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codeName="ThisWorkbook1"/>
  <mc:AlternateContent xmlns:mc="http://schemas.openxmlformats.org/markup-compatibility/2006">
    <mc:Choice Requires="x15">
      <x15ac:absPath xmlns:x15ac="http://schemas.microsoft.com/office/spreadsheetml/2010/11/ac" url="/Users/ericward/Downloads/"/>
    </mc:Choice>
  </mc:AlternateContent>
  <xr:revisionPtr revIDLastSave="0" documentId="8_{147146FB-31EF-0148-B3B9-E9CD4BB52924}" xr6:coauthVersionLast="47" xr6:coauthVersionMax="47" xr10:uidLastSave="{00000000-0000-0000-0000-000000000000}"/>
  <bookViews>
    <workbookView xWindow="0" yWindow="500" windowWidth="29040" windowHeight="15840" tabRatio="848" activeTab="12" xr2:uid="{00000000-000D-0000-FFFF-FFFF00000000}"/>
  </bookViews>
  <sheets>
    <sheet name="A-1" sheetId="3" r:id="rId1"/>
    <sheet name="A-2" sheetId="4" r:id="rId2"/>
    <sheet name="A-3" sheetId="5" r:id="rId3"/>
    <sheet name="A-4" sheetId="6" r:id="rId4"/>
    <sheet name="A-5" sheetId="7" r:id="rId5"/>
    <sheet name="A-6" sheetId="8" r:id="rId6"/>
    <sheet name="A-7" sheetId="9" r:id="rId7"/>
    <sheet name="A-8" sheetId="10" r:id="rId8"/>
    <sheet name="A-9" sheetId="11" r:id="rId9"/>
    <sheet name="A-10" sheetId="12" r:id="rId10"/>
    <sheet name="A-11" sheetId="13" r:id="rId11"/>
    <sheet name="A-12" sheetId="14" r:id="rId12"/>
    <sheet name="A-13" sheetId="32" r:id="rId13"/>
    <sheet name="A-14" sheetId="16" r:id="rId14"/>
    <sheet name="A-15" sheetId="17" r:id="rId15"/>
    <sheet name="A-16" sheetId="18" r:id="rId16"/>
    <sheet name="A-17" sheetId="19" r:id="rId17"/>
    <sheet name="A-18" sheetId="20" r:id="rId18"/>
    <sheet name="A-19" sheetId="21" r:id="rId19"/>
    <sheet name="A-20" sheetId="22" r:id="rId20"/>
    <sheet name="A-21" sheetId="23" r:id="rId21"/>
    <sheet name="A-22" sheetId="24" r:id="rId22"/>
    <sheet name="A-23" sheetId="25" r:id="rId23"/>
    <sheet name="A-24" sheetId="26" r:id="rId24"/>
    <sheet name="A-25" sheetId="27" r:id="rId25"/>
    <sheet name="A-26" sheetId="28" r:id="rId26"/>
    <sheet name="A-27" sheetId="29" r:id="rId27"/>
    <sheet name="A-28" sheetId="30" r:id="rId28"/>
    <sheet name="Sheet1" sheetId="31" r:id="rId29"/>
  </sheets>
  <definedNames>
    <definedName name="_xlnm.Print_Area" localSheetId="9">'A-10'!$A$384:$S$534</definedName>
    <definedName name="_xlnm.Print_Area" localSheetId="10">'A-11'!$A$1:$J$86</definedName>
    <definedName name="_xlnm.Print_Area" localSheetId="11">'A-12'!$A$262:$H$366</definedName>
    <definedName name="_xlnm.Print_Area" localSheetId="12">'A-13'!$A$256:$U$362</definedName>
    <definedName name="_xlnm.Print_Area" localSheetId="13">'A-14'!$A$262:$K$363</definedName>
    <definedName name="_xlnm.Print_Area" localSheetId="14">'A-15'!$A$262:$V$369</definedName>
    <definedName name="_xlnm.Print_Area" localSheetId="15">'A-16'!$A$142:$K$235</definedName>
    <definedName name="_xlnm.Print_Area" localSheetId="16">'A-17'!$A$262:$I$367</definedName>
    <definedName name="_xlnm.Print_Area" localSheetId="17">'A-18'!$A$261:$R$367</definedName>
    <definedName name="_xlnm.Print_Area" localSheetId="18">'A-19'!$A$144:$I$219</definedName>
    <definedName name="_xlnm.Print_Area" localSheetId="1">'A-2'!$A$304:$J$418</definedName>
    <definedName name="_xlnm.Print_Area" localSheetId="19">'A-20'!$A$201:$L$285</definedName>
    <definedName name="_xlnm.Print_Area" localSheetId="20">'A-21'!$A$201:$X$284</definedName>
    <definedName name="_xlnm.Print_Area" localSheetId="21">'A-22'!$A$205:$L$288</definedName>
    <definedName name="_xlnm.Print_Area" localSheetId="22">'A-23'!$A$201:$X$283</definedName>
    <definedName name="_xlnm.Print_Area" localSheetId="23">'A-24'!$A$349:$H$498</definedName>
    <definedName name="_xlnm.Print_Area" localSheetId="24">'A-25'!$A$349:$P$495</definedName>
    <definedName name="_xlnm.Print_Area" localSheetId="25">'A-26'!$A$193:$H$298</definedName>
    <definedName name="_xlnm.Print_Area" localSheetId="26">'A-27'!$A$165:$I$227</definedName>
    <definedName name="_xlnm.Print_Area" localSheetId="27">'A-28'!$A$174:$R$239</definedName>
    <definedName name="_xlnm.Print_Area" localSheetId="2">'A-3'!$A$311:$R$429</definedName>
    <definedName name="_xlnm.Print_Area" localSheetId="3">'A-4'!$A$301:$L$414</definedName>
    <definedName name="_xlnm.Print_Area" localSheetId="4">'A-5'!$A$301:$X$417</definedName>
    <definedName name="_xlnm.Print_Area" localSheetId="5">'A-6'!$A$1:$K$67</definedName>
    <definedName name="_xlnm.Print_Area" localSheetId="6">'A-7'!$A$390:$L$539</definedName>
    <definedName name="_xlnm.Print_Area" localSheetId="7">'A-8'!$A$534:$S$683</definedName>
    <definedName name="_xlnm.Print_Area" localSheetId="8">'A-9'!$A$382:$K$523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95" i="32" l="1"/>
  <c r="E145" i="24" l="1"/>
  <c r="F145" i="24"/>
  <c r="C266" i="24"/>
  <c r="G290" i="7"/>
  <c r="E290" i="7"/>
  <c r="E416" i="7" s="1"/>
  <c r="F290" i="7"/>
  <c r="F416" i="7" s="1"/>
  <c r="E415" i="7"/>
  <c r="F415" i="7"/>
  <c r="L263" i="22" l="1"/>
  <c r="D280" i="22" l="1"/>
  <c r="D281" i="22"/>
  <c r="D282" i="22"/>
  <c r="D261" i="22"/>
  <c r="D262" i="22"/>
  <c r="D263" i="22"/>
  <c r="B235" i="22"/>
  <c r="C235" i="22"/>
  <c r="D235" i="22"/>
  <c r="E235" i="22"/>
  <c r="F235" i="22"/>
  <c r="G235" i="22"/>
  <c r="H235" i="22"/>
  <c r="I235" i="22"/>
  <c r="J235" i="22"/>
  <c r="K235" i="22"/>
  <c r="L235" i="22"/>
  <c r="B236" i="22"/>
  <c r="C236" i="22"/>
  <c r="D236" i="22"/>
  <c r="E236" i="22"/>
  <c r="F236" i="22"/>
  <c r="G236" i="22"/>
  <c r="H236" i="22"/>
  <c r="I236" i="22"/>
  <c r="J236" i="22"/>
  <c r="K236" i="22"/>
  <c r="L236" i="22"/>
  <c r="B237" i="22"/>
  <c r="C237" i="22"/>
  <c r="D237" i="22"/>
  <c r="E237" i="22"/>
  <c r="F237" i="22"/>
  <c r="G237" i="22"/>
  <c r="H237" i="22"/>
  <c r="I237" i="22"/>
  <c r="J237" i="22"/>
  <c r="K237" i="22"/>
  <c r="L237" i="22"/>
  <c r="B238" i="22"/>
  <c r="C238" i="22"/>
  <c r="D238" i="22"/>
  <c r="E238" i="22"/>
  <c r="F238" i="22"/>
  <c r="G238" i="22"/>
  <c r="H238" i="22"/>
  <c r="I238" i="22"/>
  <c r="J238" i="22"/>
  <c r="K238" i="22"/>
  <c r="L238" i="22"/>
  <c r="B239" i="22"/>
  <c r="C239" i="22"/>
  <c r="D239" i="22"/>
  <c r="E239" i="22"/>
  <c r="F239" i="22"/>
  <c r="G239" i="22"/>
  <c r="H239" i="22"/>
  <c r="I239" i="22"/>
  <c r="J239" i="22"/>
  <c r="K239" i="22"/>
  <c r="L239" i="22"/>
  <c r="B240" i="22"/>
  <c r="C240" i="22"/>
  <c r="D240" i="22"/>
  <c r="E240" i="22"/>
  <c r="F240" i="22"/>
  <c r="G240" i="22"/>
  <c r="H240" i="22"/>
  <c r="I240" i="22"/>
  <c r="J240" i="22"/>
  <c r="K240" i="22"/>
  <c r="L240" i="22"/>
  <c r="B219" i="22"/>
  <c r="C219" i="22"/>
  <c r="D219" i="22"/>
  <c r="E219" i="22"/>
  <c r="F219" i="22"/>
  <c r="G219" i="22"/>
  <c r="H219" i="22"/>
  <c r="I219" i="22"/>
  <c r="J219" i="22"/>
  <c r="K219" i="22"/>
  <c r="L219" i="22"/>
  <c r="B220" i="22"/>
  <c r="C220" i="22"/>
  <c r="D220" i="22"/>
  <c r="E220" i="22"/>
  <c r="F220" i="22"/>
  <c r="G220" i="22"/>
  <c r="H220" i="22"/>
  <c r="I220" i="22"/>
  <c r="J220" i="22"/>
  <c r="K220" i="22"/>
  <c r="L220" i="22"/>
  <c r="B221" i="22"/>
  <c r="C221" i="22"/>
  <c r="D221" i="22"/>
  <c r="E221" i="22"/>
  <c r="F221" i="22"/>
  <c r="G221" i="22"/>
  <c r="H221" i="22"/>
  <c r="I221" i="22"/>
  <c r="J221" i="22"/>
  <c r="K221" i="22"/>
  <c r="L221" i="22"/>
  <c r="D257" i="22" l="1"/>
  <c r="E257" i="22"/>
  <c r="D258" i="22"/>
  <c r="E258" i="22"/>
  <c r="D259" i="22"/>
  <c r="E259" i="22"/>
  <c r="D260" i="22"/>
  <c r="E260" i="22"/>
  <c r="E261" i="22"/>
  <c r="E262" i="22"/>
  <c r="E263" i="22"/>
  <c r="E290" i="6"/>
  <c r="F290" i="6"/>
  <c r="B72" i="13" l="1"/>
  <c r="C72" i="13"/>
  <c r="D72" i="13"/>
  <c r="E72" i="13"/>
  <c r="F72" i="13"/>
  <c r="J72" i="13"/>
  <c r="J54" i="13"/>
  <c r="B54" i="13"/>
  <c r="C54" i="13"/>
  <c r="D54" i="13"/>
  <c r="E54" i="13"/>
  <c r="F54" i="13"/>
  <c r="B53" i="13"/>
  <c r="C53" i="13"/>
  <c r="D53" i="13"/>
  <c r="E53" i="13"/>
  <c r="F53" i="13"/>
  <c r="J53" i="13" s="1"/>
  <c r="C30" i="13"/>
  <c r="D30" i="13"/>
  <c r="E30" i="13"/>
  <c r="F30" i="13"/>
  <c r="J30" i="13" s="1"/>
  <c r="B30" i="13"/>
  <c r="A285" i="25" l="1"/>
  <c r="A287" i="24"/>
  <c r="A288" i="24"/>
  <c r="A289" i="24"/>
  <c r="X242" i="7"/>
  <c r="A418" i="7"/>
  <c r="A417" i="7"/>
  <c r="A415" i="6"/>
  <c r="A414" i="6"/>
  <c r="N50" i="32" l="1"/>
  <c r="N51" i="32"/>
  <c r="S243" i="12" l="1"/>
  <c r="S290" i="10"/>
  <c r="S218" i="10"/>
  <c r="B320" i="9"/>
  <c r="B184" i="21" l="1"/>
  <c r="C184" i="21"/>
  <c r="D184" i="21"/>
  <c r="E184" i="21"/>
  <c r="F184" i="21"/>
  <c r="G184" i="21"/>
  <c r="H184" i="21"/>
  <c r="I184" i="21"/>
  <c r="A218" i="21"/>
  <c r="A217" i="21"/>
  <c r="A216" i="21"/>
  <c r="A215" i="21"/>
  <c r="A214" i="21"/>
  <c r="H127" i="21"/>
  <c r="T137" i="20"/>
  <c r="J96" i="16" l="1"/>
  <c r="K96" i="16"/>
  <c r="J97" i="16"/>
  <c r="K97" i="16"/>
  <c r="J98" i="16"/>
  <c r="K98" i="16"/>
  <c r="J47" i="16"/>
  <c r="K47" i="16"/>
  <c r="J48" i="16"/>
  <c r="K48" i="16"/>
  <c r="J49" i="16"/>
  <c r="K49" i="16"/>
  <c r="J50" i="16"/>
  <c r="K50" i="16"/>
  <c r="Q97" i="30" l="1"/>
  <c r="Q212" i="30" s="1"/>
  <c r="P97" i="30"/>
  <c r="P212" i="30" s="1"/>
  <c r="O97" i="30"/>
  <c r="N97" i="30"/>
  <c r="N212" i="30" s="1"/>
  <c r="M97" i="30"/>
  <c r="M212" i="30" s="1"/>
  <c r="L97" i="30"/>
  <c r="L212" i="30" s="1"/>
  <c r="K97" i="30"/>
  <c r="K212" i="30" s="1"/>
  <c r="H97" i="30"/>
  <c r="H212" i="30" s="1"/>
  <c r="G97" i="30"/>
  <c r="G212" i="30" s="1"/>
  <c r="F97" i="30"/>
  <c r="F212" i="30" s="1"/>
  <c r="E97" i="30"/>
  <c r="E212" i="30" s="1"/>
  <c r="D97" i="30"/>
  <c r="D212" i="30" s="1"/>
  <c r="C97" i="30"/>
  <c r="C212" i="30" s="1"/>
  <c r="B97" i="30"/>
  <c r="R49" i="30"/>
  <c r="R193" i="30" s="1"/>
  <c r="Q49" i="30"/>
  <c r="Q193" i="30" s="1"/>
  <c r="P49" i="30"/>
  <c r="P193" i="30" s="1"/>
  <c r="O49" i="30"/>
  <c r="O193" i="30" s="1"/>
  <c r="N49" i="30"/>
  <c r="N193" i="30" s="1"/>
  <c r="M49" i="30"/>
  <c r="M193" i="30" s="1"/>
  <c r="L49" i="30"/>
  <c r="L193" i="30" s="1"/>
  <c r="K49" i="30"/>
  <c r="K193" i="30" s="1"/>
  <c r="I49" i="30"/>
  <c r="I193" i="30" s="1"/>
  <c r="H49" i="30"/>
  <c r="H193" i="30" s="1"/>
  <c r="G49" i="30"/>
  <c r="G193" i="30" s="1"/>
  <c r="F49" i="30"/>
  <c r="F193" i="30" s="1"/>
  <c r="E49" i="30"/>
  <c r="E193" i="30" s="1"/>
  <c r="D49" i="30"/>
  <c r="D193" i="30" s="1"/>
  <c r="C49" i="30"/>
  <c r="C193" i="30" s="1"/>
  <c r="B49" i="30"/>
  <c r="B193" i="30" s="1"/>
  <c r="B209" i="29"/>
  <c r="B208" i="29"/>
  <c r="B284" i="28"/>
  <c r="H96" i="29"/>
  <c r="H202" i="29" s="1"/>
  <c r="G96" i="29"/>
  <c r="G202" i="29" s="1"/>
  <c r="F96" i="29"/>
  <c r="F202" i="29" s="1"/>
  <c r="E96" i="29"/>
  <c r="E202" i="29" s="1"/>
  <c r="D96" i="29"/>
  <c r="C96" i="29"/>
  <c r="C202" i="29" s="1"/>
  <c r="B96" i="29"/>
  <c r="B202" i="29" s="1"/>
  <c r="I48" i="29"/>
  <c r="I183" i="29" s="1"/>
  <c r="H48" i="29"/>
  <c r="H183" i="29" s="1"/>
  <c r="G48" i="29"/>
  <c r="G183" i="29" s="1"/>
  <c r="F48" i="29"/>
  <c r="F183" i="29" s="1"/>
  <c r="E48" i="29"/>
  <c r="E183" i="29" s="1"/>
  <c r="D48" i="29"/>
  <c r="D183" i="29" s="1"/>
  <c r="C48" i="29"/>
  <c r="C183" i="29" s="1"/>
  <c r="B48" i="29"/>
  <c r="B183" i="29" s="1"/>
  <c r="B155" i="28"/>
  <c r="H130" i="28"/>
  <c r="H131" i="28"/>
  <c r="H132" i="28"/>
  <c r="H133" i="28"/>
  <c r="H134" i="28"/>
  <c r="H135" i="28"/>
  <c r="H136" i="28"/>
  <c r="H137" i="28"/>
  <c r="H138" i="28"/>
  <c r="H139" i="28"/>
  <c r="H140" i="28"/>
  <c r="H141" i="28"/>
  <c r="H142" i="28"/>
  <c r="H143" i="28"/>
  <c r="H144" i="28"/>
  <c r="H145" i="28"/>
  <c r="H146" i="28"/>
  <c r="H147" i="28"/>
  <c r="H148" i="28"/>
  <c r="H149" i="28"/>
  <c r="H150" i="28"/>
  <c r="H151" i="28"/>
  <c r="C130" i="28"/>
  <c r="D130" i="28"/>
  <c r="E130" i="28"/>
  <c r="F130" i="28"/>
  <c r="G130" i="28"/>
  <c r="C131" i="28"/>
  <c r="D131" i="28"/>
  <c r="E131" i="28"/>
  <c r="F131" i="28"/>
  <c r="G131" i="28"/>
  <c r="C132" i="28"/>
  <c r="D132" i="28"/>
  <c r="E132" i="28"/>
  <c r="F132" i="28"/>
  <c r="G132" i="28"/>
  <c r="C133" i="28"/>
  <c r="D133" i="28"/>
  <c r="E133" i="28"/>
  <c r="F133" i="28"/>
  <c r="G133" i="28"/>
  <c r="C134" i="28"/>
  <c r="D134" i="28"/>
  <c r="E134" i="28"/>
  <c r="F134" i="28"/>
  <c r="G134" i="28"/>
  <c r="C135" i="28"/>
  <c r="D135" i="28"/>
  <c r="E135" i="28"/>
  <c r="F135" i="28"/>
  <c r="G135" i="28"/>
  <c r="C136" i="28"/>
  <c r="D136" i="28"/>
  <c r="E136" i="28"/>
  <c r="F136" i="28"/>
  <c r="G136" i="28"/>
  <c r="C137" i="28"/>
  <c r="D137" i="28"/>
  <c r="E137" i="28"/>
  <c r="F137" i="28"/>
  <c r="G137" i="28"/>
  <c r="C138" i="28"/>
  <c r="D138" i="28"/>
  <c r="E138" i="28"/>
  <c r="F138" i="28"/>
  <c r="G138" i="28"/>
  <c r="C139" i="28"/>
  <c r="D139" i="28"/>
  <c r="E139" i="28"/>
  <c r="F139" i="28"/>
  <c r="G139" i="28"/>
  <c r="C140" i="28"/>
  <c r="D140" i="28"/>
  <c r="E140" i="28"/>
  <c r="F140" i="28"/>
  <c r="G140" i="28"/>
  <c r="C141" i="28"/>
  <c r="D141" i="28"/>
  <c r="E141" i="28"/>
  <c r="F141" i="28"/>
  <c r="G141" i="28"/>
  <c r="C142" i="28"/>
  <c r="D142" i="28"/>
  <c r="E142" i="28"/>
  <c r="F142" i="28"/>
  <c r="G142" i="28"/>
  <c r="C143" i="28"/>
  <c r="D143" i="28"/>
  <c r="E143" i="28"/>
  <c r="F143" i="28"/>
  <c r="G143" i="28"/>
  <c r="C144" i="28"/>
  <c r="D144" i="28"/>
  <c r="E144" i="28"/>
  <c r="F144" i="28"/>
  <c r="G144" i="28"/>
  <c r="C145" i="28"/>
  <c r="D145" i="28"/>
  <c r="E145" i="28"/>
  <c r="F145" i="28"/>
  <c r="G145" i="28"/>
  <c r="C146" i="28"/>
  <c r="D146" i="28"/>
  <c r="E146" i="28"/>
  <c r="F146" i="28"/>
  <c r="G146" i="28"/>
  <c r="C147" i="28"/>
  <c r="D147" i="28"/>
  <c r="E147" i="28"/>
  <c r="F147" i="28"/>
  <c r="G147" i="28"/>
  <c r="C148" i="28"/>
  <c r="D148" i="28"/>
  <c r="E148" i="28"/>
  <c r="F148" i="28"/>
  <c r="G148" i="28"/>
  <c r="C149" i="28"/>
  <c r="D149" i="28"/>
  <c r="E149" i="28"/>
  <c r="F149" i="28"/>
  <c r="G149" i="28"/>
  <c r="C150" i="28"/>
  <c r="D150" i="28"/>
  <c r="E150" i="28"/>
  <c r="F150" i="28"/>
  <c r="G150" i="28"/>
  <c r="C151" i="28"/>
  <c r="D151" i="28"/>
  <c r="E151" i="28"/>
  <c r="F151" i="28"/>
  <c r="G151" i="28"/>
  <c r="B131" i="28"/>
  <c r="B132" i="28"/>
  <c r="B133" i="28"/>
  <c r="B134" i="28"/>
  <c r="B135" i="28"/>
  <c r="B136" i="28"/>
  <c r="B137" i="28"/>
  <c r="B138" i="28"/>
  <c r="B139" i="28"/>
  <c r="B140" i="28"/>
  <c r="B141" i="28"/>
  <c r="B142" i="28"/>
  <c r="B143" i="28"/>
  <c r="B144" i="28"/>
  <c r="B145" i="28"/>
  <c r="B146" i="28"/>
  <c r="B147" i="28"/>
  <c r="B148" i="28"/>
  <c r="B149" i="28"/>
  <c r="B150" i="28"/>
  <c r="B151" i="28"/>
  <c r="B130" i="28"/>
  <c r="B105" i="28"/>
  <c r="H101" i="28"/>
  <c r="C101" i="28"/>
  <c r="D101" i="28"/>
  <c r="E101" i="28"/>
  <c r="F101" i="28"/>
  <c r="C102" i="28"/>
  <c r="D102" i="28"/>
  <c r="E102" i="28"/>
  <c r="F102" i="28"/>
  <c r="B102" i="28"/>
  <c r="B101" i="28"/>
  <c r="B50" i="28"/>
  <c r="C50" i="28"/>
  <c r="D50" i="28"/>
  <c r="E50" i="28"/>
  <c r="F50" i="28"/>
  <c r="G50" i="28"/>
  <c r="H50" i="28"/>
  <c r="B51" i="28"/>
  <c r="C51" i="28"/>
  <c r="D51" i="28"/>
  <c r="E51" i="28"/>
  <c r="F51" i="28"/>
  <c r="G51" i="28"/>
  <c r="H51" i="28"/>
  <c r="B52" i="28"/>
  <c r="B152" i="28" s="1"/>
  <c r="C52" i="28"/>
  <c r="C152" i="28" s="1"/>
  <c r="D52" i="28"/>
  <c r="D152" i="28" s="1"/>
  <c r="E52" i="28"/>
  <c r="E152" i="28" s="1"/>
  <c r="F52" i="28"/>
  <c r="F152" i="28" s="1"/>
  <c r="G52" i="28"/>
  <c r="G152" i="28" s="1"/>
  <c r="H26" i="28"/>
  <c r="H207" i="28" s="1"/>
  <c r="C26" i="28"/>
  <c r="D26" i="28"/>
  <c r="D207" i="28" s="1"/>
  <c r="E26" i="28"/>
  <c r="F26" i="28"/>
  <c r="F207" i="28" s="1"/>
  <c r="B26" i="28"/>
  <c r="C25" i="28"/>
  <c r="D25" i="28"/>
  <c r="E25" i="28"/>
  <c r="E206" i="28" s="1"/>
  <c r="F25" i="28"/>
  <c r="G25" i="28"/>
  <c r="H25" i="28"/>
  <c r="B25" i="28"/>
  <c r="C203" i="28"/>
  <c r="D203" i="28"/>
  <c r="E203" i="28"/>
  <c r="F203" i="28"/>
  <c r="G203" i="28"/>
  <c r="H203" i="28"/>
  <c r="C204" i="28"/>
  <c r="D204" i="28"/>
  <c r="E204" i="28"/>
  <c r="F204" i="28"/>
  <c r="G204" i="28"/>
  <c r="H204" i="28"/>
  <c r="C205" i="28"/>
  <c r="D205" i="28"/>
  <c r="E205" i="28"/>
  <c r="F205" i="28"/>
  <c r="G205" i="28"/>
  <c r="H205" i="28"/>
  <c r="C206" i="28"/>
  <c r="D206" i="28"/>
  <c r="F206" i="28"/>
  <c r="G206" i="28"/>
  <c r="H206" i="28"/>
  <c r="C207" i="28"/>
  <c r="E207" i="28"/>
  <c r="G207" i="28"/>
  <c r="G208" i="28"/>
  <c r="G244" i="28"/>
  <c r="G243" i="28"/>
  <c r="G242" i="28"/>
  <c r="C242" i="28"/>
  <c r="D242" i="28"/>
  <c r="E242" i="28"/>
  <c r="F242" i="28"/>
  <c r="C243" i="28"/>
  <c r="D243" i="28"/>
  <c r="E243" i="28"/>
  <c r="F243" i="28"/>
  <c r="C244" i="28"/>
  <c r="D244" i="28"/>
  <c r="E244" i="28"/>
  <c r="F244" i="28"/>
  <c r="B244" i="28"/>
  <c r="B243" i="28"/>
  <c r="B242" i="28"/>
  <c r="G202" i="28"/>
  <c r="G201" i="28"/>
  <c r="G200" i="28"/>
  <c r="C200" i="28"/>
  <c r="D200" i="28"/>
  <c r="E200" i="28"/>
  <c r="F200" i="28"/>
  <c r="H200" i="28"/>
  <c r="C201" i="28"/>
  <c r="D201" i="28"/>
  <c r="E201" i="28"/>
  <c r="F201" i="28"/>
  <c r="H201" i="28"/>
  <c r="C202" i="28"/>
  <c r="D202" i="28"/>
  <c r="E202" i="28"/>
  <c r="F202" i="28"/>
  <c r="H202" i="28"/>
  <c r="B202" i="28"/>
  <c r="B201" i="28"/>
  <c r="B200" i="28"/>
  <c r="B198" i="28"/>
  <c r="B197" i="28"/>
  <c r="B145" i="30" l="1"/>
  <c r="B234" i="30" s="1"/>
  <c r="B212" i="30"/>
  <c r="O145" i="30"/>
  <c r="O234" i="30" s="1"/>
  <c r="O212" i="30"/>
  <c r="D145" i="30"/>
  <c r="D234" i="30" s="1"/>
  <c r="M145" i="30"/>
  <c r="M234" i="30" s="1"/>
  <c r="E145" i="30"/>
  <c r="E234" i="30" s="1"/>
  <c r="N145" i="30"/>
  <c r="N234" i="30" s="1"/>
  <c r="K145" i="30"/>
  <c r="K234" i="30" s="1"/>
  <c r="C145" i="30"/>
  <c r="C234" i="30" s="1"/>
  <c r="F145" i="30"/>
  <c r="F234" i="30" s="1"/>
  <c r="G145" i="30"/>
  <c r="G234" i="30" s="1"/>
  <c r="P145" i="30"/>
  <c r="P234" i="30" s="1"/>
  <c r="L145" i="30"/>
  <c r="L234" i="30" s="1"/>
  <c r="H145" i="30"/>
  <c r="H234" i="30" s="1"/>
  <c r="Q145" i="30"/>
  <c r="Q234" i="30" s="1"/>
  <c r="D144" i="29"/>
  <c r="D221" i="29" s="1"/>
  <c r="D202" i="29"/>
  <c r="B144" i="29"/>
  <c r="B221" i="29" s="1"/>
  <c r="C144" i="29"/>
  <c r="C221" i="29" s="1"/>
  <c r="E144" i="29"/>
  <c r="E221" i="29" s="1"/>
  <c r="F144" i="29"/>
  <c r="F221" i="29" s="1"/>
  <c r="G144" i="29"/>
  <c r="G221" i="29" s="1"/>
  <c r="H144" i="29"/>
  <c r="H221" i="29" s="1"/>
  <c r="T336" i="32" l="1"/>
  <c r="S336" i="32"/>
  <c r="R336" i="32"/>
  <c r="Q336" i="32"/>
  <c r="P336" i="32"/>
  <c r="T317" i="32"/>
  <c r="S317" i="32"/>
  <c r="R317" i="32"/>
  <c r="Q317" i="32"/>
  <c r="P317" i="32"/>
  <c r="T295" i="32"/>
  <c r="S295" i="32"/>
  <c r="R295" i="32"/>
  <c r="Q295" i="32"/>
  <c r="P295" i="32"/>
  <c r="T276" i="32"/>
  <c r="S276" i="32"/>
  <c r="R276" i="32"/>
  <c r="Q276" i="32"/>
  <c r="P276" i="32"/>
  <c r="T243" i="32"/>
  <c r="T358" i="32" s="1"/>
  <c r="S243" i="32"/>
  <c r="S358" i="32" s="1"/>
  <c r="R243" i="32"/>
  <c r="R358" i="32" s="1"/>
  <c r="Q243" i="32"/>
  <c r="Q358" i="32" s="1"/>
  <c r="P243" i="32"/>
  <c r="P358" i="32" s="1"/>
  <c r="U195" i="32"/>
  <c r="H102" i="28" s="1"/>
  <c r="U147" i="32"/>
  <c r="U317" i="32" s="1"/>
  <c r="U145" i="32"/>
  <c r="U99" i="32"/>
  <c r="U97" i="32"/>
  <c r="U51" i="32"/>
  <c r="G249" i="28"/>
  <c r="H280" i="28"/>
  <c r="G280" i="28"/>
  <c r="F280" i="28"/>
  <c r="E280" i="28"/>
  <c r="D280" i="28"/>
  <c r="C280" i="28"/>
  <c r="B280" i="28"/>
  <c r="G126" i="28"/>
  <c r="G176" i="28" s="1"/>
  <c r="G294" i="28" s="1"/>
  <c r="P101" i="28"/>
  <c r="I101" i="28"/>
  <c r="F249" i="28"/>
  <c r="E249" i="28"/>
  <c r="D249" i="28"/>
  <c r="C249" i="28"/>
  <c r="B249" i="28"/>
  <c r="H221" i="28"/>
  <c r="G76" i="28"/>
  <c r="G235" i="28" s="1"/>
  <c r="F221" i="28"/>
  <c r="E221" i="28"/>
  <c r="D221" i="28"/>
  <c r="C221" i="28"/>
  <c r="B221" i="28"/>
  <c r="J418" i="27"/>
  <c r="O358" i="27"/>
  <c r="K358" i="27"/>
  <c r="J358" i="27"/>
  <c r="G358" i="27"/>
  <c r="J428" i="27"/>
  <c r="O368" i="27"/>
  <c r="K368" i="27"/>
  <c r="J368" i="27"/>
  <c r="G368" i="27"/>
  <c r="P289" i="27"/>
  <c r="P469" i="27" s="1"/>
  <c r="O289" i="27"/>
  <c r="O469" i="27" s="1"/>
  <c r="N289" i="27"/>
  <c r="N469" i="27" s="1"/>
  <c r="M289" i="27"/>
  <c r="M469" i="27" s="1"/>
  <c r="L289" i="27"/>
  <c r="L469" i="27" s="1"/>
  <c r="K289" i="27"/>
  <c r="K469" i="27" s="1"/>
  <c r="J289" i="27"/>
  <c r="J469" i="27" s="1"/>
  <c r="H289" i="27"/>
  <c r="H469" i="27" s="1"/>
  <c r="G289" i="27"/>
  <c r="G469" i="27" s="1"/>
  <c r="F289" i="27"/>
  <c r="F469" i="27" s="1"/>
  <c r="E289" i="27"/>
  <c r="E469" i="27" s="1"/>
  <c r="D289" i="27"/>
  <c r="D469" i="27" s="1"/>
  <c r="C289" i="27"/>
  <c r="C469" i="27" s="1"/>
  <c r="B289" i="27"/>
  <c r="B469" i="27" s="1"/>
  <c r="J241" i="27"/>
  <c r="J450" i="27" s="1"/>
  <c r="O193" i="27"/>
  <c r="O241" i="27" s="1"/>
  <c r="O450" i="27" s="1"/>
  <c r="N193" i="27"/>
  <c r="N428" i="27" s="1"/>
  <c r="M193" i="27"/>
  <c r="M428" i="27" s="1"/>
  <c r="L193" i="27"/>
  <c r="L428" i="27" s="1"/>
  <c r="K193" i="27"/>
  <c r="K241" i="27" s="1"/>
  <c r="K450" i="27" s="1"/>
  <c r="G193" i="27"/>
  <c r="G241" i="27" s="1"/>
  <c r="G450" i="27" s="1"/>
  <c r="F193" i="27"/>
  <c r="F428" i="27" s="1"/>
  <c r="E193" i="27"/>
  <c r="E428" i="27" s="1"/>
  <c r="D193" i="27"/>
  <c r="D428" i="27" s="1"/>
  <c r="C193" i="27"/>
  <c r="C428" i="27" s="1"/>
  <c r="B193" i="27"/>
  <c r="B428" i="27" s="1"/>
  <c r="P97" i="27"/>
  <c r="P387" i="27" s="1"/>
  <c r="O97" i="27"/>
  <c r="O145" i="27" s="1"/>
  <c r="O409" i="27" s="1"/>
  <c r="N97" i="27"/>
  <c r="N387" i="27" s="1"/>
  <c r="M97" i="27"/>
  <c r="M387" i="27" s="1"/>
  <c r="L97" i="27"/>
  <c r="L387" i="27" s="1"/>
  <c r="K97" i="27"/>
  <c r="K145" i="27" s="1"/>
  <c r="K409" i="27" s="1"/>
  <c r="J97" i="27"/>
  <c r="J145" i="27" s="1"/>
  <c r="J409" i="27" s="1"/>
  <c r="H97" i="27"/>
  <c r="H387" i="27" s="1"/>
  <c r="G97" i="27"/>
  <c r="G145" i="27" s="1"/>
  <c r="G409" i="27" s="1"/>
  <c r="F97" i="27"/>
  <c r="F387" i="27" s="1"/>
  <c r="E97" i="27"/>
  <c r="E387" i="27" s="1"/>
  <c r="D97" i="27"/>
  <c r="D387" i="27" s="1"/>
  <c r="C97" i="27"/>
  <c r="C387" i="27" s="1"/>
  <c r="B97" i="27"/>
  <c r="B387" i="27" s="1"/>
  <c r="P49" i="27"/>
  <c r="P368" i="27" s="1"/>
  <c r="N49" i="27"/>
  <c r="N368" i="27" s="1"/>
  <c r="M49" i="27"/>
  <c r="M368" i="27" s="1"/>
  <c r="L49" i="27"/>
  <c r="L368" i="27" s="1"/>
  <c r="H49" i="27"/>
  <c r="H368" i="27" s="1"/>
  <c r="F49" i="27"/>
  <c r="F368" i="27" s="1"/>
  <c r="E49" i="27"/>
  <c r="E368" i="27" s="1"/>
  <c r="D49" i="27"/>
  <c r="D368" i="27" s="1"/>
  <c r="C49" i="27"/>
  <c r="C368" i="27" s="1"/>
  <c r="B49" i="27"/>
  <c r="B368" i="27" s="1"/>
  <c r="G289" i="26"/>
  <c r="G471" i="26" s="1"/>
  <c r="F289" i="26"/>
  <c r="F471" i="26" s="1"/>
  <c r="E289" i="26"/>
  <c r="E471" i="26" s="1"/>
  <c r="D289" i="26"/>
  <c r="D471" i="26" s="1"/>
  <c r="C289" i="26"/>
  <c r="C471" i="26" s="1"/>
  <c r="B289" i="26"/>
  <c r="B471" i="26" s="1"/>
  <c r="G193" i="26"/>
  <c r="G433" i="26" s="1"/>
  <c r="F193" i="26"/>
  <c r="F433" i="26" s="1"/>
  <c r="E193" i="26"/>
  <c r="E433" i="26" s="1"/>
  <c r="D193" i="26"/>
  <c r="D433" i="26" s="1"/>
  <c r="C193" i="26"/>
  <c r="C433" i="26" s="1"/>
  <c r="B193" i="26"/>
  <c r="B433" i="26" s="1"/>
  <c r="H97" i="26"/>
  <c r="H392" i="26" s="1"/>
  <c r="G97" i="26"/>
  <c r="G392" i="26" s="1"/>
  <c r="F97" i="26"/>
  <c r="F392" i="26" s="1"/>
  <c r="E97" i="26"/>
  <c r="E392" i="26" s="1"/>
  <c r="D97" i="26"/>
  <c r="D392" i="26" s="1"/>
  <c r="C97" i="26"/>
  <c r="C392" i="26" s="1"/>
  <c r="B97" i="26"/>
  <c r="B392" i="26" s="1"/>
  <c r="H49" i="26"/>
  <c r="H373" i="26" s="1"/>
  <c r="G49" i="26"/>
  <c r="G373" i="26" s="1"/>
  <c r="F49" i="26"/>
  <c r="F373" i="26" s="1"/>
  <c r="E49" i="26"/>
  <c r="E373" i="26" s="1"/>
  <c r="D49" i="26"/>
  <c r="D373" i="26" s="1"/>
  <c r="C49" i="26"/>
  <c r="C373" i="26" s="1"/>
  <c r="B49" i="26"/>
  <c r="B373" i="26" s="1"/>
  <c r="B229" i="25"/>
  <c r="W210" i="25"/>
  <c r="P210" i="25"/>
  <c r="O210" i="25"/>
  <c r="N210" i="25"/>
  <c r="B210" i="25"/>
  <c r="F261" i="25"/>
  <c r="E261" i="25"/>
  <c r="K239" i="25"/>
  <c r="B239" i="25"/>
  <c r="W220" i="25"/>
  <c r="P220" i="25"/>
  <c r="O220" i="25"/>
  <c r="N220" i="25"/>
  <c r="K220" i="25"/>
  <c r="B220" i="25"/>
  <c r="W145" i="25"/>
  <c r="W261" i="25" s="1"/>
  <c r="V145" i="25"/>
  <c r="V261" i="25" s="1"/>
  <c r="U145" i="25"/>
  <c r="U261" i="25" s="1"/>
  <c r="T145" i="25"/>
  <c r="T261" i="25" s="1"/>
  <c r="S145" i="25"/>
  <c r="S261" i="25" s="1"/>
  <c r="R145" i="25"/>
  <c r="R261" i="25" s="1"/>
  <c r="Q145" i="25"/>
  <c r="Q261" i="25" s="1"/>
  <c r="P145" i="25"/>
  <c r="P261" i="25" s="1"/>
  <c r="O145" i="25"/>
  <c r="O261" i="25" s="1"/>
  <c r="N145" i="25"/>
  <c r="N261" i="25" s="1"/>
  <c r="K145" i="25"/>
  <c r="K193" i="25" s="1"/>
  <c r="K280" i="25" s="1"/>
  <c r="J145" i="25"/>
  <c r="I145" i="25"/>
  <c r="I261" i="25" s="1"/>
  <c r="H145" i="25"/>
  <c r="H261" i="25" s="1"/>
  <c r="G145" i="25"/>
  <c r="G261" i="25" s="1"/>
  <c r="D145" i="25"/>
  <c r="D261" i="25" s="1"/>
  <c r="C145" i="25"/>
  <c r="B145" i="25"/>
  <c r="B193" i="25" s="1"/>
  <c r="B280" i="25" s="1"/>
  <c r="W97" i="25"/>
  <c r="W239" i="25" s="1"/>
  <c r="V97" i="25"/>
  <c r="U97" i="25"/>
  <c r="U239" i="25" s="1"/>
  <c r="T97" i="25"/>
  <c r="T239" i="25" s="1"/>
  <c r="S97" i="25"/>
  <c r="S239" i="25" s="1"/>
  <c r="R97" i="25"/>
  <c r="R239" i="25" s="1"/>
  <c r="Q97" i="25"/>
  <c r="Q239" i="25" s="1"/>
  <c r="P97" i="25"/>
  <c r="P239" i="25" s="1"/>
  <c r="O97" i="25"/>
  <c r="O239" i="25" s="1"/>
  <c r="N97" i="25"/>
  <c r="J97" i="25"/>
  <c r="J239" i="25" s="1"/>
  <c r="I97" i="25"/>
  <c r="I239" i="25" s="1"/>
  <c r="H97" i="25"/>
  <c r="H239" i="25" s="1"/>
  <c r="G97" i="25"/>
  <c r="G239" i="25" s="1"/>
  <c r="F97" i="25"/>
  <c r="E97" i="25"/>
  <c r="D97" i="25"/>
  <c r="D239" i="25" s="1"/>
  <c r="C97" i="25"/>
  <c r="C239" i="25" s="1"/>
  <c r="V49" i="25"/>
  <c r="V220" i="25" s="1"/>
  <c r="U49" i="25"/>
  <c r="U220" i="25" s="1"/>
  <c r="T49" i="25"/>
  <c r="T220" i="25" s="1"/>
  <c r="S49" i="25"/>
  <c r="S220" i="25" s="1"/>
  <c r="R49" i="25"/>
  <c r="R220" i="25" s="1"/>
  <c r="Q49" i="25"/>
  <c r="Q220" i="25" s="1"/>
  <c r="J49" i="25"/>
  <c r="J220" i="25" s="1"/>
  <c r="I49" i="25"/>
  <c r="I220" i="25" s="1"/>
  <c r="H49" i="25"/>
  <c r="H220" i="25" s="1"/>
  <c r="G49" i="25"/>
  <c r="G220" i="25" s="1"/>
  <c r="F49" i="25"/>
  <c r="F220" i="25" s="1"/>
  <c r="E49" i="25"/>
  <c r="E220" i="25" s="1"/>
  <c r="D49" i="25"/>
  <c r="D220" i="25" s="1"/>
  <c r="C49" i="25"/>
  <c r="C220" i="25" s="1"/>
  <c r="B214" i="24"/>
  <c r="F265" i="24"/>
  <c r="E265" i="24"/>
  <c r="B224" i="24"/>
  <c r="K144" i="24"/>
  <c r="K265" i="24" s="1"/>
  <c r="J144" i="24"/>
  <c r="J265" i="24" s="1"/>
  <c r="I144" i="24"/>
  <c r="I265" i="24" s="1"/>
  <c r="H144" i="24"/>
  <c r="H265" i="24" s="1"/>
  <c r="G144" i="24"/>
  <c r="G265" i="24" s="1"/>
  <c r="D144" i="24"/>
  <c r="D265" i="24" s="1"/>
  <c r="C144" i="24"/>
  <c r="C265" i="24" s="1"/>
  <c r="B144" i="24"/>
  <c r="B265" i="24" s="1"/>
  <c r="K96" i="24"/>
  <c r="K243" i="24" s="1"/>
  <c r="J96" i="24"/>
  <c r="J243" i="24" s="1"/>
  <c r="I96" i="24"/>
  <c r="I243" i="24" s="1"/>
  <c r="H96" i="24"/>
  <c r="H243" i="24" s="1"/>
  <c r="G96" i="24"/>
  <c r="G243" i="24" s="1"/>
  <c r="F96" i="24"/>
  <c r="F243" i="24" s="1"/>
  <c r="E96" i="24"/>
  <c r="E243" i="24" s="1"/>
  <c r="D96" i="24"/>
  <c r="D243" i="24" s="1"/>
  <c r="C96" i="24"/>
  <c r="C243" i="24" s="1"/>
  <c r="B96" i="24"/>
  <c r="B243" i="24" s="1"/>
  <c r="K48" i="24"/>
  <c r="K224" i="24" s="1"/>
  <c r="J48" i="24"/>
  <c r="J224" i="24" s="1"/>
  <c r="I48" i="24"/>
  <c r="I224" i="24" s="1"/>
  <c r="H48" i="24"/>
  <c r="H224" i="24" s="1"/>
  <c r="G48" i="24"/>
  <c r="G224" i="24" s="1"/>
  <c r="F48" i="24"/>
  <c r="F224" i="24" s="1"/>
  <c r="E48" i="24"/>
  <c r="E224" i="24" s="1"/>
  <c r="D48" i="24"/>
  <c r="D224" i="24" s="1"/>
  <c r="C48" i="24"/>
  <c r="C224" i="24" s="1"/>
  <c r="X251" i="23"/>
  <c r="W251" i="23"/>
  <c r="V251" i="23"/>
  <c r="U251" i="23"/>
  <c r="T251" i="23"/>
  <c r="S251" i="23"/>
  <c r="R251" i="23"/>
  <c r="Q251" i="23"/>
  <c r="P251" i="23"/>
  <c r="O251" i="23"/>
  <c r="N251" i="23"/>
  <c r="K251" i="23"/>
  <c r="J251" i="23"/>
  <c r="B251" i="23"/>
  <c r="O229" i="23"/>
  <c r="P229" i="23"/>
  <c r="Q229" i="23"/>
  <c r="R229" i="23"/>
  <c r="S229" i="23"/>
  <c r="T229" i="23"/>
  <c r="U229" i="23"/>
  <c r="V229" i="23"/>
  <c r="W229" i="23"/>
  <c r="X229" i="23"/>
  <c r="N229" i="23"/>
  <c r="W210" i="23"/>
  <c r="V210" i="23"/>
  <c r="O210" i="23"/>
  <c r="P210" i="23"/>
  <c r="N210" i="23"/>
  <c r="X261" i="23"/>
  <c r="W261" i="23"/>
  <c r="V261" i="23"/>
  <c r="U261" i="23"/>
  <c r="T261" i="23"/>
  <c r="S261" i="23"/>
  <c r="R261" i="23"/>
  <c r="Q261" i="23"/>
  <c r="P261" i="23"/>
  <c r="O261" i="23"/>
  <c r="N261" i="23"/>
  <c r="K261" i="23"/>
  <c r="J261" i="23"/>
  <c r="B261" i="23"/>
  <c r="X239" i="23"/>
  <c r="W239" i="23"/>
  <c r="V239" i="23"/>
  <c r="U239" i="23"/>
  <c r="T239" i="23"/>
  <c r="S239" i="23"/>
  <c r="R239" i="23"/>
  <c r="Q239" i="23"/>
  <c r="P239" i="23"/>
  <c r="O239" i="23"/>
  <c r="N239" i="23"/>
  <c r="X220" i="23"/>
  <c r="W220" i="23"/>
  <c r="V220" i="23"/>
  <c r="P220" i="23"/>
  <c r="O220" i="23"/>
  <c r="N220" i="23"/>
  <c r="X193" i="23"/>
  <c r="W193" i="23"/>
  <c r="W280" i="23" s="1"/>
  <c r="V193" i="23"/>
  <c r="V280" i="23" s="1"/>
  <c r="P193" i="23"/>
  <c r="P280" i="23" s="1"/>
  <c r="O193" i="23"/>
  <c r="O280" i="23" s="1"/>
  <c r="N193" i="23"/>
  <c r="N280" i="23" s="1"/>
  <c r="I145" i="23"/>
  <c r="I261" i="23" s="1"/>
  <c r="H145" i="23"/>
  <c r="H261" i="23" s="1"/>
  <c r="G145" i="23"/>
  <c r="G261" i="23" s="1"/>
  <c r="F145" i="23"/>
  <c r="F261" i="23" s="1"/>
  <c r="E145" i="23"/>
  <c r="E261" i="23" s="1"/>
  <c r="D145" i="23"/>
  <c r="D261" i="23" s="1"/>
  <c r="C145" i="23"/>
  <c r="C261" i="23" s="1"/>
  <c r="L97" i="23"/>
  <c r="L239" i="23" s="1"/>
  <c r="K97" i="23"/>
  <c r="J97" i="23"/>
  <c r="J239" i="23" s="1"/>
  <c r="I97" i="23"/>
  <c r="I239" i="23" s="1"/>
  <c r="H97" i="23"/>
  <c r="H239" i="23" s="1"/>
  <c r="G97" i="23"/>
  <c r="G239" i="23" s="1"/>
  <c r="F97" i="23"/>
  <c r="F239" i="23" s="1"/>
  <c r="E97" i="23"/>
  <c r="E239" i="23" s="1"/>
  <c r="D97" i="23"/>
  <c r="D239" i="23" s="1"/>
  <c r="C97" i="23"/>
  <c r="C239" i="23" s="1"/>
  <c r="B97" i="23"/>
  <c r="B239" i="23" s="1"/>
  <c r="U49" i="23"/>
  <c r="U193" i="23" s="1"/>
  <c r="U280" i="23" s="1"/>
  <c r="T49" i="23"/>
  <c r="T193" i="23" s="1"/>
  <c r="T280" i="23" s="1"/>
  <c r="S49" i="23"/>
  <c r="S193" i="23" s="1"/>
  <c r="S280" i="23" s="1"/>
  <c r="R49" i="23"/>
  <c r="R193" i="23" s="1"/>
  <c r="R280" i="23" s="1"/>
  <c r="Q49" i="23"/>
  <c r="Q193" i="23" s="1"/>
  <c r="Q280" i="23" s="1"/>
  <c r="K49" i="23"/>
  <c r="K220" i="23" s="1"/>
  <c r="J49" i="23"/>
  <c r="J220" i="23" s="1"/>
  <c r="I49" i="23"/>
  <c r="I220" i="23" s="1"/>
  <c r="H49" i="23"/>
  <c r="H220" i="23" s="1"/>
  <c r="G49" i="23"/>
  <c r="G220" i="23" s="1"/>
  <c r="F49" i="23"/>
  <c r="F220" i="23" s="1"/>
  <c r="E49" i="23"/>
  <c r="E220" i="23" s="1"/>
  <c r="D49" i="23"/>
  <c r="D220" i="23" s="1"/>
  <c r="C49" i="23"/>
  <c r="C220" i="23" s="1"/>
  <c r="B49" i="23"/>
  <c r="B220" i="23" s="1"/>
  <c r="U336" i="32" l="1"/>
  <c r="U243" i="32"/>
  <c r="U358" i="32" s="1"/>
  <c r="U295" i="32"/>
  <c r="H27" i="28"/>
  <c r="H208" i="28" s="1"/>
  <c r="U276" i="32"/>
  <c r="E76" i="28"/>
  <c r="E235" i="28" s="1"/>
  <c r="G221" i="28"/>
  <c r="B76" i="28"/>
  <c r="B235" i="28" s="1"/>
  <c r="C126" i="28"/>
  <c r="G266" i="28"/>
  <c r="D126" i="28"/>
  <c r="B207" i="28"/>
  <c r="F76" i="28"/>
  <c r="F235" i="28" s="1"/>
  <c r="H76" i="28"/>
  <c r="H235" i="28" s="1"/>
  <c r="F126" i="28"/>
  <c r="B126" i="28"/>
  <c r="E126" i="28"/>
  <c r="D76" i="28"/>
  <c r="D235" i="28" s="1"/>
  <c r="C76" i="28"/>
  <c r="C235" i="28" s="1"/>
  <c r="K428" i="27"/>
  <c r="O428" i="27"/>
  <c r="G428" i="27"/>
  <c r="K387" i="27"/>
  <c r="J387" i="27"/>
  <c r="O337" i="27"/>
  <c r="O491" i="27" s="1"/>
  <c r="G337" i="27"/>
  <c r="G491" i="27" s="1"/>
  <c r="O387" i="27"/>
  <c r="G387" i="27"/>
  <c r="J337" i="27"/>
  <c r="J491" i="27" s="1"/>
  <c r="K337" i="27"/>
  <c r="K491" i="27" s="1"/>
  <c r="F145" i="27"/>
  <c r="F409" i="27" s="1"/>
  <c r="D241" i="27"/>
  <c r="E241" i="27"/>
  <c r="F241" i="27"/>
  <c r="L241" i="27"/>
  <c r="B241" i="27"/>
  <c r="M241" i="27"/>
  <c r="C241" i="27"/>
  <c r="N241" i="27"/>
  <c r="E145" i="27"/>
  <c r="E409" i="27" s="1"/>
  <c r="P193" i="27"/>
  <c r="H145" i="27"/>
  <c r="H409" i="27" s="1"/>
  <c r="H193" i="27"/>
  <c r="P145" i="27"/>
  <c r="P409" i="27" s="1"/>
  <c r="B145" i="27"/>
  <c r="B409" i="27" s="1"/>
  <c r="C145" i="27"/>
  <c r="C409" i="27" s="1"/>
  <c r="L145" i="27"/>
  <c r="L409" i="27" s="1"/>
  <c r="D145" i="27"/>
  <c r="D409" i="27" s="1"/>
  <c r="M145" i="27"/>
  <c r="M409" i="27" s="1"/>
  <c r="N145" i="27"/>
  <c r="N409" i="27" s="1"/>
  <c r="C241" i="26"/>
  <c r="B241" i="26"/>
  <c r="C145" i="26"/>
  <c r="C411" i="26" s="1"/>
  <c r="D241" i="26"/>
  <c r="E241" i="26"/>
  <c r="F241" i="26"/>
  <c r="G241" i="26"/>
  <c r="H193" i="26"/>
  <c r="B145" i="26"/>
  <c r="B411" i="26" s="1"/>
  <c r="D145" i="26"/>
  <c r="D411" i="26" s="1"/>
  <c r="E145" i="26"/>
  <c r="E411" i="26" s="1"/>
  <c r="F145" i="26"/>
  <c r="F411" i="26" s="1"/>
  <c r="G145" i="26"/>
  <c r="G411" i="26" s="1"/>
  <c r="H145" i="26"/>
  <c r="H411" i="26" s="1"/>
  <c r="N193" i="25"/>
  <c r="N280" i="25" s="1"/>
  <c r="V193" i="25"/>
  <c r="V280" i="25" s="1"/>
  <c r="J193" i="25"/>
  <c r="J280" i="25" s="1"/>
  <c r="E193" i="25"/>
  <c r="E280" i="25" s="1"/>
  <c r="B261" i="25"/>
  <c r="J261" i="25"/>
  <c r="C193" i="25"/>
  <c r="C280" i="25" s="1"/>
  <c r="C261" i="25"/>
  <c r="K261" i="25"/>
  <c r="F193" i="25"/>
  <c r="F280" i="25" s="1"/>
  <c r="D193" i="25"/>
  <c r="D280" i="25" s="1"/>
  <c r="O193" i="25"/>
  <c r="O280" i="25" s="1"/>
  <c r="W193" i="25"/>
  <c r="W280" i="25" s="1"/>
  <c r="H193" i="25"/>
  <c r="H280" i="25" s="1"/>
  <c r="G193" i="25"/>
  <c r="G280" i="25" s="1"/>
  <c r="P193" i="25"/>
  <c r="P280" i="25" s="1"/>
  <c r="E239" i="25"/>
  <c r="N239" i="25"/>
  <c r="V239" i="25"/>
  <c r="Q193" i="25"/>
  <c r="Q280" i="25" s="1"/>
  <c r="F239" i="25"/>
  <c r="U193" i="25"/>
  <c r="U280" i="25" s="1"/>
  <c r="I193" i="25"/>
  <c r="I280" i="25" s="1"/>
  <c r="S193" i="25"/>
  <c r="S280" i="25" s="1"/>
  <c r="T193" i="25"/>
  <c r="T280" i="25" s="1"/>
  <c r="R193" i="25"/>
  <c r="R280" i="25" s="1"/>
  <c r="L97" i="25"/>
  <c r="X97" i="25"/>
  <c r="E192" i="24"/>
  <c r="E284" i="24" s="1"/>
  <c r="F192" i="24"/>
  <c r="F284" i="24" s="1"/>
  <c r="G192" i="24"/>
  <c r="G284" i="24" s="1"/>
  <c r="B192" i="24"/>
  <c r="B284" i="24" s="1"/>
  <c r="K192" i="24"/>
  <c r="K284" i="24" s="1"/>
  <c r="C192" i="24"/>
  <c r="C284" i="24" s="1"/>
  <c r="D192" i="24"/>
  <c r="D284" i="24" s="1"/>
  <c r="H192" i="24"/>
  <c r="H284" i="24" s="1"/>
  <c r="I192" i="24"/>
  <c r="I284" i="24" s="1"/>
  <c r="J192" i="24"/>
  <c r="J284" i="24" s="1"/>
  <c r="L96" i="24"/>
  <c r="H193" i="23"/>
  <c r="H280" i="23" s="1"/>
  <c r="K193" i="23"/>
  <c r="K280" i="23" s="1"/>
  <c r="I193" i="23"/>
  <c r="I280" i="23" s="1"/>
  <c r="K239" i="23"/>
  <c r="Q220" i="23"/>
  <c r="R220" i="23"/>
  <c r="E193" i="23"/>
  <c r="E280" i="23" s="1"/>
  <c r="C193" i="23"/>
  <c r="C280" i="23" s="1"/>
  <c r="S220" i="23"/>
  <c r="D193" i="23"/>
  <c r="D280" i="23" s="1"/>
  <c r="T220" i="23"/>
  <c r="U220" i="23"/>
  <c r="F193" i="23"/>
  <c r="F280" i="23" s="1"/>
  <c r="G193" i="23"/>
  <c r="G280" i="23" s="1"/>
  <c r="B193" i="23"/>
  <c r="B280" i="23" s="1"/>
  <c r="J193" i="23"/>
  <c r="J280" i="23" s="1"/>
  <c r="E176" i="28" l="1"/>
  <c r="E294" i="28" s="1"/>
  <c r="E266" i="28"/>
  <c r="B176" i="28"/>
  <c r="B294" i="28" s="1"/>
  <c r="B266" i="28"/>
  <c r="D176" i="28"/>
  <c r="D294" i="28" s="1"/>
  <c r="D266" i="28"/>
  <c r="F176" i="28"/>
  <c r="F294" i="28" s="1"/>
  <c r="F266" i="28"/>
  <c r="C176" i="28"/>
  <c r="C294" i="28" s="1"/>
  <c r="C266" i="28"/>
  <c r="H126" i="28"/>
  <c r="H249" i="28"/>
  <c r="M337" i="27"/>
  <c r="M491" i="27" s="1"/>
  <c r="M450" i="27"/>
  <c r="B337" i="27"/>
  <c r="B491" i="27" s="1"/>
  <c r="B450" i="27"/>
  <c r="L337" i="27"/>
  <c r="L491" i="27" s="1"/>
  <c r="L450" i="27"/>
  <c r="E337" i="27"/>
  <c r="E491" i="27" s="1"/>
  <c r="E450" i="27"/>
  <c r="F337" i="27"/>
  <c r="F491" i="27" s="1"/>
  <c r="F450" i="27"/>
  <c r="D337" i="27"/>
  <c r="D491" i="27" s="1"/>
  <c r="D450" i="27"/>
  <c r="N337" i="27"/>
  <c r="N491" i="27" s="1"/>
  <c r="N450" i="27"/>
  <c r="C337" i="27"/>
  <c r="C491" i="27" s="1"/>
  <c r="C450" i="27"/>
  <c r="P241" i="27"/>
  <c r="P428" i="27"/>
  <c r="H241" i="27"/>
  <c r="H428" i="27"/>
  <c r="G337" i="26"/>
  <c r="G493" i="26" s="1"/>
  <c r="G452" i="26"/>
  <c r="F337" i="26"/>
  <c r="F493" i="26" s="1"/>
  <c r="F452" i="26"/>
  <c r="E337" i="26"/>
  <c r="E493" i="26" s="1"/>
  <c r="E452" i="26"/>
  <c r="D337" i="26"/>
  <c r="D493" i="26" s="1"/>
  <c r="D452" i="26"/>
  <c r="B337" i="26"/>
  <c r="B493" i="26" s="1"/>
  <c r="B452" i="26"/>
  <c r="C337" i="26"/>
  <c r="C493" i="26" s="1"/>
  <c r="C452" i="26"/>
  <c r="H241" i="26"/>
  <c r="H433" i="26"/>
  <c r="X239" i="25"/>
  <c r="L239" i="25"/>
  <c r="L243" i="24"/>
  <c r="H176" i="28" l="1"/>
  <c r="H294" i="28" s="1"/>
  <c r="H266" i="28"/>
  <c r="P337" i="27"/>
  <c r="P491" i="27" s="1"/>
  <c r="P450" i="27"/>
  <c r="H337" i="27"/>
  <c r="H491" i="27" s="1"/>
  <c r="H450" i="27"/>
  <c r="H452" i="26"/>
  <c r="K252" i="22" l="1"/>
  <c r="J252" i="22"/>
  <c r="B252" i="22"/>
  <c r="K262" i="22"/>
  <c r="J262" i="22"/>
  <c r="B262" i="22"/>
  <c r="I139" i="22"/>
  <c r="I262" i="22" s="1"/>
  <c r="H139" i="22"/>
  <c r="H262" i="22" s="1"/>
  <c r="G139" i="22"/>
  <c r="G262" i="22" s="1"/>
  <c r="F139" i="22"/>
  <c r="F262" i="22" s="1"/>
  <c r="E139" i="22"/>
  <c r="D139" i="22"/>
  <c r="C139" i="22"/>
  <c r="C262" i="22" s="1"/>
  <c r="K93" i="22"/>
  <c r="J93" i="22"/>
  <c r="I93" i="22"/>
  <c r="H93" i="22"/>
  <c r="G93" i="22"/>
  <c r="F93" i="22"/>
  <c r="E93" i="22"/>
  <c r="D93" i="22"/>
  <c r="C93" i="22"/>
  <c r="B93" i="22"/>
  <c r="K47" i="22"/>
  <c r="J47" i="22"/>
  <c r="I47" i="22"/>
  <c r="H47" i="22"/>
  <c r="G47" i="22"/>
  <c r="F47" i="22"/>
  <c r="E47" i="22"/>
  <c r="D47" i="22"/>
  <c r="C47" i="22"/>
  <c r="B47" i="22"/>
  <c r="E74" i="13"/>
  <c r="E75" i="13"/>
  <c r="E76" i="13"/>
  <c r="E77" i="13"/>
  <c r="E78" i="13"/>
  <c r="E79" i="13"/>
  <c r="E80" i="13"/>
  <c r="E81" i="13"/>
  <c r="E82" i="13"/>
  <c r="E83" i="13"/>
  <c r="E73" i="13"/>
  <c r="D74" i="13"/>
  <c r="D75" i="13"/>
  <c r="D76" i="13"/>
  <c r="D77" i="13"/>
  <c r="D78" i="13"/>
  <c r="D79" i="13"/>
  <c r="D80" i="13"/>
  <c r="D81" i="13"/>
  <c r="D82" i="13"/>
  <c r="D83" i="13"/>
  <c r="D73" i="13"/>
  <c r="C74" i="13"/>
  <c r="C75" i="13"/>
  <c r="C76" i="13"/>
  <c r="C77" i="13"/>
  <c r="C78" i="13"/>
  <c r="C79" i="13"/>
  <c r="C80" i="13"/>
  <c r="C81" i="13"/>
  <c r="C82" i="13"/>
  <c r="C83" i="13"/>
  <c r="C73" i="13"/>
  <c r="B74" i="13"/>
  <c r="B75" i="13"/>
  <c r="B76" i="13"/>
  <c r="B77" i="13"/>
  <c r="B78" i="13"/>
  <c r="B79" i="13"/>
  <c r="B80" i="13"/>
  <c r="B81" i="13"/>
  <c r="B82" i="13"/>
  <c r="B83" i="13"/>
  <c r="B73" i="13"/>
  <c r="P260" i="32"/>
  <c r="E32" i="13"/>
  <c r="E33" i="13"/>
  <c r="E34" i="13"/>
  <c r="E35" i="13"/>
  <c r="E36" i="13"/>
  <c r="E37" i="13"/>
  <c r="E38" i="13"/>
  <c r="E39" i="13"/>
  <c r="E40" i="13"/>
  <c r="E31" i="13"/>
  <c r="D32" i="13"/>
  <c r="D33" i="13"/>
  <c r="D34" i="13"/>
  <c r="D35" i="13"/>
  <c r="D36" i="13"/>
  <c r="D37" i="13"/>
  <c r="D38" i="13"/>
  <c r="D39" i="13"/>
  <c r="D40" i="13"/>
  <c r="D31" i="13"/>
  <c r="C32" i="13"/>
  <c r="C33" i="13"/>
  <c r="C34" i="13"/>
  <c r="C35" i="13"/>
  <c r="C36" i="13"/>
  <c r="C37" i="13"/>
  <c r="C38" i="13"/>
  <c r="C39" i="13"/>
  <c r="C40" i="13"/>
  <c r="C31" i="13"/>
  <c r="B32" i="13"/>
  <c r="B33" i="13"/>
  <c r="B34" i="13"/>
  <c r="B35" i="13"/>
  <c r="B36" i="13"/>
  <c r="B37" i="13"/>
  <c r="B38" i="13"/>
  <c r="B39" i="13"/>
  <c r="B40" i="13"/>
  <c r="B31" i="13"/>
  <c r="F13" i="13"/>
  <c r="F14" i="13"/>
  <c r="F15" i="13"/>
  <c r="F16" i="13"/>
  <c r="F17" i="13"/>
  <c r="F18" i="13"/>
  <c r="F19" i="13"/>
  <c r="F20" i="13"/>
  <c r="F21" i="13"/>
  <c r="F12" i="13"/>
  <c r="F7" i="13"/>
  <c r="F8" i="13"/>
  <c r="F9" i="13"/>
  <c r="F10" i="13"/>
  <c r="F11" i="13"/>
  <c r="B13" i="13"/>
  <c r="C13" i="13"/>
  <c r="D13" i="13"/>
  <c r="E13" i="13"/>
  <c r="B14" i="13"/>
  <c r="C14" i="13"/>
  <c r="D14" i="13"/>
  <c r="E14" i="13"/>
  <c r="B15" i="13"/>
  <c r="C15" i="13"/>
  <c r="D15" i="13"/>
  <c r="E15" i="13"/>
  <c r="B16" i="13"/>
  <c r="C16" i="13"/>
  <c r="D16" i="13"/>
  <c r="E16" i="13"/>
  <c r="B17" i="13"/>
  <c r="C17" i="13"/>
  <c r="D17" i="13"/>
  <c r="E17" i="13"/>
  <c r="B18" i="13"/>
  <c r="C18" i="13"/>
  <c r="D18" i="13"/>
  <c r="E18" i="13"/>
  <c r="B19" i="13"/>
  <c r="C19" i="13"/>
  <c r="D19" i="13"/>
  <c r="E19" i="13"/>
  <c r="B20" i="13"/>
  <c r="C20" i="13"/>
  <c r="D20" i="13"/>
  <c r="E20" i="13"/>
  <c r="B21" i="13"/>
  <c r="C21" i="13"/>
  <c r="D21" i="13"/>
  <c r="E21" i="13"/>
  <c r="D12" i="13"/>
  <c r="C12" i="13"/>
  <c r="B12" i="13"/>
  <c r="B7" i="13"/>
  <c r="C7" i="13"/>
  <c r="D7" i="13"/>
  <c r="E7" i="13"/>
  <c r="B8" i="13"/>
  <c r="C8" i="13"/>
  <c r="D8" i="13"/>
  <c r="E8" i="13"/>
  <c r="B9" i="13"/>
  <c r="C9" i="13"/>
  <c r="D9" i="13"/>
  <c r="E9" i="13"/>
  <c r="B10" i="13"/>
  <c r="C10" i="13"/>
  <c r="D10" i="13"/>
  <c r="E10" i="13"/>
  <c r="B11" i="13"/>
  <c r="C11" i="13"/>
  <c r="D11" i="13"/>
  <c r="E11" i="13"/>
  <c r="D6" i="13"/>
  <c r="B6" i="13"/>
  <c r="G11" i="13"/>
  <c r="F82" i="13"/>
  <c r="J82" i="13" s="1"/>
  <c r="C63" i="13"/>
  <c r="D63" i="13"/>
  <c r="E63" i="13"/>
  <c r="F40" i="13"/>
  <c r="J40" i="13" s="1"/>
  <c r="J21" i="13"/>
  <c r="H192" i="21"/>
  <c r="C192" i="21"/>
  <c r="B192" i="21"/>
  <c r="H191" i="21"/>
  <c r="B191" i="21"/>
  <c r="C191" i="21"/>
  <c r="D191" i="21"/>
  <c r="E191" i="21"/>
  <c r="F191" i="21"/>
  <c r="G191" i="21"/>
  <c r="D192" i="21"/>
  <c r="E192" i="21"/>
  <c r="F192" i="21"/>
  <c r="G192" i="21"/>
  <c r="D190" i="21"/>
  <c r="E190" i="21"/>
  <c r="F190" i="21"/>
  <c r="G190" i="21"/>
  <c r="H190" i="21"/>
  <c r="B190" i="21"/>
  <c r="C190" i="21"/>
  <c r="H176" i="21"/>
  <c r="C176" i="21"/>
  <c r="B176" i="21"/>
  <c r="D176" i="21"/>
  <c r="E176" i="21"/>
  <c r="F176" i="21"/>
  <c r="G176" i="21"/>
  <c r="H175" i="21"/>
  <c r="B175" i="21"/>
  <c r="C175" i="21"/>
  <c r="D175" i="21"/>
  <c r="E175" i="21"/>
  <c r="F175" i="21"/>
  <c r="G175" i="21"/>
  <c r="D174" i="21"/>
  <c r="E174" i="21"/>
  <c r="G174" i="21"/>
  <c r="H174" i="21"/>
  <c r="B174" i="21"/>
  <c r="C174" i="21"/>
  <c r="C163" i="21"/>
  <c r="B163" i="21"/>
  <c r="D163" i="21"/>
  <c r="E163" i="21"/>
  <c r="F163" i="21"/>
  <c r="G163" i="21"/>
  <c r="H163" i="21"/>
  <c r="H162" i="21"/>
  <c r="B162" i="21"/>
  <c r="C162" i="21"/>
  <c r="D162" i="21"/>
  <c r="E162" i="21"/>
  <c r="F162" i="21"/>
  <c r="G162" i="21"/>
  <c r="D161" i="21"/>
  <c r="E161" i="21"/>
  <c r="F161" i="21"/>
  <c r="G161" i="21"/>
  <c r="H161" i="21"/>
  <c r="B161" i="21"/>
  <c r="C161" i="21"/>
  <c r="D150" i="21"/>
  <c r="D205" i="21" s="1"/>
  <c r="H150" i="21"/>
  <c r="H205" i="21" s="1"/>
  <c r="C150" i="21"/>
  <c r="C205" i="21" s="1"/>
  <c r="B150" i="21"/>
  <c r="B205" i="21" s="1"/>
  <c r="E150" i="21"/>
  <c r="E205" i="21" s="1"/>
  <c r="F150" i="21"/>
  <c r="F205" i="21" s="1"/>
  <c r="G150" i="21"/>
  <c r="G205" i="21" s="1"/>
  <c r="H149" i="21"/>
  <c r="H204" i="21" s="1"/>
  <c r="D149" i="21"/>
  <c r="D204" i="21" s="1"/>
  <c r="E149" i="21"/>
  <c r="E204" i="21" s="1"/>
  <c r="F149" i="21"/>
  <c r="F204" i="21" s="1"/>
  <c r="G149" i="21"/>
  <c r="G204" i="21" s="1"/>
  <c r="C149" i="21"/>
  <c r="C204" i="21" s="1"/>
  <c r="B149" i="21"/>
  <c r="B204" i="21" s="1"/>
  <c r="C148" i="21"/>
  <c r="C203" i="21" s="1"/>
  <c r="D148" i="21"/>
  <c r="D203" i="21" s="1"/>
  <c r="E148" i="21"/>
  <c r="E203" i="21" s="1"/>
  <c r="G148" i="21"/>
  <c r="G203" i="21" s="1"/>
  <c r="H148" i="21"/>
  <c r="H203" i="21" s="1"/>
  <c r="B148" i="21"/>
  <c r="B203" i="21" s="1"/>
  <c r="H199" i="21"/>
  <c r="G199" i="21"/>
  <c r="F199" i="21"/>
  <c r="E199" i="21"/>
  <c r="D199" i="21"/>
  <c r="C199" i="21"/>
  <c r="B199" i="21"/>
  <c r="H183" i="21"/>
  <c r="G183" i="21"/>
  <c r="F183" i="21"/>
  <c r="E183" i="21"/>
  <c r="D183" i="21"/>
  <c r="C183" i="21"/>
  <c r="B183" i="21"/>
  <c r="H170" i="21"/>
  <c r="G170" i="21"/>
  <c r="F170" i="21"/>
  <c r="E170" i="21"/>
  <c r="D170" i="21"/>
  <c r="C170" i="21"/>
  <c r="B170" i="21"/>
  <c r="H157" i="21"/>
  <c r="G157" i="21"/>
  <c r="F157" i="21"/>
  <c r="E157" i="21"/>
  <c r="D157" i="21"/>
  <c r="C157" i="21"/>
  <c r="B157" i="21"/>
  <c r="H126" i="21"/>
  <c r="G126" i="21"/>
  <c r="F126" i="21"/>
  <c r="E126" i="21"/>
  <c r="D126" i="21"/>
  <c r="C126" i="21"/>
  <c r="B126" i="21"/>
  <c r="I101" i="21"/>
  <c r="I199" i="21" s="1"/>
  <c r="I76" i="21"/>
  <c r="I183" i="21" s="1"/>
  <c r="I51" i="21"/>
  <c r="I170" i="21" s="1"/>
  <c r="I26" i="21"/>
  <c r="I157" i="21" s="1"/>
  <c r="P330" i="20"/>
  <c r="O330" i="20"/>
  <c r="N330" i="20"/>
  <c r="M330" i="20"/>
  <c r="E330" i="20"/>
  <c r="F330" i="20"/>
  <c r="G330" i="20"/>
  <c r="D330" i="20"/>
  <c r="Q330" i="20"/>
  <c r="L330" i="20"/>
  <c r="K330" i="20"/>
  <c r="H330" i="20"/>
  <c r="C330" i="20"/>
  <c r="B330" i="20"/>
  <c r="P311" i="20"/>
  <c r="O311" i="20"/>
  <c r="N311" i="20"/>
  <c r="M311" i="20"/>
  <c r="H311" i="20"/>
  <c r="E311" i="20"/>
  <c r="F311" i="20"/>
  <c r="G311" i="20"/>
  <c r="D311" i="20"/>
  <c r="P310" i="20"/>
  <c r="O310" i="20"/>
  <c r="N310" i="20"/>
  <c r="M310" i="20"/>
  <c r="L310" i="20"/>
  <c r="D310" i="20"/>
  <c r="E310" i="20"/>
  <c r="F310" i="20"/>
  <c r="G310" i="20"/>
  <c r="C310" i="20"/>
  <c r="Q311" i="20"/>
  <c r="L311" i="20"/>
  <c r="K311" i="20"/>
  <c r="C311" i="20"/>
  <c r="B311" i="20"/>
  <c r="Q289" i="20"/>
  <c r="P289" i="20"/>
  <c r="O289" i="20"/>
  <c r="N289" i="20"/>
  <c r="M289" i="20"/>
  <c r="E289" i="20"/>
  <c r="F289" i="20"/>
  <c r="G289" i="20"/>
  <c r="H289" i="20"/>
  <c r="D289" i="20"/>
  <c r="L289" i="20"/>
  <c r="K289" i="20"/>
  <c r="C289" i="20"/>
  <c r="B289" i="20"/>
  <c r="P270" i="20"/>
  <c r="O270" i="20"/>
  <c r="N270" i="20"/>
  <c r="M270" i="20"/>
  <c r="E270" i="20"/>
  <c r="F270" i="20"/>
  <c r="G270" i="20"/>
  <c r="D270" i="20"/>
  <c r="Q270" i="20"/>
  <c r="L270" i="20"/>
  <c r="K270" i="20"/>
  <c r="H270" i="20"/>
  <c r="C270" i="20"/>
  <c r="B270" i="20"/>
  <c r="A367" i="20"/>
  <c r="Q340" i="20"/>
  <c r="P340" i="20"/>
  <c r="O340" i="20"/>
  <c r="N340" i="20"/>
  <c r="M340" i="20"/>
  <c r="L340" i="20"/>
  <c r="K340" i="20"/>
  <c r="H340" i="20"/>
  <c r="G340" i="20"/>
  <c r="F340" i="20"/>
  <c r="E340" i="20"/>
  <c r="D340" i="20"/>
  <c r="C340" i="20"/>
  <c r="B340" i="20"/>
  <c r="Q321" i="20"/>
  <c r="P321" i="20"/>
  <c r="O321" i="20"/>
  <c r="N321" i="20"/>
  <c r="M321" i="20"/>
  <c r="L321" i="20"/>
  <c r="K321" i="20"/>
  <c r="H321" i="20"/>
  <c r="G321" i="20"/>
  <c r="F321" i="20"/>
  <c r="E321" i="20"/>
  <c r="D321" i="20"/>
  <c r="C321" i="20"/>
  <c r="B321" i="20"/>
  <c r="Q299" i="20"/>
  <c r="P299" i="20"/>
  <c r="O299" i="20"/>
  <c r="N299" i="20"/>
  <c r="M299" i="20"/>
  <c r="L299" i="20"/>
  <c r="K299" i="20"/>
  <c r="H299" i="20"/>
  <c r="G299" i="20"/>
  <c r="F299" i="20"/>
  <c r="E299" i="20"/>
  <c r="D299" i="20"/>
  <c r="C299" i="20"/>
  <c r="B299" i="20"/>
  <c r="Q280" i="20"/>
  <c r="P280" i="20"/>
  <c r="O280" i="20"/>
  <c r="N280" i="20"/>
  <c r="M280" i="20"/>
  <c r="L280" i="20"/>
  <c r="K280" i="20"/>
  <c r="H280" i="20"/>
  <c r="G280" i="20"/>
  <c r="F280" i="20"/>
  <c r="E280" i="20"/>
  <c r="D280" i="20"/>
  <c r="C280" i="20"/>
  <c r="B280" i="20"/>
  <c r="Q241" i="20"/>
  <c r="Q362" i="20" s="1"/>
  <c r="P241" i="20"/>
  <c r="P362" i="20" s="1"/>
  <c r="O241" i="20"/>
  <c r="O362" i="20" s="1"/>
  <c r="N241" i="20"/>
  <c r="N362" i="20" s="1"/>
  <c r="M241" i="20"/>
  <c r="M362" i="20" s="1"/>
  <c r="L241" i="20"/>
  <c r="L362" i="20" s="1"/>
  <c r="K241" i="20"/>
  <c r="K362" i="20" s="1"/>
  <c r="H241" i="20"/>
  <c r="H362" i="20" s="1"/>
  <c r="G241" i="20"/>
  <c r="G362" i="20" s="1"/>
  <c r="F241" i="20"/>
  <c r="F362" i="20" s="1"/>
  <c r="E241" i="20"/>
  <c r="E362" i="20" s="1"/>
  <c r="D241" i="20"/>
  <c r="D362" i="20" s="1"/>
  <c r="C241" i="20"/>
  <c r="C362" i="20" s="1"/>
  <c r="B241" i="20"/>
  <c r="B362" i="20" s="1"/>
  <c r="T193" i="20"/>
  <c r="R193" i="20"/>
  <c r="R340" i="20" s="1"/>
  <c r="I193" i="20"/>
  <c r="I340" i="20" s="1"/>
  <c r="T145" i="20"/>
  <c r="R145" i="20"/>
  <c r="R321" i="20" s="1"/>
  <c r="I145" i="20"/>
  <c r="I321" i="20" s="1"/>
  <c r="R97" i="20"/>
  <c r="R299" i="20" s="1"/>
  <c r="I97" i="20"/>
  <c r="I299" i="20" s="1"/>
  <c r="R49" i="20"/>
  <c r="R280" i="20" s="1"/>
  <c r="I49" i="20"/>
  <c r="I280" i="20" s="1"/>
  <c r="E330" i="19"/>
  <c r="F330" i="19"/>
  <c r="G330" i="19"/>
  <c r="D330" i="19"/>
  <c r="H330" i="19"/>
  <c r="C330" i="19"/>
  <c r="B330" i="19"/>
  <c r="E311" i="19"/>
  <c r="F311" i="19"/>
  <c r="G311" i="19"/>
  <c r="D311" i="19"/>
  <c r="H311" i="19"/>
  <c r="C311" i="19"/>
  <c r="B311" i="19"/>
  <c r="E289" i="19"/>
  <c r="F289" i="19"/>
  <c r="G289" i="19"/>
  <c r="H289" i="19"/>
  <c r="D289" i="19"/>
  <c r="B289" i="19"/>
  <c r="C289" i="19"/>
  <c r="E270" i="19"/>
  <c r="F270" i="19"/>
  <c r="G270" i="19"/>
  <c r="D270" i="19"/>
  <c r="H270" i="19"/>
  <c r="C270" i="19"/>
  <c r="B270" i="19"/>
  <c r="H340" i="19"/>
  <c r="G340" i="19"/>
  <c r="F340" i="19"/>
  <c r="E340" i="19"/>
  <c r="D340" i="19"/>
  <c r="C340" i="19"/>
  <c r="B340" i="19"/>
  <c r="H321" i="19"/>
  <c r="G321" i="19"/>
  <c r="F321" i="19"/>
  <c r="E321" i="19"/>
  <c r="D321" i="19"/>
  <c r="C321" i="19"/>
  <c r="B321" i="19"/>
  <c r="H299" i="19"/>
  <c r="G299" i="19"/>
  <c r="F299" i="19"/>
  <c r="E299" i="19"/>
  <c r="D299" i="19"/>
  <c r="C299" i="19"/>
  <c r="B299" i="19"/>
  <c r="H280" i="19"/>
  <c r="G280" i="19"/>
  <c r="F280" i="19"/>
  <c r="E280" i="19"/>
  <c r="D280" i="19"/>
  <c r="C280" i="19"/>
  <c r="B280" i="19"/>
  <c r="H240" i="19"/>
  <c r="H361" i="19" s="1"/>
  <c r="G240" i="19"/>
  <c r="G361" i="19" s="1"/>
  <c r="F240" i="19"/>
  <c r="F361" i="19" s="1"/>
  <c r="E240" i="19"/>
  <c r="E361" i="19" s="1"/>
  <c r="D240" i="19"/>
  <c r="D361" i="19" s="1"/>
  <c r="C240" i="19"/>
  <c r="C361" i="19" s="1"/>
  <c r="B240" i="19"/>
  <c r="B361" i="19" s="1"/>
  <c r="I192" i="19"/>
  <c r="I340" i="19" s="1"/>
  <c r="I144" i="19"/>
  <c r="I321" i="19" s="1"/>
  <c r="I96" i="19"/>
  <c r="I299" i="19" s="1"/>
  <c r="I48" i="19"/>
  <c r="I280" i="19" s="1"/>
  <c r="B216" i="18"/>
  <c r="C216" i="18"/>
  <c r="D216" i="18"/>
  <c r="E216" i="18"/>
  <c r="F216" i="18"/>
  <c r="G216" i="18"/>
  <c r="H216" i="18"/>
  <c r="I216" i="18"/>
  <c r="B195" i="18"/>
  <c r="C195" i="18"/>
  <c r="D195" i="18"/>
  <c r="E195" i="18"/>
  <c r="F195" i="18"/>
  <c r="G195" i="18"/>
  <c r="H195" i="18"/>
  <c r="I195" i="18"/>
  <c r="B178" i="18"/>
  <c r="C178" i="18"/>
  <c r="D178" i="18"/>
  <c r="E178" i="18"/>
  <c r="F178" i="18"/>
  <c r="G178" i="18"/>
  <c r="H178" i="18"/>
  <c r="I178" i="18"/>
  <c r="H152" i="18"/>
  <c r="H153" i="18"/>
  <c r="H154" i="18"/>
  <c r="H155" i="18"/>
  <c r="H156" i="18"/>
  <c r="H157" i="18"/>
  <c r="H158" i="18"/>
  <c r="H159" i="18"/>
  <c r="H160" i="18"/>
  <c r="H161" i="18"/>
  <c r="B161" i="18"/>
  <c r="C161" i="18"/>
  <c r="D161" i="18"/>
  <c r="E161" i="18"/>
  <c r="F161" i="18"/>
  <c r="G161" i="18"/>
  <c r="I161" i="18"/>
  <c r="J161" i="18"/>
  <c r="K161" i="18"/>
  <c r="B129" i="18"/>
  <c r="B233" i="18" s="1"/>
  <c r="C129" i="18"/>
  <c r="C233" i="18" s="1"/>
  <c r="D129" i="18"/>
  <c r="D233" i="18" s="1"/>
  <c r="E129" i="18"/>
  <c r="E233" i="18" s="1"/>
  <c r="F129" i="18"/>
  <c r="F233" i="18" s="1"/>
  <c r="G129" i="18"/>
  <c r="G233" i="18" s="1"/>
  <c r="H129" i="18"/>
  <c r="H233" i="18" s="1"/>
  <c r="I129" i="18"/>
  <c r="I233" i="18" s="1"/>
  <c r="K104" i="18"/>
  <c r="K216" i="18" s="1"/>
  <c r="J104" i="18"/>
  <c r="J216" i="18" s="1"/>
  <c r="K79" i="18"/>
  <c r="K195" i="18" s="1"/>
  <c r="J79" i="18"/>
  <c r="J195" i="18" s="1"/>
  <c r="K53" i="18"/>
  <c r="K178" i="18" s="1"/>
  <c r="J53" i="18"/>
  <c r="J178" i="18" s="1"/>
  <c r="A235" i="18"/>
  <c r="K27" i="18"/>
  <c r="J27" i="18"/>
  <c r="T333" i="17"/>
  <c r="S333" i="17"/>
  <c r="I333" i="17"/>
  <c r="H333" i="17"/>
  <c r="R333" i="17"/>
  <c r="Q333" i="17"/>
  <c r="P333" i="17"/>
  <c r="O333" i="17"/>
  <c r="N333" i="17"/>
  <c r="M333" i="17"/>
  <c r="C333" i="17"/>
  <c r="D333" i="17"/>
  <c r="E333" i="17"/>
  <c r="F333" i="17"/>
  <c r="G333" i="17"/>
  <c r="B333" i="17"/>
  <c r="T314" i="17"/>
  <c r="S314" i="17"/>
  <c r="R314" i="17"/>
  <c r="Q314" i="17"/>
  <c r="P314" i="17"/>
  <c r="O314" i="17"/>
  <c r="N314" i="17"/>
  <c r="M314" i="17"/>
  <c r="I314" i="17"/>
  <c r="C314" i="17"/>
  <c r="D314" i="17"/>
  <c r="E314" i="17"/>
  <c r="F314" i="17"/>
  <c r="G314" i="17"/>
  <c r="H314" i="17"/>
  <c r="B314" i="17"/>
  <c r="S291" i="17"/>
  <c r="T291" i="17"/>
  <c r="R291" i="17"/>
  <c r="Q291" i="17"/>
  <c r="P291" i="17"/>
  <c r="O291" i="17"/>
  <c r="N291" i="17"/>
  <c r="M291" i="17"/>
  <c r="I291" i="17"/>
  <c r="H291" i="17"/>
  <c r="C291" i="17"/>
  <c r="D291" i="17"/>
  <c r="E291" i="17"/>
  <c r="F291" i="17"/>
  <c r="G291" i="17"/>
  <c r="B291" i="17"/>
  <c r="T272" i="17"/>
  <c r="R272" i="17"/>
  <c r="Q272" i="17"/>
  <c r="P272" i="17"/>
  <c r="O272" i="17"/>
  <c r="N272" i="17"/>
  <c r="M272" i="17"/>
  <c r="S272" i="17"/>
  <c r="I272" i="17"/>
  <c r="C272" i="17"/>
  <c r="D272" i="17"/>
  <c r="E272" i="17"/>
  <c r="F272" i="17"/>
  <c r="G272" i="17"/>
  <c r="B272" i="17"/>
  <c r="H272" i="17"/>
  <c r="H52" i="28" l="1"/>
  <c r="H152" i="28" s="1"/>
  <c r="K129" i="18"/>
  <c r="K233" i="18" s="1"/>
  <c r="J129" i="18"/>
  <c r="J233" i="18" s="1"/>
  <c r="E185" i="22"/>
  <c r="E281" i="22" s="1"/>
  <c r="F185" i="22"/>
  <c r="F281" i="22" s="1"/>
  <c r="G185" i="22"/>
  <c r="G281" i="22" s="1"/>
  <c r="B185" i="22"/>
  <c r="B281" i="22" s="1"/>
  <c r="J185" i="22"/>
  <c r="J281" i="22" s="1"/>
  <c r="H185" i="22"/>
  <c r="H281" i="22" s="1"/>
  <c r="K185" i="22"/>
  <c r="K281" i="22" s="1"/>
  <c r="I185" i="22"/>
  <c r="I281" i="22" s="1"/>
  <c r="D185" i="22"/>
  <c r="L139" i="22"/>
  <c r="C185" i="22"/>
  <c r="C281" i="22" s="1"/>
  <c r="J11" i="13"/>
  <c r="B212" i="21"/>
  <c r="D212" i="21"/>
  <c r="I212" i="21"/>
  <c r="F212" i="21"/>
  <c r="C212" i="21"/>
  <c r="E212" i="21"/>
  <c r="G212" i="21"/>
  <c r="H212" i="21"/>
  <c r="I126" i="21"/>
  <c r="R241" i="20"/>
  <c r="R362" i="20" s="1"/>
  <c r="I241" i="20"/>
  <c r="I362" i="20" s="1"/>
  <c r="I240" i="19"/>
  <c r="I361" i="19" s="1"/>
  <c r="L262" i="22" l="1"/>
  <c r="T343" i="17" l="1"/>
  <c r="S343" i="17"/>
  <c r="R343" i="17"/>
  <c r="Q343" i="17"/>
  <c r="P343" i="17"/>
  <c r="O343" i="17"/>
  <c r="N343" i="17"/>
  <c r="M343" i="17"/>
  <c r="I343" i="17"/>
  <c r="H343" i="17"/>
  <c r="G343" i="17"/>
  <c r="F343" i="17"/>
  <c r="E343" i="17"/>
  <c r="D343" i="17"/>
  <c r="C343" i="17"/>
  <c r="B343" i="17"/>
  <c r="T324" i="17"/>
  <c r="S324" i="17"/>
  <c r="R324" i="17"/>
  <c r="Q324" i="17"/>
  <c r="P324" i="17"/>
  <c r="O324" i="17"/>
  <c r="N324" i="17"/>
  <c r="M324" i="17"/>
  <c r="I324" i="17"/>
  <c r="H324" i="17"/>
  <c r="G324" i="17"/>
  <c r="F324" i="17"/>
  <c r="E324" i="17"/>
  <c r="D324" i="17"/>
  <c r="C324" i="17"/>
  <c r="B324" i="17"/>
  <c r="T301" i="17"/>
  <c r="S301" i="17"/>
  <c r="R301" i="17"/>
  <c r="Q301" i="17"/>
  <c r="P301" i="17"/>
  <c r="O301" i="17"/>
  <c r="N301" i="17"/>
  <c r="M301" i="17"/>
  <c r="I301" i="17"/>
  <c r="H301" i="17"/>
  <c r="G301" i="17"/>
  <c r="F301" i="17"/>
  <c r="E301" i="17"/>
  <c r="D301" i="17"/>
  <c r="C301" i="17"/>
  <c r="B301" i="17"/>
  <c r="T282" i="17"/>
  <c r="S282" i="17"/>
  <c r="R282" i="17"/>
  <c r="Q282" i="17"/>
  <c r="P282" i="17"/>
  <c r="O282" i="17"/>
  <c r="N282" i="17"/>
  <c r="M282" i="17"/>
  <c r="I282" i="17"/>
  <c r="H282" i="17"/>
  <c r="G282" i="17"/>
  <c r="F282" i="17"/>
  <c r="E282" i="17"/>
  <c r="D282" i="17"/>
  <c r="C282" i="17"/>
  <c r="B282" i="17"/>
  <c r="T242" i="17"/>
  <c r="T366" i="17" s="1"/>
  <c r="S242" i="17"/>
  <c r="S366" i="17" s="1"/>
  <c r="R242" i="17"/>
  <c r="R366" i="17" s="1"/>
  <c r="Q242" i="17"/>
  <c r="Q366" i="17" s="1"/>
  <c r="P242" i="17"/>
  <c r="P366" i="17" s="1"/>
  <c r="O242" i="17"/>
  <c r="O366" i="17" s="1"/>
  <c r="N242" i="17"/>
  <c r="N366" i="17" s="1"/>
  <c r="M242" i="17"/>
  <c r="M366" i="17" s="1"/>
  <c r="I242" i="17"/>
  <c r="I366" i="17" s="1"/>
  <c r="H242" i="17"/>
  <c r="H366" i="17" s="1"/>
  <c r="G242" i="17"/>
  <c r="G366" i="17" s="1"/>
  <c r="F242" i="17"/>
  <c r="F366" i="17" s="1"/>
  <c r="E242" i="17"/>
  <c r="E366" i="17" s="1"/>
  <c r="D242" i="17"/>
  <c r="D366" i="17" s="1"/>
  <c r="C242" i="17"/>
  <c r="C366" i="17" s="1"/>
  <c r="B242" i="17"/>
  <c r="B366" i="17" s="1"/>
  <c r="V194" i="17"/>
  <c r="V343" i="17" s="1"/>
  <c r="U194" i="17"/>
  <c r="U343" i="17" s="1"/>
  <c r="K194" i="17"/>
  <c r="K343" i="17" s="1"/>
  <c r="J194" i="17"/>
  <c r="J343" i="17" s="1"/>
  <c r="V146" i="17"/>
  <c r="V324" i="17" s="1"/>
  <c r="U146" i="17"/>
  <c r="U324" i="17" s="1"/>
  <c r="K146" i="17"/>
  <c r="K324" i="17" s="1"/>
  <c r="J146" i="17"/>
  <c r="J324" i="17" s="1"/>
  <c r="V98" i="17"/>
  <c r="V301" i="17" s="1"/>
  <c r="U98" i="17"/>
  <c r="U301" i="17" s="1"/>
  <c r="K98" i="17"/>
  <c r="K301" i="17" s="1"/>
  <c r="J98" i="17"/>
  <c r="J301" i="17" s="1"/>
  <c r="V50" i="17"/>
  <c r="V282" i="17" s="1"/>
  <c r="U50" i="17"/>
  <c r="U282" i="17" s="1"/>
  <c r="K50" i="17"/>
  <c r="K282" i="17" s="1"/>
  <c r="J50" i="17"/>
  <c r="J282" i="17" s="1"/>
  <c r="C331" i="16"/>
  <c r="D331" i="16"/>
  <c r="E331" i="16"/>
  <c r="F331" i="16"/>
  <c r="G331" i="16"/>
  <c r="B331" i="16"/>
  <c r="I331" i="16"/>
  <c r="H331" i="16"/>
  <c r="C309" i="16"/>
  <c r="D309" i="16"/>
  <c r="E309" i="16"/>
  <c r="F309" i="16"/>
  <c r="G309" i="16"/>
  <c r="H309" i="16"/>
  <c r="B309" i="16"/>
  <c r="I309" i="16"/>
  <c r="I290" i="16"/>
  <c r="C290" i="16"/>
  <c r="D290" i="16"/>
  <c r="E290" i="16"/>
  <c r="F290" i="16"/>
  <c r="G290" i="16"/>
  <c r="B290" i="16"/>
  <c r="H290" i="16"/>
  <c r="I271" i="16"/>
  <c r="H271" i="16"/>
  <c r="C271" i="16"/>
  <c r="D271" i="16"/>
  <c r="E271" i="16"/>
  <c r="F271" i="16"/>
  <c r="G271" i="16"/>
  <c r="B271" i="16"/>
  <c r="I341" i="16"/>
  <c r="H341" i="16"/>
  <c r="G341" i="16"/>
  <c r="F341" i="16"/>
  <c r="E341" i="16"/>
  <c r="D341" i="16"/>
  <c r="C341" i="16"/>
  <c r="B341" i="16"/>
  <c r="I319" i="16"/>
  <c r="H319" i="16"/>
  <c r="G319" i="16"/>
  <c r="F319" i="16"/>
  <c r="E319" i="16"/>
  <c r="D319" i="16"/>
  <c r="C319" i="16"/>
  <c r="B319" i="16"/>
  <c r="K300" i="16"/>
  <c r="J300" i="16"/>
  <c r="I300" i="16"/>
  <c r="H300" i="16"/>
  <c r="G300" i="16"/>
  <c r="F300" i="16"/>
  <c r="E300" i="16"/>
  <c r="D300" i="16"/>
  <c r="C300" i="16"/>
  <c r="B300" i="16"/>
  <c r="K281" i="16"/>
  <c r="J281" i="16"/>
  <c r="I281" i="16"/>
  <c r="H281" i="16"/>
  <c r="G281" i="16"/>
  <c r="F281" i="16"/>
  <c r="E281" i="16"/>
  <c r="D281" i="16"/>
  <c r="C281" i="16"/>
  <c r="B281" i="16"/>
  <c r="I241" i="16"/>
  <c r="I360" i="16" s="1"/>
  <c r="H241" i="16"/>
  <c r="H360" i="16" s="1"/>
  <c r="G241" i="16"/>
  <c r="G360" i="16" s="1"/>
  <c r="F241" i="16"/>
  <c r="F360" i="16" s="1"/>
  <c r="E241" i="16"/>
  <c r="E360" i="16" s="1"/>
  <c r="D241" i="16"/>
  <c r="D360" i="16" s="1"/>
  <c r="C241" i="16"/>
  <c r="C360" i="16" s="1"/>
  <c r="B241" i="16"/>
  <c r="B360" i="16" s="1"/>
  <c r="K193" i="16"/>
  <c r="J193" i="16"/>
  <c r="J341" i="16" s="1"/>
  <c r="K145" i="16"/>
  <c r="K319" i="16" s="1"/>
  <c r="J145" i="16"/>
  <c r="J319" i="16" s="1"/>
  <c r="T325" i="32"/>
  <c r="S325" i="32"/>
  <c r="R325" i="32"/>
  <c r="Q325" i="32"/>
  <c r="P325" i="32"/>
  <c r="M325" i="32"/>
  <c r="L325" i="32"/>
  <c r="K325" i="32"/>
  <c r="C325" i="32"/>
  <c r="D325" i="32"/>
  <c r="E325" i="32"/>
  <c r="F325" i="32"/>
  <c r="B325" i="32"/>
  <c r="J325" i="32"/>
  <c r="I325" i="32"/>
  <c r="T306" i="32"/>
  <c r="S306" i="32"/>
  <c r="R306" i="32"/>
  <c r="Q306" i="32"/>
  <c r="P306" i="32"/>
  <c r="M306" i="32"/>
  <c r="L306" i="32"/>
  <c r="K306" i="32"/>
  <c r="C306" i="32"/>
  <c r="D306" i="32"/>
  <c r="E306" i="32"/>
  <c r="F306" i="32"/>
  <c r="B306" i="32"/>
  <c r="J306" i="32"/>
  <c r="I306" i="32"/>
  <c r="T284" i="32"/>
  <c r="S284" i="32"/>
  <c r="R284" i="32"/>
  <c r="Q284" i="32"/>
  <c r="P284" i="32"/>
  <c r="M284" i="32"/>
  <c r="L284" i="32"/>
  <c r="K284" i="32"/>
  <c r="C284" i="32"/>
  <c r="D284" i="32"/>
  <c r="E284" i="32"/>
  <c r="F284" i="32"/>
  <c r="B284" i="32"/>
  <c r="J284" i="32"/>
  <c r="I284" i="32"/>
  <c r="T265" i="32"/>
  <c r="S265" i="32"/>
  <c r="R265" i="32"/>
  <c r="Q265" i="32"/>
  <c r="P265" i="32"/>
  <c r="M265" i="32"/>
  <c r="L265" i="32"/>
  <c r="K265" i="32"/>
  <c r="C265" i="32"/>
  <c r="D265" i="32"/>
  <c r="E265" i="32"/>
  <c r="F265" i="32"/>
  <c r="B265" i="32"/>
  <c r="J265" i="32"/>
  <c r="I265" i="32"/>
  <c r="M335" i="32"/>
  <c r="L335" i="32"/>
  <c r="K335" i="32"/>
  <c r="J335" i="32"/>
  <c r="I335" i="32"/>
  <c r="F335" i="32"/>
  <c r="E335" i="32"/>
  <c r="D335" i="32"/>
  <c r="C335" i="32"/>
  <c r="B335" i="32"/>
  <c r="M316" i="32"/>
  <c r="L316" i="32"/>
  <c r="K316" i="32"/>
  <c r="J316" i="32"/>
  <c r="I316" i="32"/>
  <c r="F316" i="32"/>
  <c r="E316" i="32"/>
  <c r="D316" i="32"/>
  <c r="C316" i="32"/>
  <c r="B316" i="32"/>
  <c r="M294" i="32"/>
  <c r="L294" i="32"/>
  <c r="K294" i="32"/>
  <c r="J294" i="32"/>
  <c r="I294" i="32"/>
  <c r="F294" i="32"/>
  <c r="E294" i="32"/>
  <c r="D294" i="32"/>
  <c r="C294" i="32"/>
  <c r="B294" i="32"/>
  <c r="N275" i="32"/>
  <c r="B63" i="13" s="1"/>
  <c r="M275" i="32"/>
  <c r="L275" i="32"/>
  <c r="K275" i="32"/>
  <c r="J275" i="32"/>
  <c r="I275" i="32"/>
  <c r="F275" i="32"/>
  <c r="E275" i="32"/>
  <c r="D275" i="32"/>
  <c r="C275" i="32"/>
  <c r="B275" i="32"/>
  <c r="M242" i="32"/>
  <c r="M357" i="32" s="1"/>
  <c r="L242" i="32"/>
  <c r="L357" i="32" s="1"/>
  <c r="K242" i="32"/>
  <c r="K357" i="32" s="1"/>
  <c r="J242" i="32"/>
  <c r="J357" i="32" s="1"/>
  <c r="I242" i="32"/>
  <c r="I357" i="32" s="1"/>
  <c r="F242" i="32"/>
  <c r="F357" i="32" s="1"/>
  <c r="E242" i="32"/>
  <c r="E357" i="32" s="1"/>
  <c r="D242" i="32"/>
  <c r="D357" i="32" s="1"/>
  <c r="C242" i="32"/>
  <c r="C357" i="32" s="1"/>
  <c r="B242" i="32"/>
  <c r="B357" i="32" s="1"/>
  <c r="N194" i="32"/>
  <c r="N335" i="32" s="1"/>
  <c r="G194" i="32"/>
  <c r="G335" i="32" s="1"/>
  <c r="N146" i="32"/>
  <c r="N316" i="32" s="1"/>
  <c r="G146" i="32"/>
  <c r="G316" i="32" s="1"/>
  <c r="N98" i="32"/>
  <c r="N294" i="32" s="1"/>
  <c r="G98" i="32"/>
  <c r="G294" i="32" s="1"/>
  <c r="G50" i="32"/>
  <c r="G275" i="32" s="1"/>
  <c r="G331" i="14"/>
  <c r="C331" i="14"/>
  <c r="D331" i="14"/>
  <c r="E331" i="14"/>
  <c r="F331" i="14"/>
  <c r="B331" i="14"/>
  <c r="G308" i="14"/>
  <c r="C308" i="14"/>
  <c r="D308" i="14"/>
  <c r="E308" i="14"/>
  <c r="F308" i="14"/>
  <c r="B308" i="14"/>
  <c r="G289" i="14"/>
  <c r="C289" i="14"/>
  <c r="D289" i="14"/>
  <c r="E289" i="14"/>
  <c r="F289" i="14"/>
  <c r="B289" i="14"/>
  <c r="G270" i="14"/>
  <c r="C270" i="14"/>
  <c r="D270" i="14"/>
  <c r="E270" i="14"/>
  <c r="F270" i="14"/>
  <c r="B270" i="14"/>
  <c r="U242" i="17" l="1"/>
  <c r="U366" i="17" s="1"/>
  <c r="J242" i="17"/>
  <c r="J366" i="17" s="1"/>
  <c r="K242" i="17"/>
  <c r="K366" i="17" s="1"/>
  <c r="V242" i="17"/>
  <c r="V366" i="17" s="1"/>
  <c r="K241" i="16"/>
  <c r="K360" i="16" s="1"/>
  <c r="K341" i="16"/>
  <c r="J241" i="16"/>
  <c r="G242" i="32"/>
  <c r="G357" i="32" s="1"/>
  <c r="N242" i="32"/>
  <c r="N357" i="32" s="1"/>
  <c r="F63" i="13" s="1"/>
  <c r="J63" i="13" s="1"/>
  <c r="J360" i="16" l="1"/>
  <c r="H289" i="26"/>
  <c r="G341" i="14"/>
  <c r="F341" i="14"/>
  <c r="E341" i="14"/>
  <c r="D341" i="14"/>
  <c r="C341" i="14"/>
  <c r="B341" i="14"/>
  <c r="G318" i="14"/>
  <c r="F318" i="14"/>
  <c r="E318" i="14"/>
  <c r="D318" i="14"/>
  <c r="C318" i="14"/>
  <c r="B318" i="14"/>
  <c r="G299" i="14"/>
  <c r="F299" i="14"/>
  <c r="E299" i="14"/>
  <c r="D299" i="14"/>
  <c r="C299" i="14"/>
  <c r="B299" i="14"/>
  <c r="G280" i="14"/>
  <c r="F280" i="14"/>
  <c r="E280" i="14"/>
  <c r="D280" i="14"/>
  <c r="C280" i="14"/>
  <c r="B280" i="14"/>
  <c r="G241" i="14"/>
  <c r="G360" i="14" s="1"/>
  <c r="F241" i="14"/>
  <c r="F360" i="14" s="1"/>
  <c r="E241" i="14"/>
  <c r="E360" i="14" s="1"/>
  <c r="D241" i="14"/>
  <c r="D360" i="14" s="1"/>
  <c r="C241" i="14"/>
  <c r="C360" i="14" s="1"/>
  <c r="B241" i="14"/>
  <c r="B360" i="14" s="1"/>
  <c r="H193" i="14"/>
  <c r="H341" i="14" s="1"/>
  <c r="H145" i="14"/>
  <c r="H318" i="14" s="1"/>
  <c r="H97" i="14"/>
  <c r="H299" i="14" s="1"/>
  <c r="H49" i="14"/>
  <c r="H280" i="14" s="1"/>
  <c r="C54" i="8"/>
  <c r="D54" i="8"/>
  <c r="E54" i="8"/>
  <c r="F54" i="8"/>
  <c r="G54" i="8"/>
  <c r="K54" i="8" s="1"/>
  <c r="B54" i="8"/>
  <c r="L602" i="10"/>
  <c r="B31" i="8"/>
  <c r="C31" i="8"/>
  <c r="D31" i="8"/>
  <c r="E31" i="8"/>
  <c r="F31" i="8"/>
  <c r="G31" i="8"/>
  <c r="K31" i="8" s="1"/>
  <c r="B11" i="8"/>
  <c r="C11" i="8"/>
  <c r="D11" i="8"/>
  <c r="E11" i="8"/>
  <c r="F11" i="8"/>
  <c r="G11" i="8"/>
  <c r="K11" i="8" s="1"/>
  <c r="G64" i="8"/>
  <c r="K64" i="8" s="1"/>
  <c r="F64" i="8"/>
  <c r="E64" i="8"/>
  <c r="D64" i="8"/>
  <c r="C64" i="8"/>
  <c r="B64" i="8"/>
  <c r="F41" i="8"/>
  <c r="B41" i="8"/>
  <c r="C21" i="8"/>
  <c r="R477" i="12"/>
  <c r="Q477" i="12"/>
  <c r="P477" i="12"/>
  <c r="O477" i="12"/>
  <c r="N477" i="12"/>
  <c r="M477" i="12"/>
  <c r="E477" i="12"/>
  <c r="F477" i="12"/>
  <c r="G477" i="12"/>
  <c r="H477" i="12"/>
  <c r="I477" i="12"/>
  <c r="D477" i="12"/>
  <c r="J477" i="12"/>
  <c r="C477" i="12"/>
  <c r="B477" i="12"/>
  <c r="R454" i="12"/>
  <c r="M454" i="12"/>
  <c r="J454" i="12"/>
  <c r="Q454" i="12"/>
  <c r="P454" i="12"/>
  <c r="O454" i="12"/>
  <c r="N454" i="12"/>
  <c r="C454" i="12"/>
  <c r="D454" i="12"/>
  <c r="E454" i="12"/>
  <c r="F454" i="12"/>
  <c r="G454" i="12"/>
  <c r="H454" i="12"/>
  <c r="I454" i="12"/>
  <c r="B454" i="12"/>
  <c r="R435" i="12"/>
  <c r="M435" i="12"/>
  <c r="Q435" i="12"/>
  <c r="P435" i="12"/>
  <c r="O435" i="12"/>
  <c r="N435" i="12"/>
  <c r="C435" i="12"/>
  <c r="D435" i="12"/>
  <c r="E435" i="12"/>
  <c r="F435" i="12"/>
  <c r="G435" i="12"/>
  <c r="H435" i="12"/>
  <c r="I435" i="12"/>
  <c r="J435" i="12"/>
  <c r="B435" i="12"/>
  <c r="R412" i="12"/>
  <c r="Q412" i="12"/>
  <c r="P412" i="12"/>
  <c r="O412" i="12"/>
  <c r="N412" i="12"/>
  <c r="M412" i="12"/>
  <c r="C412" i="12"/>
  <c r="D412" i="12"/>
  <c r="E412" i="12"/>
  <c r="F412" i="12"/>
  <c r="G412" i="12"/>
  <c r="H412" i="12"/>
  <c r="I412" i="12"/>
  <c r="J412" i="12"/>
  <c r="B412" i="12"/>
  <c r="Q393" i="12"/>
  <c r="P393" i="12"/>
  <c r="O393" i="12"/>
  <c r="N393" i="12"/>
  <c r="E393" i="12"/>
  <c r="F393" i="12"/>
  <c r="G393" i="12"/>
  <c r="H393" i="12"/>
  <c r="D393" i="12"/>
  <c r="R393" i="12"/>
  <c r="M393" i="12"/>
  <c r="J393" i="12"/>
  <c r="I393" i="12"/>
  <c r="C393" i="12"/>
  <c r="B393" i="12"/>
  <c r="S487" i="12"/>
  <c r="R487" i="12"/>
  <c r="Q487" i="12"/>
  <c r="P487" i="12"/>
  <c r="O487" i="12"/>
  <c r="N487" i="12"/>
  <c r="M487" i="12"/>
  <c r="J487" i="12"/>
  <c r="I487" i="12"/>
  <c r="H487" i="12"/>
  <c r="G487" i="12"/>
  <c r="F487" i="12"/>
  <c r="E487" i="12"/>
  <c r="D487" i="12"/>
  <c r="C487" i="12"/>
  <c r="B487" i="12"/>
  <c r="R464" i="12"/>
  <c r="Q464" i="12"/>
  <c r="P464" i="12"/>
  <c r="O464" i="12"/>
  <c r="N464" i="12"/>
  <c r="M464" i="12"/>
  <c r="J464" i="12"/>
  <c r="I464" i="12"/>
  <c r="H464" i="12"/>
  <c r="G464" i="12"/>
  <c r="F464" i="12"/>
  <c r="E464" i="12"/>
  <c r="D464" i="12"/>
  <c r="C464" i="12"/>
  <c r="B464" i="12"/>
  <c r="R445" i="12"/>
  <c r="Q445" i="12"/>
  <c r="P445" i="12"/>
  <c r="O445" i="12"/>
  <c r="N445" i="12"/>
  <c r="M445" i="12"/>
  <c r="J445" i="12"/>
  <c r="I445" i="12"/>
  <c r="H445" i="12"/>
  <c r="G445" i="12"/>
  <c r="F445" i="12"/>
  <c r="E445" i="12"/>
  <c r="D445" i="12"/>
  <c r="C445" i="12"/>
  <c r="B445" i="12"/>
  <c r="R422" i="12"/>
  <c r="Q422" i="12"/>
  <c r="P422" i="12"/>
  <c r="O422" i="12"/>
  <c r="N422" i="12"/>
  <c r="M422" i="12"/>
  <c r="J422" i="12"/>
  <c r="I422" i="12"/>
  <c r="H422" i="12"/>
  <c r="G422" i="12"/>
  <c r="F422" i="12"/>
  <c r="E422" i="12"/>
  <c r="D422" i="12"/>
  <c r="C422" i="12"/>
  <c r="B422" i="12"/>
  <c r="R403" i="12"/>
  <c r="Q403" i="12"/>
  <c r="P403" i="12"/>
  <c r="O403" i="12"/>
  <c r="N403" i="12"/>
  <c r="M403" i="12"/>
  <c r="J403" i="12"/>
  <c r="I403" i="12"/>
  <c r="H403" i="12"/>
  <c r="G403" i="12"/>
  <c r="F403" i="12"/>
  <c r="E403" i="12"/>
  <c r="D403" i="12"/>
  <c r="C403" i="12"/>
  <c r="B403" i="12"/>
  <c r="R290" i="12"/>
  <c r="R338" i="12" s="1"/>
  <c r="R529" i="12" s="1"/>
  <c r="Q290" i="12"/>
  <c r="Q338" i="12" s="1"/>
  <c r="Q529" i="12" s="1"/>
  <c r="P290" i="12"/>
  <c r="P338" i="12" s="1"/>
  <c r="P529" i="12" s="1"/>
  <c r="O290" i="12"/>
  <c r="O338" i="12" s="1"/>
  <c r="O529" i="12" s="1"/>
  <c r="N290" i="12"/>
  <c r="N338" i="12" s="1"/>
  <c r="N529" i="12" s="1"/>
  <c r="M290" i="12"/>
  <c r="M338" i="12" s="1"/>
  <c r="M529" i="12" s="1"/>
  <c r="J290" i="12"/>
  <c r="J338" i="12" s="1"/>
  <c r="I290" i="12"/>
  <c r="I338" i="12" s="1"/>
  <c r="I529" i="12" s="1"/>
  <c r="H290" i="12"/>
  <c r="H338" i="12" s="1"/>
  <c r="H529" i="12" s="1"/>
  <c r="G290" i="12"/>
  <c r="G338" i="12" s="1"/>
  <c r="G529" i="12" s="1"/>
  <c r="F290" i="12"/>
  <c r="F338" i="12" s="1"/>
  <c r="F529" i="12" s="1"/>
  <c r="E290" i="12"/>
  <c r="E338" i="12" s="1"/>
  <c r="E529" i="12" s="1"/>
  <c r="D290" i="12"/>
  <c r="D338" i="12" s="1"/>
  <c r="D529" i="12" s="1"/>
  <c r="C290" i="12"/>
  <c r="C338" i="12" s="1"/>
  <c r="C529" i="12" s="1"/>
  <c r="B290" i="12"/>
  <c r="B338" i="12" s="1"/>
  <c r="B529" i="12" s="1"/>
  <c r="K242" i="12"/>
  <c r="K487" i="12" s="1"/>
  <c r="S194" i="12"/>
  <c r="S464" i="12" s="1"/>
  <c r="K194" i="12"/>
  <c r="K464" i="12" s="1"/>
  <c r="S146" i="12"/>
  <c r="S445" i="12" s="1"/>
  <c r="K146" i="12"/>
  <c r="K445" i="12" s="1"/>
  <c r="S98" i="12"/>
  <c r="K98" i="12"/>
  <c r="S50" i="12"/>
  <c r="R97" i="30" s="1"/>
  <c r="K50" i="12"/>
  <c r="E470" i="11"/>
  <c r="F470" i="11"/>
  <c r="G470" i="11"/>
  <c r="H470" i="11"/>
  <c r="I470" i="11"/>
  <c r="D470" i="11"/>
  <c r="E469" i="11"/>
  <c r="F469" i="11"/>
  <c r="G469" i="11"/>
  <c r="H469" i="11"/>
  <c r="I469" i="11"/>
  <c r="D469" i="11"/>
  <c r="J470" i="11"/>
  <c r="C470" i="11"/>
  <c r="B470" i="11"/>
  <c r="J449" i="11"/>
  <c r="C449" i="11"/>
  <c r="D449" i="11"/>
  <c r="E449" i="11"/>
  <c r="F449" i="11"/>
  <c r="G449" i="11"/>
  <c r="H449" i="11"/>
  <c r="I449" i="11"/>
  <c r="B449" i="11"/>
  <c r="C430" i="11"/>
  <c r="D430" i="11"/>
  <c r="F430" i="11"/>
  <c r="G430" i="11"/>
  <c r="H430" i="11"/>
  <c r="I430" i="11"/>
  <c r="J430" i="11"/>
  <c r="B430" i="11"/>
  <c r="C409" i="11"/>
  <c r="D409" i="11"/>
  <c r="F409" i="11"/>
  <c r="G409" i="11"/>
  <c r="H409" i="11"/>
  <c r="I409" i="11"/>
  <c r="J409" i="11"/>
  <c r="B409" i="11"/>
  <c r="E390" i="11"/>
  <c r="F390" i="11"/>
  <c r="G390" i="11"/>
  <c r="H390" i="11"/>
  <c r="D390" i="11"/>
  <c r="J390" i="11"/>
  <c r="I390" i="11"/>
  <c r="C390" i="11"/>
  <c r="B390" i="11"/>
  <c r="J520" i="11"/>
  <c r="J499" i="11"/>
  <c r="J480" i="11"/>
  <c r="I480" i="11"/>
  <c r="H480" i="11"/>
  <c r="G480" i="11"/>
  <c r="F480" i="11"/>
  <c r="E480" i="11"/>
  <c r="D480" i="11"/>
  <c r="C480" i="11"/>
  <c r="B480" i="11"/>
  <c r="J459" i="11"/>
  <c r="I459" i="11"/>
  <c r="H459" i="11"/>
  <c r="G459" i="11"/>
  <c r="F459" i="11"/>
  <c r="E459" i="11"/>
  <c r="D459" i="11"/>
  <c r="C459" i="11"/>
  <c r="B459" i="11"/>
  <c r="J440" i="11"/>
  <c r="I440" i="11"/>
  <c r="H440" i="11"/>
  <c r="G440" i="11"/>
  <c r="F440" i="11"/>
  <c r="E440" i="11"/>
  <c r="D440" i="11"/>
  <c r="C440" i="11"/>
  <c r="B440" i="11"/>
  <c r="J419" i="11"/>
  <c r="I419" i="11"/>
  <c r="H419" i="11"/>
  <c r="G419" i="11"/>
  <c r="F419" i="11"/>
  <c r="E419" i="11"/>
  <c r="D419" i="11"/>
  <c r="C419" i="11"/>
  <c r="B419" i="11"/>
  <c r="J400" i="11"/>
  <c r="I400" i="11"/>
  <c r="H400" i="11"/>
  <c r="G400" i="11"/>
  <c r="F400" i="11"/>
  <c r="E400" i="11"/>
  <c r="D400" i="11"/>
  <c r="C400" i="11"/>
  <c r="B400" i="11"/>
  <c r="I290" i="11"/>
  <c r="I338" i="11" s="1"/>
  <c r="I520" i="11" s="1"/>
  <c r="H290" i="11"/>
  <c r="H338" i="11" s="1"/>
  <c r="H520" i="11" s="1"/>
  <c r="G290" i="11"/>
  <c r="G338" i="11" s="1"/>
  <c r="G520" i="11" s="1"/>
  <c r="F290" i="11"/>
  <c r="F338" i="11" s="1"/>
  <c r="F520" i="11" s="1"/>
  <c r="E290" i="11"/>
  <c r="E338" i="11" s="1"/>
  <c r="E520" i="11" s="1"/>
  <c r="D290" i="11"/>
  <c r="D338" i="11" s="1"/>
  <c r="D520" i="11" s="1"/>
  <c r="C290" i="11"/>
  <c r="C338" i="11" s="1"/>
  <c r="C520" i="11" s="1"/>
  <c r="B290" i="11"/>
  <c r="B338" i="11" s="1"/>
  <c r="B520" i="11" s="1"/>
  <c r="K242" i="11"/>
  <c r="K480" i="11" s="1"/>
  <c r="K194" i="11"/>
  <c r="K459" i="11" s="1"/>
  <c r="K146" i="11"/>
  <c r="K440" i="11" s="1"/>
  <c r="K98" i="11"/>
  <c r="K50" i="11"/>
  <c r="I96" i="29" s="1"/>
  <c r="D625" i="10"/>
  <c r="E625" i="10"/>
  <c r="G625" i="10"/>
  <c r="H625" i="10"/>
  <c r="J625" i="10"/>
  <c r="C625" i="10"/>
  <c r="S625" i="10"/>
  <c r="R625" i="10"/>
  <c r="Q625" i="10"/>
  <c r="P625" i="10"/>
  <c r="O625" i="10"/>
  <c r="N625" i="10"/>
  <c r="K625" i="10"/>
  <c r="B625" i="10"/>
  <c r="Q603" i="10"/>
  <c r="P603" i="10"/>
  <c r="G603" i="10"/>
  <c r="H603" i="10"/>
  <c r="J603" i="10"/>
  <c r="K603" i="10"/>
  <c r="C603" i="10"/>
  <c r="R603" i="10"/>
  <c r="O603" i="10"/>
  <c r="N603" i="10"/>
  <c r="B603" i="10"/>
  <c r="B583" i="10"/>
  <c r="R584" i="10"/>
  <c r="Q584" i="10"/>
  <c r="P584" i="10"/>
  <c r="H584" i="10"/>
  <c r="I584" i="10"/>
  <c r="J584" i="10"/>
  <c r="C584" i="10"/>
  <c r="O584" i="10"/>
  <c r="N584" i="10"/>
  <c r="K584" i="10"/>
  <c r="B584" i="10"/>
  <c r="O562" i="10"/>
  <c r="N562" i="10"/>
  <c r="K562" i="10"/>
  <c r="B562" i="10"/>
  <c r="R562" i="10"/>
  <c r="Q562" i="10"/>
  <c r="P562" i="10"/>
  <c r="J562" i="10"/>
  <c r="C562" i="10"/>
  <c r="B561" i="10"/>
  <c r="P543" i="10"/>
  <c r="O543" i="10"/>
  <c r="R543" i="10"/>
  <c r="N543" i="10"/>
  <c r="K543" i="10"/>
  <c r="J543" i="10"/>
  <c r="I543" i="10"/>
  <c r="C543" i="10"/>
  <c r="B543" i="10"/>
  <c r="S635" i="10"/>
  <c r="R635" i="10"/>
  <c r="Q635" i="10"/>
  <c r="P635" i="10"/>
  <c r="O635" i="10"/>
  <c r="N635" i="10"/>
  <c r="K635" i="10"/>
  <c r="J635" i="10"/>
  <c r="I635" i="10"/>
  <c r="H635" i="10"/>
  <c r="G635" i="10"/>
  <c r="F635" i="10"/>
  <c r="E635" i="10"/>
  <c r="D635" i="10"/>
  <c r="C635" i="10"/>
  <c r="B635" i="10"/>
  <c r="S613" i="10"/>
  <c r="R613" i="10"/>
  <c r="Q613" i="10"/>
  <c r="P613" i="10"/>
  <c r="O613" i="10"/>
  <c r="N613" i="10"/>
  <c r="K613" i="10"/>
  <c r="J613" i="10"/>
  <c r="I613" i="10"/>
  <c r="H613" i="10"/>
  <c r="G613" i="10"/>
  <c r="F613" i="10"/>
  <c r="E613" i="10"/>
  <c r="D613" i="10"/>
  <c r="C613" i="10"/>
  <c r="B613" i="10"/>
  <c r="S594" i="10"/>
  <c r="R594" i="10"/>
  <c r="Q594" i="10"/>
  <c r="P594" i="10"/>
  <c r="O594" i="10"/>
  <c r="N594" i="10"/>
  <c r="J594" i="10"/>
  <c r="I594" i="10"/>
  <c r="H594" i="10"/>
  <c r="G594" i="10"/>
  <c r="F594" i="10"/>
  <c r="E594" i="10"/>
  <c r="D594" i="10"/>
  <c r="C594" i="10"/>
  <c r="B594" i="10"/>
  <c r="S572" i="10"/>
  <c r="R572" i="10"/>
  <c r="Q572" i="10"/>
  <c r="P572" i="10"/>
  <c r="O572" i="10"/>
  <c r="N572" i="10"/>
  <c r="K572" i="10"/>
  <c r="J572" i="10"/>
  <c r="I572" i="10"/>
  <c r="H572" i="10"/>
  <c r="G572" i="10"/>
  <c r="F572" i="10"/>
  <c r="E572" i="10"/>
  <c r="D572" i="10"/>
  <c r="C572" i="10"/>
  <c r="B572" i="10"/>
  <c r="R553" i="10"/>
  <c r="Q553" i="10"/>
  <c r="P553" i="10"/>
  <c r="O553" i="10"/>
  <c r="N553" i="10"/>
  <c r="K553" i="10"/>
  <c r="J553" i="10"/>
  <c r="I553" i="10"/>
  <c r="H553" i="10"/>
  <c r="G553" i="10"/>
  <c r="F553" i="10"/>
  <c r="E553" i="10"/>
  <c r="D553" i="10"/>
  <c r="C553" i="10"/>
  <c r="B553" i="10"/>
  <c r="S433" i="10"/>
  <c r="S654" i="10" s="1"/>
  <c r="R433" i="10"/>
  <c r="R505" i="10" s="1"/>
  <c r="R676" i="10" s="1"/>
  <c r="Q433" i="10"/>
  <c r="Q505" i="10" s="1"/>
  <c r="Q676" i="10" s="1"/>
  <c r="P433" i="10"/>
  <c r="P505" i="10" s="1"/>
  <c r="P676" i="10" s="1"/>
  <c r="O433" i="10"/>
  <c r="O505" i="10" s="1"/>
  <c r="O676" i="10" s="1"/>
  <c r="N433" i="10"/>
  <c r="N505" i="10" s="1"/>
  <c r="N676" i="10" s="1"/>
  <c r="K433" i="10"/>
  <c r="K505" i="10" s="1"/>
  <c r="K676" i="10" s="1"/>
  <c r="J433" i="10"/>
  <c r="J505" i="10" s="1"/>
  <c r="J676" i="10" s="1"/>
  <c r="I433" i="10"/>
  <c r="I505" i="10" s="1"/>
  <c r="I676" i="10" s="1"/>
  <c r="H433" i="10"/>
  <c r="H505" i="10" s="1"/>
  <c r="H676" i="10" s="1"/>
  <c r="G433" i="10"/>
  <c r="G505" i="10" s="1"/>
  <c r="G676" i="10" s="1"/>
  <c r="F433" i="10"/>
  <c r="F505" i="10" s="1"/>
  <c r="F676" i="10" s="1"/>
  <c r="E433" i="10"/>
  <c r="E505" i="10" s="1"/>
  <c r="E676" i="10" s="1"/>
  <c r="D433" i="10"/>
  <c r="D505" i="10" s="1"/>
  <c r="D676" i="10" s="1"/>
  <c r="C433" i="10"/>
  <c r="C505" i="10" s="1"/>
  <c r="C676" i="10" s="1"/>
  <c r="B433" i="10"/>
  <c r="B505" i="10" s="1"/>
  <c r="B676" i="10" s="1"/>
  <c r="L361" i="10"/>
  <c r="L635" i="10" s="1"/>
  <c r="L289" i="10"/>
  <c r="L613" i="10" s="1"/>
  <c r="L217" i="10"/>
  <c r="L594" i="10" s="1"/>
  <c r="L145" i="10"/>
  <c r="S73" i="10"/>
  <c r="L73" i="10"/>
  <c r="L553" i="10" s="1"/>
  <c r="D481" i="9"/>
  <c r="E481" i="9"/>
  <c r="G481" i="9"/>
  <c r="H481" i="9"/>
  <c r="J481" i="9"/>
  <c r="C481" i="9"/>
  <c r="C480" i="9"/>
  <c r="K481" i="9"/>
  <c r="B481" i="9"/>
  <c r="D459" i="9"/>
  <c r="E459" i="9"/>
  <c r="F459" i="9"/>
  <c r="G459" i="9"/>
  <c r="H459" i="9"/>
  <c r="J459" i="9"/>
  <c r="K459" i="9"/>
  <c r="C459" i="9"/>
  <c r="B459" i="9"/>
  <c r="K440" i="9"/>
  <c r="D440" i="9"/>
  <c r="E440" i="9"/>
  <c r="F440" i="9"/>
  <c r="H440" i="9"/>
  <c r="I440" i="9"/>
  <c r="J440" i="9"/>
  <c r="C440" i="9"/>
  <c r="B440" i="9"/>
  <c r="D418" i="9"/>
  <c r="E418" i="9"/>
  <c r="G418" i="9"/>
  <c r="H418" i="9"/>
  <c r="J418" i="9"/>
  <c r="C418" i="9"/>
  <c r="K418" i="9"/>
  <c r="B418" i="9"/>
  <c r="G399" i="9"/>
  <c r="H399" i="9"/>
  <c r="D399" i="9"/>
  <c r="K399" i="9"/>
  <c r="J399" i="9"/>
  <c r="I399" i="9"/>
  <c r="C399" i="9"/>
  <c r="B399" i="9"/>
  <c r="B510" i="9"/>
  <c r="K491" i="9"/>
  <c r="J491" i="9"/>
  <c r="I491" i="9"/>
  <c r="H491" i="9"/>
  <c r="G491" i="9"/>
  <c r="F491" i="9"/>
  <c r="E491" i="9"/>
  <c r="D491" i="9"/>
  <c r="C491" i="9"/>
  <c r="B491" i="9"/>
  <c r="K469" i="9"/>
  <c r="J469" i="9"/>
  <c r="I469" i="9"/>
  <c r="H469" i="9"/>
  <c r="G469" i="9"/>
  <c r="F469" i="9"/>
  <c r="E469" i="9"/>
  <c r="D469" i="9"/>
  <c r="C469" i="9"/>
  <c r="B469" i="9"/>
  <c r="K450" i="9"/>
  <c r="J450" i="9"/>
  <c r="I450" i="9"/>
  <c r="H450" i="9"/>
  <c r="G450" i="9"/>
  <c r="F450" i="9"/>
  <c r="E450" i="9"/>
  <c r="D450" i="9"/>
  <c r="C450" i="9"/>
  <c r="B450" i="9"/>
  <c r="K428" i="9"/>
  <c r="J428" i="9"/>
  <c r="I428" i="9"/>
  <c r="H428" i="9"/>
  <c r="G428" i="9"/>
  <c r="F428" i="9"/>
  <c r="E428" i="9"/>
  <c r="D428" i="9"/>
  <c r="C428" i="9"/>
  <c r="B428" i="9"/>
  <c r="K409" i="9"/>
  <c r="J409" i="9"/>
  <c r="I409" i="9"/>
  <c r="H409" i="9"/>
  <c r="G409" i="9"/>
  <c r="F409" i="9"/>
  <c r="E409" i="9"/>
  <c r="D409" i="9"/>
  <c r="C409" i="9"/>
  <c r="B409" i="9"/>
  <c r="B372" i="9"/>
  <c r="B532" i="9" s="1"/>
  <c r="K319" i="9"/>
  <c r="K372" i="9" s="1"/>
  <c r="K532" i="9" s="1"/>
  <c r="J319" i="9"/>
  <c r="J372" i="9" s="1"/>
  <c r="J532" i="9" s="1"/>
  <c r="I319" i="9"/>
  <c r="I372" i="9" s="1"/>
  <c r="I532" i="9" s="1"/>
  <c r="H319" i="9"/>
  <c r="H372" i="9" s="1"/>
  <c r="H532" i="9" s="1"/>
  <c r="G319" i="9"/>
  <c r="G372" i="9" s="1"/>
  <c r="G532" i="9" s="1"/>
  <c r="F319" i="9"/>
  <c r="F372" i="9" s="1"/>
  <c r="F532" i="9" s="1"/>
  <c r="E319" i="9"/>
  <c r="E372" i="9" s="1"/>
  <c r="E532" i="9" s="1"/>
  <c r="D319" i="9"/>
  <c r="D372" i="9" s="1"/>
  <c r="D532" i="9" s="1"/>
  <c r="C319" i="9"/>
  <c r="C372" i="9" s="1"/>
  <c r="C532" i="9" s="1"/>
  <c r="L266" i="9"/>
  <c r="L213" i="9"/>
  <c r="L469" i="9" s="1"/>
  <c r="E21" i="8" s="1"/>
  <c r="L160" i="9"/>
  <c r="L107" i="9"/>
  <c r="L428" i="9" s="1"/>
  <c r="L54" i="9"/>
  <c r="L409" i="9" s="1"/>
  <c r="B21" i="8" s="1"/>
  <c r="H44" i="3"/>
  <c r="E44" i="3"/>
  <c r="D44" i="3"/>
  <c r="C44" i="3"/>
  <c r="B44" i="3"/>
  <c r="H26" i="3"/>
  <c r="F26" i="3"/>
  <c r="E26" i="3"/>
  <c r="D26" i="3"/>
  <c r="C26" i="3"/>
  <c r="B26" i="3"/>
  <c r="H8" i="3"/>
  <c r="F8" i="3"/>
  <c r="E8" i="3"/>
  <c r="D8" i="3"/>
  <c r="C8" i="3"/>
  <c r="B7" i="3"/>
  <c r="B8" i="3"/>
  <c r="H54" i="3"/>
  <c r="F54" i="3"/>
  <c r="E54" i="3"/>
  <c r="D54" i="3"/>
  <c r="C54" i="3"/>
  <c r="B54" i="3"/>
  <c r="D36" i="3"/>
  <c r="C36" i="3"/>
  <c r="B36" i="3"/>
  <c r="D18" i="3"/>
  <c r="C18" i="3"/>
  <c r="B18" i="3"/>
  <c r="S387" i="7"/>
  <c r="R387" i="7"/>
  <c r="Q387" i="7"/>
  <c r="P387" i="7"/>
  <c r="E387" i="7"/>
  <c r="F387" i="7"/>
  <c r="G387" i="7"/>
  <c r="H387" i="7"/>
  <c r="I387" i="7"/>
  <c r="D387" i="7"/>
  <c r="W387" i="7"/>
  <c r="V387" i="7"/>
  <c r="U387" i="7"/>
  <c r="O387" i="7"/>
  <c r="N387" i="7"/>
  <c r="K387" i="7"/>
  <c r="C387" i="7"/>
  <c r="B387" i="7"/>
  <c r="U366" i="7"/>
  <c r="T366" i="7"/>
  <c r="S366" i="7"/>
  <c r="R366" i="7"/>
  <c r="Q366" i="7"/>
  <c r="E366" i="7"/>
  <c r="F366" i="7"/>
  <c r="G366" i="7"/>
  <c r="H366" i="7"/>
  <c r="I366" i="7"/>
  <c r="J366" i="7"/>
  <c r="K366" i="7"/>
  <c r="D366" i="7"/>
  <c r="W366" i="7"/>
  <c r="V366" i="7"/>
  <c r="P366" i="7"/>
  <c r="O366" i="7"/>
  <c r="N366" i="7"/>
  <c r="C366" i="7"/>
  <c r="B366" i="7"/>
  <c r="R348" i="7"/>
  <c r="S348" i="7"/>
  <c r="T348" i="7"/>
  <c r="Q348" i="7"/>
  <c r="W348" i="7"/>
  <c r="V348" i="7"/>
  <c r="U348" i="7"/>
  <c r="O348" i="7"/>
  <c r="P348" i="7"/>
  <c r="N348" i="7"/>
  <c r="C348" i="7"/>
  <c r="D348" i="7"/>
  <c r="E348" i="7"/>
  <c r="F348" i="7"/>
  <c r="G348" i="7"/>
  <c r="H348" i="7"/>
  <c r="I348" i="7"/>
  <c r="J348" i="7"/>
  <c r="K348" i="7"/>
  <c r="B348" i="7"/>
  <c r="U327" i="7"/>
  <c r="T327" i="7"/>
  <c r="S327" i="7"/>
  <c r="R327" i="7"/>
  <c r="Q327" i="7"/>
  <c r="F327" i="7"/>
  <c r="G327" i="7"/>
  <c r="H327" i="7"/>
  <c r="I327" i="7"/>
  <c r="E327" i="7"/>
  <c r="W327" i="7"/>
  <c r="V327" i="7"/>
  <c r="P327" i="7"/>
  <c r="O327" i="7"/>
  <c r="N327" i="7"/>
  <c r="K327" i="7"/>
  <c r="J327" i="7"/>
  <c r="C327" i="7"/>
  <c r="D327" i="7"/>
  <c r="B327" i="7"/>
  <c r="U309" i="7"/>
  <c r="W309" i="7"/>
  <c r="V309" i="7"/>
  <c r="T309" i="7"/>
  <c r="R309" i="7"/>
  <c r="S309" i="7"/>
  <c r="Q309" i="7"/>
  <c r="P309" i="7"/>
  <c r="O309" i="7"/>
  <c r="N309" i="7"/>
  <c r="K309" i="7"/>
  <c r="J309" i="7"/>
  <c r="F309" i="7"/>
  <c r="G309" i="7"/>
  <c r="H309" i="7"/>
  <c r="I309" i="7"/>
  <c r="E309" i="7"/>
  <c r="C309" i="7"/>
  <c r="D309" i="7"/>
  <c r="B309" i="7"/>
  <c r="X397" i="7"/>
  <c r="W397" i="7"/>
  <c r="V397" i="7"/>
  <c r="U397" i="7"/>
  <c r="T397" i="7"/>
  <c r="S397" i="7"/>
  <c r="R397" i="7"/>
  <c r="Q397" i="7"/>
  <c r="P397" i="7"/>
  <c r="O397" i="7"/>
  <c r="N397" i="7"/>
  <c r="K397" i="7"/>
  <c r="J397" i="7"/>
  <c r="I397" i="7"/>
  <c r="H397" i="7"/>
  <c r="G397" i="7"/>
  <c r="F397" i="7"/>
  <c r="E397" i="7"/>
  <c r="D397" i="7"/>
  <c r="C397" i="7"/>
  <c r="B397" i="7"/>
  <c r="W376" i="7"/>
  <c r="V376" i="7"/>
  <c r="U376" i="7"/>
  <c r="T376" i="7"/>
  <c r="S376" i="7"/>
  <c r="R376" i="7"/>
  <c r="Q376" i="7"/>
  <c r="P376" i="7"/>
  <c r="O376" i="7"/>
  <c r="N376" i="7"/>
  <c r="K376" i="7"/>
  <c r="J376" i="7"/>
  <c r="I376" i="7"/>
  <c r="H376" i="7"/>
  <c r="G376" i="7"/>
  <c r="F376" i="7"/>
  <c r="E376" i="7"/>
  <c r="D376" i="7"/>
  <c r="C376" i="7"/>
  <c r="B376" i="7"/>
  <c r="W358" i="7"/>
  <c r="V358" i="7"/>
  <c r="U358" i="7"/>
  <c r="T358" i="7"/>
  <c r="S358" i="7"/>
  <c r="R358" i="7"/>
  <c r="Q358" i="7"/>
  <c r="P358" i="7"/>
  <c r="O358" i="7"/>
  <c r="N358" i="7"/>
  <c r="K358" i="7"/>
  <c r="J358" i="7"/>
  <c r="I358" i="7"/>
  <c r="H358" i="7"/>
  <c r="G358" i="7"/>
  <c r="F358" i="7"/>
  <c r="E358" i="7"/>
  <c r="D358" i="7"/>
  <c r="C358" i="7"/>
  <c r="B358" i="7"/>
  <c r="W337" i="7"/>
  <c r="V337" i="7"/>
  <c r="U337" i="7"/>
  <c r="T337" i="7"/>
  <c r="S337" i="7"/>
  <c r="R337" i="7"/>
  <c r="Q337" i="7"/>
  <c r="P337" i="7"/>
  <c r="O337" i="7"/>
  <c r="N337" i="7"/>
  <c r="K337" i="7"/>
  <c r="J337" i="7"/>
  <c r="I337" i="7"/>
  <c r="H337" i="7"/>
  <c r="G337" i="7"/>
  <c r="F337" i="7"/>
  <c r="E337" i="7"/>
  <c r="D337" i="7"/>
  <c r="C337" i="7"/>
  <c r="B337" i="7"/>
  <c r="W319" i="7"/>
  <c r="V319" i="7"/>
  <c r="U319" i="7"/>
  <c r="T319" i="7"/>
  <c r="S319" i="7"/>
  <c r="R319" i="7"/>
  <c r="Q319" i="7"/>
  <c r="P319" i="7"/>
  <c r="O319" i="7"/>
  <c r="N319" i="7"/>
  <c r="K319" i="7"/>
  <c r="J319" i="7"/>
  <c r="I319" i="7"/>
  <c r="H319" i="7"/>
  <c r="G319" i="7"/>
  <c r="F319" i="7"/>
  <c r="E319" i="7"/>
  <c r="D319" i="7"/>
  <c r="C319" i="7"/>
  <c r="B319" i="7"/>
  <c r="W289" i="7"/>
  <c r="W415" i="7" s="1"/>
  <c r="V289" i="7"/>
  <c r="V415" i="7" s="1"/>
  <c r="U289" i="7"/>
  <c r="U415" i="7" s="1"/>
  <c r="T289" i="7"/>
  <c r="T415" i="7" s="1"/>
  <c r="S289" i="7"/>
  <c r="S415" i="7" s="1"/>
  <c r="R289" i="7"/>
  <c r="R415" i="7" s="1"/>
  <c r="Q289" i="7"/>
  <c r="Q415" i="7" s="1"/>
  <c r="P289" i="7"/>
  <c r="P415" i="7" s="1"/>
  <c r="O289" i="7"/>
  <c r="O415" i="7" s="1"/>
  <c r="N289" i="7"/>
  <c r="N415" i="7" s="1"/>
  <c r="K289" i="7"/>
  <c r="K415" i="7" s="1"/>
  <c r="J289" i="7"/>
  <c r="J415" i="7" s="1"/>
  <c r="I289" i="7"/>
  <c r="I415" i="7" s="1"/>
  <c r="H289" i="7"/>
  <c r="H415" i="7" s="1"/>
  <c r="G289" i="7"/>
  <c r="G415" i="7" s="1"/>
  <c r="D289" i="7"/>
  <c r="D415" i="7" s="1"/>
  <c r="C289" i="7"/>
  <c r="C415" i="7" s="1"/>
  <c r="B289" i="7"/>
  <c r="B415" i="7" s="1"/>
  <c r="L241" i="7"/>
  <c r="L397" i="7" s="1"/>
  <c r="X193" i="7"/>
  <c r="X376" i="7" s="1"/>
  <c r="L193" i="7"/>
  <c r="L376" i="7" s="1"/>
  <c r="X145" i="7"/>
  <c r="L145" i="7"/>
  <c r="X97" i="7"/>
  <c r="X337" i="7" s="1"/>
  <c r="L97" i="7"/>
  <c r="L337" i="7" s="1"/>
  <c r="X49" i="7"/>
  <c r="X319" i="7" s="1"/>
  <c r="L49" i="7"/>
  <c r="L319" i="7" s="1"/>
  <c r="K384" i="6"/>
  <c r="E384" i="6"/>
  <c r="F384" i="6"/>
  <c r="G384" i="6"/>
  <c r="H384" i="6"/>
  <c r="I384" i="6"/>
  <c r="J384" i="6"/>
  <c r="D384" i="6"/>
  <c r="C384" i="6"/>
  <c r="B384" i="6"/>
  <c r="E364" i="6"/>
  <c r="F364" i="6"/>
  <c r="G364" i="6"/>
  <c r="H364" i="6"/>
  <c r="I364" i="6"/>
  <c r="J364" i="6"/>
  <c r="K364" i="6"/>
  <c r="D364" i="6"/>
  <c r="C364" i="6"/>
  <c r="B364" i="6"/>
  <c r="C346" i="6"/>
  <c r="D346" i="6"/>
  <c r="E346" i="6"/>
  <c r="F346" i="6"/>
  <c r="G346" i="6"/>
  <c r="H346" i="6"/>
  <c r="I346" i="6"/>
  <c r="J346" i="6"/>
  <c r="K346" i="6"/>
  <c r="B346" i="6"/>
  <c r="K326" i="6"/>
  <c r="J326" i="6"/>
  <c r="F326" i="6"/>
  <c r="G326" i="6"/>
  <c r="H326" i="6"/>
  <c r="I326" i="6"/>
  <c r="E326" i="6"/>
  <c r="C326" i="6"/>
  <c r="D326" i="6"/>
  <c r="B326" i="6"/>
  <c r="K308" i="6"/>
  <c r="J308" i="6"/>
  <c r="F308" i="6"/>
  <c r="G308" i="6"/>
  <c r="H308" i="6"/>
  <c r="I308" i="6"/>
  <c r="E308" i="6"/>
  <c r="C308" i="6"/>
  <c r="D308" i="6"/>
  <c r="B308" i="6"/>
  <c r="F412" i="6"/>
  <c r="E412" i="6"/>
  <c r="K394" i="6"/>
  <c r="J394" i="6"/>
  <c r="I394" i="6"/>
  <c r="H394" i="6"/>
  <c r="G394" i="6"/>
  <c r="F394" i="6"/>
  <c r="E394" i="6"/>
  <c r="D394" i="6"/>
  <c r="C394" i="6"/>
  <c r="B394" i="6"/>
  <c r="K374" i="6"/>
  <c r="J374" i="6"/>
  <c r="I374" i="6"/>
  <c r="H374" i="6"/>
  <c r="G374" i="6"/>
  <c r="F374" i="6"/>
  <c r="E374" i="6"/>
  <c r="D374" i="6"/>
  <c r="C374" i="6"/>
  <c r="B374" i="6"/>
  <c r="K356" i="6"/>
  <c r="J356" i="6"/>
  <c r="I356" i="6"/>
  <c r="H356" i="6"/>
  <c r="G356" i="6"/>
  <c r="F356" i="6"/>
  <c r="E356" i="6"/>
  <c r="D356" i="6"/>
  <c r="C356" i="6"/>
  <c r="B356" i="6"/>
  <c r="K336" i="6"/>
  <c r="J336" i="6"/>
  <c r="I336" i="6"/>
  <c r="H336" i="6"/>
  <c r="G336" i="6"/>
  <c r="F336" i="6"/>
  <c r="E336" i="6"/>
  <c r="D336" i="6"/>
  <c r="C336" i="6"/>
  <c r="B336" i="6"/>
  <c r="K318" i="6"/>
  <c r="J318" i="6"/>
  <c r="I318" i="6"/>
  <c r="H318" i="6"/>
  <c r="G318" i="6"/>
  <c r="F318" i="6"/>
  <c r="E318" i="6"/>
  <c r="D318" i="6"/>
  <c r="C318" i="6"/>
  <c r="B318" i="6"/>
  <c r="K289" i="6"/>
  <c r="K412" i="6" s="1"/>
  <c r="J289" i="6"/>
  <c r="J412" i="6" s="1"/>
  <c r="I289" i="6"/>
  <c r="I412" i="6" s="1"/>
  <c r="H289" i="6"/>
  <c r="H412" i="6" s="1"/>
  <c r="G289" i="6"/>
  <c r="G412" i="6" s="1"/>
  <c r="D289" i="6"/>
  <c r="D412" i="6" s="1"/>
  <c r="C289" i="6"/>
  <c r="C412" i="6" s="1"/>
  <c r="B289" i="6"/>
  <c r="B412" i="6" s="1"/>
  <c r="L241" i="6"/>
  <c r="L394" i="6" s="1"/>
  <c r="L193" i="6"/>
  <c r="L374" i="6" s="1"/>
  <c r="L145" i="6"/>
  <c r="L97" i="6"/>
  <c r="L336" i="6" s="1"/>
  <c r="L49" i="6"/>
  <c r="L318" i="6" s="1"/>
  <c r="L397" i="5"/>
  <c r="M397" i="5"/>
  <c r="N397" i="5"/>
  <c r="O397" i="5"/>
  <c r="P397" i="5"/>
  <c r="Q397" i="5"/>
  <c r="R397" i="5"/>
  <c r="K397" i="5"/>
  <c r="H397" i="5"/>
  <c r="D397" i="5"/>
  <c r="E397" i="5"/>
  <c r="F397" i="5"/>
  <c r="G397" i="5"/>
  <c r="C397" i="5"/>
  <c r="B397" i="5"/>
  <c r="L376" i="5"/>
  <c r="M376" i="5"/>
  <c r="N376" i="5"/>
  <c r="O376" i="5"/>
  <c r="P376" i="5"/>
  <c r="Q376" i="5"/>
  <c r="R376" i="5"/>
  <c r="K376" i="5"/>
  <c r="F376" i="5"/>
  <c r="G376" i="5"/>
  <c r="H376" i="5"/>
  <c r="E376" i="5"/>
  <c r="D376" i="5"/>
  <c r="C376" i="5"/>
  <c r="B376" i="5"/>
  <c r="L358" i="5"/>
  <c r="M358" i="5"/>
  <c r="N358" i="5"/>
  <c r="O358" i="5"/>
  <c r="P358" i="5"/>
  <c r="Q358" i="5"/>
  <c r="R358" i="5"/>
  <c r="K358" i="5"/>
  <c r="D358" i="5"/>
  <c r="C358" i="5"/>
  <c r="H358" i="5"/>
  <c r="E358" i="5"/>
  <c r="F358" i="5"/>
  <c r="G358" i="5"/>
  <c r="B358" i="5"/>
  <c r="L337" i="5"/>
  <c r="M337" i="5"/>
  <c r="N337" i="5"/>
  <c r="O337" i="5"/>
  <c r="P337" i="5"/>
  <c r="Q337" i="5"/>
  <c r="R337" i="5"/>
  <c r="K337" i="5"/>
  <c r="H337" i="5"/>
  <c r="G337" i="5"/>
  <c r="C337" i="5"/>
  <c r="D337" i="5"/>
  <c r="E337" i="5"/>
  <c r="F337" i="5"/>
  <c r="B337" i="5"/>
  <c r="H319" i="5"/>
  <c r="G319" i="5"/>
  <c r="C319" i="5"/>
  <c r="D319" i="5"/>
  <c r="E319" i="5"/>
  <c r="F319" i="5"/>
  <c r="K319" i="5"/>
  <c r="L319" i="5"/>
  <c r="M319" i="5"/>
  <c r="N319" i="5"/>
  <c r="O319" i="5"/>
  <c r="P319" i="5"/>
  <c r="Q319" i="5"/>
  <c r="R319" i="5"/>
  <c r="B319" i="5"/>
  <c r="R407" i="5"/>
  <c r="Q407" i="5"/>
  <c r="P407" i="5"/>
  <c r="O407" i="5"/>
  <c r="N407" i="5"/>
  <c r="M407" i="5"/>
  <c r="L407" i="5"/>
  <c r="K407" i="5"/>
  <c r="H407" i="5"/>
  <c r="G407" i="5"/>
  <c r="F407" i="5"/>
  <c r="E407" i="5"/>
  <c r="D407" i="5"/>
  <c r="C407" i="5"/>
  <c r="B407" i="5"/>
  <c r="R386" i="5"/>
  <c r="Q386" i="5"/>
  <c r="P386" i="5"/>
  <c r="O386" i="5"/>
  <c r="N386" i="5"/>
  <c r="M386" i="5"/>
  <c r="L386" i="5"/>
  <c r="K386" i="5"/>
  <c r="H386" i="5"/>
  <c r="G386" i="5"/>
  <c r="F386" i="5"/>
  <c r="E386" i="5"/>
  <c r="D386" i="5"/>
  <c r="C386" i="5"/>
  <c r="B386" i="5"/>
  <c r="R368" i="5"/>
  <c r="Q368" i="5"/>
  <c r="P368" i="5"/>
  <c r="O368" i="5"/>
  <c r="N368" i="5"/>
  <c r="M368" i="5"/>
  <c r="L368" i="5"/>
  <c r="K368" i="5"/>
  <c r="H368" i="5"/>
  <c r="G368" i="5"/>
  <c r="F368" i="5"/>
  <c r="E368" i="5"/>
  <c r="D368" i="5"/>
  <c r="C368" i="5"/>
  <c r="B368" i="5"/>
  <c r="R347" i="5"/>
  <c r="Q347" i="5"/>
  <c r="P347" i="5"/>
  <c r="O347" i="5"/>
  <c r="N347" i="5"/>
  <c r="M347" i="5"/>
  <c r="L347" i="5"/>
  <c r="K347" i="5"/>
  <c r="I347" i="5"/>
  <c r="H347" i="5"/>
  <c r="G347" i="5"/>
  <c r="F347" i="5"/>
  <c r="E347" i="5"/>
  <c r="D347" i="5"/>
  <c r="C347" i="5"/>
  <c r="B347" i="5"/>
  <c r="R329" i="5"/>
  <c r="Q329" i="5"/>
  <c r="P329" i="5"/>
  <c r="O329" i="5"/>
  <c r="N329" i="5"/>
  <c r="M329" i="5"/>
  <c r="L329" i="5"/>
  <c r="K329" i="5"/>
  <c r="I329" i="5"/>
  <c r="H329" i="5"/>
  <c r="G329" i="5"/>
  <c r="F329" i="5"/>
  <c r="E329" i="5"/>
  <c r="D329" i="5"/>
  <c r="C329" i="5"/>
  <c r="B329" i="5"/>
  <c r="R289" i="5"/>
  <c r="R425" i="5" s="1"/>
  <c r="Q289" i="5"/>
  <c r="Q425" i="5" s="1"/>
  <c r="P289" i="5"/>
  <c r="P425" i="5" s="1"/>
  <c r="O289" i="5"/>
  <c r="O425" i="5" s="1"/>
  <c r="N289" i="5"/>
  <c r="N425" i="5" s="1"/>
  <c r="M289" i="5"/>
  <c r="M425" i="5" s="1"/>
  <c r="L289" i="5"/>
  <c r="L425" i="5" s="1"/>
  <c r="K289" i="5"/>
  <c r="K425" i="5" s="1"/>
  <c r="H289" i="5"/>
  <c r="H425" i="5" s="1"/>
  <c r="G289" i="5"/>
  <c r="G425" i="5" s="1"/>
  <c r="F289" i="5"/>
  <c r="F425" i="5" s="1"/>
  <c r="E289" i="5"/>
  <c r="E425" i="5" s="1"/>
  <c r="D289" i="5"/>
  <c r="D425" i="5" s="1"/>
  <c r="C289" i="5"/>
  <c r="C425" i="5" s="1"/>
  <c r="B289" i="5"/>
  <c r="B425" i="5" s="1"/>
  <c r="I241" i="5"/>
  <c r="I407" i="5" s="1"/>
  <c r="I193" i="5"/>
  <c r="I386" i="5" s="1"/>
  <c r="I145" i="5"/>
  <c r="H385" i="4"/>
  <c r="D385" i="4"/>
  <c r="E385" i="4"/>
  <c r="F385" i="4"/>
  <c r="G385" i="4"/>
  <c r="C385" i="4"/>
  <c r="B385" i="4"/>
  <c r="F367" i="4"/>
  <c r="G367" i="4"/>
  <c r="H367" i="4"/>
  <c r="E367" i="4"/>
  <c r="C367" i="4"/>
  <c r="D367" i="4"/>
  <c r="B367" i="4"/>
  <c r="D347" i="4"/>
  <c r="C347" i="4"/>
  <c r="H347" i="4"/>
  <c r="E347" i="4"/>
  <c r="F347" i="4"/>
  <c r="G347" i="4"/>
  <c r="B347" i="4"/>
  <c r="G329" i="4"/>
  <c r="B310" i="4"/>
  <c r="G311" i="4"/>
  <c r="H395" i="4"/>
  <c r="G395" i="4"/>
  <c r="F395" i="4"/>
  <c r="E395" i="4"/>
  <c r="D395" i="4"/>
  <c r="C395" i="4"/>
  <c r="B395" i="4"/>
  <c r="H377" i="4"/>
  <c r="G377" i="4"/>
  <c r="F377" i="4"/>
  <c r="E377" i="4"/>
  <c r="D377" i="4"/>
  <c r="C377" i="4"/>
  <c r="B377" i="4"/>
  <c r="H357" i="4"/>
  <c r="G357" i="4"/>
  <c r="F357" i="4"/>
  <c r="E357" i="4"/>
  <c r="D357" i="4"/>
  <c r="C357" i="4"/>
  <c r="B357" i="4"/>
  <c r="I339" i="4"/>
  <c r="H339" i="4"/>
  <c r="G339" i="4"/>
  <c r="F339" i="4"/>
  <c r="E339" i="4"/>
  <c r="D339" i="4"/>
  <c r="C339" i="4"/>
  <c r="B339" i="4"/>
  <c r="I321" i="4"/>
  <c r="H321" i="4"/>
  <c r="G321" i="4"/>
  <c r="F321" i="4"/>
  <c r="E321" i="4"/>
  <c r="D321" i="4"/>
  <c r="C321" i="4"/>
  <c r="B321" i="4"/>
  <c r="H276" i="4"/>
  <c r="H413" i="4" s="1"/>
  <c r="G276" i="4"/>
  <c r="G413" i="4" s="1"/>
  <c r="F276" i="4"/>
  <c r="F413" i="4" s="1"/>
  <c r="E276" i="4"/>
  <c r="E413" i="4" s="1"/>
  <c r="D276" i="4"/>
  <c r="D413" i="4" s="1"/>
  <c r="C276" i="4"/>
  <c r="C413" i="4" s="1"/>
  <c r="B276" i="4"/>
  <c r="B413" i="4" s="1"/>
  <c r="I230" i="4"/>
  <c r="I395" i="4" s="1"/>
  <c r="I184" i="4"/>
  <c r="I377" i="4" s="1"/>
  <c r="I138" i="4"/>
  <c r="I357" i="4" s="1"/>
  <c r="L358" i="7" l="1"/>
  <c r="L145" i="25"/>
  <c r="L261" i="25" s="1"/>
  <c r="X358" i="7"/>
  <c r="X145" i="25"/>
  <c r="X261" i="25" s="1"/>
  <c r="L356" i="6"/>
  <c r="L144" i="24"/>
  <c r="L265" i="24" s="1"/>
  <c r="F36" i="3"/>
  <c r="E36" i="3"/>
  <c r="I368" i="5"/>
  <c r="L145" i="23"/>
  <c r="L261" i="23" s="1"/>
  <c r="F18" i="3"/>
  <c r="E18" i="3"/>
  <c r="S422" i="12"/>
  <c r="X49" i="25"/>
  <c r="K422" i="12"/>
  <c r="L49" i="25"/>
  <c r="R212" i="30"/>
  <c r="R145" i="30"/>
  <c r="R234" i="30" s="1"/>
  <c r="K403" i="12"/>
  <c r="I97" i="30"/>
  <c r="K419" i="11"/>
  <c r="L48" i="24"/>
  <c r="I202" i="29"/>
  <c r="I144" i="29"/>
  <c r="I221" i="29" s="1"/>
  <c r="E41" i="8"/>
  <c r="D41" i="8"/>
  <c r="L572" i="10"/>
  <c r="L49" i="23"/>
  <c r="C41" i="8"/>
  <c r="L491" i="9"/>
  <c r="F21" i="8" s="1"/>
  <c r="L93" i="22"/>
  <c r="L450" i="9"/>
  <c r="D21" i="8" s="1"/>
  <c r="L47" i="22"/>
  <c r="H471" i="26"/>
  <c r="H337" i="26"/>
  <c r="H493" i="26" s="1"/>
  <c r="H241" i="14"/>
  <c r="H360" i="14" s="1"/>
  <c r="M506" i="12"/>
  <c r="E506" i="12"/>
  <c r="N506" i="12"/>
  <c r="D506" i="12"/>
  <c r="F506" i="12"/>
  <c r="O506" i="12"/>
  <c r="G506" i="12"/>
  <c r="P506" i="12"/>
  <c r="H506" i="12"/>
  <c r="Q506" i="12"/>
  <c r="I506" i="12"/>
  <c r="R506" i="12"/>
  <c r="B506" i="12"/>
  <c r="J506" i="12"/>
  <c r="C506" i="12"/>
  <c r="S290" i="12"/>
  <c r="S403" i="12"/>
  <c r="K290" i="12"/>
  <c r="D499" i="11"/>
  <c r="E499" i="11"/>
  <c r="F499" i="11"/>
  <c r="G499" i="11"/>
  <c r="H499" i="11"/>
  <c r="I499" i="11"/>
  <c r="B499" i="11"/>
  <c r="C499" i="11"/>
  <c r="K290" i="11"/>
  <c r="K400" i="11"/>
  <c r="C654" i="10"/>
  <c r="H654" i="10"/>
  <c r="K654" i="10"/>
  <c r="R654" i="10"/>
  <c r="D654" i="10"/>
  <c r="E654" i="10"/>
  <c r="N654" i="10"/>
  <c r="F654" i="10"/>
  <c r="O654" i="10"/>
  <c r="G654" i="10"/>
  <c r="P654" i="10"/>
  <c r="Q654" i="10"/>
  <c r="I654" i="10"/>
  <c r="B654" i="10"/>
  <c r="J654" i="10"/>
  <c r="S505" i="10"/>
  <c r="S676" i="10" s="1"/>
  <c r="S553" i="10"/>
  <c r="L433" i="10"/>
  <c r="C510" i="9"/>
  <c r="E510" i="9"/>
  <c r="K510" i="9"/>
  <c r="F510" i="9"/>
  <c r="G510" i="9"/>
  <c r="H510" i="9"/>
  <c r="I510" i="9"/>
  <c r="J510" i="9"/>
  <c r="D510" i="9"/>
  <c r="L319" i="9"/>
  <c r="H36" i="3"/>
  <c r="X289" i="7"/>
  <c r="X415" i="7" s="1"/>
  <c r="L289" i="7"/>
  <c r="L415" i="7" s="1"/>
  <c r="L289" i="6"/>
  <c r="L412" i="6" s="1"/>
  <c r="I289" i="5"/>
  <c r="I425" i="5" s="1"/>
  <c r="I276" i="4"/>
  <c r="I413" i="4" s="1"/>
  <c r="H18" i="3" s="1"/>
  <c r="X220" i="25" l="1"/>
  <c r="X193" i="25"/>
  <c r="X280" i="25" s="1"/>
  <c r="L220" i="25"/>
  <c r="L193" i="25"/>
  <c r="L280" i="25" s="1"/>
  <c r="I212" i="30"/>
  <c r="I145" i="30"/>
  <c r="I234" i="30" s="1"/>
  <c r="L224" i="24"/>
  <c r="L192" i="24"/>
  <c r="L284" i="24" s="1"/>
  <c r="L220" i="23"/>
  <c r="L193" i="23"/>
  <c r="L280" i="23" s="1"/>
  <c r="L185" i="22"/>
  <c r="L281" i="22" s="1"/>
  <c r="S338" i="12"/>
  <c r="S529" i="12" s="1"/>
  <c r="S506" i="12"/>
  <c r="K338" i="12"/>
  <c r="K529" i="12" s="1"/>
  <c r="K506" i="12"/>
  <c r="K338" i="11"/>
  <c r="K520" i="11" s="1"/>
  <c r="K499" i="11"/>
  <c r="L505" i="10"/>
  <c r="L654" i="10"/>
  <c r="L372" i="9"/>
  <c r="L532" i="9" s="1"/>
  <c r="G21" i="8" s="1"/>
  <c r="K21" i="8" s="1"/>
  <c r="L510" i="9"/>
  <c r="L676" i="10" l="1"/>
  <c r="G41" i="8"/>
  <c r="K41" i="8" s="1"/>
  <c r="C260" i="32"/>
  <c r="D260" i="32"/>
  <c r="E260" i="32"/>
  <c r="F260" i="32"/>
  <c r="K260" i="32"/>
  <c r="M260" i="32"/>
  <c r="Q260" i="32"/>
  <c r="R260" i="32"/>
  <c r="S260" i="32"/>
  <c r="T260" i="32"/>
  <c r="C261" i="32"/>
  <c r="D261" i="32"/>
  <c r="P261" i="32"/>
  <c r="S261" i="32"/>
  <c r="B262" i="32"/>
  <c r="D262" i="32"/>
  <c r="E262" i="32"/>
  <c r="F262" i="32"/>
  <c r="K262" i="32"/>
  <c r="L262" i="32"/>
  <c r="M262" i="32"/>
  <c r="P262" i="32"/>
  <c r="Q262" i="32"/>
  <c r="R262" i="32"/>
  <c r="T262" i="32"/>
  <c r="B263" i="32"/>
  <c r="C263" i="32"/>
  <c r="D263" i="32"/>
  <c r="E263" i="32"/>
  <c r="K263" i="32"/>
  <c r="L263" i="32"/>
  <c r="P263" i="32"/>
  <c r="Q263" i="32"/>
  <c r="R263" i="32"/>
  <c r="S263" i="32"/>
  <c r="B264" i="32"/>
  <c r="C264" i="32"/>
  <c r="D264" i="32"/>
  <c r="E264" i="32"/>
  <c r="F264" i="32"/>
  <c r="I264" i="32"/>
  <c r="J264" i="32"/>
  <c r="K264" i="32"/>
  <c r="L264" i="32"/>
  <c r="M264" i="32"/>
  <c r="P264" i="32"/>
  <c r="Q264" i="32"/>
  <c r="R264" i="32"/>
  <c r="S264" i="32"/>
  <c r="T264" i="32"/>
  <c r="B266" i="32"/>
  <c r="C266" i="32"/>
  <c r="D266" i="32"/>
  <c r="E266" i="32"/>
  <c r="F266" i="32"/>
  <c r="I266" i="32"/>
  <c r="J266" i="32"/>
  <c r="K266" i="32"/>
  <c r="L266" i="32"/>
  <c r="M266" i="32"/>
  <c r="P266" i="32"/>
  <c r="Q266" i="32"/>
  <c r="R266" i="32"/>
  <c r="S266" i="32"/>
  <c r="T266" i="32"/>
  <c r="B267" i="32"/>
  <c r="C267" i="32"/>
  <c r="D267" i="32"/>
  <c r="E267" i="32"/>
  <c r="F267" i="32"/>
  <c r="I267" i="32"/>
  <c r="J267" i="32"/>
  <c r="K267" i="32"/>
  <c r="L267" i="32"/>
  <c r="M267" i="32"/>
  <c r="B268" i="32"/>
  <c r="C268" i="32"/>
  <c r="D268" i="32"/>
  <c r="E268" i="32"/>
  <c r="F268" i="32"/>
  <c r="I268" i="32"/>
  <c r="J268" i="32"/>
  <c r="K268" i="32"/>
  <c r="L268" i="32"/>
  <c r="M268" i="32"/>
  <c r="P268" i="32"/>
  <c r="Q268" i="32"/>
  <c r="R268" i="32"/>
  <c r="S268" i="32"/>
  <c r="T268" i="32"/>
  <c r="B269" i="32"/>
  <c r="C269" i="32"/>
  <c r="D269" i="32"/>
  <c r="E269" i="32"/>
  <c r="F269" i="32"/>
  <c r="I269" i="32"/>
  <c r="J269" i="32"/>
  <c r="K269" i="32"/>
  <c r="L269" i="32"/>
  <c r="M269" i="32"/>
  <c r="B270" i="32"/>
  <c r="C270" i="32"/>
  <c r="D270" i="32"/>
  <c r="E270" i="32"/>
  <c r="F270" i="32"/>
  <c r="I270" i="32"/>
  <c r="J270" i="32"/>
  <c r="K270" i="32"/>
  <c r="L270" i="32"/>
  <c r="M270" i="32"/>
  <c r="P270" i="32"/>
  <c r="Q270" i="32"/>
  <c r="R270" i="32"/>
  <c r="S270" i="32"/>
  <c r="T270" i="32"/>
  <c r="B271" i="32"/>
  <c r="C271" i="32"/>
  <c r="D271" i="32"/>
  <c r="E271" i="32"/>
  <c r="F271" i="32"/>
  <c r="I271" i="32"/>
  <c r="J271" i="32"/>
  <c r="K271" i="32"/>
  <c r="L271" i="32"/>
  <c r="M271" i="32"/>
  <c r="N271" i="32"/>
  <c r="B272" i="32"/>
  <c r="C272" i="32"/>
  <c r="D272" i="32"/>
  <c r="E272" i="32"/>
  <c r="F272" i="32"/>
  <c r="I272" i="32"/>
  <c r="J272" i="32"/>
  <c r="K272" i="32"/>
  <c r="L272" i="32"/>
  <c r="M272" i="32"/>
  <c r="P272" i="32"/>
  <c r="Q272" i="32"/>
  <c r="R272" i="32"/>
  <c r="S272" i="32"/>
  <c r="T272" i="32"/>
  <c r="B273" i="32"/>
  <c r="C273" i="32"/>
  <c r="D273" i="32"/>
  <c r="E273" i="32"/>
  <c r="F273" i="32"/>
  <c r="I273" i="32"/>
  <c r="J273" i="32"/>
  <c r="K273" i="32"/>
  <c r="L273" i="32"/>
  <c r="M273" i="32"/>
  <c r="B274" i="32"/>
  <c r="C274" i="32"/>
  <c r="D274" i="32"/>
  <c r="E274" i="32"/>
  <c r="F274" i="32"/>
  <c r="I274" i="32"/>
  <c r="J274" i="32"/>
  <c r="K274" i="32"/>
  <c r="L274" i="32"/>
  <c r="M274" i="32"/>
  <c r="P274" i="32"/>
  <c r="Q274" i="32"/>
  <c r="R274" i="32"/>
  <c r="S274" i="32"/>
  <c r="T274" i="32"/>
  <c r="B276" i="32"/>
  <c r="C276" i="32"/>
  <c r="D276" i="32"/>
  <c r="E276" i="32"/>
  <c r="F276" i="32"/>
  <c r="I276" i="32"/>
  <c r="J276" i="32"/>
  <c r="K276" i="32"/>
  <c r="L276" i="32"/>
  <c r="M276" i="32"/>
  <c r="N276" i="32"/>
  <c r="A284" i="25"/>
  <c r="B275" i="4" l="1"/>
  <c r="C275" i="4"/>
  <c r="D275" i="4"/>
  <c r="B277" i="4"/>
  <c r="C277" i="4"/>
  <c r="D277" i="4"/>
  <c r="I139" i="4"/>
  <c r="J193" i="17"/>
  <c r="K193" i="17"/>
  <c r="J195" i="17"/>
  <c r="K195" i="17"/>
  <c r="U145" i="17"/>
  <c r="U147" i="17"/>
  <c r="J144" i="17"/>
  <c r="J145" i="17"/>
  <c r="J147" i="17"/>
  <c r="E128" i="18" l="1"/>
  <c r="A368" i="20"/>
  <c r="A367" i="19"/>
  <c r="Q291" i="12" l="1"/>
  <c r="C270" i="9"/>
  <c r="D270" i="9"/>
  <c r="Q96" i="30" l="1"/>
  <c r="Q211" i="30" s="1"/>
  <c r="P96" i="30"/>
  <c r="P211" i="30" s="1"/>
  <c r="O96" i="30"/>
  <c r="O211" i="30" s="1"/>
  <c r="N96" i="30"/>
  <c r="N211" i="30" s="1"/>
  <c r="M96" i="30"/>
  <c r="M211" i="30" s="1"/>
  <c r="L96" i="30"/>
  <c r="L211" i="30" s="1"/>
  <c r="K96" i="30"/>
  <c r="K211" i="30" s="1"/>
  <c r="H96" i="30"/>
  <c r="H211" i="30" s="1"/>
  <c r="G96" i="30"/>
  <c r="G211" i="30" s="1"/>
  <c r="F96" i="30"/>
  <c r="F211" i="30" s="1"/>
  <c r="E96" i="30"/>
  <c r="E211" i="30" s="1"/>
  <c r="D96" i="30"/>
  <c r="D211" i="30" s="1"/>
  <c r="C96" i="30"/>
  <c r="C211" i="30" s="1"/>
  <c r="B96" i="30"/>
  <c r="B211" i="30" s="1"/>
  <c r="Q48" i="30"/>
  <c r="Q192" i="30" s="1"/>
  <c r="P48" i="30"/>
  <c r="P192" i="30" s="1"/>
  <c r="O48" i="30"/>
  <c r="O192" i="30" s="1"/>
  <c r="N48" i="30"/>
  <c r="N192" i="30" s="1"/>
  <c r="M48" i="30"/>
  <c r="M192" i="30" s="1"/>
  <c r="L48" i="30"/>
  <c r="L192" i="30" s="1"/>
  <c r="K48" i="30"/>
  <c r="K192" i="30" s="1"/>
  <c r="H48" i="30"/>
  <c r="H192" i="30" s="1"/>
  <c r="G48" i="30"/>
  <c r="G192" i="30" s="1"/>
  <c r="F48" i="30"/>
  <c r="F192" i="30" s="1"/>
  <c r="E48" i="30"/>
  <c r="E192" i="30" s="1"/>
  <c r="D48" i="30"/>
  <c r="D192" i="30" s="1"/>
  <c r="C48" i="30"/>
  <c r="C192" i="30" s="1"/>
  <c r="B48" i="30"/>
  <c r="B192" i="30" s="1"/>
  <c r="H95" i="29"/>
  <c r="H201" i="29" s="1"/>
  <c r="G95" i="29"/>
  <c r="G201" i="29" s="1"/>
  <c r="F95" i="29"/>
  <c r="E95" i="29"/>
  <c r="E201" i="29" s="1"/>
  <c r="D95" i="29"/>
  <c r="D201" i="29" s="1"/>
  <c r="C95" i="29"/>
  <c r="C201" i="29" s="1"/>
  <c r="B95" i="29"/>
  <c r="B201" i="29" s="1"/>
  <c r="H47" i="29"/>
  <c r="H182" i="29" s="1"/>
  <c r="G47" i="29"/>
  <c r="G182" i="29" s="1"/>
  <c r="F47" i="29"/>
  <c r="F182" i="29" s="1"/>
  <c r="E47" i="29"/>
  <c r="E182" i="29" s="1"/>
  <c r="D47" i="29"/>
  <c r="D182" i="29" s="1"/>
  <c r="C47" i="29"/>
  <c r="C182" i="29" s="1"/>
  <c r="B47" i="29"/>
  <c r="B182" i="29" s="1"/>
  <c r="J427" i="27"/>
  <c r="O367" i="27"/>
  <c r="K367" i="27"/>
  <c r="J367" i="27"/>
  <c r="G367" i="27"/>
  <c r="J240" i="27"/>
  <c r="J449" i="27" s="1"/>
  <c r="O192" i="27"/>
  <c r="O240" i="27" s="1"/>
  <c r="O449" i="27" s="1"/>
  <c r="N192" i="27"/>
  <c r="N427" i="27" s="1"/>
  <c r="M192" i="27"/>
  <c r="M427" i="27" s="1"/>
  <c r="L192" i="27"/>
  <c r="L427" i="27" s="1"/>
  <c r="K192" i="27"/>
  <c r="K427" i="27" s="1"/>
  <c r="G192" i="27"/>
  <c r="G240" i="27" s="1"/>
  <c r="G449" i="27" s="1"/>
  <c r="F192" i="27"/>
  <c r="F427" i="27" s="1"/>
  <c r="E192" i="27"/>
  <c r="E427" i="27" s="1"/>
  <c r="D192" i="27"/>
  <c r="D427" i="27" s="1"/>
  <c r="C192" i="27"/>
  <c r="C427" i="27" s="1"/>
  <c r="B192" i="27"/>
  <c r="B427" i="27" s="1"/>
  <c r="O96" i="27"/>
  <c r="O144" i="27" s="1"/>
  <c r="O408" i="27" s="1"/>
  <c r="N96" i="27"/>
  <c r="N386" i="27" s="1"/>
  <c r="M96" i="27"/>
  <c r="M386" i="27" s="1"/>
  <c r="L96" i="27"/>
  <c r="L386" i="27" s="1"/>
  <c r="K96" i="27"/>
  <c r="K144" i="27" s="1"/>
  <c r="K408" i="27" s="1"/>
  <c r="J96" i="27"/>
  <c r="J144" i="27" s="1"/>
  <c r="J408" i="27" s="1"/>
  <c r="G96" i="27"/>
  <c r="G144" i="27" s="1"/>
  <c r="G408" i="27" s="1"/>
  <c r="F96" i="27"/>
  <c r="F386" i="27" s="1"/>
  <c r="E96" i="27"/>
  <c r="E386" i="27" s="1"/>
  <c r="D96" i="27"/>
  <c r="D386" i="27" s="1"/>
  <c r="C96" i="27"/>
  <c r="C386" i="27" s="1"/>
  <c r="B96" i="27"/>
  <c r="B386" i="27" s="1"/>
  <c r="N48" i="27"/>
  <c r="N367" i="27" s="1"/>
  <c r="M48" i="27"/>
  <c r="M367" i="27" s="1"/>
  <c r="L48" i="27"/>
  <c r="L367" i="27" s="1"/>
  <c r="F48" i="27"/>
  <c r="E48" i="27"/>
  <c r="D48" i="27"/>
  <c r="C48" i="27"/>
  <c r="C367" i="27" s="1"/>
  <c r="B48" i="27"/>
  <c r="G192" i="26"/>
  <c r="G432" i="26" s="1"/>
  <c r="F192" i="26"/>
  <c r="F432" i="26" s="1"/>
  <c r="E192" i="26"/>
  <c r="E432" i="26" s="1"/>
  <c r="D192" i="26"/>
  <c r="D432" i="26" s="1"/>
  <c r="C192" i="26"/>
  <c r="C432" i="26" s="1"/>
  <c r="B192" i="26"/>
  <c r="B432" i="26" s="1"/>
  <c r="G96" i="26"/>
  <c r="G391" i="26" s="1"/>
  <c r="F96" i="26"/>
  <c r="F391" i="26" s="1"/>
  <c r="E96" i="26"/>
  <c r="E391" i="26" s="1"/>
  <c r="D96" i="26"/>
  <c r="D391" i="26" s="1"/>
  <c r="C96" i="26"/>
  <c r="C391" i="26" s="1"/>
  <c r="B96" i="26"/>
  <c r="B391" i="26" s="1"/>
  <c r="G48" i="26"/>
  <c r="G372" i="26" s="1"/>
  <c r="F48" i="26"/>
  <c r="F372" i="26" s="1"/>
  <c r="E48" i="26"/>
  <c r="D48" i="26"/>
  <c r="D372" i="26" s="1"/>
  <c r="C48" i="26"/>
  <c r="C372" i="26" s="1"/>
  <c r="B48" i="26"/>
  <c r="B372" i="26" s="1"/>
  <c r="K238" i="25"/>
  <c r="B238" i="25"/>
  <c r="W219" i="25"/>
  <c r="P219" i="25"/>
  <c r="O219" i="25"/>
  <c r="N219" i="25"/>
  <c r="K219" i="25"/>
  <c r="B219" i="25"/>
  <c r="W144" i="25"/>
  <c r="W260" i="25" s="1"/>
  <c r="V144" i="25"/>
  <c r="V260" i="25" s="1"/>
  <c r="U144" i="25"/>
  <c r="U260" i="25" s="1"/>
  <c r="T144" i="25"/>
  <c r="T260" i="25" s="1"/>
  <c r="S144" i="25"/>
  <c r="S260" i="25" s="1"/>
  <c r="R144" i="25"/>
  <c r="R260" i="25" s="1"/>
  <c r="Q144" i="25"/>
  <c r="Q260" i="25" s="1"/>
  <c r="P144" i="25"/>
  <c r="P260" i="25" s="1"/>
  <c r="O144" i="25"/>
  <c r="O260" i="25" s="1"/>
  <c r="N144" i="25"/>
  <c r="N260" i="25" s="1"/>
  <c r="K144" i="25"/>
  <c r="K192" i="25" s="1"/>
  <c r="K279" i="25" s="1"/>
  <c r="J144" i="25"/>
  <c r="J260" i="25" s="1"/>
  <c r="I144" i="25"/>
  <c r="I260" i="25" s="1"/>
  <c r="H144" i="25"/>
  <c r="H260" i="25" s="1"/>
  <c r="G144" i="25"/>
  <c r="G260" i="25" s="1"/>
  <c r="F144" i="25"/>
  <c r="F260" i="25" s="1"/>
  <c r="E144" i="25"/>
  <c r="E260" i="25" s="1"/>
  <c r="D144" i="25"/>
  <c r="D260" i="25" s="1"/>
  <c r="C144" i="25"/>
  <c r="C260" i="25" s="1"/>
  <c r="B144" i="25"/>
  <c r="B192" i="25" s="1"/>
  <c r="B279" i="25" s="1"/>
  <c r="W96" i="25"/>
  <c r="W238" i="25" s="1"/>
  <c r="V96" i="25"/>
  <c r="V238" i="25" s="1"/>
  <c r="U96" i="25"/>
  <c r="U238" i="25" s="1"/>
  <c r="T96" i="25"/>
  <c r="T238" i="25" s="1"/>
  <c r="S96" i="25"/>
  <c r="S238" i="25" s="1"/>
  <c r="R96" i="25"/>
  <c r="R238" i="25" s="1"/>
  <c r="Q96" i="25"/>
  <c r="Q238" i="25" s="1"/>
  <c r="P96" i="25"/>
  <c r="P238" i="25" s="1"/>
  <c r="O96" i="25"/>
  <c r="O238" i="25" s="1"/>
  <c r="N96" i="25"/>
  <c r="N238" i="25" s="1"/>
  <c r="J96" i="25"/>
  <c r="J238" i="25" s="1"/>
  <c r="I96" i="25"/>
  <c r="I238" i="25" s="1"/>
  <c r="H96" i="25"/>
  <c r="G96" i="25"/>
  <c r="G238" i="25" s="1"/>
  <c r="F96" i="25"/>
  <c r="F238" i="25" s="1"/>
  <c r="E96" i="25"/>
  <c r="E238" i="25" s="1"/>
  <c r="D96" i="25"/>
  <c r="D238" i="25" s="1"/>
  <c r="C96" i="25"/>
  <c r="C238" i="25" s="1"/>
  <c r="V48" i="25"/>
  <c r="V219" i="25" s="1"/>
  <c r="U48" i="25"/>
  <c r="U219" i="25" s="1"/>
  <c r="T48" i="25"/>
  <c r="T219" i="25" s="1"/>
  <c r="S48" i="25"/>
  <c r="S219" i="25" s="1"/>
  <c r="R48" i="25"/>
  <c r="R219" i="25" s="1"/>
  <c r="Q48" i="25"/>
  <c r="Q219" i="25" s="1"/>
  <c r="J48" i="25"/>
  <c r="J219" i="25" s="1"/>
  <c r="I48" i="25"/>
  <c r="I219" i="25" s="1"/>
  <c r="H48" i="25"/>
  <c r="H219" i="25" s="1"/>
  <c r="G48" i="25"/>
  <c r="G219" i="25" s="1"/>
  <c r="F48" i="25"/>
  <c r="F219" i="25" s="1"/>
  <c r="E48" i="25"/>
  <c r="E219" i="25" s="1"/>
  <c r="D48" i="25"/>
  <c r="D219" i="25" s="1"/>
  <c r="C48" i="25"/>
  <c r="C219" i="25" s="1"/>
  <c r="B223" i="24"/>
  <c r="K143" i="24"/>
  <c r="J143" i="24"/>
  <c r="J264" i="24" s="1"/>
  <c r="I143" i="24"/>
  <c r="I264" i="24" s="1"/>
  <c r="H143" i="24"/>
  <c r="H264" i="24" s="1"/>
  <c r="G143" i="24"/>
  <c r="G264" i="24" s="1"/>
  <c r="F143" i="24"/>
  <c r="F264" i="24" s="1"/>
  <c r="E143" i="24"/>
  <c r="E264" i="24" s="1"/>
  <c r="D143" i="24"/>
  <c r="D264" i="24" s="1"/>
  <c r="C143" i="24"/>
  <c r="C264" i="24" s="1"/>
  <c r="B143" i="24"/>
  <c r="B264" i="24" s="1"/>
  <c r="K95" i="24"/>
  <c r="K242" i="24" s="1"/>
  <c r="J95" i="24"/>
  <c r="J242" i="24" s="1"/>
  <c r="I95" i="24"/>
  <c r="I242" i="24" s="1"/>
  <c r="H95" i="24"/>
  <c r="H242" i="24" s="1"/>
  <c r="G95" i="24"/>
  <c r="G242" i="24" s="1"/>
  <c r="F95" i="24"/>
  <c r="F242" i="24" s="1"/>
  <c r="E95" i="24"/>
  <c r="E242" i="24" s="1"/>
  <c r="D95" i="24"/>
  <c r="D242" i="24" s="1"/>
  <c r="C95" i="24"/>
  <c r="C242" i="24" s="1"/>
  <c r="B95" i="24"/>
  <c r="B242" i="24" s="1"/>
  <c r="K47" i="24"/>
  <c r="K223" i="24" s="1"/>
  <c r="J47" i="24"/>
  <c r="J223" i="24" s="1"/>
  <c r="I47" i="24"/>
  <c r="I223" i="24" s="1"/>
  <c r="H47" i="24"/>
  <c r="H223" i="24" s="1"/>
  <c r="G47" i="24"/>
  <c r="G223" i="24" s="1"/>
  <c r="F47" i="24"/>
  <c r="F223" i="24" s="1"/>
  <c r="E47" i="24"/>
  <c r="E223" i="24" s="1"/>
  <c r="D47" i="24"/>
  <c r="D223" i="24" s="1"/>
  <c r="C47" i="24"/>
  <c r="C223" i="24" s="1"/>
  <c r="X260" i="23"/>
  <c r="W260" i="23"/>
  <c r="V260" i="23"/>
  <c r="U260" i="23"/>
  <c r="T260" i="23"/>
  <c r="S260" i="23"/>
  <c r="R260" i="23"/>
  <c r="Q260" i="23"/>
  <c r="P260" i="23"/>
  <c r="O260" i="23"/>
  <c r="N260" i="23"/>
  <c r="K260" i="23"/>
  <c r="J260" i="23"/>
  <c r="B260" i="23"/>
  <c r="X238" i="23"/>
  <c r="W238" i="23"/>
  <c r="V238" i="23"/>
  <c r="U238" i="23"/>
  <c r="T238" i="23"/>
  <c r="S238" i="23"/>
  <c r="R238" i="23"/>
  <c r="Q238" i="23"/>
  <c r="P238" i="23"/>
  <c r="O238" i="23"/>
  <c r="N238" i="23"/>
  <c r="X219" i="23"/>
  <c r="W219" i="23"/>
  <c r="V219" i="23"/>
  <c r="P219" i="23"/>
  <c r="O219" i="23"/>
  <c r="N219" i="23"/>
  <c r="X192" i="23"/>
  <c r="W192" i="23"/>
  <c r="W279" i="23" s="1"/>
  <c r="V192" i="23"/>
  <c r="V279" i="23" s="1"/>
  <c r="P192" i="23"/>
  <c r="P279" i="23" s="1"/>
  <c r="O192" i="23"/>
  <c r="O279" i="23" s="1"/>
  <c r="N192" i="23"/>
  <c r="N279" i="23" s="1"/>
  <c r="I144" i="23"/>
  <c r="I260" i="23" s="1"/>
  <c r="H144" i="23"/>
  <c r="H260" i="23" s="1"/>
  <c r="G144" i="23"/>
  <c r="G260" i="23" s="1"/>
  <c r="F144" i="23"/>
  <c r="F260" i="23" s="1"/>
  <c r="E144" i="23"/>
  <c r="E260" i="23" s="1"/>
  <c r="D144" i="23"/>
  <c r="D260" i="23" s="1"/>
  <c r="C144" i="23"/>
  <c r="C260" i="23" s="1"/>
  <c r="K96" i="23"/>
  <c r="K238" i="23" s="1"/>
  <c r="J96" i="23"/>
  <c r="J238" i="23" s="1"/>
  <c r="I96" i="23"/>
  <c r="I238" i="23" s="1"/>
  <c r="H96" i="23"/>
  <c r="H238" i="23" s="1"/>
  <c r="G96" i="23"/>
  <c r="G238" i="23" s="1"/>
  <c r="F96" i="23"/>
  <c r="F238" i="23" s="1"/>
  <c r="E96" i="23"/>
  <c r="E238" i="23" s="1"/>
  <c r="D96" i="23"/>
  <c r="D238" i="23" s="1"/>
  <c r="C96" i="23"/>
  <c r="C238" i="23" s="1"/>
  <c r="B96" i="23"/>
  <c r="B238" i="23" s="1"/>
  <c r="U48" i="23"/>
  <c r="U192" i="23" s="1"/>
  <c r="U279" i="23" s="1"/>
  <c r="T48" i="23"/>
  <c r="T192" i="23" s="1"/>
  <c r="T279" i="23" s="1"/>
  <c r="S48" i="23"/>
  <c r="S192" i="23" s="1"/>
  <c r="S279" i="23" s="1"/>
  <c r="R48" i="23"/>
  <c r="R192" i="23" s="1"/>
  <c r="R279" i="23" s="1"/>
  <c r="Q48" i="23"/>
  <c r="Q192" i="23" s="1"/>
  <c r="Q279" i="23" s="1"/>
  <c r="K48" i="23"/>
  <c r="K219" i="23" s="1"/>
  <c r="J48" i="23"/>
  <c r="J219" i="23" s="1"/>
  <c r="I48" i="23"/>
  <c r="I219" i="23" s="1"/>
  <c r="H48" i="23"/>
  <c r="H219" i="23" s="1"/>
  <c r="G48" i="23"/>
  <c r="G219" i="23" s="1"/>
  <c r="F48" i="23"/>
  <c r="F219" i="23" s="1"/>
  <c r="E48" i="23"/>
  <c r="E219" i="23" s="1"/>
  <c r="D48" i="23"/>
  <c r="D219" i="23" s="1"/>
  <c r="C48" i="23"/>
  <c r="C219" i="23" s="1"/>
  <c r="B48" i="23"/>
  <c r="B219" i="23" s="1"/>
  <c r="K261" i="22"/>
  <c r="J261" i="22"/>
  <c r="B261" i="22"/>
  <c r="I138" i="22"/>
  <c r="I261" i="22" s="1"/>
  <c r="H138" i="22"/>
  <c r="H261" i="22" s="1"/>
  <c r="G138" i="22"/>
  <c r="G261" i="22" s="1"/>
  <c r="F138" i="22"/>
  <c r="F261" i="22" s="1"/>
  <c r="E138" i="22"/>
  <c r="D138" i="22"/>
  <c r="C138" i="22"/>
  <c r="C261" i="22" s="1"/>
  <c r="K92" i="22"/>
  <c r="J92" i="22"/>
  <c r="I92" i="22"/>
  <c r="H92" i="22"/>
  <c r="G92" i="22"/>
  <c r="F92" i="22"/>
  <c r="E92" i="22"/>
  <c r="D92" i="22"/>
  <c r="C92" i="22"/>
  <c r="B92" i="22"/>
  <c r="K46" i="22"/>
  <c r="J46" i="22"/>
  <c r="I46" i="22"/>
  <c r="H46" i="22"/>
  <c r="G46" i="22"/>
  <c r="F46" i="22"/>
  <c r="E46" i="22"/>
  <c r="D46" i="22"/>
  <c r="C46" i="22"/>
  <c r="B46" i="22"/>
  <c r="F63" i="8"/>
  <c r="E63" i="8"/>
  <c r="D63" i="8"/>
  <c r="C63" i="8"/>
  <c r="F53" i="3"/>
  <c r="E53" i="3"/>
  <c r="D53" i="3"/>
  <c r="C53" i="3"/>
  <c r="B53" i="3"/>
  <c r="Q339" i="20"/>
  <c r="P339" i="20"/>
  <c r="O339" i="20"/>
  <c r="N339" i="20"/>
  <c r="M339" i="20"/>
  <c r="L339" i="20"/>
  <c r="K339" i="20"/>
  <c r="H339" i="20"/>
  <c r="G339" i="20"/>
  <c r="F339" i="20"/>
  <c r="E339" i="20"/>
  <c r="D339" i="20"/>
  <c r="C339" i="20"/>
  <c r="B339" i="20"/>
  <c r="Q320" i="20"/>
  <c r="P320" i="20"/>
  <c r="O320" i="20"/>
  <c r="N320" i="20"/>
  <c r="M320" i="20"/>
  <c r="L320" i="20"/>
  <c r="K320" i="20"/>
  <c r="H320" i="20"/>
  <c r="G320" i="20"/>
  <c r="F320" i="20"/>
  <c r="E320" i="20"/>
  <c r="D320" i="20"/>
  <c r="C320" i="20"/>
  <c r="B320" i="20"/>
  <c r="Q298" i="20"/>
  <c r="P298" i="20"/>
  <c r="O298" i="20"/>
  <c r="N298" i="20"/>
  <c r="M298" i="20"/>
  <c r="L298" i="20"/>
  <c r="K298" i="20"/>
  <c r="H298" i="20"/>
  <c r="G298" i="20"/>
  <c r="F298" i="20"/>
  <c r="E298" i="20"/>
  <c r="D298" i="20"/>
  <c r="C298" i="20"/>
  <c r="B298" i="20"/>
  <c r="Q279" i="20"/>
  <c r="P279" i="20"/>
  <c r="O279" i="20"/>
  <c r="N279" i="20"/>
  <c r="M279" i="20"/>
  <c r="L279" i="20"/>
  <c r="K279" i="20"/>
  <c r="H279" i="20"/>
  <c r="G279" i="20"/>
  <c r="F279" i="20"/>
  <c r="E279" i="20"/>
  <c r="D279" i="20"/>
  <c r="C279" i="20"/>
  <c r="B279" i="20"/>
  <c r="Q240" i="20"/>
  <c r="Q361" i="20" s="1"/>
  <c r="P240" i="20"/>
  <c r="P361" i="20" s="1"/>
  <c r="O240" i="20"/>
  <c r="O361" i="20" s="1"/>
  <c r="N240" i="20"/>
  <c r="N361" i="20" s="1"/>
  <c r="M240" i="20"/>
  <c r="M361" i="20" s="1"/>
  <c r="L240" i="20"/>
  <c r="L361" i="20" s="1"/>
  <c r="K240" i="20"/>
  <c r="K361" i="20" s="1"/>
  <c r="H240" i="20"/>
  <c r="H361" i="20" s="1"/>
  <c r="G240" i="20"/>
  <c r="G361" i="20" s="1"/>
  <c r="F240" i="20"/>
  <c r="F361" i="20" s="1"/>
  <c r="E240" i="20"/>
  <c r="E361" i="20" s="1"/>
  <c r="D240" i="20"/>
  <c r="D361" i="20" s="1"/>
  <c r="C240" i="20"/>
  <c r="C361" i="20" s="1"/>
  <c r="B240" i="20"/>
  <c r="B361" i="20" s="1"/>
  <c r="T192" i="20"/>
  <c r="R192" i="20"/>
  <c r="R339" i="20" s="1"/>
  <c r="I192" i="20"/>
  <c r="I339" i="20" s="1"/>
  <c r="T144" i="20"/>
  <c r="R144" i="20"/>
  <c r="R320" i="20" s="1"/>
  <c r="I144" i="20"/>
  <c r="I320" i="20" s="1"/>
  <c r="R96" i="20"/>
  <c r="R298" i="20" s="1"/>
  <c r="I96" i="20"/>
  <c r="I298" i="20" s="1"/>
  <c r="R48" i="20"/>
  <c r="R279" i="20" s="1"/>
  <c r="I48" i="20"/>
  <c r="I279" i="20" s="1"/>
  <c r="H339" i="19"/>
  <c r="G339" i="19"/>
  <c r="F339" i="19"/>
  <c r="E339" i="19"/>
  <c r="D339" i="19"/>
  <c r="C339" i="19"/>
  <c r="B339" i="19"/>
  <c r="H320" i="19"/>
  <c r="G320" i="19"/>
  <c r="F320" i="19"/>
  <c r="E320" i="19"/>
  <c r="D320" i="19"/>
  <c r="C320" i="19"/>
  <c r="B320" i="19"/>
  <c r="H298" i="19"/>
  <c r="G298" i="19"/>
  <c r="F298" i="19"/>
  <c r="E298" i="19"/>
  <c r="D298" i="19"/>
  <c r="C298" i="19"/>
  <c r="B298" i="19"/>
  <c r="H279" i="19"/>
  <c r="G279" i="19"/>
  <c r="F279" i="19"/>
  <c r="E279" i="19"/>
  <c r="D279" i="19"/>
  <c r="C279" i="19"/>
  <c r="B279" i="19"/>
  <c r="H239" i="19"/>
  <c r="H360" i="19" s="1"/>
  <c r="G239" i="19"/>
  <c r="G360" i="19" s="1"/>
  <c r="F239" i="19"/>
  <c r="F360" i="19" s="1"/>
  <c r="E239" i="19"/>
  <c r="E360" i="19" s="1"/>
  <c r="D239" i="19"/>
  <c r="D360" i="19" s="1"/>
  <c r="C239" i="19"/>
  <c r="C360" i="19" s="1"/>
  <c r="B239" i="19"/>
  <c r="B360" i="19" s="1"/>
  <c r="I191" i="19"/>
  <c r="I339" i="19" s="1"/>
  <c r="I143" i="19"/>
  <c r="I320" i="19" s="1"/>
  <c r="I95" i="19"/>
  <c r="I298" i="19" s="1"/>
  <c r="I47" i="19"/>
  <c r="B194" i="18"/>
  <c r="C194" i="18"/>
  <c r="D194" i="18"/>
  <c r="E194" i="18"/>
  <c r="F194" i="18"/>
  <c r="G194" i="18"/>
  <c r="H194" i="18"/>
  <c r="I194" i="18"/>
  <c r="B177" i="18"/>
  <c r="C177" i="18"/>
  <c r="D177" i="18"/>
  <c r="E177" i="18"/>
  <c r="F177" i="18"/>
  <c r="G177" i="18"/>
  <c r="H177" i="18"/>
  <c r="I177" i="18"/>
  <c r="B127" i="18"/>
  <c r="C127" i="18"/>
  <c r="D127" i="18"/>
  <c r="E127" i="18"/>
  <c r="F127" i="18"/>
  <c r="G127" i="18"/>
  <c r="H127" i="18"/>
  <c r="I127" i="18"/>
  <c r="B128" i="18"/>
  <c r="C128" i="18"/>
  <c r="D128" i="18"/>
  <c r="F128" i="18"/>
  <c r="G128" i="18"/>
  <c r="H128" i="18"/>
  <c r="I128" i="18"/>
  <c r="K78" i="18"/>
  <c r="K194" i="18" s="1"/>
  <c r="J78" i="18"/>
  <c r="J194" i="18" s="1"/>
  <c r="K52" i="18"/>
  <c r="K177" i="18" s="1"/>
  <c r="J52" i="18"/>
  <c r="J177" i="18" s="1"/>
  <c r="K26" i="18"/>
  <c r="J26" i="18"/>
  <c r="T342" i="17"/>
  <c r="S342" i="17"/>
  <c r="R342" i="17"/>
  <c r="Q342" i="17"/>
  <c r="P342" i="17"/>
  <c r="O342" i="17"/>
  <c r="N342" i="17"/>
  <c r="M342" i="17"/>
  <c r="K342" i="17"/>
  <c r="J342" i="17"/>
  <c r="I342" i="17"/>
  <c r="H342" i="17"/>
  <c r="G342" i="17"/>
  <c r="F342" i="17"/>
  <c r="E342" i="17"/>
  <c r="D342" i="17"/>
  <c r="C342" i="17"/>
  <c r="B342" i="17"/>
  <c r="U323" i="17"/>
  <c r="T323" i="17"/>
  <c r="S323" i="17"/>
  <c r="R323" i="17"/>
  <c r="Q323" i="17"/>
  <c r="P323" i="17"/>
  <c r="O323" i="17"/>
  <c r="N323" i="17"/>
  <c r="M323" i="17"/>
  <c r="J323" i="17"/>
  <c r="I323" i="17"/>
  <c r="H323" i="17"/>
  <c r="G323" i="17"/>
  <c r="F323" i="17"/>
  <c r="E323" i="17"/>
  <c r="D323" i="17"/>
  <c r="C323" i="17"/>
  <c r="B323" i="17"/>
  <c r="T300" i="17"/>
  <c r="S300" i="17"/>
  <c r="R300" i="17"/>
  <c r="Q300" i="17"/>
  <c r="P300" i="17"/>
  <c r="O300" i="17"/>
  <c r="N300" i="17"/>
  <c r="M300" i="17"/>
  <c r="I300" i="17"/>
  <c r="H300" i="17"/>
  <c r="G300" i="17"/>
  <c r="F300" i="17"/>
  <c r="E300" i="17"/>
  <c r="D300" i="17"/>
  <c r="C300" i="17"/>
  <c r="B300" i="17"/>
  <c r="T281" i="17"/>
  <c r="S281" i="17"/>
  <c r="R281" i="17"/>
  <c r="Q281" i="17"/>
  <c r="P281" i="17"/>
  <c r="O281" i="17"/>
  <c r="N281" i="17"/>
  <c r="M281" i="17"/>
  <c r="I281" i="17"/>
  <c r="H281" i="17"/>
  <c r="G281" i="17"/>
  <c r="F281" i="17"/>
  <c r="E281" i="17"/>
  <c r="D281" i="17"/>
  <c r="C281" i="17"/>
  <c r="B281" i="17"/>
  <c r="T241" i="17"/>
  <c r="T365" i="17" s="1"/>
  <c r="S241" i="17"/>
  <c r="O288" i="27" s="1"/>
  <c r="O468" i="27" s="1"/>
  <c r="R241" i="17"/>
  <c r="R365" i="17" s="1"/>
  <c r="Q241" i="17"/>
  <c r="Q365" i="17" s="1"/>
  <c r="P241" i="17"/>
  <c r="P365" i="17" s="1"/>
  <c r="O241" i="17"/>
  <c r="K288" i="27" s="1"/>
  <c r="K468" i="27" s="1"/>
  <c r="N241" i="17"/>
  <c r="N365" i="17" s="1"/>
  <c r="M241" i="17"/>
  <c r="M365" i="17" s="1"/>
  <c r="I241" i="17"/>
  <c r="I365" i="17" s="1"/>
  <c r="H241" i="17"/>
  <c r="G288" i="27" s="1"/>
  <c r="G468" i="27" s="1"/>
  <c r="G241" i="17"/>
  <c r="G365" i="17" s="1"/>
  <c r="F241" i="17"/>
  <c r="F365" i="17" s="1"/>
  <c r="E241" i="17"/>
  <c r="D288" i="27" s="1"/>
  <c r="D468" i="27" s="1"/>
  <c r="D241" i="17"/>
  <c r="D365" i="17" s="1"/>
  <c r="C241" i="17"/>
  <c r="C365" i="17" s="1"/>
  <c r="B241" i="17"/>
  <c r="B365" i="17" s="1"/>
  <c r="V193" i="17"/>
  <c r="V342" i="17" s="1"/>
  <c r="U193" i="17"/>
  <c r="U342" i="17" s="1"/>
  <c r="V145" i="17"/>
  <c r="V323" i="17" s="1"/>
  <c r="K145" i="17"/>
  <c r="K323" i="17" s="1"/>
  <c r="V97" i="17"/>
  <c r="V300" i="17" s="1"/>
  <c r="U97" i="17"/>
  <c r="K97" i="17"/>
  <c r="K300" i="17" s="1"/>
  <c r="J97" i="17"/>
  <c r="J300" i="17" s="1"/>
  <c r="V49" i="17"/>
  <c r="V281" i="17" s="1"/>
  <c r="U49" i="17"/>
  <c r="U281" i="17" s="1"/>
  <c r="K49" i="17"/>
  <c r="K281" i="17" s="1"/>
  <c r="J49" i="17"/>
  <c r="I340" i="16"/>
  <c r="H340" i="16"/>
  <c r="G340" i="16"/>
  <c r="F340" i="16"/>
  <c r="E340" i="16"/>
  <c r="D340" i="16"/>
  <c r="C340" i="16"/>
  <c r="B340" i="16"/>
  <c r="I318" i="16"/>
  <c r="H318" i="16"/>
  <c r="G318" i="16"/>
  <c r="F318" i="16"/>
  <c r="E318" i="16"/>
  <c r="D318" i="16"/>
  <c r="C318" i="16"/>
  <c r="B318" i="16"/>
  <c r="I299" i="16"/>
  <c r="H299" i="16"/>
  <c r="G299" i="16"/>
  <c r="F299" i="16"/>
  <c r="E299" i="16"/>
  <c r="D299" i="16"/>
  <c r="C299" i="16"/>
  <c r="B299" i="16"/>
  <c r="I280" i="16"/>
  <c r="H280" i="16"/>
  <c r="G280" i="16"/>
  <c r="F280" i="16"/>
  <c r="E280" i="16"/>
  <c r="D280" i="16"/>
  <c r="C280" i="16"/>
  <c r="B280" i="16"/>
  <c r="I240" i="16"/>
  <c r="I359" i="16" s="1"/>
  <c r="H240" i="16"/>
  <c r="G288" i="26" s="1"/>
  <c r="G470" i="26" s="1"/>
  <c r="G240" i="16"/>
  <c r="F288" i="26" s="1"/>
  <c r="F470" i="26" s="1"/>
  <c r="F240" i="16"/>
  <c r="E288" i="26" s="1"/>
  <c r="E470" i="26" s="1"/>
  <c r="E240" i="16"/>
  <c r="D288" i="26" s="1"/>
  <c r="D470" i="26" s="1"/>
  <c r="D240" i="16"/>
  <c r="C288" i="26" s="1"/>
  <c r="C470" i="26" s="1"/>
  <c r="C240" i="16"/>
  <c r="B288" i="26" s="1"/>
  <c r="B470" i="26" s="1"/>
  <c r="B240" i="16"/>
  <c r="B359" i="16" s="1"/>
  <c r="K192" i="16"/>
  <c r="K340" i="16" s="1"/>
  <c r="J192" i="16"/>
  <c r="J340" i="16" s="1"/>
  <c r="K144" i="16"/>
  <c r="K318" i="16" s="1"/>
  <c r="J144" i="16"/>
  <c r="J318" i="16" s="1"/>
  <c r="K299" i="16"/>
  <c r="J299" i="16"/>
  <c r="K280" i="16"/>
  <c r="T241" i="32"/>
  <c r="T356" i="32" s="1"/>
  <c r="S241" i="32"/>
  <c r="S356" i="32" s="1"/>
  <c r="R241" i="32"/>
  <c r="R356" i="32" s="1"/>
  <c r="Q241" i="32"/>
  <c r="Q356" i="32" s="1"/>
  <c r="P241" i="32"/>
  <c r="P356" i="32" s="1"/>
  <c r="M241" i="32"/>
  <c r="M356" i="32" s="1"/>
  <c r="L241" i="32"/>
  <c r="L356" i="32" s="1"/>
  <c r="K241" i="32"/>
  <c r="K356" i="32" s="1"/>
  <c r="J241" i="32"/>
  <c r="J356" i="32" s="1"/>
  <c r="I241" i="32"/>
  <c r="I356" i="32" s="1"/>
  <c r="F241" i="32"/>
  <c r="F356" i="32" s="1"/>
  <c r="E241" i="32"/>
  <c r="E356" i="32" s="1"/>
  <c r="D241" i="32"/>
  <c r="D356" i="32" s="1"/>
  <c r="C241" i="32"/>
  <c r="C356" i="32" s="1"/>
  <c r="B241" i="32"/>
  <c r="B356" i="32" s="1"/>
  <c r="T334" i="32"/>
  <c r="S334" i="32"/>
  <c r="R334" i="32"/>
  <c r="Q334" i="32"/>
  <c r="P334" i="32"/>
  <c r="M334" i="32"/>
  <c r="L334" i="32"/>
  <c r="K334" i="32"/>
  <c r="J334" i="32"/>
  <c r="I334" i="32"/>
  <c r="F334" i="32"/>
  <c r="E334" i="32"/>
  <c r="D334" i="32"/>
  <c r="C334" i="32"/>
  <c r="B334" i="32"/>
  <c r="T315" i="32"/>
  <c r="S315" i="32"/>
  <c r="R315" i="32"/>
  <c r="Q315" i="32"/>
  <c r="P315" i="32"/>
  <c r="M315" i="32"/>
  <c r="L315" i="32"/>
  <c r="K315" i="32"/>
  <c r="J315" i="32"/>
  <c r="I315" i="32"/>
  <c r="F315" i="32"/>
  <c r="E315" i="32"/>
  <c r="D315" i="32"/>
  <c r="C315" i="32"/>
  <c r="B315" i="32"/>
  <c r="T293" i="32"/>
  <c r="S293" i="32"/>
  <c r="R293" i="32"/>
  <c r="Q293" i="32"/>
  <c r="P293" i="32"/>
  <c r="M293" i="32"/>
  <c r="L293" i="32"/>
  <c r="K293" i="32"/>
  <c r="J293" i="32"/>
  <c r="I293" i="32"/>
  <c r="F293" i="32"/>
  <c r="E293" i="32"/>
  <c r="D293" i="32"/>
  <c r="C293" i="32"/>
  <c r="B293" i="32"/>
  <c r="U193" i="32"/>
  <c r="U334" i="32" s="1"/>
  <c r="N193" i="32"/>
  <c r="G193" i="32"/>
  <c r="U315" i="32"/>
  <c r="N145" i="32"/>
  <c r="N315" i="32" s="1"/>
  <c r="D62" i="13" s="1"/>
  <c r="G145" i="32"/>
  <c r="G315" i="32" s="1"/>
  <c r="U293" i="32"/>
  <c r="N97" i="32"/>
  <c r="N293" i="32" s="1"/>
  <c r="C62" i="13" s="1"/>
  <c r="G97" i="32"/>
  <c r="G293" i="32" s="1"/>
  <c r="U49" i="32"/>
  <c r="U274" i="32" s="1"/>
  <c r="N49" i="32"/>
  <c r="N274" i="32" s="1"/>
  <c r="B62" i="13" s="1"/>
  <c r="G49" i="32"/>
  <c r="G274" i="32" s="1"/>
  <c r="G340" i="14"/>
  <c r="F340" i="14"/>
  <c r="E340" i="14"/>
  <c r="D340" i="14"/>
  <c r="C340" i="14"/>
  <c r="B340" i="14"/>
  <c r="G317" i="14"/>
  <c r="F317" i="14"/>
  <c r="E317" i="14"/>
  <c r="D317" i="14"/>
  <c r="C317" i="14"/>
  <c r="B317" i="14"/>
  <c r="G298" i="14"/>
  <c r="F298" i="14"/>
  <c r="E298" i="14"/>
  <c r="D298" i="14"/>
  <c r="C298" i="14"/>
  <c r="B298" i="14"/>
  <c r="G279" i="14"/>
  <c r="F279" i="14"/>
  <c r="E279" i="14"/>
  <c r="D279" i="14"/>
  <c r="C279" i="14"/>
  <c r="B279" i="14"/>
  <c r="G240" i="14"/>
  <c r="G359" i="14" s="1"/>
  <c r="F240" i="14"/>
  <c r="F359" i="14" s="1"/>
  <c r="E240" i="14"/>
  <c r="E359" i="14" s="1"/>
  <c r="D240" i="14"/>
  <c r="D359" i="14" s="1"/>
  <c r="C240" i="14"/>
  <c r="C359" i="14" s="1"/>
  <c r="B240" i="14"/>
  <c r="B359" i="14" s="1"/>
  <c r="H192" i="14"/>
  <c r="H340" i="14" s="1"/>
  <c r="H144" i="14"/>
  <c r="H317" i="14" s="1"/>
  <c r="H96" i="14"/>
  <c r="H298" i="14" s="1"/>
  <c r="H48" i="14"/>
  <c r="R486" i="12"/>
  <c r="Q486" i="12"/>
  <c r="P486" i="12"/>
  <c r="O486" i="12"/>
  <c r="N486" i="12"/>
  <c r="M486" i="12"/>
  <c r="J486" i="12"/>
  <c r="I486" i="12"/>
  <c r="H486" i="12"/>
  <c r="G486" i="12"/>
  <c r="F486" i="12"/>
  <c r="E486" i="12"/>
  <c r="D486" i="12"/>
  <c r="C486" i="12"/>
  <c r="B486" i="12"/>
  <c r="R463" i="12"/>
  <c r="Q463" i="12"/>
  <c r="P463" i="12"/>
  <c r="O463" i="12"/>
  <c r="N463" i="12"/>
  <c r="M463" i="12"/>
  <c r="J463" i="12"/>
  <c r="I463" i="12"/>
  <c r="H463" i="12"/>
  <c r="G463" i="12"/>
  <c r="F463" i="12"/>
  <c r="E463" i="12"/>
  <c r="D463" i="12"/>
  <c r="C463" i="12"/>
  <c r="B463" i="12"/>
  <c r="R444" i="12"/>
  <c r="Q444" i="12"/>
  <c r="P444" i="12"/>
  <c r="O444" i="12"/>
  <c r="N444" i="12"/>
  <c r="M444" i="12"/>
  <c r="J444" i="12"/>
  <c r="I444" i="12"/>
  <c r="H444" i="12"/>
  <c r="G444" i="12"/>
  <c r="F444" i="12"/>
  <c r="E444" i="12"/>
  <c r="D444" i="12"/>
  <c r="C444" i="12"/>
  <c r="B444" i="12"/>
  <c r="R421" i="12"/>
  <c r="Q421" i="12"/>
  <c r="P421" i="12"/>
  <c r="O421" i="12"/>
  <c r="N421" i="12"/>
  <c r="M421" i="12"/>
  <c r="J421" i="12"/>
  <c r="I421" i="12"/>
  <c r="H421" i="12"/>
  <c r="G421" i="12"/>
  <c r="F421" i="12"/>
  <c r="E421" i="12"/>
  <c r="D421" i="12"/>
  <c r="C421" i="12"/>
  <c r="B421" i="12"/>
  <c r="R402" i="12"/>
  <c r="Q402" i="12"/>
  <c r="P402" i="12"/>
  <c r="O402" i="12"/>
  <c r="N402" i="12"/>
  <c r="M402" i="12"/>
  <c r="J402" i="12"/>
  <c r="I402" i="12"/>
  <c r="H402" i="12"/>
  <c r="G402" i="12"/>
  <c r="F402" i="12"/>
  <c r="E402" i="12"/>
  <c r="D402" i="12"/>
  <c r="C402" i="12"/>
  <c r="B402" i="12"/>
  <c r="R289" i="12"/>
  <c r="R337" i="12" s="1"/>
  <c r="R528" i="12" s="1"/>
  <c r="Q289" i="12"/>
  <c r="Q337" i="12" s="1"/>
  <c r="Q528" i="12" s="1"/>
  <c r="P289" i="12"/>
  <c r="P337" i="12" s="1"/>
  <c r="P528" i="12" s="1"/>
  <c r="O289" i="12"/>
  <c r="O505" i="12" s="1"/>
  <c r="N289" i="12"/>
  <c r="N337" i="12" s="1"/>
  <c r="N528" i="12" s="1"/>
  <c r="M289" i="12"/>
  <c r="M337" i="12" s="1"/>
  <c r="M528" i="12" s="1"/>
  <c r="J289" i="12"/>
  <c r="J337" i="12" s="1"/>
  <c r="I289" i="12"/>
  <c r="I337" i="12" s="1"/>
  <c r="I528" i="12" s="1"/>
  <c r="H289" i="12"/>
  <c r="H337" i="12" s="1"/>
  <c r="H528" i="12" s="1"/>
  <c r="G289" i="12"/>
  <c r="G337" i="12" s="1"/>
  <c r="G528" i="12" s="1"/>
  <c r="F289" i="12"/>
  <c r="F337" i="12" s="1"/>
  <c r="F528" i="12" s="1"/>
  <c r="E289" i="12"/>
  <c r="E337" i="12" s="1"/>
  <c r="E528" i="12" s="1"/>
  <c r="D289" i="12"/>
  <c r="D337" i="12" s="1"/>
  <c r="D528" i="12" s="1"/>
  <c r="C289" i="12"/>
  <c r="C505" i="12" s="1"/>
  <c r="B289" i="12"/>
  <c r="B337" i="12" s="1"/>
  <c r="B528" i="12" s="1"/>
  <c r="S241" i="12"/>
  <c r="K241" i="12"/>
  <c r="K486" i="12" s="1"/>
  <c r="S193" i="12"/>
  <c r="S463" i="12" s="1"/>
  <c r="K193" i="12"/>
  <c r="K463" i="12" s="1"/>
  <c r="S145" i="12"/>
  <c r="S444" i="12" s="1"/>
  <c r="K145" i="12"/>
  <c r="K444" i="12" s="1"/>
  <c r="S97" i="12"/>
  <c r="S421" i="12" s="1"/>
  <c r="K97" i="12"/>
  <c r="S49" i="12"/>
  <c r="R96" i="30" s="1"/>
  <c r="R211" i="30" s="1"/>
  <c r="K49" i="12"/>
  <c r="I96" i="30" s="1"/>
  <c r="I211" i="30" s="1"/>
  <c r="J519" i="11"/>
  <c r="J498" i="11"/>
  <c r="J479" i="11"/>
  <c r="I479" i="11"/>
  <c r="H479" i="11"/>
  <c r="G479" i="11"/>
  <c r="F479" i="11"/>
  <c r="E479" i="11"/>
  <c r="D479" i="11"/>
  <c r="C479" i="11"/>
  <c r="B479" i="11"/>
  <c r="J458" i="11"/>
  <c r="I458" i="11"/>
  <c r="H458" i="11"/>
  <c r="G458" i="11"/>
  <c r="F458" i="11"/>
  <c r="E458" i="11"/>
  <c r="D458" i="11"/>
  <c r="C458" i="11"/>
  <c r="B458" i="11"/>
  <c r="J439" i="11"/>
  <c r="I439" i="11"/>
  <c r="H439" i="11"/>
  <c r="G439" i="11"/>
  <c r="F439" i="11"/>
  <c r="E439" i="11"/>
  <c r="D439" i="11"/>
  <c r="C439" i="11"/>
  <c r="B439" i="11"/>
  <c r="J418" i="11"/>
  <c r="I418" i="11"/>
  <c r="H418" i="11"/>
  <c r="G418" i="11"/>
  <c r="F418" i="11"/>
  <c r="E418" i="11"/>
  <c r="D418" i="11"/>
  <c r="C418" i="11"/>
  <c r="B418" i="11"/>
  <c r="J399" i="11"/>
  <c r="I399" i="11"/>
  <c r="H399" i="11"/>
  <c r="G399" i="11"/>
  <c r="F399" i="11"/>
  <c r="E399" i="11"/>
  <c r="D399" i="11"/>
  <c r="C399" i="11"/>
  <c r="B399" i="11"/>
  <c r="I289" i="11"/>
  <c r="I337" i="11" s="1"/>
  <c r="I519" i="11" s="1"/>
  <c r="H289" i="11"/>
  <c r="H337" i="11" s="1"/>
  <c r="H519" i="11" s="1"/>
  <c r="G289" i="11"/>
  <c r="G498" i="11" s="1"/>
  <c r="F289" i="11"/>
  <c r="F498" i="11" s="1"/>
  <c r="E289" i="11"/>
  <c r="E337" i="11" s="1"/>
  <c r="E519" i="11" s="1"/>
  <c r="D289" i="11"/>
  <c r="D337" i="11" s="1"/>
  <c r="D519" i="11" s="1"/>
  <c r="C289" i="11"/>
  <c r="C337" i="11" s="1"/>
  <c r="C519" i="11" s="1"/>
  <c r="B289" i="11"/>
  <c r="B498" i="11" s="1"/>
  <c r="K241" i="11"/>
  <c r="K193" i="11"/>
  <c r="K458" i="11" s="1"/>
  <c r="K145" i="11"/>
  <c r="K439" i="11" s="1"/>
  <c r="K97" i="11"/>
  <c r="K49" i="11"/>
  <c r="I95" i="29" s="1"/>
  <c r="I201" i="29" s="1"/>
  <c r="S634" i="10"/>
  <c r="R634" i="10"/>
  <c r="Q634" i="10"/>
  <c r="P634" i="10"/>
  <c r="O634" i="10"/>
  <c r="N634" i="10"/>
  <c r="K634" i="10"/>
  <c r="J634" i="10"/>
  <c r="I634" i="10"/>
  <c r="H634" i="10"/>
  <c r="G634" i="10"/>
  <c r="F634" i="10"/>
  <c r="E634" i="10"/>
  <c r="D634" i="10"/>
  <c r="C634" i="10"/>
  <c r="B634" i="10"/>
  <c r="S612" i="10"/>
  <c r="R612" i="10"/>
  <c r="Q612" i="10"/>
  <c r="P612" i="10"/>
  <c r="O612" i="10"/>
  <c r="N612" i="10"/>
  <c r="K612" i="10"/>
  <c r="J612" i="10"/>
  <c r="I612" i="10"/>
  <c r="H612" i="10"/>
  <c r="G612" i="10"/>
  <c r="F612" i="10"/>
  <c r="E612" i="10"/>
  <c r="D612" i="10"/>
  <c r="C612" i="10"/>
  <c r="B612" i="10"/>
  <c r="S593" i="10"/>
  <c r="R593" i="10"/>
  <c r="Q593" i="10"/>
  <c r="P593" i="10"/>
  <c r="O593" i="10"/>
  <c r="N593" i="10"/>
  <c r="J593" i="10"/>
  <c r="I593" i="10"/>
  <c r="H593" i="10"/>
  <c r="G593" i="10"/>
  <c r="F593" i="10"/>
  <c r="E593" i="10"/>
  <c r="D593" i="10"/>
  <c r="C593" i="10"/>
  <c r="B593" i="10"/>
  <c r="S571" i="10"/>
  <c r="R571" i="10"/>
  <c r="Q571" i="10"/>
  <c r="P571" i="10"/>
  <c r="O571" i="10"/>
  <c r="N571" i="10"/>
  <c r="K571" i="10"/>
  <c r="J571" i="10"/>
  <c r="I571" i="10"/>
  <c r="H571" i="10"/>
  <c r="G571" i="10"/>
  <c r="F571" i="10"/>
  <c r="E571" i="10"/>
  <c r="D571" i="10"/>
  <c r="C571" i="10"/>
  <c r="B571" i="10"/>
  <c r="R552" i="10"/>
  <c r="Q552" i="10"/>
  <c r="P552" i="10"/>
  <c r="O552" i="10"/>
  <c r="N552" i="10"/>
  <c r="K552" i="10"/>
  <c r="J552" i="10"/>
  <c r="I552" i="10"/>
  <c r="H552" i="10"/>
  <c r="G552" i="10"/>
  <c r="F552" i="10"/>
  <c r="E552" i="10"/>
  <c r="D552" i="10"/>
  <c r="C552" i="10"/>
  <c r="B552" i="10"/>
  <c r="S432" i="10"/>
  <c r="S653" i="10" s="1"/>
  <c r="R432" i="10"/>
  <c r="R504" i="10" s="1"/>
  <c r="R675" i="10" s="1"/>
  <c r="Q432" i="10"/>
  <c r="Q504" i="10" s="1"/>
  <c r="Q675" i="10" s="1"/>
  <c r="P432" i="10"/>
  <c r="P504" i="10" s="1"/>
  <c r="P675" i="10" s="1"/>
  <c r="O432" i="10"/>
  <c r="O504" i="10" s="1"/>
  <c r="O675" i="10" s="1"/>
  <c r="N432" i="10"/>
  <c r="N504" i="10" s="1"/>
  <c r="N675" i="10" s="1"/>
  <c r="K432" i="10"/>
  <c r="K504" i="10" s="1"/>
  <c r="K675" i="10" s="1"/>
  <c r="J432" i="10"/>
  <c r="J504" i="10" s="1"/>
  <c r="J675" i="10" s="1"/>
  <c r="I432" i="10"/>
  <c r="I504" i="10" s="1"/>
  <c r="I675" i="10" s="1"/>
  <c r="H432" i="10"/>
  <c r="H504" i="10" s="1"/>
  <c r="H675" i="10" s="1"/>
  <c r="G432" i="10"/>
  <c r="G504" i="10" s="1"/>
  <c r="G675" i="10" s="1"/>
  <c r="F432" i="10"/>
  <c r="F504" i="10" s="1"/>
  <c r="F675" i="10" s="1"/>
  <c r="E432" i="10"/>
  <c r="E504" i="10" s="1"/>
  <c r="E675" i="10" s="1"/>
  <c r="D432" i="10"/>
  <c r="D504" i="10" s="1"/>
  <c r="D675" i="10" s="1"/>
  <c r="C432" i="10"/>
  <c r="C653" i="10" s="1"/>
  <c r="B432" i="10"/>
  <c r="B504" i="10" s="1"/>
  <c r="B675" i="10" s="1"/>
  <c r="L360" i="10"/>
  <c r="F40" i="8" s="1"/>
  <c r="L288" i="10"/>
  <c r="E40" i="8" s="1"/>
  <c r="L216" i="10"/>
  <c r="D40" i="8" s="1"/>
  <c r="L144" i="10"/>
  <c r="C40" i="8" s="1"/>
  <c r="S72" i="10"/>
  <c r="S552" i="10" s="1"/>
  <c r="L72" i="10"/>
  <c r="B40" i="8" s="1"/>
  <c r="B509" i="9"/>
  <c r="K490" i="9"/>
  <c r="J490" i="9"/>
  <c r="I490" i="9"/>
  <c r="H490" i="9"/>
  <c r="G490" i="9"/>
  <c r="F490" i="9"/>
  <c r="E490" i="9"/>
  <c r="D490" i="9"/>
  <c r="C490" i="9"/>
  <c r="B490" i="9"/>
  <c r="K468" i="9"/>
  <c r="J468" i="9"/>
  <c r="I468" i="9"/>
  <c r="H468" i="9"/>
  <c r="G468" i="9"/>
  <c r="F468" i="9"/>
  <c r="E468" i="9"/>
  <c r="D468" i="9"/>
  <c r="C468" i="9"/>
  <c r="B468" i="9"/>
  <c r="K449" i="9"/>
  <c r="J449" i="9"/>
  <c r="I449" i="9"/>
  <c r="H449" i="9"/>
  <c r="G449" i="9"/>
  <c r="F449" i="9"/>
  <c r="E449" i="9"/>
  <c r="D449" i="9"/>
  <c r="C449" i="9"/>
  <c r="B449" i="9"/>
  <c r="K427" i="9"/>
  <c r="J427" i="9"/>
  <c r="I427" i="9"/>
  <c r="H427" i="9"/>
  <c r="G427" i="9"/>
  <c r="F427" i="9"/>
  <c r="E427" i="9"/>
  <c r="D427" i="9"/>
  <c r="C427" i="9"/>
  <c r="B427" i="9"/>
  <c r="K408" i="9"/>
  <c r="J408" i="9"/>
  <c r="I408" i="9"/>
  <c r="H408" i="9"/>
  <c r="G408" i="9"/>
  <c r="F408" i="9"/>
  <c r="E408" i="9"/>
  <c r="D408" i="9"/>
  <c r="C408" i="9"/>
  <c r="B408" i="9"/>
  <c r="B371" i="9"/>
  <c r="B531" i="9" s="1"/>
  <c r="K318" i="9"/>
  <c r="K371" i="9" s="1"/>
  <c r="K531" i="9" s="1"/>
  <c r="J318" i="9"/>
  <c r="J371" i="9" s="1"/>
  <c r="J531" i="9" s="1"/>
  <c r="I318" i="9"/>
  <c r="I509" i="9" s="1"/>
  <c r="H318" i="9"/>
  <c r="H371" i="9" s="1"/>
  <c r="H531" i="9" s="1"/>
  <c r="G318" i="9"/>
  <c r="G371" i="9" s="1"/>
  <c r="G531" i="9" s="1"/>
  <c r="F318" i="9"/>
  <c r="F371" i="9" s="1"/>
  <c r="F531" i="9" s="1"/>
  <c r="E318" i="9"/>
  <c r="E509" i="9" s="1"/>
  <c r="D318" i="9"/>
  <c r="D371" i="9" s="1"/>
  <c r="D531" i="9" s="1"/>
  <c r="C318" i="9"/>
  <c r="C371" i="9" s="1"/>
  <c r="C531" i="9" s="1"/>
  <c r="L265" i="9"/>
  <c r="L490" i="9" s="1"/>
  <c r="F20" i="8" s="1"/>
  <c r="L212" i="9"/>
  <c r="L468" i="9" s="1"/>
  <c r="E20" i="8" s="1"/>
  <c r="L159" i="9"/>
  <c r="L449" i="9" s="1"/>
  <c r="D20" i="8" s="1"/>
  <c r="L106" i="9"/>
  <c r="L427" i="9" s="1"/>
  <c r="C20" i="8" s="1"/>
  <c r="L53" i="9"/>
  <c r="L408" i="9" s="1"/>
  <c r="B20" i="8" s="1"/>
  <c r="W396" i="7"/>
  <c r="V396" i="7"/>
  <c r="U396" i="7"/>
  <c r="T396" i="7"/>
  <c r="S396" i="7"/>
  <c r="R396" i="7"/>
  <c r="Q396" i="7"/>
  <c r="P396" i="7"/>
  <c r="O396" i="7"/>
  <c r="N396" i="7"/>
  <c r="K396" i="7"/>
  <c r="J396" i="7"/>
  <c r="I396" i="7"/>
  <c r="H396" i="7"/>
  <c r="G396" i="7"/>
  <c r="F396" i="7"/>
  <c r="E396" i="7"/>
  <c r="D396" i="7"/>
  <c r="C396" i="7"/>
  <c r="B396" i="7"/>
  <c r="W375" i="7"/>
  <c r="V375" i="7"/>
  <c r="U375" i="7"/>
  <c r="T375" i="7"/>
  <c r="S375" i="7"/>
  <c r="R375" i="7"/>
  <c r="Q375" i="7"/>
  <c r="P375" i="7"/>
  <c r="O375" i="7"/>
  <c r="N375" i="7"/>
  <c r="K375" i="7"/>
  <c r="J375" i="7"/>
  <c r="I375" i="7"/>
  <c r="H375" i="7"/>
  <c r="G375" i="7"/>
  <c r="F375" i="7"/>
  <c r="E375" i="7"/>
  <c r="D375" i="7"/>
  <c r="C375" i="7"/>
  <c r="B375" i="7"/>
  <c r="W357" i="7"/>
  <c r="V357" i="7"/>
  <c r="U357" i="7"/>
  <c r="T357" i="7"/>
  <c r="S357" i="7"/>
  <c r="R357" i="7"/>
  <c r="Q357" i="7"/>
  <c r="P357" i="7"/>
  <c r="O357" i="7"/>
  <c r="N357" i="7"/>
  <c r="K357" i="7"/>
  <c r="J357" i="7"/>
  <c r="I357" i="7"/>
  <c r="H357" i="7"/>
  <c r="G357" i="7"/>
  <c r="F357" i="7"/>
  <c r="E357" i="7"/>
  <c r="D357" i="7"/>
  <c r="C357" i="7"/>
  <c r="B357" i="7"/>
  <c r="W336" i="7"/>
  <c r="V336" i="7"/>
  <c r="U336" i="7"/>
  <c r="T336" i="7"/>
  <c r="S336" i="7"/>
  <c r="R336" i="7"/>
  <c r="Q336" i="7"/>
  <c r="P336" i="7"/>
  <c r="O336" i="7"/>
  <c r="N336" i="7"/>
  <c r="K336" i="7"/>
  <c r="J336" i="7"/>
  <c r="I336" i="7"/>
  <c r="H336" i="7"/>
  <c r="G336" i="7"/>
  <c r="F336" i="7"/>
  <c r="E336" i="7"/>
  <c r="D336" i="7"/>
  <c r="C336" i="7"/>
  <c r="B336" i="7"/>
  <c r="W318" i="7"/>
  <c r="V318" i="7"/>
  <c r="U318" i="7"/>
  <c r="T318" i="7"/>
  <c r="S318" i="7"/>
  <c r="R318" i="7"/>
  <c r="Q318" i="7"/>
  <c r="P318" i="7"/>
  <c r="O318" i="7"/>
  <c r="N318" i="7"/>
  <c r="K318" i="7"/>
  <c r="J318" i="7"/>
  <c r="I318" i="7"/>
  <c r="H318" i="7"/>
  <c r="G318" i="7"/>
  <c r="F318" i="7"/>
  <c r="E318" i="7"/>
  <c r="D318" i="7"/>
  <c r="C318" i="7"/>
  <c r="B318" i="7"/>
  <c r="W288" i="7"/>
  <c r="W414" i="7" s="1"/>
  <c r="V288" i="7"/>
  <c r="V414" i="7" s="1"/>
  <c r="U288" i="7"/>
  <c r="U414" i="7" s="1"/>
  <c r="T288" i="7"/>
  <c r="T414" i="7" s="1"/>
  <c r="S288" i="7"/>
  <c r="S414" i="7" s="1"/>
  <c r="R288" i="7"/>
  <c r="R414" i="7" s="1"/>
  <c r="Q288" i="7"/>
  <c r="Q414" i="7" s="1"/>
  <c r="P288" i="7"/>
  <c r="P414" i="7" s="1"/>
  <c r="O288" i="7"/>
  <c r="O414" i="7" s="1"/>
  <c r="N288" i="7"/>
  <c r="N414" i="7" s="1"/>
  <c r="K288" i="7"/>
  <c r="K414" i="7" s="1"/>
  <c r="J288" i="7"/>
  <c r="J414" i="7" s="1"/>
  <c r="I288" i="7"/>
  <c r="I414" i="7" s="1"/>
  <c r="H288" i="7"/>
  <c r="H414" i="7" s="1"/>
  <c r="G288" i="7"/>
  <c r="G414" i="7" s="1"/>
  <c r="F288" i="7"/>
  <c r="F414" i="7" s="1"/>
  <c r="E288" i="7"/>
  <c r="E414" i="7" s="1"/>
  <c r="D288" i="7"/>
  <c r="D414" i="7" s="1"/>
  <c r="C288" i="7"/>
  <c r="C414" i="7" s="1"/>
  <c r="B288" i="7"/>
  <c r="B414" i="7" s="1"/>
  <c r="X240" i="7"/>
  <c r="X396" i="7" s="1"/>
  <c r="L240" i="7"/>
  <c r="L396" i="7" s="1"/>
  <c r="X192" i="7"/>
  <c r="X375" i="7" s="1"/>
  <c r="L192" i="7"/>
  <c r="L375" i="7" s="1"/>
  <c r="X144" i="7"/>
  <c r="L144" i="7"/>
  <c r="X96" i="7"/>
  <c r="X336" i="7" s="1"/>
  <c r="L96" i="7"/>
  <c r="L336" i="7" s="1"/>
  <c r="X48" i="7"/>
  <c r="X318" i="7" s="1"/>
  <c r="L48" i="7"/>
  <c r="L318" i="7" s="1"/>
  <c r="K393" i="6"/>
  <c r="J393" i="6"/>
  <c r="I393" i="6"/>
  <c r="H393" i="6"/>
  <c r="G393" i="6"/>
  <c r="F393" i="6"/>
  <c r="E393" i="6"/>
  <c r="D393" i="6"/>
  <c r="C393" i="6"/>
  <c r="B393" i="6"/>
  <c r="K373" i="6"/>
  <c r="J373" i="6"/>
  <c r="I373" i="6"/>
  <c r="H373" i="6"/>
  <c r="G373" i="6"/>
  <c r="F373" i="6"/>
  <c r="E373" i="6"/>
  <c r="D373" i="6"/>
  <c r="C373" i="6"/>
  <c r="B373" i="6"/>
  <c r="K355" i="6"/>
  <c r="J355" i="6"/>
  <c r="I355" i="6"/>
  <c r="H355" i="6"/>
  <c r="G355" i="6"/>
  <c r="F355" i="6"/>
  <c r="E355" i="6"/>
  <c r="D355" i="6"/>
  <c r="C355" i="6"/>
  <c r="B355" i="6"/>
  <c r="K335" i="6"/>
  <c r="J335" i="6"/>
  <c r="I335" i="6"/>
  <c r="H335" i="6"/>
  <c r="G335" i="6"/>
  <c r="F335" i="6"/>
  <c r="E335" i="6"/>
  <c r="D335" i="6"/>
  <c r="C335" i="6"/>
  <c r="B335" i="6"/>
  <c r="K317" i="6"/>
  <c r="J317" i="6"/>
  <c r="I317" i="6"/>
  <c r="H317" i="6"/>
  <c r="G317" i="6"/>
  <c r="F317" i="6"/>
  <c r="E317" i="6"/>
  <c r="D317" i="6"/>
  <c r="C317" i="6"/>
  <c r="B317" i="6"/>
  <c r="K288" i="6"/>
  <c r="K411" i="6" s="1"/>
  <c r="J288" i="6"/>
  <c r="J411" i="6" s="1"/>
  <c r="I288" i="6"/>
  <c r="I411" i="6" s="1"/>
  <c r="H288" i="6"/>
  <c r="H411" i="6" s="1"/>
  <c r="G288" i="6"/>
  <c r="G411" i="6" s="1"/>
  <c r="F288" i="6"/>
  <c r="F411" i="6" s="1"/>
  <c r="E288" i="6"/>
  <c r="E411" i="6" s="1"/>
  <c r="D288" i="6"/>
  <c r="D411" i="6" s="1"/>
  <c r="C288" i="6"/>
  <c r="C411" i="6" s="1"/>
  <c r="B288" i="6"/>
  <c r="B411" i="6" s="1"/>
  <c r="L240" i="6"/>
  <c r="L192" i="6"/>
  <c r="L373" i="6" s="1"/>
  <c r="L144" i="6"/>
  <c r="L355" i="6" s="1"/>
  <c r="L96" i="6"/>
  <c r="L335" i="6" s="1"/>
  <c r="L48" i="6"/>
  <c r="L317" i="6" s="1"/>
  <c r="R406" i="5"/>
  <c r="Q406" i="5"/>
  <c r="P406" i="5"/>
  <c r="O406" i="5"/>
  <c r="N406" i="5"/>
  <c r="M406" i="5"/>
  <c r="L406" i="5"/>
  <c r="K406" i="5"/>
  <c r="H406" i="5"/>
  <c r="G406" i="5"/>
  <c r="F406" i="5"/>
  <c r="E406" i="5"/>
  <c r="D406" i="5"/>
  <c r="C406" i="5"/>
  <c r="B406" i="5"/>
  <c r="R385" i="5"/>
  <c r="Q385" i="5"/>
  <c r="P385" i="5"/>
  <c r="O385" i="5"/>
  <c r="N385" i="5"/>
  <c r="M385" i="5"/>
  <c r="L385" i="5"/>
  <c r="K385" i="5"/>
  <c r="H385" i="5"/>
  <c r="G385" i="5"/>
  <c r="F385" i="5"/>
  <c r="E385" i="5"/>
  <c r="D385" i="5"/>
  <c r="C385" i="5"/>
  <c r="B385" i="5"/>
  <c r="R367" i="5"/>
  <c r="Q367" i="5"/>
  <c r="P367" i="5"/>
  <c r="O367" i="5"/>
  <c r="N367" i="5"/>
  <c r="M367" i="5"/>
  <c r="L367" i="5"/>
  <c r="K367" i="5"/>
  <c r="H367" i="5"/>
  <c r="G367" i="5"/>
  <c r="F367" i="5"/>
  <c r="E367" i="5"/>
  <c r="D367" i="5"/>
  <c r="C367" i="5"/>
  <c r="B367" i="5"/>
  <c r="R346" i="5"/>
  <c r="Q346" i="5"/>
  <c r="P346" i="5"/>
  <c r="O346" i="5"/>
  <c r="N346" i="5"/>
  <c r="M346" i="5"/>
  <c r="L346" i="5"/>
  <c r="K346" i="5"/>
  <c r="H346" i="5"/>
  <c r="G346" i="5"/>
  <c r="F346" i="5"/>
  <c r="E346" i="5"/>
  <c r="D346" i="5"/>
  <c r="C346" i="5"/>
  <c r="B346" i="5"/>
  <c r="R328" i="5"/>
  <c r="Q328" i="5"/>
  <c r="P328" i="5"/>
  <c r="O328" i="5"/>
  <c r="N328" i="5"/>
  <c r="M328" i="5"/>
  <c r="L328" i="5"/>
  <c r="K328" i="5"/>
  <c r="H328" i="5"/>
  <c r="G328" i="5"/>
  <c r="F328" i="5"/>
  <c r="E328" i="5"/>
  <c r="D328" i="5"/>
  <c r="C328" i="5"/>
  <c r="B328" i="5"/>
  <c r="R288" i="5"/>
  <c r="H53" i="3" s="1"/>
  <c r="Q288" i="5"/>
  <c r="Q424" i="5" s="1"/>
  <c r="P288" i="5"/>
  <c r="P424" i="5" s="1"/>
  <c r="O288" i="5"/>
  <c r="O424" i="5" s="1"/>
  <c r="N288" i="5"/>
  <c r="N424" i="5" s="1"/>
  <c r="M288" i="5"/>
  <c r="M424" i="5" s="1"/>
  <c r="L288" i="5"/>
  <c r="L424" i="5" s="1"/>
  <c r="K288" i="5"/>
  <c r="K424" i="5" s="1"/>
  <c r="H288" i="5"/>
  <c r="H424" i="5" s="1"/>
  <c r="G288" i="5"/>
  <c r="G424" i="5" s="1"/>
  <c r="F288" i="5"/>
  <c r="F424" i="5" s="1"/>
  <c r="E288" i="5"/>
  <c r="E424" i="5" s="1"/>
  <c r="D288" i="5"/>
  <c r="D424" i="5" s="1"/>
  <c r="C288" i="5"/>
  <c r="C424" i="5" s="1"/>
  <c r="B288" i="5"/>
  <c r="B424" i="5" s="1"/>
  <c r="I240" i="5"/>
  <c r="F35" i="3" s="1"/>
  <c r="I192" i="5"/>
  <c r="E35" i="3" s="1"/>
  <c r="I144" i="5"/>
  <c r="D35" i="3" s="1"/>
  <c r="I96" i="5"/>
  <c r="C35" i="3" s="1"/>
  <c r="I48" i="5"/>
  <c r="I328" i="5" s="1"/>
  <c r="D412" i="4"/>
  <c r="C412" i="4"/>
  <c r="B412" i="4"/>
  <c r="H394" i="4"/>
  <c r="G394" i="4"/>
  <c r="F394" i="4"/>
  <c r="E394" i="4"/>
  <c r="D394" i="4"/>
  <c r="C394" i="4"/>
  <c r="B394" i="4"/>
  <c r="H376" i="4"/>
  <c r="G376" i="4"/>
  <c r="F376" i="4"/>
  <c r="E376" i="4"/>
  <c r="D376" i="4"/>
  <c r="C376" i="4"/>
  <c r="B376" i="4"/>
  <c r="H356" i="4"/>
  <c r="G356" i="4"/>
  <c r="F356" i="4"/>
  <c r="E356" i="4"/>
  <c r="D356" i="4"/>
  <c r="C356" i="4"/>
  <c r="B356" i="4"/>
  <c r="H338" i="4"/>
  <c r="G338" i="4"/>
  <c r="F338" i="4"/>
  <c r="E338" i="4"/>
  <c r="D338" i="4"/>
  <c r="C338" i="4"/>
  <c r="B338" i="4"/>
  <c r="H320" i="4"/>
  <c r="G320" i="4"/>
  <c r="F320" i="4"/>
  <c r="E320" i="4"/>
  <c r="D320" i="4"/>
  <c r="C320" i="4"/>
  <c r="B320" i="4"/>
  <c r="H275" i="4"/>
  <c r="H412" i="4" s="1"/>
  <c r="G275" i="4"/>
  <c r="G412" i="4" s="1"/>
  <c r="F275" i="4"/>
  <c r="F412" i="4" s="1"/>
  <c r="E275" i="4"/>
  <c r="E412" i="4" s="1"/>
  <c r="I229" i="4"/>
  <c r="F17" i="3" s="1"/>
  <c r="I183" i="4"/>
  <c r="I376" i="4" s="1"/>
  <c r="I137" i="4"/>
  <c r="D17" i="3" s="1"/>
  <c r="I91" i="4"/>
  <c r="C17" i="3" s="1"/>
  <c r="I45" i="4"/>
  <c r="B17" i="3" s="1"/>
  <c r="I48" i="30" l="1"/>
  <c r="I192" i="30" s="1"/>
  <c r="R48" i="30"/>
  <c r="R192" i="30" s="1"/>
  <c r="I240" i="20"/>
  <c r="I361" i="20" s="1"/>
  <c r="R240" i="20"/>
  <c r="R361" i="20" s="1"/>
  <c r="I47" i="29"/>
  <c r="I182" i="29" s="1"/>
  <c r="I239" i="19"/>
  <c r="I360" i="19" s="1"/>
  <c r="I279" i="19"/>
  <c r="H96" i="27"/>
  <c r="H386" i="27" s="1"/>
  <c r="H365" i="17"/>
  <c r="O365" i="17"/>
  <c r="J288" i="27"/>
  <c r="J336" i="27" s="1"/>
  <c r="J490" i="27" s="1"/>
  <c r="S365" i="17"/>
  <c r="U241" i="17"/>
  <c r="U365" i="17" s="1"/>
  <c r="N288" i="27"/>
  <c r="N468" i="27" s="1"/>
  <c r="U300" i="17"/>
  <c r="J281" i="17"/>
  <c r="B288" i="27"/>
  <c r="B468" i="27" s="1"/>
  <c r="L288" i="27"/>
  <c r="L468" i="27" s="1"/>
  <c r="V241" i="17"/>
  <c r="C288" i="27"/>
  <c r="C468" i="27" s="1"/>
  <c r="M288" i="27"/>
  <c r="M468" i="27" s="1"/>
  <c r="E365" i="17"/>
  <c r="P96" i="27"/>
  <c r="E288" i="27"/>
  <c r="E468" i="27" s="1"/>
  <c r="J241" i="17"/>
  <c r="H288" i="27" s="1"/>
  <c r="H468" i="27" s="1"/>
  <c r="F288" i="27"/>
  <c r="F468" i="27" s="1"/>
  <c r="K241" i="17"/>
  <c r="K365" i="17" s="1"/>
  <c r="H96" i="26"/>
  <c r="H391" i="26" s="1"/>
  <c r="J280" i="16"/>
  <c r="C359" i="16"/>
  <c r="D359" i="16"/>
  <c r="E359" i="16"/>
  <c r="F359" i="16"/>
  <c r="G359" i="16"/>
  <c r="J240" i="16"/>
  <c r="H359" i="16"/>
  <c r="K240" i="16"/>
  <c r="K359" i="16" s="1"/>
  <c r="F240" i="27"/>
  <c r="F449" i="27" s="1"/>
  <c r="E240" i="27"/>
  <c r="E449" i="27" s="1"/>
  <c r="G241" i="32"/>
  <c r="N241" i="32"/>
  <c r="N334" i="32"/>
  <c r="E62" i="13" s="1"/>
  <c r="U241" i="32"/>
  <c r="G334" i="32"/>
  <c r="H48" i="27"/>
  <c r="H367" i="27" s="1"/>
  <c r="P48" i="27"/>
  <c r="P367" i="27" s="1"/>
  <c r="H48" i="26"/>
  <c r="H372" i="26" s="1"/>
  <c r="H279" i="14"/>
  <c r="H240" i="14"/>
  <c r="L48" i="25"/>
  <c r="L219" i="25" s="1"/>
  <c r="S289" i="12"/>
  <c r="S505" i="12" s="1"/>
  <c r="K289" i="12"/>
  <c r="K505" i="12" s="1"/>
  <c r="C337" i="12"/>
  <c r="C528" i="12" s="1"/>
  <c r="K421" i="12"/>
  <c r="G505" i="12"/>
  <c r="P505" i="12"/>
  <c r="H505" i="12"/>
  <c r="Q505" i="12"/>
  <c r="S486" i="12"/>
  <c r="I505" i="12"/>
  <c r="R505" i="12"/>
  <c r="X48" i="25"/>
  <c r="X219" i="25" s="1"/>
  <c r="O337" i="12"/>
  <c r="O528" i="12" s="1"/>
  <c r="B505" i="12"/>
  <c r="J505" i="12"/>
  <c r="D505" i="12"/>
  <c r="M505" i="12"/>
  <c r="S402" i="12"/>
  <c r="E505" i="12"/>
  <c r="N505" i="12"/>
  <c r="K402" i="12"/>
  <c r="F505" i="12"/>
  <c r="K289" i="11"/>
  <c r="K498" i="11" s="1"/>
  <c r="L47" i="24"/>
  <c r="L223" i="24" s="1"/>
  <c r="F337" i="11"/>
  <c r="F519" i="11" s="1"/>
  <c r="B337" i="11"/>
  <c r="B519" i="11" s="1"/>
  <c r="K418" i="11"/>
  <c r="C498" i="11"/>
  <c r="D498" i="11"/>
  <c r="G337" i="11"/>
  <c r="G519" i="11" s="1"/>
  <c r="E498" i="11"/>
  <c r="K337" i="11"/>
  <c r="K519" i="11" s="1"/>
  <c r="H498" i="11"/>
  <c r="K399" i="11"/>
  <c r="K479" i="11"/>
  <c r="I498" i="11"/>
  <c r="B240" i="27"/>
  <c r="B449" i="27" s="1"/>
  <c r="D240" i="27"/>
  <c r="D449" i="27" s="1"/>
  <c r="P653" i="10"/>
  <c r="Q653" i="10"/>
  <c r="L48" i="23"/>
  <c r="L219" i="23" s="1"/>
  <c r="L552" i="10"/>
  <c r="L571" i="10"/>
  <c r="L593" i="10"/>
  <c r="R653" i="10"/>
  <c r="L612" i="10"/>
  <c r="B653" i="10"/>
  <c r="L634" i="10"/>
  <c r="J653" i="10"/>
  <c r="K653" i="10"/>
  <c r="N653" i="10"/>
  <c r="O653" i="10"/>
  <c r="J509" i="9"/>
  <c r="K509" i="9"/>
  <c r="L144" i="25"/>
  <c r="L260" i="25" s="1"/>
  <c r="X144" i="25"/>
  <c r="X260" i="25" s="1"/>
  <c r="X288" i="7"/>
  <c r="X414" i="7" s="1"/>
  <c r="X357" i="7"/>
  <c r="L288" i="7"/>
  <c r="L414" i="7" s="1"/>
  <c r="L357" i="7"/>
  <c r="L288" i="6"/>
  <c r="L411" i="6" s="1"/>
  <c r="K264" i="24"/>
  <c r="K191" i="24"/>
  <c r="K283" i="24" s="1"/>
  <c r="L143" i="24"/>
  <c r="L264" i="24" s="1"/>
  <c r="L393" i="6"/>
  <c r="L144" i="23"/>
  <c r="L260" i="23" s="1"/>
  <c r="B35" i="3"/>
  <c r="H35" i="3" s="1"/>
  <c r="I288" i="5"/>
  <c r="I424" i="5" s="1"/>
  <c r="I346" i="5"/>
  <c r="I367" i="5"/>
  <c r="I385" i="5"/>
  <c r="I406" i="5"/>
  <c r="R424" i="5"/>
  <c r="E17" i="3"/>
  <c r="L92" i="22"/>
  <c r="I275" i="4"/>
  <c r="I412" i="4" s="1"/>
  <c r="H17" i="3" s="1"/>
  <c r="I320" i="4"/>
  <c r="I338" i="4"/>
  <c r="I356" i="4"/>
  <c r="I394" i="4"/>
  <c r="P288" i="27"/>
  <c r="P468" i="27" s="1"/>
  <c r="J365" i="17"/>
  <c r="L96" i="23"/>
  <c r="L238" i="23" s="1"/>
  <c r="L432" i="10"/>
  <c r="L653" i="10" s="1"/>
  <c r="E653" i="10"/>
  <c r="F653" i="10"/>
  <c r="C504" i="10"/>
  <c r="C675" i="10" s="1"/>
  <c r="G653" i="10"/>
  <c r="I653" i="10"/>
  <c r="D653" i="10"/>
  <c r="H653" i="10"/>
  <c r="B63" i="8"/>
  <c r="S504" i="10"/>
  <c r="I371" i="9"/>
  <c r="I531" i="9" s="1"/>
  <c r="E371" i="9"/>
  <c r="E531" i="9" s="1"/>
  <c r="F509" i="9"/>
  <c r="L46" i="22"/>
  <c r="L318" i="9"/>
  <c r="D509" i="9"/>
  <c r="H509" i="9"/>
  <c r="C509" i="9"/>
  <c r="G509" i="9"/>
  <c r="E240" i="26"/>
  <c r="E451" i="26" s="1"/>
  <c r="B144" i="30"/>
  <c r="B233" i="30" s="1"/>
  <c r="O144" i="30"/>
  <c r="O233" i="30" s="1"/>
  <c r="C144" i="30"/>
  <c r="C233" i="30" s="1"/>
  <c r="G144" i="30"/>
  <c r="G233" i="30" s="1"/>
  <c r="L144" i="30"/>
  <c r="L233" i="30" s="1"/>
  <c r="P144" i="30"/>
  <c r="P233" i="30" s="1"/>
  <c r="F144" i="30"/>
  <c r="F233" i="30" s="1"/>
  <c r="D144" i="30"/>
  <c r="D233" i="30" s="1"/>
  <c r="H144" i="30"/>
  <c r="H233" i="30" s="1"/>
  <c r="M144" i="30"/>
  <c r="M233" i="30" s="1"/>
  <c r="Q144" i="30"/>
  <c r="Q233" i="30" s="1"/>
  <c r="K144" i="30"/>
  <c r="K233" i="30" s="1"/>
  <c r="E144" i="30"/>
  <c r="E233" i="30" s="1"/>
  <c r="I144" i="30"/>
  <c r="N144" i="30"/>
  <c r="N233" i="30" s="1"/>
  <c r="R144" i="30"/>
  <c r="F143" i="29"/>
  <c r="F220" i="29" s="1"/>
  <c r="F201" i="29"/>
  <c r="C143" i="29"/>
  <c r="C220" i="29" s="1"/>
  <c r="G143" i="29"/>
  <c r="G220" i="29" s="1"/>
  <c r="B143" i="29"/>
  <c r="B220" i="29" s="1"/>
  <c r="D143" i="29"/>
  <c r="D220" i="29" s="1"/>
  <c r="H143" i="29"/>
  <c r="H220" i="29" s="1"/>
  <c r="E143" i="29"/>
  <c r="E220" i="29" s="1"/>
  <c r="I143" i="29"/>
  <c r="J468" i="27"/>
  <c r="O427" i="27"/>
  <c r="G427" i="27"/>
  <c r="J386" i="27"/>
  <c r="K386" i="27"/>
  <c r="O386" i="27"/>
  <c r="D367" i="27"/>
  <c r="G386" i="27"/>
  <c r="G336" i="27"/>
  <c r="G490" i="27" s="1"/>
  <c r="E367" i="27"/>
  <c r="B367" i="27"/>
  <c r="F367" i="27"/>
  <c r="M240" i="27"/>
  <c r="O336" i="27"/>
  <c r="O490" i="27" s="1"/>
  <c r="L240" i="27"/>
  <c r="C240" i="27"/>
  <c r="N240" i="27"/>
  <c r="L144" i="27"/>
  <c r="L408" i="27" s="1"/>
  <c r="P192" i="27"/>
  <c r="M144" i="27"/>
  <c r="M408" i="27" s="1"/>
  <c r="K240" i="27"/>
  <c r="C144" i="27"/>
  <c r="C408" i="27" s="1"/>
  <c r="H192" i="27"/>
  <c r="E144" i="27"/>
  <c r="E408" i="27" s="1"/>
  <c r="N144" i="27"/>
  <c r="N408" i="27" s="1"/>
  <c r="D144" i="27"/>
  <c r="D408" i="27" s="1"/>
  <c r="B144" i="27"/>
  <c r="B408" i="27" s="1"/>
  <c r="F144" i="27"/>
  <c r="F408" i="27" s="1"/>
  <c r="G240" i="26"/>
  <c r="E372" i="26"/>
  <c r="D240" i="26"/>
  <c r="H192" i="26"/>
  <c r="B240" i="26"/>
  <c r="F240" i="26"/>
  <c r="C240" i="26"/>
  <c r="E144" i="26"/>
  <c r="E410" i="26" s="1"/>
  <c r="B144" i="26"/>
  <c r="B410" i="26" s="1"/>
  <c r="F144" i="26"/>
  <c r="F410" i="26" s="1"/>
  <c r="C144" i="26"/>
  <c r="C410" i="26" s="1"/>
  <c r="G144" i="26"/>
  <c r="G410" i="26" s="1"/>
  <c r="D144" i="26"/>
  <c r="D410" i="26" s="1"/>
  <c r="N192" i="25"/>
  <c r="N279" i="25" s="1"/>
  <c r="B260" i="25"/>
  <c r="K260" i="25"/>
  <c r="H192" i="25"/>
  <c r="H279" i="25" s="1"/>
  <c r="H238" i="25"/>
  <c r="Q192" i="25"/>
  <c r="Q279" i="25" s="1"/>
  <c r="D192" i="25"/>
  <c r="D279" i="25" s="1"/>
  <c r="U192" i="25"/>
  <c r="U279" i="25" s="1"/>
  <c r="G192" i="25"/>
  <c r="G279" i="25" s="1"/>
  <c r="E192" i="25"/>
  <c r="E279" i="25" s="1"/>
  <c r="I192" i="25"/>
  <c r="I279" i="25" s="1"/>
  <c r="R192" i="25"/>
  <c r="R279" i="25" s="1"/>
  <c r="V192" i="25"/>
  <c r="V279" i="25" s="1"/>
  <c r="P192" i="25"/>
  <c r="P279" i="25" s="1"/>
  <c r="T192" i="25"/>
  <c r="T279" i="25" s="1"/>
  <c r="F192" i="25"/>
  <c r="F279" i="25" s="1"/>
  <c r="J192" i="25"/>
  <c r="J279" i="25" s="1"/>
  <c r="O192" i="25"/>
  <c r="O279" i="25" s="1"/>
  <c r="S192" i="25"/>
  <c r="S279" i="25" s="1"/>
  <c r="W192" i="25"/>
  <c r="W279" i="25" s="1"/>
  <c r="L96" i="25"/>
  <c r="X96" i="25"/>
  <c r="C192" i="25"/>
  <c r="C279" i="25" s="1"/>
  <c r="B191" i="24"/>
  <c r="B283" i="24" s="1"/>
  <c r="C191" i="24"/>
  <c r="C283" i="24" s="1"/>
  <c r="G191" i="24"/>
  <c r="G283" i="24" s="1"/>
  <c r="F191" i="24"/>
  <c r="F283" i="24" s="1"/>
  <c r="J191" i="24"/>
  <c r="J283" i="24" s="1"/>
  <c r="E191" i="24"/>
  <c r="E283" i="24" s="1"/>
  <c r="I191" i="24"/>
  <c r="I283" i="24" s="1"/>
  <c r="D191" i="24"/>
  <c r="D283" i="24" s="1"/>
  <c r="H191" i="24"/>
  <c r="H283" i="24" s="1"/>
  <c r="L95" i="24"/>
  <c r="Q219" i="23"/>
  <c r="D192" i="23"/>
  <c r="D279" i="23" s="1"/>
  <c r="H192" i="23"/>
  <c r="H279" i="23" s="1"/>
  <c r="U219" i="23"/>
  <c r="K192" i="23"/>
  <c r="K279" i="23" s="1"/>
  <c r="E192" i="23"/>
  <c r="E279" i="23" s="1"/>
  <c r="I192" i="23"/>
  <c r="I279" i="23" s="1"/>
  <c r="R219" i="23"/>
  <c r="J192" i="23"/>
  <c r="J279" i="23" s="1"/>
  <c r="F192" i="23"/>
  <c r="F279" i="23" s="1"/>
  <c r="S219" i="23"/>
  <c r="B192" i="23"/>
  <c r="B279" i="23" s="1"/>
  <c r="C192" i="23"/>
  <c r="C279" i="23" s="1"/>
  <c r="G192" i="23"/>
  <c r="G279" i="23" s="1"/>
  <c r="T219" i="23"/>
  <c r="K184" i="22"/>
  <c r="K280" i="22" s="1"/>
  <c r="E184" i="22"/>
  <c r="E280" i="22" s="1"/>
  <c r="I184" i="22"/>
  <c r="I280" i="22" s="1"/>
  <c r="F184" i="22"/>
  <c r="F280" i="22" s="1"/>
  <c r="G184" i="22"/>
  <c r="G280" i="22" s="1"/>
  <c r="B184" i="22"/>
  <c r="B280" i="22" s="1"/>
  <c r="J184" i="22"/>
  <c r="J280" i="22" s="1"/>
  <c r="D184" i="22"/>
  <c r="H184" i="22"/>
  <c r="H280" i="22" s="1"/>
  <c r="L138" i="22"/>
  <c r="C184" i="22"/>
  <c r="C280" i="22" s="1"/>
  <c r="I233" i="30" l="1"/>
  <c r="R233" i="30"/>
  <c r="I220" i="29"/>
  <c r="E336" i="27"/>
  <c r="E490" i="27" s="1"/>
  <c r="F336" i="27"/>
  <c r="F490" i="27" s="1"/>
  <c r="H144" i="26"/>
  <c r="H410" i="26" s="1"/>
  <c r="V365" i="17"/>
  <c r="P386" i="27"/>
  <c r="H288" i="26"/>
  <c r="H470" i="26" s="1"/>
  <c r="J359" i="16"/>
  <c r="H144" i="27"/>
  <c r="H408" i="27" s="1"/>
  <c r="P144" i="27"/>
  <c r="P408" i="27" s="1"/>
  <c r="D336" i="27"/>
  <c r="D490" i="27" s="1"/>
  <c r="B336" i="27"/>
  <c r="B490" i="27" s="1"/>
  <c r="N356" i="32"/>
  <c r="F62" i="13" s="1"/>
  <c r="J62" i="13" s="1"/>
  <c r="G356" i="32"/>
  <c r="F39" i="13" s="1"/>
  <c r="J39" i="13" s="1"/>
  <c r="U356" i="32"/>
  <c r="F81" i="13" s="1"/>
  <c r="J81" i="13" s="1"/>
  <c r="H359" i="14"/>
  <c r="J20" i="13" s="1"/>
  <c r="S337" i="12"/>
  <c r="S528" i="12" s="1"/>
  <c r="K337" i="12"/>
  <c r="K528" i="12" s="1"/>
  <c r="L504" i="10"/>
  <c r="L675" i="10" s="1"/>
  <c r="E336" i="26"/>
  <c r="E492" i="26" s="1"/>
  <c r="L192" i="23"/>
  <c r="L279" i="23" s="1"/>
  <c r="S675" i="10"/>
  <c r="G63" i="8"/>
  <c r="K63" i="8" s="1"/>
  <c r="L371" i="9"/>
  <c r="L531" i="9" s="1"/>
  <c r="G20" i="8" s="1"/>
  <c r="K20" i="8" s="1"/>
  <c r="L509" i="9"/>
  <c r="C336" i="27"/>
  <c r="C490" i="27" s="1"/>
  <c r="C449" i="27"/>
  <c r="L336" i="27"/>
  <c r="L490" i="27" s="1"/>
  <c r="L449" i="27"/>
  <c r="M336" i="27"/>
  <c r="M490" i="27" s="1"/>
  <c r="M449" i="27"/>
  <c r="K336" i="27"/>
  <c r="K490" i="27" s="1"/>
  <c r="K449" i="27"/>
  <c r="N336" i="27"/>
  <c r="N490" i="27" s="1"/>
  <c r="N449" i="27"/>
  <c r="P240" i="27"/>
  <c r="P427" i="27"/>
  <c r="H240" i="27"/>
  <c r="H427" i="27"/>
  <c r="F336" i="26"/>
  <c r="F492" i="26" s="1"/>
  <c r="F451" i="26"/>
  <c r="C336" i="26"/>
  <c r="C492" i="26" s="1"/>
  <c r="C451" i="26"/>
  <c r="B336" i="26"/>
  <c r="B492" i="26" s="1"/>
  <c r="B451" i="26"/>
  <c r="D336" i="26"/>
  <c r="D492" i="26" s="1"/>
  <c r="D451" i="26"/>
  <c r="G336" i="26"/>
  <c r="G492" i="26" s="1"/>
  <c r="G451" i="26"/>
  <c r="H240" i="26"/>
  <c r="H432" i="26"/>
  <c r="X192" i="25"/>
  <c r="X279" i="25" s="1"/>
  <c r="X238" i="25"/>
  <c r="L192" i="25"/>
  <c r="L279" i="25" s="1"/>
  <c r="L238" i="25"/>
  <c r="L191" i="24"/>
  <c r="L283" i="24" s="1"/>
  <c r="L242" i="24"/>
  <c r="L184" i="22"/>
  <c r="L280" i="22" s="1"/>
  <c r="L261" i="22"/>
  <c r="G40" i="8" l="1"/>
  <c r="K40" i="8" s="1"/>
  <c r="P336" i="27"/>
  <c r="P490" i="27" s="1"/>
  <c r="P449" i="27"/>
  <c r="H336" i="27"/>
  <c r="H490" i="27" s="1"/>
  <c r="H449" i="27"/>
  <c r="H336" i="26"/>
  <c r="H492" i="26" s="1"/>
  <c r="H451" i="26"/>
  <c r="K49" i="24" l="1"/>
  <c r="K20" i="24"/>
  <c r="J291" i="12"/>
  <c r="J339" i="12" s="1"/>
  <c r="A516" i="9" l="1"/>
  <c r="A534" i="9"/>
  <c r="A539" i="9"/>
  <c r="B288" i="12" l="1"/>
  <c r="C46" i="25"/>
  <c r="K282" i="24"/>
  <c r="Q47" i="23"/>
  <c r="Q50" i="23"/>
  <c r="Q46" i="23"/>
  <c r="U188" i="17" l="1"/>
  <c r="U189" i="17"/>
  <c r="U190" i="17"/>
  <c r="U191" i="17"/>
  <c r="U192" i="17"/>
  <c r="U195" i="17"/>
  <c r="X98" i="7" l="1"/>
  <c r="X95" i="7"/>
  <c r="L98" i="7"/>
  <c r="L95" i="7"/>
  <c r="X50" i="7"/>
  <c r="X47" i="7"/>
  <c r="L50" i="7"/>
  <c r="L47" i="7"/>
  <c r="L141" i="6"/>
  <c r="L142" i="6"/>
  <c r="L143" i="6"/>
  <c r="L146" i="6"/>
  <c r="L98" i="6"/>
  <c r="L95" i="6"/>
  <c r="L50" i="6"/>
  <c r="L47" i="6"/>
  <c r="I95" i="5"/>
  <c r="I47" i="5"/>
  <c r="I90" i="4"/>
  <c r="I44" i="4"/>
  <c r="Q95" i="30" l="1"/>
  <c r="Q210" i="30" s="1"/>
  <c r="P95" i="30"/>
  <c r="P210" i="30" s="1"/>
  <c r="O95" i="30"/>
  <c r="O210" i="30" s="1"/>
  <c r="N95" i="30"/>
  <c r="N210" i="30" s="1"/>
  <c r="M95" i="30"/>
  <c r="M210" i="30" s="1"/>
  <c r="L95" i="30"/>
  <c r="L210" i="30" s="1"/>
  <c r="K95" i="30"/>
  <c r="K210" i="30" s="1"/>
  <c r="H95" i="30"/>
  <c r="H210" i="30" s="1"/>
  <c r="G95" i="30"/>
  <c r="G210" i="30" s="1"/>
  <c r="F95" i="30"/>
  <c r="F210" i="30" s="1"/>
  <c r="E95" i="30"/>
  <c r="E210" i="30" s="1"/>
  <c r="D95" i="30"/>
  <c r="D210" i="30" s="1"/>
  <c r="C95" i="30"/>
  <c r="C210" i="30" s="1"/>
  <c r="B95" i="30"/>
  <c r="B210" i="30" s="1"/>
  <c r="Q47" i="30"/>
  <c r="Q191" i="30" s="1"/>
  <c r="P47" i="30"/>
  <c r="P191" i="30" s="1"/>
  <c r="O47" i="30"/>
  <c r="O191" i="30" s="1"/>
  <c r="N47" i="30"/>
  <c r="N191" i="30" s="1"/>
  <c r="M47" i="30"/>
  <c r="M191" i="30" s="1"/>
  <c r="L47" i="30"/>
  <c r="L191" i="30" s="1"/>
  <c r="K47" i="30"/>
  <c r="K191" i="30" s="1"/>
  <c r="H47" i="30"/>
  <c r="H191" i="30" s="1"/>
  <c r="G47" i="30"/>
  <c r="G191" i="30" s="1"/>
  <c r="F47" i="30"/>
  <c r="F191" i="30" s="1"/>
  <c r="E47" i="30"/>
  <c r="E191" i="30" s="1"/>
  <c r="D47" i="30"/>
  <c r="D191" i="30" s="1"/>
  <c r="C47" i="30"/>
  <c r="C191" i="30" s="1"/>
  <c r="B47" i="30"/>
  <c r="B191" i="30" s="1"/>
  <c r="H94" i="29"/>
  <c r="H200" i="29" s="1"/>
  <c r="G94" i="29"/>
  <c r="G200" i="29" s="1"/>
  <c r="F94" i="29"/>
  <c r="F200" i="29" s="1"/>
  <c r="E94" i="29"/>
  <c r="E200" i="29" s="1"/>
  <c r="D94" i="29"/>
  <c r="D200" i="29" s="1"/>
  <c r="C94" i="29"/>
  <c r="C200" i="29" s="1"/>
  <c r="B94" i="29"/>
  <c r="B200" i="29" s="1"/>
  <c r="H46" i="29"/>
  <c r="H181" i="29" s="1"/>
  <c r="G46" i="29"/>
  <c r="G181" i="29" s="1"/>
  <c r="F46" i="29"/>
  <c r="F181" i="29" s="1"/>
  <c r="E46" i="29"/>
  <c r="E181" i="29" s="1"/>
  <c r="D46" i="29"/>
  <c r="D181" i="29" s="1"/>
  <c r="C46" i="29"/>
  <c r="C181" i="29" s="1"/>
  <c r="B46" i="29"/>
  <c r="B181" i="29" s="1"/>
  <c r="G248" i="28"/>
  <c r="G125" i="28"/>
  <c r="G265" i="28" s="1"/>
  <c r="P100" i="28"/>
  <c r="I100" i="28"/>
  <c r="F100" i="28"/>
  <c r="F248" i="28" s="1"/>
  <c r="E100" i="28"/>
  <c r="E248" i="28" s="1"/>
  <c r="D100" i="28"/>
  <c r="D248" i="28" s="1"/>
  <c r="C100" i="28"/>
  <c r="C248" i="28" s="1"/>
  <c r="B100" i="28"/>
  <c r="B248" i="28" s="1"/>
  <c r="G75" i="28"/>
  <c r="G234" i="28" s="1"/>
  <c r="F220" i="28"/>
  <c r="E220" i="28"/>
  <c r="D220" i="28"/>
  <c r="C220" i="28"/>
  <c r="B220" i="28"/>
  <c r="B206" i="28"/>
  <c r="J426" i="27"/>
  <c r="O366" i="27"/>
  <c r="K366" i="27"/>
  <c r="J366" i="27"/>
  <c r="G366" i="27"/>
  <c r="J239" i="27"/>
  <c r="J448" i="27" s="1"/>
  <c r="O191" i="27"/>
  <c r="O239" i="27" s="1"/>
  <c r="O448" i="27" s="1"/>
  <c r="N191" i="27"/>
  <c r="N426" i="27" s="1"/>
  <c r="M191" i="27"/>
  <c r="M426" i="27" s="1"/>
  <c r="L191" i="27"/>
  <c r="L426" i="27" s="1"/>
  <c r="K191" i="27"/>
  <c r="G191" i="27"/>
  <c r="G239" i="27" s="1"/>
  <c r="F191" i="27"/>
  <c r="F426" i="27" s="1"/>
  <c r="E191" i="27"/>
  <c r="E426" i="27" s="1"/>
  <c r="D191" i="27"/>
  <c r="D426" i="27" s="1"/>
  <c r="C191" i="27"/>
  <c r="C426" i="27" s="1"/>
  <c r="B191" i="27"/>
  <c r="B426" i="27" s="1"/>
  <c r="O95" i="27"/>
  <c r="O143" i="27" s="1"/>
  <c r="O407" i="27" s="1"/>
  <c r="N95" i="27"/>
  <c r="N385" i="27" s="1"/>
  <c r="M95" i="27"/>
  <c r="M385" i="27" s="1"/>
  <c r="L95" i="27"/>
  <c r="L385" i="27" s="1"/>
  <c r="K95" i="27"/>
  <c r="K143" i="27" s="1"/>
  <c r="K407" i="27" s="1"/>
  <c r="J95" i="27"/>
  <c r="J143" i="27" s="1"/>
  <c r="J407" i="27" s="1"/>
  <c r="G95" i="27"/>
  <c r="G143" i="27" s="1"/>
  <c r="G407" i="27" s="1"/>
  <c r="F95" i="27"/>
  <c r="F385" i="27" s="1"/>
  <c r="E95" i="27"/>
  <c r="E385" i="27" s="1"/>
  <c r="D95" i="27"/>
  <c r="D385" i="27" s="1"/>
  <c r="C95" i="27"/>
  <c r="C385" i="27" s="1"/>
  <c r="B95" i="27"/>
  <c r="B385" i="27" s="1"/>
  <c r="N47" i="27"/>
  <c r="N366" i="27" s="1"/>
  <c r="M47" i="27"/>
  <c r="M366" i="27" s="1"/>
  <c r="L47" i="27"/>
  <c r="L366" i="27" s="1"/>
  <c r="F47" i="27"/>
  <c r="E47" i="27"/>
  <c r="D47" i="27"/>
  <c r="D366" i="27" s="1"/>
  <c r="C47" i="27"/>
  <c r="C366" i="27" s="1"/>
  <c r="B47" i="27"/>
  <c r="G191" i="26"/>
  <c r="G431" i="26" s="1"/>
  <c r="F191" i="26"/>
  <c r="F431" i="26" s="1"/>
  <c r="E191" i="26"/>
  <c r="E431" i="26" s="1"/>
  <c r="D191" i="26"/>
  <c r="D431" i="26" s="1"/>
  <c r="C191" i="26"/>
  <c r="C431" i="26" s="1"/>
  <c r="B191" i="26"/>
  <c r="B431" i="26" s="1"/>
  <c r="G95" i="26"/>
  <c r="G390" i="26" s="1"/>
  <c r="F95" i="26"/>
  <c r="F390" i="26" s="1"/>
  <c r="E95" i="26"/>
  <c r="E390" i="26" s="1"/>
  <c r="D95" i="26"/>
  <c r="D390" i="26" s="1"/>
  <c r="C95" i="26"/>
  <c r="C390" i="26" s="1"/>
  <c r="B95" i="26"/>
  <c r="B390" i="26" s="1"/>
  <c r="G47" i="26"/>
  <c r="G371" i="26" s="1"/>
  <c r="F47" i="26"/>
  <c r="F371" i="26" s="1"/>
  <c r="E47" i="26"/>
  <c r="E371" i="26" s="1"/>
  <c r="D47" i="26"/>
  <c r="D371" i="26" s="1"/>
  <c r="C47" i="26"/>
  <c r="C371" i="26" s="1"/>
  <c r="B47" i="26"/>
  <c r="B371" i="26" s="1"/>
  <c r="K237" i="25"/>
  <c r="B237" i="25"/>
  <c r="W218" i="25"/>
  <c r="P218" i="25"/>
  <c r="O218" i="25"/>
  <c r="N218" i="25"/>
  <c r="K218" i="25"/>
  <c r="B218" i="25"/>
  <c r="W143" i="25"/>
  <c r="W259" i="25" s="1"/>
  <c r="V143" i="25"/>
  <c r="V259" i="25" s="1"/>
  <c r="U143" i="25"/>
  <c r="U259" i="25" s="1"/>
  <c r="T143" i="25"/>
  <c r="T259" i="25" s="1"/>
  <c r="S143" i="25"/>
  <c r="S259" i="25" s="1"/>
  <c r="R143" i="25"/>
  <c r="R259" i="25" s="1"/>
  <c r="Q143" i="25"/>
  <c r="Q259" i="25" s="1"/>
  <c r="P143" i="25"/>
  <c r="P259" i="25" s="1"/>
  <c r="O143" i="25"/>
  <c r="O259" i="25" s="1"/>
  <c r="N143" i="25"/>
  <c r="N259" i="25" s="1"/>
  <c r="K143" i="25"/>
  <c r="J143" i="25"/>
  <c r="J259" i="25" s="1"/>
  <c r="I143" i="25"/>
  <c r="I259" i="25" s="1"/>
  <c r="H143" i="25"/>
  <c r="H259" i="25" s="1"/>
  <c r="G143" i="25"/>
  <c r="F143" i="25"/>
  <c r="F259" i="25" s="1"/>
  <c r="E143" i="25"/>
  <c r="E259" i="25" s="1"/>
  <c r="D143" i="25"/>
  <c r="D259" i="25" s="1"/>
  <c r="C143" i="25"/>
  <c r="C259" i="25" s="1"/>
  <c r="B143" i="25"/>
  <c r="B191" i="25" s="1"/>
  <c r="B278" i="25" s="1"/>
  <c r="W95" i="25"/>
  <c r="W237" i="25" s="1"/>
  <c r="V95" i="25"/>
  <c r="V237" i="25" s="1"/>
  <c r="U95" i="25"/>
  <c r="U237" i="25" s="1"/>
  <c r="T95" i="25"/>
  <c r="T237" i="25" s="1"/>
  <c r="S95" i="25"/>
  <c r="S237" i="25" s="1"/>
  <c r="R95" i="25"/>
  <c r="R237" i="25" s="1"/>
  <c r="Q95" i="25"/>
  <c r="Q237" i="25" s="1"/>
  <c r="P95" i="25"/>
  <c r="P237" i="25" s="1"/>
  <c r="O95" i="25"/>
  <c r="O237" i="25" s="1"/>
  <c r="N95" i="25"/>
  <c r="N237" i="25" s="1"/>
  <c r="J95" i="25"/>
  <c r="J237" i="25" s="1"/>
  <c r="I95" i="25"/>
  <c r="I237" i="25" s="1"/>
  <c r="H95" i="25"/>
  <c r="H237" i="25" s="1"/>
  <c r="G95" i="25"/>
  <c r="G237" i="25" s="1"/>
  <c r="F95" i="25"/>
  <c r="F237" i="25" s="1"/>
  <c r="E95" i="25"/>
  <c r="E237" i="25" s="1"/>
  <c r="D95" i="25"/>
  <c r="D237" i="25" s="1"/>
  <c r="C95" i="25"/>
  <c r="C237" i="25" s="1"/>
  <c r="V47" i="25"/>
  <c r="V218" i="25" s="1"/>
  <c r="U47" i="25"/>
  <c r="U218" i="25" s="1"/>
  <c r="T47" i="25"/>
  <c r="T218" i="25" s="1"/>
  <c r="S47" i="25"/>
  <c r="S218" i="25" s="1"/>
  <c r="R47" i="25"/>
  <c r="R218" i="25" s="1"/>
  <c r="Q47" i="25"/>
  <c r="Q218" i="25" s="1"/>
  <c r="J47" i="25"/>
  <c r="J218" i="25" s="1"/>
  <c r="I47" i="25"/>
  <c r="I218" i="25" s="1"/>
  <c r="H47" i="25"/>
  <c r="H218" i="25" s="1"/>
  <c r="G47" i="25"/>
  <c r="G218" i="25" s="1"/>
  <c r="F47" i="25"/>
  <c r="F218" i="25" s="1"/>
  <c r="E47" i="25"/>
  <c r="E218" i="25" s="1"/>
  <c r="D47" i="25"/>
  <c r="D218" i="25" s="1"/>
  <c r="C47" i="25"/>
  <c r="C218" i="25" s="1"/>
  <c r="K222" i="24"/>
  <c r="B222" i="24"/>
  <c r="K142" i="24"/>
  <c r="K263" i="24" s="1"/>
  <c r="J142" i="24"/>
  <c r="J263" i="24" s="1"/>
  <c r="I142" i="24"/>
  <c r="I263" i="24" s="1"/>
  <c r="H142" i="24"/>
  <c r="H263" i="24" s="1"/>
  <c r="G142" i="24"/>
  <c r="G263" i="24" s="1"/>
  <c r="F142" i="24"/>
  <c r="F263" i="24" s="1"/>
  <c r="E142" i="24"/>
  <c r="E263" i="24" s="1"/>
  <c r="D142" i="24"/>
  <c r="D263" i="24" s="1"/>
  <c r="C142" i="24"/>
  <c r="C263" i="24" s="1"/>
  <c r="B142" i="24"/>
  <c r="B263" i="24" s="1"/>
  <c r="K94" i="24"/>
  <c r="K241" i="24" s="1"/>
  <c r="J94" i="24"/>
  <c r="J241" i="24" s="1"/>
  <c r="I94" i="24"/>
  <c r="I241" i="24" s="1"/>
  <c r="H94" i="24"/>
  <c r="G94" i="24"/>
  <c r="G241" i="24" s="1"/>
  <c r="F94" i="24"/>
  <c r="F241" i="24" s="1"/>
  <c r="E94" i="24"/>
  <c r="E241" i="24" s="1"/>
  <c r="D94" i="24"/>
  <c r="D241" i="24" s="1"/>
  <c r="C94" i="24"/>
  <c r="C241" i="24" s="1"/>
  <c r="B94" i="24"/>
  <c r="B241" i="24" s="1"/>
  <c r="J46" i="24"/>
  <c r="J222" i="24" s="1"/>
  <c r="I46" i="24"/>
  <c r="I222" i="24" s="1"/>
  <c r="H46" i="24"/>
  <c r="H222" i="24" s="1"/>
  <c r="G46" i="24"/>
  <c r="G222" i="24" s="1"/>
  <c r="F46" i="24"/>
  <c r="F222" i="24" s="1"/>
  <c r="E46" i="24"/>
  <c r="E222" i="24" s="1"/>
  <c r="D46" i="24"/>
  <c r="D222" i="24" s="1"/>
  <c r="C46" i="24"/>
  <c r="C222" i="24" s="1"/>
  <c r="X259" i="23"/>
  <c r="W259" i="23"/>
  <c r="V259" i="23"/>
  <c r="U259" i="23"/>
  <c r="T259" i="23"/>
  <c r="S259" i="23"/>
  <c r="R259" i="23"/>
  <c r="Q259" i="23"/>
  <c r="P259" i="23"/>
  <c r="O259" i="23"/>
  <c r="N259" i="23"/>
  <c r="K259" i="23"/>
  <c r="J259" i="23"/>
  <c r="B259" i="23"/>
  <c r="X237" i="23"/>
  <c r="W237" i="23"/>
  <c r="V237" i="23"/>
  <c r="U237" i="23"/>
  <c r="T237" i="23"/>
  <c r="S237" i="23"/>
  <c r="R237" i="23"/>
  <c r="Q237" i="23"/>
  <c r="P237" i="23"/>
  <c r="O237" i="23"/>
  <c r="N237" i="23"/>
  <c r="X218" i="23"/>
  <c r="W218" i="23"/>
  <c r="V218" i="23"/>
  <c r="P218" i="23"/>
  <c r="O218" i="23"/>
  <c r="N218" i="23"/>
  <c r="X191" i="23"/>
  <c r="W191" i="23"/>
  <c r="W278" i="23" s="1"/>
  <c r="V191" i="23"/>
  <c r="V278" i="23" s="1"/>
  <c r="P191" i="23"/>
  <c r="P278" i="23" s="1"/>
  <c r="O191" i="23"/>
  <c r="O278" i="23" s="1"/>
  <c r="N191" i="23"/>
  <c r="N278" i="23" s="1"/>
  <c r="I143" i="23"/>
  <c r="I259" i="23" s="1"/>
  <c r="H143" i="23"/>
  <c r="H259" i="23" s="1"/>
  <c r="G143" i="23"/>
  <c r="G259" i="23" s="1"/>
  <c r="F143" i="23"/>
  <c r="F259" i="23" s="1"/>
  <c r="E143" i="23"/>
  <c r="E259" i="23" s="1"/>
  <c r="D143" i="23"/>
  <c r="D259" i="23" s="1"/>
  <c r="C143" i="23"/>
  <c r="C259" i="23" s="1"/>
  <c r="K95" i="23"/>
  <c r="K237" i="23" s="1"/>
  <c r="J95" i="23"/>
  <c r="J237" i="23" s="1"/>
  <c r="I95" i="23"/>
  <c r="I237" i="23" s="1"/>
  <c r="H95" i="23"/>
  <c r="H237" i="23" s="1"/>
  <c r="G95" i="23"/>
  <c r="G237" i="23" s="1"/>
  <c r="F95" i="23"/>
  <c r="F237" i="23" s="1"/>
  <c r="E95" i="23"/>
  <c r="E237" i="23" s="1"/>
  <c r="D95" i="23"/>
  <c r="D237" i="23" s="1"/>
  <c r="C95" i="23"/>
  <c r="C237" i="23" s="1"/>
  <c r="B95" i="23"/>
  <c r="B237" i="23" s="1"/>
  <c r="U47" i="23"/>
  <c r="U191" i="23" s="1"/>
  <c r="U278" i="23" s="1"/>
  <c r="T47" i="23"/>
  <c r="T191" i="23" s="1"/>
  <c r="T278" i="23" s="1"/>
  <c r="S47" i="23"/>
  <c r="S191" i="23" s="1"/>
  <c r="S278" i="23" s="1"/>
  <c r="R47" i="23"/>
  <c r="Q218" i="23"/>
  <c r="K47" i="23"/>
  <c r="K218" i="23" s="1"/>
  <c r="J47" i="23"/>
  <c r="J218" i="23" s="1"/>
  <c r="I47" i="23"/>
  <c r="I218" i="23" s="1"/>
  <c r="H47" i="23"/>
  <c r="H218" i="23" s="1"/>
  <c r="G47" i="23"/>
  <c r="G218" i="23" s="1"/>
  <c r="F47" i="23"/>
  <c r="F218" i="23" s="1"/>
  <c r="E47" i="23"/>
  <c r="E218" i="23" s="1"/>
  <c r="D47" i="23"/>
  <c r="D218" i="23" s="1"/>
  <c r="C47" i="23"/>
  <c r="C218" i="23" s="1"/>
  <c r="B47" i="23"/>
  <c r="B218" i="23" s="1"/>
  <c r="K260" i="22"/>
  <c r="J260" i="22"/>
  <c r="B260" i="22"/>
  <c r="I137" i="22"/>
  <c r="I260" i="22" s="1"/>
  <c r="H137" i="22"/>
  <c r="H260" i="22" s="1"/>
  <c r="G137" i="22"/>
  <c r="G260" i="22" s="1"/>
  <c r="F137" i="22"/>
  <c r="F260" i="22" s="1"/>
  <c r="E137" i="22"/>
  <c r="D137" i="22"/>
  <c r="C137" i="22"/>
  <c r="C260" i="22" s="1"/>
  <c r="K91" i="22"/>
  <c r="J91" i="22"/>
  <c r="I91" i="22"/>
  <c r="H91" i="22"/>
  <c r="G91" i="22"/>
  <c r="F91" i="22"/>
  <c r="E91" i="22"/>
  <c r="D91" i="22"/>
  <c r="C91" i="22"/>
  <c r="B91" i="22"/>
  <c r="K45" i="22"/>
  <c r="K218" i="22" s="1"/>
  <c r="J45" i="22"/>
  <c r="J218" i="22" s="1"/>
  <c r="I45" i="22"/>
  <c r="I218" i="22" s="1"/>
  <c r="H45" i="22"/>
  <c r="H218" i="22" s="1"/>
  <c r="G45" i="22"/>
  <c r="G218" i="22" s="1"/>
  <c r="F45" i="22"/>
  <c r="F218" i="22" s="1"/>
  <c r="E45" i="22"/>
  <c r="E218" i="22" s="1"/>
  <c r="D45" i="22"/>
  <c r="D218" i="22" s="1"/>
  <c r="C45" i="22"/>
  <c r="C218" i="22" s="1"/>
  <c r="B45" i="22"/>
  <c r="B218" i="22" s="1"/>
  <c r="F80" i="13"/>
  <c r="J80" i="13" s="1"/>
  <c r="F62" i="8"/>
  <c r="E62" i="8"/>
  <c r="D62" i="8"/>
  <c r="C62" i="8"/>
  <c r="F52" i="3"/>
  <c r="E52" i="3"/>
  <c r="D52" i="3"/>
  <c r="C52" i="3"/>
  <c r="B52" i="3"/>
  <c r="C34" i="3"/>
  <c r="C16" i="3"/>
  <c r="B16" i="3"/>
  <c r="H198" i="21"/>
  <c r="G198" i="21"/>
  <c r="F198" i="21"/>
  <c r="E198" i="21"/>
  <c r="D198" i="21"/>
  <c r="C198" i="21"/>
  <c r="B198" i="21"/>
  <c r="H182" i="21"/>
  <c r="G182" i="21"/>
  <c r="F182" i="21"/>
  <c r="E182" i="21"/>
  <c r="D182" i="21"/>
  <c r="C182" i="21"/>
  <c r="B182" i="21"/>
  <c r="H169" i="21"/>
  <c r="G169" i="21"/>
  <c r="F169" i="21"/>
  <c r="E169" i="21"/>
  <c r="D169" i="21"/>
  <c r="C169" i="21"/>
  <c r="B169" i="21"/>
  <c r="H156" i="21"/>
  <c r="G156" i="21"/>
  <c r="F156" i="21"/>
  <c r="E156" i="21"/>
  <c r="D156" i="21"/>
  <c r="C156" i="21"/>
  <c r="B156" i="21"/>
  <c r="H125" i="21"/>
  <c r="G125" i="21"/>
  <c r="F125" i="21"/>
  <c r="E125" i="21"/>
  <c r="D125" i="21"/>
  <c r="C125" i="21"/>
  <c r="B125" i="21"/>
  <c r="I100" i="21"/>
  <c r="I198" i="21" s="1"/>
  <c r="I75" i="21"/>
  <c r="I182" i="21" s="1"/>
  <c r="I50" i="21"/>
  <c r="I169" i="21" s="1"/>
  <c r="I25" i="21"/>
  <c r="I156" i="21" s="1"/>
  <c r="Q278" i="20"/>
  <c r="P278" i="20"/>
  <c r="O278" i="20"/>
  <c r="N278" i="20"/>
  <c r="M278" i="20"/>
  <c r="L278" i="20"/>
  <c r="K278" i="20"/>
  <c r="H278" i="20"/>
  <c r="G278" i="20"/>
  <c r="F278" i="20"/>
  <c r="E278" i="20"/>
  <c r="D278" i="20"/>
  <c r="C278" i="20"/>
  <c r="B278" i="20"/>
  <c r="Q338" i="20"/>
  <c r="P338" i="20"/>
  <c r="O338" i="20"/>
  <c r="N338" i="20"/>
  <c r="M338" i="20"/>
  <c r="L338" i="20"/>
  <c r="K338" i="20"/>
  <c r="H338" i="20"/>
  <c r="G338" i="20"/>
  <c r="F338" i="20"/>
  <c r="E338" i="20"/>
  <c r="D338" i="20"/>
  <c r="C338" i="20"/>
  <c r="B338" i="20"/>
  <c r="Q319" i="20"/>
  <c r="P319" i="20"/>
  <c r="O319" i="20"/>
  <c r="N319" i="20"/>
  <c r="M319" i="20"/>
  <c r="L319" i="20"/>
  <c r="K319" i="20"/>
  <c r="H319" i="20"/>
  <c r="G319" i="20"/>
  <c r="F319" i="20"/>
  <c r="E319" i="20"/>
  <c r="D319" i="20"/>
  <c r="C319" i="20"/>
  <c r="B319" i="20"/>
  <c r="Q297" i="20"/>
  <c r="P297" i="20"/>
  <c r="O297" i="20"/>
  <c r="N297" i="20"/>
  <c r="M297" i="20"/>
  <c r="L297" i="20"/>
  <c r="K297" i="20"/>
  <c r="H297" i="20"/>
  <c r="G297" i="20"/>
  <c r="F297" i="20"/>
  <c r="E297" i="20"/>
  <c r="D297" i="20"/>
  <c r="C297" i="20"/>
  <c r="B297" i="20"/>
  <c r="Q239" i="20"/>
  <c r="Q360" i="20" s="1"/>
  <c r="P239" i="20"/>
  <c r="P360" i="20" s="1"/>
  <c r="O239" i="20"/>
  <c r="O360" i="20" s="1"/>
  <c r="N239" i="20"/>
  <c r="N360" i="20" s="1"/>
  <c r="M239" i="20"/>
  <c r="M360" i="20" s="1"/>
  <c r="L239" i="20"/>
  <c r="L360" i="20" s="1"/>
  <c r="K239" i="20"/>
  <c r="K360" i="20" s="1"/>
  <c r="H239" i="20"/>
  <c r="H360" i="20" s="1"/>
  <c r="G239" i="20"/>
  <c r="G360" i="20" s="1"/>
  <c r="F239" i="20"/>
  <c r="F360" i="20" s="1"/>
  <c r="E239" i="20"/>
  <c r="E360" i="20" s="1"/>
  <c r="D239" i="20"/>
  <c r="D360" i="20" s="1"/>
  <c r="C239" i="20"/>
  <c r="C360" i="20" s="1"/>
  <c r="B239" i="20"/>
  <c r="B360" i="20" s="1"/>
  <c r="T191" i="20"/>
  <c r="R191" i="20"/>
  <c r="R338" i="20" s="1"/>
  <c r="I191" i="20"/>
  <c r="T143" i="20"/>
  <c r="R143" i="20"/>
  <c r="R319" i="20" s="1"/>
  <c r="I143" i="20"/>
  <c r="I319" i="20" s="1"/>
  <c r="R95" i="20"/>
  <c r="R297" i="20" s="1"/>
  <c r="I95" i="20"/>
  <c r="I297" i="20" s="1"/>
  <c r="R47" i="20"/>
  <c r="I47" i="20"/>
  <c r="H338" i="19"/>
  <c r="G338" i="19"/>
  <c r="F338" i="19"/>
  <c r="E338" i="19"/>
  <c r="D338" i="19"/>
  <c r="C338" i="19"/>
  <c r="B338" i="19"/>
  <c r="H319" i="19"/>
  <c r="G319" i="19"/>
  <c r="F319" i="19"/>
  <c r="E319" i="19"/>
  <c r="D319" i="19"/>
  <c r="C319" i="19"/>
  <c r="B319" i="19"/>
  <c r="H297" i="19"/>
  <c r="G297" i="19"/>
  <c r="F297" i="19"/>
  <c r="E297" i="19"/>
  <c r="D297" i="19"/>
  <c r="C297" i="19"/>
  <c r="B297" i="19"/>
  <c r="H278" i="19"/>
  <c r="G278" i="19"/>
  <c r="F278" i="19"/>
  <c r="E278" i="19"/>
  <c r="D278" i="19"/>
  <c r="C278" i="19"/>
  <c r="B278" i="19"/>
  <c r="H238" i="19"/>
  <c r="H359" i="19" s="1"/>
  <c r="G238" i="19"/>
  <c r="G359" i="19" s="1"/>
  <c r="F238" i="19"/>
  <c r="F359" i="19" s="1"/>
  <c r="E238" i="19"/>
  <c r="E359" i="19" s="1"/>
  <c r="D238" i="19"/>
  <c r="D359" i="19" s="1"/>
  <c r="C238" i="19"/>
  <c r="C359" i="19" s="1"/>
  <c r="B238" i="19"/>
  <c r="B359" i="19" s="1"/>
  <c r="I190" i="19"/>
  <c r="I338" i="19" s="1"/>
  <c r="I142" i="19"/>
  <c r="I319" i="19" s="1"/>
  <c r="I94" i="19"/>
  <c r="I297" i="19" s="1"/>
  <c r="I46" i="19"/>
  <c r="B176" i="18"/>
  <c r="C176" i="18"/>
  <c r="D176" i="18"/>
  <c r="E176" i="18"/>
  <c r="F176" i="18"/>
  <c r="G176" i="18"/>
  <c r="H176" i="18"/>
  <c r="I176" i="18"/>
  <c r="K51" i="18"/>
  <c r="K176" i="18" s="1"/>
  <c r="J51" i="18"/>
  <c r="J176" i="18" s="1"/>
  <c r="B175" i="18"/>
  <c r="C175" i="18"/>
  <c r="D175" i="18"/>
  <c r="E175" i="18"/>
  <c r="F175" i="18"/>
  <c r="G175" i="18"/>
  <c r="H175" i="18"/>
  <c r="I175" i="18"/>
  <c r="B174" i="18"/>
  <c r="B126" i="18"/>
  <c r="C126" i="18"/>
  <c r="D126" i="18"/>
  <c r="E126" i="18"/>
  <c r="F126" i="18"/>
  <c r="G126" i="18"/>
  <c r="H126" i="18"/>
  <c r="I126" i="18"/>
  <c r="B231" i="18"/>
  <c r="C231" i="18"/>
  <c r="C279" i="28"/>
  <c r="F231" i="18"/>
  <c r="G231" i="18"/>
  <c r="G175" i="28"/>
  <c r="G293" i="28" s="1"/>
  <c r="I231" i="18"/>
  <c r="C174" i="18"/>
  <c r="D174" i="18"/>
  <c r="E174" i="18"/>
  <c r="F174" i="18"/>
  <c r="G174" i="18"/>
  <c r="H174" i="18"/>
  <c r="I174" i="18"/>
  <c r="I214" i="18"/>
  <c r="H214" i="18"/>
  <c r="G214" i="18"/>
  <c r="F214" i="18"/>
  <c r="E214" i="18"/>
  <c r="D214" i="18"/>
  <c r="C214" i="18"/>
  <c r="B214" i="18"/>
  <c r="I193" i="18"/>
  <c r="H193" i="18"/>
  <c r="G193" i="18"/>
  <c r="F193" i="18"/>
  <c r="E193" i="18"/>
  <c r="D193" i="18"/>
  <c r="C193" i="18"/>
  <c r="B193" i="18"/>
  <c r="I159" i="18"/>
  <c r="G159" i="18"/>
  <c r="F159" i="18"/>
  <c r="E159" i="18"/>
  <c r="D159" i="18"/>
  <c r="C159" i="18"/>
  <c r="B159" i="18"/>
  <c r="K102" i="18"/>
  <c r="J102" i="18"/>
  <c r="J127" i="18" s="1"/>
  <c r="K77" i="18"/>
  <c r="K193" i="18" s="1"/>
  <c r="J77" i="18"/>
  <c r="J193" i="18" s="1"/>
  <c r="K25" i="18"/>
  <c r="K159" i="18" s="1"/>
  <c r="J25" i="18"/>
  <c r="J159" i="18" s="1"/>
  <c r="T341" i="17"/>
  <c r="S341" i="17"/>
  <c r="R341" i="17"/>
  <c r="Q341" i="17"/>
  <c r="P341" i="17"/>
  <c r="O341" i="17"/>
  <c r="N341" i="17"/>
  <c r="M341" i="17"/>
  <c r="I341" i="17"/>
  <c r="H341" i="17"/>
  <c r="G341" i="17"/>
  <c r="F341" i="17"/>
  <c r="E341" i="17"/>
  <c r="D341" i="17"/>
  <c r="C341" i="17"/>
  <c r="B341" i="17"/>
  <c r="T322" i="17"/>
  <c r="S322" i="17"/>
  <c r="R322" i="17"/>
  <c r="Q322" i="17"/>
  <c r="P322" i="17"/>
  <c r="O322" i="17"/>
  <c r="N322" i="17"/>
  <c r="M322" i="17"/>
  <c r="I322" i="17"/>
  <c r="H322" i="17"/>
  <c r="G322" i="17"/>
  <c r="F322" i="17"/>
  <c r="E322" i="17"/>
  <c r="D322" i="17"/>
  <c r="C322" i="17"/>
  <c r="B322" i="17"/>
  <c r="T299" i="17"/>
  <c r="S299" i="17"/>
  <c r="R299" i="17"/>
  <c r="Q299" i="17"/>
  <c r="P299" i="17"/>
  <c r="O299" i="17"/>
  <c r="N299" i="17"/>
  <c r="M299" i="17"/>
  <c r="I299" i="17"/>
  <c r="H299" i="17"/>
  <c r="G299" i="17"/>
  <c r="F299" i="17"/>
  <c r="E299" i="17"/>
  <c r="D299" i="17"/>
  <c r="C299" i="17"/>
  <c r="B299" i="17"/>
  <c r="T280" i="17"/>
  <c r="S280" i="17"/>
  <c r="R280" i="17"/>
  <c r="Q280" i="17"/>
  <c r="P280" i="17"/>
  <c r="O280" i="17"/>
  <c r="N280" i="17"/>
  <c r="M280" i="17"/>
  <c r="H280" i="17"/>
  <c r="G280" i="17"/>
  <c r="F280" i="17"/>
  <c r="E280" i="17"/>
  <c r="D280" i="17"/>
  <c r="C280" i="17"/>
  <c r="B280" i="17"/>
  <c r="T240" i="17"/>
  <c r="T364" i="17" s="1"/>
  <c r="S240" i="17"/>
  <c r="O287" i="27" s="1"/>
  <c r="O467" i="27" s="1"/>
  <c r="R240" i="17"/>
  <c r="R364" i="17" s="1"/>
  <c r="Q240" i="17"/>
  <c r="Q364" i="17" s="1"/>
  <c r="P240" i="17"/>
  <c r="L287" i="27" s="1"/>
  <c r="L467" i="27" s="1"/>
  <c r="O240" i="17"/>
  <c r="K287" i="27" s="1"/>
  <c r="K467" i="27" s="1"/>
  <c r="N240" i="17"/>
  <c r="N364" i="17" s="1"/>
  <c r="M240" i="17"/>
  <c r="M364" i="17" s="1"/>
  <c r="H240" i="17"/>
  <c r="G287" i="27" s="1"/>
  <c r="G467" i="27" s="1"/>
  <c r="G240" i="17"/>
  <c r="F287" i="27" s="1"/>
  <c r="F467" i="27" s="1"/>
  <c r="F240" i="17"/>
  <c r="E287" i="27" s="1"/>
  <c r="E467" i="27" s="1"/>
  <c r="E240" i="17"/>
  <c r="E364" i="17" s="1"/>
  <c r="D240" i="17"/>
  <c r="C287" i="27" s="1"/>
  <c r="C467" i="27" s="1"/>
  <c r="C240" i="17"/>
  <c r="B287" i="27" s="1"/>
  <c r="B467" i="27" s="1"/>
  <c r="B240" i="17"/>
  <c r="B364" i="17" s="1"/>
  <c r="V192" i="17"/>
  <c r="V341" i="17" s="1"/>
  <c r="U341" i="17"/>
  <c r="K192" i="17"/>
  <c r="K341" i="17" s="1"/>
  <c r="J192" i="17"/>
  <c r="V144" i="17"/>
  <c r="V322" i="17" s="1"/>
  <c r="U144" i="17"/>
  <c r="U322" i="17" s="1"/>
  <c r="K144" i="17"/>
  <c r="K322" i="17" s="1"/>
  <c r="J322" i="17"/>
  <c r="V96" i="17"/>
  <c r="V299" i="17" s="1"/>
  <c r="U96" i="17"/>
  <c r="U299" i="17" s="1"/>
  <c r="K96" i="17"/>
  <c r="K299" i="17" s="1"/>
  <c r="J96" i="17"/>
  <c r="J299" i="17" s="1"/>
  <c r="V48" i="17"/>
  <c r="V280" i="17" s="1"/>
  <c r="U48" i="17"/>
  <c r="U280" i="17" s="1"/>
  <c r="J48" i="17"/>
  <c r="J280" i="17" s="1"/>
  <c r="I48" i="17"/>
  <c r="I339" i="16"/>
  <c r="H339" i="16"/>
  <c r="G339" i="16"/>
  <c r="F339" i="16"/>
  <c r="E339" i="16"/>
  <c r="D339" i="16"/>
  <c r="C339" i="16"/>
  <c r="B339" i="16"/>
  <c r="I317" i="16"/>
  <c r="H317" i="16"/>
  <c r="G317" i="16"/>
  <c r="F317" i="16"/>
  <c r="E317" i="16"/>
  <c r="D317" i="16"/>
  <c r="C317" i="16"/>
  <c r="B317" i="16"/>
  <c r="I298" i="16"/>
  <c r="H298" i="16"/>
  <c r="G298" i="16"/>
  <c r="F298" i="16"/>
  <c r="E298" i="16"/>
  <c r="D298" i="16"/>
  <c r="C298" i="16"/>
  <c r="B298" i="16"/>
  <c r="H279" i="16"/>
  <c r="G279" i="16"/>
  <c r="F279" i="16"/>
  <c r="E279" i="16"/>
  <c r="D279" i="16"/>
  <c r="C279" i="16"/>
  <c r="B279" i="16"/>
  <c r="H239" i="16"/>
  <c r="G287" i="26" s="1"/>
  <c r="G469" i="26" s="1"/>
  <c r="G239" i="16"/>
  <c r="F287" i="26" s="1"/>
  <c r="F469" i="26" s="1"/>
  <c r="F239" i="16"/>
  <c r="E239" i="16"/>
  <c r="D287" i="26" s="1"/>
  <c r="D469" i="26" s="1"/>
  <c r="D239" i="16"/>
  <c r="D358" i="16" s="1"/>
  <c r="C239" i="16"/>
  <c r="B287" i="26" s="1"/>
  <c r="B469" i="26" s="1"/>
  <c r="B239" i="16"/>
  <c r="B358" i="16" s="1"/>
  <c r="K191" i="16"/>
  <c r="K339" i="16" s="1"/>
  <c r="J191" i="16"/>
  <c r="J339" i="16" s="1"/>
  <c r="K143" i="16"/>
  <c r="K317" i="16" s="1"/>
  <c r="J143" i="16"/>
  <c r="J317" i="16" s="1"/>
  <c r="K95" i="16"/>
  <c r="K298" i="16" s="1"/>
  <c r="J95" i="16"/>
  <c r="J298" i="16" s="1"/>
  <c r="J279" i="16"/>
  <c r="I47" i="16"/>
  <c r="M333" i="32"/>
  <c r="L333" i="32"/>
  <c r="K333" i="32"/>
  <c r="J333" i="32"/>
  <c r="I333" i="32"/>
  <c r="F333" i="32"/>
  <c r="E333" i="32"/>
  <c r="D333" i="32"/>
  <c r="C333" i="32"/>
  <c r="B333" i="32"/>
  <c r="M314" i="32"/>
  <c r="L314" i="32"/>
  <c r="K314" i="32"/>
  <c r="J314" i="32"/>
  <c r="I314" i="32"/>
  <c r="F314" i="32"/>
  <c r="E314" i="32"/>
  <c r="D314" i="32"/>
  <c r="C314" i="32"/>
  <c r="B314" i="32"/>
  <c r="M292" i="32"/>
  <c r="L292" i="32"/>
  <c r="K292" i="32"/>
  <c r="J292" i="32"/>
  <c r="I292" i="32"/>
  <c r="F292" i="32"/>
  <c r="E292" i="32"/>
  <c r="D292" i="32"/>
  <c r="C292" i="32"/>
  <c r="B292" i="32"/>
  <c r="M240" i="32"/>
  <c r="M355" i="32" s="1"/>
  <c r="L240" i="32"/>
  <c r="L355" i="32" s="1"/>
  <c r="K240" i="32"/>
  <c r="K355" i="32" s="1"/>
  <c r="J240" i="32"/>
  <c r="J355" i="32" s="1"/>
  <c r="I240" i="32"/>
  <c r="I355" i="32" s="1"/>
  <c r="F240" i="32"/>
  <c r="F355" i="32" s="1"/>
  <c r="E240" i="32"/>
  <c r="E355" i="32" s="1"/>
  <c r="D240" i="32"/>
  <c r="D355" i="32" s="1"/>
  <c r="C240" i="32"/>
  <c r="C355" i="32" s="1"/>
  <c r="B240" i="32"/>
  <c r="B355" i="32" s="1"/>
  <c r="N192" i="32"/>
  <c r="G192" i="32"/>
  <c r="N144" i="32"/>
  <c r="N314" i="32" s="1"/>
  <c r="D61" i="13" s="1"/>
  <c r="G144" i="32"/>
  <c r="G314" i="32" s="1"/>
  <c r="N96" i="32"/>
  <c r="N292" i="32" s="1"/>
  <c r="C61" i="13" s="1"/>
  <c r="G96" i="32"/>
  <c r="G292" i="32" s="1"/>
  <c r="N48" i="32"/>
  <c r="N273" i="32" s="1"/>
  <c r="G48" i="32"/>
  <c r="G273" i="32" s="1"/>
  <c r="G339" i="14"/>
  <c r="F339" i="14"/>
  <c r="E339" i="14"/>
  <c r="D339" i="14"/>
  <c r="C339" i="14"/>
  <c r="B339" i="14"/>
  <c r="G316" i="14"/>
  <c r="F316" i="14"/>
  <c r="E316" i="14"/>
  <c r="D316" i="14"/>
  <c r="C316" i="14"/>
  <c r="B316" i="14"/>
  <c r="G297" i="14"/>
  <c r="F297" i="14"/>
  <c r="E297" i="14"/>
  <c r="D297" i="14"/>
  <c r="C297" i="14"/>
  <c r="B297" i="14"/>
  <c r="G278" i="14"/>
  <c r="F278" i="14"/>
  <c r="E278" i="14"/>
  <c r="D278" i="14"/>
  <c r="C278" i="14"/>
  <c r="B278" i="14"/>
  <c r="G239" i="14"/>
  <c r="G358" i="14" s="1"/>
  <c r="F239" i="14"/>
  <c r="F358" i="14" s="1"/>
  <c r="E239" i="14"/>
  <c r="E358" i="14" s="1"/>
  <c r="D239" i="14"/>
  <c r="D358" i="14" s="1"/>
  <c r="C239" i="14"/>
  <c r="C358" i="14" s="1"/>
  <c r="B239" i="14"/>
  <c r="B358" i="14" s="1"/>
  <c r="H191" i="14"/>
  <c r="H339" i="14" s="1"/>
  <c r="H143" i="14"/>
  <c r="H95" i="14"/>
  <c r="H297" i="14" s="1"/>
  <c r="H47" i="14"/>
  <c r="J504" i="12"/>
  <c r="R485" i="12"/>
  <c r="Q485" i="12"/>
  <c r="P485" i="12"/>
  <c r="O485" i="12"/>
  <c r="N485" i="12"/>
  <c r="M485" i="12"/>
  <c r="J485" i="12"/>
  <c r="I485" i="12"/>
  <c r="H485" i="12"/>
  <c r="G485" i="12"/>
  <c r="F485" i="12"/>
  <c r="E485" i="12"/>
  <c r="D485" i="12"/>
  <c r="C485" i="12"/>
  <c r="B485" i="12"/>
  <c r="R462" i="12"/>
  <c r="Q462" i="12"/>
  <c r="P462" i="12"/>
  <c r="O462" i="12"/>
  <c r="N462" i="12"/>
  <c r="M462" i="12"/>
  <c r="J462" i="12"/>
  <c r="I462" i="12"/>
  <c r="H462" i="12"/>
  <c r="G462" i="12"/>
  <c r="F462" i="12"/>
  <c r="E462" i="12"/>
  <c r="D462" i="12"/>
  <c r="C462" i="12"/>
  <c r="B462" i="12"/>
  <c r="R443" i="12"/>
  <c r="Q443" i="12"/>
  <c r="P443" i="12"/>
  <c r="O443" i="12"/>
  <c r="N443" i="12"/>
  <c r="M443" i="12"/>
  <c r="J443" i="12"/>
  <c r="I443" i="12"/>
  <c r="H443" i="12"/>
  <c r="G443" i="12"/>
  <c r="F443" i="12"/>
  <c r="E443" i="12"/>
  <c r="D443" i="12"/>
  <c r="C443" i="12"/>
  <c r="B443" i="12"/>
  <c r="R420" i="12"/>
  <c r="Q420" i="12"/>
  <c r="P420" i="12"/>
  <c r="O420" i="12"/>
  <c r="N420" i="12"/>
  <c r="M420" i="12"/>
  <c r="J420" i="12"/>
  <c r="I420" i="12"/>
  <c r="H420" i="12"/>
  <c r="G420" i="12"/>
  <c r="F420" i="12"/>
  <c r="E420" i="12"/>
  <c r="D420" i="12"/>
  <c r="C420" i="12"/>
  <c r="B420" i="12"/>
  <c r="R401" i="12"/>
  <c r="Q401" i="12"/>
  <c r="P401" i="12"/>
  <c r="O401" i="12"/>
  <c r="N401" i="12"/>
  <c r="M401" i="12"/>
  <c r="J401" i="12"/>
  <c r="I401" i="12"/>
  <c r="H401" i="12"/>
  <c r="G401" i="12"/>
  <c r="F401" i="12"/>
  <c r="E401" i="12"/>
  <c r="D401" i="12"/>
  <c r="C401" i="12"/>
  <c r="B401" i="12"/>
  <c r="R288" i="12"/>
  <c r="R336" i="12" s="1"/>
  <c r="R527" i="12" s="1"/>
  <c r="Q288" i="12"/>
  <c r="Q336" i="12" s="1"/>
  <c r="Q527" i="12" s="1"/>
  <c r="P288" i="12"/>
  <c r="P336" i="12" s="1"/>
  <c r="P527" i="12" s="1"/>
  <c r="O288" i="12"/>
  <c r="O336" i="12" s="1"/>
  <c r="O527" i="12" s="1"/>
  <c r="N288" i="12"/>
  <c r="N336" i="12" s="1"/>
  <c r="N527" i="12" s="1"/>
  <c r="M288" i="12"/>
  <c r="M336" i="12" s="1"/>
  <c r="M527" i="12" s="1"/>
  <c r="I288" i="12"/>
  <c r="I336" i="12" s="1"/>
  <c r="I527" i="12" s="1"/>
  <c r="H288" i="12"/>
  <c r="G288" i="12"/>
  <c r="F288" i="12"/>
  <c r="F336" i="12" s="1"/>
  <c r="F527" i="12" s="1"/>
  <c r="E288" i="12"/>
  <c r="E336" i="12" s="1"/>
  <c r="E527" i="12" s="1"/>
  <c r="D288" i="12"/>
  <c r="D336" i="12" s="1"/>
  <c r="D527" i="12" s="1"/>
  <c r="C288" i="12"/>
  <c r="B336" i="12"/>
  <c r="B527" i="12" s="1"/>
  <c r="S240" i="12"/>
  <c r="S485" i="12" s="1"/>
  <c r="K240" i="12"/>
  <c r="S192" i="12"/>
  <c r="S462" i="12" s="1"/>
  <c r="K192" i="12"/>
  <c r="K462" i="12" s="1"/>
  <c r="S144" i="12"/>
  <c r="S443" i="12" s="1"/>
  <c r="K144" i="12"/>
  <c r="K443" i="12" s="1"/>
  <c r="S96" i="12"/>
  <c r="S420" i="12" s="1"/>
  <c r="K96" i="12"/>
  <c r="K420" i="12" s="1"/>
  <c r="S48" i="12"/>
  <c r="K48" i="12"/>
  <c r="K401" i="12" s="1"/>
  <c r="J518" i="11"/>
  <c r="J497" i="11"/>
  <c r="J478" i="11"/>
  <c r="I478" i="11"/>
  <c r="H478" i="11"/>
  <c r="G478" i="11"/>
  <c r="F478" i="11"/>
  <c r="E478" i="11"/>
  <c r="D478" i="11"/>
  <c r="C478" i="11"/>
  <c r="B478" i="11"/>
  <c r="J457" i="11"/>
  <c r="I457" i="11"/>
  <c r="H457" i="11"/>
  <c r="G457" i="11"/>
  <c r="F457" i="11"/>
  <c r="E457" i="11"/>
  <c r="D457" i="11"/>
  <c r="C457" i="11"/>
  <c r="B457" i="11"/>
  <c r="J438" i="11"/>
  <c r="I438" i="11"/>
  <c r="H438" i="11"/>
  <c r="G438" i="11"/>
  <c r="F438" i="11"/>
  <c r="E438" i="11"/>
  <c r="D438" i="11"/>
  <c r="C438" i="11"/>
  <c r="B438" i="11"/>
  <c r="J417" i="11"/>
  <c r="I417" i="11"/>
  <c r="H417" i="11"/>
  <c r="G417" i="11"/>
  <c r="F417" i="11"/>
  <c r="E417" i="11"/>
  <c r="D417" i="11"/>
  <c r="C417" i="11"/>
  <c r="B417" i="11"/>
  <c r="J398" i="11"/>
  <c r="I398" i="11"/>
  <c r="H398" i="11"/>
  <c r="G398" i="11"/>
  <c r="F398" i="11"/>
  <c r="E398" i="11"/>
  <c r="D398" i="11"/>
  <c r="C398" i="11"/>
  <c r="B398" i="11"/>
  <c r="I288" i="11"/>
  <c r="I336" i="11" s="1"/>
  <c r="I518" i="11" s="1"/>
  <c r="H288" i="11"/>
  <c r="H336" i="11" s="1"/>
  <c r="H518" i="11" s="1"/>
  <c r="G288" i="11"/>
  <c r="G497" i="11" s="1"/>
  <c r="F288" i="11"/>
  <c r="F336" i="11" s="1"/>
  <c r="F518" i="11" s="1"/>
  <c r="E288" i="11"/>
  <c r="E336" i="11" s="1"/>
  <c r="E518" i="11" s="1"/>
  <c r="D288" i="11"/>
  <c r="D336" i="11" s="1"/>
  <c r="D518" i="11" s="1"/>
  <c r="C288" i="11"/>
  <c r="C497" i="11" s="1"/>
  <c r="B288" i="11"/>
  <c r="B336" i="11" s="1"/>
  <c r="B518" i="11" s="1"/>
  <c r="K240" i="11"/>
  <c r="K478" i="11" s="1"/>
  <c r="K192" i="11"/>
  <c r="K457" i="11" s="1"/>
  <c r="K144" i="11"/>
  <c r="K438" i="11" s="1"/>
  <c r="K96" i="11"/>
  <c r="K417" i="11" s="1"/>
  <c r="K48" i="11"/>
  <c r="K398" i="11" s="1"/>
  <c r="S633" i="10"/>
  <c r="R633" i="10"/>
  <c r="Q633" i="10"/>
  <c r="P633" i="10"/>
  <c r="O633" i="10"/>
  <c r="N633" i="10"/>
  <c r="K633" i="10"/>
  <c r="J633" i="10"/>
  <c r="I633" i="10"/>
  <c r="H633" i="10"/>
  <c r="G633" i="10"/>
  <c r="F633" i="10"/>
  <c r="E633" i="10"/>
  <c r="D633" i="10"/>
  <c r="C633" i="10"/>
  <c r="B633" i="10"/>
  <c r="S611" i="10"/>
  <c r="R611" i="10"/>
  <c r="Q611" i="10"/>
  <c r="P611" i="10"/>
  <c r="O611" i="10"/>
  <c r="N611" i="10"/>
  <c r="K611" i="10"/>
  <c r="J611" i="10"/>
  <c r="I611" i="10"/>
  <c r="H611" i="10"/>
  <c r="G611" i="10"/>
  <c r="F611" i="10"/>
  <c r="E611" i="10"/>
  <c r="D611" i="10"/>
  <c r="C611" i="10"/>
  <c r="B611" i="10"/>
  <c r="S592" i="10"/>
  <c r="R592" i="10"/>
  <c r="Q592" i="10"/>
  <c r="P592" i="10"/>
  <c r="O592" i="10"/>
  <c r="N592" i="10"/>
  <c r="J592" i="10"/>
  <c r="I592" i="10"/>
  <c r="H592" i="10"/>
  <c r="G592" i="10"/>
  <c r="F592" i="10"/>
  <c r="E592" i="10"/>
  <c r="D592" i="10"/>
  <c r="C592" i="10"/>
  <c r="B592" i="10"/>
  <c r="S570" i="10"/>
  <c r="R570" i="10"/>
  <c r="Q570" i="10"/>
  <c r="P570" i="10"/>
  <c r="O570" i="10"/>
  <c r="N570" i="10"/>
  <c r="K570" i="10"/>
  <c r="J570" i="10"/>
  <c r="I570" i="10"/>
  <c r="H570" i="10"/>
  <c r="G570" i="10"/>
  <c r="F570" i="10"/>
  <c r="E570" i="10"/>
  <c r="D570" i="10"/>
  <c r="C570" i="10"/>
  <c r="B570" i="10"/>
  <c r="R551" i="10"/>
  <c r="Q551" i="10"/>
  <c r="P551" i="10"/>
  <c r="O551" i="10"/>
  <c r="N551" i="10"/>
  <c r="K551" i="10"/>
  <c r="J551" i="10"/>
  <c r="I551" i="10"/>
  <c r="H551" i="10"/>
  <c r="G551" i="10"/>
  <c r="F551" i="10"/>
  <c r="E551" i="10"/>
  <c r="D551" i="10"/>
  <c r="C551" i="10"/>
  <c r="B551" i="10"/>
  <c r="S431" i="10"/>
  <c r="S652" i="10" s="1"/>
  <c r="R431" i="10"/>
  <c r="R503" i="10" s="1"/>
  <c r="R674" i="10" s="1"/>
  <c r="Q431" i="10"/>
  <c r="Q503" i="10" s="1"/>
  <c r="Q674" i="10" s="1"/>
  <c r="P431" i="10"/>
  <c r="P503" i="10" s="1"/>
  <c r="P674" i="10" s="1"/>
  <c r="O431" i="10"/>
  <c r="O503" i="10" s="1"/>
  <c r="O674" i="10" s="1"/>
  <c r="N431" i="10"/>
  <c r="N503" i="10" s="1"/>
  <c r="N674" i="10" s="1"/>
  <c r="K431" i="10"/>
  <c r="K503" i="10" s="1"/>
  <c r="K674" i="10" s="1"/>
  <c r="J431" i="10"/>
  <c r="J503" i="10" s="1"/>
  <c r="J674" i="10" s="1"/>
  <c r="I431" i="10"/>
  <c r="I652" i="10" s="1"/>
  <c r="H431" i="10"/>
  <c r="H503" i="10" s="1"/>
  <c r="H674" i="10" s="1"/>
  <c r="G431" i="10"/>
  <c r="G503" i="10" s="1"/>
  <c r="G674" i="10" s="1"/>
  <c r="F431" i="10"/>
  <c r="F503" i="10" s="1"/>
  <c r="F674" i="10" s="1"/>
  <c r="E431" i="10"/>
  <c r="E503" i="10" s="1"/>
  <c r="E674" i="10" s="1"/>
  <c r="D431" i="10"/>
  <c r="D503" i="10" s="1"/>
  <c r="D674" i="10" s="1"/>
  <c r="C431" i="10"/>
  <c r="C503" i="10" s="1"/>
  <c r="C674" i="10" s="1"/>
  <c r="B431" i="10"/>
  <c r="B503" i="10" s="1"/>
  <c r="B674" i="10" s="1"/>
  <c r="L359" i="10"/>
  <c r="F39" i="8" s="1"/>
  <c r="L287" i="10"/>
  <c r="L611" i="10" s="1"/>
  <c r="L215" i="10"/>
  <c r="D39" i="8" s="1"/>
  <c r="L143" i="10"/>
  <c r="S71" i="10"/>
  <c r="B62" i="8" s="1"/>
  <c r="L71" i="10"/>
  <c r="L551" i="10" s="1"/>
  <c r="B508" i="9"/>
  <c r="K489" i="9"/>
  <c r="J489" i="9"/>
  <c r="I489" i="9"/>
  <c r="H489" i="9"/>
  <c r="G489" i="9"/>
  <c r="F489" i="9"/>
  <c r="E489" i="9"/>
  <c r="D489" i="9"/>
  <c r="C489" i="9"/>
  <c r="B489" i="9"/>
  <c r="K467" i="9"/>
  <c r="J467" i="9"/>
  <c r="I467" i="9"/>
  <c r="H467" i="9"/>
  <c r="G467" i="9"/>
  <c r="F467" i="9"/>
  <c r="E467" i="9"/>
  <c r="D467" i="9"/>
  <c r="C467" i="9"/>
  <c r="B467" i="9"/>
  <c r="K448" i="9"/>
  <c r="J448" i="9"/>
  <c r="I448" i="9"/>
  <c r="H448" i="9"/>
  <c r="G448" i="9"/>
  <c r="F448" i="9"/>
  <c r="E448" i="9"/>
  <c r="D448" i="9"/>
  <c r="C448" i="9"/>
  <c r="B448" i="9"/>
  <c r="K426" i="9"/>
  <c r="J426" i="9"/>
  <c r="I426" i="9"/>
  <c r="H426" i="9"/>
  <c r="G426" i="9"/>
  <c r="F426" i="9"/>
  <c r="E426" i="9"/>
  <c r="D426" i="9"/>
  <c r="C426" i="9"/>
  <c r="B426" i="9"/>
  <c r="K407" i="9"/>
  <c r="J407" i="9"/>
  <c r="I407" i="9"/>
  <c r="H407" i="9"/>
  <c r="G407" i="9"/>
  <c r="F407" i="9"/>
  <c r="E407" i="9"/>
  <c r="D407" i="9"/>
  <c r="C407" i="9"/>
  <c r="B407" i="9"/>
  <c r="B370" i="9"/>
  <c r="B530" i="9" s="1"/>
  <c r="K317" i="9"/>
  <c r="K370" i="9" s="1"/>
  <c r="K530" i="9" s="1"/>
  <c r="J317" i="9"/>
  <c r="J370" i="9" s="1"/>
  <c r="J530" i="9" s="1"/>
  <c r="I317" i="9"/>
  <c r="I370" i="9" s="1"/>
  <c r="I530" i="9" s="1"/>
  <c r="H317" i="9"/>
  <c r="H370" i="9" s="1"/>
  <c r="H530" i="9" s="1"/>
  <c r="G317" i="9"/>
  <c r="G370" i="9" s="1"/>
  <c r="G530" i="9" s="1"/>
  <c r="F317" i="9"/>
  <c r="F508" i="9" s="1"/>
  <c r="E317" i="9"/>
  <c r="E370" i="9" s="1"/>
  <c r="E530" i="9" s="1"/>
  <c r="D317" i="9"/>
  <c r="D370" i="9" s="1"/>
  <c r="D530" i="9" s="1"/>
  <c r="C317" i="9"/>
  <c r="C370" i="9" s="1"/>
  <c r="C530" i="9" s="1"/>
  <c r="L264" i="9"/>
  <c r="L91" i="22" s="1"/>
  <c r="L211" i="9"/>
  <c r="L467" i="9" s="1"/>
  <c r="E19" i="8" s="1"/>
  <c r="L158" i="9"/>
  <c r="L448" i="9" s="1"/>
  <c r="D19" i="8" s="1"/>
  <c r="L105" i="9"/>
  <c r="L426" i="9" s="1"/>
  <c r="C19" i="8" s="1"/>
  <c r="L52" i="9"/>
  <c r="L407" i="9" s="1"/>
  <c r="B19" i="8" s="1"/>
  <c r="X395" i="7"/>
  <c r="W395" i="7"/>
  <c r="V395" i="7"/>
  <c r="U395" i="7"/>
  <c r="T395" i="7"/>
  <c r="S395" i="7"/>
  <c r="R395" i="7"/>
  <c r="Q395" i="7"/>
  <c r="P395" i="7"/>
  <c r="O395" i="7"/>
  <c r="N395" i="7"/>
  <c r="K395" i="7"/>
  <c r="J395" i="7"/>
  <c r="I395" i="7"/>
  <c r="H395" i="7"/>
  <c r="G395" i="7"/>
  <c r="F395" i="7"/>
  <c r="E395" i="7"/>
  <c r="D395" i="7"/>
  <c r="C395" i="7"/>
  <c r="B395" i="7"/>
  <c r="W374" i="7"/>
  <c r="V374" i="7"/>
  <c r="U374" i="7"/>
  <c r="T374" i="7"/>
  <c r="S374" i="7"/>
  <c r="R374" i="7"/>
  <c r="Q374" i="7"/>
  <c r="P374" i="7"/>
  <c r="O374" i="7"/>
  <c r="N374" i="7"/>
  <c r="K374" i="7"/>
  <c r="J374" i="7"/>
  <c r="I374" i="7"/>
  <c r="H374" i="7"/>
  <c r="G374" i="7"/>
  <c r="F374" i="7"/>
  <c r="E374" i="7"/>
  <c r="D374" i="7"/>
  <c r="C374" i="7"/>
  <c r="B374" i="7"/>
  <c r="W356" i="7"/>
  <c r="V356" i="7"/>
  <c r="U356" i="7"/>
  <c r="T356" i="7"/>
  <c r="S356" i="7"/>
  <c r="R356" i="7"/>
  <c r="Q356" i="7"/>
  <c r="P356" i="7"/>
  <c r="O356" i="7"/>
  <c r="N356" i="7"/>
  <c r="K356" i="7"/>
  <c r="J356" i="7"/>
  <c r="I356" i="7"/>
  <c r="H356" i="7"/>
  <c r="G356" i="7"/>
  <c r="F356" i="7"/>
  <c r="E356" i="7"/>
  <c r="D356" i="7"/>
  <c r="C356" i="7"/>
  <c r="B356" i="7"/>
  <c r="X335" i="7"/>
  <c r="W335" i="7"/>
  <c r="V335" i="7"/>
  <c r="U335" i="7"/>
  <c r="T335" i="7"/>
  <c r="S335" i="7"/>
  <c r="R335" i="7"/>
  <c r="Q335" i="7"/>
  <c r="P335" i="7"/>
  <c r="O335" i="7"/>
  <c r="N335" i="7"/>
  <c r="L335" i="7"/>
  <c r="K335" i="7"/>
  <c r="J335" i="7"/>
  <c r="I335" i="7"/>
  <c r="H335" i="7"/>
  <c r="G335" i="7"/>
  <c r="F335" i="7"/>
  <c r="E335" i="7"/>
  <c r="D335" i="7"/>
  <c r="C335" i="7"/>
  <c r="B335" i="7"/>
  <c r="X317" i="7"/>
  <c r="W317" i="7"/>
  <c r="V317" i="7"/>
  <c r="U317" i="7"/>
  <c r="T317" i="7"/>
  <c r="S317" i="7"/>
  <c r="R317" i="7"/>
  <c r="Q317" i="7"/>
  <c r="P317" i="7"/>
  <c r="O317" i="7"/>
  <c r="N317" i="7"/>
  <c r="L317" i="7"/>
  <c r="K317" i="7"/>
  <c r="J317" i="7"/>
  <c r="I317" i="7"/>
  <c r="H317" i="7"/>
  <c r="G317" i="7"/>
  <c r="F317" i="7"/>
  <c r="E317" i="7"/>
  <c r="D317" i="7"/>
  <c r="C317" i="7"/>
  <c r="B317" i="7"/>
  <c r="W287" i="7"/>
  <c r="W413" i="7" s="1"/>
  <c r="V287" i="7"/>
  <c r="V413" i="7" s="1"/>
  <c r="U287" i="7"/>
  <c r="U413" i="7" s="1"/>
  <c r="T287" i="7"/>
  <c r="T413" i="7" s="1"/>
  <c r="S287" i="7"/>
  <c r="S413" i="7" s="1"/>
  <c r="R287" i="7"/>
  <c r="R413" i="7" s="1"/>
  <c r="Q287" i="7"/>
  <c r="Q413" i="7" s="1"/>
  <c r="P287" i="7"/>
  <c r="P413" i="7" s="1"/>
  <c r="O287" i="7"/>
  <c r="O413" i="7" s="1"/>
  <c r="N287" i="7"/>
  <c r="N413" i="7" s="1"/>
  <c r="K287" i="7"/>
  <c r="K413" i="7" s="1"/>
  <c r="J287" i="7"/>
  <c r="J413" i="7" s="1"/>
  <c r="I287" i="7"/>
  <c r="I413" i="7" s="1"/>
  <c r="H287" i="7"/>
  <c r="H413" i="7" s="1"/>
  <c r="G287" i="7"/>
  <c r="G413" i="7" s="1"/>
  <c r="F287" i="7"/>
  <c r="F413" i="7" s="1"/>
  <c r="E287" i="7"/>
  <c r="E413" i="7" s="1"/>
  <c r="D287" i="7"/>
  <c r="D413" i="7" s="1"/>
  <c r="C287" i="7"/>
  <c r="C413" i="7" s="1"/>
  <c r="B287" i="7"/>
  <c r="B413" i="7" s="1"/>
  <c r="L239" i="7"/>
  <c r="L395" i="7" s="1"/>
  <c r="X191" i="7"/>
  <c r="X374" i="7" s="1"/>
  <c r="L191" i="7"/>
  <c r="X143" i="7"/>
  <c r="L143" i="7"/>
  <c r="K392" i="6"/>
  <c r="J392" i="6"/>
  <c r="I392" i="6"/>
  <c r="H392" i="6"/>
  <c r="G392" i="6"/>
  <c r="F392" i="6"/>
  <c r="E392" i="6"/>
  <c r="D392" i="6"/>
  <c r="C392" i="6"/>
  <c r="B392" i="6"/>
  <c r="K372" i="6"/>
  <c r="J372" i="6"/>
  <c r="I372" i="6"/>
  <c r="H372" i="6"/>
  <c r="G372" i="6"/>
  <c r="F372" i="6"/>
  <c r="E372" i="6"/>
  <c r="D372" i="6"/>
  <c r="C372" i="6"/>
  <c r="B372" i="6"/>
  <c r="L354" i="6"/>
  <c r="K354" i="6"/>
  <c r="J354" i="6"/>
  <c r="I354" i="6"/>
  <c r="H354" i="6"/>
  <c r="G354" i="6"/>
  <c r="F354" i="6"/>
  <c r="E354" i="6"/>
  <c r="D354" i="6"/>
  <c r="C354" i="6"/>
  <c r="B354" i="6"/>
  <c r="L334" i="6"/>
  <c r="K334" i="6"/>
  <c r="J334" i="6"/>
  <c r="I334" i="6"/>
  <c r="H334" i="6"/>
  <c r="G334" i="6"/>
  <c r="F334" i="6"/>
  <c r="E334" i="6"/>
  <c r="D334" i="6"/>
  <c r="C334" i="6"/>
  <c r="B334" i="6"/>
  <c r="L316" i="6"/>
  <c r="K316" i="6"/>
  <c r="J316" i="6"/>
  <c r="I316" i="6"/>
  <c r="H316" i="6"/>
  <c r="G316" i="6"/>
  <c r="F316" i="6"/>
  <c r="E316" i="6"/>
  <c r="D316" i="6"/>
  <c r="C316" i="6"/>
  <c r="B316" i="6"/>
  <c r="K287" i="6"/>
  <c r="K410" i="6" s="1"/>
  <c r="J287" i="6"/>
  <c r="J410" i="6" s="1"/>
  <c r="I287" i="6"/>
  <c r="I410" i="6" s="1"/>
  <c r="H287" i="6"/>
  <c r="H410" i="6" s="1"/>
  <c r="G287" i="6"/>
  <c r="G410" i="6" s="1"/>
  <c r="F287" i="6"/>
  <c r="F410" i="6" s="1"/>
  <c r="E287" i="6"/>
  <c r="E410" i="6" s="1"/>
  <c r="D287" i="6"/>
  <c r="D410" i="6" s="1"/>
  <c r="C287" i="6"/>
  <c r="C410" i="6" s="1"/>
  <c r="B287" i="6"/>
  <c r="B410" i="6" s="1"/>
  <c r="L239" i="6"/>
  <c r="L191" i="6"/>
  <c r="R405" i="5"/>
  <c r="Q405" i="5"/>
  <c r="P405" i="5"/>
  <c r="O405" i="5"/>
  <c r="N405" i="5"/>
  <c r="M405" i="5"/>
  <c r="L405" i="5"/>
  <c r="K405" i="5"/>
  <c r="H405" i="5"/>
  <c r="G405" i="5"/>
  <c r="F405" i="5"/>
  <c r="E405" i="5"/>
  <c r="D405" i="5"/>
  <c r="C405" i="5"/>
  <c r="B405" i="5"/>
  <c r="R384" i="5"/>
  <c r="Q384" i="5"/>
  <c r="P384" i="5"/>
  <c r="O384" i="5"/>
  <c r="N384" i="5"/>
  <c r="M384" i="5"/>
  <c r="L384" i="5"/>
  <c r="K384" i="5"/>
  <c r="H384" i="5"/>
  <c r="G384" i="5"/>
  <c r="F384" i="5"/>
  <c r="E384" i="5"/>
  <c r="D384" i="5"/>
  <c r="C384" i="5"/>
  <c r="B384" i="5"/>
  <c r="R366" i="5"/>
  <c r="Q366" i="5"/>
  <c r="P366" i="5"/>
  <c r="O366" i="5"/>
  <c r="N366" i="5"/>
  <c r="M366" i="5"/>
  <c r="L366" i="5"/>
  <c r="K366" i="5"/>
  <c r="H366" i="5"/>
  <c r="G366" i="5"/>
  <c r="F366" i="5"/>
  <c r="E366" i="5"/>
  <c r="D366" i="5"/>
  <c r="C366" i="5"/>
  <c r="B366" i="5"/>
  <c r="R345" i="5"/>
  <c r="Q345" i="5"/>
  <c r="P345" i="5"/>
  <c r="O345" i="5"/>
  <c r="N345" i="5"/>
  <c r="M345" i="5"/>
  <c r="L345" i="5"/>
  <c r="K345" i="5"/>
  <c r="I345" i="5"/>
  <c r="H345" i="5"/>
  <c r="G345" i="5"/>
  <c r="F345" i="5"/>
  <c r="E345" i="5"/>
  <c r="D345" i="5"/>
  <c r="C345" i="5"/>
  <c r="B345" i="5"/>
  <c r="R327" i="5"/>
  <c r="Q327" i="5"/>
  <c r="P327" i="5"/>
  <c r="O327" i="5"/>
  <c r="N327" i="5"/>
  <c r="M327" i="5"/>
  <c r="L327" i="5"/>
  <c r="K327" i="5"/>
  <c r="H327" i="5"/>
  <c r="G327" i="5"/>
  <c r="F327" i="5"/>
  <c r="E327" i="5"/>
  <c r="D327" i="5"/>
  <c r="C327" i="5"/>
  <c r="B327" i="5"/>
  <c r="R287" i="5"/>
  <c r="H52" i="3" s="1"/>
  <c r="Q287" i="5"/>
  <c r="Q423" i="5" s="1"/>
  <c r="P287" i="5"/>
  <c r="P423" i="5" s="1"/>
  <c r="O287" i="5"/>
  <c r="O423" i="5" s="1"/>
  <c r="N287" i="5"/>
  <c r="N423" i="5" s="1"/>
  <c r="M287" i="5"/>
  <c r="M423" i="5" s="1"/>
  <c r="L287" i="5"/>
  <c r="L423" i="5" s="1"/>
  <c r="K287" i="5"/>
  <c r="K423" i="5" s="1"/>
  <c r="H287" i="5"/>
  <c r="H423" i="5" s="1"/>
  <c r="G287" i="5"/>
  <c r="G423" i="5" s="1"/>
  <c r="F287" i="5"/>
  <c r="F423" i="5" s="1"/>
  <c r="E287" i="5"/>
  <c r="E423" i="5" s="1"/>
  <c r="D287" i="5"/>
  <c r="D423" i="5" s="1"/>
  <c r="C287" i="5"/>
  <c r="C423" i="5" s="1"/>
  <c r="B287" i="5"/>
  <c r="B423" i="5" s="1"/>
  <c r="I239" i="5"/>
  <c r="I405" i="5" s="1"/>
  <c r="I191" i="5"/>
  <c r="E34" i="3" s="1"/>
  <c r="I143" i="5"/>
  <c r="I366" i="5" s="1"/>
  <c r="B34" i="3"/>
  <c r="H393" i="4"/>
  <c r="G393" i="4"/>
  <c r="F393" i="4"/>
  <c r="E393" i="4"/>
  <c r="D393" i="4"/>
  <c r="C393" i="4"/>
  <c r="B393" i="4"/>
  <c r="H375" i="4"/>
  <c r="G375" i="4"/>
  <c r="F375" i="4"/>
  <c r="E375" i="4"/>
  <c r="D375" i="4"/>
  <c r="C375" i="4"/>
  <c r="B375" i="4"/>
  <c r="H355" i="4"/>
  <c r="G355" i="4"/>
  <c r="F355" i="4"/>
  <c r="E355" i="4"/>
  <c r="D355" i="4"/>
  <c r="C355" i="4"/>
  <c r="B355" i="4"/>
  <c r="I337" i="4"/>
  <c r="H337" i="4"/>
  <c r="G337" i="4"/>
  <c r="F337" i="4"/>
  <c r="E337" i="4"/>
  <c r="D337" i="4"/>
  <c r="C337" i="4"/>
  <c r="B337" i="4"/>
  <c r="I319" i="4"/>
  <c r="H319" i="4"/>
  <c r="G319" i="4"/>
  <c r="F319" i="4"/>
  <c r="E319" i="4"/>
  <c r="D319" i="4"/>
  <c r="C319" i="4"/>
  <c r="B319" i="4"/>
  <c r="H274" i="4"/>
  <c r="H411" i="4" s="1"/>
  <c r="G274" i="4"/>
  <c r="G411" i="4" s="1"/>
  <c r="F274" i="4"/>
  <c r="F411" i="4" s="1"/>
  <c r="E274" i="4"/>
  <c r="E411" i="4" s="1"/>
  <c r="D274" i="4"/>
  <c r="D411" i="4" s="1"/>
  <c r="C274" i="4"/>
  <c r="C411" i="4" s="1"/>
  <c r="B274" i="4"/>
  <c r="B411" i="4" s="1"/>
  <c r="I228" i="4"/>
  <c r="I393" i="4" s="1"/>
  <c r="I182" i="4"/>
  <c r="I375" i="4" s="1"/>
  <c r="I136" i="4"/>
  <c r="D16" i="3" s="1"/>
  <c r="E211" i="21" l="1"/>
  <c r="F211" i="21"/>
  <c r="G211" i="21"/>
  <c r="B211" i="21"/>
  <c r="I211" i="21"/>
  <c r="C211" i="21"/>
  <c r="K214" i="18"/>
  <c r="K127" i="18"/>
  <c r="E239" i="27"/>
  <c r="E448" i="27" s="1"/>
  <c r="L143" i="25"/>
  <c r="L259" i="25" s="1"/>
  <c r="D231" i="18"/>
  <c r="H231" i="18"/>
  <c r="H358" i="16"/>
  <c r="B239" i="27"/>
  <c r="B448" i="27" s="1"/>
  <c r="H47" i="26"/>
  <c r="H371" i="26" s="1"/>
  <c r="F239" i="27"/>
  <c r="F448" i="27" s="1"/>
  <c r="R191" i="23"/>
  <c r="R278" i="23" s="1"/>
  <c r="K239" i="27"/>
  <c r="K448" i="27" s="1"/>
  <c r="P191" i="27"/>
  <c r="P426" i="27" s="1"/>
  <c r="X143" i="25"/>
  <c r="X259" i="25" s="1"/>
  <c r="C287" i="26"/>
  <c r="C469" i="26" s="1"/>
  <c r="D211" i="21"/>
  <c r="H211" i="21"/>
  <c r="M287" i="27"/>
  <c r="M467" i="27" s="1"/>
  <c r="J240" i="17"/>
  <c r="H287" i="27" s="1"/>
  <c r="H467" i="27" s="1"/>
  <c r="P47" i="27"/>
  <c r="P366" i="27" s="1"/>
  <c r="R47" i="30"/>
  <c r="R191" i="30" s="1"/>
  <c r="D287" i="27"/>
  <c r="D467" i="27" s="1"/>
  <c r="E279" i="28"/>
  <c r="L142" i="24"/>
  <c r="L263" i="24" s="1"/>
  <c r="I327" i="5"/>
  <c r="I384" i="5"/>
  <c r="R423" i="5"/>
  <c r="L372" i="6"/>
  <c r="X287" i="7"/>
  <c r="C508" i="9"/>
  <c r="G508" i="9"/>
  <c r="K508" i="9"/>
  <c r="S551" i="10"/>
  <c r="B652" i="10"/>
  <c r="F652" i="10"/>
  <c r="J652" i="10"/>
  <c r="O652" i="10"/>
  <c r="C336" i="11"/>
  <c r="C518" i="11" s="1"/>
  <c r="B497" i="11"/>
  <c r="F497" i="11"/>
  <c r="K485" i="12"/>
  <c r="K288" i="12"/>
  <c r="H336" i="12"/>
  <c r="H527" i="12" s="1"/>
  <c r="H504" i="12"/>
  <c r="S288" i="12"/>
  <c r="S504" i="12" s="1"/>
  <c r="K279" i="16"/>
  <c r="I239" i="16"/>
  <c r="I358" i="16" s="1"/>
  <c r="I279" i="16"/>
  <c r="E287" i="26"/>
  <c r="E469" i="26" s="1"/>
  <c r="F358" i="16"/>
  <c r="H95" i="27"/>
  <c r="D279" i="28"/>
  <c r="E231" i="18"/>
  <c r="I46" i="29"/>
  <c r="I181" i="29" s="1"/>
  <c r="E16" i="3"/>
  <c r="B39" i="8"/>
  <c r="X47" i="25"/>
  <c r="X218" i="25" s="1"/>
  <c r="K191" i="25"/>
  <c r="K278" i="25" s="1"/>
  <c r="K259" i="25"/>
  <c r="H95" i="26"/>
  <c r="I355" i="4"/>
  <c r="I287" i="5"/>
  <c r="F34" i="3"/>
  <c r="L287" i="7"/>
  <c r="L374" i="7"/>
  <c r="D508" i="9"/>
  <c r="H508" i="9"/>
  <c r="L431" i="10"/>
  <c r="E39" i="8"/>
  <c r="L633" i="10"/>
  <c r="C652" i="10"/>
  <c r="G652" i="10"/>
  <c r="K652" i="10"/>
  <c r="P652" i="10"/>
  <c r="G336" i="11"/>
  <c r="G518" i="11" s="1"/>
  <c r="S401" i="12"/>
  <c r="G240" i="32"/>
  <c r="G333" i="32"/>
  <c r="J341" i="17"/>
  <c r="O364" i="17"/>
  <c r="I47" i="30"/>
  <c r="I191" i="30" s="1"/>
  <c r="I274" i="4"/>
  <c r="F16" i="3"/>
  <c r="L287" i="6"/>
  <c r="X356" i="7"/>
  <c r="L45" i="22"/>
  <c r="L218" i="22" s="1"/>
  <c r="F370" i="9"/>
  <c r="F530" i="9" s="1"/>
  <c r="L489" i="9"/>
  <c r="F19" i="8" s="1"/>
  <c r="E508" i="9"/>
  <c r="I508" i="9"/>
  <c r="L95" i="23"/>
  <c r="L237" i="23" s="1"/>
  <c r="D652" i="10"/>
  <c r="H652" i="10"/>
  <c r="Q652" i="10"/>
  <c r="D497" i="11"/>
  <c r="H497" i="11"/>
  <c r="L47" i="25"/>
  <c r="L218" i="25" s="1"/>
  <c r="D504" i="12"/>
  <c r="S364" i="17"/>
  <c r="L143" i="23"/>
  <c r="L259" i="23" s="1"/>
  <c r="D34" i="3"/>
  <c r="L392" i="6"/>
  <c r="L356" i="7"/>
  <c r="L317" i="9"/>
  <c r="J508" i="9"/>
  <c r="L47" i="23"/>
  <c r="L218" i="23" s="1"/>
  <c r="C39" i="8"/>
  <c r="I503" i="10"/>
  <c r="I674" i="10" s="1"/>
  <c r="L570" i="10"/>
  <c r="L592" i="10"/>
  <c r="E652" i="10"/>
  <c r="N652" i="10"/>
  <c r="R652" i="10"/>
  <c r="L46" i="24"/>
  <c r="L222" i="24" s="1"/>
  <c r="K288" i="11"/>
  <c r="E497" i="11"/>
  <c r="I497" i="11"/>
  <c r="C336" i="12"/>
  <c r="C527" i="12" s="1"/>
  <c r="C504" i="12"/>
  <c r="G336" i="12"/>
  <c r="G527" i="12" s="1"/>
  <c r="G504" i="12"/>
  <c r="H47" i="27"/>
  <c r="H366" i="27" s="1"/>
  <c r="J239" i="16"/>
  <c r="K48" i="17"/>
  <c r="K280" i="17" s="1"/>
  <c r="I280" i="17"/>
  <c r="I240" i="17"/>
  <c r="I364" i="17" s="1"/>
  <c r="F364" i="17"/>
  <c r="J214" i="18"/>
  <c r="H279" i="28"/>
  <c r="M504" i="12"/>
  <c r="H278" i="14"/>
  <c r="N240" i="32"/>
  <c r="E358" i="16"/>
  <c r="K240" i="17"/>
  <c r="K364" i="17" s="1"/>
  <c r="C364" i="17"/>
  <c r="G364" i="17"/>
  <c r="P364" i="17"/>
  <c r="I278" i="19"/>
  <c r="I239" i="20"/>
  <c r="I360" i="20" s="1"/>
  <c r="I338" i="20"/>
  <c r="I278" i="20"/>
  <c r="R278" i="20"/>
  <c r="P95" i="27"/>
  <c r="J287" i="27"/>
  <c r="J467" i="27" s="1"/>
  <c r="N287" i="27"/>
  <c r="N467" i="27" s="1"/>
  <c r="B279" i="28"/>
  <c r="F279" i="28"/>
  <c r="P504" i="12"/>
  <c r="U240" i="17"/>
  <c r="D364" i="17"/>
  <c r="H364" i="17"/>
  <c r="I238" i="19"/>
  <c r="R239" i="20"/>
  <c r="R360" i="20" s="1"/>
  <c r="Q504" i="12"/>
  <c r="H239" i="14"/>
  <c r="H316" i="14"/>
  <c r="B61" i="13"/>
  <c r="N333" i="32"/>
  <c r="E61" i="13" s="1"/>
  <c r="C358" i="16"/>
  <c r="G358" i="16"/>
  <c r="V240" i="17"/>
  <c r="G335" i="27"/>
  <c r="G489" i="27" s="1"/>
  <c r="I94" i="29"/>
  <c r="I200" i="29" s="1"/>
  <c r="I95" i="30"/>
  <c r="I210" i="30" s="1"/>
  <c r="R95" i="30"/>
  <c r="R210" i="30" s="1"/>
  <c r="B143" i="30"/>
  <c r="B232" i="30" s="1"/>
  <c r="F143" i="30"/>
  <c r="F232" i="30" s="1"/>
  <c r="K143" i="30"/>
  <c r="K232" i="30" s="1"/>
  <c r="O143" i="30"/>
  <c r="O232" i="30" s="1"/>
  <c r="C143" i="30"/>
  <c r="C232" i="30" s="1"/>
  <c r="G143" i="30"/>
  <c r="G232" i="30" s="1"/>
  <c r="L143" i="30"/>
  <c r="L232" i="30" s="1"/>
  <c r="P143" i="30"/>
  <c r="P232" i="30" s="1"/>
  <c r="D143" i="30"/>
  <c r="D232" i="30" s="1"/>
  <c r="H143" i="30"/>
  <c r="H232" i="30" s="1"/>
  <c r="M143" i="30"/>
  <c r="M232" i="30" s="1"/>
  <c r="Q143" i="30"/>
  <c r="Q232" i="30" s="1"/>
  <c r="E143" i="30"/>
  <c r="E232" i="30" s="1"/>
  <c r="N143" i="30"/>
  <c r="N232" i="30" s="1"/>
  <c r="B142" i="29"/>
  <c r="B219" i="29" s="1"/>
  <c r="F142" i="29"/>
  <c r="F219" i="29" s="1"/>
  <c r="C142" i="29"/>
  <c r="C219" i="29" s="1"/>
  <c r="G142" i="29"/>
  <c r="G219" i="29" s="1"/>
  <c r="D142" i="29"/>
  <c r="D219" i="29" s="1"/>
  <c r="H142" i="29"/>
  <c r="H219" i="29" s="1"/>
  <c r="E142" i="29"/>
  <c r="E219" i="29" s="1"/>
  <c r="G279" i="28"/>
  <c r="D125" i="28"/>
  <c r="G220" i="28"/>
  <c r="C125" i="28"/>
  <c r="E75" i="28"/>
  <c r="E234" i="28" s="1"/>
  <c r="B125" i="28"/>
  <c r="F125" i="28"/>
  <c r="E125" i="28"/>
  <c r="H100" i="28"/>
  <c r="B75" i="28"/>
  <c r="B234" i="28" s="1"/>
  <c r="F75" i="28"/>
  <c r="F234" i="28" s="1"/>
  <c r="C75" i="28"/>
  <c r="C234" i="28" s="1"/>
  <c r="D75" i="28"/>
  <c r="D234" i="28" s="1"/>
  <c r="G448" i="27"/>
  <c r="G385" i="27"/>
  <c r="O426" i="27"/>
  <c r="K426" i="27"/>
  <c r="G426" i="27"/>
  <c r="J385" i="27"/>
  <c r="K385" i="27"/>
  <c r="O385" i="27"/>
  <c r="O335" i="27"/>
  <c r="O489" i="27" s="1"/>
  <c r="B366" i="27"/>
  <c r="F366" i="27"/>
  <c r="L239" i="27"/>
  <c r="E366" i="27"/>
  <c r="M239" i="27"/>
  <c r="M143" i="27"/>
  <c r="M407" i="27" s="1"/>
  <c r="C239" i="27"/>
  <c r="N239" i="27"/>
  <c r="D143" i="27"/>
  <c r="D407" i="27" s="1"/>
  <c r="B143" i="27"/>
  <c r="B407" i="27" s="1"/>
  <c r="F143" i="27"/>
  <c r="F407" i="27" s="1"/>
  <c r="D239" i="27"/>
  <c r="L143" i="27"/>
  <c r="L407" i="27" s="1"/>
  <c r="H191" i="27"/>
  <c r="C143" i="27"/>
  <c r="C407" i="27" s="1"/>
  <c r="E143" i="27"/>
  <c r="E407" i="27" s="1"/>
  <c r="N143" i="27"/>
  <c r="N407" i="27" s="1"/>
  <c r="F239" i="26"/>
  <c r="D143" i="26"/>
  <c r="D409" i="26" s="1"/>
  <c r="D239" i="26"/>
  <c r="H191" i="26"/>
  <c r="E239" i="26"/>
  <c r="B143" i="26"/>
  <c r="B409" i="26" s="1"/>
  <c r="C239" i="26"/>
  <c r="G239" i="26"/>
  <c r="F143" i="26"/>
  <c r="F409" i="26" s="1"/>
  <c r="C143" i="26"/>
  <c r="C409" i="26" s="1"/>
  <c r="G143" i="26"/>
  <c r="G409" i="26" s="1"/>
  <c r="B239" i="26"/>
  <c r="E143" i="26"/>
  <c r="E409" i="26" s="1"/>
  <c r="C191" i="25"/>
  <c r="C278" i="25" s="1"/>
  <c r="G191" i="25"/>
  <c r="G278" i="25" s="1"/>
  <c r="G259" i="25"/>
  <c r="B259" i="25"/>
  <c r="F191" i="25"/>
  <c r="F278" i="25" s="1"/>
  <c r="J191" i="25"/>
  <c r="J278" i="25" s="1"/>
  <c r="O191" i="25"/>
  <c r="O278" i="25" s="1"/>
  <c r="S191" i="25"/>
  <c r="S278" i="25" s="1"/>
  <c r="W191" i="25"/>
  <c r="W278" i="25" s="1"/>
  <c r="D191" i="25"/>
  <c r="D278" i="25" s="1"/>
  <c r="H191" i="25"/>
  <c r="H278" i="25" s="1"/>
  <c r="P191" i="25"/>
  <c r="P278" i="25" s="1"/>
  <c r="T191" i="25"/>
  <c r="T278" i="25" s="1"/>
  <c r="Q191" i="25"/>
  <c r="Q278" i="25" s="1"/>
  <c r="U191" i="25"/>
  <c r="U278" i="25" s="1"/>
  <c r="E191" i="25"/>
  <c r="E278" i="25" s="1"/>
  <c r="I191" i="25"/>
  <c r="I278" i="25" s="1"/>
  <c r="N191" i="25"/>
  <c r="N278" i="25" s="1"/>
  <c r="R191" i="25"/>
  <c r="R278" i="25" s="1"/>
  <c r="V191" i="25"/>
  <c r="V278" i="25" s="1"/>
  <c r="L95" i="25"/>
  <c r="X95" i="25"/>
  <c r="D190" i="24"/>
  <c r="D282" i="24" s="1"/>
  <c r="H190" i="24"/>
  <c r="H282" i="24" s="1"/>
  <c r="B190" i="24"/>
  <c r="B282" i="24" s="1"/>
  <c r="H241" i="24"/>
  <c r="F190" i="24"/>
  <c r="F282" i="24" s="1"/>
  <c r="J190" i="24"/>
  <c r="J282" i="24" s="1"/>
  <c r="E190" i="24"/>
  <c r="E282" i="24" s="1"/>
  <c r="I190" i="24"/>
  <c r="I282" i="24" s="1"/>
  <c r="C190" i="24"/>
  <c r="C282" i="24" s="1"/>
  <c r="G190" i="24"/>
  <c r="G282" i="24" s="1"/>
  <c r="L94" i="24"/>
  <c r="Q191" i="23"/>
  <c r="Q278" i="23" s="1"/>
  <c r="E191" i="23"/>
  <c r="E278" i="23" s="1"/>
  <c r="I191" i="23"/>
  <c r="I278" i="23" s="1"/>
  <c r="K191" i="23"/>
  <c r="K278" i="23" s="1"/>
  <c r="F191" i="23"/>
  <c r="F278" i="23" s="1"/>
  <c r="T218" i="23"/>
  <c r="C191" i="23"/>
  <c r="C278" i="23" s="1"/>
  <c r="G191" i="23"/>
  <c r="G278" i="23" s="1"/>
  <c r="U218" i="23"/>
  <c r="R218" i="23"/>
  <c r="B191" i="23"/>
  <c r="B278" i="23" s="1"/>
  <c r="J191" i="23"/>
  <c r="J278" i="23" s="1"/>
  <c r="D191" i="23"/>
  <c r="D278" i="23" s="1"/>
  <c r="H191" i="23"/>
  <c r="H278" i="23" s="1"/>
  <c r="S218" i="23"/>
  <c r="K183" i="22"/>
  <c r="K279" i="22" s="1"/>
  <c r="E183" i="22"/>
  <c r="E279" i="22" s="1"/>
  <c r="I183" i="22"/>
  <c r="I279" i="22" s="1"/>
  <c r="C183" i="22"/>
  <c r="C279" i="22" s="1"/>
  <c r="G183" i="22"/>
  <c r="G279" i="22" s="1"/>
  <c r="B183" i="22"/>
  <c r="B279" i="22" s="1"/>
  <c r="J183" i="22"/>
  <c r="J279" i="22" s="1"/>
  <c r="D183" i="22"/>
  <c r="D279" i="22" s="1"/>
  <c r="H183" i="22"/>
  <c r="H279" i="22" s="1"/>
  <c r="L137" i="22"/>
  <c r="F183" i="22"/>
  <c r="F279" i="22" s="1"/>
  <c r="I125" i="21"/>
  <c r="E504" i="12"/>
  <c r="I504" i="12"/>
  <c r="N504" i="12"/>
  <c r="R504" i="12"/>
  <c r="B504" i="12"/>
  <c r="F504" i="12"/>
  <c r="O504" i="12"/>
  <c r="S503" i="10"/>
  <c r="E335" i="27" l="1"/>
  <c r="E489" i="27" s="1"/>
  <c r="N355" i="32"/>
  <c r="G355" i="32"/>
  <c r="S336" i="12"/>
  <c r="S527" i="12" s="1"/>
  <c r="J364" i="17"/>
  <c r="F335" i="27"/>
  <c r="F489" i="27" s="1"/>
  <c r="J335" i="27"/>
  <c r="J489" i="27" s="1"/>
  <c r="K335" i="27"/>
  <c r="K489" i="27" s="1"/>
  <c r="R143" i="30"/>
  <c r="I359" i="19"/>
  <c r="H220" i="28"/>
  <c r="P385" i="27"/>
  <c r="V364" i="17"/>
  <c r="H385" i="27"/>
  <c r="H390" i="26"/>
  <c r="B335" i="27"/>
  <c r="B489" i="27" s="1"/>
  <c r="H143" i="27"/>
  <c r="H407" i="27" s="1"/>
  <c r="F61" i="13"/>
  <c r="J61" i="13" s="1"/>
  <c r="F38" i="13"/>
  <c r="J38" i="13" s="1"/>
  <c r="H143" i="26"/>
  <c r="H409" i="26" s="1"/>
  <c r="H358" i="14"/>
  <c r="J19" i="13" s="1"/>
  <c r="I142" i="29"/>
  <c r="P239" i="27"/>
  <c r="X413" i="7"/>
  <c r="L413" i="7"/>
  <c r="L410" i="6"/>
  <c r="I423" i="5"/>
  <c r="H34" i="3"/>
  <c r="I411" i="4"/>
  <c r="H16" i="3" s="1"/>
  <c r="P143" i="27"/>
  <c r="P407" i="27" s="1"/>
  <c r="H75" i="28"/>
  <c r="H234" i="28" s="1"/>
  <c r="I143" i="30"/>
  <c r="K239" i="16"/>
  <c r="K358" i="16" s="1"/>
  <c r="L191" i="23"/>
  <c r="L278" i="23" s="1"/>
  <c r="K336" i="12"/>
  <c r="K504" i="12"/>
  <c r="G62" i="8"/>
  <c r="K62" i="8" s="1"/>
  <c r="S674" i="10"/>
  <c r="L370" i="9"/>
  <c r="L508" i="9"/>
  <c r="L503" i="10"/>
  <c r="L652" i="10"/>
  <c r="P287" i="27"/>
  <c r="U364" i="17"/>
  <c r="J358" i="16"/>
  <c r="H287" i="26"/>
  <c r="H469" i="26" s="1"/>
  <c r="K336" i="11"/>
  <c r="K518" i="11" s="1"/>
  <c r="K497" i="11"/>
  <c r="E175" i="28"/>
  <c r="E293" i="28" s="1"/>
  <c r="E265" i="28"/>
  <c r="C175" i="28"/>
  <c r="C293" i="28" s="1"/>
  <c r="C265" i="28"/>
  <c r="F175" i="28"/>
  <c r="F293" i="28" s="1"/>
  <c r="F265" i="28"/>
  <c r="B175" i="28"/>
  <c r="B293" i="28" s="1"/>
  <c r="B265" i="28"/>
  <c r="D175" i="28"/>
  <c r="D293" i="28" s="1"/>
  <c r="D265" i="28"/>
  <c r="H125" i="28"/>
  <c r="H248" i="28"/>
  <c r="D335" i="27"/>
  <c r="D489" i="27" s="1"/>
  <c r="D448" i="27"/>
  <c r="N335" i="27"/>
  <c r="N489" i="27" s="1"/>
  <c r="N448" i="27"/>
  <c r="C335" i="27"/>
  <c r="C489" i="27" s="1"/>
  <c r="C448" i="27"/>
  <c r="M335" i="27"/>
  <c r="M489" i="27" s="1"/>
  <c r="M448" i="27"/>
  <c r="L335" i="27"/>
  <c r="L489" i="27" s="1"/>
  <c r="L448" i="27"/>
  <c r="H239" i="27"/>
  <c r="H426" i="27"/>
  <c r="E335" i="26"/>
  <c r="E491" i="26" s="1"/>
  <c r="E450" i="26"/>
  <c r="C335" i="26"/>
  <c r="C491" i="26" s="1"/>
  <c r="C450" i="26"/>
  <c r="D335" i="26"/>
  <c r="D491" i="26" s="1"/>
  <c r="D450" i="26"/>
  <c r="B335" i="26"/>
  <c r="B491" i="26" s="1"/>
  <c r="B450" i="26"/>
  <c r="G335" i="26"/>
  <c r="G491" i="26" s="1"/>
  <c r="G450" i="26"/>
  <c r="F335" i="26"/>
  <c r="F491" i="26" s="1"/>
  <c r="F450" i="26"/>
  <c r="H239" i="26"/>
  <c r="H431" i="26"/>
  <c r="L191" i="25"/>
  <c r="L278" i="25" s="1"/>
  <c r="L237" i="25"/>
  <c r="X191" i="25"/>
  <c r="X278" i="25" s="1"/>
  <c r="X237" i="25"/>
  <c r="L190" i="24"/>
  <c r="L282" i="24" s="1"/>
  <c r="L241" i="24"/>
  <c r="L183" i="22"/>
  <c r="L279" i="22" s="1"/>
  <c r="L260" i="22"/>
  <c r="K94" i="30"/>
  <c r="L94" i="30"/>
  <c r="M94" i="30"/>
  <c r="N94" i="30"/>
  <c r="O94" i="30"/>
  <c r="P94" i="30"/>
  <c r="Q94" i="30"/>
  <c r="K98" i="30"/>
  <c r="L98" i="30"/>
  <c r="M98" i="30"/>
  <c r="N98" i="30"/>
  <c r="O98" i="30"/>
  <c r="P98" i="30"/>
  <c r="Q98" i="30"/>
  <c r="B94" i="30"/>
  <c r="C94" i="30"/>
  <c r="D94" i="30"/>
  <c r="E94" i="30"/>
  <c r="F94" i="30"/>
  <c r="G94" i="30"/>
  <c r="H94" i="30"/>
  <c r="B98" i="30"/>
  <c r="C98" i="30"/>
  <c r="D98" i="30"/>
  <c r="E98" i="30"/>
  <c r="F98" i="30"/>
  <c r="G98" i="30"/>
  <c r="H98" i="30"/>
  <c r="R232" i="30" l="1"/>
  <c r="I219" i="29"/>
  <c r="K527" i="12"/>
  <c r="I232" i="30"/>
  <c r="P448" i="27"/>
  <c r="L530" i="9"/>
  <c r="G19" i="8" s="1"/>
  <c r="K19" i="8" s="1"/>
  <c r="G39" i="8"/>
  <c r="K39" i="8" s="1"/>
  <c r="L674" i="10"/>
  <c r="P467" i="27"/>
  <c r="P335" i="27"/>
  <c r="P489" i="27" s="1"/>
  <c r="H175" i="28"/>
  <c r="H293" i="28" s="1"/>
  <c r="H265" i="28"/>
  <c r="H335" i="27"/>
  <c r="H489" i="27" s="1"/>
  <c r="H448" i="27"/>
  <c r="H335" i="26"/>
  <c r="H491" i="26" s="1"/>
  <c r="H450" i="26"/>
  <c r="N567" i="10"/>
  <c r="N568" i="10"/>
  <c r="N569" i="10"/>
  <c r="N573" i="10"/>
  <c r="S139" i="10"/>
  <c r="I320" i="16" l="1"/>
  <c r="B455" i="12"/>
  <c r="C455" i="12"/>
  <c r="D455" i="12"/>
  <c r="E455" i="12"/>
  <c r="F455" i="12"/>
  <c r="G455" i="12"/>
  <c r="H455" i="12"/>
  <c r="I455" i="12"/>
  <c r="J455" i="12"/>
  <c r="M455" i="12"/>
  <c r="N455" i="12"/>
  <c r="O455" i="12"/>
  <c r="P455" i="12"/>
  <c r="Q455" i="12"/>
  <c r="R455" i="12"/>
  <c r="B456" i="12"/>
  <c r="C456" i="12"/>
  <c r="D456" i="12"/>
  <c r="E456" i="12"/>
  <c r="F456" i="12"/>
  <c r="G456" i="12"/>
  <c r="H456" i="12"/>
  <c r="I456" i="12"/>
  <c r="J456" i="12"/>
  <c r="M456" i="12"/>
  <c r="N456" i="12"/>
  <c r="O456" i="12"/>
  <c r="P456" i="12"/>
  <c r="Q456" i="12"/>
  <c r="R456" i="12"/>
  <c r="B457" i="12"/>
  <c r="C457" i="12"/>
  <c r="D457" i="12"/>
  <c r="E457" i="12"/>
  <c r="F457" i="12"/>
  <c r="G457" i="12"/>
  <c r="H457" i="12"/>
  <c r="I457" i="12"/>
  <c r="J457" i="12"/>
  <c r="M457" i="12"/>
  <c r="N457" i="12"/>
  <c r="O457" i="12"/>
  <c r="P457" i="12"/>
  <c r="Q457" i="12"/>
  <c r="R457" i="12"/>
  <c r="B458" i="12"/>
  <c r="C458" i="12"/>
  <c r="D458" i="12"/>
  <c r="E458" i="12"/>
  <c r="F458" i="12"/>
  <c r="G458" i="12"/>
  <c r="H458" i="12"/>
  <c r="I458" i="12"/>
  <c r="J458" i="12"/>
  <c r="M458" i="12"/>
  <c r="N458" i="12"/>
  <c r="O458" i="12"/>
  <c r="P458" i="12"/>
  <c r="Q458" i="12"/>
  <c r="R458" i="12"/>
  <c r="B459" i="12"/>
  <c r="C459" i="12"/>
  <c r="D459" i="12"/>
  <c r="E459" i="12"/>
  <c r="F459" i="12"/>
  <c r="G459" i="12"/>
  <c r="H459" i="12"/>
  <c r="I459" i="12"/>
  <c r="J459" i="12"/>
  <c r="M459" i="12"/>
  <c r="N459" i="12"/>
  <c r="O459" i="12"/>
  <c r="P459" i="12"/>
  <c r="Q459" i="12"/>
  <c r="R459" i="12"/>
  <c r="B460" i="12"/>
  <c r="C460" i="12"/>
  <c r="D460" i="12"/>
  <c r="E460" i="12"/>
  <c r="F460" i="12"/>
  <c r="G460" i="12"/>
  <c r="H460" i="12"/>
  <c r="I460" i="12"/>
  <c r="J460" i="12"/>
  <c r="M460" i="12"/>
  <c r="N460" i="12"/>
  <c r="O460" i="12"/>
  <c r="P460" i="12"/>
  <c r="Q460" i="12"/>
  <c r="R460" i="12"/>
  <c r="B461" i="12"/>
  <c r="C461" i="12"/>
  <c r="D461" i="12"/>
  <c r="E461" i="12"/>
  <c r="F461" i="12"/>
  <c r="G461" i="12"/>
  <c r="H461" i="12"/>
  <c r="I461" i="12"/>
  <c r="J461" i="12"/>
  <c r="M461" i="12"/>
  <c r="N461" i="12"/>
  <c r="O461" i="12"/>
  <c r="P461" i="12"/>
  <c r="Q461" i="12"/>
  <c r="R461" i="12"/>
  <c r="B465" i="12"/>
  <c r="C465" i="12"/>
  <c r="D465" i="12"/>
  <c r="E465" i="12"/>
  <c r="F465" i="12"/>
  <c r="G465" i="12"/>
  <c r="H465" i="12"/>
  <c r="I465" i="12"/>
  <c r="J465" i="12"/>
  <c r="M465" i="12"/>
  <c r="N465" i="12"/>
  <c r="O465" i="12"/>
  <c r="P465" i="12"/>
  <c r="Q465" i="12"/>
  <c r="R465" i="12"/>
  <c r="B436" i="12"/>
  <c r="C436" i="12"/>
  <c r="D436" i="12"/>
  <c r="E436" i="12"/>
  <c r="F436" i="12"/>
  <c r="G436" i="12"/>
  <c r="H436" i="12"/>
  <c r="I436" i="12"/>
  <c r="J436" i="12"/>
  <c r="M436" i="12"/>
  <c r="N436" i="12"/>
  <c r="O436" i="12"/>
  <c r="P436" i="12"/>
  <c r="Q436" i="12"/>
  <c r="R436" i="12"/>
  <c r="B437" i="12"/>
  <c r="C437" i="12"/>
  <c r="D437" i="12"/>
  <c r="E437" i="12"/>
  <c r="F437" i="12"/>
  <c r="G437" i="12"/>
  <c r="H437" i="12"/>
  <c r="I437" i="12"/>
  <c r="J437" i="12"/>
  <c r="M437" i="12"/>
  <c r="N437" i="12"/>
  <c r="O437" i="12"/>
  <c r="P437" i="12"/>
  <c r="Q437" i="12"/>
  <c r="R437" i="12"/>
  <c r="B438" i="12"/>
  <c r="C438" i="12"/>
  <c r="D438" i="12"/>
  <c r="E438" i="12"/>
  <c r="F438" i="12"/>
  <c r="G438" i="12"/>
  <c r="H438" i="12"/>
  <c r="I438" i="12"/>
  <c r="J438" i="12"/>
  <c r="M438" i="12"/>
  <c r="N438" i="12"/>
  <c r="O438" i="12"/>
  <c r="P438" i="12"/>
  <c r="Q438" i="12"/>
  <c r="R438" i="12"/>
  <c r="B439" i="12"/>
  <c r="C439" i="12"/>
  <c r="D439" i="12"/>
  <c r="E439" i="12"/>
  <c r="F439" i="12"/>
  <c r="G439" i="12"/>
  <c r="H439" i="12"/>
  <c r="I439" i="12"/>
  <c r="J439" i="12"/>
  <c r="M439" i="12"/>
  <c r="N439" i="12"/>
  <c r="O439" i="12"/>
  <c r="P439" i="12"/>
  <c r="Q439" i="12"/>
  <c r="R439" i="12"/>
  <c r="B440" i="12"/>
  <c r="C440" i="12"/>
  <c r="D440" i="12"/>
  <c r="E440" i="12"/>
  <c r="F440" i="12"/>
  <c r="G440" i="12"/>
  <c r="H440" i="12"/>
  <c r="I440" i="12"/>
  <c r="J440" i="12"/>
  <c r="M440" i="12"/>
  <c r="N440" i="12"/>
  <c r="O440" i="12"/>
  <c r="P440" i="12"/>
  <c r="Q440" i="12"/>
  <c r="R440" i="12"/>
  <c r="B441" i="12"/>
  <c r="C441" i="12"/>
  <c r="D441" i="12"/>
  <c r="E441" i="12"/>
  <c r="F441" i="12"/>
  <c r="G441" i="12"/>
  <c r="H441" i="12"/>
  <c r="I441" i="12"/>
  <c r="J441" i="12"/>
  <c r="M441" i="12"/>
  <c r="N441" i="12"/>
  <c r="O441" i="12"/>
  <c r="P441" i="12"/>
  <c r="Q441" i="12"/>
  <c r="R441" i="12"/>
  <c r="B442" i="12"/>
  <c r="C442" i="12"/>
  <c r="D442" i="12"/>
  <c r="E442" i="12"/>
  <c r="F442" i="12"/>
  <c r="G442" i="12"/>
  <c r="H442" i="12"/>
  <c r="I442" i="12"/>
  <c r="J442" i="12"/>
  <c r="M442" i="12"/>
  <c r="N442" i="12"/>
  <c r="O442" i="12"/>
  <c r="P442" i="12"/>
  <c r="Q442" i="12"/>
  <c r="R442" i="12"/>
  <c r="B446" i="12"/>
  <c r="C446" i="12"/>
  <c r="D446" i="12"/>
  <c r="E446" i="12"/>
  <c r="F446" i="12"/>
  <c r="G446" i="12"/>
  <c r="H446" i="12"/>
  <c r="I446" i="12"/>
  <c r="J446" i="12"/>
  <c r="M446" i="12"/>
  <c r="N446" i="12"/>
  <c r="O446" i="12"/>
  <c r="P446" i="12"/>
  <c r="Q446" i="12"/>
  <c r="R446" i="12"/>
  <c r="B413" i="12"/>
  <c r="C413" i="12"/>
  <c r="D413" i="12"/>
  <c r="E413" i="12"/>
  <c r="F413" i="12"/>
  <c r="G413" i="12"/>
  <c r="H413" i="12"/>
  <c r="I413" i="12"/>
  <c r="J413" i="12"/>
  <c r="M413" i="12"/>
  <c r="N413" i="12"/>
  <c r="O413" i="12"/>
  <c r="P413" i="12"/>
  <c r="Q413" i="12"/>
  <c r="R413" i="12"/>
  <c r="B414" i="12"/>
  <c r="C414" i="12"/>
  <c r="D414" i="12"/>
  <c r="E414" i="12"/>
  <c r="F414" i="12"/>
  <c r="G414" i="12"/>
  <c r="H414" i="12"/>
  <c r="I414" i="12"/>
  <c r="J414" i="12"/>
  <c r="M414" i="12"/>
  <c r="N414" i="12"/>
  <c r="O414" i="12"/>
  <c r="P414" i="12"/>
  <c r="Q414" i="12"/>
  <c r="R414" i="12"/>
  <c r="B415" i="12"/>
  <c r="C415" i="12"/>
  <c r="D415" i="12"/>
  <c r="E415" i="12"/>
  <c r="F415" i="12"/>
  <c r="G415" i="12"/>
  <c r="H415" i="12"/>
  <c r="I415" i="12"/>
  <c r="J415" i="12"/>
  <c r="M415" i="12"/>
  <c r="N415" i="12"/>
  <c r="O415" i="12"/>
  <c r="P415" i="12"/>
  <c r="Q415" i="12"/>
  <c r="R415" i="12"/>
  <c r="B416" i="12"/>
  <c r="C416" i="12"/>
  <c r="D416" i="12"/>
  <c r="E416" i="12"/>
  <c r="F416" i="12"/>
  <c r="G416" i="12"/>
  <c r="H416" i="12"/>
  <c r="I416" i="12"/>
  <c r="J416" i="12"/>
  <c r="M416" i="12"/>
  <c r="N416" i="12"/>
  <c r="O416" i="12"/>
  <c r="P416" i="12"/>
  <c r="Q416" i="12"/>
  <c r="R416" i="12"/>
  <c r="B417" i="12"/>
  <c r="C417" i="12"/>
  <c r="D417" i="12"/>
  <c r="E417" i="12"/>
  <c r="F417" i="12"/>
  <c r="G417" i="12"/>
  <c r="H417" i="12"/>
  <c r="I417" i="12"/>
  <c r="J417" i="12"/>
  <c r="M417" i="12"/>
  <c r="N417" i="12"/>
  <c r="O417" i="12"/>
  <c r="P417" i="12"/>
  <c r="Q417" i="12"/>
  <c r="R417" i="12"/>
  <c r="B418" i="12"/>
  <c r="C418" i="12"/>
  <c r="D418" i="12"/>
  <c r="E418" i="12"/>
  <c r="F418" i="12"/>
  <c r="G418" i="12"/>
  <c r="H418" i="12"/>
  <c r="I418" i="12"/>
  <c r="J418" i="12"/>
  <c r="M418" i="12"/>
  <c r="N418" i="12"/>
  <c r="O418" i="12"/>
  <c r="P418" i="12"/>
  <c r="Q418" i="12"/>
  <c r="R418" i="12"/>
  <c r="B419" i="12"/>
  <c r="C419" i="12"/>
  <c r="D419" i="12"/>
  <c r="E419" i="12"/>
  <c r="F419" i="12"/>
  <c r="G419" i="12"/>
  <c r="H419" i="12"/>
  <c r="I419" i="12"/>
  <c r="J419" i="12"/>
  <c r="M419" i="12"/>
  <c r="N419" i="12"/>
  <c r="O419" i="12"/>
  <c r="P419" i="12"/>
  <c r="Q419" i="12"/>
  <c r="R419" i="12"/>
  <c r="B423" i="12"/>
  <c r="C423" i="12"/>
  <c r="D423" i="12"/>
  <c r="E423" i="12"/>
  <c r="F423" i="12"/>
  <c r="G423" i="12"/>
  <c r="H423" i="12"/>
  <c r="I423" i="12"/>
  <c r="J423" i="12"/>
  <c r="M423" i="12"/>
  <c r="N423" i="12"/>
  <c r="O423" i="12"/>
  <c r="P423" i="12"/>
  <c r="Q423" i="12"/>
  <c r="R423" i="12"/>
  <c r="B394" i="12"/>
  <c r="C394" i="12"/>
  <c r="D394" i="12"/>
  <c r="E394" i="12"/>
  <c r="F394" i="12"/>
  <c r="G394" i="12"/>
  <c r="H394" i="12"/>
  <c r="I394" i="12"/>
  <c r="J394" i="12"/>
  <c r="M394" i="12"/>
  <c r="N394" i="12"/>
  <c r="O394" i="12"/>
  <c r="P394" i="12"/>
  <c r="Q394" i="12"/>
  <c r="R394" i="12"/>
  <c r="B395" i="12"/>
  <c r="C395" i="12"/>
  <c r="D395" i="12"/>
  <c r="E395" i="12"/>
  <c r="F395" i="12"/>
  <c r="G395" i="12"/>
  <c r="H395" i="12"/>
  <c r="I395" i="12"/>
  <c r="J395" i="12"/>
  <c r="M395" i="12"/>
  <c r="N395" i="12"/>
  <c r="O395" i="12"/>
  <c r="P395" i="12"/>
  <c r="Q395" i="12"/>
  <c r="R395" i="12"/>
  <c r="B396" i="12"/>
  <c r="C396" i="12"/>
  <c r="D396" i="12"/>
  <c r="E396" i="12"/>
  <c r="F396" i="12"/>
  <c r="G396" i="12"/>
  <c r="H396" i="12"/>
  <c r="I396" i="12"/>
  <c r="J396" i="12"/>
  <c r="M396" i="12"/>
  <c r="N396" i="12"/>
  <c r="O396" i="12"/>
  <c r="P396" i="12"/>
  <c r="Q396" i="12"/>
  <c r="R396" i="12"/>
  <c r="B397" i="12"/>
  <c r="C397" i="12"/>
  <c r="D397" i="12"/>
  <c r="E397" i="12"/>
  <c r="F397" i="12"/>
  <c r="G397" i="12"/>
  <c r="H397" i="12"/>
  <c r="I397" i="12"/>
  <c r="J397" i="12"/>
  <c r="M397" i="12"/>
  <c r="N397" i="12"/>
  <c r="O397" i="12"/>
  <c r="P397" i="12"/>
  <c r="Q397" i="12"/>
  <c r="R397" i="12"/>
  <c r="B398" i="12"/>
  <c r="C398" i="12"/>
  <c r="D398" i="12"/>
  <c r="E398" i="12"/>
  <c r="F398" i="12"/>
  <c r="G398" i="12"/>
  <c r="H398" i="12"/>
  <c r="I398" i="12"/>
  <c r="J398" i="12"/>
  <c r="M398" i="12"/>
  <c r="N398" i="12"/>
  <c r="O398" i="12"/>
  <c r="P398" i="12"/>
  <c r="Q398" i="12"/>
  <c r="R398" i="12"/>
  <c r="B399" i="12"/>
  <c r="C399" i="12"/>
  <c r="D399" i="12"/>
  <c r="E399" i="12"/>
  <c r="F399" i="12"/>
  <c r="G399" i="12"/>
  <c r="H399" i="12"/>
  <c r="I399" i="12"/>
  <c r="J399" i="12"/>
  <c r="M399" i="12"/>
  <c r="N399" i="12"/>
  <c r="O399" i="12"/>
  <c r="P399" i="12"/>
  <c r="Q399" i="12"/>
  <c r="R399" i="12"/>
  <c r="B400" i="12"/>
  <c r="C400" i="12"/>
  <c r="D400" i="12"/>
  <c r="E400" i="12"/>
  <c r="F400" i="12"/>
  <c r="G400" i="12"/>
  <c r="H400" i="12"/>
  <c r="I400" i="12"/>
  <c r="J400" i="12"/>
  <c r="M400" i="12"/>
  <c r="N400" i="12"/>
  <c r="O400" i="12"/>
  <c r="P400" i="12"/>
  <c r="Q400" i="12"/>
  <c r="R400" i="12"/>
  <c r="B404" i="12"/>
  <c r="C404" i="12"/>
  <c r="D404" i="12"/>
  <c r="E404" i="12"/>
  <c r="F404" i="12"/>
  <c r="G404" i="12"/>
  <c r="H404" i="12"/>
  <c r="I404" i="12"/>
  <c r="J404" i="12"/>
  <c r="M404" i="12"/>
  <c r="N404" i="12"/>
  <c r="O404" i="12"/>
  <c r="P404" i="12"/>
  <c r="Q404" i="12"/>
  <c r="R404" i="12"/>
  <c r="A283" i="25" l="1"/>
  <c r="A283" i="22"/>
  <c r="A284" i="22"/>
  <c r="A285" i="22"/>
  <c r="A234" i="18" l="1"/>
  <c r="I215" i="18"/>
  <c r="H215" i="18"/>
  <c r="G215" i="18"/>
  <c r="F215" i="18"/>
  <c r="E215" i="18"/>
  <c r="D215" i="18"/>
  <c r="C215" i="18"/>
  <c r="B215" i="18"/>
  <c r="I213" i="18"/>
  <c r="H213" i="18"/>
  <c r="G213" i="18"/>
  <c r="F213" i="18"/>
  <c r="E213" i="18"/>
  <c r="D213" i="18"/>
  <c r="C213" i="18"/>
  <c r="B213" i="18"/>
  <c r="I212" i="18"/>
  <c r="H212" i="18"/>
  <c r="G212" i="18"/>
  <c r="F212" i="18"/>
  <c r="E212" i="18"/>
  <c r="D212" i="18"/>
  <c r="C212" i="18"/>
  <c r="B212" i="18"/>
  <c r="I211" i="18"/>
  <c r="H211" i="18"/>
  <c r="G211" i="18"/>
  <c r="F211" i="18"/>
  <c r="E211" i="18"/>
  <c r="D211" i="18"/>
  <c r="C211" i="18"/>
  <c r="B211" i="18"/>
  <c r="I210" i="18"/>
  <c r="H210" i="18"/>
  <c r="G210" i="18"/>
  <c r="F210" i="18"/>
  <c r="E210" i="18"/>
  <c r="D210" i="18"/>
  <c r="C210" i="18"/>
  <c r="B210" i="18"/>
  <c r="I209" i="18"/>
  <c r="H209" i="18"/>
  <c r="G209" i="18"/>
  <c r="F209" i="18"/>
  <c r="E209" i="18"/>
  <c r="D209" i="18"/>
  <c r="C209" i="18"/>
  <c r="B209" i="18"/>
  <c r="I208" i="18"/>
  <c r="H208" i="18"/>
  <c r="G208" i="18"/>
  <c r="F208" i="18"/>
  <c r="E208" i="18"/>
  <c r="D208" i="18"/>
  <c r="C208" i="18"/>
  <c r="B208" i="18"/>
  <c r="I207" i="18"/>
  <c r="H207" i="18"/>
  <c r="G207" i="18"/>
  <c r="F207" i="18"/>
  <c r="E207" i="18"/>
  <c r="D207" i="18"/>
  <c r="C207" i="18"/>
  <c r="B207" i="18"/>
  <c r="I206" i="18"/>
  <c r="H206" i="18"/>
  <c r="G206" i="18"/>
  <c r="F206" i="18"/>
  <c r="E206" i="18"/>
  <c r="D206" i="18"/>
  <c r="C206" i="18"/>
  <c r="B206" i="18"/>
  <c r="G205" i="18"/>
  <c r="F205" i="18"/>
  <c r="E205" i="18"/>
  <c r="D205" i="18"/>
  <c r="C205" i="18"/>
  <c r="B205" i="18"/>
  <c r="G204" i="18"/>
  <c r="F204" i="18"/>
  <c r="E204" i="18"/>
  <c r="D204" i="18"/>
  <c r="C204" i="18"/>
  <c r="B204" i="18"/>
  <c r="G203" i="18"/>
  <c r="F203" i="18"/>
  <c r="E203" i="18"/>
  <c r="D203" i="18"/>
  <c r="C203" i="18"/>
  <c r="B203" i="18"/>
  <c r="I202" i="18"/>
  <c r="H202" i="18"/>
  <c r="G202" i="18"/>
  <c r="F202" i="18"/>
  <c r="E202" i="18"/>
  <c r="D202" i="18"/>
  <c r="C202" i="18"/>
  <c r="B202" i="18"/>
  <c r="I192" i="18"/>
  <c r="H192" i="18"/>
  <c r="G192" i="18"/>
  <c r="F192" i="18"/>
  <c r="E192" i="18"/>
  <c r="D192" i="18"/>
  <c r="C192" i="18"/>
  <c r="B192" i="18"/>
  <c r="I191" i="18"/>
  <c r="H191" i="18"/>
  <c r="G191" i="18"/>
  <c r="F191" i="18"/>
  <c r="E191" i="18"/>
  <c r="D191" i="18"/>
  <c r="C191" i="18"/>
  <c r="B191" i="18"/>
  <c r="I190" i="18"/>
  <c r="H190" i="18"/>
  <c r="G190" i="18"/>
  <c r="F190" i="18"/>
  <c r="E190" i="18"/>
  <c r="D190" i="18"/>
  <c r="C190" i="18"/>
  <c r="B190" i="18"/>
  <c r="I189" i="18"/>
  <c r="H189" i="18"/>
  <c r="G189" i="18"/>
  <c r="F189" i="18"/>
  <c r="E189" i="18"/>
  <c r="D189" i="18"/>
  <c r="C189" i="18"/>
  <c r="B189" i="18"/>
  <c r="I188" i="18"/>
  <c r="H188" i="18"/>
  <c r="G188" i="18"/>
  <c r="F188" i="18"/>
  <c r="E188" i="18"/>
  <c r="D188" i="18"/>
  <c r="C188" i="18"/>
  <c r="B188" i="18"/>
  <c r="I187" i="18"/>
  <c r="H187" i="18"/>
  <c r="G187" i="18"/>
  <c r="F187" i="18"/>
  <c r="E187" i="18"/>
  <c r="D187" i="18"/>
  <c r="C187" i="18"/>
  <c r="B187" i="18"/>
  <c r="I186" i="18"/>
  <c r="H186" i="18"/>
  <c r="G186" i="18"/>
  <c r="F186" i="18"/>
  <c r="E186" i="18"/>
  <c r="D186" i="18"/>
  <c r="C186" i="18"/>
  <c r="B186" i="18"/>
  <c r="I185" i="18"/>
  <c r="H185" i="18"/>
  <c r="G185" i="18"/>
  <c r="F185" i="18"/>
  <c r="E185" i="18"/>
  <c r="D185" i="18"/>
  <c r="C185" i="18"/>
  <c r="B185" i="18"/>
  <c r="G184" i="18"/>
  <c r="F184" i="18"/>
  <c r="E184" i="18"/>
  <c r="D184" i="18"/>
  <c r="C184" i="18"/>
  <c r="B184" i="18"/>
  <c r="G183" i="18"/>
  <c r="F183" i="18"/>
  <c r="E183" i="18"/>
  <c r="D183" i="18"/>
  <c r="C183" i="18"/>
  <c r="B183" i="18"/>
  <c r="G182" i="18"/>
  <c r="F182" i="18"/>
  <c r="E182" i="18"/>
  <c r="D182" i="18"/>
  <c r="C182" i="18"/>
  <c r="B182" i="18"/>
  <c r="I181" i="18"/>
  <c r="H181" i="18"/>
  <c r="G181" i="18"/>
  <c r="F181" i="18"/>
  <c r="E181" i="18"/>
  <c r="D181" i="18"/>
  <c r="C181" i="18"/>
  <c r="B181" i="18"/>
  <c r="I173" i="18"/>
  <c r="H173" i="18"/>
  <c r="G173" i="18"/>
  <c r="F173" i="18"/>
  <c r="E173" i="18"/>
  <c r="D173" i="18"/>
  <c r="C173" i="18"/>
  <c r="B173" i="18"/>
  <c r="I172" i="18"/>
  <c r="H172" i="18"/>
  <c r="G172" i="18"/>
  <c r="F172" i="18"/>
  <c r="E172" i="18"/>
  <c r="D172" i="18"/>
  <c r="C172" i="18"/>
  <c r="B172" i="18"/>
  <c r="I171" i="18"/>
  <c r="H171" i="18"/>
  <c r="G171" i="18"/>
  <c r="F171" i="18"/>
  <c r="E171" i="18"/>
  <c r="D171" i="18"/>
  <c r="C171" i="18"/>
  <c r="B171" i="18"/>
  <c r="I170" i="18"/>
  <c r="H170" i="18"/>
  <c r="G170" i="18"/>
  <c r="F170" i="18"/>
  <c r="E170" i="18"/>
  <c r="D170" i="18"/>
  <c r="C170" i="18"/>
  <c r="B170" i="18"/>
  <c r="I169" i="18"/>
  <c r="H169" i="18"/>
  <c r="G169" i="18"/>
  <c r="F169" i="18"/>
  <c r="E169" i="18"/>
  <c r="D169" i="18"/>
  <c r="C169" i="18"/>
  <c r="B169" i="18"/>
  <c r="I168" i="18"/>
  <c r="H168" i="18"/>
  <c r="G168" i="18"/>
  <c r="F168" i="18"/>
  <c r="E168" i="18"/>
  <c r="D168" i="18"/>
  <c r="C168" i="18"/>
  <c r="B168" i="18"/>
  <c r="I167" i="18"/>
  <c r="G167" i="18"/>
  <c r="F167" i="18"/>
  <c r="E167" i="18"/>
  <c r="D167" i="18"/>
  <c r="C167" i="18"/>
  <c r="B167" i="18"/>
  <c r="I166" i="18"/>
  <c r="H166" i="18"/>
  <c r="G166" i="18"/>
  <c r="F166" i="18"/>
  <c r="E166" i="18"/>
  <c r="D166" i="18"/>
  <c r="C166" i="18"/>
  <c r="B166" i="18"/>
  <c r="I165" i="18"/>
  <c r="H165" i="18"/>
  <c r="G165" i="18"/>
  <c r="F165" i="18"/>
  <c r="E165" i="18"/>
  <c r="D165" i="18"/>
  <c r="C165" i="18"/>
  <c r="B165" i="18"/>
  <c r="I164" i="18"/>
  <c r="H164" i="18"/>
  <c r="G164" i="18"/>
  <c r="F164" i="18"/>
  <c r="E164" i="18"/>
  <c r="D164" i="18"/>
  <c r="C164" i="18"/>
  <c r="B164" i="18"/>
  <c r="I160" i="18"/>
  <c r="G160" i="18"/>
  <c r="F160" i="18"/>
  <c r="E160" i="18"/>
  <c r="D160" i="18"/>
  <c r="C160" i="18"/>
  <c r="B160" i="18"/>
  <c r="I158" i="18"/>
  <c r="G158" i="18"/>
  <c r="F158" i="18"/>
  <c r="E158" i="18"/>
  <c r="D158" i="18"/>
  <c r="C158" i="18"/>
  <c r="B158" i="18"/>
  <c r="I157" i="18"/>
  <c r="G157" i="18"/>
  <c r="F157" i="18"/>
  <c r="E157" i="18"/>
  <c r="D157" i="18"/>
  <c r="C157" i="18"/>
  <c r="B157" i="18"/>
  <c r="I156" i="18"/>
  <c r="G156" i="18"/>
  <c r="F156" i="18"/>
  <c r="E156" i="18"/>
  <c r="D156" i="18"/>
  <c r="C156" i="18"/>
  <c r="B156" i="18"/>
  <c r="I155" i="18"/>
  <c r="G155" i="18"/>
  <c r="F155" i="18"/>
  <c r="E155" i="18"/>
  <c r="D155" i="18"/>
  <c r="C155" i="18"/>
  <c r="B155" i="18"/>
  <c r="I154" i="18"/>
  <c r="G154" i="18"/>
  <c r="F154" i="18"/>
  <c r="E154" i="18"/>
  <c r="D154" i="18"/>
  <c r="C154" i="18"/>
  <c r="B154" i="18"/>
  <c r="I153" i="18"/>
  <c r="G153" i="18"/>
  <c r="F153" i="18"/>
  <c r="E153" i="18"/>
  <c r="D153" i="18"/>
  <c r="C153" i="18"/>
  <c r="B153" i="18"/>
  <c r="I152" i="18"/>
  <c r="G152" i="18"/>
  <c r="F152" i="18"/>
  <c r="E152" i="18"/>
  <c r="D152" i="18"/>
  <c r="C152" i="18"/>
  <c r="B152" i="18"/>
  <c r="I151" i="18"/>
  <c r="H151" i="18"/>
  <c r="G151" i="18"/>
  <c r="F151" i="18"/>
  <c r="E151" i="18"/>
  <c r="D151" i="18"/>
  <c r="C151" i="18"/>
  <c r="B151" i="18"/>
  <c r="I150" i="18"/>
  <c r="G150" i="18"/>
  <c r="F150" i="18"/>
  <c r="E150" i="18"/>
  <c r="D150" i="18"/>
  <c r="C150" i="18"/>
  <c r="B150" i="18"/>
  <c r="I149" i="18"/>
  <c r="H149" i="18"/>
  <c r="G149" i="18"/>
  <c r="F149" i="18"/>
  <c r="E149" i="18"/>
  <c r="D149" i="18"/>
  <c r="C149" i="18"/>
  <c r="B149" i="18"/>
  <c r="I148" i="18"/>
  <c r="H148" i="18"/>
  <c r="G148" i="18"/>
  <c r="F148" i="18"/>
  <c r="E148" i="18"/>
  <c r="D148" i="18"/>
  <c r="C148" i="18"/>
  <c r="B148" i="18"/>
  <c r="I147" i="18"/>
  <c r="H147" i="18"/>
  <c r="G147" i="18"/>
  <c r="F147" i="18"/>
  <c r="E147" i="18"/>
  <c r="D147" i="18"/>
  <c r="C147" i="18"/>
  <c r="B147" i="18"/>
  <c r="I232" i="18"/>
  <c r="H232" i="18"/>
  <c r="G232" i="18"/>
  <c r="F232" i="18"/>
  <c r="E232" i="18"/>
  <c r="D232" i="18"/>
  <c r="C232" i="18"/>
  <c r="B232" i="18"/>
  <c r="I230" i="18"/>
  <c r="H230" i="18"/>
  <c r="G230" i="18"/>
  <c r="F230" i="18"/>
  <c r="E230" i="18"/>
  <c r="D230" i="18"/>
  <c r="C230" i="18"/>
  <c r="B230" i="18"/>
  <c r="I125" i="18"/>
  <c r="I229" i="18" s="1"/>
  <c r="H125" i="18"/>
  <c r="H229" i="18" s="1"/>
  <c r="G125" i="18"/>
  <c r="G229" i="18" s="1"/>
  <c r="F125" i="18"/>
  <c r="F229" i="18" s="1"/>
  <c r="E125" i="18"/>
  <c r="E229" i="18" s="1"/>
  <c r="D125" i="18"/>
  <c r="D229" i="18" s="1"/>
  <c r="C125" i="18"/>
  <c r="C229" i="18" s="1"/>
  <c r="B125" i="18"/>
  <c r="B229" i="18" s="1"/>
  <c r="I124" i="18"/>
  <c r="I228" i="18" s="1"/>
  <c r="H124" i="18"/>
  <c r="H228" i="18" s="1"/>
  <c r="G124" i="18"/>
  <c r="G228" i="18" s="1"/>
  <c r="F124" i="18"/>
  <c r="F228" i="18" s="1"/>
  <c r="E124" i="18"/>
  <c r="E228" i="18" s="1"/>
  <c r="D124" i="18"/>
  <c r="D228" i="18" s="1"/>
  <c r="C124" i="18"/>
  <c r="C228" i="18" s="1"/>
  <c r="B124" i="18"/>
  <c r="B228" i="18" s="1"/>
  <c r="I123" i="18"/>
  <c r="I227" i="18" s="1"/>
  <c r="H123" i="18"/>
  <c r="H227" i="18" s="1"/>
  <c r="G123" i="18"/>
  <c r="G227" i="18" s="1"/>
  <c r="F123" i="18"/>
  <c r="F227" i="18" s="1"/>
  <c r="E123" i="18"/>
  <c r="E227" i="18" s="1"/>
  <c r="D123" i="18"/>
  <c r="D227" i="18" s="1"/>
  <c r="C123" i="18"/>
  <c r="C227" i="18" s="1"/>
  <c r="B123" i="18"/>
  <c r="B227" i="18" s="1"/>
  <c r="I122" i="18"/>
  <c r="I226" i="18" s="1"/>
  <c r="H122" i="18"/>
  <c r="H226" i="18" s="1"/>
  <c r="G122" i="18"/>
  <c r="G226" i="18" s="1"/>
  <c r="F122" i="18"/>
  <c r="F226" i="18" s="1"/>
  <c r="E122" i="18"/>
  <c r="E226" i="18" s="1"/>
  <c r="D122" i="18"/>
  <c r="D226" i="18" s="1"/>
  <c r="C122" i="18"/>
  <c r="C226" i="18" s="1"/>
  <c r="B122" i="18"/>
  <c r="B226" i="18" s="1"/>
  <c r="I121" i="18"/>
  <c r="I225" i="18" s="1"/>
  <c r="H121" i="18"/>
  <c r="H225" i="18" s="1"/>
  <c r="G121" i="18"/>
  <c r="G225" i="18" s="1"/>
  <c r="F121" i="18"/>
  <c r="F225" i="18" s="1"/>
  <c r="E121" i="18"/>
  <c r="E225" i="18" s="1"/>
  <c r="D121" i="18"/>
  <c r="D225" i="18" s="1"/>
  <c r="C121" i="18"/>
  <c r="C225" i="18" s="1"/>
  <c r="B121" i="18"/>
  <c r="B225" i="18" s="1"/>
  <c r="I120" i="18"/>
  <c r="I224" i="18" s="1"/>
  <c r="H120" i="18"/>
  <c r="H224" i="18" s="1"/>
  <c r="G120" i="18"/>
  <c r="G224" i="18" s="1"/>
  <c r="F120" i="18"/>
  <c r="F224" i="18" s="1"/>
  <c r="E120" i="18"/>
  <c r="E224" i="18" s="1"/>
  <c r="D120" i="18"/>
  <c r="D224" i="18" s="1"/>
  <c r="C120" i="18"/>
  <c r="C224" i="18" s="1"/>
  <c r="B120" i="18"/>
  <c r="B224" i="18" s="1"/>
  <c r="I119" i="18"/>
  <c r="I223" i="18" s="1"/>
  <c r="H119" i="18"/>
  <c r="H223" i="18" s="1"/>
  <c r="G119" i="18"/>
  <c r="G223" i="18" s="1"/>
  <c r="F119" i="18"/>
  <c r="F223" i="18" s="1"/>
  <c r="E119" i="18"/>
  <c r="E223" i="18" s="1"/>
  <c r="D119" i="18"/>
  <c r="D223" i="18" s="1"/>
  <c r="C119" i="18"/>
  <c r="C223" i="18" s="1"/>
  <c r="B119" i="18"/>
  <c r="B223" i="18" s="1"/>
  <c r="I118" i="18"/>
  <c r="H118" i="18"/>
  <c r="G118" i="18"/>
  <c r="F118" i="18"/>
  <c r="E118" i="18"/>
  <c r="D118" i="18"/>
  <c r="C118" i="18"/>
  <c r="B118" i="18"/>
  <c r="I117" i="18"/>
  <c r="I222" i="18" s="1"/>
  <c r="H117" i="18"/>
  <c r="G117" i="18"/>
  <c r="G222" i="18" s="1"/>
  <c r="F117" i="18"/>
  <c r="E117" i="18"/>
  <c r="E222" i="18" s="1"/>
  <c r="D117" i="18"/>
  <c r="D222" i="18" s="1"/>
  <c r="C117" i="18"/>
  <c r="C222" i="18" s="1"/>
  <c r="B117" i="18"/>
  <c r="I116" i="18"/>
  <c r="H116" i="18"/>
  <c r="G116" i="18"/>
  <c r="F116" i="18"/>
  <c r="E116" i="18"/>
  <c r="D116" i="18"/>
  <c r="C116" i="18"/>
  <c r="B116" i="18"/>
  <c r="I115" i="18"/>
  <c r="H115" i="18"/>
  <c r="G115" i="18"/>
  <c r="F115" i="18"/>
  <c r="E115" i="18"/>
  <c r="D115" i="18"/>
  <c r="C115" i="18"/>
  <c r="B115" i="18"/>
  <c r="I114" i="18"/>
  <c r="H114" i="18"/>
  <c r="G114" i="18"/>
  <c r="F114" i="18"/>
  <c r="E114" i="18"/>
  <c r="D114" i="18"/>
  <c r="D221" i="18" s="1"/>
  <c r="C114" i="18"/>
  <c r="C221" i="18" s="1"/>
  <c r="B114" i="18"/>
  <c r="I113" i="18"/>
  <c r="H113" i="18"/>
  <c r="G113" i="18"/>
  <c r="F113" i="18"/>
  <c r="E113" i="18"/>
  <c r="D113" i="18"/>
  <c r="C113" i="18"/>
  <c r="B113" i="18"/>
  <c r="I112" i="18"/>
  <c r="I220" i="18" s="1"/>
  <c r="H112" i="18"/>
  <c r="G112" i="18"/>
  <c r="G220" i="18" s="1"/>
  <c r="F112" i="18"/>
  <c r="F220" i="18" s="1"/>
  <c r="E112" i="18"/>
  <c r="D112" i="18"/>
  <c r="C112" i="18"/>
  <c r="C220" i="18" s="1"/>
  <c r="B112" i="18"/>
  <c r="B220" i="18" s="1"/>
  <c r="I111" i="18"/>
  <c r="H111" i="18"/>
  <c r="G111" i="18"/>
  <c r="F111" i="18"/>
  <c r="E111" i="18"/>
  <c r="D111" i="18"/>
  <c r="C111" i="18"/>
  <c r="B111" i="18"/>
  <c r="I110" i="18"/>
  <c r="H110" i="18"/>
  <c r="G110" i="18"/>
  <c r="F110" i="18"/>
  <c r="E110" i="18"/>
  <c r="D110" i="18"/>
  <c r="C110" i="18"/>
  <c r="B110" i="18"/>
  <c r="I109" i="18"/>
  <c r="H109" i="18"/>
  <c r="G109" i="18"/>
  <c r="G219" i="18" s="1"/>
  <c r="F109" i="18"/>
  <c r="E109" i="18"/>
  <c r="D109" i="18"/>
  <c r="D219" i="18" s="1"/>
  <c r="C109" i="18"/>
  <c r="C219" i="18" s="1"/>
  <c r="B109" i="18"/>
  <c r="I108" i="18"/>
  <c r="H108" i="18"/>
  <c r="G108" i="18"/>
  <c r="F108" i="18"/>
  <c r="E108" i="18"/>
  <c r="D108" i="18"/>
  <c r="C108" i="18"/>
  <c r="B108" i="18"/>
  <c r="I107" i="18"/>
  <c r="H107" i="18"/>
  <c r="G107" i="18"/>
  <c r="F107" i="18"/>
  <c r="E107" i="18"/>
  <c r="D107" i="18"/>
  <c r="C107" i="18"/>
  <c r="B107" i="18"/>
  <c r="K103" i="18"/>
  <c r="J103" i="18"/>
  <c r="K101" i="18"/>
  <c r="K213" i="18" s="1"/>
  <c r="J101" i="18"/>
  <c r="J213" i="18" s="1"/>
  <c r="K100" i="18"/>
  <c r="K212" i="18" s="1"/>
  <c r="J100" i="18"/>
  <c r="K99" i="18"/>
  <c r="K211" i="18" s="1"/>
  <c r="J99" i="18"/>
  <c r="J211" i="18" s="1"/>
  <c r="K98" i="18"/>
  <c r="K210" i="18" s="1"/>
  <c r="J98" i="18"/>
  <c r="J210" i="18" s="1"/>
  <c r="K97" i="18"/>
  <c r="K209" i="18" s="1"/>
  <c r="J97" i="18"/>
  <c r="J209" i="18" s="1"/>
  <c r="K96" i="18"/>
  <c r="K208" i="18" s="1"/>
  <c r="J96" i="18"/>
  <c r="J208" i="18" s="1"/>
  <c r="K95" i="18"/>
  <c r="K207" i="18" s="1"/>
  <c r="J95" i="18"/>
  <c r="J207" i="18" s="1"/>
  <c r="K94" i="18"/>
  <c r="K206" i="18" s="1"/>
  <c r="J94" i="18"/>
  <c r="K93" i="18"/>
  <c r="J93" i="18"/>
  <c r="K92" i="18"/>
  <c r="J92" i="18"/>
  <c r="K91" i="18"/>
  <c r="J91" i="18"/>
  <c r="K90" i="18"/>
  <c r="J90" i="18"/>
  <c r="K89" i="18"/>
  <c r="J89" i="18"/>
  <c r="K88" i="18"/>
  <c r="J88" i="18"/>
  <c r="K87" i="18"/>
  <c r="J87" i="18"/>
  <c r="K86" i="18"/>
  <c r="J86" i="18"/>
  <c r="K85" i="18"/>
  <c r="J85" i="18"/>
  <c r="K84" i="18"/>
  <c r="J84" i="18"/>
  <c r="K83" i="18"/>
  <c r="J83" i="18"/>
  <c r="K82" i="18"/>
  <c r="J82" i="18"/>
  <c r="K76" i="18"/>
  <c r="K192" i="18" s="1"/>
  <c r="J76" i="18"/>
  <c r="J192" i="18" s="1"/>
  <c r="K75" i="18"/>
  <c r="K191" i="18" s="1"/>
  <c r="J75" i="18"/>
  <c r="J191" i="18" s="1"/>
  <c r="K74" i="18"/>
  <c r="K190" i="18" s="1"/>
  <c r="J74" i="18"/>
  <c r="J190" i="18" s="1"/>
  <c r="K73" i="18"/>
  <c r="K189" i="18" s="1"/>
  <c r="J73" i="18"/>
  <c r="J189" i="18" s="1"/>
  <c r="K72" i="18"/>
  <c r="K188" i="18" s="1"/>
  <c r="J72" i="18"/>
  <c r="J188" i="18" s="1"/>
  <c r="K71" i="18"/>
  <c r="K187" i="18" s="1"/>
  <c r="J71" i="18"/>
  <c r="J187" i="18" s="1"/>
  <c r="K70" i="18"/>
  <c r="K186" i="18" s="1"/>
  <c r="J70" i="18"/>
  <c r="J186" i="18" s="1"/>
  <c r="K69" i="18"/>
  <c r="K185" i="18" s="1"/>
  <c r="J69" i="18"/>
  <c r="J185" i="18" s="1"/>
  <c r="K68" i="18"/>
  <c r="J68" i="18"/>
  <c r="K67" i="18"/>
  <c r="J67" i="18"/>
  <c r="K66" i="18"/>
  <c r="J66" i="18"/>
  <c r="K65" i="18"/>
  <c r="J65" i="18"/>
  <c r="K64" i="18"/>
  <c r="J64" i="18"/>
  <c r="K63" i="18"/>
  <c r="J63" i="18"/>
  <c r="K62" i="18"/>
  <c r="J62" i="18"/>
  <c r="K61" i="18"/>
  <c r="J61" i="18"/>
  <c r="K60" i="18"/>
  <c r="J60" i="18"/>
  <c r="K59" i="18"/>
  <c r="J59" i="18"/>
  <c r="K58" i="18"/>
  <c r="J58" i="18"/>
  <c r="K57" i="18"/>
  <c r="J57" i="18"/>
  <c r="K50" i="18"/>
  <c r="J50" i="18"/>
  <c r="K49" i="18"/>
  <c r="K174" i="18" s="1"/>
  <c r="J49" i="18"/>
  <c r="J174" i="18" s="1"/>
  <c r="K48" i="18"/>
  <c r="K173" i="18" s="1"/>
  <c r="J48" i="18"/>
  <c r="J173" i="18" s="1"/>
  <c r="K47" i="18"/>
  <c r="K172" i="18" s="1"/>
  <c r="J47" i="18"/>
  <c r="J172" i="18" s="1"/>
  <c r="K46" i="18"/>
  <c r="K171" i="18" s="1"/>
  <c r="J46" i="18"/>
  <c r="J171" i="18" s="1"/>
  <c r="K45" i="18"/>
  <c r="K170" i="18" s="1"/>
  <c r="J45" i="18"/>
  <c r="J170" i="18" s="1"/>
  <c r="K44" i="18"/>
  <c r="K169" i="18" s="1"/>
  <c r="J44" i="18"/>
  <c r="J169" i="18" s="1"/>
  <c r="K43" i="18"/>
  <c r="K168" i="18" s="1"/>
  <c r="J43" i="18"/>
  <c r="J168" i="18" s="1"/>
  <c r="K42" i="18"/>
  <c r="J42" i="18"/>
  <c r="K41" i="18"/>
  <c r="J41" i="18"/>
  <c r="K40" i="18"/>
  <c r="J40" i="18"/>
  <c r="K39" i="18"/>
  <c r="J39" i="18"/>
  <c r="K38" i="18"/>
  <c r="J38" i="18"/>
  <c r="K37" i="18"/>
  <c r="J37" i="18"/>
  <c r="K36" i="18"/>
  <c r="J36" i="18"/>
  <c r="K35" i="18"/>
  <c r="J35" i="18"/>
  <c r="K34" i="18"/>
  <c r="J34" i="18"/>
  <c r="K33" i="18"/>
  <c r="J33" i="18"/>
  <c r="K32" i="18"/>
  <c r="J32" i="18"/>
  <c r="K31" i="18"/>
  <c r="J31" i="18"/>
  <c r="K24" i="18"/>
  <c r="K158" i="18" s="1"/>
  <c r="J24" i="18"/>
  <c r="J158" i="18" s="1"/>
  <c r="K23" i="18"/>
  <c r="K157" i="18" s="1"/>
  <c r="J23" i="18"/>
  <c r="J157" i="18" s="1"/>
  <c r="K22" i="18"/>
  <c r="K156" i="18" s="1"/>
  <c r="J22" i="18"/>
  <c r="K21" i="18"/>
  <c r="K155" i="18" s="1"/>
  <c r="J21" i="18"/>
  <c r="J155" i="18" s="1"/>
  <c r="K20" i="18"/>
  <c r="K154" i="18" s="1"/>
  <c r="J20" i="18"/>
  <c r="J154" i="18" s="1"/>
  <c r="K19" i="18"/>
  <c r="K153" i="18" s="1"/>
  <c r="J19" i="18"/>
  <c r="J153" i="18" s="1"/>
  <c r="K18" i="18"/>
  <c r="K152" i="18" s="1"/>
  <c r="J18" i="18"/>
  <c r="J152" i="18" s="1"/>
  <c r="K17" i="18"/>
  <c r="K151" i="18" s="1"/>
  <c r="J17" i="18"/>
  <c r="J151" i="18" s="1"/>
  <c r="K16" i="18"/>
  <c r="J16" i="18"/>
  <c r="K15" i="18"/>
  <c r="J15" i="18"/>
  <c r="K14" i="18"/>
  <c r="J14" i="18"/>
  <c r="K13" i="18"/>
  <c r="J13" i="18"/>
  <c r="K12" i="18"/>
  <c r="J12" i="18"/>
  <c r="K11" i="18"/>
  <c r="J11" i="18"/>
  <c r="K10" i="18"/>
  <c r="J10" i="18"/>
  <c r="K9" i="18"/>
  <c r="J9" i="18"/>
  <c r="K8" i="18"/>
  <c r="J8" i="18"/>
  <c r="K7" i="18"/>
  <c r="J7" i="18"/>
  <c r="K6" i="18"/>
  <c r="J6" i="18"/>
  <c r="K5" i="18"/>
  <c r="J5" i="18"/>
  <c r="A369" i="17"/>
  <c r="A368" i="17"/>
  <c r="L355" i="17"/>
  <c r="T344" i="17"/>
  <c r="S344" i="17"/>
  <c r="R344" i="17"/>
  <c r="Q344" i="17"/>
  <c r="P344" i="17"/>
  <c r="O344" i="17"/>
  <c r="N344" i="17"/>
  <c r="M344" i="17"/>
  <c r="I344" i="17"/>
  <c r="H344" i="17"/>
  <c r="G344" i="17"/>
  <c r="F344" i="17"/>
  <c r="E344" i="17"/>
  <c r="D344" i="17"/>
  <c r="C344" i="17"/>
  <c r="B344" i="17"/>
  <c r="T340" i="17"/>
  <c r="S340" i="17"/>
  <c r="R340" i="17"/>
  <c r="Q340" i="17"/>
  <c r="P340" i="17"/>
  <c r="O340" i="17"/>
  <c r="N340" i="17"/>
  <c r="M340" i="17"/>
  <c r="I340" i="17"/>
  <c r="H340" i="17"/>
  <c r="G340" i="17"/>
  <c r="F340" i="17"/>
  <c r="E340" i="17"/>
  <c r="D340" i="17"/>
  <c r="C340" i="17"/>
  <c r="B340" i="17"/>
  <c r="T339" i="17"/>
  <c r="S339" i="17"/>
  <c r="R339" i="17"/>
  <c r="Q339" i="17"/>
  <c r="P339" i="17"/>
  <c r="O339" i="17"/>
  <c r="N339" i="17"/>
  <c r="M339" i="17"/>
  <c r="I339" i="17"/>
  <c r="H339" i="17"/>
  <c r="G339" i="17"/>
  <c r="F339" i="17"/>
  <c r="E339" i="17"/>
  <c r="D339" i="17"/>
  <c r="C339" i="17"/>
  <c r="B339" i="17"/>
  <c r="T338" i="17"/>
  <c r="S338" i="17"/>
  <c r="R338" i="17"/>
  <c r="Q338" i="17"/>
  <c r="P338" i="17"/>
  <c r="O338" i="17"/>
  <c r="N338" i="17"/>
  <c r="M338" i="17"/>
  <c r="I338" i="17"/>
  <c r="H338" i="17"/>
  <c r="G338" i="17"/>
  <c r="F338" i="17"/>
  <c r="E338" i="17"/>
  <c r="D338" i="17"/>
  <c r="C338" i="17"/>
  <c r="B338" i="17"/>
  <c r="T337" i="17"/>
  <c r="S337" i="17"/>
  <c r="R337" i="17"/>
  <c r="Q337" i="17"/>
  <c r="P337" i="17"/>
  <c r="O337" i="17"/>
  <c r="N337" i="17"/>
  <c r="M337" i="17"/>
  <c r="I337" i="17"/>
  <c r="H337" i="17"/>
  <c r="G337" i="17"/>
  <c r="F337" i="17"/>
  <c r="E337" i="17"/>
  <c r="D337" i="17"/>
  <c r="C337" i="17"/>
  <c r="B337" i="17"/>
  <c r="T336" i="17"/>
  <c r="S336" i="17"/>
  <c r="R336" i="17"/>
  <c r="Q336" i="17"/>
  <c r="P336" i="17"/>
  <c r="O336" i="17"/>
  <c r="N336" i="17"/>
  <c r="M336" i="17"/>
  <c r="I336" i="17"/>
  <c r="H336" i="17"/>
  <c r="G336" i="17"/>
  <c r="F336" i="17"/>
  <c r="E336" i="17"/>
  <c r="D336" i="17"/>
  <c r="C336" i="17"/>
  <c r="B336" i="17"/>
  <c r="T335" i="17"/>
  <c r="S335" i="17"/>
  <c r="R335" i="17"/>
  <c r="Q335" i="17"/>
  <c r="P335" i="17"/>
  <c r="O335" i="17"/>
  <c r="N335" i="17"/>
  <c r="M335" i="17"/>
  <c r="I335" i="17"/>
  <c r="H335" i="17"/>
  <c r="G335" i="17"/>
  <c r="F335" i="17"/>
  <c r="E335" i="17"/>
  <c r="D335" i="17"/>
  <c r="C335" i="17"/>
  <c r="B335" i="17"/>
  <c r="T334" i="17"/>
  <c r="S334" i="17"/>
  <c r="R334" i="17"/>
  <c r="Q334" i="17"/>
  <c r="P334" i="17"/>
  <c r="O334" i="17"/>
  <c r="N334" i="17"/>
  <c r="M334" i="17"/>
  <c r="I334" i="17"/>
  <c r="H334" i="17"/>
  <c r="G334" i="17"/>
  <c r="F334" i="17"/>
  <c r="E334" i="17"/>
  <c r="D334" i="17"/>
  <c r="C334" i="17"/>
  <c r="B334" i="17"/>
  <c r="T332" i="17"/>
  <c r="S332" i="17"/>
  <c r="R332" i="17"/>
  <c r="Q332" i="17"/>
  <c r="P332" i="17"/>
  <c r="O332" i="17"/>
  <c r="N332" i="17"/>
  <c r="M332" i="17"/>
  <c r="L332" i="17"/>
  <c r="I332" i="17"/>
  <c r="H332" i="17"/>
  <c r="G332" i="17"/>
  <c r="F332" i="17"/>
  <c r="E332" i="17"/>
  <c r="D332" i="17"/>
  <c r="C332" i="17"/>
  <c r="B332" i="17"/>
  <c r="R331" i="17"/>
  <c r="Q331" i="17"/>
  <c r="P331" i="17"/>
  <c r="O331" i="17"/>
  <c r="N331" i="17"/>
  <c r="M331" i="17"/>
  <c r="G331" i="17"/>
  <c r="F331" i="17"/>
  <c r="E331" i="17"/>
  <c r="D331" i="17"/>
  <c r="C331" i="17"/>
  <c r="B331" i="17"/>
  <c r="R330" i="17"/>
  <c r="Q330" i="17"/>
  <c r="P330" i="17"/>
  <c r="O330" i="17"/>
  <c r="N330" i="17"/>
  <c r="M330" i="17"/>
  <c r="G330" i="17"/>
  <c r="F330" i="17"/>
  <c r="E330" i="17"/>
  <c r="D330" i="17"/>
  <c r="C330" i="17"/>
  <c r="B330" i="17"/>
  <c r="R329" i="17"/>
  <c r="Q329" i="17"/>
  <c r="P329" i="17"/>
  <c r="O329" i="17"/>
  <c r="N329" i="17"/>
  <c r="M329" i="17"/>
  <c r="G329" i="17"/>
  <c r="F329" i="17"/>
  <c r="E329" i="17"/>
  <c r="D329" i="17"/>
  <c r="C329" i="17"/>
  <c r="B329" i="17"/>
  <c r="T328" i="17"/>
  <c r="S328" i="17"/>
  <c r="R328" i="17"/>
  <c r="Q328" i="17"/>
  <c r="P328" i="17"/>
  <c r="O328" i="17"/>
  <c r="N328" i="17"/>
  <c r="M328" i="17"/>
  <c r="I328" i="17"/>
  <c r="H328" i="17"/>
  <c r="G328" i="17"/>
  <c r="F328" i="17"/>
  <c r="E328" i="17"/>
  <c r="D328" i="17"/>
  <c r="C328" i="17"/>
  <c r="B328" i="17"/>
  <c r="T325" i="17"/>
  <c r="S325" i="17"/>
  <c r="R325" i="17"/>
  <c r="Q325" i="17"/>
  <c r="P325" i="17"/>
  <c r="O325" i="17"/>
  <c r="N325" i="17"/>
  <c r="M325" i="17"/>
  <c r="I325" i="17"/>
  <c r="H325" i="17"/>
  <c r="G325" i="17"/>
  <c r="F325" i="17"/>
  <c r="E325" i="17"/>
  <c r="D325" i="17"/>
  <c r="C325" i="17"/>
  <c r="B325" i="17"/>
  <c r="T321" i="17"/>
  <c r="S321" i="17"/>
  <c r="R321" i="17"/>
  <c r="Q321" i="17"/>
  <c r="P321" i="17"/>
  <c r="O321" i="17"/>
  <c r="N321" i="17"/>
  <c r="M321" i="17"/>
  <c r="I321" i="17"/>
  <c r="H321" i="17"/>
  <c r="G321" i="17"/>
  <c r="F321" i="17"/>
  <c r="E321" i="17"/>
  <c r="D321" i="17"/>
  <c r="C321" i="17"/>
  <c r="B321" i="17"/>
  <c r="T320" i="17"/>
  <c r="S320" i="17"/>
  <c r="R320" i="17"/>
  <c r="Q320" i="17"/>
  <c r="P320" i="17"/>
  <c r="O320" i="17"/>
  <c r="N320" i="17"/>
  <c r="M320" i="17"/>
  <c r="I320" i="17"/>
  <c r="H320" i="17"/>
  <c r="G320" i="17"/>
  <c r="F320" i="17"/>
  <c r="E320" i="17"/>
  <c r="D320" i="17"/>
  <c r="C320" i="17"/>
  <c r="B320" i="17"/>
  <c r="T319" i="17"/>
  <c r="S319" i="17"/>
  <c r="R319" i="17"/>
  <c r="Q319" i="17"/>
  <c r="P319" i="17"/>
  <c r="O319" i="17"/>
  <c r="N319" i="17"/>
  <c r="M319" i="17"/>
  <c r="I319" i="17"/>
  <c r="H319" i="17"/>
  <c r="G319" i="17"/>
  <c r="F319" i="17"/>
  <c r="E319" i="17"/>
  <c r="D319" i="17"/>
  <c r="C319" i="17"/>
  <c r="B319" i="17"/>
  <c r="T318" i="17"/>
  <c r="S318" i="17"/>
  <c r="R318" i="17"/>
  <c r="Q318" i="17"/>
  <c r="P318" i="17"/>
  <c r="O318" i="17"/>
  <c r="N318" i="17"/>
  <c r="M318" i="17"/>
  <c r="I318" i="17"/>
  <c r="H318" i="17"/>
  <c r="G318" i="17"/>
  <c r="F318" i="17"/>
  <c r="E318" i="17"/>
  <c r="D318" i="17"/>
  <c r="C318" i="17"/>
  <c r="B318" i="17"/>
  <c r="T317" i="17"/>
  <c r="S317" i="17"/>
  <c r="R317" i="17"/>
  <c r="Q317" i="17"/>
  <c r="P317" i="17"/>
  <c r="O317" i="17"/>
  <c r="N317" i="17"/>
  <c r="M317" i="17"/>
  <c r="I317" i="17"/>
  <c r="H317" i="17"/>
  <c r="G317" i="17"/>
  <c r="F317" i="17"/>
  <c r="E317" i="17"/>
  <c r="D317" i="17"/>
  <c r="C317" i="17"/>
  <c r="B317" i="17"/>
  <c r="T316" i="17"/>
  <c r="S316" i="17"/>
  <c r="R316" i="17"/>
  <c r="Q316" i="17"/>
  <c r="P316" i="17"/>
  <c r="O316" i="17"/>
  <c r="N316" i="17"/>
  <c r="M316" i="17"/>
  <c r="I316" i="17"/>
  <c r="H316" i="17"/>
  <c r="G316" i="17"/>
  <c r="F316" i="17"/>
  <c r="E316" i="17"/>
  <c r="D316" i="17"/>
  <c r="C316" i="17"/>
  <c r="B316" i="17"/>
  <c r="T315" i="17"/>
  <c r="S315" i="17"/>
  <c r="R315" i="17"/>
  <c r="Q315" i="17"/>
  <c r="P315" i="17"/>
  <c r="O315" i="17"/>
  <c r="N315" i="17"/>
  <c r="M315" i="17"/>
  <c r="I315" i="17"/>
  <c r="H315" i="17"/>
  <c r="G315" i="17"/>
  <c r="F315" i="17"/>
  <c r="E315" i="17"/>
  <c r="D315" i="17"/>
  <c r="C315" i="17"/>
  <c r="B315" i="17"/>
  <c r="T313" i="17"/>
  <c r="S313" i="17"/>
  <c r="R313" i="17"/>
  <c r="Q313" i="17"/>
  <c r="P313" i="17"/>
  <c r="O313" i="17"/>
  <c r="N313" i="17"/>
  <c r="M313" i="17"/>
  <c r="L313" i="17"/>
  <c r="I313" i="17"/>
  <c r="H313" i="17"/>
  <c r="G313" i="17"/>
  <c r="F313" i="17"/>
  <c r="E313" i="17"/>
  <c r="D313" i="17"/>
  <c r="C313" i="17"/>
  <c r="B313" i="17"/>
  <c r="R312" i="17"/>
  <c r="Q312" i="17"/>
  <c r="P312" i="17"/>
  <c r="O312" i="17"/>
  <c r="N312" i="17"/>
  <c r="M312" i="17"/>
  <c r="G312" i="17"/>
  <c r="F312" i="17"/>
  <c r="E312" i="17"/>
  <c r="D312" i="17"/>
  <c r="C312" i="17"/>
  <c r="B312" i="17"/>
  <c r="R311" i="17"/>
  <c r="Q311" i="17"/>
  <c r="P311" i="17"/>
  <c r="O311" i="17"/>
  <c r="N311" i="17"/>
  <c r="M311" i="17"/>
  <c r="G311" i="17"/>
  <c r="F311" i="17"/>
  <c r="E311" i="17"/>
  <c r="D311" i="17"/>
  <c r="C311" i="17"/>
  <c r="B311" i="17"/>
  <c r="R310" i="17"/>
  <c r="Q310" i="17"/>
  <c r="P310" i="17"/>
  <c r="O310" i="17"/>
  <c r="N310" i="17"/>
  <c r="M310" i="17"/>
  <c r="G310" i="17"/>
  <c r="F310" i="17"/>
  <c r="E310" i="17"/>
  <c r="D310" i="17"/>
  <c r="C310" i="17"/>
  <c r="B310" i="17"/>
  <c r="T309" i="17"/>
  <c r="S309" i="17"/>
  <c r="R309" i="17"/>
  <c r="Q309" i="17"/>
  <c r="P309" i="17"/>
  <c r="O309" i="17"/>
  <c r="N309" i="17"/>
  <c r="M309" i="17"/>
  <c r="I309" i="17"/>
  <c r="H309" i="17"/>
  <c r="G309" i="17"/>
  <c r="F309" i="17"/>
  <c r="E309" i="17"/>
  <c r="D309" i="17"/>
  <c r="C309" i="17"/>
  <c r="B309" i="17"/>
  <c r="T302" i="17"/>
  <c r="S302" i="17"/>
  <c r="R302" i="17"/>
  <c r="Q302" i="17"/>
  <c r="P302" i="17"/>
  <c r="O302" i="17"/>
  <c r="N302" i="17"/>
  <c r="M302" i="17"/>
  <c r="I302" i="17"/>
  <c r="H302" i="17"/>
  <c r="G302" i="17"/>
  <c r="F302" i="17"/>
  <c r="E302" i="17"/>
  <c r="D302" i="17"/>
  <c r="C302" i="17"/>
  <c r="B302" i="17"/>
  <c r="T298" i="17"/>
  <c r="S298" i="17"/>
  <c r="R298" i="17"/>
  <c r="Q298" i="17"/>
  <c r="P298" i="17"/>
  <c r="O298" i="17"/>
  <c r="N298" i="17"/>
  <c r="M298" i="17"/>
  <c r="I298" i="17"/>
  <c r="H298" i="17"/>
  <c r="G298" i="17"/>
  <c r="F298" i="17"/>
  <c r="E298" i="17"/>
  <c r="D298" i="17"/>
  <c r="C298" i="17"/>
  <c r="B298" i="17"/>
  <c r="T297" i="17"/>
  <c r="S297" i="17"/>
  <c r="R297" i="17"/>
  <c r="Q297" i="17"/>
  <c r="P297" i="17"/>
  <c r="O297" i="17"/>
  <c r="N297" i="17"/>
  <c r="M297" i="17"/>
  <c r="I297" i="17"/>
  <c r="H297" i="17"/>
  <c r="G297" i="17"/>
  <c r="F297" i="17"/>
  <c r="E297" i="17"/>
  <c r="D297" i="17"/>
  <c r="C297" i="17"/>
  <c r="B297" i="17"/>
  <c r="T296" i="17"/>
  <c r="S296" i="17"/>
  <c r="R296" i="17"/>
  <c r="Q296" i="17"/>
  <c r="P296" i="17"/>
  <c r="O296" i="17"/>
  <c r="N296" i="17"/>
  <c r="M296" i="17"/>
  <c r="I296" i="17"/>
  <c r="H296" i="17"/>
  <c r="G296" i="17"/>
  <c r="F296" i="17"/>
  <c r="E296" i="17"/>
  <c r="D296" i="17"/>
  <c r="C296" i="17"/>
  <c r="B296" i="17"/>
  <c r="T295" i="17"/>
  <c r="S295" i="17"/>
  <c r="R295" i="17"/>
  <c r="Q295" i="17"/>
  <c r="P295" i="17"/>
  <c r="O295" i="17"/>
  <c r="N295" i="17"/>
  <c r="M295" i="17"/>
  <c r="I295" i="17"/>
  <c r="H295" i="17"/>
  <c r="G295" i="17"/>
  <c r="F295" i="17"/>
  <c r="E295" i="17"/>
  <c r="D295" i="17"/>
  <c r="C295" i="17"/>
  <c r="B295" i="17"/>
  <c r="T294" i="17"/>
  <c r="S294" i="17"/>
  <c r="R294" i="17"/>
  <c r="Q294" i="17"/>
  <c r="P294" i="17"/>
  <c r="O294" i="17"/>
  <c r="N294" i="17"/>
  <c r="M294" i="17"/>
  <c r="I294" i="17"/>
  <c r="H294" i="17"/>
  <c r="G294" i="17"/>
  <c r="F294" i="17"/>
  <c r="E294" i="17"/>
  <c r="D294" i="17"/>
  <c r="C294" i="17"/>
  <c r="B294" i="17"/>
  <c r="T293" i="17"/>
  <c r="S293" i="17"/>
  <c r="R293" i="17"/>
  <c r="Q293" i="17"/>
  <c r="P293" i="17"/>
  <c r="O293" i="17"/>
  <c r="N293" i="17"/>
  <c r="M293" i="17"/>
  <c r="I293" i="17"/>
  <c r="H293" i="17"/>
  <c r="G293" i="17"/>
  <c r="F293" i="17"/>
  <c r="E293" i="17"/>
  <c r="D293" i="17"/>
  <c r="C293" i="17"/>
  <c r="B293" i="17"/>
  <c r="T292" i="17"/>
  <c r="S292" i="17"/>
  <c r="R292" i="17"/>
  <c r="Q292" i="17"/>
  <c r="P292" i="17"/>
  <c r="O292" i="17"/>
  <c r="N292" i="17"/>
  <c r="M292" i="17"/>
  <c r="I292" i="17"/>
  <c r="H292" i="17"/>
  <c r="G292" i="17"/>
  <c r="F292" i="17"/>
  <c r="E292" i="17"/>
  <c r="D292" i="17"/>
  <c r="C292" i="17"/>
  <c r="B292" i="17"/>
  <c r="T290" i="17"/>
  <c r="S290" i="17"/>
  <c r="R290" i="17"/>
  <c r="Q290" i="17"/>
  <c r="P290" i="17"/>
  <c r="O290" i="17"/>
  <c r="N290" i="17"/>
  <c r="M290" i="17"/>
  <c r="I290" i="17"/>
  <c r="H290" i="17"/>
  <c r="G290" i="17"/>
  <c r="F290" i="17"/>
  <c r="E290" i="17"/>
  <c r="D290" i="17"/>
  <c r="C290" i="17"/>
  <c r="B290" i="17"/>
  <c r="T289" i="17"/>
  <c r="R289" i="17"/>
  <c r="Q289" i="17"/>
  <c r="P289" i="17"/>
  <c r="O289" i="17"/>
  <c r="N289" i="17"/>
  <c r="M289" i="17"/>
  <c r="I289" i="17"/>
  <c r="G289" i="17"/>
  <c r="F289" i="17"/>
  <c r="E289" i="17"/>
  <c r="D289" i="17"/>
  <c r="C289" i="17"/>
  <c r="B289" i="17"/>
  <c r="T288" i="17"/>
  <c r="S288" i="17"/>
  <c r="R288" i="17"/>
  <c r="Q288" i="17"/>
  <c r="P288" i="17"/>
  <c r="O288" i="17"/>
  <c r="N288" i="17"/>
  <c r="M288" i="17"/>
  <c r="I288" i="17"/>
  <c r="H288" i="17"/>
  <c r="G288" i="17"/>
  <c r="F288" i="17"/>
  <c r="E288" i="17"/>
  <c r="D288" i="17"/>
  <c r="C288" i="17"/>
  <c r="B288" i="17"/>
  <c r="T287" i="17"/>
  <c r="S287" i="17"/>
  <c r="R287" i="17"/>
  <c r="Q287" i="17"/>
  <c r="P287" i="17"/>
  <c r="O287" i="17"/>
  <c r="N287" i="17"/>
  <c r="M287" i="17"/>
  <c r="I287" i="17"/>
  <c r="H287" i="17"/>
  <c r="G287" i="17"/>
  <c r="F287" i="17"/>
  <c r="E287" i="17"/>
  <c r="D287" i="17"/>
  <c r="C287" i="17"/>
  <c r="B287" i="17"/>
  <c r="T286" i="17"/>
  <c r="S286" i="17"/>
  <c r="R286" i="17"/>
  <c r="Q286" i="17"/>
  <c r="P286" i="17"/>
  <c r="O286" i="17"/>
  <c r="N286" i="17"/>
  <c r="M286" i="17"/>
  <c r="I286" i="17"/>
  <c r="H286" i="17"/>
  <c r="G286" i="17"/>
  <c r="F286" i="17"/>
  <c r="E286" i="17"/>
  <c r="D286" i="17"/>
  <c r="C286" i="17"/>
  <c r="B286" i="17"/>
  <c r="T283" i="17"/>
  <c r="S283" i="17"/>
  <c r="R283" i="17"/>
  <c r="Q283" i="17"/>
  <c r="P283" i="17"/>
  <c r="O283" i="17"/>
  <c r="N283" i="17"/>
  <c r="M283" i="17"/>
  <c r="H283" i="17"/>
  <c r="G283" i="17"/>
  <c r="F283" i="17"/>
  <c r="E283" i="17"/>
  <c r="D283" i="17"/>
  <c r="C283" i="17"/>
  <c r="B283" i="17"/>
  <c r="T279" i="17"/>
  <c r="S279" i="17"/>
  <c r="R279" i="17"/>
  <c r="Q279" i="17"/>
  <c r="P279" i="17"/>
  <c r="O279" i="17"/>
  <c r="N279" i="17"/>
  <c r="M279" i="17"/>
  <c r="I279" i="17"/>
  <c r="H279" i="17"/>
  <c r="G279" i="17"/>
  <c r="F279" i="17"/>
  <c r="E279" i="17"/>
  <c r="D279" i="17"/>
  <c r="C279" i="17"/>
  <c r="B279" i="17"/>
  <c r="T278" i="17"/>
  <c r="S278" i="17"/>
  <c r="R278" i="17"/>
  <c r="Q278" i="17"/>
  <c r="P278" i="17"/>
  <c r="O278" i="17"/>
  <c r="N278" i="17"/>
  <c r="M278" i="17"/>
  <c r="I278" i="17"/>
  <c r="H278" i="17"/>
  <c r="G278" i="17"/>
  <c r="F278" i="17"/>
  <c r="E278" i="17"/>
  <c r="D278" i="17"/>
  <c r="C278" i="17"/>
  <c r="B278" i="17"/>
  <c r="T277" i="17"/>
  <c r="S277" i="17"/>
  <c r="R277" i="17"/>
  <c r="Q277" i="17"/>
  <c r="P277" i="17"/>
  <c r="O277" i="17"/>
  <c r="N277" i="17"/>
  <c r="M277" i="17"/>
  <c r="I277" i="17"/>
  <c r="H277" i="17"/>
  <c r="G277" i="17"/>
  <c r="F277" i="17"/>
  <c r="E277" i="17"/>
  <c r="D277" i="17"/>
  <c r="C277" i="17"/>
  <c r="B277" i="17"/>
  <c r="T276" i="17"/>
  <c r="S276" i="17"/>
  <c r="R276" i="17"/>
  <c r="Q276" i="17"/>
  <c r="P276" i="17"/>
  <c r="O276" i="17"/>
  <c r="N276" i="17"/>
  <c r="M276" i="17"/>
  <c r="I276" i="17"/>
  <c r="H276" i="17"/>
  <c r="G276" i="17"/>
  <c r="F276" i="17"/>
  <c r="E276" i="17"/>
  <c r="D276" i="17"/>
  <c r="C276" i="17"/>
  <c r="B276" i="17"/>
  <c r="T275" i="17"/>
  <c r="S275" i="17"/>
  <c r="R275" i="17"/>
  <c r="Q275" i="17"/>
  <c r="P275" i="17"/>
  <c r="O275" i="17"/>
  <c r="N275" i="17"/>
  <c r="M275" i="17"/>
  <c r="I275" i="17"/>
  <c r="H275" i="17"/>
  <c r="G275" i="17"/>
  <c r="F275" i="17"/>
  <c r="E275" i="17"/>
  <c r="D275" i="17"/>
  <c r="C275" i="17"/>
  <c r="B275" i="17"/>
  <c r="T274" i="17"/>
  <c r="S274" i="17"/>
  <c r="R274" i="17"/>
  <c r="Q274" i="17"/>
  <c r="P274" i="17"/>
  <c r="O274" i="17"/>
  <c r="N274" i="17"/>
  <c r="M274" i="17"/>
  <c r="I274" i="17"/>
  <c r="H274" i="17"/>
  <c r="G274" i="17"/>
  <c r="F274" i="17"/>
  <c r="E274" i="17"/>
  <c r="D274" i="17"/>
  <c r="C274" i="17"/>
  <c r="B274" i="17"/>
  <c r="T273" i="17"/>
  <c r="S273" i="17"/>
  <c r="R273" i="17"/>
  <c r="Q273" i="17"/>
  <c r="P273" i="17"/>
  <c r="O273" i="17"/>
  <c r="N273" i="17"/>
  <c r="M273" i="17"/>
  <c r="I273" i="17"/>
  <c r="H273" i="17"/>
  <c r="G273" i="17"/>
  <c r="F273" i="17"/>
  <c r="E273" i="17"/>
  <c r="D273" i="17"/>
  <c r="C273" i="17"/>
  <c r="B273" i="17"/>
  <c r="T271" i="17"/>
  <c r="S271" i="17"/>
  <c r="R271" i="17"/>
  <c r="Q271" i="17"/>
  <c r="P271" i="17"/>
  <c r="O271" i="17"/>
  <c r="N271" i="17"/>
  <c r="M271" i="17"/>
  <c r="L271" i="17"/>
  <c r="I271" i="17"/>
  <c r="H271" i="17"/>
  <c r="G271" i="17"/>
  <c r="F271" i="17"/>
  <c r="E271" i="17"/>
  <c r="D271" i="17"/>
  <c r="C271" i="17"/>
  <c r="B271" i="17"/>
  <c r="T270" i="17"/>
  <c r="R270" i="17"/>
  <c r="Q270" i="17"/>
  <c r="P270" i="17"/>
  <c r="O270" i="17"/>
  <c r="N270" i="17"/>
  <c r="M270" i="17"/>
  <c r="I270" i="17"/>
  <c r="G270" i="17"/>
  <c r="F270" i="17"/>
  <c r="E270" i="17"/>
  <c r="D270" i="17"/>
  <c r="C270" i="17"/>
  <c r="B270" i="17"/>
  <c r="T269" i="17"/>
  <c r="S269" i="17"/>
  <c r="R269" i="17"/>
  <c r="Q269" i="17"/>
  <c r="P269" i="17"/>
  <c r="O269" i="17"/>
  <c r="N269" i="17"/>
  <c r="M269" i="17"/>
  <c r="I269" i="17"/>
  <c r="H269" i="17"/>
  <c r="G269" i="17"/>
  <c r="F269" i="17"/>
  <c r="E269" i="17"/>
  <c r="D269" i="17"/>
  <c r="C269" i="17"/>
  <c r="B269" i="17"/>
  <c r="T268" i="17"/>
  <c r="S268" i="17"/>
  <c r="R268" i="17"/>
  <c r="Q268" i="17"/>
  <c r="P268" i="17"/>
  <c r="O268" i="17"/>
  <c r="N268" i="17"/>
  <c r="M268" i="17"/>
  <c r="I268" i="17"/>
  <c r="H268" i="17"/>
  <c r="G268" i="17"/>
  <c r="F268" i="17"/>
  <c r="E268" i="17"/>
  <c r="D268" i="17"/>
  <c r="C268" i="17"/>
  <c r="B268" i="17"/>
  <c r="T267" i="17"/>
  <c r="S267" i="17"/>
  <c r="R267" i="17"/>
  <c r="Q267" i="17"/>
  <c r="P267" i="17"/>
  <c r="O267" i="17"/>
  <c r="N267" i="17"/>
  <c r="M267" i="17"/>
  <c r="I267" i="17"/>
  <c r="H267" i="17"/>
  <c r="G267" i="17"/>
  <c r="F267" i="17"/>
  <c r="E267" i="17"/>
  <c r="D267" i="17"/>
  <c r="C267" i="17"/>
  <c r="B267" i="17"/>
  <c r="T243" i="17"/>
  <c r="T367" i="17" s="1"/>
  <c r="S243" i="17"/>
  <c r="S367" i="17" s="1"/>
  <c r="R243" i="17"/>
  <c r="R367" i="17" s="1"/>
  <c r="Q243" i="17"/>
  <c r="Q367" i="17" s="1"/>
  <c r="P243" i="17"/>
  <c r="P367" i="17" s="1"/>
  <c r="O243" i="17"/>
  <c r="O367" i="17" s="1"/>
  <c r="N243" i="17"/>
  <c r="N367" i="17" s="1"/>
  <c r="M243" i="17"/>
  <c r="M367" i="17" s="1"/>
  <c r="H243" i="17"/>
  <c r="H367" i="17" s="1"/>
  <c r="G243" i="17"/>
  <c r="G367" i="17" s="1"/>
  <c r="F243" i="17"/>
  <c r="F367" i="17" s="1"/>
  <c r="E243" i="17"/>
  <c r="E367" i="17" s="1"/>
  <c r="D243" i="17"/>
  <c r="D367" i="17" s="1"/>
  <c r="C243" i="17"/>
  <c r="C367" i="17" s="1"/>
  <c r="B243" i="17"/>
  <c r="B367" i="17" s="1"/>
  <c r="T239" i="17"/>
  <c r="T363" i="17" s="1"/>
  <c r="S239" i="17"/>
  <c r="S363" i="17" s="1"/>
  <c r="R239" i="17"/>
  <c r="R363" i="17" s="1"/>
  <c r="Q239" i="17"/>
  <c r="Q363" i="17" s="1"/>
  <c r="P239" i="17"/>
  <c r="P363" i="17" s="1"/>
  <c r="O239" i="17"/>
  <c r="O363" i="17" s="1"/>
  <c r="N239" i="17"/>
  <c r="N363" i="17" s="1"/>
  <c r="M239" i="17"/>
  <c r="M363" i="17" s="1"/>
  <c r="I239" i="17"/>
  <c r="I363" i="17" s="1"/>
  <c r="H239" i="17"/>
  <c r="H363" i="17" s="1"/>
  <c r="G239" i="17"/>
  <c r="G363" i="17" s="1"/>
  <c r="F239" i="17"/>
  <c r="F363" i="17" s="1"/>
  <c r="E239" i="17"/>
  <c r="E363" i="17" s="1"/>
  <c r="D239" i="17"/>
  <c r="D363" i="17" s="1"/>
  <c r="C239" i="17"/>
  <c r="C363" i="17" s="1"/>
  <c r="B239" i="17"/>
  <c r="B363" i="17" s="1"/>
  <c r="T238" i="17"/>
  <c r="T362" i="17" s="1"/>
  <c r="S238" i="17"/>
  <c r="S362" i="17" s="1"/>
  <c r="R238" i="17"/>
  <c r="R362" i="17" s="1"/>
  <c r="Q238" i="17"/>
  <c r="Q362" i="17" s="1"/>
  <c r="P238" i="17"/>
  <c r="P362" i="17" s="1"/>
  <c r="O238" i="17"/>
  <c r="O362" i="17" s="1"/>
  <c r="N238" i="17"/>
  <c r="N362" i="17" s="1"/>
  <c r="M238" i="17"/>
  <c r="M362" i="17" s="1"/>
  <c r="I238" i="17"/>
  <c r="I362" i="17" s="1"/>
  <c r="H238" i="17"/>
  <c r="H362" i="17" s="1"/>
  <c r="G238" i="17"/>
  <c r="G362" i="17" s="1"/>
  <c r="F238" i="17"/>
  <c r="F362" i="17" s="1"/>
  <c r="E238" i="17"/>
  <c r="E362" i="17" s="1"/>
  <c r="D238" i="17"/>
  <c r="D362" i="17" s="1"/>
  <c r="C238" i="17"/>
  <c r="C362" i="17" s="1"/>
  <c r="B238" i="17"/>
  <c r="B362" i="17" s="1"/>
  <c r="T237" i="17"/>
  <c r="T361" i="17" s="1"/>
  <c r="S237" i="17"/>
  <c r="S361" i="17" s="1"/>
  <c r="R237" i="17"/>
  <c r="R361" i="17" s="1"/>
  <c r="Q237" i="17"/>
  <c r="Q361" i="17" s="1"/>
  <c r="P237" i="17"/>
  <c r="P361" i="17" s="1"/>
  <c r="O237" i="17"/>
  <c r="O361" i="17" s="1"/>
  <c r="N237" i="17"/>
  <c r="N361" i="17" s="1"/>
  <c r="M237" i="17"/>
  <c r="M361" i="17" s="1"/>
  <c r="I237" i="17"/>
  <c r="I361" i="17" s="1"/>
  <c r="H237" i="17"/>
  <c r="H361" i="17" s="1"/>
  <c r="G237" i="17"/>
  <c r="G361" i="17" s="1"/>
  <c r="F237" i="17"/>
  <c r="F361" i="17" s="1"/>
  <c r="E237" i="17"/>
  <c r="E361" i="17" s="1"/>
  <c r="D237" i="17"/>
  <c r="D361" i="17" s="1"/>
  <c r="C237" i="17"/>
  <c r="C361" i="17" s="1"/>
  <c r="B237" i="17"/>
  <c r="B361" i="17" s="1"/>
  <c r="T236" i="17"/>
  <c r="T360" i="17" s="1"/>
  <c r="S236" i="17"/>
  <c r="S360" i="17" s="1"/>
  <c r="R236" i="17"/>
  <c r="R360" i="17" s="1"/>
  <c r="Q236" i="17"/>
  <c r="Q360" i="17" s="1"/>
  <c r="P236" i="17"/>
  <c r="P360" i="17" s="1"/>
  <c r="O236" i="17"/>
  <c r="O360" i="17" s="1"/>
  <c r="N236" i="17"/>
  <c r="N360" i="17" s="1"/>
  <c r="M236" i="17"/>
  <c r="M360" i="17" s="1"/>
  <c r="I236" i="17"/>
  <c r="I360" i="17" s="1"/>
  <c r="H236" i="17"/>
  <c r="H360" i="17" s="1"/>
  <c r="G236" i="17"/>
  <c r="G360" i="17" s="1"/>
  <c r="F236" i="17"/>
  <c r="F360" i="17" s="1"/>
  <c r="E236" i="17"/>
  <c r="E360" i="17" s="1"/>
  <c r="D236" i="17"/>
  <c r="D360" i="17" s="1"/>
  <c r="C236" i="17"/>
  <c r="C360" i="17" s="1"/>
  <c r="B236" i="17"/>
  <c r="B360" i="17" s="1"/>
  <c r="T235" i="17"/>
  <c r="T359" i="17" s="1"/>
  <c r="S235" i="17"/>
  <c r="S359" i="17" s="1"/>
  <c r="R235" i="17"/>
  <c r="R359" i="17" s="1"/>
  <c r="Q235" i="17"/>
  <c r="Q359" i="17" s="1"/>
  <c r="P235" i="17"/>
  <c r="P359" i="17" s="1"/>
  <c r="O235" i="17"/>
  <c r="O359" i="17" s="1"/>
  <c r="N235" i="17"/>
  <c r="N359" i="17" s="1"/>
  <c r="M235" i="17"/>
  <c r="M359" i="17" s="1"/>
  <c r="I235" i="17"/>
  <c r="I359" i="17" s="1"/>
  <c r="H235" i="17"/>
  <c r="H359" i="17" s="1"/>
  <c r="G235" i="17"/>
  <c r="G359" i="17" s="1"/>
  <c r="F235" i="17"/>
  <c r="F359" i="17" s="1"/>
  <c r="E235" i="17"/>
  <c r="E359" i="17" s="1"/>
  <c r="D235" i="17"/>
  <c r="D359" i="17" s="1"/>
  <c r="C235" i="17"/>
  <c r="C359" i="17" s="1"/>
  <c r="B235" i="17"/>
  <c r="B359" i="17" s="1"/>
  <c r="T234" i="17"/>
  <c r="T358" i="17" s="1"/>
  <c r="S234" i="17"/>
  <c r="S358" i="17" s="1"/>
  <c r="R234" i="17"/>
  <c r="R358" i="17" s="1"/>
  <c r="Q234" i="17"/>
  <c r="Q358" i="17" s="1"/>
  <c r="P234" i="17"/>
  <c r="P358" i="17" s="1"/>
  <c r="O234" i="17"/>
  <c r="O358" i="17" s="1"/>
  <c r="N234" i="17"/>
  <c r="N358" i="17" s="1"/>
  <c r="M234" i="17"/>
  <c r="M358" i="17" s="1"/>
  <c r="I234" i="17"/>
  <c r="I358" i="17" s="1"/>
  <c r="H234" i="17"/>
  <c r="H358" i="17" s="1"/>
  <c r="G234" i="17"/>
  <c r="G358" i="17" s="1"/>
  <c r="F234" i="17"/>
  <c r="F358" i="17" s="1"/>
  <c r="E234" i="17"/>
  <c r="E358" i="17" s="1"/>
  <c r="D234" i="17"/>
  <c r="D358" i="17" s="1"/>
  <c r="C234" i="17"/>
  <c r="C358" i="17" s="1"/>
  <c r="B234" i="17"/>
  <c r="B358" i="17" s="1"/>
  <c r="T233" i="17"/>
  <c r="T357" i="17" s="1"/>
  <c r="S233" i="17"/>
  <c r="S357" i="17" s="1"/>
  <c r="R233" i="17"/>
  <c r="R357" i="17" s="1"/>
  <c r="Q233" i="17"/>
  <c r="Q357" i="17" s="1"/>
  <c r="P233" i="17"/>
  <c r="P357" i="17" s="1"/>
  <c r="O233" i="17"/>
  <c r="O357" i="17" s="1"/>
  <c r="N233" i="17"/>
  <c r="N357" i="17" s="1"/>
  <c r="M233" i="17"/>
  <c r="M357" i="17" s="1"/>
  <c r="I233" i="17"/>
  <c r="I357" i="17" s="1"/>
  <c r="H233" i="17"/>
  <c r="H357" i="17" s="1"/>
  <c r="G233" i="17"/>
  <c r="G357" i="17" s="1"/>
  <c r="F233" i="17"/>
  <c r="F357" i="17" s="1"/>
  <c r="E233" i="17"/>
  <c r="E357" i="17" s="1"/>
  <c r="D233" i="17"/>
  <c r="D357" i="17" s="1"/>
  <c r="C233" i="17"/>
  <c r="C357" i="17" s="1"/>
  <c r="B233" i="17"/>
  <c r="B357" i="17" s="1"/>
  <c r="T232" i="17"/>
  <c r="S232" i="17"/>
  <c r="R232" i="17"/>
  <c r="Q232" i="17"/>
  <c r="P232" i="17"/>
  <c r="O232" i="17"/>
  <c r="N232" i="17"/>
  <c r="M232" i="17"/>
  <c r="I232" i="17"/>
  <c r="H232" i="17"/>
  <c r="G232" i="17"/>
  <c r="F232" i="17"/>
  <c r="E232" i="17"/>
  <c r="D232" i="17"/>
  <c r="C232" i="17"/>
  <c r="B232" i="17"/>
  <c r="T231" i="17"/>
  <c r="S231" i="17"/>
  <c r="R231" i="17"/>
  <c r="Q231" i="17"/>
  <c r="P231" i="17"/>
  <c r="O231" i="17"/>
  <c r="N231" i="17"/>
  <c r="M231" i="17"/>
  <c r="I231" i="17"/>
  <c r="H231" i="17"/>
  <c r="G231" i="17"/>
  <c r="F231" i="17"/>
  <c r="E231" i="17"/>
  <c r="D231" i="17"/>
  <c r="C231" i="17"/>
  <c r="B231" i="17"/>
  <c r="T230" i="17"/>
  <c r="S230" i="17"/>
  <c r="R230" i="17"/>
  <c r="Q230" i="17"/>
  <c r="P230" i="17"/>
  <c r="O230" i="17"/>
  <c r="N230" i="17"/>
  <c r="M230" i="17"/>
  <c r="I230" i="17"/>
  <c r="H230" i="17"/>
  <c r="G230" i="17"/>
  <c r="F230" i="17"/>
  <c r="E230" i="17"/>
  <c r="D230" i="17"/>
  <c r="C230" i="17"/>
  <c r="B230" i="17"/>
  <c r="T229" i="17"/>
  <c r="S229" i="17"/>
  <c r="R229" i="17"/>
  <c r="Q229" i="17"/>
  <c r="P229" i="17"/>
  <c r="O229" i="17"/>
  <c r="N229" i="17"/>
  <c r="M229" i="17"/>
  <c r="I229" i="17"/>
  <c r="H229" i="17"/>
  <c r="G229" i="17"/>
  <c r="F229" i="17"/>
  <c r="E229" i="17"/>
  <c r="D229" i="17"/>
  <c r="C229" i="17"/>
  <c r="B229" i="17"/>
  <c r="T228" i="17"/>
  <c r="T356" i="17" s="1"/>
  <c r="S228" i="17"/>
  <c r="S356" i="17" s="1"/>
  <c r="R228" i="17"/>
  <c r="R356" i="17" s="1"/>
  <c r="Q228" i="17"/>
  <c r="Q356" i="17" s="1"/>
  <c r="P228" i="17"/>
  <c r="P356" i="17" s="1"/>
  <c r="O228" i="17"/>
  <c r="O356" i="17" s="1"/>
  <c r="N228" i="17"/>
  <c r="N356" i="17" s="1"/>
  <c r="M228" i="17"/>
  <c r="M356" i="17" s="1"/>
  <c r="I228" i="17"/>
  <c r="I356" i="17" s="1"/>
  <c r="H228" i="17"/>
  <c r="H356" i="17" s="1"/>
  <c r="G228" i="17"/>
  <c r="G356" i="17" s="1"/>
  <c r="F228" i="17"/>
  <c r="F356" i="17" s="1"/>
  <c r="E228" i="17"/>
  <c r="E356" i="17" s="1"/>
  <c r="D228" i="17"/>
  <c r="D356" i="17" s="1"/>
  <c r="C228" i="17"/>
  <c r="C356" i="17" s="1"/>
  <c r="B228" i="17"/>
  <c r="B356" i="17" s="1"/>
  <c r="T227" i="17"/>
  <c r="S227" i="17"/>
  <c r="R227" i="17"/>
  <c r="Q227" i="17"/>
  <c r="P227" i="17"/>
  <c r="O227" i="17"/>
  <c r="N227" i="17"/>
  <c r="M227" i="17"/>
  <c r="I227" i="17"/>
  <c r="H227" i="17"/>
  <c r="G227" i="17"/>
  <c r="F227" i="17"/>
  <c r="E227" i="17"/>
  <c r="D227" i="17"/>
  <c r="C227" i="17"/>
  <c r="B227" i="17"/>
  <c r="T226" i="17"/>
  <c r="S226" i="17"/>
  <c r="R226" i="17"/>
  <c r="Q226" i="17"/>
  <c r="P226" i="17"/>
  <c r="O226" i="17"/>
  <c r="N226" i="17"/>
  <c r="M226" i="17"/>
  <c r="I226" i="17"/>
  <c r="H226" i="17"/>
  <c r="G226" i="17"/>
  <c r="F226" i="17"/>
  <c r="E226" i="17"/>
  <c r="D226" i="17"/>
  <c r="C226" i="17"/>
  <c r="B226" i="17"/>
  <c r="T225" i="17"/>
  <c r="S225" i="17"/>
  <c r="R225" i="17"/>
  <c r="Q225" i="17"/>
  <c r="P225" i="17"/>
  <c r="O225" i="17"/>
  <c r="N225" i="17"/>
  <c r="M225" i="17"/>
  <c r="I225" i="17"/>
  <c r="H225" i="17"/>
  <c r="G225" i="17"/>
  <c r="F225" i="17"/>
  <c r="E225" i="17"/>
  <c r="D225" i="17"/>
  <c r="C225" i="17"/>
  <c r="B225" i="17"/>
  <c r="T224" i="17"/>
  <c r="S224" i="17"/>
  <c r="R224" i="17"/>
  <c r="Q224" i="17"/>
  <c r="P224" i="17"/>
  <c r="O224" i="17"/>
  <c r="N224" i="17"/>
  <c r="M224" i="17"/>
  <c r="I224" i="17"/>
  <c r="H224" i="17"/>
  <c r="G224" i="17"/>
  <c r="F224" i="17"/>
  <c r="E224" i="17"/>
  <c r="D224" i="17"/>
  <c r="C224" i="17"/>
  <c r="B224" i="17"/>
  <c r="T223" i="17"/>
  <c r="S223" i="17"/>
  <c r="R223" i="17"/>
  <c r="Q223" i="17"/>
  <c r="P223" i="17"/>
  <c r="O223" i="17"/>
  <c r="N223" i="17"/>
  <c r="M223" i="17"/>
  <c r="I223" i="17"/>
  <c r="H223" i="17"/>
  <c r="G223" i="17"/>
  <c r="F223" i="17"/>
  <c r="E223" i="17"/>
  <c r="D223" i="17"/>
  <c r="C223" i="17"/>
  <c r="B223" i="17"/>
  <c r="T222" i="17"/>
  <c r="S222" i="17"/>
  <c r="R222" i="17"/>
  <c r="Q222" i="17"/>
  <c r="P222" i="17"/>
  <c r="O222" i="17"/>
  <c r="N222" i="17"/>
  <c r="M222" i="17"/>
  <c r="I222" i="17"/>
  <c r="H222" i="17"/>
  <c r="G222" i="17"/>
  <c r="F222" i="17"/>
  <c r="E222" i="17"/>
  <c r="D222" i="17"/>
  <c r="C222" i="17"/>
  <c r="B222" i="17"/>
  <c r="T221" i="17"/>
  <c r="S221" i="17"/>
  <c r="R221" i="17"/>
  <c r="Q221" i="17"/>
  <c r="P221" i="17"/>
  <c r="O221" i="17"/>
  <c r="N221" i="17"/>
  <c r="M221" i="17"/>
  <c r="I221" i="17"/>
  <c r="H221" i="17"/>
  <c r="G221" i="17"/>
  <c r="F221" i="17"/>
  <c r="E221" i="17"/>
  <c r="D221" i="17"/>
  <c r="C221" i="17"/>
  <c r="B221" i="17"/>
  <c r="T220" i="17"/>
  <c r="S220" i="17"/>
  <c r="R220" i="17"/>
  <c r="Q220" i="17"/>
  <c r="P220" i="17"/>
  <c r="O220" i="17"/>
  <c r="N220" i="17"/>
  <c r="M220" i="17"/>
  <c r="I220" i="17"/>
  <c r="H220" i="17"/>
  <c r="G220" i="17"/>
  <c r="F220" i="17"/>
  <c r="E220" i="17"/>
  <c r="D220" i="17"/>
  <c r="C220" i="17"/>
  <c r="B220" i="17"/>
  <c r="T219" i="17"/>
  <c r="S219" i="17"/>
  <c r="R219" i="17"/>
  <c r="Q219" i="17"/>
  <c r="P219" i="17"/>
  <c r="O219" i="17"/>
  <c r="N219" i="17"/>
  <c r="M219" i="17"/>
  <c r="I219" i="17"/>
  <c r="H219" i="17"/>
  <c r="G219" i="17"/>
  <c r="F219" i="17"/>
  <c r="E219" i="17"/>
  <c r="D219" i="17"/>
  <c r="C219" i="17"/>
  <c r="B219" i="17"/>
  <c r="T218" i="17"/>
  <c r="S218" i="17"/>
  <c r="R218" i="17"/>
  <c r="Q218" i="17"/>
  <c r="P218" i="17"/>
  <c r="O218" i="17"/>
  <c r="N218" i="17"/>
  <c r="M218" i="17"/>
  <c r="I218" i="17"/>
  <c r="H218" i="17"/>
  <c r="G218" i="17"/>
  <c r="F218" i="17"/>
  <c r="E218" i="17"/>
  <c r="D218" i="17"/>
  <c r="C218" i="17"/>
  <c r="B218" i="17"/>
  <c r="T217" i="17"/>
  <c r="S217" i="17"/>
  <c r="R217" i="17"/>
  <c r="Q217" i="17"/>
  <c r="P217" i="17"/>
  <c r="O217" i="17"/>
  <c r="N217" i="17"/>
  <c r="M217" i="17"/>
  <c r="I217" i="17"/>
  <c r="H217" i="17"/>
  <c r="G217" i="17"/>
  <c r="F217" i="17"/>
  <c r="E217" i="17"/>
  <c r="D217" i="17"/>
  <c r="C217" i="17"/>
  <c r="B217" i="17"/>
  <c r="T216" i="17"/>
  <c r="S216" i="17"/>
  <c r="R216" i="17"/>
  <c r="Q216" i="17"/>
  <c r="P216" i="17"/>
  <c r="O216" i="17"/>
  <c r="N216" i="17"/>
  <c r="M216" i="17"/>
  <c r="I216" i="17"/>
  <c r="H216" i="17"/>
  <c r="G216" i="17"/>
  <c r="F216" i="17"/>
  <c r="E216" i="17"/>
  <c r="D216" i="17"/>
  <c r="C216" i="17"/>
  <c r="B216" i="17"/>
  <c r="T215" i="17"/>
  <c r="S215" i="17"/>
  <c r="R215" i="17"/>
  <c r="Q215" i="17"/>
  <c r="P215" i="17"/>
  <c r="O215" i="17"/>
  <c r="N215" i="17"/>
  <c r="M215" i="17"/>
  <c r="I215" i="17"/>
  <c r="H215" i="17"/>
  <c r="G215" i="17"/>
  <c r="F215" i="17"/>
  <c r="E215" i="17"/>
  <c r="D215" i="17"/>
  <c r="C215" i="17"/>
  <c r="B215" i="17"/>
  <c r="T214" i="17"/>
  <c r="S214" i="17"/>
  <c r="R214" i="17"/>
  <c r="Q214" i="17"/>
  <c r="P214" i="17"/>
  <c r="O214" i="17"/>
  <c r="N214" i="17"/>
  <c r="M214" i="17"/>
  <c r="I214" i="17"/>
  <c r="H214" i="17"/>
  <c r="G214" i="17"/>
  <c r="F214" i="17"/>
  <c r="E214" i="17"/>
  <c r="D214" i="17"/>
  <c r="C214" i="17"/>
  <c r="B214" i="17"/>
  <c r="T213" i="17"/>
  <c r="S213" i="17"/>
  <c r="R213" i="17"/>
  <c r="Q213" i="17"/>
  <c r="P213" i="17"/>
  <c r="O213" i="17"/>
  <c r="N213" i="17"/>
  <c r="M213" i="17"/>
  <c r="I213" i="17"/>
  <c r="H213" i="17"/>
  <c r="G213" i="17"/>
  <c r="G353" i="17" s="1"/>
  <c r="F213" i="17"/>
  <c r="E213" i="17"/>
  <c r="D213" i="17"/>
  <c r="C213" i="17"/>
  <c r="B213" i="17"/>
  <c r="T212" i="17"/>
  <c r="S212" i="17"/>
  <c r="R212" i="17"/>
  <c r="Q212" i="17"/>
  <c r="P212" i="17"/>
  <c r="O212" i="17"/>
  <c r="N212" i="17"/>
  <c r="M212" i="17"/>
  <c r="I212" i="17"/>
  <c r="H212" i="17"/>
  <c r="G212" i="17"/>
  <c r="F212" i="17"/>
  <c r="E212" i="17"/>
  <c r="D212" i="17"/>
  <c r="C212" i="17"/>
  <c r="B212" i="17"/>
  <c r="T211" i="17"/>
  <c r="S211" i="17"/>
  <c r="R211" i="17"/>
  <c r="Q211" i="17"/>
  <c r="P211" i="17"/>
  <c r="O211" i="17"/>
  <c r="N211" i="17"/>
  <c r="M211" i="17"/>
  <c r="I211" i="17"/>
  <c r="H211" i="17"/>
  <c r="G211" i="17"/>
  <c r="F211" i="17"/>
  <c r="E211" i="17"/>
  <c r="D211" i="17"/>
  <c r="C211" i="17"/>
  <c r="B211" i="17"/>
  <c r="T210" i="17"/>
  <c r="S210" i="17"/>
  <c r="R210" i="17"/>
  <c r="Q210" i="17"/>
  <c r="P210" i="17"/>
  <c r="O210" i="17"/>
  <c r="N210" i="17"/>
  <c r="M210" i="17"/>
  <c r="I210" i="17"/>
  <c r="H210" i="17"/>
  <c r="G210" i="17"/>
  <c r="F210" i="17"/>
  <c r="E210" i="17"/>
  <c r="D210" i="17"/>
  <c r="C210" i="17"/>
  <c r="B210" i="17"/>
  <c r="T209" i="17"/>
  <c r="S209" i="17"/>
  <c r="R209" i="17"/>
  <c r="Q209" i="17"/>
  <c r="P209" i="17"/>
  <c r="O209" i="17"/>
  <c r="N209" i="17"/>
  <c r="M209" i="17"/>
  <c r="I209" i="17"/>
  <c r="H209" i="17"/>
  <c r="G209" i="17"/>
  <c r="F209" i="17"/>
  <c r="E209" i="17"/>
  <c r="D209" i="17"/>
  <c r="C209" i="17"/>
  <c r="B209" i="17"/>
  <c r="T208" i="17"/>
  <c r="T352" i="17" s="1"/>
  <c r="S208" i="17"/>
  <c r="R208" i="17"/>
  <c r="Q208" i="17"/>
  <c r="P208" i="17"/>
  <c r="P352" i="17" s="1"/>
  <c r="O208" i="17"/>
  <c r="N208" i="17"/>
  <c r="M208" i="17"/>
  <c r="I208" i="17"/>
  <c r="H208" i="17"/>
  <c r="G208" i="17"/>
  <c r="G352" i="17" s="1"/>
  <c r="F208" i="17"/>
  <c r="E208" i="17"/>
  <c r="D208" i="17"/>
  <c r="C208" i="17"/>
  <c r="B208" i="17"/>
  <c r="T207" i="17"/>
  <c r="S207" i="17"/>
  <c r="R207" i="17"/>
  <c r="Q207" i="17"/>
  <c r="P207" i="17"/>
  <c r="O207" i="17"/>
  <c r="N207" i="17"/>
  <c r="M207" i="17"/>
  <c r="I207" i="17"/>
  <c r="H207" i="17"/>
  <c r="G207" i="17"/>
  <c r="F207" i="17"/>
  <c r="E207" i="17"/>
  <c r="D207" i="17"/>
  <c r="C207" i="17"/>
  <c r="B207" i="17"/>
  <c r="T206" i="17"/>
  <c r="S206" i="17"/>
  <c r="R206" i="17"/>
  <c r="Q206" i="17"/>
  <c r="P206" i="17"/>
  <c r="O206" i="17"/>
  <c r="N206" i="17"/>
  <c r="M206" i="17"/>
  <c r="I206" i="17"/>
  <c r="H206" i="17"/>
  <c r="G206" i="17"/>
  <c r="F206" i="17"/>
  <c r="E206" i="17"/>
  <c r="D206" i="17"/>
  <c r="C206" i="17"/>
  <c r="B206" i="17"/>
  <c r="T205" i="17"/>
  <c r="S205" i="17"/>
  <c r="R205" i="17"/>
  <c r="Q205" i="17"/>
  <c r="P205" i="17"/>
  <c r="O205" i="17"/>
  <c r="N205" i="17"/>
  <c r="M205" i="17"/>
  <c r="I205" i="17"/>
  <c r="H205" i="17"/>
  <c r="G205" i="17"/>
  <c r="F205" i="17"/>
  <c r="E205" i="17"/>
  <c r="D205" i="17"/>
  <c r="C205" i="17"/>
  <c r="B205" i="17"/>
  <c r="T204" i="17"/>
  <c r="S204" i="17"/>
  <c r="R204" i="17"/>
  <c r="Q204" i="17"/>
  <c r="P204" i="17"/>
  <c r="O204" i="17"/>
  <c r="N204" i="17"/>
  <c r="M204" i="17"/>
  <c r="I204" i="17"/>
  <c r="H204" i="17"/>
  <c r="G204" i="17"/>
  <c r="F204" i="17"/>
  <c r="E204" i="17"/>
  <c r="D204" i="17"/>
  <c r="C204" i="17"/>
  <c r="B204" i="17"/>
  <c r="T203" i="17"/>
  <c r="T351" i="17" s="1"/>
  <c r="S203" i="17"/>
  <c r="R203" i="17"/>
  <c r="Q203" i="17"/>
  <c r="P203" i="17"/>
  <c r="P351" i="17" s="1"/>
  <c r="O203" i="17"/>
  <c r="N203" i="17"/>
  <c r="M203" i="17"/>
  <c r="I203" i="17"/>
  <c r="H203" i="17"/>
  <c r="H351" i="17" s="1"/>
  <c r="G203" i="17"/>
  <c r="G351" i="17" s="1"/>
  <c r="F203" i="17"/>
  <c r="E203" i="17"/>
  <c r="D203" i="17"/>
  <c r="D351" i="17" s="1"/>
  <c r="C203" i="17"/>
  <c r="B203" i="17"/>
  <c r="T202" i="17"/>
  <c r="S202" i="17"/>
  <c r="R202" i="17"/>
  <c r="Q202" i="17"/>
  <c r="P202" i="17"/>
  <c r="O202" i="17"/>
  <c r="N202" i="17"/>
  <c r="M202" i="17"/>
  <c r="I202" i="17"/>
  <c r="H202" i="17"/>
  <c r="G202" i="17"/>
  <c r="F202" i="17"/>
  <c r="E202" i="17"/>
  <c r="D202" i="17"/>
  <c r="C202" i="17"/>
  <c r="B202" i="17"/>
  <c r="T201" i="17"/>
  <c r="S201" i="17"/>
  <c r="R201" i="17"/>
  <c r="Q201" i="17"/>
  <c r="P201" i="17"/>
  <c r="O201" i="17"/>
  <c r="N201" i="17"/>
  <c r="M201" i="17"/>
  <c r="I201" i="17"/>
  <c r="H201" i="17"/>
  <c r="G201" i="17"/>
  <c r="F201" i="17"/>
  <c r="E201" i="17"/>
  <c r="D201" i="17"/>
  <c r="C201" i="17"/>
  <c r="B201" i="17"/>
  <c r="T200" i="17"/>
  <c r="S200" i="17"/>
  <c r="R200" i="17"/>
  <c r="Q200" i="17"/>
  <c r="P200" i="17"/>
  <c r="O200" i="17"/>
  <c r="N200" i="17"/>
  <c r="M200" i="17"/>
  <c r="I200" i="17"/>
  <c r="H200" i="17"/>
  <c r="G200" i="17"/>
  <c r="F200" i="17"/>
  <c r="E200" i="17"/>
  <c r="D200" i="17"/>
  <c r="C200" i="17"/>
  <c r="B200" i="17"/>
  <c r="T199" i="17"/>
  <c r="S199" i="17"/>
  <c r="R199" i="17"/>
  <c r="Q199" i="17"/>
  <c r="P199" i="17"/>
  <c r="O199" i="17"/>
  <c r="N199" i="17"/>
  <c r="M199" i="17"/>
  <c r="I199" i="17"/>
  <c r="H199" i="17"/>
  <c r="G199" i="17"/>
  <c r="F199" i="17"/>
  <c r="E199" i="17"/>
  <c r="D199" i="17"/>
  <c r="C199" i="17"/>
  <c r="B199" i="17"/>
  <c r="T198" i="17"/>
  <c r="S198" i="17"/>
  <c r="R198" i="17"/>
  <c r="Q198" i="17"/>
  <c r="P198" i="17"/>
  <c r="O198" i="17"/>
  <c r="N198" i="17"/>
  <c r="M198" i="17"/>
  <c r="I198" i="17"/>
  <c r="H198" i="17"/>
  <c r="G198" i="17"/>
  <c r="F198" i="17"/>
  <c r="E198" i="17"/>
  <c r="D198" i="17"/>
  <c r="C198" i="17"/>
  <c r="B198" i="17"/>
  <c r="V195" i="17"/>
  <c r="V344" i="17" s="1"/>
  <c r="U344" i="17"/>
  <c r="K344" i="17"/>
  <c r="V191" i="17"/>
  <c r="V340" i="17" s="1"/>
  <c r="U340" i="17"/>
  <c r="K191" i="17"/>
  <c r="K340" i="17" s="1"/>
  <c r="J191" i="17"/>
  <c r="V190" i="17"/>
  <c r="V339" i="17" s="1"/>
  <c r="U339" i="17"/>
  <c r="K190" i="17"/>
  <c r="K339" i="17" s="1"/>
  <c r="J190" i="17"/>
  <c r="J339" i="17" s="1"/>
  <c r="V189" i="17"/>
  <c r="V338" i="17" s="1"/>
  <c r="U338" i="17"/>
  <c r="K189" i="17"/>
  <c r="K338" i="17" s="1"/>
  <c r="J189" i="17"/>
  <c r="J338" i="17" s="1"/>
  <c r="V188" i="17"/>
  <c r="V337" i="17" s="1"/>
  <c r="U337" i="17"/>
  <c r="K188" i="17"/>
  <c r="K337" i="17" s="1"/>
  <c r="J188" i="17"/>
  <c r="V187" i="17"/>
  <c r="V336" i="17" s="1"/>
  <c r="U187" i="17"/>
  <c r="U336" i="17" s="1"/>
  <c r="K187" i="17"/>
  <c r="K336" i="17" s="1"/>
  <c r="J187" i="17"/>
  <c r="V186" i="17"/>
  <c r="V335" i="17" s="1"/>
  <c r="U186" i="17"/>
  <c r="U335" i="17" s="1"/>
  <c r="K186" i="17"/>
  <c r="K335" i="17" s="1"/>
  <c r="J186" i="17"/>
  <c r="J335" i="17" s="1"/>
  <c r="V185" i="17"/>
  <c r="V334" i="17" s="1"/>
  <c r="U185" i="17"/>
  <c r="U334" i="17" s="1"/>
  <c r="K185" i="17"/>
  <c r="K334" i="17" s="1"/>
  <c r="J185" i="17"/>
  <c r="J334" i="17" s="1"/>
  <c r="V184" i="17"/>
  <c r="U184" i="17"/>
  <c r="K184" i="17"/>
  <c r="J184" i="17"/>
  <c r="V183" i="17"/>
  <c r="U183" i="17"/>
  <c r="K183" i="17"/>
  <c r="J183" i="17"/>
  <c r="V182" i="17"/>
  <c r="U182" i="17"/>
  <c r="K182" i="17"/>
  <c r="J182" i="17"/>
  <c r="V181" i="17"/>
  <c r="U181" i="17"/>
  <c r="K181" i="17"/>
  <c r="J181" i="17"/>
  <c r="V180" i="17"/>
  <c r="U180" i="17"/>
  <c r="U333" i="17" s="1"/>
  <c r="K180" i="17"/>
  <c r="K333" i="17" s="1"/>
  <c r="J180" i="17"/>
  <c r="J333" i="17" s="1"/>
  <c r="V179" i="17"/>
  <c r="U179" i="17"/>
  <c r="K179" i="17"/>
  <c r="J179" i="17"/>
  <c r="V178" i="17"/>
  <c r="U178" i="17"/>
  <c r="K178" i="17"/>
  <c r="J178" i="17"/>
  <c r="V177" i="17"/>
  <c r="U177" i="17"/>
  <c r="K177" i="17"/>
  <c r="J177" i="17"/>
  <c r="V176" i="17"/>
  <c r="U176" i="17"/>
  <c r="K176" i="17"/>
  <c r="J176" i="17"/>
  <c r="V175" i="17"/>
  <c r="U175" i="17"/>
  <c r="K175" i="17"/>
  <c r="J175" i="17"/>
  <c r="V174" i="17"/>
  <c r="U174" i="17"/>
  <c r="K174" i="17"/>
  <c r="J174" i="17"/>
  <c r="V173" i="17"/>
  <c r="U173" i="17"/>
  <c r="K173" i="17"/>
  <c r="J173" i="17"/>
  <c r="V172" i="17"/>
  <c r="U172" i="17"/>
  <c r="K172" i="17"/>
  <c r="J172" i="17"/>
  <c r="V171" i="17"/>
  <c r="U171" i="17"/>
  <c r="K171" i="17"/>
  <c r="J171" i="17"/>
  <c r="V170" i="17"/>
  <c r="U170" i="17"/>
  <c r="U331" i="17" s="1"/>
  <c r="K170" i="17"/>
  <c r="J170" i="17"/>
  <c r="V169" i="17"/>
  <c r="U169" i="17"/>
  <c r="K169" i="17"/>
  <c r="J169" i="17"/>
  <c r="V168" i="17"/>
  <c r="U168" i="17"/>
  <c r="K168" i="17"/>
  <c r="J168" i="17"/>
  <c r="V167" i="17"/>
  <c r="U167" i="17"/>
  <c r="K167" i="17"/>
  <c r="J167" i="17"/>
  <c r="V166" i="17"/>
  <c r="U166" i="17"/>
  <c r="K166" i="17"/>
  <c r="J166" i="17"/>
  <c r="V165" i="17"/>
  <c r="U165" i="17"/>
  <c r="K165" i="17"/>
  <c r="J165" i="17"/>
  <c r="V164" i="17"/>
  <c r="U164" i="17"/>
  <c r="K164" i="17"/>
  <c r="J164" i="17"/>
  <c r="V163" i="17"/>
  <c r="U163" i="17"/>
  <c r="K163" i="17"/>
  <c r="J163" i="17"/>
  <c r="V162" i="17"/>
  <c r="U162" i="17"/>
  <c r="K162" i="17"/>
  <c r="J162" i="17"/>
  <c r="V161" i="17"/>
  <c r="U161" i="17"/>
  <c r="K161" i="17"/>
  <c r="J161" i="17"/>
  <c r="V160" i="17"/>
  <c r="U160" i="17"/>
  <c r="K160" i="17"/>
  <c r="J160" i="17"/>
  <c r="V159" i="17"/>
  <c r="U159" i="17"/>
  <c r="K159" i="17"/>
  <c r="J159" i="17"/>
  <c r="V158" i="17"/>
  <c r="U158" i="17"/>
  <c r="K158" i="17"/>
  <c r="J158" i="17"/>
  <c r="V157" i="17"/>
  <c r="U157" i="17"/>
  <c r="K157" i="17"/>
  <c r="J157" i="17"/>
  <c r="V156" i="17"/>
  <c r="U156" i="17"/>
  <c r="K156" i="17"/>
  <c r="J156" i="17"/>
  <c r="V155" i="17"/>
  <c r="U155" i="17"/>
  <c r="K155" i="17"/>
  <c r="J155" i="17"/>
  <c r="V154" i="17"/>
  <c r="U154" i="17"/>
  <c r="K154" i="17"/>
  <c r="J154" i="17"/>
  <c r="V153" i="17"/>
  <c r="U153" i="17"/>
  <c r="K153" i="17"/>
  <c r="J153" i="17"/>
  <c r="V152" i="17"/>
  <c r="U152" i="17"/>
  <c r="K152" i="17"/>
  <c r="J152" i="17"/>
  <c r="V151" i="17"/>
  <c r="U151" i="17"/>
  <c r="K151" i="17"/>
  <c r="J151" i="17"/>
  <c r="V150" i="17"/>
  <c r="U150" i="17"/>
  <c r="K150" i="17"/>
  <c r="J150" i="17"/>
  <c r="V147" i="17"/>
  <c r="V325" i="17" s="1"/>
  <c r="U325" i="17"/>
  <c r="K147" i="17"/>
  <c r="K325" i="17" s="1"/>
  <c r="J325" i="17"/>
  <c r="V143" i="17"/>
  <c r="V321" i="17" s="1"/>
  <c r="U143" i="17"/>
  <c r="U321" i="17" s="1"/>
  <c r="K143" i="17"/>
  <c r="K321" i="17" s="1"/>
  <c r="J143" i="17"/>
  <c r="J321" i="17" s="1"/>
  <c r="V142" i="17"/>
  <c r="V320" i="17" s="1"/>
  <c r="U142" i="17"/>
  <c r="U320" i="17" s="1"/>
  <c r="K142" i="17"/>
  <c r="K320" i="17" s="1"/>
  <c r="J142" i="17"/>
  <c r="J320" i="17" s="1"/>
  <c r="V141" i="17"/>
  <c r="V319" i="17" s="1"/>
  <c r="U141" i="17"/>
  <c r="U319" i="17" s="1"/>
  <c r="K141" i="17"/>
  <c r="K319" i="17" s="1"/>
  <c r="J141" i="17"/>
  <c r="J319" i="17" s="1"/>
  <c r="V140" i="17"/>
  <c r="V318" i="17" s="1"/>
  <c r="U140" i="17"/>
  <c r="U318" i="17" s="1"/>
  <c r="K140" i="17"/>
  <c r="K318" i="17" s="1"/>
  <c r="J140" i="17"/>
  <c r="J318" i="17" s="1"/>
  <c r="V139" i="17"/>
  <c r="V317" i="17" s="1"/>
  <c r="U139" i="17"/>
  <c r="U317" i="17" s="1"/>
  <c r="K139" i="17"/>
  <c r="K317" i="17" s="1"/>
  <c r="J139" i="17"/>
  <c r="J317" i="17" s="1"/>
  <c r="V138" i="17"/>
  <c r="V316" i="17" s="1"/>
  <c r="U138" i="17"/>
  <c r="U316" i="17" s="1"/>
  <c r="K138" i="17"/>
  <c r="K316" i="17" s="1"/>
  <c r="J138" i="17"/>
  <c r="J316" i="17" s="1"/>
  <c r="V137" i="17"/>
  <c r="V315" i="17" s="1"/>
  <c r="U137" i="17"/>
  <c r="U315" i="17" s="1"/>
  <c r="K137" i="17"/>
  <c r="K315" i="17" s="1"/>
  <c r="J137" i="17"/>
  <c r="J315" i="17" s="1"/>
  <c r="V136" i="17"/>
  <c r="U136" i="17"/>
  <c r="K136" i="17"/>
  <c r="J136" i="17"/>
  <c r="V135" i="17"/>
  <c r="U135" i="17"/>
  <c r="K135" i="17"/>
  <c r="J135" i="17"/>
  <c r="V134" i="17"/>
  <c r="U134" i="17"/>
  <c r="K134" i="17"/>
  <c r="J134" i="17"/>
  <c r="V133" i="17"/>
  <c r="U133" i="17"/>
  <c r="K133" i="17"/>
  <c r="J133" i="17"/>
  <c r="V132" i="17"/>
  <c r="U132" i="17"/>
  <c r="K132" i="17"/>
  <c r="J132" i="17"/>
  <c r="V131" i="17"/>
  <c r="U131" i="17"/>
  <c r="K131" i="17"/>
  <c r="J131" i="17"/>
  <c r="V130" i="17"/>
  <c r="U130" i="17"/>
  <c r="K130" i="17"/>
  <c r="J130" i="17"/>
  <c r="V129" i="17"/>
  <c r="U129" i="17"/>
  <c r="K129" i="17"/>
  <c r="J129" i="17"/>
  <c r="V128" i="17"/>
  <c r="U128" i="17"/>
  <c r="K128" i="17"/>
  <c r="J128" i="17"/>
  <c r="V127" i="17"/>
  <c r="U127" i="17"/>
  <c r="K127" i="17"/>
  <c r="J127" i="17"/>
  <c r="V126" i="17"/>
  <c r="U126" i="17"/>
  <c r="K126" i="17"/>
  <c r="J126" i="17"/>
  <c r="V125" i="17"/>
  <c r="U125" i="17"/>
  <c r="K125" i="17"/>
  <c r="J125" i="17"/>
  <c r="V124" i="17"/>
  <c r="U124" i="17"/>
  <c r="K124" i="17"/>
  <c r="J124" i="17"/>
  <c r="V123" i="17"/>
  <c r="U123" i="17"/>
  <c r="K123" i="17"/>
  <c r="J123" i="17"/>
  <c r="V122" i="17"/>
  <c r="U122" i="17"/>
  <c r="K122" i="17"/>
  <c r="J122" i="17"/>
  <c r="V121" i="17"/>
  <c r="U121" i="17"/>
  <c r="K121" i="17"/>
  <c r="J121" i="17"/>
  <c r="V120" i="17"/>
  <c r="U120" i="17"/>
  <c r="K120" i="17"/>
  <c r="J120" i="17"/>
  <c r="V119" i="17"/>
  <c r="U119" i="17"/>
  <c r="K119" i="17"/>
  <c r="J119" i="17"/>
  <c r="V118" i="17"/>
  <c r="U118" i="17"/>
  <c r="K118" i="17"/>
  <c r="J118" i="17"/>
  <c r="V117" i="17"/>
  <c r="U117" i="17"/>
  <c r="U311" i="17" s="1"/>
  <c r="K117" i="17"/>
  <c r="J117" i="17"/>
  <c r="V116" i="17"/>
  <c r="U116" i="17"/>
  <c r="K116" i="17"/>
  <c r="J116" i="17"/>
  <c r="V115" i="17"/>
  <c r="U115" i="17"/>
  <c r="K115" i="17"/>
  <c r="J115" i="17"/>
  <c r="V114" i="17"/>
  <c r="U114" i="17"/>
  <c r="K114" i="17"/>
  <c r="J114" i="17"/>
  <c r="V113" i="17"/>
  <c r="U113" i="17"/>
  <c r="K113" i="17"/>
  <c r="J113" i="17"/>
  <c r="V112" i="17"/>
  <c r="U112" i="17"/>
  <c r="K112" i="17"/>
  <c r="J112" i="17"/>
  <c r="V111" i="17"/>
  <c r="U111" i="17"/>
  <c r="K111" i="17"/>
  <c r="J111" i="17"/>
  <c r="V110" i="17"/>
  <c r="U110" i="17"/>
  <c r="K110" i="17"/>
  <c r="J110" i="17"/>
  <c r="V109" i="17"/>
  <c r="U109" i="17"/>
  <c r="K109" i="17"/>
  <c r="J109" i="17"/>
  <c r="V108" i="17"/>
  <c r="U108" i="17"/>
  <c r="K108" i="17"/>
  <c r="J108" i="17"/>
  <c r="V107" i="17"/>
  <c r="U107" i="17"/>
  <c r="K107" i="17"/>
  <c r="J107" i="17"/>
  <c r="V106" i="17"/>
  <c r="U106" i="17"/>
  <c r="K106" i="17"/>
  <c r="J106" i="17"/>
  <c r="V105" i="17"/>
  <c r="U105" i="17"/>
  <c r="K105" i="17"/>
  <c r="J105" i="17"/>
  <c r="V104" i="17"/>
  <c r="U104" i="17"/>
  <c r="K104" i="17"/>
  <c r="J104" i="17"/>
  <c r="V103" i="17"/>
  <c r="U103" i="17"/>
  <c r="K103" i="17"/>
  <c r="J103" i="17"/>
  <c r="V102" i="17"/>
  <c r="U102" i="17"/>
  <c r="K102" i="17"/>
  <c r="J102" i="17"/>
  <c r="V99" i="17"/>
  <c r="V302" i="17" s="1"/>
  <c r="U99" i="17"/>
  <c r="U302" i="17" s="1"/>
  <c r="K99" i="17"/>
  <c r="K302" i="17" s="1"/>
  <c r="J99" i="17"/>
  <c r="J302" i="17" s="1"/>
  <c r="V95" i="17"/>
  <c r="V298" i="17" s="1"/>
  <c r="U95" i="17"/>
  <c r="U298" i="17" s="1"/>
  <c r="K95" i="17"/>
  <c r="K298" i="17" s="1"/>
  <c r="J95" i="17"/>
  <c r="J298" i="17" s="1"/>
  <c r="V94" i="17"/>
  <c r="V297" i="17" s="1"/>
  <c r="U94" i="17"/>
  <c r="U297" i="17" s="1"/>
  <c r="K94" i="17"/>
  <c r="K297" i="17" s="1"/>
  <c r="J94" i="17"/>
  <c r="J297" i="17" s="1"/>
  <c r="V93" i="17"/>
  <c r="V296" i="17" s="1"/>
  <c r="U93" i="17"/>
  <c r="U296" i="17" s="1"/>
  <c r="K93" i="17"/>
  <c r="K296" i="17" s="1"/>
  <c r="J93" i="17"/>
  <c r="J296" i="17" s="1"/>
  <c r="V92" i="17"/>
  <c r="V295" i="17" s="1"/>
  <c r="U92" i="17"/>
  <c r="U295" i="17" s="1"/>
  <c r="K92" i="17"/>
  <c r="K295" i="17" s="1"/>
  <c r="J92" i="17"/>
  <c r="J295" i="17" s="1"/>
  <c r="V91" i="17"/>
  <c r="V294" i="17" s="1"/>
  <c r="U91" i="17"/>
  <c r="U294" i="17" s="1"/>
  <c r="K91" i="17"/>
  <c r="K294" i="17" s="1"/>
  <c r="J91" i="17"/>
  <c r="J294" i="17" s="1"/>
  <c r="V90" i="17"/>
  <c r="U90" i="17"/>
  <c r="U293" i="17" s="1"/>
  <c r="K90" i="17"/>
  <c r="K293" i="17" s="1"/>
  <c r="J90" i="17"/>
  <c r="J293" i="17" s="1"/>
  <c r="V89" i="17"/>
  <c r="V292" i="17" s="1"/>
  <c r="U89" i="17"/>
  <c r="U292" i="17" s="1"/>
  <c r="K89" i="17"/>
  <c r="K292" i="17" s="1"/>
  <c r="J89" i="17"/>
  <c r="J292" i="17" s="1"/>
  <c r="V88" i="17"/>
  <c r="U88" i="17"/>
  <c r="K88" i="17"/>
  <c r="J88" i="17"/>
  <c r="V87" i="17"/>
  <c r="U87" i="17"/>
  <c r="K87" i="17"/>
  <c r="J87" i="17"/>
  <c r="V86" i="17"/>
  <c r="U86" i="17"/>
  <c r="K86" i="17"/>
  <c r="J86" i="17"/>
  <c r="V85" i="17"/>
  <c r="U85" i="17"/>
  <c r="K85" i="17"/>
  <c r="J85" i="17"/>
  <c r="V84" i="17"/>
  <c r="U84" i="17"/>
  <c r="U291" i="17" s="1"/>
  <c r="K84" i="17"/>
  <c r="J84" i="17"/>
  <c r="J291" i="17" s="1"/>
  <c r="V83" i="17"/>
  <c r="U83" i="17"/>
  <c r="K83" i="17"/>
  <c r="J83" i="17"/>
  <c r="V82" i="17"/>
  <c r="U82" i="17"/>
  <c r="K82" i="17"/>
  <c r="J82" i="17"/>
  <c r="V81" i="17"/>
  <c r="U81" i="17"/>
  <c r="K81" i="17"/>
  <c r="J81" i="17"/>
  <c r="V80" i="17"/>
  <c r="U80" i="17"/>
  <c r="K80" i="17"/>
  <c r="J80" i="17"/>
  <c r="V79" i="17"/>
  <c r="U79" i="17"/>
  <c r="K79" i="17"/>
  <c r="J79" i="17"/>
  <c r="V78" i="17"/>
  <c r="U78" i="17"/>
  <c r="K78" i="17"/>
  <c r="J78" i="17"/>
  <c r="V77" i="17"/>
  <c r="U77" i="17"/>
  <c r="K77" i="17"/>
  <c r="J77" i="17"/>
  <c r="V76" i="17"/>
  <c r="U76" i="17"/>
  <c r="K76" i="17"/>
  <c r="J76" i="17"/>
  <c r="V75" i="17"/>
  <c r="U75" i="17"/>
  <c r="K75" i="17"/>
  <c r="J75" i="17"/>
  <c r="V74" i="17"/>
  <c r="U74" i="17"/>
  <c r="U289" i="17" s="1"/>
  <c r="K74" i="17"/>
  <c r="J74" i="17"/>
  <c r="V73" i="17"/>
  <c r="U73" i="17"/>
  <c r="K73" i="17"/>
  <c r="J73" i="17"/>
  <c r="V72" i="17"/>
  <c r="U72" i="17"/>
  <c r="K72" i="17"/>
  <c r="J72" i="17"/>
  <c r="V71" i="17"/>
  <c r="U71" i="17"/>
  <c r="K71" i="17"/>
  <c r="J71" i="17"/>
  <c r="V70" i="17"/>
  <c r="U70" i="17"/>
  <c r="K70" i="17"/>
  <c r="J70" i="17"/>
  <c r="V69" i="17"/>
  <c r="U69" i="17"/>
  <c r="K69" i="17"/>
  <c r="J69" i="17"/>
  <c r="V68" i="17"/>
  <c r="U68" i="17"/>
  <c r="K68" i="17"/>
  <c r="J68" i="17"/>
  <c r="V67" i="17"/>
  <c r="U67" i="17"/>
  <c r="K67" i="17"/>
  <c r="J67" i="17"/>
  <c r="V66" i="17"/>
  <c r="U66" i="17"/>
  <c r="K66" i="17"/>
  <c r="J66" i="17"/>
  <c r="V65" i="17"/>
  <c r="U65" i="17"/>
  <c r="K65" i="17"/>
  <c r="J65" i="17"/>
  <c r="V64" i="17"/>
  <c r="U64" i="17"/>
  <c r="K64" i="17"/>
  <c r="J64" i="17"/>
  <c r="V63" i="17"/>
  <c r="U63" i="17"/>
  <c r="K63" i="17"/>
  <c r="J63" i="17"/>
  <c r="V62" i="17"/>
  <c r="U62" i="17"/>
  <c r="K62" i="17"/>
  <c r="J62" i="17"/>
  <c r="V61" i="17"/>
  <c r="U61" i="17"/>
  <c r="K61" i="17"/>
  <c r="J61" i="17"/>
  <c r="V60" i="17"/>
  <c r="U60" i="17"/>
  <c r="K60" i="17"/>
  <c r="J60" i="17"/>
  <c r="V59" i="17"/>
  <c r="U59" i="17"/>
  <c r="K59" i="17"/>
  <c r="J59" i="17"/>
  <c r="V58" i="17"/>
  <c r="U58" i="17"/>
  <c r="K58" i="17"/>
  <c r="J58" i="17"/>
  <c r="V57" i="17"/>
  <c r="U57" i="17"/>
  <c r="K57" i="17"/>
  <c r="J57" i="17"/>
  <c r="V56" i="17"/>
  <c r="U56" i="17"/>
  <c r="K56" i="17"/>
  <c r="J56" i="17"/>
  <c r="V55" i="17"/>
  <c r="U55" i="17"/>
  <c r="K55" i="17"/>
  <c r="J55" i="17"/>
  <c r="V54" i="17"/>
  <c r="U54" i="17"/>
  <c r="K54" i="17"/>
  <c r="J54" i="17"/>
  <c r="V51" i="17"/>
  <c r="V283" i="17" s="1"/>
  <c r="U51" i="17"/>
  <c r="U283" i="17" s="1"/>
  <c r="J51" i="17"/>
  <c r="J283" i="17" s="1"/>
  <c r="V47" i="17"/>
  <c r="V279" i="17" s="1"/>
  <c r="U47" i="17"/>
  <c r="K47" i="17"/>
  <c r="K279" i="17" s="1"/>
  <c r="J47" i="17"/>
  <c r="J279" i="17" s="1"/>
  <c r="V46" i="17"/>
  <c r="V278" i="17" s="1"/>
  <c r="U46" i="17"/>
  <c r="U278" i="17" s="1"/>
  <c r="K46" i="17"/>
  <c r="K278" i="17" s="1"/>
  <c r="J46" i="17"/>
  <c r="J278" i="17" s="1"/>
  <c r="V45" i="17"/>
  <c r="V277" i="17" s="1"/>
  <c r="U45" i="17"/>
  <c r="U277" i="17" s="1"/>
  <c r="K45" i="17"/>
  <c r="K277" i="17" s="1"/>
  <c r="J45" i="17"/>
  <c r="J277" i="17" s="1"/>
  <c r="V44" i="17"/>
  <c r="V276" i="17" s="1"/>
  <c r="U44" i="17"/>
  <c r="U276" i="17" s="1"/>
  <c r="K44" i="17"/>
  <c r="K276" i="17" s="1"/>
  <c r="J44" i="17"/>
  <c r="J276" i="17" s="1"/>
  <c r="V43" i="17"/>
  <c r="U43" i="17"/>
  <c r="K43" i="17"/>
  <c r="K275" i="17" s="1"/>
  <c r="J43" i="17"/>
  <c r="J275" i="17" s="1"/>
  <c r="V42" i="17"/>
  <c r="V274" i="17" s="1"/>
  <c r="U42" i="17"/>
  <c r="U274" i="17" s="1"/>
  <c r="K42" i="17"/>
  <c r="K274" i="17" s="1"/>
  <c r="J42" i="17"/>
  <c r="J274" i="17" s="1"/>
  <c r="V41" i="17"/>
  <c r="V273" i="17" s="1"/>
  <c r="U41" i="17"/>
  <c r="U273" i="17" s="1"/>
  <c r="K41" i="17"/>
  <c r="K273" i="17" s="1"/>
  <c r="J41" i="17"/>
  <c r="J273" i="17" s="1"/>
  <c r="V40" i="17"/>
  <c r="U40" i="17"/>
  <c r="K40" i="17"/>
  <c r="J40" i="17"/>
  <c r="V39" i="17"/>
  <c r="U39" i="17"/>
  <c r="K39" i="17"/>
  <c r="J39" i="17"/>
  <c r="V38" i="17"/>
  <c r="U38" i="17"/>
  <c r="K38" i="17"/>
  <c r="J38" i="17"/>
  <c r="V37" i="17"/>
  <c r="U37" i="17"/>
  <c r="K37" i="17"/>
  <c r="J37" i="17"/>
  <c r="V36" i="17"/>
  <c r="U36" i="17"/>
  <c r="U272" i="17" s="1"/>
  <c r="K36" i="17"/>
  <c r="J36" i="17"/>
  <c r="V35" i="17"/>
  <c r="U35" i="17"/>
  <c r="K35" i="17"/>
  <c r="J35" i="17"/>
  <c r="V34" i="17"/>
  <c r="U34" i="17"/>
  <c r="K34" i="17"/>
  <c r="J34" i="17"/>
  <c r="V33" i="17"/>
  <c r="U33" i="17"/>
  <c r="K33" i="17"/>
  <c r="J33" i="17"/>
  <c r="V32" i="17"/>
  <c r="U32" i="17"/>
  <c r="K32" i="17"/>
  <c r="J32" i="17"/>
  <c r="V31" i="17"/>
  <c r="U31" i="17"/>
  <c r="K31" i="17"/>
  <c r="J31" i="17"/>
  <c r="V30" i="17"/>
  <c r="U30" i="17"/>
  <c r="K30" i="17"/>
  <c r="J30" i="17"/>
  <c r="V29" i="17"/>
  <c r="U29" i="17"/>
  <c r="K29" i="17"/>
  <c r="J29" i="17"/>
  <c r="V28" i="17"/>
  <c r="U28" i="17"/>
  <c r="K28" i="17"/>
  <c r="J28" i="17"/>
  <c r="V27" i="17"/>
  <c r="U27" i="17"/>
  <c r="K27" i="17"/>
  <c r="J27" i="17"/>
  <c r="V26" i="17"/>
  <c r="U26" i="17"/>
  <c r="K26" i="17"/>
  <c r="J26" i="17"/>
  <c r="V25" i="17"/>
  <c r="U25" i="17"/>
  <c r="K25" i="17"/>
  <c r="J25" i="17"/>
  <c r="V24" i="17"/>
  <c r="U24" i="17"/>
  <c r="K24" i="17"/>
  <c r="J24" i="17"/>
  <c r="V23" i="17"/>
  <c r="U23" i="17"/>
  <c r="K23" i="17"/>
  <c r="J23" i="17"/>
  <c r="V22" i="17"/>
  <c r="U22" i="17"/>
  <c r="K22" i="17"/>
  <c r="J22" i="17"/>
  <c r="V21" i="17"/>
  <c r="U21" i="17"/>
  <c r="K21" i="17"/>
  <c r="J21" i="17"/>
  <c r="V20" i="17"/>
  <c r="U20" i="17"/>
  <c r="K20" i="17"/>
  <c r="J20" i="17"/>
  <c r="V19" i="17"/>
  <c r="U19" i="17"/>
  <c r="K19" i="17"/>
  <c r="J19" i="17"/>
  <c r="V18" i="17"/>
  <c r="U18" i="17"/>
  <c r="K18" i="17"/>
  <c r="J18" i="17"/>
  <c r="V17" i="17"/>
  <c r="U17" i="17"/>
  <c r="K17" i="17"/>
  <c r="J17" i="17"/>
  <c r="V16" i="17"/>
  <c r="U16" i="17"/>
  <c r="K16" i="17"/>
  <c r="J16" i="17"/>
  <c r="V15" i="17"/>
  <c r="U15" i="17"/>
  <c r="K15" i="17"/>
  <c r="J15" i="17"/>
  <c r="V14" i="17"/>
  <c r="U14" i="17"/>
  <c r="K14" i="17"/>
  <c r="J14" i="17"/>
  <c r="V13" i="17"/>
  <c r="U13" i="17"/>
  <c r="K13" i="17"/>
  <c r="J13" i="17"/>
  <c r="V12" i="17"/>
  <c r="U12" i="17"/>
  <c r="K12" i="17"/>
  <c r="J12" i="17"/>
  <c r="V11" i="17"/>
  <c r="U11" i="17"/>
  <c r="K11" i="17"/>
  <c r="J11" i="17"/>
  <c r="V10" i="17"/>
  <c r="U10" i="17"/>
  <c r="K10" i="17"/>
  <c r="J10" i="17"/>
  <c r="V9" i="17"/>
  <c r="U9" i="17"/>
  <c r="K9" i="17"/>
  <c r="J9" i="17"/>
  <c r="V8" i="17"/>
  <c r="U8" i="17"/>
  <c r="K8" i="17"/>
  <c r="J8" i="17"/>
  <c r="V7" i="17"/>
  <c r="U7" i="17"/>
  <c r="K7" i="17"/>
  <c r="J7" i="17"/>
  <c r="V6" i="17"/>
  <c r="U6" i="17"/>
  <c r="K6" i="17"/>
  <c r="J6" i="17"/>
  <c r="A363" i="16"/>
  <c r="A362" i="16"/>
  <c r="I342" i="16"/>
  <c r="H342" i="16"/>
  <c r="G342" i="16"/>
  <c r="F342" i="16"/>
  <c r="E342" i="16"/>
  <c r="D342" i="16"/>
  <c r="C342" i="16"/>
  <c r="B342" i="16"/>
  <c r="I338" i="16"/>
  <c r="H338" i="16"/>
  <c r="G338" i="16"/>
  <c r="F338" i="16"/>
  <c r="E338" i="16"/>
  <c r="D338" i="16"/>
  <c r="C338" i="16"/>
  <c r="B338" i="16"/>
  <c r="I337" i="16"/>
  <c r="H337" i="16"/>
  <c r="G337" i="16"/>
  <c r="F337" i="16"/>
  <c r="E337" i="16"/>
  <c r="D337" i="16"/>
  <c r="C337" i="16"/>
  <c r="B337" i="16"/>
  <c r="I336" i="16"/>
  <c r="H336" i="16"/>
  <c r="G336" i="16"/>
  <c r="F336" i="16"/>
  <c r="E336" i="16"/>
  <c r="D336" i="16"/>
  <c r="C336" i="16"/>
  <c r="B336" i="16"/>
  <c r="I335" i="16"/>
  <c r="H335" i="16"/>
  <c r="G335" i="16"/>
  <c r="F335" i="16"/>
  <c r="E335" i="16"/>
  <c r="D335" i="16"/>
  <c r="C335" i="16"/>
  <c r="B335" i="16"/>
  <c r="I334" i="16"/>
  <c r="H334" i="16"/>
  <c r="G334" i="16"/>
  <c r="F334" i="16"/>
  <c r="E334" i="16"/>
  <c r="D334" i="16"/>
  <c r="C334" i="16"/>
  <c r="B334" i="16"/>
  <c r="I333" i="16"/>
  <c r="H333" i="16"/>
  <c r="G333" i="16"/>
  <c r="F333" i="16"/>
  <c r="E333" i="16"/>
  <c r="D333" i="16"/>
  <c r="C333" i="16"/>
  <c r="B333" i="16"/>
  <c r="I332" i="16"/>
  <c r="H332" i="16"/>
  <c r="G332" i="16"/>
  <c r="F332" i="16"/>
  <c r="E332" i="16"/>
  <c r="D332" i="16"/>
  <c r="C332" i="16"/>
  <c r="B332" i="16"/>
  <c r="I330" i="16"/>
  <c r="H330" i="16"/>
  <c r="G330" i="16"/>
  <c r="F330" i="16"/>
  <c r="E330" i="16"/>
  <c r="D330" i="16"/>
  <c r="C330" i="16"/>
  <c r="B330" i="16"/>
  <c r="G329" i="16"/>
  <c r="F329" i="16"/>
  <c r="E329" i="16"/>
  <c r="D329" i="16"/>
  <c r="C329" i="16"/>
  <c r="B329" i="16"/>
  <c r="G328" i="16"/>
  <c r="F328" i="16"/>
  <c r="E328" i="16"/>
  <c r="D328" i="16"/>
  <c r="C328" i="16"/>
  <c r="B328" i="16"/>
  <c r="G327" i="16"/>
  <c r="F327" i="16"/>
  <c r="E327" i="16"/>
  <c r="D327" i="16"/>
  <c r="C327" i="16"/>
  <c r="B327" i="16"/>
  <c r="I326" i="16"/>
  <c r="H326" i="16"/>
  <c r="G326" i="16"/>
  <c r="F326" i="16"/>
  <c r="E326" i="16"/>
  <c r="D326" i="16"/>
  <c r="C326" i="16"/>
  <c r="B326" i="16"/>
  <c r="H320" i="16"/>
  <c r="G320" i="16"/>
  <c r="F320" i="16"/>
  <c r="E320" i="16"/>
  <c r="D320" i="16"/>
  <c r="C320" i="16"/>
  <c r="B320" i="16"/>
  <c r="I316" i="16"/>
  <c r="H316" i="16"/>
  <c r="G316" i="16"/>
  <c r="F316" i="16"/>
  <c r="E316" i="16"/>
  <c r="D316" i="16"/>
  <c r="C316" i="16"/>
  <c r="B316" i="16"/>
  <c r="I315" i="16"/>
  <c r="H315" i="16"/>
  <c r="G315" i="16"/>
  <c r="F315" i="16"/>
  <c r="E315" i="16"/>
  <c r="D315" i="16"/>
  <c r="C315" i="16"/>
  <c r="B315" i="16"/>
  <c r="I314" i="16"/>
  <c r="H314" i="16"/>
  <c r="G314" i="16"/>
  <c r="F314" i="16"/>
  <c r="E314" i="16"/>
  <c r="D314" i="16"/>
  <c r="C314" i="16"/>
  <c r="B314" i="16"/>
  <c r="I313" i="16"/>
  <c r="H313" i="16"/>
  <c r="G313" i="16"/>
  <c r="F313" i="16"/>
  <c r="E313" i="16"/>
  <c r="D313" i="16"/>
  <c r="C313" i="16"/>
  <c r="B313" i="16"/>
  <c r="I312" i="16"/>
  <c r="H312" i="16"/>
  <c r="G312" i="16"/>
  <c r="F312" i="16"/>
  <c r="E312" i="16"/>
  <c r="D312" i="16"/>
  <c r="C312" i="16"/>
  <c r="B312" i="16"/>
  <c r="I311" i="16"/>
  <c r="H311" i="16"/>
  <c r="G311" i="16"/>
  <c r="F311" i="16"/>
  <c r="E311" i="16"/>
  <c r="D311" i="16"/>
  <c r="C311" i="16"/>
  <c r="B311" i="16"/>
  <c r="I310" i="16"/>
  <c r="H310" i="16"/>
  <c r="G310" i="16"/>
  <c r="F310" i="16"/>
  <c r="E310" i="16"/>
  <c r="D310" i="16"/>
  <c r="C310" i="16"/>
  <c r="B310" i="16"/>
  <c r="H308" i="16"/>
  <c r="G308" i="16"/>
  <c r="F308" i="16"/>
  <c r="E308" i="16"/>
  <c r="D308" i="16"/>
  <c r="C308" i="16"/>
  <c r="B308" i="16"/>
  <c r="G307" i="16"/>
  <c r="F307" i="16"/>
  <c r="E307" i="16"/>
  <c r="D307" i="16"/>
  <c r="C307" i="16"/>
  <c r="B307" i="16"/>
  <c r="G306" i="16"/>
  <c r="F306" i="16"/>
  <c r="E306" i="16"/>
  <c r="D306" i="16"/>
  <c r="C306" i="16"/>
  <c r="B306" i="16"/>
  <c r="G305" i="16"/>
  <c r="F305" i="16"/>
  <c r="E305" i="16"/>
  <c r="D305" i="16"/>
  <c r="C305" i="16"/>
  <c r="B305" i="16"/>
  <c r="I304" i="16"/>
  <c r="H304" i="16"/>
  <c r="G304" i="16"/>
  <c r="F304" i="16"/>
  <c r="E304" i="16"/>
  <c r="D304" i="16"/>
  <c r="C304" i="16"/>
  <c r="B304" i="16"/>
  <c r="I301" i="16"/>
  <c r="H301" i="16"/>
  <c r="G301" i="16"/>
  <c r="F301" i="16"/>
  <c r="E301" i="16"/>
  <c r="D301" i="16"/>
  <c r="C301" i="16"/>
  <c r="B301" i="16"/>
  <c r="I297" i="16"/>
  <c r="H297" i="16"/>
  <c r="G297" i="16"/>
  <c r="F297" i="16"/>
  <c r="E297" i="16"/>
  <c r="D297" i="16"/>
  <c r="C297" i="16"/>
  <c r="B297" i="16"/>
  <c r="I296" i="16"/>
  <c r="H296" i="16"/>
  <c r="G296" i="16"/>
  <c r="F296" i="16"/>
  <c r="E296" i="16"/>
  <c r="D296" i="16"/>
  <c r="C296" i="16"/>
  <c r="B296" i="16"/>
  <c r="I295" i="16"/>
  <c r="H295" i="16"/>
  <c r="G295" i="16"/>
  <c r="F295" i="16"/>
  <c r="E295" i="16"/>
  <c r="D295" i="16"/>
  <c r="C295" i="16"/>
  <c r="B295" i="16"/>
  <c r="I294" i="16"/>
  <c r="H294" i="16"/>
  <c r="G294" i="16"/>
  <c r="F294" i="16"/>
  <c r="E294" i="16"/>
  <c r="D294" i="16"/>
  <c r="C294" i="16"/>
  <c r="B294" i="16"/>
  <c r="I293" i="16"/>
  <c r="H293" i="16"/>
  <c r="G293" i="16"/>
  <c r="F293" i="16"/>
  <c r="E293" i="16"/>
  <c r="D293" i="16"/>
  <c r="C293" i="16"/>
  <c r="B293" i="16"/>
  <c r="I292" i="16"/>
  <c r="H292" i="16"/>
  <c r="G292" i="16"/>
  <c r="F292" i="16"/>
  <c r="E292" i="16"/>
  <c r="D292" i="16"/>
  <c r="C292" i="16"/>
  <c r="B292" i="16"/>
  <c r="I291" i="16"/>
  <c r="H291" i="16"/>
  <c r="G291" i="16"/>
  <c r="F291" i="16"/>
  <c r="E291" i="16"/>
  <c r="D291" i="16"/>
  <c r="C291" i="16"/>
  <c r="B291" i="16"/>
  <c r="I289" i="16"/>
  <c r="H289" i="16"/>
  <c r="G289" i="16"/>
  <c r="F289" i="16"/>
  <c r="E289" i="16"/>
  <c r="D289" i="16"/>
  <c r="C289" i="16"/>
  <c r="B289" i="16"/>
  <c r="I288" i="16"/>
  <c r="G288" i="16"/>
  <c r="F288" i="16"/>
  <c r="E288" i="16"/>
  <c r="D288" i="16"/>
  <c r="C288" i="16"/>
  <c r="B288" i="16"/>
  <c r="I287" i="16"/>
  <c r="H287" i="16"/>
  <c r="G287" i="16"/>
  <c r="F287" i="16"/>
  <c r="E287" i="16"/>
  <c r="D287" i="16"/>
  <c r="C287" i="16"/>
  <c r="B287" i="16"/>
  <c r="I286" i="16"/>
  <c r="H286" i="16"/>
  <c r="G286" i="16"/>
  <c r="F286" i="16"/>
  <c r="E286" i="16"/>
  <c r="D286" i="16"/>
  <c r="C286" i="16"/>
  <c r="B286" i="16"/>
  <c r="I285" i="16"/>
  <c r="H285" i="16"/>
  <c r="G285" i="16"/>
  <c r="F285" i="16"/>
  <c r="E285" i="16"/>
  <c r="D285" i="16"/>
  <c r="C285" i="16"/>
  <c r="B285" i="16"/>
  <c r="H282" i="16"/>
  <c r="G282" i="16"/>
  <c r="F282" i="16"/>
  <c r="E282" i="16"/>
  <c r="D282" i="16"/>
  <c r="C282" i="16"/>
  <c r="B282" i="16"/>
  <c r="I278" i="16"/>
  <c r="H278" i="16"/>
  <c r="G278" i="16"/>
  <c r="F278" i="16"/>
  <c r="E278" i="16"/>
  <c r="D278" i="16"/>
  <c r="C278" i="16"/>
  <c r="B278" i="16"/>
  <c r="I277" i="16"/>
  <c r="H277" i="16"/>
  <c r="G277" i="16"/>
  <c r="F277" i="16"/>
  <c r="E277" i="16"/>
  <c r="D277" i="16"/>
  <c r="C277" i="16"/>
  <c r="B277" i="16"/>
  <c r="I276" i="16"/>
  <c r="H276" i="16"/>
  <c r="G276" i="16"/>
  <c r="F276" i="16"/>
  <c r="E276" i="16"/>
  <c r="D276" i="16"/>
  <c r="C276" i="16"/>
  <c r="B276" i="16"/>
  <c r="I275" i="16"/>
  <c r="H275" i="16"/>
  <c r="G275" i="16"/>
  <c r="F275" i="16"/>
  <c r="E275" i="16"/>
  <c r="D275" i="16"/>
  <c r="C275" i="16"/>
  <c r="B275" i="16"/>
  <c r="I274" i="16"/>
  <c r="H274" i="16"/>
  <c r="G274" i="16"/>
  <c r="F274" i="16"/>
  <c r="E274" i="16"/>
  <c r="D274" i="16"/>
  <c r="C274" i="16"/>
  <c r="B274" i="16"/>
  <c r="I273" i="16"/>
  <c r="H273" i="16"/>
  <c r="G273" i="16"/>
  <c r="F273" i="16"/>
  <c r="E273" i="16"/>
  <c r="D273" i="16"/>
  <c r="C273" i="16"/>
  <c r="B273" i="16"/>
  <c r="I272" i="16"/>
  <c r="H272" i="16"/>
  <c r="G272" i="16"/>
  <c r="F272" i="16"/>
  <c r="E272" i="16"/>
  <c r="D272" i="16"/>
  <c r="C272" i="16"/>
  <c r="B272" i="16"/>
  <c r="I270" i="16"/>
  <c r="H270" i="16"/>
  <c r="G270" i="16"/>
  <c r="F270" i="16"/>
  <c r="E270" i="16"/>
  <c r="D270" i="16"/>
  <c r="C270" i="16"/>
  <c r="B270" i="16"/>
  <c r="I269" i="16"/>
  <c r="G269" i="16"/>
  <c r="F269" i="16"/>
  <c r="E269" i="16"/>
  <c r="D269" i="16"/>
  <c r="C269" i="16"/>
  <c r="B269" i="16"/>
  <c r="I268" i="16"/>
  <c r="H268" i="16"/>
  <c r="G268" i="16"/>
  <c r="F268" i="16"/>
  <c r="E268" i="16"/>
  <c r="D268" i="16"/>
  <c r="C268" i="16"/>
  <c r="B268" i="16"/>
  <c r="I267" i="16"/>
  <c r="H267" i="16"/>
  <c r="G267" i="16"/>
  <c r="F267" i="16"/>
  <c r="E267" i="16"/>
  <c r="D267" i="16"/>
  <c r="C267" i="16"/>
  <c r="B267" i="16"/>
  <c r="I266" i="16"/>
  <c r="H266" i="16"/>
  <c r="G266" i="16"/>
  <c r="F266" i="16"/>
  <c r="E266" i="16"/>
  <c r="D266" i="16"/>
  <c r="C266" i="16"/>
  <c r="B266" i="16"/>
  <c r="H242" i="16"/>
  <c r="H361" i="16" s="1"/>
  <c r="G242" i="16"/>
  <c r="G361" i="16" s="1"/>
  <c r="F242" i="16"/>
  <c r="F361" i="16" s="1"/>
  <c r="E242" i="16"/>
  <c r="E361" i="16" s="1"/>
  <c r="D242" i="16"/>
  <c r="D361" i="16" s="1"/>
  <c r="C242" i="16"/>
  <c r="C361" i="16" s="1"/>
  <c r="B242" i="16"/>
  <c r="B361" i="16" s="1"/>
  <c r="I238" i="16"/>
  <c r="I357" i="16" s="1"/>
  <c r="H238" i="16"/>
  <c r="H357" i="16" s="1"/>
  <c r="G238" i="16"/>
  <c r="G357" i="16" s="1"/>
  <c r="F238" i="16"/>
  <c r="F357" i="16" s="1"/>
  <c r="E238" i="16"/>
  <c r="E357" i="16" s="1"/>
  <c r="D238" i="16"/>
  <c r="D357" i="16" s="1"/>
  <c r="C238" i="16"/>
  <c r="C357" i="16" s="1"/>
  <c r="B238" i="16"/>
  <c r="B357" i="16" s="1"/>
  <c r="I237" i="16"/>
  <c r="I356" i="16" s="1"/>
  <c r="H237" i="16"/>
  <c r="H356" i="16" s="1"/>
  <c r="G237" i="16"/>
  <c r="G356" i="16" s="1"/>
  <c r="F237" i="16"/>
  <c r="F356" i="16" s="1"/>
  <c r="E237" i="16"/>
  <c r="E356" i="16" s="1"/>
  <c r="D237" i="16"/>
  <c r="D356" i="16" s="1"/>
  <c r="C237" i="16"/>
  <c r="C356" i="16" s="1"/>
  <c r="B237" i="16"/>
  <c r="B356" i="16" s="1"/>
  <c r="I236" i="16"/>
  <c r="I355" i="16" s="1"/>
  <c r="H236" i="16"/>
  <c r="H355" i="16" s="1"/>
  <c r="G236" i="16"/>
  <c r="G355" i="16" s="1"/>
  <c r="F236" i="16"/>
  <c r="F355" i="16" s="1"/>
  <c r="E236" i="16"/>
  <c r="E355" i="16" s="1"/>
  <c r="D236" i="16"/>
  <c r="D355" i="16" s="1"/>
  <c r="C236" i="16"/>
  <c r="C355" i="16" s="1"/>
  <c r="B236" i="16"/>
  <c r="B355" i="16" s="1"/>
  <c r="I235" i="16"/>
  <c r="I354" i="16" s="1"/>
  <c r="H235" i="16"/>
  <c r="H354" i="16" s="1"/>
  <c r="G235" i="16"/>
  <c r="G354" i="16" s="1"/>
  <c r="F235" i="16"/>
  <c r="F354" i="16" s="1"/>
  <c r="E235" i="16"/>
  <c r="E354" i="16" s="1"/>
  <c r="D235" i="16"/>
  <c r="D354" i="16" s="1"/>
  <c r="C235" i="16"/>
  <c r="C354" i="16" s="1"/>
  <c r="B235" i="16"/>
  <c r="B354" i="16" s="1"/>
  <c r="I234" i="16"/>
  <c r="I353" i="16" s="1"/>
  <c r="H234" i="16"/>
  <c r="H353" i="16" s="1"/>
  <c r="G234" i="16"/>
  <c r="G353" i="16" s="1"/>
  <c r="F234" i="16"/>
  <c r="F353" i="16" s="1"/>
  <c r="E234" i="16"/>
  <c r="E353" i="16" s="1"/>
  <c r="D234" i="16"/>
  <c r="D353" i="16" s="1"/>
  <c r="C234" i="16"/>
  <c r="C353" i="16" s="1"/>
  <c r="B234" i="16"/>
  <c r="B353" i="16" s="1"/>
  <c r="I233" i="16"/>
  <c r="I352" i="16" s="1"/>
  <c r="H233" i="16"/>
  <c r="H352" i="16" s="1"/>
  <c r="G233" i="16"/>
  <c r="G352" i="16" s="1"/>
  <c r="F233" i="16"/>
  <c r="F352" i="16" s="1"/>
  <c r="E233" i="16"/>
  <c r="E352" i="16" s="1"/>
  <c r="D233" i="16"/>
  <c r="D352" i="16" s="1"/>
  <c r="C233" i="16"/>
  <c r="C352" i="16" s="1"/>
  <c r="B233" i="16"/>
  <c r="B352" i="16" s="1"/>
  <c r="I232" i="16"/>
  <c r="I351" i="16" s="1"/>
  <c r="H232" i="16"/>
  <c r="H351" i="16" s="1"/>
  <c r="G232" i="16"/>
  <c r="G351" i="16" s="1"/>
  <c r="F232" i="16"/>
  <c r="F351" i="16" s="1"/>
  <c r="E232" i="16"/>
  <c r="E351" i="16" s="1"/>
  <c r="D232" i="16"/>
  <c r="D351" i="16" s="1"/>
  <c r="C232" i="16"/>
  <c r="C351" i="16" s="1"/>
  <c r="B232" i="16"/>
  <c r="B351" i="16" s="1"/>
  <c r="I231" i="16"/>
  <c r="H231" i="16"/>
  <c r="G231" i="16"/>
  <c r="F231" i="16"/>
  <c r="E231" i="16"/>
  <c r="D231" i="16"/>
  <c r="C231" i="16"/>
  <c r="B231" i="16"/>
  <c r="I230" i="16"/>
  <c r="H230" i="16"/>
  <c r="G230" i="16"/>
  <c r="F230" i="16"/>
  <c r="E230" i="16"/>
  <c r="D230" i="16"/>
  <c r="C230" i="16"/>
  <c r="B230" i="16"/>
  <c r="I229" i="16"/>
  <c r="H229" i="16"/>
  <c r="G229" i="16"/>
  <c r="F229" i="16"/>
  <c r="E229" i="16"/>
  <c r="D229" i="16"/>
  <c r="C229" i="16"/>
  <c r="B229" i="16"/>
  <c r="I228" i="16"/>
  <c r="H228" i="16"/>
  <c r="G228" i="16"/>
  <c r="F228" i="16"/>
  <c r="E228" i="16"/>
  <c r="D228" i="16"/>
  <c r="C228" i="16"/>
  <c r="B228" i="16"/>
  <c r="I227" i="16"/>
  <c r="I350" i="16" s="1"/>
  <c r="H227" i="16"/>
  <c r="H350" i="16" s="1"/>
  <c r="G227" i="16"/>
  <c r="G350" i="16" s="1"/>
  <c r="F227" i="16"/>
  <c r="F350" i="16" s="1"/>
  <c r="E227" i="16"/>
  <c r="E350" i="16" s="1"/>
  <c r="D227" i="16"/>
  <c r="D350" i="16" s="1"/>
  <c r="C227" i="16"/>
  <c r="C350" i="16" s="1"/>
  <c r="B227" i="16"/>
  <c r="B350" i="16" s="1"/>
  <c r="I226" i="16"/>
  <c r="H226" i="16"/>
  <c r="G226" i="16"/>
  <c r="F226" i="16"/>
  <c r="E226" i="16"/>
  <c r="D226" i="16"/>
  <c r="C226" i="16"/>
  <c r="B226" i="16"/>
  <c r="I225" i="16"/>
  <c r="H225" i="16"/>
  <c r="G225" i="16"/>
  <c r="F225" i="16"/>
  <c r="E225" i="16"/>
  <c r="D225" i="16"/>
  <c r="C225" i="16"/>
  <c r="B225" i="16"/>
  <c r="I224" i="16"/>
  <c r="H224" i="16"/>
  <c r="G224" i="16"/>
  <c r="F224" i="16"/>
  <c r="E224" i="16"/>
  <c r="D224" i="16"/>
  <c r="C224" i="16"/>
  <c r="B224" i="16"/>
  <c r="I223" i="16"/>
  <c r="H223" i="16"/>
  <c r="G223" i="16"/>
  <c r="F223" i="16"/>
  <c r="E223" i="16"/>
  <c r="D223" i="16"/>
  <c r="C223" i="16"/>
  <c r="B223" i="16"/>
  <c r="I222" i="16"/>
  <c r="I349" i="16" s="1"/>
  <c r="H222" i="16"/>
  <c r="G222" i="16"/>
  <c r="F222" i="16"/>
  <c r="E222" i="16"/>
  <c r="E349" i="16" s="1"/>
  <c r="D222" i="16"/>
  <c r="C222" i="16"/>
  <c r="B222" i="16"/>
  <c r="I221" i="16"/>
  <c r="H221" i="16"/>
  <c r="G221" i="16"/>
  <c r="F221" i="16"/>
  <c r="E221" i="16"/>
  <c r="D221" i="16"/>
  <c r="C221" i="16"/>
  <c r="B221" i="16"/>
  <c r="I220" i="16"/>
  <c r="H220" i="16"/>
  <c r="G220" i="16"/>
  <c r="F220" i="16"/>
  <c r="E220" i="16"/>
  <c r="D220" i="16"/>
  <c r="C220" i="16"/>
  <c r="B220" i="16"/>
  <c r="I219" i="16"/>
  <c r="H219" i="16"/>
  <c r="G219" i="16"/>
  <c r="F219" i="16"/>
  <c r="E219" i="16"/>
  <c r="D219" i="16"/>
  <c r="C219" i="16"/>
  <c r="B219" i="16"/>
  <c r="I218" i="16"/>
  <c r="H218" i="16"/>
  <c r="G218" i="16"/>
  <c r="F218" i="16"/>
  <c r="E218" i="16"/>
  <c r="D218" i="16"/>
  <c r="C218" i="16"/>
  <c r="B218" i="16"/>
  <c r="I217" i="16"/>
  <c r="H217" i="16"/>
  <c r="G217" i="16"/>
  <c r="F217" i="16"/>
  <c r="E217" i="16"/>
  <c r="E348" i="16" s="1"/>
  <c r="D217" i="16"/>
  <c r="C217" i="16"/>
  <c r="B217" i="16"/>
  <c r="I216" i="16"/>
  <c r="H216" i="16"/>
  <c r="G216" i="16"/>
  <c r="F216" i="16"/>
  <c r="E216" i="16"/>
  <c r="D216" i="16"/>
  <c r="C216" i="16"/>
  <c r="B216" i="16"/>
  <c r="I215" i="16"/>
  <c r="H215" i="16"/>
  <c r="G215" i="16"/>
  <c r="F215" i="16"/>
  <c r="E215" i="16"/>
  <c r="D215" i="16"/>
  <c r="C215" i="16"/>
  <c r="B215" i="16"/>
  <c r="I214" i="16"/>
  <c r="H214" i="16"/>
  <c r="G214" i="16"/>
  <c r="F214" i="16"/>
  <c r="E214" i="16"/>
  <c r="D214" i="16"/>
  <c r="C214" i="16"/>
  <c r="B214" i="16"/>
  <c r="I213" i="16"/>
  <c r="H213" i="16"/>
  <c r="G213" i="16"/>
  <c r="F213" i="16"/>
  <c r="E213" i="16"/>
  <c r="D213" i="16"/>
  <c r="C213" i="16"/>
  <c r="B213" i="16"/>
  <c r="I212" i="16"/>
  <c r="I347" i="16" s="1"/>
  <c r="H212" i="16"/>
  <c r="H347" i="16" s="1"/>
  <c r="G212" i="16"/>
  <c r="F212" i="16"/>
  <c r="E212" i="16"/>
  <c r="D212" i="16"/>
  <c r="D347" i="16" s="1"/>
  <c r="C212" i="16"/>
  <c r="C347" i="16" s="1"/>
  <c r="B212" i="16"/>
  <c r="I211" i="16"/>
  <c r="H211" i="16"/>
  <c r="G211" i="16"/>
  <c r="F211" i="16"/>
  <c r="E211" i="16"/>
  <c r="D211" i="16"/>
  <c r="C211" i="16"/>
  <c r="B211" i="16"/>
  <c r="I210" i="16"/>
  <c r="H210" i="16"/>
  <c r="G210" i="16"/>
  <c r="F210" i="16"/>
  <c r="E210" i="16"/>
  <c r="D210" i="16"/>
  <c r="C210" i="16"/>
  <c r="B210" i="16"/>
  <c r="I209" i="16"/>
  <c r="H209" i="16"/>
  <c r="G209" i="16"/>
  <c r="F209" i="16"/>
  <c r="E209" i="16"/>
  <c r="D209" i="16"/>
  <c r="C209" i="16"/>
  <c r="B209" i="16"/>
  <c r="I208" i="16"/>
  <c r="H208" i="16"/>
  <c r="G208" i="16"/>
  <c r="F208" i="16"/>
  <c r="E208" i="16"/>
  <c r="D208" i="16"/>
  <c r="C208" i="16"/>
  <c r="B208" i="16"/>
  <c r="I207" i="16"/>
  <c r="I346" i="16" s="1"/>
  <c r="H207" i="16"/>
  <c r="G207" i="16"/>
  <c r="F207" i="16"/>
  <c r="E207" i="16"/>
  <c r="E346" i="16" s="1"/>
  <c r="D207" i="16"/>
  <c r="C207" i="16"/>
  <c r="B207" i="16"/>
  <c r="I206" i="16"/>
  <c r="H206" i="16"/>
  <c r="G206" i="16"/>
  <c r="F206" i="16"/>
  <c r="E206" i="16"/>
  <c r="D206" i="16"/>
  <c r="C206" i="16"/>
  <c r="B206" i="16"/>
  <c r="I205" i="16"/>
  <c r="H205" i="16"/>
  <c r="G205" i="16"/>
  <c r="F205" i="16"/>
  <c r="E205" i="16"/>
  <c r="D205" i="16"/>
  <c r="C205" i="16"/>
  <c r="B205" i="16"/>
  <c r="I204" i="16"/>
  <c r="H204" i="16"/>
  <c r="G204" i="16"/>
  <c r="F204" i="16"/>
  <c r="E204" i="16"/>
  <c r="D204" i="16"/>
  <c r="C204" i="16"/>
  <c r="B204" i="16"/>
  <c r="I203" i="16"/>
  <c r="H203" i="16"/>
  <c r="G203" i="16"/>
  <c r="F203" i="16"/>
  <c r="E203" i="16"/>
  <c r="D203" i="16"/>
  <c r="C203" i="16"/>
  <c r="B203" i="16"/>
  <c r="I202" i="16"/>
  <c r="H202" i="16"/>
  <c r="G202" i="16"/>
  <c r="F202" i="16"/>
  <c r="E202" i="16"/>
  <c r="E345" i="16" s="1"/>
  <c r="D202" i="16"/>
  <c r="D345" i="16" s="1"/>
  <c r="C202" i="16"/>
  <c r="C345" i="16" s="1"/>
  <c r="B202" i="16"/>
  <c r="I201" i="16"/>
  <c r="H201" i="16"/>
  <c r="G201" i="16"/>
  <c r="F201" i="16"/>
  <c r="E201" i="16"/>
  <c r="D201" i="16"/>
  <c r="C201" i="16"/>
  <c r="B201" i="16"/>
  <c r="I200" i="16"/>
  <c r="H200" i="16"/>
  <c r="G200" i="16"/>
  <c r="F200" i="16"/>
  <c r="E200" i="16"/>
  <c r="D200" i="16"/>
  <c r="C200" i="16"/>
  <c r="B200" i="16"/>
  <c r="I199" i="16"/>
  <c r="H199" i="16"/>
  <c r="G199" i="16"/>
  <c r="F199" i="16"/>
  <c r="E199" i="16"/>
  <c r="D199" i="16"/>
  <c r="C199" i="16"/>
  <c r="B199" i="16"/>
  <c r="I198" i="16"/>
  <c r="H198" i="16"/>
  <c r="G198" i="16"/>
  <c r="F198" i="16"/>
  <c r="E198" i="16"/>
  <c r="D198" i="16"/>
  <c r="C198" i="16"/>
  <c r="B198" i="16"/>
  <c r="I197" i="16"/>
  <c r="H197" i="16"/>
  <c r="G197" i="16"/>
  <c r="F197" i="16"/>
  <c r="E197" i="16"/>
  <c r="D197" i="16"/>
  <c r="C197" i="16"/>
  <c r="B197" i="16"/>
  <c r="K194" i="16"/>
  <c r="J194" i="16"/>
  <c r="J342" i="16" s="1"/>
  <c r="K190" i="16"/>
  <c r="K338" i="16" s="1"/>
  <c r="J190" i="16"/>
  <c r="K189" i="16"/>
  <c r="K337" i="16" s="1"/>
  <c r="J189" i="16"/>
  <c r="J337" i="16" s="1"/>
  <c r="K188" i="16"/>
  <c r="J188" i="16"/>
  <c r="K187" i="16"/>
  <c r="J187" i="16"/>
  <c r="J335" i="16" s="1"/>
  <c r="K186" i="16"/>
  <c r="J186" i="16"/>
  <c r="J334" i="16" s="1"/>
  <c r="K185" i="16"/>
  <c r="J185" i="16"/>
  <c r="J333" i="16" s="1"/>
  <c r="K184" i="16"/>
  <c r="K332" i="16" s="1"/>
  <c r="J184" i="16"/>
  <c r="J332" i="16" s="1"/>
  <c r="K183" i="16"/>
  <c r="J183" i="16"/>
  <c r="K182" i="16"/>
  <c r="J182" i="16"/>
  <c r="K181" i="16"/>
  <c r="J181" i="16"/>
  <c r="K180" i="16"/>
  <c r="J180" i="16"/>
  <c r="K179" i="16"/>
  <c r="J179" i="16"/>
  <c r="K178" i="16"/>
  <c r="J178" i="16"/>
  <c r="K177" i="16"/>
  <c r="J177" i="16"/>
  <c r="K176" i="16"/>
  <c r="J176" i="16"/>
  <c r="K175" i="16"/>
  <c r="J175" i="16"/>
  <c r="K174" i="16"/>
  <c r="J174" i="16"/>
  <c r="K173" i="16"/>
  <c r="J173" i="16"/>
  <c r="K172" i="16"/>
  <c r="J172" i="16"/>
  <c r="K171" i="16"/>
  <c r="J171" i="16"/>
  <c r="K170" i="16"/>
  <c r="J170" i="16"/>
  <c r="K169" i="16"/>
  <c r="J169" i="16"/>
  <c r="K168" i="16"/>
  <c r="J168" i="16"/>
  <c r="K167" i="16"/>
  <c r="J167" i="16"/>
  <c r="K166" i="16"/>
  <c r="J166" i="16"/>
  <c r="K165" i="16"/>
  <c r="J165" i="16"/>
  <c r="K164" i="16"/>
  <c r="J164" i="16"/>
  <c r="K163" i="16"/>
  <c r="J163" i="16"/>
  <c r="K162" i="16"/>
  <c r="J162" i="16"/>
  <c r="K161" i="16"/>
  <c r="J161" i="16"/>
  <c r="K160" i="16"/>
  <c r="J160" i="16"/>
  <c r="K159" i="16"/>
  <c r="J159" i="16"/>
  <c r="K158" i="16"/>
  <c r="J158" i="16"/>
  <c r="K157" i="16"/>
  <c r="J157" i="16"/>
  <c r="K156" i="16"/>
  <c r="J156" i="16"/>
  <c r="K155" i="16"/>
  <c r="J155" i="16"/>
  <c r="K154" i="16"/>
  <c r="J154" i="16"/>
  <c r="K153" i="16"/>
  <c r="J153" i="16"/>
  <c r="K152" i="16"/>
  <c r="J152" i="16"/>
  <c r="K151" i="16"/>
  <c r="J151" i="16"/>
  <c r="K150" i="16"/>
  <c r="J150" i="16"/>
  <c r="K149" i="16"/>
  <c r="J149" i="16"/>
  <c r="K146" i="16"/>
  <c r="K320" i="16" s="1"/>
  <c r="J146" i="16"/>
  <c r="J320" i="16" s="1"/>
  <c r="K142" i="16"/>
  <c r="K316" i="16" s="1"/>
  <c r="J142" i="16"/>
  <c r="J316" i="16" s="1"/>
  <c r="K141" i="16"/>
  <c r="K315" i="16" s="1"/>
  <c r="J141" i="16"/>
  <c r="J315" i="16" s="1"/>
  <c r="K140" i="16"/>
  <c r="K314" i="16" s="1"/>
  <c r="J140" i="16"/>
  <c r="J314" i="16" s="1"/>
  <c r="K139" i="16"/>
  <c r="K313" i="16" s="1"/>
  <c r="J139" i="16"/>
  <c r="J313" i="16" s="1"/>
  <c r="K138" i="16"/>
  <c r="K312" i="16" s="1"/>
  <c r="J138" i="16"/>
  <c r="J312" i="16" s="1"/>
  <c r="K137" i="16"/>
  <c r="K311" i="16" s="1"/>
  <c r="J137" i="16"/>
  <c r="J311" i="16" s="1"/>
  <c r="K136" i="16"/>
  <c r="K310" i="16" s="1"/>
  <c r="J136" i="16"/>
  <c r="J310" i="16" s="1"/>
  <c r="K135" i="16"/>
  <c r="J135" i="16"/>
  <c r="K134" i="16"/>
  <c r="J134" i="16"/>
  <c r="K133" i="16"/>
  <c r="J133" i="16"/>
  <c r="K132" i="16"/>
  <c r="J132" i="16"/>
  <c r="K131" i="16"/>
  <c r="J131" i="16"/>
  <c r="K130" i="16"/>
  <c r="J130" i="16"/>
  <c r="K129" i="16"/>
  <c r="J129" i="16"/>
  <c r="K128" i="16"/>
  <c r="J128" i="16"/>
  <c r="K127" i="16"/>
  <c r="J127" i="16"/>
  <c r="K126" i="16"/>
  <c r="J126" i="16"/>
  <c r="K125" i="16"/>
  <c r="J125" i="16"/>
  <c r="K124" i="16"/>
  <c r="J124" i="16"/>
  <c r="K123" i="16"/>
  <c r="J123" i="16"/>
  <c r="K122" i="16"/>
  <c r="J122" i="16"/>
  <c r="K121" i="16"/>
  <c r="J121" i="16"/>
  <c r="K120" i="16"/>
  <c r="J120" i="16"/>
  <c r="K119" i="16"/>
  <c r="J119" i="16"/>
  <c r="K118" i="16"/>
  <c r="J118" i="16"/>
  <c r="K117" i="16"/>
  <c r="J117" i="16"/>
  <c r="K116" i="16"/>
  <c r="J116" i="16"/>
  <c r="K115" i="16"/>
  <c r="J115" i="16"/>
  <c r="K114" i="16"/>
  <c r="J114" i="16"/>
  <c r="K113" i="16"/>
  <c r="J113" i="16"/>
  <c r="K112" i="16"/>
  <c r="J112" i="16"/>
  <c r="K111" i="16"/>
  <c r="J111" i="16"/>
  <c r="K110" i="16"/>
  <c r="J110" i="16"/>
  <c r="K109" i="16"/>
  <c r="J109" i="16"/>
  <c r="K108" i="16"/>
  <c r="J108" i="16"/>
  <c r="K107" i="16"/>
  <c r="J107" i="16"/>
  <c r="K106" i="16"/>
  <c r="J106" i="16"/>
  <c r="K105" i="16"/>
  <c r="J105" i="16"/>
  <c r="K104" i="16"/>
  <c r="J104" i="16"/>
  <c r="K103" i="16"/>
  <c r="J103" i="16"/>
  <c r="K102" i="16"/>
  <c r="J102" i="16"/>
  <c r="K101" i="16"/>
  <c r="J101" i="16"/>
  <c r="K301" i="16"/>
  <c r="J301" i="16"/>
  <c r="K94" i="16"/>
  <c r="K297" i="16" s="1"/>
  <c r="J94" i="16"/>
  <c r="J297" i="16" s="1"/>
  <c r="K93" i="16"/>
  <c r="K296" i="16" s="1"/>
  <c r="J93" i="16"/>
  <c r="J296" i="16" s="1"/>
  <c r="K92" i="16"/>
  <c r="K295" i="16" s="1"/>
  <c r="J92" i="16"/>
  <c r="J295" i="16" s="1"/>
  <c r="K91" i="16"/>
  <c r="K294" i="16" s="1"/>
  <c r="J91" i="16"/>
  <c r="J294" i="16" s="1"/>
  <c r="K90" i="16"/>
  <c r="K293" i="16" s="1"/>
  <c r="J90" i="16"/>
  <c r="J293" i="16" s="1"/>
  <c r="K89" i="16"/>
  <c r="K292" i="16" s="1"/>
  <c r="J89" i="16"/>
  <c r="J292" i="16" s="1"/>
  <c r="K88" i="16"/>
  <c r="K291" i="16" s="1"/>
  <c r="J88" i="16"/>
  <c r="J291" i="16" s="1"/>
  <c r="K87" i="16"/>
  <c r="J87" i="16"/>
  <c r="K86" i="16"/>
  <c r="J86" i="16"/>
  <c r="K85" i="16"/>
  <c r="J85" i="16"/>
  <c r="K84" i="16"/>
  <c r="J84" i="16"/>
  <c r="K83" i="16"/>
  <c r="J83" i="16"/>
  <c r="K82" i="16"/>
  <c r="J82" i="16"/>
  <c r="K81" i="16"/>
  <c r="J81" i="16"/>
  <c r="K80" i="16"/>
  <c r="J80" i="16"/>
  <c r="K79" i="16"/>
  <c r="J79" i="16"/>
  <c r="K78" i="16"/>
  <c r="J78" i="16"/>
  <c r="K77" i="16"/>
  <c r="J77" i="16"/>
  <c r="K76" i="16"/>
  <c r="J76" i="16"/>
  <c r="K75" i="16"/>
  <c r="J75" i="16"/>
  <c r="K74" i="16"/>
  <c r="J74" i="16"/>
  <c r="K73" i="16"/>
  <c r="J73" i="16"/>
  <c r="K72" i="16"/>
  <c r="J72" i="16"/>
  <c r="K71" i="16"/>
  <c r="J71" i="16"/>
  <c r="K70" i="16"/>
  <c r="J70" i="16"/>
  <c r="K69" i="16"/>
  <c r="J69" i="16"/>
  <c r="K68" i="16"/>
  <c r="J68" i="16"/>
  <c r="K67" i="16"/>
  <c r="J67" i="16"/>
  <c r="K66" i="16"/>
  <c r="J66" i="16"/>
  <c r="K65" i="16"/>
  <c r="J65" i="16"/>
  <c r="K64" i="16"/>
  <c r="J64" i="16"/>
  <c r="K63" i="16"/>
  <c r="J63" i="16"/>
  <c r="K62" i="16"/>
  <c r="J62" i="16"/>
  <c r="K61" i="16"/>
  <c r="J61" i="16"/>
  <c r="K60" i="16"/>
  <c r="J60" i="16"/>
  <c r="K59" i="16"/>
  <c r="J59" i="16"/>
  <c r="K58" i="16"/>
  <c r="J58" i="16"/>
  <c r="K57" i="16"/>
  <c r="J57" i="16"/>
  <c r="K56" i="16"/>
  <c r="J56" i="16"/>
  <c r="K55" i="16"/>
  <c r="J55" i="16"/>
  <c r="K54" i="16"/>
  <c r="J54" i="16"/>
  <c r="K53" i="16"/>
  <c r="J53" i="16"/>
  <c r="J282" i="16"/>
  <c r="K282" i="16"/>
  <c r="K46" i="16"/>
  <c r="K278" i="16" s="1"/>
  <c r="J46" i="16"/>
  <c r="J278" i="16" s="1"/>
  <c r="K45" i="16"/>
  <c r="K277" i="16" s="1"/>
  <c r="J45" i="16"/>
  <c r="J277" i="16" s="1"/>
  <c r="K44" i="16"/>
  <c r="K276" i="16" s="1"/>
  <c r="J44" i="16"/>
  <c r="J276" i="16" s="1"/>
  <c r="K43" i="16"/>
  <c r="K275" i="16" s="1"/>
  <c r="J43" i="16"/>
  <c r="J275" i="16" s="1"/>
  <c r="K42" i="16"/>
  <c r="K274" i="16" s="1"/>
  <c r="J42" i="16"/>
  <c r="J274" i="16" s="1"/>
  <c r="K41" i="16"/>
  <c r="K273" i="16" s="1"/>
  <c r="J41" i="16"/>
  <c r="J273" i="16" s="1"/>
  <c r="K40" i="16"/>
  <c r="K272" i="16" s="1"/>
  <c r="J40" i="16"/>
  <c r="J272" i="16" s="1"/>
  <c r="K39" i="16"/>
  <c r="J39" i="16"/>
  <c r="K38" i="16"/>
  <c r="J38" i="16"/>
  <c r="K37" i="16"/>
  <c r="J37" i="16"/>
  <c r="K36" i="16"/>
  <c r="J36" i="16"/>
  <c r="K35" i="16"/>
  <c r="J35" i="16"/>
  <c r="K34" i="16"/>
  <c r="J34" i="16"/>
  <c r="K33" i="16"/>
  <c r="J33" i="16"/>
  <c r="K32" i="16"/>
  <c r="J32" i="16"/>
  <c r="K31" i="16"/>
  <c r="J31" i="16"/>
  <c r="K30" i="16"/>
  <c r="J30" i="16"/>
  <c r="K29" i="16"/>
  <c r="J29" i="16"/>
  <c r="K28" i="16"/>
  <c r="J28" i="16"/>
  <c r="K27" i="16"/>
  <c r="J27" i="16"/>
  <c r="K26" i="16"/>
  <c r="J26" i="16"/>
  <c r="K25" i="16"/>
  <c r="J25" i="16"/>
  <c r="K24" i="16"/>
  <c r="J24" i="16"/>
  <c r="K23" i="16"/>
  <c r="J23" i="16"/>
  <c r="K22" i="16"/>
  <c r="J22" i="16"/>
  <c r="K21" i="16"/>
  <c r="J21" i="16"/>
  <c r="K20" i="16"/>
  <c r="J20" i="16"/>
  <c r="K19" i="16"/>
  <c r="J19" i="16"/>
  <c r="K18" i="16"/>
  <c r="J18" i="16"/>
  <c r="K17" i="16"/>
  <c r="J17" i="16"/>
  <c r="K16" i="16"/>
  <c r="J16" i="16"/>
  <c r="K15" i="16"/>
  <c r="J15" i="16"/>
  <c r="K14" i="16"/>
  <c r="J14" i="16"/>
  <c r="K13" i="16"/>
  <c r="J13" i="16"/>
  <c r="K12" i="16"/>
  <c r="J12" i="16"/>
  <c r="K11" i="16"/>
  <c r="J11" i="16"/>
  <c r="K10" i="16"/>
  <c r="J10" i="16"/>
  <c r="K9" i="16"/>
  <c r="J9" i="16"/>
  <c r="K8" i="16"/>
  <c r="J8" i="16"/>
  <c r="K7" i="16"/>
  <c r="J7" i="16"/>
  <c r="K6" i="16"/>
  <c r="J6" i="16"/>
  <c r="K5" i="16"/>
  <c r="J5" i="16"/>
  <c r="H349" i="16" l="1"/>
  <c r="H345" i="16"/>
  <c r="J128" i="18"/>
  <c r="K215" i="18"/>
  <c r="K128" i="18"/>
  <c r="U313" i="17"/>
  <c r="V333" i="17"/>
  <c r="K314" i="17"/>
  <c r="V314" i="17"/>
  <c r="K291" i="17"/>
  <c r="J314" i="17"/>
  <c r="U314" i="17"/>
  <c r="V291" i="17"/>
  <c r="J272" i="17"/>
  <c r="V272" i="17"/>
  <c r="K272" i="17"/>
  <c r="J287" i="17"/>
  <c r="J289" i="17"/>
  <c r="J309" i="17"/>
  <c r="K271" i="17"/>
  <c r="U287" i="17"/>
  <c r="K269" i="17"/>
  <c r="V200" i="17"/>
  <c r="V206" i="17"/>
  <c r="V210" i="17"/>
  <c r="V212" i="17"/>
  <c r="V216" i="17"/>
  <c r="V222" i="17"/>
  <c r="V226" i="17"/>
  <c r="V232" i="17"/>
  <c r="J267" i="17"/>
  <c r="J271" i="17"/>
  <c r="K287" i="17"/>
  <c r="K289" i="17"/>
  <c r="K309" i="17"/>
  <c r="K311" i="17"/>
  <c r="K313" i="17"/>
  <c r="K329" i="17"/>
  <c r="K331" i="17"/>
  <c r="V199" i="17"/>
  <c r="V215" i="17"/>
  <c r="V219" i="17"/>
  <c r="V231" i="17"/>
  <c r="V235" i="17"/>
  <c r="V359" i="17" s="1"/>
  <c r="V286" i="17"/>
  <c r="V288" i="17"/>
  <c r="V290" i="17"/>
  <c r="V310" i="17"/>
  <c r="V312" i="17"/>
  <c r="V328" i="17"/>
  <c r="V330" i="17"/>
  <c r="V332" i="17"/>
  <c r="J311" i="17"/>
  <c r="V268" i="17"/>
  <c r="J313" i="17"/>
  <c r="J331" i="17"/>
  <c r="V270" i="17"/>
  <c r="U199" i="17"/>
  <c r="U203" i="17"/>
  <c r="U207" i="17"/>
  <c r="U211" i="17"/>
  <c r="U269" i="17"/>
  <c r="U215" i="17"/>
  <c r="U219" i="17"/>
  <c r="U227" i="17"/>
  <c r="V287" i="17"/>
  <c r="V289" i="17"/>
  <c r="V309" i="17"/>
  <c r="V311" i="17"/>
  <c r="V313" i="17"/>
  <c r="V329" i="17"/>
  <c r="V331" i="17"/>
  <c r="J269" i="17"/>
  <c r="V267" i="17"/>
  <c r="V269" i="17"/>
  <c r="V271" i="17"/>
  <c r="J286" i="17"/>
  <c r="J288" i="17"/>
  <c r="J290" i="17"/>
  <c r="J310" i="17"/>
  <c r="J312" i="17"/>
  <c r="J330" i="17"/>
  <c r="J268" i="17"/>
  <c r="J270" i="17"/>
  <c r="K286" i="17"/>
  <c r="K288" i="17"/>
  <c r="K290" i="17"/>
  <c r="K310" i="17"/>
  <c r="K312" i="17"/>
  <c r="K328" i="17"/>
  <c r="K330" i="17"/>
  <c r="K332" i="17"/>
  <c r="K268" i="17"/>
  <c r="K270" i="17"/>
  <c r="U286" i="17"/>
  <c r="U288" i="17"/>
  <c r="U290" i="17"/>
  <c r="U310" i="17"/>
  <c r="U312" i="17"/>
  <c r="U328" i="17"/>
  <c r="U330" i="17"/>
  <c r="U332" i="17"/>
  <c r="U198" i="17"/>
  <c r="U202" i="17"/>
  <c r="U206" i="17"/>
  <c r="U210" i="17"/>
  <c r="U214" i="17"/>
  <c r="U222" i="17"/>
  <c r="U226" i="17"/>
  <c r="J331" i="16"/>
  <c r="F348" i="16"/>
  <c r="K331" i="16"/>
  <c r="J309" i="16"/>
  <c r="K309" i="16"/>
  <c r="J290" i="16"/>
  <c r="K290" i="16"/>
  <c r="G347" i="16"/>
  <c r="J271" i="16"/>
  <c r="K271" i="16"/>
  <c r="J308" i="16"/>
  <c r="B348" i="16"/>
  <c r="J329" i="16"/>
  <c r="U268" i="17"/>
  <c r="U270" i="17"/>
  <c r="K267" i="17"/>
  <c r="C353" i="17"/>
  <c r="U309" i="17"/>
  <c r="K304" i="16"/>
  <c r="J305" i="16"/>
  <c r="J307" i="16"/>
  <c r="K326" i="16"/>
  <c r="K328" i="16"/>
  <c r="K330" i="16"/>
  <c r="V224" i="17"/>
  <c r="T353" i="17"/>
  <c r="I354" i="17"/>
  <c r="K160" i="18"/>
  <c r="K232" i="18"/>
  <c r="K126" i="18"/>
  <c r="K230" i="18" s="1"/>
  <c r="K175" i="18"/>
  <c r="J160" i="18"/>
  <c r="J175" i="18"/>
  <c r="J126" i="18"/>
  <c r="K202" i="18"/>
  <c r="I219" i="18"/>
  <c r="J231" i="18"/>
  <c r="K231" i="18"/>
  <c r="J166" i="18"/>
  <c r="J181" i="18"/>
  <c r="J184" i="18"/>
  <c r="J203" i="18"/>
  <c r="J204" i="18"/>
  <c r="K107" i="18"/>
  <c r="K115" i="18"/>
  <c r="K165" i="18"/>
  <c r="K181" i="18"/>
  <c r="K183" i="18"/>
  <c r="K184" i="18"/>
  <c r="K203" i="18"/>
  <c r="K205" i="18"/>
  <c r="J108" i="18"/>
  <c r="J147" i="18"/>
  <c r="J148" i="18"/>
  <c r="J149" i="18"/>
  <c r="J116" i="18"/>
  <c r="J150" i="18"/>
  <c r="J124" i="18"/>
  <c r="J164" i="18"/>
  <c r="J165" i="18"/>
  <c r="J167" i="18"/>
  <c r="J182" i="18"/>
  <c r="J183" i="18"/>
  <c r="K147" i="18"/>
  <c r="K112" i="18"/>
  <c r="K149" i="18"/>
  <c r="K182" i="18"/>
  <c r="K166" i="18"/>
  <c r="K167" i="18"/>
  <c r="K109" i="18"/>
  <c r="K117" i="18"/>
  <c r="K125" i="18"/>
  <c r="K229" i="18" s="1"/>
  <c r="F222" i="18"/>
  <c r="E220" i="18"/>
  <c r="K123" i="18"/>
  <c r="K227" i="18" s="1"/>
  <c r="J156" i="18"/>
  <c r="J110" i="18"/>
  <c r="H221" i="18"/>
  <c r="B222" i="18"/>
  <c r="J118" i="18"/>
  <c r="K120" i="18"/>
  <c r="K224" i="18" s="1"/>
  <c r="K148" i="18"/>
  <c r="K150" i="18"/>
  <c r="K111" i="18"/>
  <c r="K113" i="18"/>
  <c r="K108" i="18"/>
  <c r="K110" i="18"/>
  <c r="K114" i="18"/>
  <c r="K116" i="18"/>
  <c r="E219" i="18"/>
  <c r="H219" i="18"/>
  <c r="D220" i="18"/>
  <c r="H220" i="18"/>
  <c r="G221" i="18"/>
  <c r="V204" i="17"/>
  <c r="V214" i="17"/>
  <c r="V275" i="17"/>
  <c r="V198" i="17"/>
  <c r="V202" i="17"/>
  <c r="V207" i="17"/>
  <c r="V211" i="17"/>
  <c r="V220" i="17"/>
  <c r="V227" i="17"/>
  <c r="V234" i="17"/>
  <c r="V236" i="17"/>
  <c r="V218" i="17"/>
  <c r="V239" i="17"/>
  <c r="V243" i="17"/>
  <c r="V208" i="17"/>
  <c r="V230" i="17"/>
  <c r="V293" i="17"/>
  <c r="V223" i="17"/>
  <c r="U271" i="17"/>
  <c r="U223" i="17"/>
  <c r="U230" i="17"/>
  <c r="U275" i="17"/>
  <c r="U235" i="17"/>
  <c r="U359" i="17" s="1"/>
  <c r="U279" i="17"/>
  <c r="U239" i="17"/>
  <c r="U200" i="17"/>
  <c r="U201" i="17"/>
  <c r="U204" i="17"/>
  <c r="U205" i="17"/>
  <c r="U208" i="17"/>
  <c r="U209" i="17"/>
  <c r="U212" i="17"/>
  <c r="U216" i="17"/>
  <c r="U217" i="17"/>
  <c r="U220" i="17"/>
  <c r="U221" i="17"/>
  <c r="U224" i="17"/>
  <c r="U225" i="17"/>
  <c r="U229" i="17"/>
  <c r="U234" i="17"/>
  <c r="U358" i="17" s="1"/>
  <c r="U267" i="17"/>
  <c r="M354" i="17"/>
  <c r="Q354" i="17"/>
  <c r="U218" i="17"/>
  <c r="C354" i="17"/>
  <c r="G354" i="17"/>
  <c r="C355" i="17"/>
  <c r="G355" i="17"/>
  <c r="U231" i="17"/>
  <c r="U238" i="17"/>
  <c r="U362" i="17" s="1"/>
  <c r="V201" i="17"/>
  <c r="V205" i="17"/>
  <c r="V209" i="17"/>
  <c r="V217" i="17"/>
  <c r="V221" i="17"/>
  <c r="V225" i="17"/>
  <c r="C352" i="17"/>
  <c r="N352" i="17"/>
  <c r="R352" i="17"/>
  <c r="P353" i="17"/>
  <c r="P355" i="17"/>
  <c r="T355" i="17"/>
  <c r="V228" i="17"/>
  <c r="V238" i="17"/>
  <c r="J198" i="17"/>
  <c r="J201" i="17"/>
  <c r="J202" i="17"/>
  <c r="J205" i="17"/>
  <c r="J206" i="17"/>
  <c r="J209" i="17"/>
  <c r="J210" i="17"/>
  <c r="J214" i="17"/>
  <c r="J217" i="17"/>
  <c r="J221" i="17"/>
  <c r="J222" i="17"/>
  <c r="J225" i="17"/>
  <c r="J226" i="17"/>
  <c r="C351" i="17"/>
  <c r="V203" i="17"/>
  <c r="S352" i="17"/>
  <c r="Q353" i="17"/>
  <c r="H353" i="17"/>
  <c r="P354" i="17"/>
  <c r="T354" i="17"/>
  <c r="K306" i="16"/>
  <c r="K308" i="16"/>
  <c r="J326" i="16"/>
  <c r="J327" i="16"/>
  <c r="K229" i="16"/>
  <c r="J266" i="16"/>
  <c r="J268" i="16"/>
  <c r="J270" i="16"/>
  <c r="K285" i="16"/>
  <c r="K287" i="16"/>
  <c r="K289" i="16"/>
  <c r="K305" i="16"/>
  <c r="K307" i="16"/>
  <c r="J288" i="16"/>
  <c r="K269" i="16"/>
  <c r="K270" i="16"/>
  <c r="K267" i="16"/>
  <c r="J285" i="16"/>
  <c r="J287" i="16"/>
  <c r="J289" i="16"/>
  <c r="J197" i="16"/>
  <c r="J201" i="16"/>
  <c r="J205" i="16"/>
  <c r="J209" i="16"/>
  <c r="J213" i="16"/>
  <c r="J221" i="16"/>
  <c r="J223" i="16"/>
  <c r="J225" i="16"/>
  <c r="J267" i="16"/>
  <c r="K237" i="16"/>
  <c r="K356" i="16" s="1"/>
  <c r="I345" i="16"/>
  <c r="E347" i="16"/>
  <c r="B349" i="16"/>
  <c r="K198" i="16"/>
  <c r="K200" i="16"/>
  <c r="K204" i="16"/>
  <c r="K206" i="16"/>
  <c r="K208" i="16"/>
  <c r="K210" i="16"/>
  <c r="K214" i="16"/>
  <c r="K216" i="16"/>
  <c r="K218" i="16"/>
  <c r="K220" i="16"/>
  <c r="K224" i="16"/>
  <c r="K226" i="16"/>
  <c r="C346" i="16"/>
  <c r="F349" i="16"/>
  <c r="J199" i="16"/>
  <c r="J203" i="16"/>
  <c r="J207" i="16"/>
  <c r="J211" i="16"/>
  <c r="J215" i="16"/>
  <c r="J219" i="16"/>
  <c r="E221" i="18"/>
  <c r="I221" i="18"/>
  <c r="K118" i="18"/>
  <c r="K121" i="18"/>
  <c r="K225" i="18" s="1"/>
  <c r="J107" i="18"/>
  <c r="J202" i="18"/>
  <c r="J109" i="18"/>
  <c r="J111" i="18"/>
  <c r="J113" i="18"/>
  <c r="J115" i="18"/>
  <c r="J205" i="18"/>
  <c r="J117" i="18"/>
  <c r="J119" i="18"/>
  <c r="J223" i="18" s="1"/>
  <c r="J121" i="18"/>
  <c r="J225" i="18" s="1"/>
  <c r="J123" i="18"/>
  <c r="J125" i="18"/>
  <c r="B221" i="18"/>
  <c r="F221" i="18"/>
  <c r="J114" i="18"/>
  <c r="K119" i="18"/>
  <c r="K223" i="18" s="1"/>
  <c r="J122" i="18"/>
  <c r="K124" i="18"/>
  <c r="K228" i="18" s="1"/>
  <c r="K204" i="18"/>
  <c r="J206" i="18"/>
  <c r="J215" i="18"/>
  <c r="K164" i="18"/>
  <c r="B219" i="18"/>
  <c r="F219" i="18"/>
  <c r="J112" i="18"/>
  <c r="J120" i="18"/>
  <c r="J224" i="18" s="1"/>
  <c r="K122" i="18"/>
  <c r="K226" i="18" s="1"/>
  <c r="J212" i="18"/>
  <c r="K51" i="17"/>
  <c r="K283" i="17" s="1"/>
  <c r="I283" i="17"/>
  <c r="J199" i="17"/>
  <c r="J200" i="17"/>
  <c r="J328" i="17"/>
  <c r="J203" i="17"/>
  <c r="J204" i="17"/>
  <c r="J207" i="17"/>
  <c r="J329" i="17"/>
  <c r="J208" i="17"/>
  <c r="J211" i="17"/>
  <c r="J212" i="17"/>
  <c r="J215" i="17"/>
  <c r="J216" i="17"/>
  <c r="J219" i="17"/>
  <c r="J220" i="17"/>
  <c r="J332" i="17"/>
  <c r="J223" i="17"/>
  <c r="J224" i="17"/>
  <c r="J227" i="17"/>
  <c r="J228" i="17"/>
  <c r="J231" i="17"/>
  <c r="J232" i="17"/>
  <c r="J336" i="17"/>
  <c r="J235" i="17"/>
  <c r="J359" i="17" s="1"/>
  <c r="J337" i="17"/>
  <c r="J236" i="17"/>
  <c r="J360" i="17" s="1"/>
  <c r="J340" i="17"/>
  <c r="J239" i="17"/>
  <c r="J344" i="17"/>
  <c r="J243" i="17"/>
  <c r="J367" i="17" s="1"/>
  <c r="J230" i="17"/>
  <c r="K198" i="17"/>
  <c r="K199" i="17"/>
  <c r="K200" i="17"/>
  <c r="K201" i="17"/>
  <c r="K202" i="17"/>
  <c r="K204" i="17"/>
  <c r="K205" i="17"/>
  <c r="K206" i="17"/>
  <c r="K207" i="17"/>
  <c r="K208" i="17"/>
  <c r="K209" i="17"/>
  <c r="K210" i="17"/>
  <c r="K211" i="17"/>
  <c r="K212" i="17"/>
  <c r="K213" i="17"/>
  <c r="K214" i="17"/>
  <c r="K215" i="17"/>
  <c r="K216" i="17"/>
  <c r="K217" i="17"/>
  <c r="K218" i="17"/>
  <c r="K219" i="17"/>
  <c r="K220" i="17"/>
  <c r="K221" i="17"/>
  <c r="K222" i="17"/>
  <c r="K224" i="17"/>
  <c r="K225" i="17"/>
  <c r="K226" i="17"/>
  <c r="K227" i="17"/>
  <c r="K228" i="17"/>
  <c r="K229" i="17"/>
  <c r="K230" i="17"/>
  <c r="K233" i="17"/>
  <c r="K357" i="17" s="1"/>
  <c r="K236" i="17"/>
  <c r="K360" i="17" s="1"/>
  <c r="K237" i="17"/>
  <c r="K361" i="17" s="1"/>
  <c r="K238" i="17"/>
  <c r="K362" i="17" s="1"/>
  <c r="D352" i="17"/>
  <c r="H352" i="17"/>
  <c r="O352" i="17"/>
  <c r="F355" i="17"/>
  <c r="M355" i="17"/>
  <c r="Q355" i="17"/>
  <c r="J237" i="17"/>
  <c r="J361" i="17" s="1"/>
  <c r="M351" i="17"/>
  <c r="Q351" i="17"/>
  <c r="E352" i="17"/>
  <c r="I352" i="17"/>
  <c r="E353" i="17"/>
  <c r="I353" i="17"/>
  <c r="O353" i="17"/>
  <c r="S353" i="17"/>
  <c r="N355" i="17"/>
  <c r="R355" i="17"/>
  <c r="J233" i="17"/>
  <c r="J357" i="17" s="1"/>
  <c r="J238" i="17"/>
  <c r="I243" i="17"/>
  <c r="I367" i="17" s="1"/>
  <c r="N351" i="17"/>
  <c r="R351" i="17"/>
  <c r="B353" i="17"/>
  <c r="F353" i="17"/>
  <c r="J213" i="17"/>
  <c r="B354" i="17"/>
  <c r="F354" i="17"/>
  <c r="J218" i="17"/>
  <c r="D355" i="17"/>
  <c r="H355" i="17"/>
  <c r="J229" i="17"/>
  <c r="J234" i="17"/>
  <c r="J358" i="17" s="1"/>
  <c r="E351" i="17"/>
  <c r="I351" i="17"/>
  <c r="O351" i="17"/>
  <c r="S351" i="17"/>
  <c r="B352" i="17"/>
  <c r="F352" i="17"/>
  <c r="M353" i="17"/>
  <c r="U213" i="17"/>
  <c r="D354" i="17"/>
  <c r="N354" i="17"/>
  <c r="R354" i="17"/>
  <c r="E355" i="17"/>
  <c r="I355" i="17"/>
  <c r="O355" i="17"/>
  <c r="S355" i="17"/>
  <c r="U233" i="17"/>
  <c r="U357" i="17" s="1"/>
  <c r="U237" i="17"/>
  <c r="U361" i="17" s="1"/>
  <c r="U329" i="17"/>
  <c r="B351" i="17"/>
  <c r="F351" i="17"/>
  <c r="M352" i="17"/>
  <c r="Q352" i="17"/>
  <c r="D353" i="17"/>
  <c r="N353" i="17"/>
  <c r="R353" i="17"/>
  <c r="V213" i="17"/>
  <c r="E354" i="17"/>
  <c r="O354" i="17"/>
  <c r="B355" i="17"/>
  <c r="U228" i="17"/>
  <c r="V229" i="17"/>
  <c r="U232" i="17"/>
  <c r="V233" i="17"/>
  <c r="U236" i="17"/>
  <c r="U360" i="17" s="1"/>
  <c r="V237" i="17"/>
  <c r="U243" i="17"/>
  <c r="U367" i="17" s="1"/>
  <c r="K203" i="17"/>
  <c r="K223" i="17"/>
  <c r="K231" i="17"/>
  <c r="K232" i="17"/>
  <c r="K234" i="17"/>
  <c r="K358" i="17" s="1"/>
  <c r="K235" i="17"/>
  <c r="K359" i="17" s="1"/>
  <c r="K239" i="17"/>
  <c r="K363" i="17" s="1"/>
  <c r="J200" i="16"/>
  <c r="J206" i="16"/>
  <c r="J210" i="16"/>
  <c r="J214" i="16"/>
  <c r="J218" i="16"/>
  <c r="J330" i="16"/>
  <c r="J222" i="16"/>
  <c r="J226" i="16"/>
  <c r="J230" i="16"/>
  <c r="J338" i="16"/>
  <c r="J238" i="16"/>
  <c r="J357" i="16" s="1"/>
  <c r="J217" i="16"/>
  <c r="J235" i="16"/>
  <c r="J354" i="16" s="1"/>
  <c r="K230" i="16"/>
  <c r="C348" i="16"/>
  <c r="K231" i="16"/>
  <c r="J237" i="16"/>
  <c r="J356" i="16" s="1"/>
  <c r="K266" i="16"/>
  <c r="K268" i="16"/>
  <c r="J286" i="16"/>
  <c r="J304" i="16"/>
  <c r="J306" i="16"/>
  <c r="J231" i="16"/>
  <c r="J233" i="16"/>
  <c r="J352" i="16" s="1"/>
  <c r="G345" i="16"/>
  <c r="B346" i="16"/>
  <c r="F346" i="16"/>
  <c r="C349" i="16"/>
  <c r="G349" i="16"/>
  <c r="J227" i="16"/>
  <c r="J232" i="16"/>
  <c r="J351" i="16" s="1"/>
  <c r="J198" i="16"/>
  <c r="J202" i="16"/>
  <c r="J204" i="16"/>
  <c r="J208" i="16"/>
  <c r="J212" i="16"/>
  <c r="J216" i="16"/>
  <c r="J220" i="16"/>
  <c r="J224" i="16"/>
  <c r="J228" i="16"/>
  <c r="J336" i="16"/>
  <c r="J236" i="16"/>
  <c r="J355" i="16" s="1"/>
  <c r="J328" i="16"/>
  <c r="K228" i="16"/>
  <c r="K202" i="16"/>
  <c r="G348" i="16"/>
  <c r="K222" i="16"/>
  <c r="J269" i="16"/>
  <c r="I242" i="16"/>
  <c r="I361" i="16" s="1"/>
  <c r="I282" i="16"/>
  <c r="K286" i="16"/>
  <c r="K288" i="16"/>
  <c r="K197" i="16"/>
  <c r="K199" i="16"/>
  <c r="K201" i="16"/>
  <c r="K203" i="16"/>
  <c r="K205" i="16"/>
  <c r="K327" i="16"/>
  <c r="K207" i="16"/>
  <c r="K209" i="16"/>
  <c r="K211" i="16"/>
  <c r="K213" i="16"/>
  <c r="K215" i="16"/>
  <c r="K329" i="16"/>
  <c r="K217" i="16"/>
  <c r="K219" i="16"/>
  <c r="K221" i="16"/>
  <c r="K223" i="16"/>
  <c r="K225" i="16"/>
  <c r="K227" i="16"/>
  <c r="K350" i="16" s="1"/>
  <c r="K233" i="16"/>
  <c r="K352" i="16" s="1"/>
  <c r="K333" i="16"/>
  <c r="K235" i="16"/>
  <c r="K354" i="16" s="1"/>
  <c r="K342" i="16"/>
  <c r="K242" i="16"/>
  <c r="K361" i="16" s="1"/>
  <c r="G346" i="16"/>
  <c r="K212" i="16"/>
  <c r="I348" i="16"/>
  <c r="D349" i="16"/>
  <c r="J229" i="16"/>
  <c r="J234" i="16"/>
  <c r="J353" i="16" s="1"/>
  <c r="K335" i="16"/>
  <c r="K232" i="16"/>
  <c r="K351" i="16" s="1"/>
  <c r="K234" i="16"/>
  <c r="K353" i="16" s="1"/>
  <c r="K236" i="16"/>
  <c r="K355" i="16" s="1"/>
  <c r="K238" i="16"/>
  <c r="K357" i="16" s="1"/>
  <c r="J242" i="16"/>
  <c r="J361" i="16" s="1"/>
  <c r="K336" i="16"/>
  <c r="B345" i="16"/>
  <c r="F345" i="16"/>
  <c r="D346" i="16"/>
  <c r="H346" i="16"/>
  <c r="B347" i="16"/>
  <c r="F347" i="16"/>
  <c r="D348" i="16"/>
  <c r="K334" i="16"/>
  <c r="U356" i="17" l="1"/>
  <c r="V356" i="17"/>
  <c r="K356" i="17"/>
  <c r="J356" i="17"/>
  <c r="K243" i="17"/>
  <c r="K367" i="17" s="1"/>
  <c r="J350" i="16"/>
  <c r="J227" i="18"/>
  <c r="J230" i="18"/>
  <c r="J228" i="18"/>
  <c r="J232" i="18"/>
  <c r="J226" i="18"/>
  <c r="J229" i="18"/>
  <c r="J362" i="17"/>
  <c r="V362" i="17"/>
  <c r="V367" i="17"/>
  <c r="V358" i="17"/>
  <c r="V357" i="17"/>
  <c r="J363" i="17"/>
  <c r="V363" i="17"/>
  <c r="V361" i="17"/>
  <c r="U363" i="17"/>
  <c r="V360" i="17"/>
  <c r="K220" i="18"/>
  <c r="K222" i="18"/>
  <c r="K221" i="18"/>
  <c r="K219" i="18"/>
  <c r="J221" i="18"/>
  <c r="J222" i="18"/>
  <c r="V355" i="17"/>
  <c r="U351" i="17"/>
  <c r="V352" i="17"/>
  <c r="V351" i="17"/>
  <c r="V354" i="17"/>
  <c r="U352" i="17"/>
  <c r="U355" i="17"/>
  <c r="V353" i="17"/>
  <c r="K351" i="17"/>
  <c r="J353" i="17"/>
  <c r="U353" i="17"/>
  <c r="U354" i="17"/>
  <c r="J346" i="16"/>
  <c r="K346" i="16"/>
  <c r="K349" i="16"/>
  <c r="J345" i="16"/>
  <c r="J349" i="16"/>
  <c r="J220" i="18"/>
  <c r="J219" i="18"/>
  <c r="K354" i="17"/>
  <c r="K353" i="17"/>
  <c r="J355" i="17"/>
  <c r="J352" i="17"/>
  <c r="J351" i="17"/>
  <c r="J354" i="17"/>
  <c r="K352" i="17"/>
  <c r="K355" i="17"/>
  <c r="K347" i="16"/>
  <c r="K348" i="16"/>
  <c r="K345" i="16"/>
  <c r="J348" i="16"/>
  <c r="J347" i="16"/>
  <c r="L518" i="12" l="1"/>
  <c r="A513" i="12"/>
  <c r="J507" i="12"/>
  <c r="J503" i="12"/>
  <c r="J502" i="12"/>
  <c r="J501" i="12"/>
  <c r="J500" i="12"/>
  <c r="J499" i="12"/>
  <c r="R488" i="12"/>
  <c r="Q488" i="12"/>
  <c r="P488" i="12"/>
  <c r="O488" i="12"/>
  <c r="N488" i="12"/>
  <c r="M488" i="12"/>
  <c r="J488" i="12"/>
  <c r="I488" i="12"/>
  <c r="H488" i="12"/>
  <c r="G488" i="12"/>
  <c r="F488" i="12"/>
  <c r="E488" i="12"/>
  <c r="D488" i="12"/>
  <c r="C488" i="12"/>
  <c r="B488" i="12"/>
  <c r="S484" i="12"/>
  <c r="R484" i="12"/>
  <c r="Q484" i="12"/>
  <c r="P484" i="12"/>
  <c r="O484" i="12"/>
  <c r="N484" i="12"/>
  <c r="M484" i="12"/>
  <c r="J484" i="12"/>
  <c r="I484" i="12"/>
  <c r="H484" i="12"/>
  <c r="G484" i="12"/>
  <c r="F484" i="12"/>
  <c r="E484" i="12"/>
  <c r="D484" i="12"/>
  <c r="C484" i="12"/>
  <c r="B484" i="12"/>
  <c r="R483" i="12"/>
  <c r="Q483" i="12"/>
  <c r="P483" i="12"/>
  <c r="O483" i="12"/>
  <c r="N483" i="12"/>
  <c r="M483" i="12"/>
  <c r="J483" i="12"/>
  <c r="I483" i="12"/>
  <c r="H483" i="12"/>
  <c r="G483" i="12"/>
  <c r="F483" i="12"/>
  <c r="E483" i="12"/>
  <c r="D483" i="12"/>
  <c r="C483" i="12"/>
  <c r="B483" i="12"/>
  <c r="R482" i="12"/>
  <c r="Q482" i="12"/>
  <c r="P482" i="12"/>
  <c r="O482" i="12"/>
  <c r="N482" i="12"/>
  <c r="M482" i="12"/>
  <c r="J482" i="12"/>
  <c r="I482" i="12"/>
  <c r="H482" i="12"/>
  <c r="G482" i="12"/>
  <c r="F482" i="12"/>
  <c r="E482" i="12"/>
  <c r="D482" i="12"/>
  <c r="C482" i="12"/>
  <c r="B482" i="12"/>
  <c r="R481" i="12"/>
  <c r="Q481" i="12"/>
  <c r="P481" i="12"/>
  <c r="O481" i="12"/>
  <c r="N481" i="12"/>
  <c r="M481" i="12"/>
  <c r="J481" i="12"/>
  <c r="I481" i="12"/>
  <c r="H481" i="12"/>
  <c r="G481" i="12"/>
  <c r="F481" i="12"/>
  <c r="E481" i="12"/>
  <c r="D481" i="12"/>
  <c r="C481" i="12"/>
  <c r="B481" i="12"/>
  <c r="R480" i="12"/>
  <c r="Q480" i="12"/>
  <c r="P480" i="12"/>
  <c r="O480" i="12"/>
  <c r="N480" i="12"/>
  <c r="M480" i="12"/>
  <c r="J480" i="12"/>
  <c r="I480" i="12"/>
  <c r="H480" i="12"/>
  <c r="G480" i="12"/>
  <c r="F480" i="12"/>
  <c r="E480" i="12"/>
  <c r="D480" i="12"/>
  <c r="C480" i="12"/>
  <c r="B480" i="12"/>
  <c r="R479" i="12"/>
  <c r="Q479" i="12"/>
  <c r="P479" i="12"/>
  <c r="O479" i="12"/>
  <c r="N479" i="12"/>
  <c r="M479" i="12"/>
  <c r="J479" i="12"/>
  <c r="I479" i="12"/>
  <c r="H479" i="12"/>
  <c r="G479" i="12"/>
  <c r="F479" i="12"/>
  <c r="E479" i="12"/>
  <c r="D479" i="12"/>
  <c r="C479" i="12"/>
  <c r="B479" i="12"/>
  <c r="R478" i="12"/>
  <c r="Q478" i="12"/>
  <c r="P478" i="12"/>
  <c r="O478" i="12"/>
  <c r="N478" i="12"/>
  <c r="M478" i="12"/>
  <c r="J478" i="12"/>
  <c r="I478" i="12"/>
  <c r="H478" i="12"/>
  <c r="G478" i="12"/>
  <c r="F478" i="12"/>
  <c r="E478" i="12"/>
  <c r="D478" i="12"/>
  <c r="C478" i="12"/>
  <c r="B478" i="12"/>
  <c r="R476" i="12"/>
  <c r="Q476" i="12"/>
  <c r="P476" i="12"/>
  <c r="O476" i="12"/>
  <c r="N476" i="12"/>
  <c r="M476" i="12"/>
  <c r="J476" i="12"/>
  <c r="I476" i="12"/>
  <c r="H476" i="12"/>
  <c r="G476" i="12"/>
  <c r="F476" i="12"/>
  <c r="E476" i="12"/>
  <c r="D476" i="12"/>
  <c r="C476" i="12"/>
  <c r="B476" i="12"/>
  <c r="R475" i="12"/>
  <c r="Q475" i="12"/>
  <c r="P475" i="12"/>
  <c r="O475" i="12"/>
  <c r="N475" i="12"/>
  <c r="M475" i="12"/>
  <c r="I475" i="12"/>
  <c r="H475" i="12"/>
  <c r="G475" i="12"/>
  <c r="F475" i="12"/>
  <c r="E475" i="12"/>
  <c r="D475" i="12"/>
  <c r="R474" i="12"/>
  <c r="Q474" i="12"/>
  <c r="P474" i="12"/>
  <c r="O474" i="12"/>
  <c r="N474" i="12"/>
  <c r="M474" i="12"/>
  <c r="I474" i="12"/>
  <c r="H474" i="12"/>
  <c r="G474" i="12"/>
  <c r="F474" i="12"/>
  <c r="E474" i="12"/>
  <c r="D474" i="12"/>
  <c r="R473" i="12"/>
  <c r="Q473" i="12"/>
  <c r="P473" i="12"/>
  <c r="O473" i="12"/>
  <c r="N473" i="12"/>
  <c r="M473" i="12"/>
  <c r="I473" i="12"/>
  <c r="H473" i="12"/>
  <c r="G473" i="12"/>
  <c r="F473" i="12"/>
  <c r="E473" i="12"/>
  <c r="D473" i="12"/>
  <c r="R472" i="12"/>
  <c r="Q472" i="12"/>
  <c r="P472" i="12"/>
  <c r="O472" i="12"/>
  <c r="N472" i="12"/>
  <c r="M472" i="12"/>
  <c r="J472" i="12"/>
  <c r="I472" i="12"/>
  <c r="H472" i="12"/>
  <c r="G472" i="12"/>
  <c r="F472" i="12"/>
  <c r="E472" i="12"/>
  <c r="D472" i="12"/>
  <c r="A471" i="12"/>
  <c r="Q453" i="12"/>
  <c r="P453" i="12"/>
  <c r="O453" i="12"/>
  <c r="N453" i="12"/>
  <c r="M453" i="12"/>
  <c r="J453" i="12"/>
  <c r="I453" i="12"/>
  <c r="H453" i="12"/>
  <c r="G453" i="12"/>
  <c r="F453" i="12"/>
  <c r="E453" i="12"/>
  <c r="D453" i="12"/>
  <c r="C453" i="12"/>
  <c r="B453" i="12"/>
  <c r="Q452" i="12"/>
  <c r="P452" i="12"/>
  <c r="O452" i="12"/>
  <c r="I452" i="12"/>
  <c r="H452" i="12"/>
  <c r="G452" i="12"/>
  <c r="F452" i="12"/>
  <c r="E452" i="12"/>
  <c r="D452" i="12"/>
  <c r="Q451" i="12"/>
  <c r="P451" i="12"/>
  <c r="O451" i="12"/>
  <c r="N451" i="12"/>
  <c r="M451" i="12"/>
  <c r="I451" i="12"/>
  <c r="H451" i="12"/>
  <c r="G451" i="12"/>
  <c r="F451" i="12"/>
  <c r="E451" i="12"/>
  <c r="D451" i="12"/>
  <c r="Q450" i="12"/>
  <c r="P450" i="12"/>
  <c r="O450" i="12"/>
  <c r="N450" i="12"/>
  <c r="M450" i="12"/>
  <c r="H450" i="12"/>
  <c r="G450" i="12"/>
  <c r="F450" i="12"/>
  <c r="E450" i="12"/>
  <c r="D450" i="12"/>
  <c r="Q449" i="12"/>
  <c r="P449" i="12"/>
  <c r="O449" i="12"/>
  <c r="N449" i="12"/>
  <c r="M449" i="12"/>
  <c r="H449" i="12"/>
  <c r="G449" i="12"/>
  <c r="F449" i="12"/>
  <c r="E449" i="12"/>
  <c r="D449" i="12"/>
  <c r="A448" i="12"/>
  <c r="R434" i="12"/>
  <c r="Q434" i="12"/>
  <c r="P434" i="12"/>
  <c r="O434" i="12"/>
  <c r="N434" i="12"/>
  <c r="M434" i="12"/>
  <c r="J434" i="12"/>
  <c r="I434" i="12"/>
  <c r="H434" i="12"/>
  <c r="G434" i="12"/>
  <c r="F434" i="12"/>
  <c r="E434" i="12"/>
  <c r="D434" i="12"/>
  <c r="C434" i="12"/>
  <c r="B434" i="12"/>
  <c r="R433" i="12"/>
  <c r="Q433" i="12"/>
  <c r="P433" i="12"/>
  <c r="O433" i="12"/>
  <c r="J433" i="12"/>
  <c r="I433" i="12"/>
  <c r="H433" i="12"/>
  <c r="G433" i="12"/>
  <c r="F433" i="12"/>
  <c r="E433" i="12"/>
  <c r="D433" i="12"/>
  <c r="C433" i="12"/>
  <c r="B433" i="12"/>
  <c r="R432" i="12"/>
  <c r="Q432" i="12"/>
  <c r="P432" i="12"/>
  <c r="O432" i="12"/>
  <c r="N432" i="12"/>
  <c r="M432" i="12"/>
  <c r="J432" i="12"/>
  <c r="I432" i="12"/>
  <c r="H432" i="12"/>
  <c r="G432" i="12"/>
  <c r="F432" i="12"/>
  <c r="E432" i="12"/>
  <c r="D432" i="12"/>
  <c r="C432" i="12"/>
  <c r="B432" i="12"/>
  <c r="R431" i="12"/>
  <c r="Q431" i="12"/>
  <c r="P431" i="12"/>
  <c r="O431" i="12"/>
  <c r="N431" i="12"/>
  <c r="M431" i="12"/>
  <c r="J431" i="12"/>
  <c r="I431" i="12"/>
  <c r="H431" i="12"/>
  <c r="G431" i="12"/>
  <c r="F431" i="12"/>
  <c r="E431" i="12"/>
  <c r="D431" i="12"/>
  <c r="C431" i="12"/>
  <c r="B431" i="12"/>
  <c r="R430" i="12"/>
  <c r="Q430" i="12"/>
  <c r="P430" i="12"/>
  <c r="O430" i="12"/>
  <c r="N430" i="12"/>
  <c r="M430" i="12"/>
  <c r="J430" i="12"/>
  <c r="H430" i="12"/>
  <c r="G430" i="12"/>
  <c r="F430" i="12"/>
  <c r="E430" i="12"/>
  <c r="D430" i="12"/>
  <c r="C430" i="12"/>
  <c r="B430" i="12"/>
  <c r="A429" i="12"/>
  <c r="R411" i="12"/>
  <c r="Q411" i="12"/>
  <c r="P411" i="12"/>
  <c r="O411" i="12"/>
  <c r="N411" i="12"/>
  <c r="M411" i="12"/>
  <c r="J411" i="12"/>
  <c r="I411" i="12"/>
  <c r="H411" i="12"/>
  <c r="G411" i="12"/>
  <c r="F411" i="12"/>
  <c r="E411" i="12"/>
  <c r="D411" i="12"/>
  <c r="C411" i="12"/>
  <c r="B411" i="12"/>
  <c r="R410" i="12"/>
  <c r="Q410" i="12"/>
  <c r="P410" i="12"/>
  <c r="O410" i="12"/>
  <c r="I410" i="12"/>
  <c r="H410" i="12"/>
  <c r="G410" i="12"/>
  <c r="F410" i="12"/>
  <c r="E410" i="12"/>
  <c r="D410" i="12"/>
  <c r="C410" i="12"/>
  <c r="B410" i="12"/>
  <c r="R409" i="12"/>
  <c r="Q409" i="12"/>
  <c r="P409" i="12"/>
  <c r="O409" i="12"/>
  <c r="N409" i="12"/>
  <c r="M409" i="12"/>
  <c r="J409" i="12"/>
  <c r="I409" i="12"/>
  <c r="H409" i="12"/>
  <c r="G409" i="12"/>
  <c r="F409" i="12"/>
  <c r="E409" i="12"/>
  <c r="D409" i="12"/>
  <c r="C409" i="12"/>
  <c r="B409" i="12"/>
  <c r="R408" i="12"/>
  <c r="Q408" i="12"/>
  <c r="P408" i="12"/>
  <c r="O408" i="12"/>
  <c r="N408" i="12"/>
  <c r="M408" i="12"/>
  <c r="H408" i="12"/>
  <c r="G408" i="12"/>
  <c r="F408" i="12"/>
  <c r="E408" i="12"/>
  <c r="D408" i="12"/>
  <c r="C408" i="12"/>
  <c r="B408" i="12"/>
  <c r="R407" i="12"/>
  <c r="Q407" i="12"/>
  <c r="P407" i="12"/>
  <c r="O407" i="12"/>
  <c r="N407" i="12"/>
  <c r="M407" i="12"/>
  <c r="J407" i="12"/>
  <c r="I407" i="12"/>
  <c r="H407" i="12"/>
  <c r="G407" i="12"/>
  <c r="F407" i="12"/>
  <c r="E407" i="12"/>
  <c r="D407" i="12"/>
  <c r="C407" i="12"/>
  <c r="B407" i="12"/>
  <c r="A406" i="12"/>
  <c r="R392" i="12"/>
  <c r="Q392" i="12"/>
  <c r="P392" i="12"/>
  <c r="O392" i="12"/>
  <c r="N392" i="12"/>
  <c r="M392" i="12"/>
  <c r="J392" i="12"/>
  <c r="I392" i="12"/>
  <c r="H392" i="12"/>
  <c r="G392" i="12"/>
  <c r="F392" i="12"/>
  <c r="E392" i="12"/>
  <c r="D392" i="12"/>
  <c r="C392" i="12"/>
  <c r="B392" i="12"/>
  <c r="R391" i="12"/>
  <c r="Q391" i="12"/>
  <c r="P391" i="12"/>
  <c r="O391" i="12"/>
  <c r="M391" i="12"/>
  <c r="J391" i="12"/>
  <c r="I391" i="12"/>
  <c r="H391" i="12"/>
  <c r="G391" i="12"/>
  <c r="F391" i="12"/>
  <c r="D391" i="12"/>
  <c r="C391" i="12"/>
  <c r="B391" i="12"/>
  <c r="R390" i="12"/>
  <c r="Q390" i="12"/>
  <c r="P390" i="12"/>
  <c r="O390" i="12"/>
  <c r="N390" i="12"/>
  <c r="M390" i="12"/>
  <c r="J390" i="12"/>
  <c r="I390" i="12"/>
  <c r="H390" i="12"/>
  <c r="G390" i="12"/>
  <c r="F390" i="12"/>
  <c r="E390" i="12"/>
  <c r="D390" i="12"/>
  <c r="C390" i="12"/>
  <c r="B390" i="12"/>
  <c r="R389" i="12"/>
  <c r="Q389" i="12"/>
  <c r="P389" i="12"/>
  <c r="O389" i="12"/>
  <c r="N389" i="12"/>
  <c r="M389" i="12"/>
  <c r="J389" i="12"/>
  <c r="I389" i="12"/>
  <c r="H389" i="12"/>
  <c r="G389" i="12"/>
  <c r="F389" i="12"/>
  <c r="E389" i="12"/>
  <c r="D389" i="12"/>
  <c r="C389" i="12"/>
  <c r="B389" i="12"/>
  <c r="R388" i="12"/>
  <c r="Q388" i="12"/>
  <c r="P388" i="12"/>
  <c r="O388" i="12"/>
  <c r="N388" i="12"/>
  <c r="M388" i="12"/>
  <c r="J388" i="12"/>
  <c r="I388" i="12"/>
  <c r="H388" i="12"/>
  <c r="G388" i="12"/>
  <c r="F388" i="12"/>
  <c r="E388" i="12"/>
  <c r="D388" i="12"/>
  <c r="C388" i="12"/>
  <c r="B388" i="12"/>
  <c r="R291" i="12"/>
  <c r="P291" i="12"/>
  <c r="O291" i="12"/>
  <c r="O507" i="12" s="1"/>
  <c r="N291" i="12"/>
  <c r="N339" i="12" s="1"/>
  <c r="N530" i="12" s="1"/>
  <c r="M291" i="12"/>
  <c r="I291" i="12"/>
  <c r="I507" i="12" s="1"/>
  <c r="H291" i="12"/>
  <c r="H507" i="12" s="1"/>
  <c r="G291" i="12"/>
  <c r="F291" i="12"/>
  <c r="F507" i="12" s="1"/>
  <c r="E291" i="12"/>
  <c r="D291" i="12"/>
  <c r="D507" i="12" s="1"/>
  <c r="C291" i="12"/>
  <c r="B291" i="12"/>
  <c r="B507" i="12" s="1"/>
  <c r="R287" i="12"/>
  <c r="Q287" i="12"/>
  <c r="P287" i="12"/>
  <c r="P503" i="12" s="1"/>
  <c r="O287" i="12"/>
  <c r="O503" i="12" s="1"/>
  <c r="N287" i="12"/>
  <c r="N503" i="12" s="1"/>
  <c r="M287" i="12"/>
  <c r="I287" i="12"/>
  <c r="I503" i="12" s="1"/>
  <c r="H287" i="12"/>
  <c r="H503" i="12" s="1"/>
  <c r="G287" i="12"/>
  <c r="F287" i="12"/>
  <c r="F503" i="12" s="1"/>
  <c r="E287" i="12"/>
  <c r="D287" i="12"/>
  <c r="D503" i="12" s="1"/>
  <c r="C287" i="12"/>
  <c r="C335" i="12" s="1"/>
  <c r="C526" i="12" s="1"/>
  <c r="B287" i="12"/>
  <c r="B503" i="12" s="1"/>
  <c r="R286" i="12"/>
  <c r="Q286" i="12"/>
  <c r="P286" i="12"/>
  <c r="P502" i="12" s="1"/>
  <c r="O286" i="12"/>
  <c r="O502" i="12" s="1"/>
  <c r="N286" i="12"/>
  <c r="N502" i="12" s="1"/>
  <c r="M286" i="12"/>
  <c r="I286" i="12"/>
  <c r="I502" i="12" s="1"/>
  <c r="H286" i="12"/>
  <c r="H334" i="12" s="1"/>
  <c r="H525" i="12" s="1"/>
  <c r="G286" i="12"/>
  <c r="F286" i="12"/>
  <c r="F502" i="12" s="1"/>
  <c r="E286" i="12"/>
  <c r="D286" i="12"/>
  <c r="D502" i="12" s="1"/>
  <c r="C286" i="12"/>
  <c r="B286" i="12"/>
  <c r="B502" i="12" s="1"/>
  <c r="R285" i="12"/>
  <c r="Q285" i="12"/>
  <c r="Q333" i="12" s="1"/>
  <c r="Q524" i="12" s="1"/>
  <c r="P285" i="12"/>
  <c r="P501" i="12" s="1"/>
  <c r="O285" i="12"/>
  <c r="O501" i="12" s="1"/>
  <c r="N285" i="12"/>
  <c r="M285" i="12"/>
  <c r="M333" i="12" s="1"/>
  <c r="M524" i="12" s="1"/>
  <c r="I285" i="12"/>
  <c r="I501" i="12" s="1"/>
  <c r="H285" i="12"/>
  <c r="G285" i="12"/>
  <c r="F285" i="12"/>
  <c r="F501" i="12" s="1"/>
  <c r="E285" i="12"/>
  <c r="E333" i="12" s="1"/>
  <c r="E524" i="12" s="1"/>
  <c r="D285" i="12"/>
  <c r="D501" i="12" s="1"/>
  <c r="C285" i="12"/>
  <c r="B285" i="12"/>
  <c r="B501" i="12" s="1"/>
  <c r="R284" i="12"/>
  <c r="R332" i="12" s="1"/>
  <c r="R523" i="12" s="1"/>
  <c r="Q284" i="12"/>
  <c r="P284" i="12"/>
  <c r="P500" i="12" s="1"/>
  <c r="O284" i="12"/>
  <c r="O332" i="12" s="1"/>
  <c r="O523" i="12" s="1"/>
  <c r="N284" i="12"/>
  <c r="N500" i="12" s="1"/>
  <c r="M284" i="12"/>
  <c r="I284" i="12"/>
  <c r="I500" i="12" s="1"/>
  <c r="H284" i="12"/>
  <c r="G284" i="12"/>
  <c r="G332" i="12" s="1"/>
  <c r="G523" i="12" s="1"/>
  <c r="F284" i="12"/>
  <c r="F500" i="12" s="1"/>
  <c r="E284" i="12"/>
  <c r="D284" i="12"/>
  <c r="D500" i="12" s="1"/>
  <c r="C284" i="12"/>
  <c r="C332" i="12" s="1"/>
  <c r="C523" i="12" s="1"/>
  <c r="B284" i="12"/>
  <c r="R283" i="12"/>
  <c r="Q283" i="12"/>
  <c r="P283" i="12"/>
  <c r="P499" i="12" s="1"/>
  <c r="O283" i="12"/>
  <c r="O499" i="12" s="1"/>
  <c r="N283" i="12"/>
  <c r="N499" i="12" s="1"/>
  <c r="M283" i="12"/>
  <c r="M331" i="12" s="1"/>
  <c r="M522" i="12" s="1"/>
  <c r="I283" i="12"/>
  <c r="I499" i="12" s="1"/>
  <c r="H283" i="12"/>
  <c r="H499" i="12" s="1"/>
  <c r="G283" i="12"/>
  <c r="G331" i="12" s="1"/>
  <c r="G522" i="12" s="1"/>
  <c r="F283" i="12"/>
  <c r="F499" i="12" s="1"/>
  <c r="E283" i="12"/>
  <c r="D283" i="12"/>
  <c r="D499" i="12" s="1"/>
  <c r="C283" i="12"/>
  <c r="C331" i="12" s="1"/>
  <c r="C522" i="12" s="1"/>
  <c r="B283" i="12"/>
  <c r="B499" i="12" s="1"/>
  <c r="R282" i="12"/>
  <c r="Q282" i="12"/>
  <c r="Q330" i="12" s="1"/>
  <c r="Q521" i="12" s="1"/>
  <c r="P282" i="12"/>
  <c r="P330" i="12" s="1"/>
  <c r="P521" i="12" s="1"/>
  <c r="O282" i="12"/>
  <c r="O498" i="12" s="1"/>
  <c r="N282" i="12"/>
  <c r="N498" i="12" s="1"/>
  <c r="M282" i="12"/>
  <c r="J282" i="12"/>
  <c r="J498" i="12" s="1"/>
  <c r="I282" i="12"/>
  <c r="I330" i="12" s="1"/>
  <c r="I521" i="12" s="1"/>
  <c r="H282" i="12"/>
  <c r="G282" i="12"/>
  <c r="G498" i="12" s="1"/>
  <c r="F282" i="12"/>
  <c r="E282" i="12"/>
  <c r="E498" i="12" s="1"/>
  <c r="D282" i="12"/>
  <c r="D330" i="12" s="1"/>
  <c r="D521" i="12" s="1"/>
  <c r="C282" i="12"/>
  <c r="C330" i="12" s="1"/>
  <c r="C521" i="12" s="1"/>
  <c r="B282" i="12"/>
  <c r="B498" i="12" s="1"/>
  <c r="R281" i="12"/>
  <c r="R329" i="12" s="1"/>
  <c r="R520" i="12" s="1"/>
  <c r="Q281" i="12"/>
  <c r="Q497" i="12" s="1"/>
  <c r="P281" i="12"/>
  <c r="P497" i="12" s="1"/>
  <c r="O281" i="12"/>
  <c r="O497" i="12" s="1"/>
  <c r="N281" i="12"/>
  <c r="M281" i="12"/>
  <c r="M329" i="12" s="1"/>
  <c r="M520" i="12" s="1"/>
  <c r="J281" i="12"/>
  <c r="J329" i="12" s="1"/>
  <c r="J520" i="12" s="1"/>
  <c r="I281" i="12"/>
  <c r="I329" i="12" s="1"/>
  <c r="I520" i="12" s="1"/>
  <c r="H281" i="12"/>
  <c r="H497" i="12" s="1"/>
  <c r="G281" i="12"/>
  <c r="F281" i="12"/>
  <c r="F497" i="12" s="1"/>
  <c r="E281" i="12"/>
  <c r="E329" i="12" s="1"/>
  <c r="E520" i="12" s="1"/>
  <c r="D281" i="12"/>
  <c r="D329" i="12" s="1"/>
  <c r="D520" i="12" s="1"/>
  <c r="C281" i="12"/>
  <c r="C497" i="12" s="1"/>
  <c r="B281" i="12"/>
  <c r="R280" i="12"/>
  <c r="Q280" i="12"/>
  <c r="P280" i="12"/>
  <c r="O280" i="12"/>
  <c r="N280" i="12"/>
  <c r="N328" i="12" s="1"/>
  <c r="M280" i="12"/>
  <c r="I280" i="12"/>
  <c r="H280" i="12"/>
  <c r="G280" i="12"/>
  <c r="G328" i="12" s="1"/>
  <c r="F280" i="12"/>
  <c r="E280" i="12"/>
  <c r="E328" i="12" s="1"/>
  <c r="D280" i="12"/>
  <c r="C280" i="12"/>
  <c r="B280" i="12"/>
  <c r="R279" i="12"/>
  <c r="Q279" i="12"/>
  <c r="P279" i="12"/>
  <c r="O279" i="12"/>
  <c r="O327" i="12" s="1"/>
  <c r="N279" i="12"/>
  <c r="M279" i="12"/>
  <c r="I279" i="12"/>
  <c r="H279" i="12"/>
  <c r="G279" i="12"/>
  <c r="F279" i="12"/>
  <c r="E279" i="12"/>
  <c r="D279" i="12"/>
  <c r="C279" i="12"/>
  <c r="C327" i="12" s="1"/>
  <c r="B279" i="12"/>
  <c r="R278" i="12"/>
  <c r="Q278" i="12"/>
  <c r="P278" i="12"/>
  <c r="O278" i="12"/>
  <c r="N278" i="12"/>
  <c r="N326" i="12" s="1"/>
  <c r="M278" i="12"/>
  <c r="I278" i="12"/>
  <c r="H278" i="12"/>
  <c r="H326" i="12" s="1"/>
  <c r="G278" i="12"/>
  <c r="F278" i="12"/>
  <c r="E278" i="12"/>
  <c r="D278" i="12"/>
  <c r="C278" i="12"/>
  <c r="C326" i="12" s="1"/>
  <c r="B278" i="12"/>
  <c r="R277" i="12"/>
  <c r="R325" i="12" s="1"/>
  <c r="Q277" i="12"/>
  <c r="P277" i="12"/>
  <c r="O277" i="12"/>
  <c r="O325" i="12" s="1"/>
  <c r="N277" i="12"/>
  <c r="M277" i="12"/>
  <c r="M325" i="12" s="1"/>
  <c r="J277" i="12"/>
  <c r="I277" i="12"/>
  <c r="H277" i="12"/>
  <c r="G277" i="12"/>
  <c r="F277" i="12"/>
  <c r="F325" i="12" s="1"/>
  <c r="E277" i="12"/>
  <c r="E325" i="12" s="1"/>
  <c r="D277" i="12"/>
  <c r="D325" i="12" s="1"/>
  <c r="C277" i="12"/>
  <c r="B277" i="12"/>
  <c r="R276" i="12"/>
  <c r="Q276" i="12"/>
  <c r="P276" i="12"/>
  <c r="O276" i="12"/>
  <c r="N276" i="12"/>
  <c r="M276" i="12"/>
  <c r="J276" i="12"/>
  <c r="I276" i="12"/>
  <c r="H276" i="12"/>
  <c r="H496" i="12" s="1"/>
  <c r="G276" i="12"/>
  <c r="F276" i="12"/>
  <c r="E276" i="12"/>
  <c r="D276" i="12"/>
  <c r="C276" i="12"/>
  <c r="B276" i="12"/>
  <c r="R275" i="12"/>
  <c r="R323" i="12" s="1"/>
  <c r="Q275" i="12"/>
  <c r="Q323" i="12" s="1"/>
  <c r="P275" i="12"/>
  <c r="P323" i="12" s="1"/>
  <c r="O275" i="12"/>
  <c r="O323" i="12" s="1"/>
  <c r="N275" i="12"/>
  <c r="N323" i="12" s="1"/>
  <c r="M275" i="12"/>
  <c r="M323" i="12" s="1"/>
  <c r="J275" i="12"/>
  <c r="J323" i="12" s="1"/>
  <c r="I275" i="12"/>
  <c r="I323" i="12" s="1"/>
  <c r="H275" i="12"/>
  <c r="H323" i="12" s="1"/>
  <c r="G275" i="12"/>
  <c r="G323" i="12" s="1"/>
  <c r="F275" i="12"/>
  <c r="F323" i="12" s="1"/>
  <c r="E275" i="12"/>
  <c r="E323" i="12" s="1"/>
  <c r="D275" i="12"/>
  <c r="D323" i="12" s="1"/>
  <c r="C275" i="12"/>
  <c r="C323" i="12" s="1"/>
  <c r="B275" i="12"/>
  <c r="B323" i="12" s="1"/>
  <c r="R274" i="12"/>
  <c r="R322" i="12" s="1"/>
  <c r="Q274" i="12"/>
  <c r="Q322" i="12" s="1"/>
  <c r="P274" i="12"/>
  <c r="P322" i="12" s="1"/>
  <c r="O274" i="12"/>
  <c r="O322" i="12" s="1"/>
  <c r="N274" i="12"/>
  <c r="N322" i="12" s="1"/>
  <c r="M274" i="12"/>
  <c r="M322" i="12" s="1"/>
  <c r="J274" i="12"/>
  <c r="J322" i="12" s="1"/>
  <c r="I274" i="12"/>
  <c r="I322" i="12" s="1"/>
  <c r="H274" i="12"/>
  <c r="H322" i="12" s="1"/>
  <c r="G274" i="12"/>
  <c r="G322" i="12" s="1"/>
  <c r="F274" i="12"/>
  <c r="F322" i="12" s="1"/>
  <c r="E274" i="12"/>
  <c r="E322" i="12" s="1"/>
  <c r="D274" i="12"/>
  <c r="D322" i="12" s="1"/>
  <c r="C274" i="12"/>
  <c r="C322" i="12" s="1"/>
  <c r="B274" i="12"/>
  <c r="B322" i="12" s="1"/>
  <c r="R273" i="12"/>
  <c r="R321" i="12" s="1"/>
  <c r="Q273" i="12"/>
  <c r="Q321" i="12" s="1"/>
  <c r="P273" i="12"/>
  <c r="P321" i="12" s="1"/>
  <c r="O273" i="12"/>
  <c r="O321" i="12" s="1"/>
  <c r="N273" i="12"/>
  <c r="N321" i="12" s="1"/>
  <c r="M273" i="12"/>
  <c r="M321" i="12" s="1"/>
  <c r="J273" i="12"/>
  <c r="J321" i="12" s="1"/>
  <c r="I273" i="12"/>
  <c r="I321" i="12" s="1"/>
  <c r="H273" i="12"/>
  <c r="H321" i="12" s="1"/>
  <c r="G273" i="12"/>
  <c r="G321" i="12" s="1"/>
  <c r="F273" i="12"/>
  <c r="F321" i="12" s="1"/>
  <c r="E273" i="12"/>
  <c r="E321" i="12" s="1"/>
  <c r="D273" i="12"/>
  <c r="D321" i="12" s="1"/>
  <c r="C273" i="12"/>
  <c r="C321" i="12" s="1"/>
  <c r="B273" i="12"/>
  <c r="B321" i="12" s="1"/>
  <c r="R272" i="12"/>
  <c r="R320" i="12" s="1"/>
  <c r="Q272" i="12"/>
  <c r="Q320" i="12" s="1"/>
  <c r="P272" i="12"/>
  <c r="P320" i="12" s="1"/>
  <c r="O272" i="12"/>
  <c r="O320" i="12" s="1"/>
  <c r="N272" i="12"/>
  <c r="N320" i="12" s="1"/>
  <c r="M272" i="12"/>
  <c r="M320" i="12" s="1"/>
  <c r="J272" i="12"/>
  <c r="J320" i="12" s="1"/>
  <c r="I272" i="12"/>
  <c r="I320" i="12" s="1"/>
  <c r="H272" i="12"/>
  <c r="H320" i="12" s="1"/>
  <c r="G272" i="12"/>
  <c r="G320" i="12" s="1"/>
  <c r="F272" i="12"/>
  <c r="F320" i="12" s="1"/>
  <c r="E272" i="12"/>
  <c r="E320" i="12" s="1"/>
  <c r="D272" i="12"/>
  <c r="D320" i="12" s="1"/>
  <c r="C272" i="12"/>
  <c r="C320" i="12" s="1"/>
  <c r="B272" i="12"/>
  <c r="R271" i="12"/>
  <c r="R319" i="12" s="1"/>
  <c r="Q271" i="12"/>
  <c r="Q319" i="12" s="1"/>
  <c r="P271" i="12"/>
  <c r="O271" i="12"/>
  <c r="O319" i="12" s="1"/>
  <c r="N271" i="12"/>
  <c r="N319" i="12" s="1"/>
  <c r="M271" i="12"/>
  <c r="M319" i="12" s="1"/>
  <c r="J271" i="12"/>
  <c r="I271" i="12"/>
  <c r="H271" i="12"/>
  <c r="H319" i="12" s="1"/>
  <c r="G271" i="12"/>
  <c r="G319" i="12" s="1"/>
  <c r="F271" i="12"/>
  <c r="F319" i="12" s="1"/>
  <c r="E271" i="12"/>
  <c r="D271" i="12"/>
  <c r="D319" i="12" s="1"/>
  <c r="C271" i="12"/>
  <c r="B271" i="12"/>
  <c r="B319" i="12" s="1"/>
  <c r="R270" i="12"/>
  <c r="R318" i="12" s="1"/>
  <c r="Q270" i="12"/>
  <c r="Q318" i="12" s="1"/>
  <c r="P270" i="12"/>
  <c r="P318" i="12" s="1"/>
  <c r="O270" i="12"/>
  <c r="O318" i="12" s="1"/>
  <c r="N270" i="12"/>
  <c r="N318" i="12" s="1"/>
  <c r="M270" i="12"/>
  <c r="M318" i="12" s="1"/>
  <c r="J270" i="12"/>
  <c r="J318" i="12" s="1"/>
  <c r="I270" i="12"/>
  <c r="I318" i="12" s="1"/>
  <c r="H270" i="12"/>
  <c r="H318" i="12" s="1"/>
  <c r="G270" i="12"/>
  <c r="G318" i="12" s="1"/>
  <c r="F270" i="12"/>
  <c r="F318" i="12" s="1"/>
  <c r="E270" i="12"/>
  <c r="E318" i="12" s="1"/>
  <c r="D270" i="12"/>
  <c r="D318" i="12" s="1"/>
  <c r="C270" i="12"/>
  <c r="C318" i="12" s="1"/>
  <c r="B270" i="12"/>
  <c r="B318" i="12" s="1"/>
  <c r="R269" i="12"/>
  <c r="R317" i="12" s="1"/>
  <c r="Q269" i="12"/>
  <c r="Q317" i="12" s="1"/>
  <c r="P269" i="12"/>
  <c r="P317" i="12" s="1"/>
  <c r="O269" i="12"/>
  <c r="O317" i="12" s="1"/>
  <c r="N269" i="12"/>
  <c r="N317" i="12" s="1"/>
  <c r="M269" i="12"/>
  <c r="M317" i="12" s="1"/>
  <c r="J269" i="12"/>
  <c r="J317" i="12" s="1"/>
  <c r="I269" i="12"/>
  <c r="I317" i="12" s="1"/>
  <c r="H269" i="12"/>
  <c r="H317" i="12" s="1"/>
  <c r="G269" i="12"/>
  <c r="G317" i="12" s="1"/>
  <c r="F269" i="12"/>
  <c r="F317" i="12" s="1"/>
  <c r="E269" i="12"/>
  <c r="E317" i="12" s="1"/>
  <c r="D269" i="12"/>
  <c r="D317" i="12" s="1"/>
  <c r="C269" i="12"/>
  <c r="C317" i="12" s="1"/>
  <c r="B269" i="12"/>
  <c r="B317" i="12" s="1"/>
  <c r="R268" i="12"/>
  <c r="R316" i="12" s="1"/>
  <c r="Q268" i="12"/>
  <c r="Q316" i="12" s="1"/>
  <c r="P268" i="12"/>
  <c r="P316" i="12" s="1"/>
  <c r="O268" i="12"/>
  <c r="O316" i="12" s="1"/>
  <c r="N268" i="12"/>
  <c r="N316" i="12" s="1"/>
  <c r="M268" i="12"/>
  <c r="M316" i="12" s="1"/>
  <c r="J268" i="12"/>
  <c r="J316" i="12" s="1"/>
  <c r="I268" i="12"/>
  <c r="I316" i="12" s="1"/>
  <c r="H268" i="12"/>
  <c r="H316" i="12" s="1"/>
  <c r="G268" i="12"/>
  <c r="G316" i="12" s="1"/>
  <c r="F268" i="12"/>
  <c r="F316" i="12" s="1"/>
  <c r="E268" i="12"/>
  <c r="E316" i="12" s="1"/>
  <c r="D268" i="12"/>
  <c r="D316" i="12" s="1"/>
  <c r="C268" i="12"/>
  <c r="C316" i="12" s="1"/>
  <c r="B268" i="12"/>
  <c r="B316" i="12" s="1"/>
  <c r="R267" i="12"/>
  <c r="R315" i="12" s="1"/>
  <c r="Q267" i="12"/>
  <c r="Q315" i="12" s="1"/>
  <c r="P267" i="12"/>
  <c r="P315" i="12" s="1"/>
  <c r="O267" i="12"/>
  <c r="O315" i="12" s="1"/>
  <c r="N267" i="12"/>
  <c r="N315" i="12" s="1"/>
  <c r="M267" i="12"/>
  <c r="M315" i="12" s="1"/>
  <c r="J267" i="12"/>
  <c r="J315" i="12" s="1"/>
  <c r="I267" i="12"/>
  <c r="I315" i="12" s="1"/>
  <c r="H267" i="12"/>
  <c r="H315" i="12" s="1"/>
  <c r="G267" i="12"/>
  <c r="G315" i="12" s="1"/>
  <c r="F267" i="12"/>
  <c r="F315" i="12" s="1"/>
  <c r="E267" i="12"/>
  <c r="E315" i="12" s="1"/>
  <c r="D267" i="12"/>
  <c r="D315" i="12" s="1"/>
  <c r="C267" i="12"/>
  <c r="C315" i="12" s="1"/>
  <c r="B267" i="12"/>
  <c r="B315" i="12" s="1"/>
  <c r="R266" i="12"/>
  <c r="R314" i="12" s="1"/>
  <c r="Q266" i="12"/>
  <c r="P266" i="12"/>
  <c r="P314" i="12" s="1"/>
  <c r="O266" i="12"/>
  <c r="N266" i="12"/>
  <c r="N314" i="12" s="1"/>
  <c r="M266" i="12"/>
  <c r="M314" i="12" s="1"/>
  <c r="J266" i="12"/>
  <c r="J314" i="12" s="1"/>
  <c r="I266" i="12"/>
  <c r="I314" i="12" s="1"/>
  <c r="H266" i="12"/>
  <c r="H314" i="12" s="1"/>
  <c r="G266" i="12"/>
  <c r="G314" i="12" s="1"/>
  <c r="F266" i="12"/>
  <c r="E266" i="12"/>
  <c r="E314" i="12" s="1"/>
  <c r="D266" i="12"/>
  <c r="D314" i="12" s="1"/>
  <c r="C266" i="12"/>
  <c r="C314" i="12" s="1"/>
  <c r="B266" i="12"/>
  <c r="B314" i="12" s="1"/>
  <c r="R265" i="12"/>
  <c r="R313" i="12" s="1"/>
  <c r="Q265" i="12"/>
  <c r="Q313" i="12" s="1"/>
  <c r="P265" i="12"/>
  <c r="P313" i="12" s="1"/>
  <c r="O265" i="12"/>
  <c r="O313" i="12" s="1"/>
  <c r="N265" i="12"/>
  <c r="N313" i="12" s="1"/>
  <c r="M265" i="12"/>
  <c r="M313" i="12" s="1"/>
  <c r="J265" i="12"/>
  <c r="J313" i="12" s="1"/>
  <c r="I265" i="12"/>
  <c r="I313" i="12" s="1"/>
  <c r="H265" i="12"/>
  <c r="H313" i="12" s="1"/>
  <c r="G265" i="12"/>
  <c r="G313" i="12" s="1"/>
  <c r="F265" i="12"/>
  <c r="F313" i="12" s="1"/>
  <c r="E265" i="12"/>
  <c r="E313" i="12" s="1"/>
  <c r="D265" i="12"/>
  <c r="D313" i="12" s="1"/>
  <c r="C265" i="12"/>
  <c r="C313" i="12" s="1"/>
  <c r="B265" i="12"/>
  <c r="B313" i="12" s="1"/>
  <c r="R264" i="12"/>
  <c r="R312" i="12" s="1"/>
  <c r="Q264" i="12"/>
  <c r="Q312" i="12" s="1"/>
  <c r="P264" i="12"/>
  <c r="P312" i="12" s="1"/>
  <c r="O264" i="12"/>
  <c r="O312" i="12" s="1"/>
  <c r="N264" i="12"/>
  <c r="N312" i="12" s="1"/>
  <c r="M264" i="12"/>
  <c r="M312" i="12" s="1"/>
  <c r="J264" i="12"/>
  <c r="J312" i="12" s="1"/>
  <c r="I264" i="12"/>
  <c r="I312" i="12" s="1"/>
  <c r="H264" i="12"/>
  <c r="H312" i="12" s="1"/>
  <c r="G264" i="12"/>
  <c r="G312" i="12" s="1"/>
  <c r="F264" i="12"/>
  <c r="F312" i="12" s="1"/>
  <c r="E264" i="12"/>
  <c r="E312" i="12" s="1"/>
  <c r="D264" i="12"/>
  <c r="D312" i="12" s="1"/>
  <c r="C264" i="12"/>
  <c r="C312" i="12" s="1"/>
  <c r="B264" i="12"/>
  <c r="B312" i="12" s="1"/>
  <c r="R263" i="12"/>
  <c r="R311" i="12" s="1"/>
  <c r="Q263" i="12"/>
  <c r="Q311" i="12" s="1"/>
  <c r="P263" i="12"/>
  <c r="P311" i="12" s="1"/>
  <c r="O263" i="12"/>
  <c r="O311" i="12" s="1"/>
  <c r="N263" i="12"/>
  <c r="N311" i="12" s="1"/>
  <c r="M263" i="12"/>
  <c r="M311" i="12" s="1"/>
  <c r="J263" i="12"/>
  <c r="J311" i="12" s="1"/>
  <c r="I263" i="12"/>
  <c r="I311" i="12" s="1"/>
  <c r="H263" i="12"/>
  <c r="H311" i="12" s="1"/>
  <c r="G263" i="12"/>
  <c r="G311" i="12" s="1"/>
  <c r="F263" i="12"/>
  <c r="F311" i="12" s="1"/>
  <c r="E263" i="12"/>
  <c r="E311" i="12" s="1"/>
  <c r="D263" i="12"/>
  <c r="D311" i="12" s="1"/>
  <c r="C263" i="12"/>
  <c r="C311" i="12" s="1"/>
  <c r="B263" i="12"/>
  <c r="B311" i="12" s="1"/>
  <c r="R262" i="12"/>
  <c r="R310" i="12" s="1"/>
  <c r="Q262" i="12"/>
  <c r="Q310" i="12" s="1"/>
  <c r="P262" i="12"/>
  <c r="P310" i="12" s="1"/>
  <c r="O262" i="12"/>
  <c r="N262" i="12"/>
  <c r="N310" i="12" s="1"/>
  <c r="M262" i="12"/>
  <c r="M310" i="12" s="1"/>
  <c r="J262" i="12"/>
  <c r="J310" i="12" s="1"/>
  <c r="I262" i="12"/>
  <c r="I310" i="12" s="1"/>
  <c r="H262" i="12"/>
  <c r="H310" i="12" s="1"/>
  <c r="G262" i="12"/>
  <c r="G310" i="12" s="1"/>
  <c r="F262" i="12"/>
  <c r="E262" i="12"/>
  <c r="E310" i="12" s="1"/>
  <c r="D262" i="12"/>
  <c r="D310" i="12" s="1"/>
  <c r="C262" i="12"/>
  <c r="C310" i="12" s="1"/>
  <c r="B262" i="12"/>
  <c r="B310" i="12" s="1"/>
  <c r="R261" i="12"/>
  <c r="R309" i="12" s="1"/>
  <c r="Q261" i="12"/>
  <c r="P261" i="12"/>
  <c r="P309" i="12" s="1"/>
  <c r="O261" i="12"/>
  <c r="O309" i="12" s="1"/>
  <c r="N261" i="12"/>
  <c r="N309" i="12" s="1"/>
  <c r="M261" i="12"/>
  <c r="J261" i="12"/>
  <c r="J309" i="12" s="1"/>
  <c r="I261" i="12"/>
  <c r="I309" i="12" s="1"/>
  <c r="H261" i="12"/>
  <c r="G261" i="12"/>
  <c r="F261" i="12"/>
  <c r="F309" i="12" s="1"/>
  <c r="E261" i="12"/>
  <c r="D261" i="12"/>
  <c r="C261" i="12"/>
  <c r="C309" i="12" s="1"/>
  <c r="B261" i="12"/>
  <c r="B309" i="12" s="1"/>
  <c r="R260" i="12"/>
  <c r="R308" i="12" s="1"/>
  <c r="Q260" i="12"/>
  <c r="Q308" i="12" s="1"/>
  <c r="P260" i="12"/>
  <c r="P308" i="12" s="1"/>
  <c r="O260" i="12"/>
  <c r="O308" i="12" s="1"/>
  <c r="N260" i="12"/>
  <c r="N308" i="12" s="1"/>
  <c r="M260" i="12"/>
  <c r="M308" i="12" s="1"/>
  <c r="J260" i="12"/>
  <c r="J308" i="12" s="1"/>
  <c r="I260" i="12"/>
  <c r="I308" i="12" s="1"/>
  <c r="H260" i="12"/>
  <c r="H308" i="12" s="1"/>
  <c r="G260" i="12"/>
  <c r="G308" i="12" s="1"/>
  <c r="F260" i="12"/>
  <c r="F308" i="12" s="1"/>
  <c r="E260" i="12"/>
  <c r="E308" i="12" s="1"/>
  <c r="D260" i="12"/>
  <c r="C260" i="12"/>
  <c r="C308" i="12" s="1"/>
  <c r="B260" i="12"/>
  <c r="B308" i="12" s="1"/>
  <c r="R259" i="12"/>
  <c r="R307" i="12" s="1"/>
  <c r="Q259" i="12"/>
  <c r="Q307" i="12" s="1"/>
  <c r="P259" i="12"/>
  <c r="P307" i="12" s="1"/>
  <c r="O259" i="12"/>
  <c r="O307" i="12" s="1"/>
  <c r="N259" i="12"/>
  <c r="N307" i="12" s="1"/>
  <c r="M259" i="12"/>
  <c r="M307" i="12" s="1"/>
  <c r="J259" i="12"/>
  <c r="J307" i="12" s="1"/>
  <c r="I259" i="12"/>
  <c r="H259" i="12"/>
  <c r="H307" i="12" s="1"/>
  <c r="G259" i="12"/>
  <c r="G307" i="12" s="1"/>
  <c r="F259" i="12"/>
  <c r="F307" i="12" s="1"/>
  <c r="E259" i="12"/>
  <c r="D259" i="12"/>
  <c r="D307" i="12" s="1"/>
  <c r="C259" i="12"/>
  <c r="C307" i="12" s="1"/>
  <c r="B259" i="12"/>
  <c r="B307" i="12" s="1"/>
  <c r="R258" i="12"/>
  <c r="R306" i="12" s="1"/>
  <c r="Q258" i="12"/>
  <c r="Q306" i="12" s="1"/>
  <c r="P258" i="12"/>
  <c r="P306" i="12" s="1"/>
  <c r="O258" i="12"/>
  <c r="O306" i="12" s="1"/>
  <c r="N258" i="12"/>
  <c r="N306" i="12" s="1"/>
  <c r="M258" i="12"/>
  <c r="M306" i="12" s="1"/>
  <c r="J258" i="12"/>
  <c r="J306" i="12" s="1"/>
  <c r="I258" i="12"/>
  <c r="I306" i="12" s="1"/>
  <c r="H258" i="12"/>
  <c r="H306" i="12" s="1"/>
  <c r="G258" i="12"/>
  <c r="G306" i="12" s="1"/>
  <c r="F258" i="12"/>
  <c r="F306" i="12" s="1"/>
  <c r="E258" i="12"/>
  <c r="E306" i="12" s="1"/>
  <c r="D258" i="12"/>
  <c r="D306" i="12" s="1"/>
  <c r="C258" i="12"/>
  <c r="C306" i="12" s="1"/>
  <c r="B258" i="12"/>
  <c r="B306" i="12" s="1"/>
  <c r="R257" i="12"/>
  <c r="R305" i="12" s="1"/>
  <c r="Q257" i="12"/>
  <c r="Q305" i="12" s="1"/>
  <c r="P257" i="12"/>
  <c r="P305" i="12" s="1"/>
  <c r="O257" i="12"/>
  <c r="O305" i="12" s="1"/>
  <c r="N257" i="12"/>
  <c r="N305" i="12" s="1"/>
  <c r="M257" i="12"/>
  <c r="M305" i="12" s="1"/>
  <c r="J257" i="12"/>
  <c r="J305" i="12" s="1"/>
  <c r="I257" i="12"/>
  <c r="I305" i="12" s="1"/>
  <c r="H257" i="12"/>
  <c r="H305" i="12" s="1"/>
  <c r="G257" i="12"/>
  <c r="F257" i="12"/>
  <c r="F305" i="12" s="1"/>
  <c r="E257" i="12"/>
  <c r="E305" i="12" s="1"/>
  <c r="D257" i="12"/>
  <c r="D305" i="12" s="1"/>
  <c r="C257" i="12"/>
  <c r="C305" i="12" s="1"/>
  <c r="B257" i="12"/>
  <c r="B305" i="12" s="1"/>
  <c r="R256" i="12"/>
  <c r="R304" i="12" s="1"/>
  <c r="Q256" i="12"/>
  <c r="P256" i="12"/>
  <c r="P304" i="12" s="1"/>
  <c r="O256" i="12"/>
  <c r="O304" i="12" s="1"/>
  <c r="N256" i="12"/>
  <c r="N304" i="12" s="1"/>
  <c r="M256" i="12"/>
  <c r="M304" i="12" s="1"/>
  <c r="J256" i="12"/>
  <c r="J304" i="12" s="1"/>
  <c r="I256" i="12"/>
  <c r="I304" i="12" s="1"/>
  <c r="H256" i="12"/>
  <c r="H304" i="12" s="1"/>
  <c r="G256" i="12"/>
  <c r="G304" i="12" s="1"/>
  <c r="F256" i="12"/>
  <c r="E256" i="12"/>
  <c r="E304" i="12" s="1"/>
  <c r="D256" i="12"/>
  <c r="D304" i="12" s="1"/>
  <c r="C256" i="12"/>
  <c r="C304" i="12" s="1"/>
  <c r="B256" i="12"/>
  <c r="B304" i="12" s="1"/>
  <c r="R255" i="12"/>
  <c r="R303" i="12" s="1"/>
  <c r="Q255" i="12"/>
  <c r="Q303" i="12" s="1"/>
  <c r="P255" i="12"/>
  <c r="P303" i="12" s="1"/>
  <c r="O255" i="12"/>
  <c r="O303" i="12" s="1"/>
  <c r="N255" i="12"/>
  <c r="N303" i="12" s="1"/>
  <c r="M255" i="12"/>
  <c r="M303" i="12" s="1"/>
  <c r="J255" i="12"/>
  <c r="J303" i="12" s="1"/>
  <c r="I255" i="12"/>
  <c r="I303" i="12" s="1"/>
  <c r="H255" i="12"/>
  <c r="H303" i="12" s="1"/>
  <c r="G255" i="12"/>
  <c r="G303" i="12" s="1"/>
  <c r="F255" i="12"/>
  <c r="F303" i="12" s="1"/>
  <c r="E255" i="12"/>
  <c r="E303" i="12" s="1"/>
  <c r="D255" i="12"/>
  <c r="D303" i="12" s="1"/>
  <c r="C255" i="12"/>
  <c r="C303" i="12" s="1"/>
  <c r="B255" i="12"/>
  <c r="B303" i="12" s="1"/>
  <c r="R254" i="12"/>
  <c r="R302" i="12" s="1"/>
  <c r="Q254" i="12"/>
  <c r="Q302" i="12" s="1"/>
  <c r="P254" i="12"/>
  <c r="P302" i="12" s="1"/>
  <c r="O254" i="12"/>
  <c r="O302" i="12" s="1"/>
  <c r="N254" i="12"/>
  <c r="N302" i="12" s="1"/>
  <c r="M254" i="12"/>
  <c r="M302" i="12" s="1"/>
  <c r="J254" i="12"/>
  <c r="J302" i="12" s="1"/>
  <c r="I254" i="12"/>
  <c r="I302" i="12" s="1"/>
  <c r="H254" i="12"/>
  <c r="H302" i="12" s="1"/>
  <c r="G254" i="12"/>
  <c r="G302" i="12" s="1"/>
  <c r="F254" i="12"/>
  <c r="F302" i="12" s="1"/>
  <c r="E254" i="12"/>
  <c r="E302" i="12" s="1"/>
  <c r="D254" i="12"/>
  <c r="D302" i="12" s="1"/>
  <c r="C254" i="12"/>
  <c r="C302" i="12" s="1"/>
  <c r="B254" i="12"/>
  <c r="B302" i="12" s="1"/>
  <c r="R253" i="12"/>
  <c r="R301" i="12" s="1"/>
  <c r="Q253" i="12"/>
  <c r="Q301" i="12" s="1"/>
  <c r="P253" i="12"/>
  <c r="P301" i="12" s="1"/>
  <c r="O253" i="12"/>
  <c r="O301" i="12" s="1"/>
  <c r="N253" i="12"/>
  <c r="N301" i="12" s="1"/>
  <c r="M253" i="12"/>
  <c r="M301" i="12" s="1"/>
  <c r="J253" i="12"/>
  <c r="J301" i="12" s="1"/>
  <c r="I253" i="12"/>
  <c r="I301" i="12" s="1"/>
  <c r="H253" i="12"/>
  <c r="H301" i="12" s="1"/>
  <c r="G253" i="12"/>
  <c r="G301" i="12" s="1"/>
  <c r="F253" i="12"/>
  <c r="F301" i="12" s="1"/>
  <c r="E253" i="12"/>
  <c r="E301" i="12" s="1"/>
  <c r="D253" i="12"/>
  <c r="D301" i="12" s="1"/>
  <c r="C253" i="12"/>
  <c r="C301" i="12" s="1"/>
  <c r="B253" i="12"/>
  <c r="B301" i="12" s="1"/>
  <c r="R252" i="12"/>
  <c r="R300" i="12" s="1"/>
  <c r="Q252" i="12"/>
  <c r="Q300" i="12" s="1"/>
  <c r="P252" i="12"/>
  <c r="P300" i="12" s="1"/>
  <c r="O252" i="12"/>
  <c r="O300" i="12" s="1"/>
  <c r="N252" i="12"/>
  <c r="N300" i="12" s="1"/>
  <c r="M252" i="12"/>
  <c r="M300" i="12" s="1"/>
  <c r="J252" i="12"/>
  <c r="J300" i="12" s="1"/>
  <c r="I252" i="12"/>
  <c r="I300" i="12" s="1"/>
  <c r="H252" i="12"/>
  <c r="G252" i="12"/>
  <c r="G300" i="12" s="1"/>
  <c r="F252" i="12"/>
  <c r="F300" i="12" s="1"/>
  <c r="E252" i="12"/>
  <c r="E300" i="12" s="1"/>
  <c r="D252" i="12"/>
  <c r="D300" i="12" s="1"/>
  <c r="C252" i="12"/>
  <c r="C300" i="12" s="1"/>
  <c r="B252" i="12"/>
  <c r="B300" i="12" s="1"/>
  <c r="R251" i="12"/>
  <c r="Q251" i="12"/>
  <c r="Q299" i="12" s="1"/>
  <c r="P251" i="12"/>
  <c r="O251" i="12"/>
  <c r="O299" i="12" s="1"/>
  <c r="N251" i="12"/>
  <c r="M251" i="12"/>
  <c r="M299" i="12" s="1"/>
  <c r="J251" i="12"/>
  <c r="I251" i="12"/>
  <c r="H251" i="12"/>
  <c r="H299" i="12" s="1"/>
  <c r="G251" i="12"/>
  <c r="G299" i="12" s="1"/>
  <c r="F251" i="12"/>
  <c r="F299" i="12" s="1"/>
  <c r="E251" i="12"/>
  <c r="D251" i="12"/>
  <c r="D299" i="12" s="1"/>
  <c r="C251" i="12"/>
  <c r="C299" i="12" s="1"/>
  <c r="B251" i="12"/>
  <c r="B299" i="12" s="1"/>
  <c r="R250" i="12"/>
  <c r="R298" i="12" s="1"/>
  <c r="Q250" i="12"/>
  <c r="Q298" i="12" s="1"/>
  <c r="P250" i="12"/>
  <c r="P298" i="12" s="1"/>
  <c r="O250" i="12"/>
  <c r="O298" i="12" s="1"/>
  <c r="N250" i="12"/>
  <c r="N298" i="12" s="1"/>
  <c r="M250" i="12"/>
  <c r="M298" i="12" s="1"/>
  <c r="J250" i="12"/>
  <c r="J298" i="12" s="1"/>
  <c r="I250" i="12"/>
  <c r="I298" i="12" s="1"/>
  <c r="H250" i="12"/>
  <c r="H298" i="12" s="1"/>
  <c r="G250" i="12"/>
  <c r="G298" i="12" s="1"/>
  <c r="F250" i="12"/>
  <c r="F298" i="12" s="1"/>
  <c r="E250" i="12"/>
  <c r="E298" i="12" s="1"/>
  <c r="D250" i="12"/>
  <c r="D298" i="12" s="1"/>
  <c r="C250" i="12"/>
  <c r="C298" i="12" s="1"/>
  <c r="B250" i="12"/>
  <c r="B298" i="12" s="1"/>
  <c r="R249" i="12"/>
  <c r="R297" i="12" s="1"/>
  <c r="Q249" i="12"/>
  <c r="Q297" i="12" s="1"/>
  <c r="P249" i="12"/>
  <c r="P297" i="12" s="1"/>
  <c r="O249" i="12"/>
  <c r="O297" i="12" s="1"/>
  <c r="N249" i="12"/>
  <c r="N297" i="12" s="1"/>
  <c r="M249" i="12"/>
  <c r="M297" i="12" s="1"/>
  <c r="J249" i="12"/>
  <c r="J297" i="12" s="1"/>
  <c r="I249" i="12"/>
  <c r="I297" i="12" s="1"/>
  <c r="H249" i="12"/>
  <c r="H297" i="12" s="1"/>
  <c r="G249" i="12"/>
  <c r="G297" i="12" s="1"/>
  <c r="F249" i="12"/>
  <c r="F297" i="12" s="1"/>
  <c r="E249" i="12"/>
  <c r="E297" i="12" s="1"/>
  <c r="D249" i="12"/>
  <c r="D297" i="12" s="1"/>
  <c r="C249" i="12"/>
  <c r="C297" i="12" s="1"/>
  <c r="B249" i="12"/>
  <c r="B297" i="12" s="1"/>
  <c r="R248" i="12"/>
  <c r="R296" i="12" s="1"/>
  <c r="Q248" i="12"/>
  <c r="Q296" i="12" s="1"/>
  <c r="P248" i="12"/>
  <c r="P296" i="12" s="1"/>
  <c r="O248" i="12"/>
  <c r="O296" i="12" s="1"/>
  <c r="N248" i="12"/>
  <c r="N296" i="12" s="1"/>
  <c r="M248" i="12"/>
  <c r="M296" i="12" s="1"/>
  <c r="J248" i="12"/>
  <c r="J296" i="12" s="1"/>
  <c r="I248" i="12"/>
  <c r="I296" i="12" s="1"/>
  <c r="H248" i="12"/>
  <c r="H296" i="12" s="1"/>
  <c r="G248" i="12"/>
  <c r="G296" i="12" s="1"/>
  <c r="F248" i="12"/>
  <c r="F296" i="12" s="1"/>
  <c r="E248" i="12"/>
  <c r="E296" i="12" s="1"/>
  <c r="D248" i="12"/>
  <c r="D296" i="12" s="1"/>
  <c r="C248" i="12"/>
  <c r="C296" i="12" s="1"/>
  <c r="B248" i="12"/>
  <c r="B296" i="12" s="1"/>
  <c r="R247" i="12"/>
  <c r="R295" i="12" s="1"/>
  <c r="Q247" i="12"/>
  <c r="Q295" i="12" s="1"/>
  <c r="P247" i="12"/>
  <c r="P295" i="12" s="1"/>
  <c r="O247" i="12"/>
  <c r="O295" i="12" s="1"/>
  <c r="N247" i="12"/>
  <c r="N295" i="12" s="1"/>
  <c r="M247" i="12"/>
  <c r="M295" i="12" s="1"/>
  <c r="J247" i="12"/>
  <c r="J295" i="12" s="1"/>
  <c r="I247" i="12"/>
  <c r="I295" i="12" s="1"/>
  <c r="H247" i="12"/>
  <c r="H295" i="12" s="1"/>
  <c r="G247" i="12"/>
  <c r="G295" i="12" s="1"/>
  <c r="F247" i="12"/>
  <c r="F295" i="12" s="1"/>
  <c r="E247" i="12"/>
  <c r="E295" i="12" s="1"/>
  <c r="D247" i="12"/>
  <c r="D295" i="12" s="1"/>
  <c r="C247" i="12"/>
  <c r="C295" i="12" s="1"/>
  <c r="B247" i="12"/>
  <c r="B295" i="12" s="1"/>
  <c r="R246" i="12"/>
  <c r="R294" i="12" s="1"/>
  <c r="Q246" i="12"/>
  <c r="Q294" i="12" s="1"/>
  <c r="P246" i="12"/>
  <c r="P294" i="12" s="1"/>
  <c r="O246" i="12"/>
  <c r="O294" i="12" s="1"/>
  <c r="N246" i="12"/>
  <c r="N294" i="12" s="1"/>
  <c r="M246" i="12"/>
  <c r="M294" i="12" s="1"/>
  <c r="J246" i="12"/>
  <c r="J294" i="12" s="1"/>
  <c r="I246" i="12"/>
  <c r="I294" i="12" s="1"/>
  <c r="H246" i="12"/>
  <c r="H294" i="12" s="1"/>
  <c r="G246" i="12"/>
  <c r="G294" i="12" s="1"/>
  <c r="F246" i="12"/>
  <c r="F294" i="12" s="1"/>
  <c r="E246" i="12"/>
  <c r="E294" i="12" s="1"/>
  <c r="D246" i="12"/>
  <c r="D294" i="12" s="1"/>
  <c r="C246" i="12"/>
  <c r="C294" i="12" s="1"/>
  <c r="B246" i="12"/>
  <c r="B294" i="12" s="1"/>
  <c r="S488" i="12"/>
  <c r="K243" i="12"/>
  <c r="K488" i="12" s="1"/>
  <c r="K239" i="12"/>
  <c r="K484" i="12" s="1"/>
  <c r="S238" i="12"/>
  <c r="S483" i="12" s="1"/>
  <c r="K238" i="12"/>
  <c r="K483" i="12" s="1"/>
  <c r="S237" i="12"/>
  <c r="S482" i="12" s="1"/>
  <c r="K237" i="12"/>
  <c r="K482" i="12" s="1"/>
  <c r="S236" i="12"/>
  <c r="S481" i="12" s="1"/>
  <c r="K236" i="12"/>
  <c r="K481" i="12" s="1"/>
  <c r="S235" i="12"/>
  <c r="S480" i="12" s="1"/>
  <c r="K235" i="12"/>
  <c r="K480" i="12" s="1"/>
  <c r="S234" i="12"/>
  <c r="S479" i="12" s="1"/>
  <c r="K234" i="12"/>
  <c r="K479" i="12" s="1"/>
  <c r="S233" i="12"/>
  <c r="K233" i="12"/>
  <c r="K478" i="12" s="1"/>
  <c r="S232" i="12"/>
  <c r="K232" i="12"/>
  <c r="S231" i="12"/>
  <c r="K231" i="12"/>
  <c r="S230" i="12"/>
  <c r="K230" i="12"/>
  <c r="S229" i="12"/>
  <c r="K229" i="12"/>
  <c r="S228" i="12"/>
  <c r="K228" i="12"/>
  <c r="S227" i="12"/>
  <c r="K227" i="12"/>
  <c r="S226" i="12"/>
  <c r="K226" i="12"/>
  <c r="S225" i="12"/>
  <c r="K225" i="12"/>
  <c r="S224" i="12"/>
  <c r="K224" i="12"/>
  <c r="S223" i="12"/>
  <c r="K223" i="12"/>
  <c r="S222" i="12"/>
  <c r="K222" i="12"/>
  <c r="S221" i="12"/>
  <c r="K221" i="12"/>
  <c r="S220" i="12"/>
  <c r="K220" i="12"/>
  <c r="S219" i="12"/>
  <c r="K219" i="12"/>
  <c r="S218" i="12"/>
  <c r="K218" i="12"/>
  <c r="S217" i="12"/>
  <c r="K217" i="12"/>
  <c r="S216" i="12"/>
  <c r="S264" i="12" s="1"/>
  <c r="S312" i="12" s="1"/>
  <c r="K216" i="12"/>
  <c r="S215" i="12"/>
  <c r="K215" i="12"/>
  <c r="S214" i="12"/>
  <c r="K214" i="12"/>
  <c r="S213" i="12"/>
  <c r="K213" i="12"/>
  <c r="S212" i="12"/>
  <c r="K212" i="12"/>
  <c r="S211" i="12"/>
  <c r="K211" i="12"/>
  <c r="S210" i="12"/>
  <c r="K210" i="12"/>
  <c r="S209" i="12"/>
  <c r="K209" i="12"/>
  <c r="S208" i="12"/>
  <c r="K208" i="12"/>
  <c r="S207" i="12"/>
  <c r="K207" i="12"/>
  <c r="S206" i="12"/>
  <c r="K206" i="12"/>
  <c r="S205" i="12"/>
  <c r="K205" i="12"/>
  <c r="S204" i="12"/>
  <c r="K204" i="12"/>
  <c r="S203" i="12"/>
  <c r="K203" i="12"/>
  <c r="S202" i="12"/>
  <c r="K202" i="12"/>
  <c r="S201" i="12"/>
  <c r="K201" i="12"/>
  <c r="S200" i="12"/>
  <c r="K200" i="12"/>
  <c r="S199" i="12"/>
  <c r="K199" i="12"/>
  <c r="S198" i="12"/>
  <c r="K198" i="12"/>
  <c r="S195" i="12"/>
  <c r="S465" i="12" s="1"/>
  <c r="K195" i="12"/>
  <c r="K465" i="12" s="1"/>
  <c r="S191" i="12"/>
  <c r="S461" i="12" s="1"/>
  <c r="K191" i="12"/>
  <c r="K461" i="12" s="1"/>
  <c r="S190" i="12"/>
  <c r="S460" i="12" s="1"/>
  <c r="K190" i="12"/>
  <c r="K460" i="12" s="1"/>
  <c r="S189" i="12"/>
  <c r="S459" i="12" s="1"/>
  <c r="K189" i="12"/>
  <c r="K459" i="12" s="1"/>
  <c r="S188" i="12"/>
  <c r="S458" i="12" s="1"/>
  <c r="K188" i="12"/>
  <c r="K458" i="12" s="1"/>
  <c r="S187" i="12"/>
  <c r="S457" i="12" s="1"/>
  <c r="K187" i="12"/>
  <c r="K457" i="12" s="1"/>
  <c r="S186" i="12"/>
  <c r="S456" i="12" s="1"/>
  <c r="K186" i="12"/>
  <c r="K456" i="12" s="1"/>
  <c r="S185" i="12"/>
  <c r="S455" i="12" s="1"/>
  <c r="K185" i="12"/>
  <c r="K455" i="12" s="1"/>
  <c r="S184" i="12"/>
  <c r="K184" i="12"/>
  <c r="S183" i="12"/>
  <c r="K183" i="12"/>
  <c r="S182" i="12"/>
  <c r="K182" i="12"/>
  <c r="S181" i="12"/>
  <c r="K181" i="12"/>
  <c r="S180" i="12"/>
  <c r="K180" i="12"/>
  <c r="S179" i="12"/>
  <c r="K179" i="12"/>
  <c r="S178" i="12"/>
  <c r="K178" i="12"/>
  <c r="S177" i="12"/>
  <c r="K177" i="12"/>
  <c r="S176" i="12"/>
  <c r="K176" i="12"/>
  <c r="S175" i="12"/>
  <c r="K175" i="12"/>
  <c r="S174" i="12"/>
  <c r="K174" i="12"/>
  <c r="S173" i="12"/>
  <c r="K173" i="12"/>
  <c r="K172" i="12"/>
  <c r="S171" i="12"/>
  <c r="K171" i="12"/>
  <c r="S170" i="12"/>
  <c r="K170" i="12"/>
  <c r="K169" i="12"/>
  <c r="K168" i="12"/>
  <c r="S167" i="12"/>
  <c r="K167" i="12"/>
  <c r="S166" i="12"/>
  <c r="K166" i="12"/>
  <c r="S165" i="12"/>
  <c r="K165" i="12"/>
  <c r="S164" i="12"/>
  <c r="K164" i="12"/>
  <c r="S163" i="12"/>
  <c r="K163" i="12"/>
  <c r="S162" i="12"/>
  <c r="K162" i="12"/>
  <c r="S161" i="12"/>
  <c r="K161" i="12"/>
  <c r="S160" i="12"/>
  <c r="K160" i="12"/>
  <c r="S159" i="12"/>
  <c r="K159" i="12"/>
  <c r="S158" i="12"/>
  <c r="K158" i="12"/>
  <c r="S157" i="12"/>
  <c r="K157" i="12"/>
  <c r="S156" i="12"/>
  <c r="K156" i="12"/>
  <c r="S155" i="12"/>
  <c r="K155" i="12"/>
  <c r="S154" i="12"/>
  <c r="K154" i="12"/>
  <c r="S153" i="12"/>
  <c r="K153" i="12"/>
  <c r="S152" i="12"/>
  <c r="K152" i="12"/>
  <c r="S151" i="12"/>
  <c r="K151" i="12"/>
  <c r="S150" i="12"/>
  <c r="K150" i="12"/>
  <c r="S147" i="12"/>
  <c r="S446" i="12" s="1"/>
  <c r="K147" i="12"/>
  <c r="K446" i="12" s="1"/>
  <c r="S143" i="12"/>
  <c r="S442" i="12" s="1"/>
  <c r="K143" i="12"/>
  <c r="K442" i="12" s="1"/>
  <c r="S142" i="12"/>
  <c r="S441" i="12" s="1"/>
  <c r="K142" i="12"/>
  <c r="K441" i="12" s="1"/>
  <c r="S141" i="12"/>
  <c r="S440" i="12" s="1"/>
  <c r="K141" i="12"/>
  <c r="K440" i="12" s="1"/>
  <c r="S140" i="12"/>
  <c r="S439" i="12" s="1"/>
  <c r="K140" i="12"/>
  <c r="S139" i="12"/>
  <c r="S438" i="12" s="1"/>
  <c r="K139" i="12"/>
  <c r="K438" i="12" s="1"/>
  <c r="S138" i="12"/>
  <c r="S437" i="12" s="1"/>
  <c r="K138" i="12"/>
  <c r="K437" i="12" s="1"/>
  <c r="S137" i="12"/>
  <c r="S436" i="12" s="1"/>
  <c r="K137" i="12"/>
  <c r="K436" i="12" s="1"/>
  <c r="S136" i="12"/>
  <c r="K136" i="12"/>
  <c r="S135" i="12"/>
  <c r="K135" i="12"/>
  <c r="S134" i="12"/>
  <c r="K134" i="12"/>
  <c r="S133" i="12"/>
  <c r="K133" i="12"/>
  <c r="S132" i="12"/>
  <c r="K132" i="12"/>
  <c r="S131" i="12"/>
  <c r="K131" i="12"/>
  <c r="S130" i="12"/>
  <c r="K130" i="12"/>
  <c r="S129" i="12"/>
  <c r="K129" i="12"/>
  <c r="S128" i="12"/>
  <c r="K128" i="12"/>
  <c r="S127" i="12"/>
  <c r="K127" i="12"/>
  <c r="S126" i="12"/>
  <c r="K126" i="12"/>
  <c r="S125" i="12"/>
  <c r="K125" i="12"/>
  <c r="S124" i="12"/>
  <c r="K124" i="12"/>
  <c r="S123" i="12"/>
  <c r="K123" i="12"/>
  <c r="S122" i="12"/>
  <c r="K122" i="12"/>
  <c r="S121" i="12"/>
  <c r="K121" i="12"/>
  <c r="K120" i="12"/>
  <c r="S119" i="12"/>
  <c r="K119" i="12"/>
  <c r="S118" i="12"/>
  <c r="K118" i="12"/>
  <c r="S117" i="12"/>
  <c r="K117" i="12"/>
  <c r="S116" i="12"/>
  <c r="K116" i="12"/>
  <c r="S115" i="12"/>
  <c r="K115" i="12"/>
  <c r="S114" i="12"/>
  <c r="K114" i="12"/>
  <c r="S113" i="12"/>
  <c r="K113" i="12"/>
  <c r="S112" i="12"/>
  <c r="K112" i="12"/>
  <c r="S111" i="12"/>
  <c r="K111" i="12"/>
  <c r="S110" i="12"/>
  <c r="K110" i="12"/>
  <c r="S109" i="12"/>
  <c r="K109" i="12"/>
  <c r="S108" i="12"/>
  <c r="K108" i="12"/>
  <c r="S107" i="12"/>
  <c r="K107" i="12"/>
  <c r="S106" i="12"/>
  <c r="K106" i="12"/>
  <c r="S105" i="12"/>
  <c r="K105" i="12"/>
  <c r="S104" i="12"/>
  <c r="K104" i="12"/>
  <c r="S103" i="12"/>
  <c r="K103" i="12"/>
  <c r="S102" i="12"/>
  <c r="K102" i="12"/>
  <c r="S99" i="12"/>
  <c r="S423" i="12" s="1"/>
  <c r="K99" i="12"/>
  <c r="K423" i="12" s="1"/>
  <c r="S95" i="12"/>
  <c r="S419" i="12" s="1"/>
  <c r="K95" i="12"/>
  <c r="S94" i="12"/>
  <c r="S418" i="12" s="1"/>
  <c r="K94" i="12"/>
  <c r="K418" i="12" s="1"/>
  <c r="S93" i="12"/>
  <c r="S417" i="12" s="1"/>
  <c r="K93" i="12"/>
  <c r="K417" i="12" s="1"/>
  <c r="S92" i="12"/>
  <c r="S416" i="12" s="1"/>
  <c r="K92" i="12"/>
  <c r="K416" i="12" s="1"/>
  <c r="S91" i="12"/>
  <c r="S415" i="12" s="1"/>
  <c r="K91" i="12"/>
  <c r="S90" i="12"/>
  <c r="S414" i="12" s="1"/>
  <c r="K90" i="12"/>
  <c r="K414" i="12" s="1"/>
  <c r="S89" i="12"/>
  <c r="S413" i="12" s="1"/>
  <c r="K89" i="12"/>
  <c r="S88" i="12"/>
  <c r="K88" i="12"/>
  <c r="S87" i="12"/>
  <c r="K87" i="12"/>
  <c r="S86" i="12"/>
  <c r="K86" i="12"/>
  <c r="S85" i="12"/>
  <c r="K85" i="12"/>
  <c r="S84" i="12"/>
  <c r="K84" i="12"/>
  <c r="S83" i="12"/>
  <c r="K83" i="12"/>
  <c r="S82" i="12"/>
  <c r="K82" i="12"/>
  <c r="S81" i="12"/>
  <c r="K81" i="12"/>
  <c r="S80" i="12"/>
  <c r="K80" i="12"/>
  <c r="S79" i="12"/>
  <c r="K79" i="12"/>
  <c r="S78" i="12"/>
  <c r="K78" i="12"/>
  <c r="S77" i="12"/>
  <c r="K77" i="12"/>
  <c r="S76" i="12"/>
  <c r="K76" i="12"/>
  <c r="S75" i="12"/>
  <c r="K75" i="12"/>
  <c r="S74" i="12"/>
  <c r="K74" i="12"/>
  <c r="S73" i="12"/>
  <c r="K73" i="12"/>
  <c r="K72" i="12"/>
  <c r="S71" i="12"/>
  <c r="K71" i="12"/>
  <c r="S70" i="12"/>
  <c r="K70" i="12"/>
  <c r="S69" i="12"/>
  <c r="K69" i="12"/>
  <c r="S68" i="12"/>
  <c r="K68" i="12"/>
  <c r="S67" i="12"/>
  <c r="K67" i="12"/>
  <c r="S66" i="12"/>
  <c r="K66" i="12"/>
  <c r="S65" i="12"/>
  <c r="K65" i="12"/>
  <c r="S64" i="12"/>
  <c r="K64" i="12"/>
  <c r="S63" i="12"/>
  <c r="K63" i="12"/>
  <c r="S62" i="12"/>
  <c r="K62" i="12"/>
  <c r="S61" i="12"/>
  <c r="K61" i="12"/>
  <c r="S60" i="12"/>
  <c r="K60" i="12"/>
  <c r="S59" i="12"/>
  <c r="K59" i="12"/>
  <c r="S58" i="12"/>
  <c r="K58" i="12"/>
  <c r="S57" i="12"/>
  <c r="K57" i="12"/>
  <c r="S56" i="12"/>
  <c r="K56" i="12"/>
  <c r="S55" i="12"/>
  <c r="K55" i="12"/>
  <c r="S54" i="12"/>
  <c r="K54" i="12"/>
  <c r="S51" i="12"/>
  <c r="K51" i="12"/>
  <c r="S47" i="12"/>
  <c r="K47" i="12"/>
  <c r="S46" i="12"/>
  <c r="S399" i="12" s="1"/>
  <c r="K46" i="12"/>
  <c r="K399" i="12" s="1"/>
  <c r="S45" i="12"/>
  <c r="S398" i="12" s="1"/>
  <c r="K45" i="12"/>
  <c r="K398" i="12" s="1"/>
  <c r="S44" i="12"/>
  <c r="S397" i="12" s="1"/>
  <c r="K44" i="12"/>
  <c r="K397" i="12" s="1"/>
  <c r="S43" i="12"/>
  <c r="S396" i="12" s="1"/>
  <c r="K43" i="12"/>
  <c r="S42" i="12"/>
  <c r="S395" i="12" s="1"/>
  <c r="K42" i="12"/>
  <c r="K395" i="12" s="1"/>
  <c r="S41" i="12"/>
  <c r="S394" i="12" s="1"/>
  <c r="K41" i="12"/>
  <c r="K394" i="12" s="1"/>
  <c r="S40" i="12"/>
  <c r="K40" i="12"/>
  <c r="S39" i="12"/>
  <c r="K39" i="12"/>
  <c r="S38" i="12"/>
  <c r="K38" i="12"/>
  <c r="S37" i="12"/>
  <c r="K37" i="12"/>
  <c r="S36" i="12"/>
  <c r="K36" i="12"/>
  <c r="S35" i="12"/>
  <c r="K35" i="12"/>
  <c r="S34" i="12"/>
  <c r="K34" i="12"/>
  <c r="S33" i="12"/>
  <c r="K33" i="12"/>
  <c r="S32" i="12"/>
  <c r="K32" i="12"/>
  <c r="S31" i="12"/>
  <c r="K31" i="12"/>
  <c r="S30" i="12"/>
  <c r="K30" i="12"/>
  <c r="S29" i="12"/>
  <c r="K29" i="12"/>
  <c r="S28" i="12"/>
  <c r="K28" i="12"/>
  <c r="S27" i="12"/>
  <c r="K27" i="12"/>
  <c r="S26" i="12"/>
  <c r="K26" i="12"/>
  <c r="S25" i="12"/>
  <c r="K25" i="12"/>
  <c r="S23" i="12"/>
  <c r="K23" i="12"/>
  <c r="S22" i="12"/>
  <c r="K22" i="12"/>
  <c r="S21" i="12"/>
  <c r="K21" i="12"/>
  <c r="S20" i="12"/>
  <c r="K20" i="12"/>
  <c r="S19" i="12"/>
  <c r="K19" i="12"/>
  <c r="S18" i="12"/>
  <c r="K18" i="12"/>
  <c r="S17" i="12"/>
  <c r="K17" i="12"/>
  <c r="S16" i="12"/>
  <c r="K16" i="12"/>
  <c r="S15" i="12"/>
  <c r="K15" i="12"/>
  <c r="S14" i="12"/>
  <c r="K14" i="12"/>
  <c r="S13" i="12"/>
  <c r="K13" i="12"/>
  <c r="S12" i="12"/>
  <c r="K12" i="12"/>
  <c r="S11" i="12"/>
  <c r="K11" i="12"/>
  <c r="S10" i="12"/>
  <c r="K10" i="12"/>
  <c r="S9" i="12"/>
  <c r="K9" i="12"/>
  <c r="S8" i="12"/>
  <c r="K8" i="12"/>
  <c r="S7" i="12"/>
  <c r="K7" i="12"/>
  <c r="S6" i="12"/>
  <c r="K6" i="12"/>
  <c r="A523" i="11"/>
  <c r="A522" i="11"/>
  <c r="J521" i="11"/>
  <c r="J517" i="11"/>
  <c r="J516" i="11"/>
  <c r="J515" i="11"/>
  <c r="J514" i="11"/>
  <c r="J513" i="11"/>
  <c r="A504" i="11"/>
  <c r="J500" i="11"/>
  <c r="J496" i="11"/>
  <c r="J495" i="11"/>
  <c r="J494" i="11"/>
  <c r="J493" i="11"/>
  <c r="J492" i="11"/>
  <c r="A483" i="11"/>
  <c r="J481" i="11"/>
  <c r="I481" i="11"/>
  <c r="H481" i="11"/>
  <c r="G481" i="11"/>
  <c r="F481" i="11"/>
  <c r="E481" i="11"/>
  <c r="D481" i="11"/>
  <c r="C481" i="11"/>
  <c r="B481" i="11"/>
  <c r="J477" i="11"/>
  <c r="I477" i="11"/>
  <c r="H477" i="11"/>
  <c r="G477" i="11"/>
  <c r="F477" i="11"/>
  <c r="E477" i="11"/>
  <c r="D477" i="11"/>
  <c r="C477" i="11"/>
  <c r="B477" i="11"/>
  <c r="J476" i="11"/>
  <c r="I476" i="11"/>
  <c r="H476" i="11"/>
  <c r="G476" i="11"/>
  <c r="F476" i="11"/>
  <c r="E476" i="11"/>
  <c r="D476" i="11"/>
  <c r="C476" i="11"/>
  <c r="B476" i="11"/>
  <c r="J475" i="11"/>
  <c r="I475" i="11"/>
  <c r="H475" i="11"/>
  <c r="G475" i="11"/>
  <c r="F475" i="11"/>
  <c r="E475" i="11"/>
  <c r="D475" i="11"/>
  <c r="C475" i="11"/>
  <c r="B475" i="11"/>
  <c r="J474" i="11"/>
  <c r="I474" i="11"/>
  <c r="H474" i="11"/>
  <c r="G474" i="11"/>
  <c r="F474" i="11"/>
  <c r="E474" i="11"/>
  <c r="D474" i="11"/>
  <c r="C474" i="11"/>
  <c r="B474" i="11"/>
  <c r="J473" i="11"/>
  <c r="I473" i="11"/>
  <c r="H473" i="11"/>
  <c r="G473" i="11"/>
  <c r="F473" i="11"/>
  <c r="E473" i="11"/>
  <c r="D473" i="11"/>
  <c r="C473" i="11"/>
  <c r="B473" i="11"/>
  <c r="J472" i="11"/>
  <c r="I472" i="11"/>
  <c r="H472" i="11"/>
  <c r="G472" i="11"/>
  <c r="F472" i="11"/>
  <c r="E472" i="11"/>
  <c r="D472" i="11"/>
  <c r="C472" i="11"/>
  <c r="B472" i="11"/>
  <c r="J471" i="11"/>
  <c r="I471" i="11"/>
  <c r="H471" i="11"/>
  <c r="G471" i="11"/>
  <c r="F471" i="11"/>
  <c r="E471" i="11"/>
  <c r="D471" i="11"/>
  <c r="C471" i="11"/>
  <c r="B471" i="11"/>
  <c r="J469" i="11"/>
  <c r="C469" i="11"/>
  <c r="B469" i="11"/>
  <c r="I468" i="11"/>
  <c r="H468" i="11"/>
  <c r="G468" i="11"/>
  <c r="F468" i="11"/>
  <c r="E468" i="11"/>
  <c r="D468" i="11"/>
  <c r="I467" i="11"/>
  <c r="H467" i="11"/>
  <c r="G467" i="11"/>
  <c r="F467" i="11"/>
  <c r="E467" i="11"/>
  <c r="D467" i="11"/>
  <c r="I466" i="11"/>
  <c r="H466" i="11"/>
  <c r="G466" i="11"/>
  <c r="F466" i="11"/>
  <c r="E466" i="11"/>
  <c r="D466" i="11"/>
  <c r="J465" i="11"/>
  <c r="I465" i="11"/>
  <c r="H465" i="11"/>
  <c r="G465" i="11"/>
  <c r="F465" i="11"/>
  <c r="E465" i="11"/>
  <c r="D465" i="11"/>
  <c r="A464" i="11"/>
  <c r="J460" i="11"/>
  <c r="I460" i="11"/>
  <c r="H460" i="11"/>
  <c r="G460" i="11"/>
  <c r="F460" i="11"/>
  <c r="E460" i="11"/>
  <c r="D460" i="11"/>
  <c r="C460" i="11"/>
  <c r="B460" i="11"/>
  <c r="J456" i="11"/>
  <c r="I456" i="11"/>
  <c r="H456" i="11"/>
  <c r="G456" i="11"/>
  <c r="F456" i="11"/>
  <c r="E456" i="11"/>
  <c r="D456" i="11"/>
  <c r="C456" i="11"/>
  <c r="B456" i="11"/>
  <c r="J455" i="11"/>
  <c r="I455" i="11"/>
  <c r="H455" i="11"/>
  <c r="G455" i="11"/>
  <c r="F455" i="11"/>
  <c r="E455" i="11"/>
  <c r="D455" i="11"/>
  <c r="C455" i="11"/>
  <c r="B455" i="11"/>
  <c r="J454" i="11"/>
  <c r="I454" i="11"/>
  <c r="H454" i="11"/>
  <c r="G454" i="11"/>
  <c r="F454" i="11"/>
  <c r="E454" i="11"/>
  <c r="D454" i="11"/>
  <c r="C454" i="11"/>
  <c r="B454" i="11"/>
  <c r="J453" i="11"/>
  <c r="I453" i="11"/>
  <c r="H453" i="11"/>
  <c r="G453" i="11"/>
  <c r="F453" i="11"/>
  <c r="E453" i="11"/>
  <c r="D453" i="11"/>
  <c r="C453" i="11"/>
  <c r="B453" i="11"/>
  <c r="J452" i="11"/>
  <c r="I452" i="11"/>
  <c r="H452" i="11"/>
  <c r="G452" i="11"/>
  <c r="F452" i="11"/>
  <c r="E452" i="11"/>
  <c r="D452" i="11"/>
  <c r="C452" i="11"/>
  <c r="B452" i="11"/>
  <c r="J451" i="11"/>
  <c r="I451" i="11"/>
  <c r="H451" i="11"/>
  <c r="G451" i="11"/>
  <c r="F451" i="11"/>
  <c r="E451" i="11"/>
  <c r="D451" i="11"/>
  <c r="C451" i="11"/>
  <c r="B451" i="11"/>
  <c r="J450" i="11"/>
  <c r="I450" i="11"/>
  <c r="H450" i="11"/>
  <c r="G450" i="11"/>
  <c r="F450" i="11"/>
  <c r="E450" i="11"/>
  <c r="D450" i="11"/>
  <c r="C450" i="11"/>
  <c r="B450" i="11"/>
  <c r="J448" i="11"/>
  <c r="I448" i="11"/>
  <c r="H448" i="11"/>
  <c r="G448" i="11"/>
  <c r="F448" i="11"/>
  <c r="E448" i="11"/>
  <c r="D448" i="11"/>
  <c r="C448" i="11"/>
  <c r="B448" i="11"/>
  <c r="I447" i="11"/>
  <c r="H447" i="11"/>
  <c r="G447" i="11"/>
  <c r="F447" i="11"/>
  <c r="E447" i="11"/>
  <c r="D447" i="11"/>
  <c r="I446" i="11"/>
  <c r="H446" i="11"/>
  <c r="G446" i="11"/>
  <c r="F446" i="11"/>
  <c r="E446" i="11"/>
  <c r="D446" i="11"/>
  <c r="H445" i="11"/>
  <c r="G445" i="11"/>
  <c r="F445" i="11"/>
  <c r="E445" i="11"/>
  <c r="D445" i="11"/>
  <c r="H444" i="11"/>
  <c r="G444" i="11"/>
  <c r="F444" i="11"/>
  <c r="E444" i="11"/>
  <c r="D444" i="11"/>
  <c r="A443" i="11"/>
  <c r="J441" i="11"/>
  <c r="I441" i="11"/>
  <c r="H441" i="11"/>
  <c r="G441" i="11"/>
  <c r="F441" i="11"/>
  <c r="E441" i="11"/>
  <c r="D441" i="11"/>
  <c r="C441" i="11"/>
  <c r="B441" i="11"/>
  <c r="J437" i="11"/>
  <c r="I437" i="11"/>
  <c r="H437" i="11"/>
  <c r="G437" i="11"/>
  <c r="F437" i="11"/>
  <c r="E437" i="11"/>
  <c r="D437" i="11"/>
  <c r="C437" i="11"/>
  <c r="B437" i="11"/>
  <c r="J436" i="11"/>
  <c r="I436" i="11"/>
  <c r="H436" i="11"/>
  <c r="G436" i="11"/>
  <c r="F436" i="11"/>
  <c r="E436" i="11"/>
  <c r="D436" i="11"/>
  <c r="C436" i="11"/>
  <c r="B436" i="11"/>
  <c r="J435" i="11"/>
  <c r="I435" i="11"/>
  <c r="H435" i="11"/>
  <c r="G435" i="11"/>
  <c r="F435" i="11"/>
  <c r="E435" i="11"/>
  <c r="D435" i="11"/>
  <c r="C435" i="11"/>
  <c r="B435" i="11"/>
  <c r="J434" i="11"/>
  <c r="I434" i="11"/>
  <c r="H434" i="11"/>
  <c r="G434" i="11"/>
  <c r="F434" i="11"/>
  <c r="E434" i="11"/>
  <c r="D434" i="11"/>
  <c r="C434" i="11"/>
  <c r="B434" i="11"/>
  <c r="J433" i="11"/>
  <c r="I433" i="11"/>
  <c r="H433" i="11"/>
  <c r="G433" i="11"/>
  <c r="F433" i="11"/>
  <c r="E433" i="11"/>
  <c r="D433" i="11"/>
  <c r="C433" i="11"/>
  <c r="B433" i="11"/>
  <c r="J432" i="11"/>
  <c r="I432" i="11"/>
  <c r="H432" i="11"/>
  <c r="G432" i="11"/>
  <c r="F432" i="11"/>
  <c r="E432" i="11"/>
  <c r="D432" i="11"/>
  <c r="C432" i="11"/>
  <c r="B432" i="11"/>
  <c r="J431" i="11"/>
  <c r="I431" i="11"/>
  <c r="H431" i="11"/>
  <c r="G431" i="11"/>
  <c r="F431" i="11"/>
  <c r="E431" i="11"/>
  <c r="D431" i="11"/>
  <c r="C431" i="11"/>
  <c r="B431" i="11"/>
  <c r="J429" i="11"/>
  <c r="I429" i="11"/>
  <c r="H429" i="11"/>
  <c r="G429" i="11"/>
  <c r="F429" i="11"/>
  <c r="E429" i="11"/>
  <c r="D429" i="11"/>
  <c r="C429" i="11"/>
  <c r="B429" i="11"/>
  <c r="I428" i="11"/>
  <c r="H428" i="11"/>
  <c r="G428" i="11"/>
  <c r="F428" i="11"/>
  <c r="E428" i="11"/>
  <c r="D428" i="11"/>
  <c r="I427" i="11"/>
  <c r="H427" i="11"/>
  <c r="G427" i="11"/>
  <c r="F427" i="11"/>
  <c r="E427" i="11"/>
  <c r="D427" i="11"/>
  <c r="H426" i="11"/>
  <c r="G426" i="11"/>
  <c r="F426" i="11"/>
  <c r="E426" i="11"/>
  <c r="D426" i="11"/>
  <c r="H425" i="11"/>
  <c r="G425" i="11"/>
  <c r="F425" i="11"/>
  <c r="E425" i="11"/>
  <c r="D425" i="11"/>
  <c r="A424" i="11"/>
  <c r="J420" i="11"/>
  <c r="I420" i="11"/>
  <c r="H420" i="11"/>
  <c r="G420" i="11"/>
  <c r="F420" i="11"/>
  <c r="E420" i="11"/>
  <c r="D420" i="11"/>
  <c r="C420" i="11"/>
  <c r="B420" i="11"/>
  <c r="J416" i="11"/>
  <c r="I416" i="11"/>
  <c r="H416" i="11"/>
  <c r="G416" i="11"/>
  <c r="F416" i="11"/>
  <c r="E416" i="11"/>
  <c r="D416" i="11"/>
  <c r="C416" i="11"/>
  <c r="B416" i="11"/>
  <c r="J415" i="11"/>
  <c r="I415" i="11"/>
  <c r="H415" i="11"/>
  <c r="G415" i="11"/>
  <c r="F415" i="11"/>
  <c r="E415" i="11"/>
  <c r="D415" i="11"/>
  <c r="C415" i="11"/>
  <c r="B415" i="11"/>
  <c r="J414" i="11"/>
  <c r="I414" i="11"/>
  <c r="H414" i="11"/>
  <c r="G414" i="11"/>
  <c r="F414" i="11"/>
  <c r="E414" i="11"/>
  <c r="D414" i="11"/>
  <c r="C414" i="11"/>
  <c r="B414" i="11"/>
  <c r="J413" i="11"/>
  <c r="I413" i="11"/>
  <c r="H413" i="11"/>
  <c r="G413" i="11"/>
  <c r="F413" i="11"/>
  <c r="E413" i="11"/>
  <c r="D413" i="11"/>
  <c r="C413" i="11"/>
  <c r="B413" i="11"/>
  <c r="J412" i="11"/>
  <c r="I412" i="11"/>
  <c r="H412" i="11"/>
  <c r="G412" i="11"/>
  <c r="F412" i="11"/>
  <c r="E412" i="11"/>
  <c r="D412" i="11"/>
  <c r="C412" i="11"/>
  <c r="B412" i="11"/>
  <c r="J411" i="11"/>
  <c r="I411" i="11"/>
  <c r="H411" i="11"/>
  <c r="G411" i="11"/>
  <c r="F411" i="11"/>
  <c r="E411" i="11"/>
  <c r="D411" i="11"/>
  <c r="C411" i="11"/>
  <c r="B411" i="11"/>
  <c r="J410" i="11"/>
  <c r="I410" i="11"/>
  <c r="H410" i="11"/>
  <c r="G410" i="11"/>
  <c r="F410" i="11"/>
  <c r="E410" i="11"/>
  <c r="D410" i="11"/>
  <c r="C410" i="11"/>
  <c r="B410" i="11"/>
  <c r="J408" i="11"/>
  <c r="I408" i="11"/>
  <c r="H408" i="11"/>
  <c r="G408" i="11"/>
  <c r="F408" i="11"/>
  <c r="E408" i="11"/>
  <c r="D408" i="11"/>
  <c r="C408" i="11"/>
  <c r="B408" i="11"/>
  <c r="J407" i="11"/>
  <c r="I407" i="11"/>
  <c r="H407" i="11"/>
  <c r="G407" i="11"/>
  <c r="F407" i="11"/>
  <c r="E407" i="11"/>
  <c r="D407" i="11"/>
  <c r="J406" i="11"/>
  <c r="I406" i="11"/>
  <c r="H406" i="11"/>
  <c r="G406" i="11"/>
  <c r="F406" i="11"/>
  <c r="E406" i="11"/>
  <c r="D406" i="11"/>
  <c r="H405" i="11"/>
  <c r="G405" i="11"/>
  <c r="F405" i="11"/>
  <c r="E405" i="11"/>
  <c r="D405" i="11"/>
  <c r="I404" i="11"/>
  <c r="H404" i="11"/>
  <c r="G404" i="11"/>
  <c r="F404" i="11"/>
  <c r="E404" i="11"/>
  <c r="D404" i="11"/>
  <c r="A403" i="11"/>
  <c r="J401" i="11"/>
  <c r="I401" i="11"/>
  <c r="H401" i="11"/>
  <c r="G401" i="11"/>
  <c r="F401" i="11"/>
  <c r="E401" i="11"/>
  <c r="D401" i="11"/>
  <c r="C401" i="11"/>
  <c r="B401" i="11"/>
  <c r="J397" i="11"/>
  <c r="I397" i="11"/>
  <c r="H397" i="11"/>
  <c r="G397" i="11"/>
  <c r="F397" i="11"/>
  <c r="E397" i="11"/>
  <c r="D397" i="11"/>
  <c r="C397" i="11"/>
  <c r="B397" i="11"/>
  <c r="J396" i="11"/>
  <c r="I396" i="11"/>
  <c r="H396" i="11"/>
  <c r="G396" i="11"/>
  <c r="F396" i="11"/>
  <c r="E396" i="11"/>
  <c r="D396" i="11"/>
  <c r="C396" i="11"/>
  <c r="B396" i="11"/>
  <c r="J395" i="11"/>
  <c r="I395" i="11"/>
  <c r="H395" i="11"/>
  <c r="G395" i="11"/>
  <c r="F395" i="11"/>
  <c r="E395" i="11"/>
  <c r="D395" i="11"/>
  <c r="C395" i="11"/>
  <c r="B395" i="11"/>
  <c r="J394" i="11"/>
  <c r="I394" i="11"/>
  <c r="H394" i="11"/>
  <c r="G394" i="11"/>
  <c r="F394" i="11"/>
  <c r="E394" i="11"/>
  <c r="D394" i="11"/>
  <c r="C394" i="11"/>
  <c r="B394" i="11"/>
  <c r="J393" i="11"/>
  <c r="I393" i="11"/>
  <c r="H393" i="11"/>
  <c r="G393" i="11"/>
  <c r="F393" i="11"/>
  <c r="E393" i="11"/>
  <c r="D393" i="11"/>
  <c r="C393" i="11"/>
  <c r="B393" i="11"/>
  <c r="J392" i="11"/>
  <c r="I392" i="11"/>
  <c r="H392" i="11"/>
  <c r="G392" i="11"/>
  <c r="F392" i="11"/>
  <c r="E392" i="11"/>
  <c r="D392" i="11"/>
  <c r="C392" i="11"/>
  <c r="B392" i="11"/>
  <c r="J391" i="11"/>
  <c r="I391" i="11"/>
  <c r="H391" i="11"/>
  <c r="G391" i="11"/>
  <c r="F391" i="11"/>
  <c r="E391" i="11"/>
  <c r="D391" i="11"/>
  <c r="C391" i="11"/>
  <c r="B391" i="11"/>
  <c r="J389" i="11"/>
  <c r="I389" i="11"/>
  <c r="H389" i="11"/>
  <c r="G389" i="11"/>
  <c r="F389" i="11"/>
  <c r="E389" i="11"/>
  <c r="D389" i="11"/>
  <c r="C389" i="11"/>
  <c r="B389" i="11"/>
  <c r="H388" i="11"/>
  <c r="G388" i="11"/>
  <c r="F388" i="11"/>
  <c r="H387" i="11"/>
  <c r="G387" i="11"/>
  <c r="F387" i="11"/>
  <c r="E387" i="11"/>
  <c r="H386" i="11"/>
  <c r="G386" i="11"/>
  <c r="F386" i="11"/>
  <c r="E386" i="11"/>
  <c r="D386" i="11"/>
  <c r="H385" i="11"/>
  <c r="G385" i="11"/>
  <c r="F385" i="11"/>
  <c r="E385" i="11"/>
  <c r="D385" i="11"/>
  <c r="I291" i="11"/>
  <c r="I500" i="11" s="1"/>
  <c r="H291" i="11"/>
  <c r="H500" i="11" s="1"/>
  <c r="G291" i="11"/>
  <c r="G500" i="11" s="1"/>
  <c r="F291" i="11"/>
  <c r="F339" i="11" s="1"/>
  <c r="F521" i="11" s="1"/>
  <c r="E291" i="11"/>
  <c r="E500" i="11" s="1"/>
  <c r="D291" i="11"/>
  <c r="C291" i="11"/>
  <c r="C500" i="11" s="1"/>
  <c r="B291" i="11"/>
  <c r="B339" i="11" s="1"/>
  <c r="B521" i="11" s="1"/>
  <c r="I287" i="11"/>
  <c r="H287" i="11"/>
  <c r="G287" i="11"/>
  <c r="F287" i="11"/>
  <c r="F496" i="11" s="1"/>
  <c r="E287" i="11"/>
  <c r="D287" i="11"/>
  <c r="C287" i="11"/>
  <c r="B287" i="11"/>
  <c r="B335" i="11" s="1"/>
  <c r="B517" i="11" s="1"/>
  <c r="I286" i="11"/>
  <c r="I495" i="11" s="1"/>
  <c r="H286" i="11"/>
  <c r="G286" i="11"/>
  <c r="G334" i="11" s="1"/>
  <c r="G516" i="11" s="1"/>
  <c r="F286" i="11"/>
  <c r="E286" i="11"/>
  <c r="E495" i="11" s="1"/>
  <c r="D286" i="11"/>
  <c r="D334" i="11" s="1"/>
  <c r="D516" i="11" s="1"/>
  <c r="C286" i="11"/>
  <c r="C495" i="11" s="1"/>
  <c r="B286" i="11"/>
  <c r="I285" i="11"/>
  <c r="I333" i="11" s="1"/>
  <c r="I515" i="11" s="1"/>
  <c r="H285" i="11"/>
  <c r="H494" i="11" s="1"/>
  <c r="G285" i="11"/>
  <c r="F285" i="11"/>
  <c r="E285" i="11"/>
  <c r="E333" i="11" s="1"/>
  <c r="E515" i="11" s="1"/>
  <c r="D285" i="11"/>
  <c r="D333" i="11" s="1"/>
  <c r="D515" i="11" s="1"/>
  <c r="C285" i="11"/>
  <c r="B285" i="11"/>
  <c r="B494" i="11" s="1"/>
  <c r="I284" i="11"/>
  <c r="I493" i="11" s="1"/>
  <c r="H284" i="11"/>
  <c r="G284" i="11"/>
  <c r="G493" i="11" s="1"/>
  <c r="F284" i="11"/>
  <c r="F332" i="11" s="1"/>
  <c r="F514" i="11" s="1"/>
  <c r="E284" i="11"/>
  <c r="E493" i="11" s="1"/>
  <c r="D284" i="11"/>
  <c r="D332" i="11" s="1"/>
  <c r="D514" i="11" s="1"/>
  <c r="C284" i="11"/>
  <c r="B284" i="11"/>
  <c r="I283" i="11"/>
  <c r="I492" i="11" s="1"/>
  <c r="H283" i="11"/>
  <c r="G283" i="11"/>
  <c r="F283" i="11"/>
  <c r="F492" i="11" s="1"/>
  <c r="E283" i="11"/>
  <c r="E492" i="11" s="1"/>
  <c r="D283" i="11"/>
  <c r="C283" i="11"/>
  <c r="B283" i="11"/>
  <c r="B331" i="11" s="1"/>
  <c r="B513" i="11" s="1"/>
  <c r="J282" i="11"/>
  <c r="I282" i="11"/>
  <c r="H282" i="11"/>
  <c r="H491" i="11" s="1"/>
  <c r="G282" i="11"/>
  <c r="F282" i="11"/>
  <c r="E282" i="11"/>
  <c r="D282" i="11"/>
  <c r="D491" i="11" s="1"/>
  <c r="C282" i="11"/>
  <c r="C491" i="11" s="1"/>
  <c r="B282" i="11"/>
  <c r="J281" i="11"/>
  <c r="J490" i="11" s="1"/>
  <c r="I281" i="11"/>
  <c r="I490" i="11" s="1"/>
  <c r="H281" i="11"/>
  <c r="H490" i="11" s="1"/>
  <c r="G281" i="11"/>
  <c r="F281" i="11"/>
  <c r="F329" i="11" s="1"/>
  <c r="F511" i="11" s="1"/>
  <c r="E281" i="11"/>
  <c r="D281" i="11"/>
  <c r="D490" i="11" s="1"/>
  <c r="C281" i="11"/>
  <c r="B281" i="11"/>
  <c r="B490" i="11" s="1"/>
  <c r="I280" i="11"/>
  <c r="H280" i="11"/>
  <c r="H328" i="11" s="1"/>
  <c r="G280" i="11"/>
  <c r="F280" i="11"/>
  <c r="E280" i="11"/>
  <c r="D280" i="11"/>
  <c r="C280" i="11"/>
  <c r="C328" i="11" s="1"/>
  <c r="B280" i="11"/>
  <c r="I279" i="11"/>
  <c r="H279" i="11"/>
  <c r="H327" i="11" s="1"/>
  <c r="G279" i="11"/>
  <c r="F279" i="11"/>
  <c r="D279" i="11"/>
  <c r="C279" i="11"/>
  <c r="B279" i="11"/>
  <c r="I278" i="11"/>
  <c r="H278" i="11"/>
  <c r="G278" i="11"/>
  <c r="F278" i="11"/>
  <c r="F326" i="11" s="1"/>
  <c r="E278" i="11"/>
  <c r="D278" i="11"/>
  <c r="C278" i="11"/>
  <c r="B278" i="11"/>
  <c r="B326" i="11" s="1"/>
  <c r="J277" i="11"/>
  <c r="I277" i="11"/>
  <c r="H277" i="11"/>
  <c r="G277" i="11"/>
  <c r="F277" i="11"/>
  <c r="F325" i="11" s="1"/>
  <c r="E277" i="11"/>
  <c r="D277" i="11"/>
  <c r="D325" i="11" s="1"/>
  <c r="C277" i="11"/>
  <c r="B277" i="11"/>
  <c r="J276" i="11"/>
  <c r="I276" i="11"/>
  <c r="H276" i="11"/>
  <c r="G276" i="11"/>
  <c r="G489" i="11" s="1"/>
  <c r="F276" i="11"/>
  <c r="E276" i="11"/>
  <c r="D276" i="11"/>
  <c r="D489" i="11" s="1"/>
  <c r="C276" i="11"/>
  <c r="B276" i="11"/>
  <c r="B489" i="11" s="1"/>
  <c r="J275" i="11"/>
  <c r="J323" i="11" s="1"/>
  <c r="I275" i="11"/>
  <c r="I323" i="11" s="1"/>
  <c r="H275" i="11"/>
  <c r="H323" i="11" s="1"/>
  <c r="G275" i="11"/>
  <c r="G323" i="11" s="1"/>
  <c r="F275" i="11"/>
  <c r="F323" i="11" s="1"/>
  <c r="E275" i="11"/>
  <c r="E323" i="11" s="1"/>
  <c r="D275" i="11"/>
  <c r="D323" i="11" s="1"/>
  <c r="C275" i="11"/>
  <c r="C323" i="11" s="1"/>
  <c r="B275" i="11"/>
  <c r="B323" i="11" s="1"/>
  <c r="J274" i="11"/>
  <c r="J322" i="11" s="1"/>
  <c r="I274" i="11"/>
  <c r="I322" i="11" s="1"/>
  <c r="H274" i="11"/>
  <c r="H322" i="11" s="1"/>
  <c r="G274" i="11"/>
  <c r="G322" i="11" s="1"/>
  <c r="F274" i="11"/>
  <c r="F322" i="11" s="1"/>
  <c r="E274" i="11"/>
  <c r="E322" i="11" s="1"/>
  <c r="D274" i="11"/>
  <c r="D322" i="11" s="1"/>
  <c r="C274" i="11"/>
  <c r="C322" i="11" s="1"/>
  <c r="B274" i="11"/>
  <c r="B322" i="11" s="1"/>
  <c r="J273" i="11"/>
  <c r="J321" i="11" s="1"/>
  <c r="I273" i="11"/>
  <c r="I321" i="11" s="1"/>
  <c r="H273" i="11"/>
  <c r="H321" i="11" s="1"/>
  <c r="G273" i="11"/>
  <c r="G321" i="11" s="1"/>
  <c r="F273" i="11"/>
  <c r="F321" i="11" s="1"/>
  <c r="E273" i="11"/>
  <c r="E321" i="11" s="1"/>
  <c r="D273" i="11"/>
  <c r="D321" i="11" s="1"/>
  <c r="C273" i="11"/>
  <c r="C321" i="11" s="1"/>
  <c r="B273" i="11"/>
  <c r="B321" i="11" s="1"/>
  <c r="J272" i="11"/>
  <c r="J320" i="11" s="1"/>
  <c r="I272" i="11"/>
  <c r="I320" i="11" s="1"/>
  <c r="H272" i="11"/>
  <c r="G272" i="11"/>
  <c r="G320" i="11" s="1"/>
  <c r="F272" i="11"/>
  <c r="F320" i="11" s="1"/>
  <c r="E272" i="11"/>
  <c r="E320" i="11" s="1"/>
  <c r="D272" i="11"/>
  <c r="C272" i="11"/>
  <c r="C320" i="11" s="1"/>
  <c r="B272" i="11"/>
  <c r="B320" i="11" s="1"/>
  <c r="J271" i="11"/>
  <c r="I271" i="11"/>
  <c r="H271" i="11"/>
  <c r="H319" i="11" s="1"/>
  <c r="G271" i="11"/>
  <c r="F271" i="11"/>
  <c r="E271" i="11"/>
  <c r="D271" i="11"/>
  <c r="D319" i="11" s="1"/>
  <c r="C271" i="11"/>
  <c r="C319" i="11" s="1"/>
  <c r="B271" i="11"/>
  <c r="J270" i="11"/>
  <c r="J318" i="11" s="1"/>
  <c r="I270" i="11"/>
  <c r="I318" i="11" s="1"/>
  <c r="H270" i="11"/>
  <c r="H318" i="11" s="1"/>
  <c r="G270" i="11"/>
  <c r="G318" i="11" s="1"/>
  <c r="F270" i="11"/>
  <c r="F318" i="11" s="1"/>
  <c r="E270" i="11"/>
  <c r="E318" i="11" s="1"/>
  <c r="D270" i="11"/>
  <c r="D318" i="11" s="1"/>
  <c r="C270" i="11"/>
  <c r="C318" i="11" s="1"/>
  <c r="B270" i="11"/>
  <c r="B318" i="11" s="1"/>
  <c r="J269" i="11"/>
  <c r="I269" i="11"/>
  <c r="I317" i="11" s="1"/>
  <c r="H269" i="11"/>
  <c r="H317" i="11" s="1"/>
  <c r="G269" i="11"/>
  <c r="G317" i="11" s="1"/>
  <c r="F269" i="11"/>
  <c r="F317" i="11" s="1"/>
  <c r="E269" i="11"/>
  <c r="E317" i="11" s="1"/>
  <c r="D269" i="11"/>
  <c r="D317" i="11" s="1"/>
  <c r="C269" i="11"/>
  <c r="C317" i="11" s="1"/>
  <c r="B269" i="11"/>
  <c r="B317" i="11" s="1"/>
  <c r="I268" i="11"/>
  <c r="I316" i="11" s="1"/>
  <c r="H268" i="11"/>
  <c r="H316" i="11" s="1"/>
  <c r="G268" i="11"/>
  <c r="G316" i="11" s="1"/>
  <c r="F268" i="11"/>
  <c r="F316" i="11" s="1"/>
  <c r="E268" i="11"/>
  <c r="E316" i="11" s="1"/>
  <c r="D268" i="11"/>
  <c r="D316" i="11" s="1"/>
  <c r="C268" i="11"/>
  <c r="C316" i="11" s="1"/>
  <c r="B268" i="11"/>
  <c r="B316" i="11" s="1"/>
  <c r="I267" i="11"/>
  <c r="I315" i="11" s="1"/>
  <c r="H267" i="11"/>
  <c r="H315" i="11" s="1"/>
  <c r="G267" i="11"/>
  <c r="G315" i="11" s="1"/>
  <c r="F267" i="11"/>
  <c r="F315" i="11" s="1"/>
  <c r="E267" i="11"/>
  <c r="E315" i="11" s="1"/>
  <c r="D267" i="11"/>
  <c r="D315" i="11" s="1"/>
  <c r="C267" i="11"/>
  <c r="C315" i="11" s="1"/>
  <c r="B267" i="11"/>
  <c r="B315" i="11" s="1"/>
  <c r="I266" i="11"/>
  <c r="H266" i="11"/>
  <c r="H314" i="11" s="1"/>
  <c r="G266" i="11"/>
  <c r="G314" i="11" s="1"/>
  <c r="F266" i="11"/>
  <c r="E266" i="11"/>
  <c r="D266" i="11"/>
  <c r="D314" i="11" s="1"/>
  <c r="C266" i="11"/>
  <c r="C314" i="11" s="1"/>
  <c r="B266" i="11"/>
  <c r="B314" i="11" s="1"/>
  <c r="J265" i="11"/>
  <c r="J313" i="11" s="1"/>
  <c r="I265" i="11"/>
  <c r="I313" i="11" s="1"/>
  <c r="H265" i="11"/>
  <c r="H313" i="11" s="1"/>
  <c r="G265" i="11"/>
  <c r="G313" i="11" s="1"/>
  <c r="F265" i="11"/>
  <c r="F313" i="11" s="1"/>
  <c r="E265" i="11"/>
  <c r="E313" i="11" s="1"/>
  <c r="D265" i="11"/>
  <c r="D313" i="11" s="1"/>
  <c r="C265" i="11"/>
  <c r="C313" i="11" s="1"/>
  <c r="B265" i="11"/>
  <c r="B313" i="11" s="1"/>
  <c r="J264" i="11"/>
  <c r="J312" i="11" s="1"/>
  <c r="I264" i="11"/>
  <c r="I312" i="11" s="1"/>
  <c r="H264" i="11"/>
  <c r="H312" i="11" s="1"/>
  <c r="G264" i="11"/>
  <c r="G312" i="11" s="1"/>
  <c r="F264" i="11"/>
  <c r="F312" i="11" s="1"/>
  <c r="E264" i="11"/>
  <c r="E312" i="11" s="1"/>
  <c r="D264" i="11"/>
  <c r="D312" i="11" s="1"/>
  <c r="C264" i="11"/>
  <c r="C312" i="11" s="1"/>
  <c r="B264" i="11"/>
  <c r="B312" i="11" s="1"/>
  <c r="H263" i="11"/>
  <c r="H311" i="11" s="1"/>
  <c r="G263" i="11"/>
  <c r="G311" i="11" s="1"/>
  <c r="F263" i="11"/>
  <c r="F311" i="11" s="1"/>
  <c r="E263" i="11"/>
  <c r="E311" i="11" s="1"/>
  <c r="D263" i="11"/>
  <c r="D311" i="11" s="1"/>
  <c r="C263" i="11"/>
  <c r="C311" i="11" s="1"/>
  <c r="B263" i="11"/>
  <c r="B311" i="11" s="1"/>
  <c r="J262" i="11"/>
  <c r="I262" i="11"/>
  <c r="H262" i="11"/>
  <c r="H310" i="11" s="1"/>
  <c r="G262" i="11"/>
  <c r="G310" i="11" s="1"/>
  <c r="F262" i="11"/>
  <c r="F310" i="11" s="1"/>
  <c r="E262" i="11"/>
  <c r="E310" i="11" s="1"/>
  <c r="D262" i="11"/>
  <c r="D310" i="11" s="1"/>
  <c r="C262" i="11"/>
  <c r="C310" i="11" s="1"/>
  <c r="B262" i="11"/>
  <c r="B310" i="11" s="1"/>
  <c r="J261" i="11"/>
  <c r="J309" i="11" s="1"/>
  <c r="H261" i="11"/>
  <c r="G261" i="11"/>
  <c r="F261" i="11"/>
  <c r="F309" i="11" s="1"/>
  <c r="E261" i="11"/>
  <c r="D261" i="11"/>
  <c r="C261" i="11"/>
  <c r="C309" i="11" s="1"/>
  <c r="B261" i="11"/>
  <c r="B309" i="11" s="1"/>
  <c r="J260" i="11"/>
  <c r="J308" i="11" s="1"/>
  <c r="H260" i="11"/>
  <c r="H308" i="11" s="1"/>
  <c r="G260" i="11"/>
  <c r="G308" i="11" s="1"/>
  <c r="F260" i="11"/>
  <c r="F308" i="11" s="1"/>
  <c r="E260" i="11"/>
  <c r="E308" i="11" s="1"/>
  <c r="D260" i="11"/>
  <c r="D308" i="11" s="1"/>
  <c r="C260" i="11"/>
  <c r="C308" i="11" s="1"/>
  <c r="B260" i="11"/>
  <c r="B308" i="11" s="1"/>
  <c r="H259" i="11"/>
  <c r="H307" i="11" s="1"/>
  <c r="G259" i="11"/>
  <c r="G307" i="11" s="1"/>
  <c r="F259" i="11"/>
  <c r="F307" i="11" s="1"/>
  <c r="E259" i="11"/>
  <c r="E307" i="11" s="1"/>
  <c r="D259" i="11"/>
  <c r="D307" i="11" s="1"/>
  <c r="C259" i="11"/>
  <c r="C307" i="11" s="1"/>
  <c r="B259" i="11"/>
  <c r="B307" i="11" s="1"/>
  <c r="H258" i="11"/>
  <c r="H306" i="11" s="1"/>
  <c r="G258" i="11"/>
  <c r="G306" i="11" s="1"/>
  <c r="F258" i="11"/>
  <c r="F306" i="11" s="1"/>
  <c r="E258" i="11"/>
  <c r="E306" i="11" s="1"/>
  <c r="D258" i="11"/>
  <c r="D306" i="11" s="1"/>
  <c r="C258" i="11"/>
  <c r="C306" i="11" s="1"/>
  <c r="B258" i="11"/>
  <c r="B306" i="11" s="1"/>
  <c r="I257" i="11"/>
  <c r="I305" i="11" s="1"/>
  <c r="H257" i="11"/>
  <c r="H305" i="11" s="1"/>
  <c r="G257" i="11"/>
  <c r="G305" i="11" s="1"/>
  <c r="F257" i="11"/>
  <c r="F305" i="11" s="1"/>
  <c r="E257" i="11"/>
  <c r="E305" i="11" s="1"/>
  <c r="D257" i="11"/>
  <c r="D305" i="11" s="1"/>
  <c r="C257" i="11"/>
  <c r="C305" i="11" s="1"/>
  <c r="B257" i="11"/>
  <c r="B305" i="11" s="1"/>
  <c r="I256" i="11"/>
  <c r="I304" i="11" s="1"/>
  <c r="H256" i="11"/>
  <c r="H304" i="11" s="1"/>
  <c r="G256" i="11"/>
  <c r="G304" i="11" s="1"/>
  <c r="F256" i="11"/>
  <c r="E256" i="11"/>
  <c r="D256" i="11"/>
  <c r="C256" i="11"/>
  <c r="C304" i="11" s="1"/>
  <c r="B256" i="11"/>
  <c r="B304" i="11" s="1"/>
  <c r="I255" i="11"/>
  <c r="I303" i="11" s="1"/>
  <c r="H255" i="11"/>
  <c r="H303" i="11" s="1"/>
  <c r="G255" i="11"/>
  <c r="G303" i="11" s="1"/>
  <c r="F255" i="11"/>
  <c r="F303" i="11" s="1"/>
  <c r="E255" i="11"/>
  <c r="E303" i="11" s="1"/>
  <c r="D255" i="11"/>
  <c r="D303" i="11" s="1"/>
  <c r="C255" i="11"/>
  <c r="C303" i="11" s="1"/>
  <c r="B255" i="11"/>
  <c r="B303" i="11" s="1"/>
  <c r="I254" i="11"/>
  <c r="H254" i="11"/>
  <c r="H302" i="11" s="1"/>
  <c r="G254" i="11"/>
  <c r="G302" i="11" s="1"/>
  <c r="F254" i="11"/>
  <c r="F302" i="11" s="1"/>
  <c r="E254" i="11"/>
  <c r="E302" i="11" s="1"/>
  <c r="D254" i="11"/>
  <c r="D302" i="11" s="1"/>
  <c r="C254" i="11"/>
  <c r="C302" i="11" s="1"/>
  <c r="B254" i="11"/>
  <c r="B302" i="11" s="1"/>
  <c r="J253" i="11"/>
  <c r="J301" i="11" s="1"/>
  <c r="I253" i="11"/>
  <c r="I301" i="11" s="1"/>
  <c r="H253" i="11"/>
  <c r="H301" i="11" s="1"/>
  <c r="G253" i="11"/>
  <c r="G301" i="11" s="1"/>
  <c r="F253" i="11"/>
  <c r="F301" i="11" s="1"/>
  <c r="E253" i="11"/>
  <c r="E301" i="11" s="1"/>
  <c r="D253" i="11"/>
  <c r="D301" i="11" s="1"/>
  <c r="C253" i="11"/>
  <c r="C301" i="11" s="1"/>
  <c r="B253" i="11"/>
  <c r="B301" i="11" s="1"/>
  <c r="J252" i="11"/>
  <c r="J300" i="11" s="1"/>
  <c r="I252" i="11"/>
  <c r="I300" i="11" s="1"/>
  <c r="H252" i="11"/>
  <c r="H300" i="11" s="1"/>
  <c r="G252" i="11"/>
  <c r="G300" i="11" s="1"/>
  <c r="F252" i="11"/>
  <c r="F300" i="11" s="1"/>
  <c r="E252" i="11"/>
  <c r="D252" i="11"/>
  <c r="D300" i="11" s="1"/>
  <c r="C252" i="11"/>
  <c r="C300" i="11" s="1"/>
  <c r="B252" i="11"/>
  <c r="B300" i="11" s="1"/>
  <c r="J251" i="11"/>
  <c r="I251" i="11"/>
  <c r="I299" i="11" s="1"/>
  <c r="H251" i="11"/>
  <c r="H299" i="11" s="1"/>
  <c r="G251" i="11"/>
  <c r="F251" i="11"/>
  <c r="E251" i="11"/>
  <c r="E299" i="11" s="1"/>
  <c r="D251" i="11"/>
  <c r="D299" i="11" s="1"/>
  <c r="C251" i="11"/>
  <c r="C299" i="11" s="1"/>
  <c r="B251" i="11"/>
  <c r="B299" i="11" s="1"/>
  <c r="J250" i="11"/>
  <c r="J298" i="11" s="1"/>
  <c r="I250" i="11"/>
  <c r="I298" i="11" s="1"/>
  <c r="H250" i="11"/>
  <c r="H298" i="11" s="1"/>
  <c r="G250" i="11"/>
  <c r="G298" i="11" s="1"/>
  <c r="F250" i="11"/>
  <c r="F298" i="11" s="1"/>
  <c r="E250" i="11"/>
  <c r="E298" i="11" s="1"/>
  <c r="D250" i="11"/>
  <c r="D298" i="11" s="1"/>
  <c r="C250" i="11"/>
  <c r="C298" i="11" s="1"/>
  <c r="B250" i="11"/>
  <c r="B298" i="11" s="1"/>
  <c r="J249" i="11"/>
  <c r="J297" i="11" s="1"/>
  <c r="I249" i="11"/>
  <c r="I297" i="11" s="1"/>
  <c r="H249" i="11"/>
  <c r="H297" i="11" s="1"/>
  <c r="G249" i="11"/>
  <c r="G297" i="11" s="1"/>
  <c r="F249" i="11"/>
  <c r="F297" i="11" s="1"/>
  <c r="E249" i="11"/>
  <c r="E297" i="11" s="1"/>
  <c r="D249" i="11"/>
  <c r="D297" i="11" s="1"/>
  <c r="C249" i="11"/>
  <c r="C297" i="11" s="1"/>
  <c r="B249" i="11"/>
  <c r="B297" i="11" s="1"/>
  <c r="J248" i="11"/>
  <c r="J296" i="11" s="1"/>
  <c r="I248" i="11"/>
  <c r="I296" i="11" s="1"/>
  <c r="H248" i="11"/>
  <c r="H296" i="11" s="1"/>
  <c r="G248" i="11"/>
  <c r="G296" i="11" s="1"/>
  <c r="F248" i="11"/>
  <c r="F296" i="11" s="1"/>
  <c r="E248" i="11"/>
  <c r="E296" i="11" s="1"/>
  <c r="D248" i="11"/>
  <c r="D296" i="11" s="1"/>
  <c r="C248" i="11"/>
  <c r="C296" i="11" s="1"/>
  <c r="B248" i="11"/>
  <c r="B296" i="11" s="1"/>
  <c r="J247" i="11"/>
  <c r="J295" i="11" s="1"/>
  <c r="I247" i="11"/>
  <c r="I295" i="11" s="1"/>
  <c r="H247" i="11"/>
  <c r="H295" i="11" s="1"/>
  <c r="G247" i="11"/>
  <c r="G295" i="11" s="1"/>
  <c r="F247" i="11"/>
  <c r="F295" i="11" s="1"/>
  <c r="E247" i="11"/>
  <c r="E295" i="11" s="1"/>
  <c r="D247" i="11"/>
  <c r="D295" i="11" s="1"/>
  <c r="C247" i="11"/>
  <c r="C295" i="11" s="1"/>
  <c r="B247" i="11"/>
  <c r="B295" i="11" s="1"/>
  <c r="J246" i="11"/>
  <c r="J294" i="11" s="1"/>
  <c r="I246" i="11"/>
  <c r="I294" i="11" s="1"/>
  <c r="H246" i="11"/>
  <c r="H294" i="11" s="1"/>
  <c r="G246" i="11"/>
  <c r="G294" i="11" s="1"/>
  <c r="F246" i="11"/>
  <c r="F294" i="11" s="1"/>
  <c r="E246" i="11"/>
  <c r="E294" i="11" s="1"/>
  <c r="D246" i="11"/>
  <c r="D294" i="11" s="1"/>
  <c r="C246" i="11"/>
  <c r="C294" i="11" s="1"/>
  <c r="B246" i="11"/>
  <c r="B294" i="11" s="1"/>
  <c r="K243" i="11"/>
  <c r="K239" i="11"/>
  <c r="K238" i="11"/>
  <c r="K476" i="11" s="1"/>
  <c r="K237" i="11"/>
  <c r="K475" i="11" s="1"/>
  <c r="K236" i="11"/>
  <c r="K235" i="11"/>
  <c r="K234" i="11"/>
  <c r="K472" i="11" s="1"/>
  <c r="K233" i="11"/>
  <c r="K471" i="11" s="1"/>
  <c r="K232" i="11"/>
  <c r="K231" i="11"/>
  <c r="K230" i="11"/>
  <c r="K229" i="11"/>
  <c r="K228" i="11"/>
  <c r="K227" i="11"/>
  <c r="K226" i="11"/>
  <c r="K225" i="11"/>
  <c r="K224" i="11"/>
  <c r="K223" i="11"/>
  <c r="K222" i="11"/>
  <c r="K221" i="11"/>
  <c r="K220" i="11"/>
  <c r="K219" i="11"/>
  <c r="K218" i="11"/>
  <c r="K217" i="11"/>
  <c r="K216" i="11"/>
  <c r="K215" i="11"/>
  <c r="K214" i="11"/>
  <c r="K213" i="11"/>
  <c r="K212" i="11"/>
  <c r="K211" i="11"/>
  <c r="K210" i="11"/>
  <c r="K209" i="11"/>
  <c r="K208" i="11"/>
  <c r="K207" i="11"/>
  <c r="K206" i="11"/>
  <c r="K205" i="11"/>
  <c r="K204" i="11"/>
  <c r="K203" i="11"/>
  <c r="K202" i="11"/>
  <c r="K201" i="11"/>
  <c r="K200" i="11"/>
  <c r="K199" i="11"/>
  <c r="K198" i="11"/>
  <c r="K195" i="11"/>
  <c r="K460" i="11" s="1"/>
  <c r="K191" i="11"/>
  <c r="K456" i="11" s="1"/>
  <c r="K190" i="11"/>
  <c r="K455" i="11" s="1"/>
  <c r="K189" i="11"/>
  <c r="K454" i="11" s="1"/>
  <c r="K188" i="11"/>
  <c r="K453" i="11" s="1"/>
  <c r="K187" i="11"/>
  <c r="K452" i="11" s="1"/>
  <c r="K186" i="11"/>
  <c r="K185" i="11"/>
  <c r="K450" i="11" s="1"/>
  <c r="K184" i="11"/>
  <c r="K183" i="11"/>
  <c r="K182" i="11"/>
  <c r="K181" i="11"/>
  <c r="K180" i="11"/>
  <c r="K179" i="11"/>
  <c r="K178" i="11"/>
  <c r="K177" i="11"/>
  <c r="K176" i="11"/>
  <c r="K175" i="11"/>
  <c r="K174" i="11"/>
  <c r="K173" i="11"/>
  <c r="K172" i="11"/>
  <c r="K171" i="11"/>
  <c r="K170" i="11"/>
  <c r="K169" i="11"/>
  <c r="K168" i="11"/>
  <c r="K167" i="11"/>
  <c r="K166" i="11"/>
  <c r="K165" i="11"/>
  <c r="K164" i="11"/>
  <c r="K163" i="11"/>
  <c r="K162" i="11"/>
  <c r="K161" i="11"/>
  <c r="K160" i="11"/>
  <c r="K159" i="11"/>
  <c r="K158" i="11"/>
  <c r="K157" i="11"/>
  <c r="K156" i="11"/>
  <c r="K155" i="11"/>
  <c r="K154" i="11"/>
  <c r="K153" i="11"/>
  <c r="K152" i="11"/>
  <c r="K151" i="11"/>
  <c r="K150" i="11"/>
  <c r="K147" i="11"/>
  <c r="K441" i="11" s="1"/>
  <c r="K143" i="11"/>
  <c r="K437" i="11" s="1"/>
  <c r="K142" i="11"/>
  <c r="K436" i="11" s="1"/>
  <c r="K141" i="11"/>
  <c r="K140" i="11"/>
  <c r="K434" i="11" s="1"/>
  <c r="K139" i="11"/>
  <c r="K433" i="11" s="1"/>
  <c r="K138" i="11"/>
  <c r="K432" i="11" s="1"/>
  <c r="K137" i="11"/>
  <c r="K431" i="11" s="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99" i="11"/>
  <c r="K420" i="11" s="1"/>
  <c r="K95" i="11"/>
  <c r="K416" i="11" s="1"/>
  <c r="K94" i="11"/>
  <c r="K415" i="11" s="1"/>
  <c r="K93" i="11"/>
  <c r="K414" i="11" s="1"/>
  <c r="K92" i="11"/>
  <c r="K413" i="11" s="1"/>
  <c r="K91" i="11"/>
  <c r="K412" i="11" s="1"/>
  <c r="K90" i="11"/>
  <c r="K411" i="11" s="1"/>
  <c r="K89" i="11"/>
  <c r="K410" i="11" s="1"/>
  <c r="K88" i="11"/>
  <c r="E87" i="11"/>
  <c r="E430" i="11" s="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1" i="11"/>
  <c r="K47" i="11"/>
  <c r="K397" i="11" s="1"/>
  <c r="K46" i="11"/>
  <c r="K396" i="11" s="1"/>
  <c r="K45" i="11"/>
  <c r="K395" i="11" s="1"/>
  <c r="K44" i="11"/>
  <c r="K43" i="11"/>
  <c r="K393" i="11" s="1"/>
  <c r="K42" i="11"/>
  <c r="K392" i="11" s="1"/>
  <c r="K41" i="11"/>
  <c r="K40" i="11"/>
  <c r="K39" i="11"/>
  <c r="K38" i="11"/>
  <c r="K37" i="11"/>
  <c r="K36" i="11"/>
  <c r="K35" i="11"/>
  <c r="K34" i="11"/>
  <c r="K33" i="11"/>
  <c r="K32" i="11"/>
  <c r="K31" i="11"/>
  <c r="K30" i="11"/>
  <c r="K29" i="11"/>
  <c r="K28" i="11"/>
  <c r="K27" i="11"/>
  <c r="K26" i="11"/>
  <c r="K25" i="11"/>
  <c r="K23" i="11"/>
  <c r="K22" i="11"/>
  <c r="K21" i="11"/>
  <c r="K20" i="11"/>
  <c r="K19" i="11"/>
  <c r="K18" i="11"/>
  <c r="K17" i="11"/>
  <c r="K16" i="11"/>
  <c r="K15" i="11"/>
  <c r="K14" i="11"/>
  <c r="K13" i="11"/>
  <c r="K12" i="11"/>
  <c r="K11" i="11"/>
  <c r="K10" i="11"/>
  <c r="K9" i="11"/>
  <c r="K8" i="11"/>
  <c r="K7" i="11"/>
  <c r="K6" i="11"/>
  <c r="A683" i="10"/>
  <c r="A678" i="10"/>
  <c r="A660" i="10"/>
  <c r="A638" i="10"/>
  <c r="S636" i="10"/>
  <c r="R636" i="10"/>
  <c r="Q636" i="10"/>
  <c r="P636" i="10"/>
  <c r="O636" i="10"/>
  <c r="N636" i="10"/>
  <c r="K636" i="10"/>
  <c r="J636" i="10"/>
  <c r="I636" i="10"/>
  <c r="H636" i="10"/>
  <c r="G636" i="10"/>
  <c r="F636" i="10"/>
  <c r="E636" i="10"/>
  <c r="D636" i="10"/>
  <c r="C636" i="10"/>
  <c r="B636" i="10"/>
  <c r="S632" i="10"/>
  <c r="R632" i="10"/>
  <c r="Q632" i="10"/>
  <c r="P632" i="10"/>
  <c r="O632" i="10"/>
  <c r="N632" i="10"/>
  <c r="K632" i="10"/>
  <c r="J632" i="10"/>
  <c r="I632" i="10"/>
  <c r="H632" i="10"/>
  <c r="G632" i="10"/>
  <c r="F632" i="10"/>
  <c r="E632" i="10"/>
  <c r="D632" i="10"/>
  <c r="C632" i="10"/>
  <c r="B632" i="10"/>
  <c r="S631" i="10"/>
  <c r="R631" i="10"/>
  <c r="Q631" i="10"/>
  <c r="P631" i="10"/>
  <c r="O631" i="10"/>
  <c r="N631" i="10"/>
  <c r="K631" i="10"/>
  <c r="J631" i="10"/>
  <c r="I631" i="10"/>
  <c r="H631" i="10"/>
  <c r="G631" i="10"/>
  <c r="F631" i="10"/>
  <c r="E631" i="10"/>
  <c r="D631" i="10"/>
  <c r="C631" i="10"/>
  <c r="B631" i="10"/>
  <c r="S630" i="10"/>
  <c r="R630" i="10"/>
  <c r="Q630" i="10"/>
  <c r="P630" i="10"/>
  <c r="O630" i="10"/>
  <c r="N630" i="10"/>
  <c r="K630" i="10"/>
  <c r="J630" i="10"/>
  <c r="I630" i="10"/>
  <c r="H630" i="10"/>
  <c r="G630" i="10"/>
  <c r="F630" i="10"/>
  <c r="E630" i="10"/>
  <c r="D630" i="10"/>
  <c r="C630" i="10"/>
  <c r="B630" i="10"/>
  <c r="S629" i="10"/>
  <c r="R629" i="10"/>
  <c r="Q629" i="10"/>
  <c r="P629" i="10"/>
  <c r="O629" i="10"/>
  <c r="N629" i="10"/>
  <c r="K629" i="10"/>
  <c r="J629" i="10"/>
  <c r="I629" i="10"/>
  <c r="H629" i="10"/>
  <c r="G629" i="10"/>
  <c r="F629" i="10"/>
  <c r="E629" i="10"/>
  <c r="D629" i="10"/>
  <c r="C629" i="10"/>
  <c r="B629" i="10"/>
  <c r="S628" i="10"/>
  <c r="R628" i="10"/>
  <c r="Q628" i="10"/>
  <c r="P628" i="10"/>
  <c r="O628" i="10"/>
  <c r="N628" i="10"/>
  <c r="K628" i="10"/>
  <c r="J628" i="10"/>
  <c r="I628" i="10"/>
  <c r="H628" i="10"/>
  <c r="G628" i="10"/>
  <c r="F628" i="10"/>
  <c r="E628" i="10"/>
  <c r="D628" i="10"/>
  <c r="C628" i="10"/>
  <c r="B628" i="10"/>
  <c r="S627" i="10"/>
  <c r="R627" i="10"/>
  <c r="Q627" i="10"/>
  <c r="P627" i="10"/>
  <c r="O627" i="10"/>
  <c r="N627" i="10"/>
  <c r="K627" i="10"/>
  <c r="J627" i="10"/>
  <c r="I627" i="10"/>
  <c r="H627" i="10"/>
  <c r="G627" i="10"/>
  <c r="F627" i="10"/>
  <c r="E627" i="10"/>
  <c r="D627" i="10"/>
  <c r="C627" i="10"/>
  <c r="B627" i="10"/>
  <c r="S626" i="10"/>
  <c r="R626" i="10"/>
  <c r="Q626" i="10"/>
  <c r="P626" i="10"/>
  <c r="O626" i="10"/>
  <c r="N626" i="10"/>
  <c r="K626" i="10"/>
  <c r="J626" i="10"/>
  <c r="I626" i="10"/>
  <c r="H626" i="10"/>
  <c r="G626" i="10"/>
  <c r="F626" i="10"/>
  <c r="E626" i="10"/>
  <c r="D626" i="10"/>
  <c r="C626" i="10"/>
  <c r="B626" i="10"/>
  <c r="S624" i="10"/>
  <c r="R624" i="10"/>
  <c r="Q624" i="10"/>
  <c r="P624" i="10"/>
  <c r="O624" i="10"/>
  <c r="N624" i="10"/>
  <c r="K624" i="10"/>
  <c r="J624" i="10"/>
  <c r="I624" i="10"/>
  <c r="H624" i="10"/>
  <c r="G624" i="10"/>
  <c r="F624" i="10"/>
  <c r="E624" i="10"/>
  <c r="D624" i="10"/>
  <c r="C624" i="10"/>
  <c r="B624" i="10"/>
  <c r="I623" i="10"/>
  <c r="H623" i="10"/>
  <c r="G623" i="10"/>
  <c r="D623" i="10"/>
  <c r="I622" i="10"/>
  <c r="H622" i="10"/>
  <c r="G622" i="10"/>
  <c r="F622" i="10"/>
  <c r="D622" i="10"/>
  <c r="O621" i="10"/>
  <c r="N621" i="10"/>
  <c r="J621" i="10"/>
  <c r="I621" i="10"/>
  <c r="H621" i="10"/>
  <c r="G621" i="10"/>
  <c r="F621" i="10"/>
  <c r="E621" i="10"/>
  <c r="D621" i="10"/>
  <c r="P620" i="10"/>
  <c r="O620" i="10"/>
  <c r="J620" i="10"/>
  <c r="I620" i="10"/>
  <c r="H620" i="10"/>
  <c r="G620" i="10"/>
  <c r="F620" i="10"/>
  <c r="E620" i="10"/>
  <c r="D620" i="10"/>
  <c r="A619" i="10"/>
  <c r="S614" i="10"/>
  <c r="R614" i="10"/>
  <c r="Q614" i="10"/>
  <c r="P614" i="10"/>
  <c r="O614" i="10"/>
  <c r="N614" i="10"/>
  <c r="K614" i="10"/>
  <c r="J614" i="10"/>
  <c r="I614" i="10"/>
  <c r="H614" i="10"/>
  <c r="G614" i="10"/>
  <c r="F614" i="10"/>
  <c r="E614" i="10"/>
  <c r="D614" i="10"/>
  <c r="C614" i="10"/>
  <c r="B614" i="10"/>
  <c r="S610" i="10"/>
  <c r="R610" i="10"/>
  <c r="Q610" i="10"/>
  <c r="P610" i="10"/>
  <c r="O610" i="10"/>
  <c r="N610" i="10"/>
  <c r="K610" i="10"/>
  <c r="J610" i="10"/>
  <c r="I610" i="10"/>
  <c r="H610" i="10"/>
  <c r="G610" i="10"/>
  <c r="F610" i="10"/>
  <c r="E610" i="10"/>
  <c r="D610" i="10"/>
  <c r="C610" i="10"/>
  <c r="B610" i="10"/>
  <c r="S609" i="10"/>
  <c r="R609" i="10"/>
  <c r="Q609" i="10"/>
  <c r="P609" i="10"/>
  <c r="O609" i="10"/>
  <c r="N609" i="10"/>
  <c r="K609" i="10"/>
  <c r="J609" i="10"/>
  <c r="I609" i="10"/>
  <c r="H609" i="10"/>
  <c r="G609" i="10"/>
  <c r="F609" i="10"/>
  <c r="E609" i="10"/>
  <c r="D609" i="10"/>
  <c r="C609" i="10"/>
  <c r="B609" i="10"/>
  <c r="S608" i="10"/>
  <c r="R608" i="10"/>
  <c r="Q608" i="10"/>
  <c r="P608" i="10"/>
  <c r="O608" i="10"/>
  <c r="N608" i="10"/>
  <c r="K608" i="10"/>
  <c r="J608" i="10"/>
  <c r="I608" i="10"/>
  <c r="H608" i="10"/>
  <c r="G608" i="10"/>
  <c r="F608" i="10"/>
  <c r="E608" i="10"/>
  <c r="D608" i="10"/>
  <c r="C608" i="10"/>
  <c r="B608" i="10"/>
  <c r="R607" i="10"/>
  <c r="Q607" i="10"/>
  <c r="P607" i="10"/>
  <c r="O607" i="10"/>
  <c r="N607" i="10"/>
  <c r="K607" i="10"/>
  <c r="J607" i="10"/>
  <c r="I607" i="10"/>
  <c r="H607" i="10"/>
  <c r="G607" i="10"/>
  <c r="F607" i="10"/>
  <c r="E607" i="10"/>
  <c r="D607" i="10"/>
  <c r="C607" i="10"/>
  <c r="B607" i="10"/>
  <c r="S606" i="10"/>
  <c r="R606" i="10"/>
  <c r="Q606" i="10"/>
  <c r="P606" i="10"/>
  <c r="O606" i="10"/>
  <c r="N606" i="10"/>
  <c r="K606" i="10"/>
  <c r="J606" i="10"/>
  <c r="I606" i="10"/>
  <c r="H606" i="10"/>
  <c r="G606" i="10"/>
  <c r="F606" i="10"/>
  <c r="E606" i="10"/>
  <c r="D606" i="10"/>
  <c r="C606" i="10"/>
  <c r="B606" i="10"/>
  <c r="S605" i="10"/>
  <c r="R605" i="10"/>
  <c r="Q605" i="10"/>
  <c r="P605" i="10"/>
  <c r="O605" i="10"/>
  <c r="N605" i="10"/>
  <c r="K605" i="10"/>
  <c r="J605" i="10"/>
  <c r="I605" i="10"/>
  <c r="H605" i="10"/>
  <c r="G605" i="10"/>
  <c r="F605" i="10"/>
  <c r="E605" i="10"/>
  <c r="D605" i="10"/>
  <c r="C605" i="10"/>
  <c r="B605" i="10"/>
  <c r="S604" i="10"/>
  <c r="R604" i="10"/>
  <c r="Q604" i="10"/>
  <c r="P604" i="10"/>
  <c r="O604" i="10"/>
  <c r="N604" i="10"/>
  <c r="K604" i="10"/>
  <c r="J604" i="10"/>
  <c r="I604" i="10"/>
  <c r="H604" i="10"/>
  <c r="G604" i="10"/>
  <c r="F604" i="10"/>
  <c r="E604" i="10"/>
  <c r="D604" i="10"/>
  <c r="C604" i="10"/>
  <c r="B604" i="10"/>
  <c r="S602" i="10"/>
  <c r="R602" i="10"/>
  <c r="Q602" i="10"/>
  <c r="P602" i="10"/>
  <c r="O602" i="10"/>
  <c r="N602" i="10"/>
  <c r="K602" i="10"/>
  <c r="J602" i="10"/>
  <c r="I602" i="10"/>
  <c r="H602" i="10"/>
  <c r="G602" i="10"/>
  <c r="F602" i="10"/>
  <c r="E602" i="10"/>
  <c r="C602" i="10"/>
  <c r="B602" i="10"/>
  <c r="N601" i="10"/>
  <c r="J601" i="10"/>
  <c r="I601" i="10"/>
  <c r="H601" i="10"/>
  <c r="G601" i="10"/>
  <c r="F601" i="10"/>
  <c r="E601" i="10"/>
  <c r="D601" i="10"/>
  <c r="P600" i="10"/>
  <c r="O600" i="10"/>
  <c r="N600" i="10"/>
  <c r="J600" i="10"/>
  <c r="I600" i="10"/>
  <c r="H600" i="10"/>
  <c r="G600" i="10"/>
  <c r="F600" i="10"/>
  <c r="E600" i="10"/>
  <c r="D600" i="10"/>
  <c r="Q599" i="10"/>
  <c r="P599" i="10"/>
  <c r="O599" i="10"/>
  <c r="N599" i="10"/>
  <c r="J599" i="10"/>
  <c r="I599" i="10"/>
  <c r="H599" i="10"/>
  <c r="G599" i="10"/>
  <c r="F599" i="10"/>
  <c r="E599" i="10"/>
  <c r="D599" i="10"/>
  <c r="Q598" i="10"/>
  <c r="P598" i="10"/>
  <c r="O598" i="10"/>
  <c r="J598" i="10"/>
  <c r="I598" i="10"/>
  <c r="H598" i="10"/>
  <c r="G598" i="10"/>
  <c r="F598" i="10"/>
  <c r="E598" i="10"/>
  <c r="D598" i="10"/>
  <c r="A597" i="10"/>
  <c r="S595" i="10"/>
  <c r="R595" i="10"/>
  <c r="Q595" i="10"/>
  <c r="P595" i="10"/>
  <c r="O595" i="10"/>
  <c r="N595" i="10"/>
  <c r="J595" i="10"/>
  <c r="I595" i="10"/>
  <c r="H595" i="10"/>
  <c r="G595" i="10"/>
  <c r="F595" i="10"/>
  <c r="E595" i="10"/>
  <c r="D595" i="10"/>
  <c r="C595" i="10"/>
  <c r="B595" i="10"/>
  <c r="S591" i="10"/>
  <c r="R591" i="10"/>
  <c r="Q591" i="10"/>
  <c r="P591" i="10"/>
  <c r="O591" i="10"/>
  <c r="N591" i="10"/>
  <c r="J591" i="10"/>
  <c r="I591" i="10"/>
  <c r="H591" i="10"/>
  <c r="G591" i="10"/>
  <c r="F591" i="10"/>
  <c r="E591" i="10"/>
  <c r="D591" i="10"/>
  <c r="C591" i="10"/>
  <c r="B591" i="10"/>
  <c r="S590" i="10"/>
  <c r="R590" i="10"/>
  <c r="Q590" i="10"/>
  <c r="P590" i="10"/>
  <c r="O590" i="10"/>
  <c r="N590" i="10"/>
  <c r="J590" i="10"/>
  <c r="I590" i="10"/>
  <c r="H590" i="10"/>
  <c r="G590" i="10"/>
  <c r="F590" i="10"/>
  <c r="E590" i="10"/>
  <c r="D590" i="10"/>
  <c r="C590" i="10"/>
  <c r="B590" i="10"/>
  <c r="S589" i="10"/>
  <c r="R589" i="10"/>
  <c r="Q589" i="10"/>
  <c r="P589" i="10"/>
  <c r="O589" i="10"/>
  <c r="N589" i="10"/>
  <c r="J589" i="10"/>
  <c r="I589" i="10"/>
  <c r="H589" i="10"/>
  <c r="G589" i="10"/>
  <c r="F589" i="10"/>
  <c r="E589" i="10"/>
  <c r="D589" i="10"/>
  <c r="C589" i="10"/>
  <c r="B589" i="10"/>
  <c r="R588" i="10"/>
  <c r="Q588" i="10"/>
  <c r="P588" i="10"/>
  <c r="O588" i="10"/>
  <c r="N588" i="10"/>
  <c r="J588" i="10"/>
  <c r="I588" i="10"/>
  <c r="H588" i="10"/>
  <c r="G588" i="10"/>
  <c r="F588" i="10"/>
  <c r="E588" i="10"/>
  <c r="D588" i="10"/>
  <c r="C588" i="10"/>
  <c r="B588" i="10"/>
  <c r="S587" i="10"/>
  <c r="R587" i="10"/>
  <c r="Q587" i="10"/>
  <c r="P587" i="10"/>
  <c r="O587" i="10"/>
  <c r="N587" i="10"/>
  <c r="J587" i="10"/>
  <c r="I587" i="10"/>
  <c r="H587" i="10"/>
  <c r="G587" i="10"/>
  <c r="F587" i="10"/>
  <c r="E587" i="10"/>
  <c r="D587" i="10"/>
  <c r="C587" i="10"/>
  <c r="B587" i="10"/>
  <c r="S586" i="10"/>
  <c r="R586" i="10"/>
  <c r="Q586" i="10"/>
  <c r="P586" i="10"/>
  <c r="O586" i="10"/>
  <c r="N586" i="10"/>
  <c r="J586" i="10"/>
  <c r="I586" i="10"/>
  <c r="H586" i="10"/>
  <c r="G586" i="10"/>
  <c r="F586" i="10"/>
  <c r="E586" i="10"/>
  <c r="D586" i="10"/>
  <c r="C586" i="10"/>
  <c r="B586" i="10"/>
  <c r="S585" i="10"/>
  <c r="R585" i="10"/>
  <c r="Q585" i="10"/>
  <c r="P585" i="10"/>
  <c r="O585" i="10"/>
  <c r="N585" i="10"/>
  <c r="J585" i="10"/>
  <c r="I585" i="10"/>
  <c r="H585" i="10"/>
  <c r="G585" i="10"/>
  <c r="F585" i="10"/>
  <c r="E585" i="10"/>
  <c r="D585" i="10"/>
  <c r="C585" i="10"/>
  <c r="B585" i="10"/>
  <c r="S583" i="10"/>
  <c r="R583" i="10"/>
  <c r="Q583" i="10"/>
  <c r="P583" i="10"/>
  <c r="O583" i="10"/>
  <c r="N583" i="10"/>
  <c r="J583" i="10"/>
  <c r="I583" i="10"/>
  <c r="H583" i="10"/>
  <c r="G583" i="10"/>
  <c r="F583" i="10"/>
  <c r="E583" i="10"/>
  <c r="D583" i="10"/>
  <c r="C583" i="10"/>
  <c r="I582" i="10"/>
  <c r="H582" i="10"/>
  <c r="G582" i="10"/>
  <c r="F582" i="10"/>
  <c r="E582" i="10"/>
  <c r="D582" i="10"/>
  <c r="P581" i="10"/>
  <c r="O581" i="10"/>
  <c r="N581" i="10"/>
  <c r="I581" i="10"/>
  <c r="H581" i="10"/>
  <c r="G581" i="10"/>
  <c r="F581" i="10"/>
  <c r="E581" i="10"/>
  <c r="D581" i="10"/>
  <c r="Q580" i="10"/>
  <c r="P580" i="10"/>
  <c r="O580" i="10"/>
  <c r="N580" i="10"/>
  <c r="I580" i="10"/>
  <c r="H580" i="10"/>
  <c r="G580" i="10"/>
  <c r="F580" i="10"/>
  <c r="E580" i="10"/>
  <c r="D580" i="10"/>
  <c r="Q579" i="10"/>
  <c r="P579" i="10"/>
  <c r="O579" i="10"/>
  <c r="J579" i="10"/>
  <c r="I579" i="10"/>
  <c r="H579" i="10"/>
  <c r="G579" i="10"/>
  <c r="F579" i="10"/>
  <c r="E579" i="10"/>
  <c r="D579" i="10"/>
  <c r="A578" i="10"/>
  <c r="S573" i="10"/>
  <c r="R573" i="10"/>
  <c r="Q573" i="10"/>
  <c r="P573" i="10"/>
  <c r="O573" i="10"/>
  <c r="K573" i="10"/>
  <c r="J573" i="10"/>
  <c r="I573" i="10"/>
  <c r="H573" i="10"/>
  <c r="G573" i="10"/>
  <c r="F573" i="10"/>
  <c r="E573" i="10"/>
  <c r="D573" i="10"/>
  <c r="C573" i="10"/>
  <c r="B573" i="10"/>
  <c r="S569" i="10"/>
  <c r="R569" i="10"/>
  <c r="Q569" i="10"/>
  <c r="P569" i="10"/>
  <c r="O569" i="10"/>
  <c r="K569" i="10"/>
  <c r="J569" i="10"/>
  <c r="I569" i="10"/>
  <c r="H569" i="10"/>
  <c r="G569" i="10"/>
  <c r="F569" i="10"/>
  <c r="E569" i="10"/>
  <c r="D569" i="10"/>
  <c r="C569" i="10"/>
  <c r="B569" i="10"/>
  <c r="S568" i="10"/>
  <c r="R568" i="10"/>
  <c r="Q568" i="10"/>
  <c r="P568" i="10"/>
  <c r="O568" i="10"/>
  <c r="K568" i="10"/>
  <c r="J568" i="10"/>
  <c r="I568" i="10"/>
  <c r="H568" i="10"/>
  <c r="G568" i="10"/>
  <c r="F568" i="10"/>
  <c r="E568" i="10"/>
  <c r="D568" i="10"/>
  <c r="C568" i="10"/>
  <c r="B568" i="10"/>
  <c r="S567" i="10"/>
  <c r="R567" i="10"/>
  <c r="Q567" i="10"/>
  <c r="P567" i="10"/>
  <c r="O567" i="10"/>
  <c r="K567" i="10"/>
  <c r="J567" i="10"/>
  <c r="I567" i="10"/>
  <c r="H567" i="10"/>
  <c r="G567" i="10"/>
  <c r="F567" i="10"/>
  <c r="E567" i="10"/>
  <c r="D567" i="10"/>
  <c r="C567" i="10"/>
  <c r="B567" i="10"/>
  <c r="R566" i="10"/>
  <c r="Q566" i="10"/>
  <c r="P566" i="10"/>
  <c r="O566" i="10"/>
  <c r="N566" i="10"/>
  <c r="K566" i="10"/>
  <c r="J566" i="10"/>
  <c r="I566" i="10"/>
  <c r="H566" i="10"/>
  <c r="G566" i="10"/>
  <c r="F566" i="10"/>
  <c r="E566" i="10"/>
  <c r="D566" i="10"/>
  <c r="C566" i="10"/>
  <c r="B566" i="10"/>
  <c r="S565" i="10"/>
  <c r="R565" i="10"/>
  <c r="Q565" i="10"/>
  <c r="P565" i="10"/>
  <c r="O565" i="10"/>
  <c r="N565" i="10"/>
  <c r="K565" i="10"/>
  <c r="J565" i="10"/>
  <c r="I565" i="10"/>
  <c r="H565" i="10"/>
  <c r="G565" i="10"/>
  <c r="F565" i="10"/>
  <c r="E565" i="10"/>
  <c r="D565" i="10"/>
  <c r="C565" i="10"/>
  <c r="B565" i="10"/>
  <c r="S564" i="10"/>
  <c r="R564" i="10"/>
  <c r="Q564" i="10"/>
  <c r="P564" i="10"/>
  <c r="O564" i="10"/>
  <c r="N564" i="10"/>
  <c r="K564" i="10"/>
  <c r="J564" i="10"/>
  <c r="I564" i="10"/>
  <c r="H564" i="10"/>
  <c r="G564" i="10"/>
  <c r="F564" i="10"/>
  <c r="E564" i="10"/>
  <c r="D564" i="10"/>
  <c r="C564" i="10"/>
  <c r="B564" i="10"/>
  <c r="S563" i="10"/>
  <c r="R563" i="10"/>
  <c r="Q563" i="10"/>
  <c r="P563" i="10"/>
  <c r="O563" i="10"/>
  <c r="N563" i="10"/>
  <c r="K563" i="10"/>
  <c r="J563" i="10"/>
  <c r="I563" i="10"/>
  <c r="H563" i="10"/>
  <c r="G563" i="10"/>
  <c r="F563" i="10"/>
  <c r="E563" i="10"/>
  <c r="D563" i="10"/>
  <c r="C563" i="10"/>
  <c r="B563" i="10"/>
  <c r="S561" i="10"/>
  <c r="R561" i="10"/>
  <c r="Q561" i="10"/>
  <c r="P561" i="10"/>
  <c r="O561" i="10"/>
  <c r="N561" i="10"/>
  <c r="K561" i="10"/>
  <c r="J561" i="10"/>
  <c r="I561" i="10"/>
  <c r="H561" i="10"/>
  <c r="G561" i="10"/>
  <c r="F561" i="10"/>
  <c r="E561" i="10"/>
  <c r="D561" i="10"/>
  <c r="C561" i="10"/>
  <c r="J560" i="10"/>
  <c r="I560" i="10"/>
  <c r="H560" i="10"/>
  <c r="G560" i="10"/>
  <c r="F560" i="10"/>
  <c r="E560" i="10"/>
  <c r="D560" i="10"/>
  <c r="P559" i="10"/>
  <c r="O559" i="10"/>
  <c r="J559" i="10"/>
  <c r="I559" i="10"/>
  <c r="H559" i="10"/>
  <c r="G559" i="10"/>
  <c r="F559" i="10"/>
  <c r="E559" i="10"/>
  <c r="D559" i="10"/>
  <c r="Q558" i="10"/>
  <c r="P558" i="10"/>
  <c r="O558" i="10"/>
  <c r="J558" i="10"/>
  <c r="I558" i="10"/>
  <c r="H558" i="10"/>
  <c r="G558" i="10"/>
  <c r="F558" i="10"/>
  <c r="E558" i="10"/>
  <c r="D558" i="10"/>
  <c r="Q557" i="10"/>
  <c r="P557" i="10"/>
  <c r="O557" i="10"/>
  <c r="J557" i="10"/>
  <c r="I557" i="10"/>
  <c r="H557" i="10"/>
  <c r="G557" i="10"/>
  <c r="F557" i="10"/>
  <c r="E557" i="10"/>
  <c r="D557" i="10"/>
  <c r="A556" i="10"/>
  <c r="R554" i="10"/>
  <c r="Q554" i="10"/>
  <c r="P554" i="10"/>
  <c r="O554" i="10"/>
  <c r="N554" i="10"/>
  <c r="K554" i="10"/>
  <c r="J554" i="10"/>
  <c r="I554" i="10"/>
  <c r="H554" i="10"/>
  <c r="G554" i="10"/>
  <c r="F554" i="10"/>
  <c r="E554" i="10"/>
  <c r="D554" i="10"/>
  <c r="C554" i="10"/>
  <c r="B554" i="10"/>
  <c r="R550" i="10"/>
  <c r="Q550" i="10"/>
  <c r="P550" i="10"/>
  <c r="O550" i="10"/>
  <c r="N550" i="10"/>
  <c r="K550" i="10"/>
  <c r="J550" i="10"/>
  <c r="I550" i="10"/>
  <c r="H550" i="10"/>
  <c r="G550" i="10"/>
  <c r="F550" i="10"/>
  <c r="E550" i="10"/>
  <c r="D550" i="10"/>
  <c r="C550" i="10"/>
  <c r="B550" i="10"/>
  <c r="S549" i="10"/>
  <c r="R549" i="10"/>
  <c r="Q549" i="10"/>
  <c r="P549" i="10"/>
  <c r="O549" i="10"/>
  <c r="N549" i="10"/>
  <c r="K549" i="10"/>
  <c r="J549" i="10"/>
  <c r="I549" i="10"/>
  <c r="H549" i="10"/>
  <c r="G549" i="10"/>
  <c r="F549" i="10"/>
  <c r="E549" i="10"/>
  <c r="D549" i="10"/>
  <c r="C549" i="10"/>
  <c r="B549" i="10"/>
  <c r="R548" i="10"/>
  <c r="Q548" i="10"/>
  <c r="P548" i="10"/>
  <c r="O548" i="10"/>
  <c r="N548" i="10"/>
  <c r="K548" i="10"/>
  <c r="J548" i="10"/>
  <c r="I548" i="10"/>
  <c r="H548" i="10"/>
  <c r="G548" i="10"/>
  <c r="F548" i="10"/>
  <c r="E548" i="10"/>
  <c r="D548" i="10"/>
  <c r="C548" i="10"/>
  <c r="B548" i="10"/>
  <c r="R547" i="10"/>
  <c r="Q547" i="10"/>
  <c r="P547" i="10"/>
  <c r="O547" i="10"/>
  <c r="N547" i="10"/>
  <c r="K547" i="10"/>
  <c r="J547" i="10"/>
  <c r="I547" i="10"/>
  <c r="H547" i="10"/>
  <c r="G547" i="10"/>
  <c r="F547" i="10"/>
  <c r="E547" i="10"/>
  <c r="D547" i="10"/>
  <c r="C547" i="10"/>
  <c r="B547" i="10"/>
  <c r="R546" i="10"/>
  <c r="Q546" i="10"/>
  <c r="P546" i="10"/>
  <c r="O546" i="10"/>
  <c r="N546" i="10"/>
  <c r="K546" i="10"/>
  <c r="J546" i="10"/>
  <c r="I546" i="10"/>
  <c r="H546" i="10"/>
  <c r="G546" i="10"/>
  <c r="F546" i="10"/>
  <c r="E546" i="10"/>
  <c r="D546" i="10"/>
  <c r="C546" i="10"/>
  <c r="B546" i="10"/>
  <c r="R545" i="10"/>
  <c r="Q545" i="10"/>
  <c r="P545" i="10"/>
  <c r="O545" i="10"/>
  <c r="N545" i="10"/>
  <c r="K545" i="10"/>
  <c r="J545" i="10"/>
  <c r="I545" i="10"/>
  <c r="H545" i="10"/>
  <c r="G545" i="10"/>
  <c r="F545" i="10"/>
  <c r="E545" i="10"/>
  <c r="D545" i="10"/>
  <c r="C545" i="10"/>
  <c r="B545" i="10"/>
  <c r="R544" i="10"/>
  <c r="Q544" i="10"/>
  <c r="P544" i="10"/>
  <c r="O544" i="10"/>
  <c r="N544" i="10"/>
  <c r="K544" i="10"/>
  <c r="J544" i="10"/>
  <c r="I544" i="10"/>
  <c r="H544" i="10"/>
  <c r="G544" i="10"/>
  <c r="F544" i="10"/>
  <c r="E544" i="10"/>
  <c r="D544" i="10"/>
  <c r="C544" i="10"/>
  <c r="B544" i="10"/>
  <c r="Q542" i="10"/>
  <c r="P542" i="10"/>
  <c r="O542" i="10"/>
  <c r="H542" i="10"/>
  <c r="G542" i="10"/>
  <c r="F542" i="10"/>
  <c r="E542" i="10"/>
  <c r="D542" i="10"/>
  <c r="Q541" i="10"/>
  <c r="P541" i="10"/>
  <c r="H541" i="10"/>
  <c r="G541" i="10"/>
  <c r="E541" i="10"/>
  <c r="D541" i="10"/>
  <c r="Q540" i="10"/>
  <c r="P540" i="10"/>
  <c r="O540" i="10"/>
  <c r="H540" i="10"/>
  <c r="G540" i="10"/>
  <c r="F540" i="10"/>
  <c r="E540" i="10"/>
  <c r="D540" i="10"/>
  <c r="R539" i="10"/>
  <c r="Q539" i="10"/>
  <c r="P539" i="10"/>
  <c r="O539" i="10"/>
  <c r="I539" i="10"/>
  <c r="H539" i="10"/>
  <c r="G539" i="10"/>
  <c r="F539" i="10"/>
  <c r="E539" i="10"/>
  <c r="D539" i="10"/>
  <c r="Q538" i="10"/>
  <c r="P538" i="10"/>
  <c r="O538" i="10"/>
  <c r="I538" i="10"/>
  <c r="H538" i="10"/>
  <c r="G538" i="10"/>
  <c r="F538" i="10"/>
  <c r="E538" i="10"/>
  <c r="D538" i="10"/>
  <c r="S434" i="10"/>
  <c r="S655" i="10" s="1"/>
  <c r="R434" i="10"/>
  <c r="Q434" i="10"/>
  <c r="P434" i="10"/>
  <c r="O434" i="10"/>
  <c r="N434" i="10"/>
  <c r="K434" i="10"/>
  <c r="J434" i="10"/>
  <c r="I434" i="10"/>
  <c r="H434" i="10"/>
  <c r="G434" i="10"/>
  <c r="F434" i="10"/>
  <c r="E434" i="10"/>
  <c r="D434" i="10"/>
  <c r="C434" i="10"/>
  <c r="C655" i="10" s="1"/>
  <c r="B434" i="10"/>
  <c r="S430" i="10"/>
  <c r="S651" i="10" s="1"/>
  <c r="R430" i="10"/>
  <c r="Q430" i="10"/>
  <c r="P430" i="10"/>
  <c r="O430" i="10"/>
  <c r="N430" i="10"/>
  <c r="K430" i="10"/>
  <c r="J430" i="10"/>
  <c r="I430" i="10"/>
  <c r="H430" i="10"/>
  <c r="G430" i="10"/>
  <c r="F430" i="10"/>
  <c r="E430" i="10"/>
  <c r="D430" i="10"/>
  <c r="D651" i="10" s="1"/>
  <c r="C430" i="10"/>
  <c r="B430" i="10"/>
  <c r="S429" i="10"/>
  <c r="R429" i="10"/>
  <c r="Q429" i="10"/>
  <c r="P429" i="10"/>
  <c r="O429" i="10"/>
  <c r="N429" i="10"/>
  <c r="K429" i="10"/>
  <c r="J429" i="10"/>
  <c r="I429" i="10"/>
  <c r="H429" i="10"/>
  <c r="G429" i="10"/>
  <c r="F429" i="10"/>
  <c r="E429" i="10"/>
  <c r="E650" i="10" s="1"/>
  <c r="D429" i="10"/>
  <c r="C429" i="10"/>
  <c r="B429" i="10"/>
  <c r="S428" i="10"/>
  <c r="S649" i="10" s="1"/>
  <c r="R428" i="10"/>
  <c r="Q428" i="10"/>
  <c r="P428" i="10"/>
  <c r="O428" i="10"/>
  <c r="N428" i="10"/>
  <c r="K428" i="10"/>
  <c r="J428" i="10"/>
  <c r="I428" i="10"/>
  <c r="H428" i="10"/>
  <c r="G428" i="10"/>
  <c r="F428" i="10"/>
  <c r="F649" i="10" s="1"/>
  <c r="E428" i="10"/>
  <c r="D428" i="10"/>
  <c r="C428" i="10"/>
  <c r="B428" i="10"/>
  <c r="R427" i="10"/>
  <c r="Q427" i="10"/>
  <c r="P427" i="10"/>
  <c r="O427" i="10"/>
  <c r="N427" i="10"/>
  <c r="K427" i="10"/>
  <c r="J427" i="10"/>
  <c r="I427" i="10"/>
  <c r="H427" i="10"/>
  <c r="G427" i="10"/>
  <c r="G648" i="10" s="1"/>
  <c r="F427" i="10"/>
  <c r="E427" i="10"/>
  <c r="D427" i="10"/>
  <c r="C427" i="10"/>
  <c r="B427" i="10"/>
  <c r="S426" i="10"/>
  <c r="S647" i="10" s="1"/>
  <c r="R426" i="10"/>
  <c r="Q426" i="10"/>
  <c r="P426" i="10"/>
  <c r="O426" i="10"/>
  <c r="N426" i="10"/>
  <c r="K426" i="10"/>
  <c r="J426" i="10"/>
  <c r="I426" i="10"/>
  <c r="H426" i="10"/>
  <c r="H647" i="10" s="1"/>
  <c r="G426" i="10"/>
  <c r="F426" i="10"/>
  <c r="E426" i="10"/>
  <c r="D426" i="10"/>
  <c r="C426" i="10"/>
  <c r="B426" i="10"/>
  <c r="S425" i="10"/>
  <c r="S646" i="10" s="1"/>
  <c r="R425" i="10"/>
  <c r="Q425" i="10"/>
  <c r="P425" i="10"/>
  <c r="O425" i="10"/>
  <c r="N425" i="10"/>
  <c r="K425" i="10"/>
  <c r="J425" i="10"/>
  <c r="I425" i="10"/>
  <c r="I646" i="10" s="1"/>
  <c r="H425" i="10"/>
  <c r="G425" i="10"/>
  <c r="F425" i="10"/>
  <c r="E425" i="10"/>
  <c r="D425" i="10"/>
  <c r="C425" i="10"/>
  <c r="B425" i="10"/>
  <c r="S424" i="10"/>
  <c r="S645" i="10" s="1"/>
  <c r="R424" i="10"/>
  <c r="Q424" i="10"/>
  <c r="P424" i="10"/>
  <c r="O424" i="10"/>
  <c r="N424" i="10"/>
  <c r="K424" i="10"/>
  <c r="J424" i="10"/>
  <c r="J645" i="10" s="1"/>
  <c r="I424" i="10"/>
  <c r="H424" i="10"/>
  <c r="G424" i="10"/>
  <c r="F424" i="10"/>
  <c r="E424" i="10"/>
  <c r="D424" i="10"/>
  <c r="C424" i="10"/>
  <c r="B424" i="10"/>
  <c r="S423" i="10"/>
  <c r="R423" i="10"/>
  <c r="Q423" i="10"/>
  <c r="P423" i="10"/>
  <c r="O423" i="10"/>
  <c r="N423" i="10"/>
  <c r="K423" i="10"/>
  <c r="J423" i="10"/>
  <c r="H423" i="10"/>
  <c r="C423" i="10"/>
  <c r="B423" i="10"/>
  <c r="R422" i="10"/>
  <c r="Q422" i="10"/>
  <c r="P422" i="10"/>
  <c r="O422" i="10"/>
  <c r="N422" i="10"/>
  <c r="K422" i="10"/>
  <c r="J422" i="10"/>
  <c r="I422" i="10"/>
  <c r="G422" i="10"/>
  <c r="F422" i="10"/>
  <c r="E422" i="10"/>
  <c r="D422" i="10"/>
  <c r="C422" i="10"/>
  <c r="B422" i="10"/>
  <c r="S421" i="10"/>
  <c r="R421" i="10"/>
  <c r="Q421" i="10"/>
  <c r="P421" i="10"/>
  <c r="O421" i="10"/>
  <c r="N421" i="10"/>
  <c r="K421" i="10"/>
  <c r="J421" i="10"/>
  <c r="I421" i="10"/>
  <c r="H421" i="10"/>
  <c r="G421" i="10"/>
  <c r="F421" i="10"/>
  <c r="E421" i="10"/>
  <c r="D421" i="10"/>
  <c r="C421" i="10"/>
  <c r="B421" i="10"/>
  <c r="R420" i="10"/>
  <c r="Q420" i="10"/>
  <c r="P420" i="10"/>
  <c r="O420" i="10"/>
  <c r="N420" i="10"/>
  <c r="K420" i="10"/>
  <c r="J420" i="10"/>
  <c r="I420" i="10"/>
  <c r="H420" i="10"/>
  <c r="G420" i="10"/>
  <c r="F420" i="10"/>
  <c r="E420" i="10"/>
  <c r="D420" i="10"/>
  <c r="C420" i="10"/>
  <c r="B420" i="10"/>
  <c r="S419" i="10"/>
  <c r="R419" i="10"/>
  <c r="R644" i="10" s="1"/>
  <c r="Q419" i="10"/>
  <c r="Q644" i="10" s="1"/>
  <c r="P419" i="10"/>
  <c r="P644" i="10" s="1"/>
  <c r="O419" i="10"/>
  <c r="O644" i="10" s="1"/>
  <c r="N419" i="10"/>
  <c r="N644" i="10" s="1"/>
  <c r="K419" i="10"/>
  <c r="J419" i="10"/>
  <c r="I419" i="10"/>
  <c r="H419" i="10"/>
  <c r="G419" i="10"/>
  <c r="F419" i="10"/>
  <c r="E419" i="10"/>
  <c r="D419" i="10"/>
  <c r="C419" i="10"/>
  <c r="C644" i="10" s="1"/>
  <c r="B419" i="10"/>
  <c r="B644" i="10" s="1"/>
  <c r="S418" i="10"/>
  <c r="R418" i="10"/>
  <c r="R490" i="10" s="1"/>
  <c r="Q418" i="10"/>
  <c r="Q490" i="10" s="1"/>
  <c r="P418" i="10"/>
  <c r="P490" i="10" s="1"/>
  <c r="O418" i="10"/>
  <c r="O490" i="10" s="1"/>
  <c r="N418" i="10"/>
  <c r="N490" i="10" s="1"/>
  <c r="K418" i="10"/>
  <c r="K490" i="10" s="1"/>
  <c r="J418" i="10"/>
  <c r="J490" i="10" s="1"/>
  <c r="I418" i="10"/>
  <c r="I490" i="10" s="1"/>
  <c r="H418" i="10"/>
  <c r="H490" i="10" s="1"/>
  <c r="G418" i="10"/>
  <c r="G490" i="10" s="1"/>
  <c r="F418" i="10"/>
  <c r="F490" i="10" s="1"/>
  <c r="E418" i="10"/>
  <c r="E490" i="10" s="1"/>
  <c r="C418" i="10"/>
  <c r="C490" i="10" s="1"/>
  <c r="B418" i="10"/>
  <c r="B490" i="10" s="1"/>
  <c r="S417" i="10"/>
  <c r="R417" i="10"/>
  <c r="R489" i="10" s="1"/>
  <c r="Q417" i="10"/>
  <c r="Q489" i="10" s="1"/>
  <c r="P417" i="10"/>
  <c r="P489" i="10" s="1"/>
  <c r="O417" i="10"/>
  <c r="O489" i="10" s="1"/>
  <c r="N417" i="10"/>
  <c r="N489" i="10" s="1"/>
  <c r="K417" i="10"/>
  <c r="K489" i="10" s="1"/>
  <c r="J417" i="10"/>
  <c r="J489" i="10" s="1"/>
  <c r="I417" i="10"/>
  <c r="I489" i="10" s="1"/>
  <c r="H417" i="10"/>
  <c r="H489" i="10" s="1"/>
  <c r="G417" i="10"/>
  <c r="G489" i="10" s="1"/>
  <c r="F417" i="10"/>
  <c r="F489" i="10" s="1"/>
  <c r="E417" i="10"/>
  <c r="E489" i="10" s="1"/>
  <c r="D417" i="10"/>
  <c r="D489" i="10" s="1"/>
  <c r="C417" i="10"/>
  <c r="C489" i="10" s="1"/>
  <c r="B417" i="10"/>
  <c r="B489" i="10" s="1"/>
  <c r="S416" i="10"/>
  <c r="R416" i="10"/>
  <c r="R488" i="10" s="1"/>
  <c r="Q416" i="10"/>
  <c r="Q488" i="10" s="1"/>
  <c r="P416" i="10"/>
  <c r="P488" i="10" s="1"/>
  <c r="O416" i="10"/>
  <c r="O488" i="10" s="1"/>
  <c r="N416" i="10"/>
  <c r="N488" i="10" s="1"/>
  <c r="K416" i="10"/>
  <c r="K488" i="10" s="1"/>
  <c r="J416" i="10"/>
  <c r="J488" i="10" s="1"/>
  <c r="I416" i="10"/>
  <c r="I488" i="10" s="1"/>
  <c r="H416" i="10"/>
  <c r="H488" i="10" s="1"/>
  <c r="G416" i="10"/>
  <c r="G488" i="10" s="1"/>
  <c r="F416" i="10"/>
  <c r="F488" i="10" s="1"/>
  <c r="E416" i="10"/>
  <c r="E488" i="10" s="1"/>
  <c r="D416" i="10"/>
  <c r="D488" i="10" s="1"/>
  <c r="C416" i="10"/>
  <c r="C488" i="10" s="1"/>
  <c r="B416" i="10"/>
  <c r="B488" i="10" s="1"/>
  <c r="S415" i="10"/>
  <c r="R415" i="10"/>
  <c r="R487" i="10" s="1"/>
  <c r="Q415" i="10"/>
  <c r="Q487" i="10" s="1"/>
  <c r="P415" i="10"/>
  <c r="P487" i="10" s="1"/>
  <c r="O415" i="10"/>
  <c r="O487" i="10" s="1"/>
  <c r="N415" i="10"/>
  <c r="N487" i="10" s="1"/>
  <c r="K415" i="10"/>
  <c r="K487" i="10" s="1"/>
  <c r="J415" i="10"/>
  <c r="J487" i="10" s="1"/>
  <c r="I415" i="10"/>
  <c r="I487" i="10" s="1"/>
  <c r="H415" i="10"/>
  <c r="H487" i="10" s="1"/>
  <c r="G415" i="10"/>
  <c r="G487" i="10" s="1"/>
  <c r="F415" i="10"/>
  <c r="F487" i="10" s="1"/>
  <c r="E415" i="10"/>
  <c r="E487" i="10" s="1"/>
  <c r="D415" i="10"/>
  <c r="D487" i="10" s="1"/>
  <c r="C415" i="10"/>
  <c r="C487" i="10" s="1"/>
  <c r="B415" i="10"/>
  <c r="B487" i="10" s="1"/>
  <c r="S414" i="10"/>
  <c r="S643" i="10" s="1"/>
  <c r="R414" i="10"/>
  <c r="Q414" i="10"/>
  <c r="P414" i="10"/>
  <c r="P643" i="10" s="1"/>
  <c r="O414" i="10"/>
  <c r="N414" i="10"/>
  <c r="K414" i="10"/>
  <c r="J414" i="10"/>
  <c r="J643" i="10" s="1"/>
  <c r="I414" i="10"/>
  <c r="H414" i="10"/>
  <c r="G414" i="10"/>
  <c r="F414" i="10"/>
  <c r="E414" i="10"/>
  <c r="D414" i="10"/>
  <c r="C414" i="10"/>
  <c r="B414" i="10"/>
  <c r="S413" i="10"/>
  <c r="R413" i="10"/>
  <c r="R485" i="10" s="1"/>
  <c r="Q413" i="10"/>
  <c r="Q485" i="10" s="1"/>
  <c r="P413" i="10"/>
  <c r="P485" i="10" s="1"/>
  <c r="O413" i="10"/>
  <c r="O485" i="10" s="1"/>
  <c r="N413" i="10"/>
  <c r="N485" i="10" s="1"/>
  <c r="K413" i="10"/>
  <c r="K485" i="10" s="1"/>
  <c r="J413" i="10"/>
  <c r="J485" i="10" s="1"/>
  <c r="I413" i="10"/>
  <c r="I485" i="10" s="1"/>
  <c r="H413" i="10"/>
  <c r="H485" i="10" s="1"/>
  <c r="G413" i="10"/>
  <c r="G485" i="10" s="1"/>
  <c r="F413" i="10"/>
  <c r="F485" i="10" s="1"/>
  <c r="E413" i="10"/>
  <c r="E485" i="10" s="1"/>
  <c r="D413" i="10"/>
  <c r="D485" i="10" s="1"/>
  <c r="C413" i="10"/>
  <c r="C485" i="10" s="1"/>
  <c r="B413" i="10"/>
  <c r="B485" i="10" s="1"/>
  <c r="S412" i="10"/>
  <c r="S484" i="10" s="1"/>
  <c r="R412" i="10"/>
  <c r="R484" i="10" s="1"/>
  <c r="Q412" i="10"/>
  <c r="Q484" i="10" s="1"/>
  <c r="P412" i="10"/>
  <c r="P484" i="10" s="1"/>
  <c r="O412" i="10"/>
  <c r="O484" i="10" s="1"/>
  <c r="N412" i="10"/>
  <c r="N484" i="10" s="1"/>
  <c r="K412" i="10"/>
  <c r="K484" i="10" s="1"/>
  <c r="J412" i="10"/>
  <c r="J484" i="10" s="1"/>
  <c r="I412" i="10"/>
  <c r="I484" i="10" s="1"/>
  <c r="H412" i="10"/>
  <c r="H484" i="10" s="1"/>
  <c r="G412" i="10"/>
  <c r="G484" i="10" s="1"/>
  <c r="F412" i="10"/>
  <c r="F484" i="10" s="1"/>
  <c r="E412" i="10"/>
  <c r="E484" i="10" s="1"/>
  <c r="D412" i="10"/>
  <c r="D484" i="10" s="1"/>
  <c r="C412" i="10"/>
  <c r="C484" i="10" s="1"/>
  <c r="B412" i="10"/>
  <c r="B484" i="10" s="1"/>
  <c r="S411" i="10"/>
  <c r="S483" i="10" s="1"/>
  <c r="R411" i="10"/>
  <c r="R483" i="10" s="1"/>
  <c r="Q411" i="10"/>
  <c r="Q483" i="10" s="1"/>
  <c r="P411" i="10"/>
  <c r="P483" i="10" s="1"/>
  <c r="O411" i="10"/>
  <c r="O483" i="10" s="1"/>
  <c r="N411" i="10"/>
  <c r="N483" i="10" s="1"/>
  <c r="K411" i="10"/>
  <c r="K483" i="10" s="1"/>
  <c r="J411" i="10"/>
  <c r="J483" i="10" s="1"/>
  <c r="I411" i="10"/>
  <c r="I483" i="10" s="1"/>
  <c r="H411" i="10"/>
  <c r="H483" i="10" s="1"/>
  <c r="G411" i="10"/>
  <c r="G483" i="10" s="1"/>
  <c r="F411" i="10"/>
  <c r="F483" i="10" s="1"/>
  <c r="E411" i="10"/>
  <c r="E483" i="10" s="1"/>
  <c r="D411" i="10"/>
  <c r="D483" i="10" s="1"/>
  <c r="C411" i="10"/>
  <c r="C483" i="10" s="1"/>
  <c r="B411" i="10"/>
  <c r="B483" i="10" s="1"/>
  <c r="S410" i="10"/>
  <c r="S482" i="10" s="1"/>
  <c r="R410" i="10"/>
  <c r="R482" i="10" s="1"/>
  <c r="Q410" i="10"/>
  <c r="Q482" i="10" s="1"/>
  <c r="P410" i="10"/>
  <c r="P482" i="10" s="1"/>
  <c r="O410" i="10"/>
  <c r="O482" i="10" s="1"/>
  <c r="N410" i="10"/>
  <c r="N482" i="10" s="1"/>
  <c r="K410" i="10"/>
  <c r="K482" i="10" s="1"/>
  <c r="J410" i="10"/>
  <c r="J482" i="10" s="1"/>
  <c r="I410" i="10"/>
  <c r="I482" i="10" s="1"/>
  <c r="H410" i="10"/>
  <c r="H482" i="10" s="1"/>
  <c r="G410" i="10"/>
  <c r="G482" i="10" s="1"/>
  <c r="F410" i="10"/>
  <c r="F482" i="10" s="1"/>
  <c r="E410" i="10"/>
  <c r="E482" i="10" s="1"/>
  <c r="D410" i="10"/>
  <c r="D482" i="10" s="1"/>
  <c r="C410" i="10"/>
  <c r="C482" i="10" s="1"/>
  <c r="B410" i="10"/>
  <c r="B482" i="10" s="1"/>
  <c r="R409" i="10"/>
  <c r="R481" i="10" s="1"/>
  <c r="Q409" i="10"/>
  <c r="Q481" i="10" s="1"/>
  <c r="P409" i="10"/>
  <c r="P481" i="10" s="1"/>
  <c r="O409" i="10"/>
  <c r="O481" i="10" s="1"/>
  <c r="N409" i="10"/>
  <c r="K409" i="10"/>
  <c r="K481" i="10" s="1"/>
  <c r="J409" i="10"/>
  <c r="I409" i="10"/>
  <c r="H409" i="10"/>
  <c r="G409" i="10"/>
  <c r="F409" i="10"/>
  <c r="E409" i="10"/>
  <c r="D409" i="10"/>
  <c r="D481" i="10" s="1"/>
  <c r="C409" i="10"/>
  <c r="C481" i="10" s="1"/>
  <c r="B409" i="10"/>
  <c r="B481" i="10" s="1"/>
  <c r="S408" i="10"/>
  <c r="S480" i="10" s="1"/>
  <c r="R408" i="10"/>
  <c r="R480" i="10" s="1"/>
  <c r="Q408" i="10"/>
  <c r="Q480" i="10" s="1"/>
  <c r="P408" i="10"/>
  <c r="P480" i="10" s="1"/>
  <c r="O408" i="10"/>
  <c r="O480" i="10" s="1"/>
  <c r="N408" i="10"/>
  <c r="N480" i="10" s="1"/>
  <c r="K408" i="10"/>
  <c r="K480" i="10" s="1"/>
  <c r="J408" i="10"/>
  <c r="J480" i="10" s="1"/>
  <c r="I408" i="10"/>
  <c r="I480" i="10" s="1"/>
  <c r="H408" i="10"/>
  <c r="H480" i="10" s="1"/>
  <c r="G408" i="10"/>
  <c r="G480" i="10" s="1"/>
  <c r="F408" i="10"/>
  <c r="F480" i="10" s="1"/>
  <c r="E408" i="10"/>
  <c r="E480" i="10" s="1"/>
  <c r="D408" i="10"/>
  <c r="D480" i="10" s="1"/>
  <c r="C408" i="10"/>
  <c r="C480" i="10" s="1"/>
  <c r="B408" i="10"/>
  <c r="B480" i="10" s="1"/>
  <c r="S407" i="10"/>
  <c r="S479" i="10" s="1"/>
  <c r="R407" i="10"/>
  <c r="R479" i="10" s="1"/>
  <c r="Q407" i="10"/>
  <c r="Q479" i="10" s="1"/>
  <c r="P407" i="10"/>
  <c r="P479" i="10" s="1"/>
  <c r="O407" i="10"/>
  <c r="O479" i="10" s="1"/>
  <c r="N407" i="10"/>
  <c r="N479" i="10" s="1"/>
  <c r="K407" i="10"/>
  <c r="K479" i="10" s="1"/>
  <c r="J407" i="10"/>
  <c r="J479" i="10" s="1"/>
  <c r="I407" i="10"/>
  <c r="I479" i="10" s="1"/>
  <c r="H407" i="10"/>
  <c r="H479" i="10" s="1"/>
  <c r="G407" i="10"/>
  <c r="G479" i="10" s="1"/>
  <c r="F407" i="10"/>
  <c r="F479" i="10" s="1"/>
  <c r="E407" i="10"/>
  <c r="E479" i="10" s="1"/>
  <c r="D407" i="10"/>
  <c r="D479" i="10" s="1"/>
  <c r="C407" i="10"/>
  <c r="C479" i="10" s="1"/>
  <c r="B407" i="10"/>
  <c r="B479" i="10" s="1"/>
  <c r="R406" i="10"/>
  <c r="R478" i="10" s="1"/>
  <c r="Q406" i="10"/>
  <c r="Q478" i="10" s="1"/>
  <c r="P406" i="10"/>
  <c r="P478" i="10" s="1"/>
  <c r="O406" i="10"/>
  <c r="O478" i="10" s="1"/>
  <c r="N406" i="10"/>
  <c r="N478" i="10" s="1"/>
  <c r="K406" i="10"/>
  <c r="K478" i="10" s="1"/>
  <c r="J406" i="10"/>
  <c r="J478" i="10" s="1"/>
  <c r="I406" i="10"/>
  <c r="I478" i="10" s="1"/>
  <c r="H406" i="10"/>
  <c r="H478" i="10" s="1"/>
  <c r="G406" i="10"/>
  <c r="G478" i="10" s="1"/>
  <c r="F406" i="10"/>
  <c r="F478" i="10" s="1"/>
  <c r="E406" i="10"/>
  <c r="E478" i="10" s="1"/>
  <c r="D406" i="10"/>
  <c r="D478" i="10" s="1"/>
  <c r="C406" i="10"/>
  <c r="C478" i="10" s="1"/>
  <c r="B406" i="10"/>
  <c r="B478" i="10" s="1"/>
  <c r="R405" i="10"/>
  <c r="R477" i="10" s="1"/>
  <c r="Q405" i="10"/>
  <c r="Q477" i="10" s="1"/>
  <c r="P405" i="10"/>
  <c r="P477" i="10" s="1"/>
  <c r="O405" i="10"/>
  <c r="O477" i="10" s="1"/>
  <c r="N405" i="10"/>
  <c r="N477" i="10" s="1"/>
  <c r="K405" i="10"/>
  <c r="K477" i="10" s="1"/>
  <c r="J405" i="10"/>
  <c r="J477" i="10" s="1"/>
  <c r="I405" i="10"/>
  <c r="I477" i="10" s="1"/>
  <c r="H405" i="10"/>
  <c r="H477" i="10" s="1"/>
  <c r="G405" i="10"/>
  <c r="G477" i="10" s="1"/>
  <c r="F405" i="10"/>
  <c r="F477" i="10" s="1"/>
  <c r="E405" i="10"/>
  <c r="E477" i="10" s="1"/>
  <c r="D405" i="10"/>
  <c r="D477" i="10" s="1"/>
  <c r="C405" i="10"/>
  <c r="C477" i="10" s="1"/>
  <c r="B405" i="10"/>
  <c r="B477" i="10" s="1"/>
  <c r="R404" i="10"/>
  <c r="R476" i="10" s="1"/>
  <c r="Q404" i="10"/>
  <c r="Q476" i="10" s="1"/>
  <c r="P404" i="10"/>
  <c r="O404" i="10"/>
  <c r="N404" i="10"/>
  <c r="K404" i="10"/>
  <c r="K476" i="10" s="1"/>
  <c r="J404" i="10"/>
  <c r="I404" i="10"/>
  <c r="I476" i="10" s="1"/>
  <c r="H404" i="10"/>
  <c r="G404" i="10"/>
  <c r="F404" i="10"/>
  <c r="E404" i="10"/>
  <c r="D404" i="10"/>
  <c r="C404" i="10"/>
  <c r="C476" i="10" s="1"/>
  <c r="B404" i="10"/>
  <c r="B476" i="10" s="1"/>
  <c r="R403" i="10"/>
  <c r="R475" i="10" s="1"/>
  <c r="Q403" i="10"/>
  <c r="Q475" i="10" s="1"/>
  <c r="P403" i="10"/>
  <c r="P475" i="10" s="1"/>
  <c r="O403" i="10"/>
  <c r="O475" i="10" s="1"/>
  <c r="N403" i="10"/>
  <c r="N475" i="10" s="1"/>
  <c r="K403" i="10"/>
  <c r="K475" i="10" s="1"/>
  <c r="J403" i="10"/>
  <c r="J475" i="10" s="1"/>
  <c r="I403" i="10"/>
  <c r="I475" i="10" s="1"/>
  <c r="H403" i="10"/>
  <c r="H475" i="10" s="1"/>
  <c r="G403" i="10"/>
  <c r="G475" i="10" s="1"/>
  <c r="F403" i="10"/>
  <c r="F475" i="10" s="1"/>
  <c r="E403" i="10"/>
  <c r="E475" i="10" s="1"/>
  <c r="D403" i="10"/>
  <c r="D475" i="10" s="1"/>
  <c r="C403" i="10"/>
  <c r="C475" i="10" s="1"/>
  <c r="B403" i="10"/>
  <c r="B475" i="10" s="1"/>
  <c r="R402" i="10"/>
  <c r="R474" i="10" s="1"/>
  <c r="Q402" i="10"/>
  <c r="Q474" i="10" s="1"/>
  <c r="P402" i="10"/>
  <c r="P474" i="10" s="1"/>
  <c r="O402" i="10"/>
  <c r="O474" i="10" s="1"/>
  <c r="N402" i="10"/>
  <c r="N474" i="10" s="1"/>
  <c r="K402" i="10"/>
  <c r="K474" i="10" s="1"/>
  <c r="J402" i="10"/>
  <c r="J474" i="10" s="1"/>
  <c r="I402" i="10"/>
  <c r="I474" i="10" s="1"/>
  <c r="H402" i="10"/>
  <c r="H474" i="10" s="1"/>
  <c r="G402" i="10"/>
  <c r="G474" i="10" s="1"/>
  <c r="F402" i="10"/>
  <c r="F474" i="10" s="1"/>
  <c r="E402" i="10"/>
  <c r="E474" i="10" s="1"/>
  <c r="D402" i="10"/>
  <c r="D474" i="10" s="1"/>
  <c r="C402" i="10"/>
  <c r="C474" i="10" s="1"/>
  <c r="B402" i="10"/>
  <c r="B474" i="10" s="1"/>
  <c r="R401" i="10"/>
  <c r="R473" i="10" s="1"/>
  <c r="Q401" i="10"/>
  <c r="Q473" i="10" s="1"/>
  <c r="P401" i="10"/>
  <c r="P473" i="10" s="1"/>
  <c r="O401" i="10"/>
  <c r="O473" i="10" s="1"/>
  <c r="N401" i="10"/>
  <c r="N473" i="10" s="1"/>
  <c r="K401" i="10"/>
  <c r="K473" i="10" s="1"/>
  <c r="J401" i="10"/>
  <c r="J473" i="10" s="1"/>
  <c r="I401" i="10"/>
  <c r="I473" i="10" s="1"/>
  <c r="H401" i="10"/>
  <c r="H473" i="10" s="1"/>
  <c r="G401" i="10"/>
  <c r="G473" i="10" s="1"/>
  <c r="F401" i="10"/>
  <c r="F473" i="10" s="1"/>
  <c r="E401" i="10"/>
  <c r="E473" i="10" s="1"/>
  <c r="D401" i="10"/>
  <c r="D473" i="10" s="1"/>
  <c r="C401" i="10"/>
  <c r="C473" i="10" s="1"/>
  <c r="B401" i="10"/>
  <c r="B473" i="10" s="1"/>
  <c r="R400" i="10"/>
  <c r="R472" i="10" s="1"/>
  <c r="Q400" i="10"/>
  <c r="Q472" i="10" s="1"/>
  <c r="P400" i="10"/>
  <c r="P472" i="10" s="1"/>
  <c r="O400" i="10"/>
  <c r="O472" i="10" s="1"/>
  <c r="N400" i="10"/>
  <c r="N472" i="10" s="1"/>
  <c r="K400" i="10"/>
  <c r="K472" i="10" s="1"/>
  <c r="J400" i="10"/>
  <c r="J472" i="10" s="1"/>
  <c r="I400" i="10"/>
  <c r="I472" i="10" s="1"/>
  <c r="H400" i="10"/>
  <c r="H472" i="10" s="1"/>
  <c r="G400" i="10"/>
  <c r="G472" i="10" s="1"/>
  <c r="F400" i="10"/>
  <c r="F472" i="10" s="1"/>
  <c r="E400" i="10"/>
  <c r="E472" i="10" s="1"/>
  <c r="D400" i="10"/>
  <c r="D472" i="10" s="1"/>
  <c r="C400" i="10"/>
  <c r="C472" i="10" s="1"/>
  <c r="B400" i="10"/>
  <c r="B472" i="10" s="1"/>
  <c r="R399" i="10"/>
  <c r="R471" i="10" s="1"/>
  <c r="Q399" i="10"/>
  <c r="P399" i="10"/>
  <c r="O399" i="10"/>
  <c r="N399" i="10"/>
  <c r="K399" i="10"/>
  <c r="K471" i="10" s="1"/>
  <c r="J399" i="10"/>
  <c r="I399" i="10"/>
  <c r="H399" i="10"/>
  <c r="G399" i="10"/>
  <c r="F399" i="10"/>
  <c r="E399" i="10"/>
  <c r="D399" i="10"/>
  <c r="C399" i="10"/>
  <c r="C471" i="10" s="1"/>
  <c r="B399" i="10"/>
  <c r="B471" i="10" s="1"/>
  <c r="R398" i="10"/>
  <c r="R470" i="10" s="1"/>
  <c r="Q398" i="10"/>
  <c r="Q470" i="10" s="1"/>
  <c r="P398" i="10"/>
  <c r="P470" i="10" s="1"/>
  <c r="O398" i="10"/>
  <c r="O470" i="10" s="1"/>
  <c r="N398" i="10"/>
  <c r="N470" i="10" s="1"/>
  <c r="K398" i="10"/>
  <c r="K470" i="10" s="1"/>
  <c r="J398" i="10"/>
  <c r="J470" i="10" s="1"/>
  <c r="I398" i="10"/>
  <c r="I470" i="10" s="1"/>
  <c r="H398" i="10"/>
  <c r="H470" i="10" s="1"/>
  <c r="G398" i="10"/>
  <c r="G470" i="10" s="1"/>
  <c r="F398" i="10"/>
  <c r="F470" i="10" s="1"/>
  <c r="E398" i="10"/>
  <c r="E470" i="10" s="1"/>
  <c r="D398" i="10"/>
  <c r="D470" i="10" s="1"/>
  <c r="C398" i="10"/>
  <c r="C470" i="10" s="1"/>
  <c r="B398" i="10"/>
  <c r="B470" i="10" s="1"/>
  <c r="S397" i="10"/>
  <c r="R397" i="10"/>
  <c r="R469" i="10" s="1"/>
  <c r="Q397" i="10"/>
  <c r="Q469" i="10" s="1"/>
  <c r="P397" i="10"/>
  <c r="P469" i="10" s="1"/>
  <c r="O397" i="10"/>
  <c r="O469" i="10" s="1"/>
  <c r="N397" i="10"/>
  <c r="N469" i="10" s="1"/>
  <c r="K397" i="10"/>
  <c r="K469" i="10" s="1"/>
  <c r="J397" i="10"/>
  <c r="J469" i="10" s="1"/>
  <c r="I397" i="10"/>
  <c r="I469" i="10" s="1"/>
  <c r="H397" i="10"/>
  <c r="H469" i="10" s="1"/>
  <c r="G397" i="10"/>
  <c r="G469" i="10" s="1"/>
  <c r="F397" i="10"/>
  <c r="F469" i="10" s="1"/>
  <c r="E397" i="10"/>
  <c r="E469" i="10" s="1"/>
  <c r="D397" i="10"/>
  <c r="D469" i="10" s="1"/>
  <c r="C397" i="10"/>
  <c r="C469" i="10" s="1"/>
  <c r="B397" i="10"/>
  <c r="B469" i="10" s="1"/>
  <c r="R396" i="10"/>
  <c r="R468" i="10" s="1"/>
  <c r="Q396" i="10"/>
  <c r="Q468" i="10" s="1"/>
  <c r="P396" i="10"/>
  <c r="P468" i="10" s="1"/>
  <c r="O396" i="10"/>
  <c r="O468" i="10" s="1"/>
  <c r="N396" i="10"/>
  <c r="N468" i="10" s="1"/>
  <c r="K396" i="10"/>
  <c r="K468" i="10" s="1"/>
  <c r="J396" i="10"/>
  <c r="J468" i="10" s="1"/>
  <c r="I396" i="10"/>
  <c r="I468" i="10" s="1"/>
  <c r="H396" i="10"/>
  <c r="H468" i="10" s="1"/>
  <c r="G396" i="10"/>
  <c r="G468" i="10" s="1"/>
  <c r="F396" i="10"/>
  <c r="F468" i="10" s="1"/>
  <c r="E396" i="10"/>
  <c r="E468" i="10" s="1"/>
  <c r="D396" i="10"/>
  <c r="D468" i="10" s="1"/>
  <c r="C396" i="10"/>
  <c r="C468" i="10" s="1"/>
  <c r="B396" i="10"/>
  <c r="B468" i="10" s="1"/>
  <c r="R395" i="10"/>
  <c r="R467" i="10" s="1"/>
  <c r="Q395" i="10"/>
  <c r="Q467" i="10" s="1"/>
  <c r="P395" i="10"/>
  <c r="P467" i="10" s="1"/>
  <c r="O395" i="10"/>
  <c r="O467" i="10" s="1"/>
  <c r="N395" i="10"/>
  <c r="N467" i="10" s="1"/>
  <c r="K395" i="10"/>
  <c r="K467" i="10" s="1"/>
  <c r="J395" i="10"/>
  <c r="J467" i="10" s="1"/>
  <c r="I395" i="10"/>
  <c r="I467" i="10" s="1"/>
  <c r="H395" i="10"/>
  <c r="H467" i="10" s="1"/>
  <c r="G395" i="10"/>
  <c r="G467" i="10" s="1"/>
  <c r="F395" i="10"/>
  <c r="F467" i="10" s="1"/>
  <c r="E395" i="10"/>
  <c r="E467" i="10" s="1"/>
  <c r="D395" i="10"/>
  <c r="D467" i="10" s="1"/>
  <c r="C395" i="10"/>
  <c r="C467" i="10" s="1"/>
  <c r="B395" i="10"/>
  <c r="B467" i="10" s="1"/>
  <c r="R394" i="10"/>
  <c r="R466" i="10" s="1"/>
  <c r="Q394" i="10"/>
  <c r="P394" i="10"/>
  <c r="O394" i="10"/>
  <c r="N394" i="10"/>
  <c r="N466" i="10" s="1"/>
  <c r="K394" i="10"/>
  <c r="K466" i="10" s="1"/>
  <c r="J394" i="10"/>
  <c r="I394" i="10"/>
  <c r="H394" i="10"/>
  <c r="G394" i="10"/>
  <c r="F394" i="10"/>
  <c r="E394" i="10"/>
  <c r="E466" i="10" s="1"/>
  <c r="D394" i="10"/>
  <c r="C394" i="10"/>
  <c r="C466" i="10" s="1"/>
  <c r="B394" i="10"/>
  <c r="B466" i="10" s="1"/>
  <c r="R393" i="10"/>
  <c r="R465" i="10" s="1"/>
  <c r="Q393" i="10"/>
  <c r="Q465" i="10" s="1"/>
  <c r="P393" i="10"/>
  <c r="P465" i="10" s="1"/>
  <c r="O393" i="10"/>
  <c r="O465" i="10" s="1"/>
  <c r="N393" i="10"/>
  <c r="N465" i="10" s="1"/>
  <c r="K393" i="10"/>
  <c r="K465" i="10" s="1"/>
  <c r="J393" i="10"/>
  <c r="J465" i="10" s="1"/>
  <c r="I393" i="10"/>
  <c r="I465" i="10" s="1"/>
  <c r="H393" i="10"/>
  <c r="H465" i="10" s="1"/>
  <c r="G393" i="10"/>
  <c r="G465" i="10" s="1"/>
  <c r="F393" i="10"/>
  <c r="F465" i="10" s="1"/>
  <c r="E393" i="10"/>
  <c r="E465" i="10" s="1"/>
  <c r="D393" i="10"/>
  <c r="D465" i="10" s="1"/>
  <c r="C393" i="10"/>
  <c r="C465" i="10" s="1"/>
  <c r="B393" i="10"/>
  <c r="B465" i="10" s="1"/>
  <c r="R392" i="10"/>
  <c r="R464" i="10" s="1"/>
  <c r="Q392" i="10"/>
  <c r="Q464" i="10" s="1"/>
  <c r="P392" i="10"/>
  <c r="P464" i="10" s="1"/>
  <c r="O392" i="10"/>
  <c r="O464" i="10" s="1"/>
  <c r="N392" i="10"/>
  <c r="N464" i="10" s="1"/>
  <c r="K392" i="10"/>
  <c r="K464" i="10" s="1"/>
  <c r="J392" i="10"/>
  <c r="J464" i="10" s="1"/>
  <c r="I392" i="10"/>
  <c r="I464" i="10" s="1"/>
  <c r="H392" i="10"/>
  <c r="H464" i="10" s="1"/>
  <c r="G392" i="10"/>
  <c r="G464" i="10" s="1"/>
  <c r="F392" i="10"/>
  <c r="F464" i="10" s="1"/>
  <c r="E392" i="10"/>
  <c r="E464" i="10" s="1"/>
  <c r="D392" i="10"/>
  <c r="D464" i="10" s="1"/>
  <c r="C392" i="10"/>
  <c r="C464" i="10" s="1"/>
  <c r="B392" i="10"/>
  <c r="B464" i="10" s="1"/>
  <c r="R391" i="10"/>
  <c r="R463" i="10" s="1"/>
  <c r="Q391" i="10"/>
  <c r="Q463" i="10" s="1"/>
  <c r="P391" i="10"/>
  <c r="P463" i="10" s="1"/>
  <c r="O391" i="10"/>
  <c r="O463" i="10" s="1"/>
  <c r="N391" i="10"/>
  <c r="N463" i="10" s="1"/>
  <c r="K391" i="10"/>
  <c r="K463" i="10" s="1"/>
  <c r="J391" i="10"/>
  <c r="J463" i="10" s="1"/>
  <c r="I391" i="10"/>
  <c r="I463" i="10" s="1"/>
  <c r="H391" i="10"/>
  <c r="H463" i="10" s="1"/>
  <c r="G391" i="10"/>
  <c r="G463" i="10" s="1"/>
  <c r="F391" i="10"/>
  <c r="F463" i="10" s="1"/>
  <c r="E391" i="10"/>
  <c r="E463" i="10" s="1"/>
  <c r="D391" i="10"/>
  <c r="D463" i="10" s="1"/>
  <c r="C391" i="10"/>
  <c r="C463" i="10" s="1"/>
  <c r="B391" i="10"/>
  <c r="B463" i="10" s="1"/>
  <c r="R390" i="10"/>
  <c r="R462" i="10" s="1"/>
  <c r="Q390" i="10"/>
  <c r="Q462" i="10" s="1"/>
  <c r="P390" i="10"/>
  <c r="P462" i="10" s="1"/>
  <c r="O390" i="10"/>
  <c r="O462" i="10" s="1"/>
  <c r="N390" i="10"/>
  <c r="N462" i="10" s="1"/>
  <c r="K390" i="10"/>
  <c r="K462" i="10" s="1"/>
  <c r="J390" i="10"/>
  <c r="J462" i="10" s="1"/>
  <c r="I390" i="10"/>
  <c r="I462" i="10" s="1"/>
  <c r="H390" i="10"/>
  <c r="H462" i="10" s="1"/>
  <c r="G390" i="10"/>
  <c r="G462" i="10" s="1"/>
  <c r="F390" i="10"/>
  <c r="F462" i="10" s="1"/>
  <c r="E390" i="10"/>
  <c r="E462" i="10" s="1"/>
  <c r="D390" i="10"/>
  <c r="D462" i="10" s="1"/>
  <c r="C390" i="10"/>
  <c r="C462" i="10" s="1"/>
  <c r="B390" i="10"/>
  <c r="B462" i="10" s="1"/>
  <c r="R389" i="10"/>
  <c r="R461" i="10" s="1"/>
  <c r="Q389" i="10"/>
  <c r="Q461" i="10" s="1"/>
  <c r="P389" i="10"/>
  <c r="P461" i="10" s="1"/>
  <c r="O389" i="10"/>
  <c r="O461" i="10" s="1"/>
  <c r="N389" i="10"/>
  <c r="N461" i="10" s="1"/>
  <c r="K389" i="10"/>
  <c r="K461" i="10" s="1"/>
  <c r="J389" i="10"/>
  <c r="J461" i="10" s="1"/>
  <c r="I389" i="10"/>
  <c r="I461" i="10" s="1"/>
  <c r="H389" i="10"/>
  <c r="H461" i="10" s="1"/>
  <c r="G389" i="10"/>
  <c r="G461" i="10" s="1"/>
  <c r="F389" i="10"/>
  <c r="F461" i="10" s="1"/>
  <c r="E389" i="10"/>
  <c r="E461" i="10" s="1"/>
  <c r="D389" i="10"/>
  <c r="D461" i="10" s="1"/>
  <c r="C389" i="10"/>
  <c r="C461" i="10" s="1"/>
  <c r="B389" i="10"/>
  <c r="B461" i="10" s="1"/>
  <c r="R388" i="10"/>
  <c r="R460" i="10" s="1"/>
  <c r="Q388" i="10"/>
  <c r="Q460" i="10" s="1"/>
  <c r="P388" i="10"/>
  <c r="P460" i="10" s="1"/>
  <c r="O388" i="10"/>
  <c r="O460" i="10" s="1"/>
  <c r="N388" i="10"/>
  <c r="N460" i="10" s="1"/>
  <c r="K388" i="10"/>
  <c r="K460" i="10" s="1"/>
  <c r="J388" i="10"/>
  <c r="J460" i="10" s="1"/>
  <c r="I388" i="10"/>
  <c r="I460" i="10" s="1"/>
  <c r="H388" i="10"/>
  <c r="H460" i="10" s="1"/>
  <c r="G388" i="10"/>
  <c r="G460" i="10" s="1"/>
  <c r="F388" i="10"/>
  <c r="F460" i="10" s="1"/>
  <c r="E388" i="10"/>
  <c r="E460" i="10" s="1"/>
  <c r="D388" i="10"/>
  <c r="D460" i="10" s="1"/>
  <c r="C388" i="10"/>
  <c r="C460" i="10" s="1"/>
  <c r="B388" i="10"/>
  <c r="B460" i="10" s="1"/>
  <c r="R387" i="10"/>
  <c r="R459" i="10" s="1"/>
  <c r="Q387" i="10"/>
  <c r="Q459" i="10" s="1"/>
  <c r="P387" i="10"/>
  <c r="P459" i="10" s="1"/>
  <c r="O387" i="10"/>
  <c r="O459" i="10" s="1"/>
  <c r="N387" i="10"/>
  <c r="N459" i="10" s="1"/>
  <c r="K387" i="10"/>
  <c r="K459" i="10" s="1"/>
  <c r="J387" i="10"/>
  <c r="J459" i="10" s="1"/>
  <c r="I387" i="10"/>
  <c r="I459" i="10" s="1"/>
  <c r="H387" i="10"/>
  <c r="H459" i="10" s="1"/>
  <c r="G387" i="10"/>
  <c r="G459" i="10" s="1"/>
  <c r="F387" i="10"/>
  <c r="F459" i="10" s="1"/>
  <c r="E387" i="10"/>
  <c r="E459" i="10" s="1"/>
  <c r="D387" i="10"/>
  <c r="D459" i="10" s="1"/>
  <c r="C387" i="10"/>
  <c r="C459" i="10" s="1"/>
  <c r="B387" i="10"/>
  <c r="B459" i="10" s="1"/>
  <c r="R386" i="10"/>
  <c r="R458" i="10" s="1"/>
  <c r="Q386" i="10"/>
  <c r="Q458" i="10" s="1"/>
  <c r="P386" i="10"/>
  <c r="P458" i="10" s="1"/>
  <c r="O386" i="10"/>
  <c r="O458" i="10" s="1"/>
  <c r="N386" i="10"/>
  <c r="N458" i="10" s="1"/>
  <c r="K386" i="10"/>
  <c r="K458" i="10" s="1"/>
  <c r="J386" i="10"/>
  <c r="J458" i="10" s="1"/>
  <c r="I386" i="10"/>
  <c r="I458" i="10" s="1"/>
  <c r="H386" i="10"/>
  <c r="H458" i="10" s="1"/>
  <c r="G386" i="10"/>
  <c r="G458" i="10" s="1"/>
  <c r="F386" i="10"/>
  <c r="F458" i="10" s="1"/>
  <c r="E386" i="10"/>
  <c r="E458" i="10" s="1"/>
  <c r="D386" i="10"/>
  <c r="D458" i="10" s="1"/>
  <c r="C386" i="10"/>
  <c r="C458" i="10" s="1"/>
  <c r="B386" i="10"/>
  <c r="B458" i="10" s="1"/>
  <c r="R385" i="10"/>
  <c r="R457" i="10" s="1"/>
  <c r="Q385" i="10"/>
  <c r="Q457" i="10" s="1"/>
  <c r="P385" i="10"/>
  <c r="P457" i="10" s="1"/>
  <c r="O385" i="10"/>
  <c r="O457" i="10" s="1"/>
  <c r="N385" i="10"/>
  <c r="N457" i="10" s="1"/>
  <c r="K385" i="10"/>
  <c r="K457" i="10" s="1"/>
  <c r="J385" i="10"/>
  <c r="J457" i="10" s="1"/>
  <c r="I385" i="10"/>
  <c r="I457" i="10" s="1"/>
  <c r="H385" i="10"/>
  <c r="H457" i="10" s="1"/>
  <c r="G385" i="10"/>
  <c r="G457" i="10" s="1"/>
  <c r="F385" i="10"/>
  <c r="F457" i="10" s="1"/>
  <c r="E385" i="10"/>
  <c r="E457" i="10" s="1"/>
  <c r="D385" i="10"/>
  <c r="D457" i="10" s="1"/>
  <c r="C385" i="10"/>
  <c r="C457" i="10" s="1"/>
  <c r="B385" i="10"/>
  <c r="B457" i="10" s="1"/>
  <c r="R384" i="10"/>
  <c r="R456" i="10" s="1"/>
  <c r="Q384" i="10"/>
  <c r="Q456" i="10" s="1"/>
  <c r="P384" i="10"/>
  <c r="P456" i="10" s="1"/>
  <c r="O384" i="10"/>
  <c r="O456" i="10" s="1"/>
  <c r="N384" i="10"/>
  <c r="N456" i="10" s="1"/>
  <c r="K384" i="10"/>
  <c r="K456" i="10" s="1"/>
  <c r="J384" i="10"/>
  <c r="J456" i="10" s="1"/>
  <c r="I384" i="10"/>
  <c r="I456" i="10" s="1"/>
  <c r="H384" i="10"/>
  <c r="H456" i="10" s="1"/>
  <c r="G384" i="10"/>
  <c r="G456" i="10" s="1"/>
  <c r="F384" i="10"/>
  <c r="F456" i="10" s="1"/>
  <c r="E384" i="10"/>
  <c r="E456" i="10" s="1"/>
  <c r="D384" i="10"/>
  <c r="D456" i="10" s="1"/>
  <c r="C384" i="10"/>
  <c r="C456" i="10" s="1"/>
  <c r="B384" i="10"/>
  <c r="B456" i="10" s="1"/>
  <c r="R383" i="10"/>
  <c r="R455" i="10" s="1"/>
  <c r="Q383" i="10"/>
  <c r="Q455" i="10" s="1"/>
  <c r="P383" i="10"/>
  <c r="P455" i="10" s="1"/>
  <c r="O383" i="10"/>
  <c r="O455" i="10" s="1"/>
  <c r="N383" i="10"/>
  <c r="N455" i="10" s="1"/>
  <c r="K383" i="10"/>
  <c r="K455" i="10" s="1"/>
  <c r="J383" i="10"/>
  <c r="J455" i="10" s="1"/>
  <c r="I383" i="10"/>
  <c r="I455" i="10" s="1"/>
  <c r="H383" i="10"/>
  <c r="H455" i="10" s="1"/>
  <c r="G383" i="10"/>
  <c r="G455" i="10" s="1"/>
  <c r="F383" i="10"/>
  <c r="F455" i="10" s="1"/>
  <c r="E383" i="10"/>
  <c r="E455" i="10" s="1"/>
  <c r="D383" i="10"/>
  <c r="D455" i="10" s="1"/>
  <c r="C383" i="10"/>
  <c r="C455" i="10" s="1"/>
  <c r="B383" i="10"/>
  <c r="B455" i="10" s="1"/>
  <c r="R382" i="10"/>
  <c r="R454" i="10" s="1"/>
  <c r="Q382" i="10"/>
  <c r="Q454" i="10" s="1"/>
  <c r="P382" i="10"/>
  <c r="P454" i="10" s="1"/>
  <c r="O382" i="10"/>
  <c r="O454" i="10" s="1"/>
  <c r="N382" i="10"/>
  <c r="N454" i="10" s="1"/>
  <c r="K382" i="10"/>
  <c r="K454" i="10" s="1"/>
  <c r="J382" i="10"/>
  <c r="J454" i="10" s="1"/>
  <c r="I382" i="10"/>
  <c r="I454" i="10" s="1"/>
  <c r="H382" i="10"/>
  <c r="H454" i="10" s="1"/>
  <c r="G382" i="10"/>
  <c r="G454" i="10" s="1"/>
  <c r="F382" i="10"/>
  <c r="F454" i="10" s="1"/>
  <c r="E382" i="10"/>
  <c r="E454" i="10" s="1"/>
  <c r="D382" i="10"/>
  <c r="D454" i="10" s="1"/>
  <c r="C382" i="10"/>
  <c r="C454" i="10" s="1"/>
  <c r="B382" i="10"/>
  <c r="B454" i="10" s="1"/>
  <c r="R381" i="10"/>
  <c r="R453" i="10" s="1"/>
  <c r="Q381" i="10"/>
  <c r="Q453" i="10" s="1"/>
  <c r="P381" i="10"/>
  <c r="P453" i="10" s="1"/>
  <c r="O381" i="10"/>
  <c r="O453" i="10" s="1"/>
  <c r="N381" i="10"/>
  <c r="N453" i="10" s="1"/>
  <c r="K381" i="10"/>
  <c r="K453" i="10" s="1"/>
  <c r="J381" i="10"/>
  <c r="J453" i="10" s="1"/>
  <c r="I381" i="10"/>
  <c r="I453" i="10" s="1"/>
  <c r="H381" i="10"/>
  <c r="H453" i="10" s="1"/>
  <c r="G381" i="10"/>
  <c r="G453" i="10" s="1"/>
  <c r="F381" i="10"/>
  <c r="F453" i="10" s="1"/>
  <c r="E381" i="10"/>
  <c r="E453" i="10" s="1"/>
  <c r="D381" i="10"/>
  <c r="D453" i="10" s="1"/>
  <c r="C381" i="10"/>
  <c r="C453" i="10" s="1"/>
  <c r="B381" i="10"/>
  <c r="B453" i="10" s="1"/>
  <c r="R380" i="10"/>
  <c r="R452" i="10" s="1"/>
  <c r="Q380" i="10"/>
  <c r="Q452" i="10" s="1"/>
  <c r="P380" i="10"/>
  <c r="P452" i="10" s="1"/>
  <c r="O380" i="10"/>
  <c r="O452" i="10" s="1"/>
  <c r="N380" i="10"/>
  <c r="N452" i="10" s="1"/>
  <c r="K380" i="10"/>
  <c r="K452" i="10" s="1"/>
  <c r="J380" i="10"/>
  <c r="J452" i="10" s="1"/>
  <c r="I380" i="10"/>
  <c r="I452" i="10" s="1"/>
  <c r="H380" i="10"/>
  <c r="H452" i="10" s="1"/>
  <c r="G380" i="10"/>
  <c r="G452" i="10" s="1"/>
  <c r="F380" i="10"/>
  <c r="F452" i="10" s="1"/>
  <c r="E380" i="10"/>
  <c r="E452" i="10" s="1"/>
  <c r="D380" i="10"/>
  <c r="D452" i="10" s="1"/>
  <c r="C380" i="10"/>
  <c r="C452" i="10" s="1"/>
  <c r="B380" i="10"/>
  <c r="B452" i="10" s="1"/>
  <c r="R379" i="10"/>
  <c r="R451" i="10" s="1"/>
  <c r="Q379" i="10"/>
  <c r="Q451" i="10" s="1"/>
  <c r="P379" i="10"/>
  <c r="P451" i="10" s="1"/>
  <c r="O379" i="10"/>
  <c r="O451" i="10" s="1"/>
  <c r="N379" i="10"/>
  <c r="N451" i="10" s="1"/>
  <c r="K379" i="10"/>
  <c r="K451" i="10" s="1"/>
  <c r="J379" i="10"/>
  <c r="J451" i="10" s="1"/>
  <c r="I379" i="10"/>
  <c r="I451" i="10" s="1"/>
  <c r="H379" i="10"/>
  <c r="H451" i="10" s="1"/>
  <c r="G379" i="10"/>
  <c r="G451" i="10" s="1"/>
  <c r="F379" i="10"/>
  <c r="F451" i="10" s="1"/>
  <c r="E379" i="10"/>
  <c r="E451" i="10" s="1"/>
  <c r="D379" i="10"/>
  <c r="D451" i="10" s="1"/>
  <c r="C379" i="10"/>
  <c r="C451" i="10" s="1"/>
  <c r="B379" i="10"/>
  <c r="B451" i="10" s="1"/>
  <c r="R378" i="10"/>
  <c r="R450" i="10" s="1"/>
  <c r="Q378" i="10"/>
  <c r="Q450" i="10" s="1"/>
  <c r="P378" i="10"/>
  <c r="P450" i="10" s="1"/>
  <c r="O378" i="10"/>
  <c r="O450" i="10" s="1"/>
  <c r="N378" i="10"/>
  <c r="N450" i="10" s="1"/>
  <c r="K378" i="10"/>
  <c r="K450" i="10" s="1"/>
  <c r="J378" i="10"/>
  <c r="J450" i="10" s="1"/>
  <c r="I378" i="10"/>
  <c r="I450" i="10" s="1"/>
  <c r="H378" i="10"/>
  <c r="H450" i="10" s="1"/>
  <c r="G378" i="10"/>
  <c r="G450" i="10" s="1"/>
  <c r="F378" i="10"/>
  <c r="F450" i="10" s="1"/>
  <c r="E378" i="10"/>
  <c r="E450" i="10" s="1"/>
  <c r="D378" i="10"/>
  <c r="D450" i="10" s="1"/>
  <c r="C378" i="10"/>
  <c r="C450" i="10" s="1"/>
  <c r="B378" i="10"/>
  <c r="B450" i="10" s="1"/>
  <c r="R377" i="10"/>
  <c r="R449" i="10" s="1"/>
  <c r="Q377" i="10"/>
  <c r="Q449" i="10" s="1"/>
  <c r="P377" i="10"/>
  <c r="P449" i="10" s="1"/>
  <c r="O377" i="10"/>
  <c r="O449" i="10" s="1"/>
  <c r="N377" i="10"/>
  <c r="N449" i="10" s="1"/>
  <c r="K377" i="10"/>
  <c r="K449" i="10" s="1"/>
  <c r="J377" i="10"/>
  <c r="J449" i="10" s="1"/>
  <c r="I377" i="10"/>
  <c r="I449" i="10" s="1"/>
  <c r="H377" i="10"/>
  <c r="H449" i="10" s="1"/>
  <c r="G377" i="10"/>
  <c r="G449" i="10" s="1"/>
  <c r="F377" i="10"/>
  <c r="F449" i="10" s="1"/>
  <c r="E377" i="10"/>
  <c r="E449" i="10" s="1"/>
  <c r="D377" i="10"/>
  <c r="D449" i="10" s="1"/>
  <c r="C377" i="10"/>
  <c r="C449" i="10" s="1"/>
  <c r="B377" i="10"/>
  <c r="B449" i="10" s="1"/>
  <c r="R376" i="10"/>
  <c r="R448" i="10" s="1"/>
  <c r="Q376" i="10"/>
  <c r="Q448" i="10" s="1"/>
  <c r="P376" i="10"/>
  <c r="P448" i="10" s="1"/>
  <c r="O376" i="10"/>
  <c r="O448" i="10" s="1"/>
  <c r="N376" i="10"/>
  <c r="N448" i="10" s="1"/>
  <c r="K376" i="10"/>
  <c r="K448" i="10" s="1"/>
  <c r="J376" i="10"/>
  <c r="J448" i="10" s="1"/>
  <c r="I376" i="10"/>
  <c r="I448" i="10" s="1"/>
  <c r="H376" i="10"/>
  <c r="H448" i="10" s="1"/>
  <c r="G376" i="10"/>
  <c r="G448" i="10" s="1"/>
  <c r="F376" i="10"/>
  <c r="F448" i="10" s="1"/>
  <c r="E376" i="10"/>
  <c r="E448" i="10" s="1"/>
  <c r="D376" i="10"/>
  <c r="D448" i="10" s="1"/>
  <c r="C376" i="10"/>
  <c r="C448" i="10" s="1"/>
  <c r="B376" i="10"/>
  <c r="B448" i="10" s="1"/>
  <c r="R375" i="10"/>
  <c r="R447" i="10" s="1"/>
  <c r="Q375" i="10"/>
  <c r="Q447" i="10" s="1"/>
  <c r="P375" i="10"/>
  <c r="P447" i="10" s="1"/>
  <c r="O375" i="10"/>
  <c r="O447" i="10" s="1"/>
  <c r="N375" i="10"/>
  <c r="N447" i="10" s="1"/>
  <c r="K375" i="10"/>
  <c r="K447" i="10" s="1"/>
  <c r="J375" i="10"/>
  <c r="J447" i="10" s="1"/>
  <c r="I375" i="10"/>
  <c r="I447" i="10" s="1"/>
  <c r="H375" i="10"/>
  <c r="H447" i="10" s="1"/>
  <c r="G375" i="10"/>
  <c r="G447" i="10" s="1"/>
  <c r="F375" i="10"/>
  <c r="F447" i="10" s="1"/>
  <c r="E375" i="10"/>
  <c r="E447" i="10" s="1"/>
  <c r="D375" i="10"/>
  <c r="D447" i="10" s="1"/>
  <c r="C375" i="10"/>
  <c r="C447" i="10" s="1"/>
  <c r="B375" i="10"/>
  <c r="B447" i="10" s="1"/>
  <c r="R374" i="10"/>
  <c r="R446" i="10" s="1"/>
  <c r="Q374" i="10"/>
  <c r="Q446" i="10" s="1"/>
  <c r="P374" i="10"/>
  <c r="P446" i="10" s="1"/>
  <c r="O374" i="10"/>
  <c r="O446" i="10" s="1"/>
  <c r="N374" i="10"/>
  <c r="N446" i="10" s="1"/>
  <c r="K374" i="10"/>
  <c r="K446" i="10" s="1"/>
  <c r="J374" i="10"/>
  <c r="J446" i="10" s="1"/>
  <c r="I374" i="10"/>
  <c r="I446" i="10" s="1"/>
  <c r="H374" i="10"/>
  <c r="H446" i="10" s="1"/>
  <c r="G374" i="10"/>
  <c r="G446" i="10" s="1"/>
  <c r="F374" i="10"/>
  <c r="F446" i="10" s="1"/>
  <c r="E374" i="10"/>
  <c r="E446" i="10" s="1"/>
  <c r="D374" i="10"/>
  <c r="D446" i="10" s="1"/>
  <c r="C374" i="10"/>
  <c r="C446" i="10" s="1"/>
  <c r="B374" i="10"/>
  <c r="B446" i="10" s="1"/>
  <c r="R373" i="10"/>
  <c r="R445" i="10" s="1"/>
  <c r="Q373" i="10"/>
  <c r="Q445" i="10" s="1"/>
  <c r="P373" i="10"/>
  <c r="P445" i="10" s="1"/>
  <c r="O373" i="10"/>
  <c r="O445" i="10" s="1"/>
  <c r="N373" i="10"/>
  <c r="N445" i="10" s="1"/>
  <c r="K373" i="10"/>
  <c r="K445" i="10" s="1"/>
  <c r="J373" i="10"/>
  <c r="J445" i="10" s="1"/>
  <c r="I373" i="10"/>
  <c r="I445" i="10" s="1"/>
  <c r="H373" i="10"/>
  <c r="H445" i="10" s="1"/>
  <c r="G373" i="10"/>
  <c r="G445" i="10" s="1"/>
  <c r="F373" i="10"/>
  <c r="F445" i="10" s="1"/>
  <c r="E373" i="10"/>
  <c r="E445" i="10" s="1"/>
  <c r="D373" i="10"/>
  <c r="D445" i="10" s="1"/>
  <c r="C373" i="10"/>
  <c r="C445" i="10" s="1"/>
  <c r="B373" i="10"/>
  <c r="B445" i="10" s="1"/>
  <c r="R372" i="10"/>
  <c r="R444" i="10" s="1"/>
  <c r="Q372" i="10"/>
  <c r="Q444" i="10" s="1"/>
  <c r="P372" i="10"/>
  <c r="P444" i="10" s="1"/>
  <c r="O372" i="10"/>
  <c r="O444" i="10" s="1"/>
  <c r="N372" i="10"/>
  <c r="N444" i="10" s="1"/>
  <c r="K372" i="10"/>
  <c r="K444" i="10" s="1"/>
  <c r="J372" i="10"/>
  <c r="J444" i="10" s="1"/>
  <c r="I372" i="10"/>
  <c r="I444" i="10" s="1"/>
  <c r="H372" i="10"/>
  <c r="H444" i="10" s="1"/>
  <c r="G372" i="10"/>
  <c r="G444" i="10" s="1"/>
  <c r="F372" i="10"/>
  <c r="F444" i="10" s="1"/>
  <c r="E372" i="10"/>
  <c r="E444" i="10" s="1"/>
  <c r="D372" i="10"/>
  <c r="D444" i="10" s="1"/>
  <c r="C372" i="10"/>
  <c r="C444" i="10" s="1"/>
  <c r="B372" i="10"/>
  <c r="B444" i="10" s="1"/>
  <c r="R371" i="10"/>
  <c r="R443" i="10" s="1"/>
  <c r="Q371" i="10"/>
  <c r="Q443" i="10" s="1"/>
  <c r="P371" i="10"/>
  <c r="P443" i="10" s="1"/>
  <c r="O371" i="10"/>
  <c r="O443" i="10" s="1"/>
  <c r="N371" i="10"/>
  <c r="N443" i="10" s="1"/>
  <c r="K371" i="10"/>
  <c r="K443" i="10" s="1"/>
  <c r="J371" i="10"/>
  <c r="J443" i="10" s="1"/>
  <c r="I371" i="10"/>
  <c r="I443" i="10" s="1"/>
  <c r="H371" i="10"/>
  <c r="H443" i="10" s="1"/>
  <c r="G371" i="10"/>
  <c r="G443" i="10" s="1"/>
  <c r="F371" i="10"/>
  <c r="F443" i="10" s="1"/>
  <c r="E371" i="10"/>
  <c r="E443" i="10" s="1"/>
  <c r="D371" i="10"/>
  <c r="D443" i="10" s="1"/>
  <c r="C371" i="10"/>
  <c r="C443" i="10" s="1"/>
  <c r="B371" i="10"/>
  <c r="B443" i="10" s="1"/>
  <c r="R370" i="10"/>
  <c r="R442" i="10" s="1"/>
  <c r="Q370" i="10"/>
  <c r="Q442" i="10" s="1"/>
  <c r="P370" i="10"/>
  <c r="P442" i="10" s="1"/>
  <c r="O370" i="10"/>
  <c r="O442" i="10" s="1"/>
  <c r="N370" i="10"/>
  <c r="N442" i="10" s="1"/>
  <c r="K370" i="10"/>
  <c r="K442" i="10" s="1"/>
  <c r="J370" i="10"/>
  <c r="J442" i="10" s="1"/>
  <c r="I370" i="10"/>
  <c r="I442" i="10" s="1"/>
  <c r="H370" i="10"/>
  <c r="H442" i="10" s="1"/>
  <c r="G370" i="10"/>
  <c r="G442" i="10" s="1"/>
  <c r="F370" i="10"/>
  <c r="F442" i="10" s="1"/>
  <c r="E370" i="10"/>
  <c r="E442" i="10" s="1"/>
  <c r="D370" i="10"/>
  <c r="D442" i="10" s="1"/>
  <c r="C370" i="10"/>
  <c r="C442" i="10" s="1"/>
  <c r="B370" i="10"/>
  <c r="B442" i="10" s="1"/>
  <c r="R369" i="10"/>
  <c r="R441" i="10" s="1"/>
  <c r="Q369" i="10"/>
  <c r="Q441" i="10" s="1"/>
  <c r="P369" i="10"/>
  <c r="P441" i="10" s="1"/>
  <c r="O369" i="10"/>
  <c r="O441" i="10" s="1"/>
  <c r="N369" i="10"/>
  <c r="N441" i="10" s="1"/>
  <c r="K369" i="10"/>
  <c r="K441" i="10" s="1"/>
  <c r="J369" i="10"/>
  <c r="J441" i="10" s="1"/>
  <c r="I369" i="10"/>
  <c r="I441" i="10" s="1"/>
  <c r="H369" i="10"/>
  <c r="H441" i="10" s="1"/>
  <c r="G369" i="10"/>
  <c r="G441" i="10" s="1"/>
  <c r="F369" i="10"/>
  <c r="F441" i="10" s="1"/>
  <c r="E369" i="10"/>
  <c r="E441" i="10" s="1"/>
  <c r="D369" i="10"/>
  <c r="D441" i="10" s="1"/>
  <c r="C369" i="10"/>
  <c r="C441" i="10" s="1"/>
  <c r="B369" i="10"/>
  <c r="B441" i="10" s="1"/>
  <c r="R368" i="10"/>
  <c r="R440" i="10" s="1"/>
  <c r="Q368" i="10"/>
  <c r="Q440" i="10" s="1"/>
  <c r="P368" i="10"/>
  <c r="P440" i="10" s="1"/>
  <c r="O368" i="10"/>
  <c r="O440" i="10" s="1"/>
  <c r="N368" i="10"/>
  <c r="N440" i="10" s="1"/>
  <c r="K368" i="10"/>
  <c r="K440" i="10" s="1"/>
  <c r="J368" i="10"/>
  <c r="J440" i="10" s="1"/>
  <c r="I368" i="10"/>
  <c r="I440" i="10" s="1"/>
  <c r="H368" i="10"/>
  <c r="H440" i="10" s="1"/>
  <c r="G368" i="10"/>
  <c r="G440" i="10" s="1"/>
  <c r="F368" i="10"/>
  <c r="F440" i="10" s="1"/>
  <c r="E368" i="10"/>
  <c r="E440" i="10" s="1"/>
  <c r="D368" i="10"/>
  <c r="D440" i="10" s="1"/>
  <c r="C368" i="10"/>
  <c r="C440" i="10" s="1"/>
  <c r="B368" i="10"/>
  <c r="B440" i="10" s="1"/>
  <c r="R367" i="10"/>
  <c r="R439" i="10" s="1"/>
  <c r="Q367" i="10"/>
  <c r="Q439" i="10" s="1"/>
  <c r="P367" i="10"/>
  <c r="P439" i="10" s="1"/>
  <c r="O367" i="10"/>
  <c r="O439" i="10" s="1"/>
  <c r="N367" i="10"/>
  <c r="N439" i="10" s="1"/>
  <c r="K367" i="10"/>
  <c r="K439" i="10" s="1"/>
  <c r="J367" i="10"/>
  <c r="J439" i="10" s="1"/>
  <c r="I367" i="10"/>
  <c r="I439" i="10" s="1"/>
  <c r="H367" i="10"/>
  <c r="H439" i="10" s="1"/>
  <c r="G367" i="10"/>
  <c r="G439" i="10" s="1"/>
  <c r="F367" i="10"/>
  <c r="F439" i="10" s="1"/>
  <c r="E367" i="10"/>
  <c r="E439" i="10" s="1"/>
  <c r="D367" i="10"/>
  <c r="D439" i="10" s="1"/>
  <c r="C367" i="10"/>
  <c r="C439" i="10" s="1"/>
  <c r="B367" i="10"/>
  <c r="B439" i="10" s="1"/>
  <c r="R366" i="10"/>
  <c r="R438" i="10" s="1"/>
  <c r="Q366" i="10"/>
  <c r="Q438" i="10" s="1"/>
  <c r="P366" i="10"/>
  <c r="P438" i="10" s="1"/>
  <c r="O366" i="10"/>
  <c r="O438" i="10" s="1"/>
  <c r="N366" i="10"/>
  <c r="N438" i="10" s="1"/>
  <c r="K366" i="10"/>
  <c r="K438" i="10" s="1"/>
  <c r="J366" i="10"/>
  <c r="J438" i="10" s="1"/>
  <c r="I366" i="10"/>
  <c r="I438" i="10" s="1"/>
  <c r="H366" i="10"/>
  <c r="H438" i="10" s="1"/>
  <c r="G366" i="10"/>
  <c r="G438" i="10" s="1"/>
  <c r="F366" i="10"/>
  <c r="F438" i="10" s="1"/>
  <c r="E366" i="10"/>
  <c r="E438" i="10" s="1"/>
  <c r="D366" i="10"/>
  <c r="D438" i="10" s="1"/>
  <c r="C366" i="10"/>
  <c r="C438" i="10" s="1"/>
  <c r="B366" i="10"/>
  <c r="B438" i="10" s="1"/>
  <c r="R365" i="10"/>
  <c r="R437" i="10" s="1"/>
  <c r="Q365" i="10"/>
  <c r="Q437" i="10" s="1"/>
  <c r="P365" i="10"/>
  <c r="P437" i="10" s="1"/>
  <c r="O365" i="10"/>
  <c r="O437" i="10" s="1"/>
  <c r="N365" i="10"/>
  <c r="N437" i="10" s="1"/>
  <c r="K365" i="10"/>
  <c r="K437" i="10" s="1"/>
  <c r="J365" i="10"/>
  <c r="J437" i="10" s="1"/>
  <c r="I365" i="10"/>
  <c r="I437" i="10" s="1"/>
  <c r="H365" i="10"/>
  <c r="H437" i="10" s="1"/>
  <c r="G365" i="10"/>
  <c r="G437" i="10" s="1"/>
  <c r="F365" i="10"/>
  <c r="F437" i="10" s="1"/>
  <c r="E365" i="10"/>
  <c r="E437" i="10" s="1"/>
  <c r="D365" i="10"/>
  <c r="D437" i="10" s="1"/>
  <c r="C365" i="10"/>
  <c r="C437" i="10" s="1"/>
  <c r="B365" i="10"/>
  <c r="B437" i="10" s="1"/>
  <c r="L362" i="10"/>
  <c r="L636" i="10" s="1"/>
  <c r="L358" i="10"/>
  <c r="L357" i="10"/>
  <c r="L356" i="10"/>
  <c r="L630" i="10" s="1"/>
  <c r="L355" i="10"/>
  <c r="L629" i="10" s="1"/>
  <c r="L354" i="10"/>
  <c r="L353" i="10"/>
  <c r="L352" i="10"/>
  <c r="L626" i="10" s="1"/>
  <c r="I351" i="10"/>
  <c r="I625" i="10" s="1"/>
  <c r="F351" i="10"/>
  <c r="F625" i="10" s="1"/>
  <c r="L349" i="10"/>
  <c r="L348" i="10"/>
  <c r="L347" i="10"/>
  <c r="L346" i="10"/>
  <c r="L345" i="10"/>
  <c r="L344" i="10"/>
  <c r="L343" i="10"/>
  <c r="L342" i="10"/>
  <c r="L341" i="10"/>
  <c r="L340" i="10"/>
  <c r="L339" i="10"/>
  <c r="L338" i="10"/>
  <c r="L337" i="10"/>
  <c r="L336" i="10"/>
  <c r="L335" i="10"/>
  <c r="L332" i="10"/>
  <c r="L331" i="10"/>
  <c r="S330" i="10"/>
  <c r="L330" i="10"/>
  <c r="S329" i="10"/>
  <c r="L329" i="10"/>
  <c r="S328" i="10"/>
  <c r="L328" i="10"/>
  <c r="S327" i="10"/>
  <c r="L327" i="10"/>
  <c r="S326" i="10"/>
  <c r="L326" i="10"/>
  <c r="L325" i="10"/>
  <c r="S324" i="10"/>
  <c r="L324" i="10"/>
  <c r="S323" i="10"/>
  <c r="L323" i="10"/>
  <c r="S322" i="10"/>
  <c r="L322" i="10"/>
  <c r="S321" i="10"/>
  <c r="L321" i="10"/>
  <c r="S320" i="10"/>
  <c r="L320" i="10"/>
  <c r="S319" i="10"/>
  <c r="L319" i="10"/>
  <c r="S318" i="10"/>
  <c r="L318" i="10"/>
  <c r="S317" i="10"/>
  <c r="L317" i="10"/>
  <c r="S316" i="10"/>
  <c r="L316" i="10"/>
  <c r="S315" i="10"/>
  <c r="L315" i="10"/>
  <c r="S314" i="10"/>
  <c r="L314" i="10"/>
  <c r="S313" i="10"/>
  <c r="L313" i="10"/>
  <c r="S312" i="10"/>
  <c r="L312" i="10"/>
  <c r="S311" i="10"/>
  <c r="L311" i="10"/>
  <c r="S310" i="10"/>
  <c r="L310" i="10"/>
  <c r="S309" i="10"/>
  <c r="L309" i="10"/>
  <c r="S308" i="10"/>
  <c r="L308" i="10"/>
  <c r="S307" i="10"/>
  <c r="L307" i="10"/>
  <c r="S306" i="10"/>
  <c r="L306" i="10"/>
  <c r="S305" i="10"/>
  <c r="L305" i="10"/>
  <c r="S304" i="10"/>
  <c r="L304" i="10"/>
  <c r="S303" i="10"/>
  <c r="L303" i="10"/>
  <c r="S302" i="10"/>
  <c r="L302" i="10"/>
  <c r="S301" i="10"/>
  <c r="L301" i="10"/>
  <c r="S300" i="10"/>
  <c r="L300" i="10"/>
  <c r="S299" i="10"/>
  <c r="L299" i="10"/>
  <c r="S298" i="10"/>
  <c r="L298" i="10"/>
  <c r="S297" i="10"/>
  <c r="L297" i="10"/>
  <c r="S296" i="10"/>
  <c r="L296" i="10"/>
  <c r="S295" i="10"/>
  <c r="L295" i="10"/>
  <c r="S294" i="10"/>
  <c r="L294" i="10"/>
  <c r="S293" i="10"/>
  <c r="L293" i="10"/>
  <c r="L290" i="10"/>
  <c r="L614" i="10" s="1"/>
  <c r="L286" i="10"/>
  <c r="L610" i="10" s="1"/>
  <c r="L285" i="10"/>
  <c r="L609" i="10" s="1"/>
  <c r="L284" i="10"/>
  <c r="L608" i="10" s="1"/>
  <c r="S283" i="10"/>
  <c r="L283" i="10"/>
  <c r="L607" i="10" s="1"/>
  <c r="L282" i="10"/>
  <c r="L606" i="10" s="1"/>
  <c r="L281" i="10"/>
  <c r="L605" i="10" s="1"/>
  <c r="L280" i="10"/>
  <c r="L604" i="10" s="1"/>
  <c r="I279" i="10"/>
  <c r="I603" i="10" s="1"/>
  <c r="F279" i="10"/>
  <c r="F603" i="10" s="1"/>
  <c r="E279" i="10"/>
  <c r="E603" i="10" s="1"/>
  <c r="D279" i="10"/>
  <c r="D603" i="10" s="1"/>
  <c r="S278" i="10"/>
  <c r="L278" i="10"/>
  <c r="L277" i="10"/>
  <c r="S276" i="10"/>
  <c r="L276" i="10"/>
  <c r="L275" i="10"/>
  <c r="D274" i="10"/>
  <c r="D602" i="10" s="1"/>
  <c r="L273" i="10"/>
  <c r="L272" i="10"/>
  <c r="L271" i="10"/>
  <c r="L270" i="10"/>
  <c r="L269" i="10"/>
  <c r="L268" i="10"/>
  <c r="L267" i="10"/>
  <c r="L266" i="10"/>
  <c r="S265" i="10"/>
  <c r="S601" i="10" s="1"/>
  <c r="L265" i="10"/>
  <c r="L264" i="10"/>
  <c r="L263" i="10"/>
  <c r="S262" i="10"/>
  <c r="L262" i="10"/>
  <c r="S261" i="10"/>
  <c r="L261" i="10"/>
  <c r="S260" i="10"/>
  <c r="L260" i="10"/>
  <c r="S259" i="10"/>
  <c r="L259" i="10"/>
  <c r="S258" i="10"/>
  <c r="L258" i="10"/>
  <c r="S257" i="10"/>
  <c r="L257" i="10"/>
  <c r="S256" i="10"/>
  <c r="L256" i="10"/>
  <c r="S255" i="10"/>
  <c r="L255" i="10"/>
  <c r="S254" i="10"/>
  <c r="L254" i="10"/>
  <c r="L253" i="10"/>
  <c r="S252" i="10"/>
  <c r="L252" i="10"/>
  <c r="S251" i="10"/>
  <c r="L251" i="10"/>
  <c r="S250" i="10"/>
  <c r="L250" i="10"/>
  <c r="S249" i="10"/>
  <c r="L249" i="10"/>
  <c r="S248" i="10"/>
  <c r="L248" i="10"/>
  <c r="S247" i="10"/>
  <c r="L247" i="10"/>
  <c r="S246" i="10"/>
  <c r="L246" i="10"/>
  <c r="S245" i="10"/>
  <c r="L245" i="10"/>
  <c r="S244" i="10"/>
  <c r="L244" i="10"/>
  <c r="S243" i="10"/>
  <c r="L243" i="10"/>
  <c r="S242" i="10"/>
  <c r="L242" i="10"/>
  <c r="S241" i="10"/>
  <c r="L241" i="10"/>
  <c r="S240" i="10"/>
  <c r="L240" i="10"/>
  <c r="S239" i="10"/>
  <c r="L239" i="10"/>
  <c r="S238" i="10"/>
  <c r="L238" i="10"/>
  <c r="S237" i="10"/>
  <c r="L237" i="10"/>
  <c r="S236" i="10"/>
  <c r="L236" i="10"/>
  <c r="S235" i="10"/>
  <c r="L235" i="10"/>
  <c r="S234" i="10"/>
  <c r="L234" i="10"/>
  <c r="S233" i="10"/>
  <c r="L233" i="10"/>
  <c r="S232" i="10"/>
  <c r="L232" i="10"/>
  <c r="S231" i="10"/>
  <c r="L231" i="10"/>
  <c r="S230" i="10"/>
  <c r="L230" i="10"/>
  <c r="S229" i="10"/>
  <c r="L229" i="10"/>
  <c r="S228" i="10"/>
  <c r="L228" i="10"/>
  <c r="S227" i="10"/>
  <c r="L227" i="10"/>
  <c r="S226" i="10"/>
  <c r="L226" i="10"/>
  <c r="S225" i="10"/>
  <c r="L225" i="10"/>
  <c r="S224" i="10"/>
  <c r="L224" i="10"/>
  <c r="S223" i="10"/>
  <c r="L223" i="10"/>
  <c r="S222" i="10"/>
  <c r="L222" i="10"/>
  <c r="S221" i="10"/>
  <c r="L221" i="10"/>
  <c r="L218" i="10"/>
  <c r="L595" i="10" s="1"/>
  <c r="L214" i="10"/>
  <c r="L591" i="10" s="1"/>
  <c r="L213" i="10"/>
  <c r="L590" i="10" s="1"/>
  <c r="L212" i="10"/>
  <c r="L589" i="10" s="1"/>
  <c r="S211" i="10"/>
  <c r="S588" i="10" s="1"/>
  <c r="L211" i="10"/>
  <c r="L588" i="10" s="1"/>
  <c r="L210" i="10"/>
  <c r="L587" i="10" s="1"/>
  <c r="L209" i="10"/>
  <c r="L586" i="10" s="1"/>
  <c r="L208" i="10"/>
  <c r="L585" i="10" s="1"/>
  <c r="G207" i="10"/>
  <c r="G584" i="10" s="1"/>
  <c r="F207" i="10"/>
  <c r="F584" i="10" s="1"/>
  <c r="E207" i="10"/>
  <c r="E584" i="10" s="1"/>
  <c r="D207" i="10"/>
  <c r="D584" i="10" s="1"/>
  <c r="S206" i="10"/>
  <c r="S204" i="10"/>
  <c r="L204" i="10"/>
  <c r="L203" i="10"/>
  <c r="L202" i="10"/>
  <c r="L201" i="10"/>
  <c r="L200" i="10"/>
  <c r="L199" i="10"/>
  <c r="L198" i="10"/>
  <c r="L197" i="10"/>
  <c r="L196" i="10"/>
  <c r="L195" i="10"/>
  <c r="L194" i="10"/>
  <c r="L193" i="10"/>
  <c r="L192" i="10"/>
  <c r="L191" i="10"/>
  <c r="S190" i="10"/>
  <c r="L190" i="10"/>
  <c r="S189" i="10"/>
  <c r="L189" i="10"/>
  <c r="S188" i="10"/>
  <c r="L188" i="10"/>
  <c r="S187" i="10"/>
  <c r="L187" i="10"/>
  <c r="S186" i="10"/>
  <c r="L186" i="10"/>
  <c r="S185" i="10"/>
  <c r="L185" i="10"/>
  <c r="S184" i="10"/>
  <c r="L184" i="10"/>
  <c r="S183" i="10"/>
  <c r="L183" i="10"/>
  <c r="S182" i="10"/>
  <c r="L182" i="10"/>
  <c r="L181" i="10"/>
  <c r="S180" i="10"/>
  <c r="L180" i="10"/>
  <c r="S179" i="10"/>
  <c r="L179" i="10"/>
  <c r="S178" i="10"/>
  <c r="L178" i="10"/>
  <c r="S177" i="10"/>
  <c r="L177" i="10"/>
  <c r="S176" i="10"/>
  <c r="L176" i="10"/>
  <c r="S175" i="10"/>
  <c r="L175" i="10"/>
  <c r="S174" i="10"/>
  <c r="L174" i="10"/>
  <c r="S173" i="10"/>
  <c r="L173" i="10"/>
  <c r="S172" i="10"/>
  <c r="L172" i="10"/>
  <c r="S171" i="10"/>
  <c r="L171" i="10"/>
  <c r="S170" i="10"/>
  <c r="L170" i="10"/>
  <c r="S169" i="10"/>
  <c r="L169" i="10"/>
  <c r="S168" i="10"/>
  <c r="L168" i="10"/>
  <c r="S167" i="10"/>
  <c r="L167" i="10"/>
  <c r="S166" i="10"/>
  <c r="L166" i="10"/>
  <c r="S165" i="10"/>
  <c r="L165" i="10"/>
  <c r="S164" i="10"/>
  <c r="L164" i="10"/>
  <c r="S163" i="10"/>
  <c r="L163" i="10"/>
  <c r="S162" i="10"/>
  <c r="L162" i="10"/>
  <c r="S161" i="10"/>
  <c r="L161" i="10"/>
  <c r="S160" i="10"/>
  <c r="L160" i="10"/>
  <c r="S159" i="10"/>
  <c r="L159" i="10"/>
  <c r="S158" i="10"/>
  <c r="L158" i="10"/>
  <c r="S157" i="10"/>
  <c r="L157" i="10"/>
  <c r="S156" i="10"/>
  <c r="L156" i="10"/>
  <c r="S155" i="10"/>
  <c r="L155" i="10"/>
  <c r="S154" i="10"/>
  <c r="L154" i="10"/>
  <c r="S153" i="10"/>
  <c r="L153" i="10"/>
  <c r="S152" i="10"/>
  <c r="L152" i="10"/>
  <c r="S151" i="10"/>
  <c r="L151" i="10"/>
  <c r="S150" i="10"/>
  <c r="L150" i="10"/>
  <c r="S149" i="10"/>
  <c r="L149" i="10"/>
  <c r="L146" i="10"/>
  <c r="L573" i="10" s="1"/>
  <c r="L142" i="10"/>
  <c r="L569" i="10" s="1"/>
  <c r="L141" i="10"/>
  <c r="L568" i="10" s="1"/>
  <c r="L140" i="10"/>
  <c r="L567" i="10" s="1"/>
  <c r="S566" i="10"/>
  <c r="L139" i="10"/>
  <c r="L566" i="10" s="1"/>
  <c r="L138" i="10"/>
  <c r="L565" i="10" s="1"/>
  <c r="L137" i="10"/>
  <c r="L564" i="10" s="1"/>
  <c r="L136" i="10"/>
  <c r="L563" i="10" s="1"/>
  <c r="I135" i="10"/>
  <c r="I562" i="10" s="1"/>
  <c r="G135" i="10"/>
  <c r="G562" i="10" s="1"/>
  <c r="F135" i="10"/>
  <c r="F562" i="10" s="1"/>
  <c r="E135" i="10"/>
  <c r="E562" i="10" s="1"/>
  <c r="D135" i="10"/>
  <c r="D562" i="10" s="1"/>
  <c r="S134" i="10"/>
  <c r="H134" i="10"/>
  <c r="L133" i="10"/>
  <c r="S132" i="10"/>
  <c r="L132" i="10"/>
  <c r="L131" i="10"/>
  <c r="L130" i="10"/>
  <c r="L129" i="10"/>
  <c r="L128" i="10"/>
  <c r="L127" i="10"/>
  <c r="L126" i="10"/>
  <c r="L125" i="10"/>
  <c r="L124" i="10"/>
  <c r="L123" i="10"/>
  <c r="L122" i="10"/>
  <c r="L121" i="10"/>
  <c r="L120" i="10"/>
  <c r="L119" i="10"/>
  <c r="L118" i="10"/>
  <c r="S117" i="10"/>
  <c r="L117" i="10"/>
  <c r="S116" i="10"/>
  <c r="L116" i="10"/>
  <c r="S115" i="10"/>
  <c r="L115" i="10"/>
  <c r="S114" i="10"/>
  <c r="L114" i="10"/>
  <c r="S113" i="10"/>
  <c r="L113" i="10"/>
  <c r="S112" i="10"/>
  <c r="L112" i="10"/>
  <c r="S111" i="10"/>
  <c r="L111" i="10"/>
  <c r="S110" i="10"/>
  <c r="L110" i="10"/>
  <c r="L109" i="10"/>
  <c r="S108" i="10"/>
  <c r="L108" i="10"/>
  <c r="S107" i="10"/>
  <c r="L107" i="10"/>
  <c r="S106" i="10"/>
  <c r="L106" i="10"/>
  <c r="S105" i="10"/>
  <c r="L105" i="10"/>
  <c r="S104" i="10"/>
  <c r="L104" i="10"/>
  <c r="S103" i="10"/>
  <c r="L103" i="10"/>
  <c r="S102" i="10"/>
  <c r="L102" i="10"/>
  <c r="S101" i="10"/>
  <c r="L101" i="10"/>
  <c r="S100" i="10"/>
  <c r="L100" i="10"/>
  <c r="S99" i="10"/>
  <c r="L99" i="10"/>
  <c r="S98" i="10"/>
  <c r="L98" i="10"/>
  <c r="S97" i="10"/>
  <c r="L97" i="10"/>
  <c r="S96" i="10"/>
  <c r="L96" i="10"/>
  <c r="S95" i="10"/>
  <c r="L95" i="10"/>
  <c r="S94" i="10"/>
  <c r="L94" i="10"/>
  <c r="S93" i="10"/>
  <c r="L93" i="10"/>
  <c r="S92" i="10"/>
  <c r="L92" i="10"/>
  <c r="S91" i="10"/>
  <c r="L91" i="10"/>
  <c r="S90" i="10"/>
  <c r="L90" i="10"/>
  <c r="S89" i="10"/>
  <c r="L89" i="10"/>
  <c r="S88" i="10"/>
  <c r="L88" i="10"/>
  <c r="S87" i="10"/>
  <c r="L87" i="10"/>
  <c r="S86" i="10"/>
  <c r="L86" i="10"/>
  <c r="S85" i="10"/>
  <c r="L85" i="10"/>
  <c r="S84" i="10"/>
  <c r="L84" i="10"/>
  <c r="S83" i="10"/>
  <c r="L83" i="10"/>
  <c r="S82" i="10"/>
  <c r="L82" i="10"/>
  <c r="S81" i="10"/>
  <c r="L81" i="10"/>
  <c r="S80" i="10"/>
  <c r="L80" i="10"/>
  <c r="S79" i="10"/>
  <c r="L79" i="10"/>
  <c r="S78" i="10"/>
  <c r="L78" i="10"/>
  <c r="S77" i="10"/>
  <c r="L77" i="10"/>
  <c r="S74" i="10"/>
  <c r="L74" i="10"/>
  <c r="S70" i="10"/>
  <c r="L70" i="10"/>
  <c r="L69" i="10"/>
  <c r="S68" i="10"/>
  <c r="L68" i="10"/>
  <c r="S67" i="10"/>
  <c r="L67" i="10"/>
  <c r="S66" i="10"/>
  <c r="L66" i="10"/>
  <c r="S65" i="10"/>
  <c r="L65" i="10"/>
  <c r="S64" i="10"/>
  <c r="L64" i="10"/>
  <c r="Q63" i="10"/>
  <c r="G63" i="10"/>
  <c r="G543" i="10" s="1"/>
  <c r="F63" i="10"/>
  <c r="F543" i="10" s="1"/>
  <c r="E63" i="10"/>
  <c r="E543" i="10" s="1"/>
  <c r="D63" i="10"/>
  <c r="D543" i="10" s="1"/>
  <c r="S62" i="10"/>
  <c r="H62" i="10"/>
  <c r="S61" i="10"/>
  <c r="L61" i="10"/>
  <c r="S60" i="10"/>
  <c r="L60" i="10"/>
  <c r="S59" i="10"/>
  <c r="L59" i="10"/>
  <c r="S58" i="10"/>
  <c r="L58" i="10"/>
  <c r="S57" i="10"/>
  <c r="S489" i="10" s="1"/>
  <c r="L57" i="10"/>
  <c r="S56" i="10"/>
  <c r="S488" i="10" s="1"/>
  <c r="L56" i="10"/>
  <c r="S55" i="10"/>
  <c r="S487" i="10" s="1"/>
  <c r="L55" i="10"/>
  <c r="S54" i="10"/>
  <c r="L54" i="10"/>
  <c r="S53" i="10"/>
  <c r="L53" i="10"/>
  <c r="L52" i="10"/>
  <c r="L51" i="10"/>
  <c r="L50" i="10"/>
  <c r="S46" i="10"/>
  <c r="L46" i="10"/>
  <c r="S45" i="10"/>
  <c r="L45" i="10"/>
  <c r="S44" i="10"/>
  <c r="L44" i="10"/>
  <c r="S43" i="10"/>
  <c r="L43" i="10"/>
  <c r="S42" i="10"/>
  <c r="L42" i="10"/>
  <c r="L41" i="10"/>
  <c r="S40" i="10"/>
  <c r="L40" i="10"/>
  <c r="S39" i="10"/>
  <c r="L39" i="10"/>
  <c r="S38" i="10"/>
  <c r="L38" i="10"/>
  <c r="S37" i="10"/>
  <c r="L37" i="10"/>
  <c r="S36" i="10"/>
  <c r="L36" i="10"/>
  <c r="S35" i="10"/>
  <c r="L35" i="10"/>
  <c r="S34" i="10"/>
  <c r="L34" i="10"/>
  <c r="S33" i="10"/>
  <c r="L33" i="10"/>
  <c r="S32" i="10"/>
  <c r="L32" i="10"/>
  <c r="S31" i="10"/>
  <c r="L31" i="10"/>
  <c r="S30" i="10"/>
  <c r="L30" i="10"/>
  <c r="S29" i="10"/>
  <c r="L29" i="10"/>
  <c r="S28" i="10"/>
  <c r="L28" i="10"/>
  <c r="S27" i="10"/>
  <c r="L27" i="10"/>
  <c r="S26" i="10"/>
  <c r="L26" i="10"/>
  <c r="S25" i="10"/>
  <c r="L25" i="10"/>
  <c r="S24" i="10"/>
  <c r="L24" i="10"/>
  <c r="S23" i="10"/>
  <c r="L23" i="10"/>
  <c r="S22" i="10"/>
  <c r="L22" i="10"/>
  <c r="S21" i="10"/>
  <c r="L21" i="10"/>
  <c r="S20" i="10"/>
  <c r="L20" i="10"/>
  <c r="S19" i="10"/>
  <c r="L19" i="10"/>
  <c r="S18" i="10"/>
  <c r="L18" i="10"/>
  <c r="S17" i="10"/>
  <c r="L17" i="10"/>
  <c r="S16" i="10"/>
  <c r="L16" i="10"/>
  <c r="S15" i="10"/>
  <c r="L15" i="10"/>
  <c r="S14" i="10"/>
  <c r="L14" i="10"/>
  <c r="S13" i="10"/>
  <c r="L13" i="10"/>
  <c r="S12" i="10"/>
  <c r="L12" i="10"/>
  <c r="S11" i="10"/>
  <c r="L11" i="10"/>
  <c r="S10" i="10"/>
  <c r="L10" i="10"/>
  <c r="S9" i="10"/>
  <c r="L9" i="10"/>
  <c r="S8" i="10"/>
  <c r="L8" i="10"/>
  <c r="S7" i="10"/>
  <c r="L7" i="10"/>
  <c r="S6" i="10"/>
  <c r="L6" i="10"/>
  <c r="A6" i="10"/>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S5" i="10"/>
  <c r="L5" i="10"/>
  <c r="B511" i="9"/>
  <c r="B507" i="9"/>
  <c r="B506" i="9"/>
  <c r="B505" i="9"/>
  <c r="A494" i="9"/>
  <c r="K492" i="9"/>
  <c r="J492" i="9"/>
  <c r="I492" i="9"/>
  <c r="H492" i="9"/>
  <c r="G492" i="9"/>
  <c r="F492" i="9"/>
  <c r="E492" i="9"/>
  <c r="D492" i="9"/>
  <c r="C492" i="9"/>
  <c r="B492" i="9"/>
  <c r="K488" i="9"/>
  <c r="J488" i="9"/>
  <c r="I488" i="9"/>
  <c r="H488" i="9"/>
  <c r="G488" i="9"/>
  <c r="F488" i="9"/>
  <c r="E488" i="9"/>
  <c r="D488" i="9"/>
  <c r="C488" i="9"/>
  <c r="B488" i="9"/>
  <c r="K487" i="9"/>
  <c r="J487" i="9"/>
  <c r="I487" i="9"/>
  <c r="H487" i="9"/>
  <c r="G487" i="9"/>
  <c r="F487" i="9"/>
  <c r="E487" i="9"/>
  <c r="D487" i="9"/>
  <c r="C487" i="9"/>
  <c r="B487" i="9"/>
  <c r="K486" i="9"/>
  <c r="J486" i="9"/>
  <c r="I486" i="9"/>
  <c r="H486" i="9"/>
  <c r="G486" i="9"/>
  <c r="F486" i="9"/>
  <c r="E486" i="9"/>
  <c r="D486" i="9"/>
  <c r="C486" i="9"/>
  <c r="B486" i="9"/>
  <c r="K485" i="9"/>
  <c r="J485" i="9"/>
  <c r="I485" i="9"/>
  <c r="H485" i="9"/>
  <c r="G485" i="9"/>
  <c r="F485" i="9"/>
  <c r="E485" i="9"/>
  <c r="D485" i="9"/>
  <c r="C485" i="9"/>
  <c r="B485" i="9"/>
  <c r="K484" i="9"/>
  <c r="J484" i="9"/>
  <c r="I484" i="9"/>
  <c r="H484" i="9"/>
  <c r="G484" i="9"/>
  <c r="F484" i="9"/>
  <c r="E484" i="9"/>
  <c r="D484" i="9"/>
  <c r="C484" i="9"/>
  <c r="B484" i="9"/>
  <c r="K483" i="9"/>
  <c r="J483" i="9"/>
  <c r="I483" i="9"/>
  <c r="H483" i="9"/>
  <c r="G483" i="9"/>
  <c r="F483" i="9"/>
  <c r="E483" i="9"/>
  <c r="D483" i="9"/>
  <c r="C483" i="9"/>
  <c r="B483" i="9"/>
  <c r="K482" i="9"/>
  <c r="J482" i="9"/>
  <c r="I482" i="9"/>
  <c r="H482" i="9"/>
  <c r="G482" i="9"/>
  <c r="F482" i="9"/>
  <c r="E482" i="9"/>
  <c r="D482" i="9"/>
  <c r="C482" i="9"/>
  <c r="B482" i="9"/>
  <c r="J480" i="9"/>
  <c r="I480" i="9"/>
  <c r="H480" i="9"/>
  <c r="G480" i="9"/>
  <c r="F480" i="9"/>
  <c r="E480" i="9"/>
  <c r="D480" i="9"/>
  <c r="B480" i="9"/>
  <c r="I479" i="9"/>
  <c r="H479" i="9"/>
  <c r="G479" i="9"/>
  <c r="D479" i="9"/>
  <c r="I478" i="9"/>
  <c r="H478" i="9"/>
  <c r="G478" i="9"/>
  <c r="F478" i="9"/>
  <c r="D478" i="9"/>
  <c r="J477" i="9"/>
  <c r="I477" i="9"/>
  <c r="H477" i="9"/>
  <c r="G477" i="9"/>
  <c r="F477" i="9"/>
  <c r="E477" i="9"/>
  <c r="D477" i="9"/>
  <c r="J476" i="9"/>
  <c r="I476" i="9"/>
  <c r="H476" i="9"/>
  <c r="G476" i="9"/>
  <c r="F476" i="9"/>
  <c r="E476" i="9"/>
  <c r="D476" i="9"/>
  <c r="K470" i="9"/>
  <c r="J470" i="9"/>
  <c r="I470" i="9"/>
  <c r="H470" i="9"/>
  <c r="G470" i="9"/>
  <c r="F470" i="9"/>
  <c r="E470" i="9"/>
  <c r="D470" i="9"/>
  <c r="C470" i="9"/>
  <c r="B470" i="9"/>
  <c r="K466" i="9"/>
  <c r="J466" i="9"/>
  <c r="I466" i="9"/>
  <c r="H466" i="9"/>
  <c r="G466" i="9"/>
  <c r="F466" i="9"/>
  <c r="E466" i="9"/>
  <c r="D466" i="9"/>
  <c r="C466" i="9"/>
  <c r="B466" i="9"/>
  <c r="K465" i="9"/>
  <c r="J465" i="9"/>
  <c r="I465" i="9"/>
  <c r="H465" i="9"/>
  <c r="G465" i="9"/>
  <c r="F465" i="9"/>
  <c r="E465" i="9"/>
  <c r="D465" i="9"/>
  <c r="C465" i="9"/>
  <c r="B465" i="9"/>
  <c r="K464" i="9"/>
  <c r="J464" i="9"/>
  <c r="I464" i="9"/>
  <c r="H464" i="9"/>
  <c r="G464" i="9"/>
  <c r="F464" i="9"/>
  <c r="E464" i="9"/>
  <c r="D464" i="9"/>
  <c r="C464" i="9"/>
  <c r="B464" i="9"/>
  <c r="K463" i="9"/>
  <c r="J463" i="9"/>
  <c r="I463" i="9"/>
  <c r="H463" i="9"/>
  <c r="G463" i="9"/>
  <c r="F463" i="9"/>
  <c r="E463" i="9"/>
  <c r="D463" i="9"/>
  <c r="C463" i="9"/>
  <c r="B463" i="9"/>
  <c r="K462" i="9"/>
  <c r="J462" i="9"/>
  <c r="I462" i="9"/>
  <c r="H462" i="9"/>
  <c r="G462" i="9"/>
  <c r="F462" i="9"/>
  <c r="E462" i="9"/>
  <c r="D462" i="9"/>
  <c r="C462" i="9"/>
  <c r="B462" i="9"/>
  <c r="K461" i="9"/>
  <c r="J461" i="9"/>
  <c r="I461" i="9"/>
  <c r="H461" i="9"/>
  <c r="G461" i="9"/>
  <c r="F461" i="9"/>
  <c r="E461" i="9"/>
  <c r="D461" i="9"/>
  <c r="C461" i="9"/>
  <c r="B461" i="9"/>
  <c r="K460" i="9"/>
  <c r="J460" i="9"/>
  <c r="I460" i="9"/>
  <c r="H460" i="9"/>
  <c r="G460" i="9"/>
  <c r="F460" i="9"/>
  <c r="E460" i="9"/>
  <c r="D460" i="9"/>
  <c r="C460" i="9"/>
  <c r="B460" i="9"/>
  <c r="K458" i="9"/>
  <c r="J458" i="9"/>
  <c r="I458" i="9"/>
  <c r="H458" i="9"/>
  <c r="G458" i="9"/>
  <c r="F458" i="9"/>
  <c r="E458" i="9"/>
  <c r="C458" i="9"/>
  <c r="B458" i="9"/>
  <c r="J457" i="9"/>
  <c r="I457" i="9"/>
  <c r="H457" i="9"/>
  <c r="G457" i="9"/>
  <c r="F457" i="9"/>
  <c r="E457" i="9"/>
  <c r="D457" i="9"/>
  <c r="J456" i="9"/>
  <c r="I456" i="9"/>
  <c r="H456" i="9"/>
  <c r="G456" i="9"/>
  <c r="F456" i="9"/>
  <c r="E456" i="9"/>
  <c r="D456" i="9"/>
  <c r="J455" i="9"/>
  <c r="I455" i="9"/>
  <c r="H455" i="9"/>
  <c r="G455" i="9"/>
  <c r="F455" i="9"/>
  <c r="E455" i="9"/>
  <c r="D455" i="9"/>
  <c r="J454" i="9"/>
  <c r="I454" i="9"/>
  <c r="H454" i="9"/>
  <c r="G454" i="9"/>
  <c r="F454" i="9"/>
  <c r="E454" i="9"/>
  <c r="D454" i="9"/>
  <c r="A453" i="9"/>
  <c r="K451" i="9"/>
  <c r="J451" i="9"/>
  <c r="I451" i="9"/>
  <c r="H451" i="9"/>
  <c r="G451" i="9"/>
  <c r="F451" i="9"/>
  <c r="E451" i="9"/>
  <c r="D451" i="9"/>
  <c r="C451" i="9"/>
  <c r="B451" i="9"/>
  <c r="K447" i="9"/>
  <c r="J447" i="9"/>
  <c r="I447" i="9"/>
  <c r="H447" i="9"/>
  <c r="G447" i="9"/>
  <c r="F447" i="9"/>
  <c r="E447" i="9"/>
  <c r="D447" i="9"/>
  <c r="C447" i="9"/>
  <c r="B447" i="9"/>
  <c r="K446" i="9"/>
  <c r="J446" i="9"/>
  <c r="I446" i="9"/>
  <c r="H446" i="9"/>
  <c r="G446" i="9"/>
  <c r="F446" i="9"/>
  <c r="E446" i="9"/>
  <c r="D446" i="9"/>
  <c r="C446" i="9"/>
  <c r="B446" i="9"/>
  <c r="K445" i="9"/>
  <c r="J445" i="9"/>
  <c r="I445" i="9"/>
  <c r="H445" i="9"/>
  <c r="G445" i="9"/>
  <c r="F445" i="9"/>
  <c r="E445" i="9"/>
  <c r="D445" i="9"/>
  <c r="C445" i="9"/>
  <c r="B445" i="9"/>
  <c r="K444" i="9"/>
  <c r="J444" i="9"/>
  <c r="I444" i="9"/>
  <c r="H444" i="9"/>
  <c r="G444" i="9"/>
  <c r="F444" i="9"/>
  <c r="E444" i="9"/>
  <c r="D444" i="9"/>
  <c r="C444" i="9"/>
  <c r="B444" i="9"/>
  <c r="K443" i="9"/>
  <c r="J443" i="9"/>
  <c r="I443" i="9"/>
  <c r="H443" i="9"/>
  <c r="G443" i="9"/>
  <c r="F443" i="9"/>
  <c r="E443" i="9"/>
  <c r="D443" i="9"/>
  <c r="C443" i="9"/>
  <c r="B443" i="9"/>
  <c r="K442" i="9"/>
  <c r="J442" i="9"/>
  <c r="I442" i="9"/>
  <c r="H442" i="9"/>
  <c r="G442" i="9"/>
  <c r="F442" i="9"/>
  <c r="E442" i="9"/>
  <c r="D442" i="9"/>
  <c r="C442" i="9"/>
  <c r="B442" i="9"/>
  <c r="K441" i="9"/>
  <c r="J441" i="9"/>
  <c r="I441" i="9"/>
  <c r="H441" i="9"/>
  <c r="G441" i="9"/>
  <c r="F441" i="9"/>
  <c r="E441" i="9"/>
  <c r="D441" i="9"/>
  <c r="C441" i="9"/>
  <c r="B441" i="9"/>
  <c r="I439" i="9"/>
  <c r="H439" i="9"/>
  <c r="G439" i="9"/>
  <c r="F439" i="9"/>
  <c r="E439" i="9"/>
  <c r="D439" i="9"/>
  <c r="C439" i="9"/>
  <c r="B439" i="9"/>
  <c r="I438" i="9"/>
  <c r="H438" i="9"/>
  <c r="G438" i="9"/>
  <c r="F438" i="9"/>
  <c r="E438" i="9"/>
  <c r="D438" i="9"/>
  <c r="I437" i="9"/>
  <c r="H437" i="9"/>
  <c r="G437" i="9"/>
  <c r="F437" i="9"/>
  <c r="E437" i="9"/>
  <c r="D437" i="9"/>
  <c r="I436" i="9"/>
  <c r="H436" i="9"/>
  <c r="G436" i="9"/>
  <c r="F436" i="9"/>
  <c r="E436" i="9"/>
  <c r="D436" i="9"/>
  <c r="J435" i="9"/>
  <c r="I435" i="9"/>
  <c r="H435" i="9"/>
  <c r="G435" i="9"/>
  <c r="F435" i="9"/>
  <c r="E435" i="9"/>
  <c r="D435" i="9"/>
  <c r="A434" i="9"/>
  <c r="K429" i="9"/>
  <c r="J429" i="9"/>
  <c r="I429" i="9"/>
  <c r="H429" i="9"/>
  <c r="G429" i="9"/>
  <c r="F429" i="9"/>
  <c r="E429" i="9"/>
  <c r="D429" i="9"/>
  <c r="C429" i="9"/>
  <c r="B429" i="9"/>
  <c r="K425" i="9"/>
  <c r="J425" i="9"/>
  <c r="I425" i="9"/>
  <c r="H425" i="9"/>
  <c r="G425" i="9"/>
  <c r="F425" i="9"/>
  <c r="E425" i="9"/>
  <c r="D425" i="9"/>
  <c r="C425" i="9"/>
  <c r="B425" i="9"/>
  <c r="K424" i="9"/>
  <c r="J424" i="9"/>
  <c r="I424" i="9"/>
  <c r="H424" i="9"/>
  <c r="G424" i="9"/>
  <c r="F424" i="9"/>
  <c r="E424" i="9"/>
  <c r="D424" i="9"/>
  <c r="C424" i="9"/>
  <c r="B424" i="9"/>
  <c r="K423" i="9"/>
  <c r="J423" i="9"/>
  <c r="I423" i="9"/>
  <c r="H423" i="9"/>
  <c r="G423" i="9"/>
  <c r="F423" i="9"/>
  <c r="E423" i="9"/>
  <c r="D423" i="9"/>
  <c r="C423" i="9"/>
  <c r="B423" i="9"/>
  <c r="K422" i="9"/>
  <c r="J422" i="9"/>
  <c r="I422" i="9"/>
  <c r="H422" i="9"/>
  <c r="G422" i="9"/>
  <c r="F422" i="9"/>
  <c r="E422" i="9"/>
  <c r="D422" i="9"/>
  <c r="C422" i="9"/>
  <c r="B422" i="9"/>
  <c r="K421" i="9"/>
  <c r="J421" i="9"/>
  <c r="I421" i="9"/>
  <c r="H421" i="9"/>
  <c r="G421" i="9"/>
  <c r="F421" i="9"/>
  <c r="E421" i="9"/>
  <c r="D421" i="9"/>
  <c r="C421" i="9"/>
  <c r="B421" i="9"/>
  <c r="K420" i="9"/>
  <c r="J420" i="9"/>
  <c r="I420" i="9"/>
  <c r="H420" i="9"/>
  <c r="G420" i="9"/>
  <c r="F420" i="9"/>
  <c r="E420" i="9"/>
  <c r="D420" i="9"/>
  <c r="C420" i="9"/>
  <c r="B420" i="9"/>
  <c r="K419" i="9"/>
  <c r="J419" i="9"/>
  <c r="I419" i="9"/>
  <c r="H419" i="9"/>
  <c r="G419" i="9"/>
  <c r="F419" i="9"/>
  <c r="E419" i="9"/>
  <c r="D419" i="9"/>
  <c r="C419" i="9"/>
  <c r="B419" i="9"/>
  <c r="K417" i="9"/>
  <c r="J417" i="9"/>
  <c r="I417" i="9"/>
  <c r="H417" i="9"/>
  <c r="G417" i="9"/>
  <c r="F417" i="9"/>
  <c r="E417" i="9"/>
  <c r="D417" i="9"/>
  <c r="C417" i="9"/>
  <c r="B417" i="9"/>
  <c r="J416" i="9"/>
  <c r="I416" i="9"/>
  <c r="H416" i="9"/>
  <c r="G416" i="9"/>
  <c r="F416" i="9"/>
  <c r="E416" i="9"/>
  <c r="D416" i="9"/>
  <c r="J415" i="9"/>
  <c r="I415" i="9"/>
  <c r="H415" i="9"/>
  <c r="G415" i="9"/>
  <c r="F415" i="9"/>
  <c r="E415" i="9"/>
  <c r="D415" i="9"/>
  <c r="J414" i="9"/>
  <c r="I414" i="9"/>
  <c r="H414" i="9"/>
  <c r="G414" i="9"/>
  <c r="F414" i="9"/>
  <c r="E414" i="9"/>
  <c r="D414" i="9"/>
  <c r="I413" i="9"/>
  <c r="H413" i="9"/>
  <c r="G413" i="9"/>
  <c r="F413" i="9"/>
  <c r="E413" i="9"/>
  <c r="D413" i="9"/>
  <c r="A412" i="9"/>
  <c r="K410" i="9"/>
  <c r="J410" i="9"/>
  <c r="I410" i="9"/>
  <c r="H410" i="9"/>
  <c r="G410" i="9"/>
  <c r="F410" i="9"/>
  <c r="E410" i="9"/>
  <c r="D410" i="9"/>
  <c r="C410" i="9"/>
  <c r="B410" i="9"/>
  <c r="K406" i="9"/>
  <c r="J406" i="9"/>
  <c r="I406" i="9"/>
  <c r="H406" i="9"/>
  <c r="G406" i="9"/>
  <c r="F406" i="9"/>
  <c r="E406" i="9"/>
  <c r="D406" i="9"/>
  <c r="C406" i="9"/>
  <c r="B406" i="9"/>
  <c r="K405" i="9"/>
  <c r="J405" i="9"/>
  <c r="I405" i="9"/>
  <c r="H405" i="9"/>
  <c r="G405" i="9"/>
  <c r="F405" i="9"/>
  <c r="E405" i="9"/>
  <c r="D405" i="9"/>
  <c r="C405" i="9"/>
  <c r="B405" i="9"/>
  <c r="K404" i="9"/>
  <c r="J404" i="9"/>
  <c r="I404" i="9"/>
  <c r="H404" i="9"/>
  <c r="G404" i="9"/>
  <c r="F404" i="9"/>
  <c r="E404" i="9"/>
  <c r="D404" i="9"/>
  <c r="C404" i="9"/>
  <c r="B404" i="9"/>
  <c r="K403" i="9"/>
  <c r="J403" i="9"/>
  <c r="I403" i="9"/>
  <c r="H403" i="9"/>
  <c r="G403" i="9"/>
  <c r="F403" i="9"/>
  <c r="E403" i="9"/>
  <c r="D403" i="9"/>
  <c r="C403" i="9"/>
  <c r="B403" i="9"/>
  <c r="K402" i="9"/>
  <c r="J402" i="9"/>
  <c r="I402" i="9"/>
  <c r="H402" i="9"/>
  <c r="G402" i="9"/>
  <c r="F402" i="9"/>
  <c r="E402" i="9"/>
  <c r="D402" i="9"/>
  <c r="C402" i="9"/>
  <c r="B402" i="9"/>
  <c r="K401" i="9"/>
  <c r="J401" i="9"/>
  <c r="I401" i="9"/>
  <c r="H401" i="9"/>
  <c r="G401" i="9"/>
  <c r="F401" i="9"/>
  <c r="E401" i="9"/>
  <c r="D401" i="9"/>
  <c r="C401" i="9"/>
  <c r="B401" i="9"/>
  <c r="K400" i="9"/>
  <c r="J400" i="9"/>
  <c r="I400" i="9"/>
  <c r="H400" i="9"/>
  <c r="G400" i="9"/>
  <c r="F400" i="9"/>
  <c r="E400" i="9"/>
  <c r="D400" i="9"/>
  <c r="C400" i="9"/>
  <c r="B400" i="9"/>
  <c r="K398" i="9"/>
  <c r="J398" i="9"/>
  <c r="I398" i="9"/>
  <c r="H398" i="9"/>
  <c r="G398" i="9"/>
  <c r="F398" i="9"/>
  <c r="E398" i="9"/>
  <c r="D398" i="9"/>
  <c r="C398" i="9"/>
  <c r="B398" i="9"/>
  <c r="H397" i="9"/>
  <c r="G397" i="9"/>
  <c r="E397" i="9"/>
  <c r="D397" i="9"/>
  <c r="H396" i="9"/>
  <c r="G396" i="9"/>
  <c r="F396" i="9"/>
  <c r="E396" i="9"/>
  <c r="D396" i="9"/>
  <c r="I395" i="9"/>
  <c r="H395" i="9"/>
  <c r="G395" i="9"/>
  <c r="F395" i="9"/>
  <c r="E395" i="9"/>
  <c r="D395" i="9"/>
  <c r="I394" i="9"/>
  <c r="H394" i="9"/>
  <c r="G394" i="9"/>
  <c r="F394" i="9"/>
  <c r="E394" i="9"/>
  <c r="D394" i="9"/>
  <c r="B373" i="9"/>
  <c r="B533" i="9" s="1"/>
  <c r="B369" i="9"/>
  <c r="B529" i="9" s="1"/>
  <c r="B368" i="9"/>
  <c r="B528" i="9" s="1"/>
  <c r="B367" i="9"/>
  <c r="B527" i="9" s="1"/>
  <c r="K320" i="9"/>
  <c r="K373" i="9" s="1"/>
  <c r="K533" i="9" s="1"/>
  <c r="J320" i="9"/>
  <c r="J511" i="9" s="1"/>
  <c r="I320" i="9"/>
  <c r="H320" i="9"/>
  <c r="G320" i="9"/>
  <c r="F320" i="9"/>
  <c r="F511" i="9" s="1"/>
  <c r="E320" i="9"/>
  <c r="E511" i="9" s="1"/>
  <c r="D320" i="9"/>
  <c r="C320" i="9"/>
  <c r="K316" i="9"/>
  <c r="J316" i="9"/>
  <c r="J507" i="9" s="1"/>
  <c r="I316" i="9"/>
  <c r="H316" i="9"/>
  <c r="H369" i="9" s="1"/>
  <c r="H529" i="9" s="1"/>
  <c r="G316" i="9"/>
  <c r="F316" i="9"/>
  <c r="F507" i="9" s="1"/>
  <c r="E316" i="9"/>
  <c r="E507" i="9" s="1"/>
  <c r="D316" i="9"/>
  <c r="C316" i="9"/>
  <c r="K315" i="9"/>
  <c r="K506" i="9" s="1"/>
  <c r="J315" i="9"/>
  <c r="I315" i="9"/>
  <c r="H315" i="9"/>
  <c r="H506" i="9" s="1"/>
  <c r="G315" i="9"/>
  <c r="G368" i="9" s="1"/>
  <c r="G528" i="9" s="1"/>
  <c r="F315" i="9"/>
  <c r="E315" i="9"/>
  <c r="E506" i="9" s="1"/>
  <c r="D315" i="9"/>
  <c r="D506" i="9" s="1"/>
  <c r="C315" i="9"/>
  <c r="K314" i="9"/>
  <c r="J314" i="9"/>
  <c r="J505" i="9" s="1"/>
  <c r="I314" i="9"/>
  <c r="H314" i="9"/>
  <c r="H505" i="9" s="1"/>
  <c r="G314" i="9"/>
  <c r="G505" i="9" s="1"/>
  <c r="F314" i="9"/>
  <c r="F505" i="9" s="1"/>
  <c r="E314" i="9"/>
  <c r="D314" i="9"/>
  <c r="D367" i="9" s="1"/>
  <c r="D527" i="9" s="1"/>
  <c r="C314" i="9"/>
  <c r="C505" i="9" s="1"/>
  <c r="K313" i="9"/>
  <c r="J313" i="9"/>
  <c r="I313" i="9"/>
  <c r="I504" i="9" s="1"/>
  <c r="H313" i="9"/>
  <c r="G313" i="9"/>
  <c r="G504" i="9" s="1"/>
  <c r="F313" i="9"/>
  <c r="E313" i="9"/>
  <c r="D313" i="9"/>
  <c r="C313" i="9"/>
  <c r="C504" i="9" s="1"/>
  <c r="B313" i="9"/>
  <c r="B504" i="9" s="1"/>
  <c r="K312" i="9"/>
  <c r="J312" i="9"/>
  <c r="J365" i="9" s="1"/>
  <c r="J525" i="9" s="1"/>
  <c r="I312" i="9"/>
  <c r="I503" i="9" s="1"/>
  <c r="H312" i="9"/>
  <c r="H503" i="9" s="1"/>
  <c r="G312" i="9"/>
  <c r="F312" i="9"/>
  <c r="E312" i="9"/>
  <c r="E365" i="9" s="1"/>
  <c r="E525" i="9" s="1"/>
  <c r="D312" i="9"/>
  <c r="D365" i="9" s="1"/>
  <c r="D525" i="9" s="1"/>
  <c r="C312" i="9"/>
  <c r="B312" i="9"/>
  <c r="B503" i="9" s="1"/>
  <c r="K311" i="9"/>
  <c r="J311" i="9"/>
  <c r="I311" i="9"/>
  <c r="I502" i="9" s="1"/>
  <c r="H311" i="9"/>
  <c r="H502" i="9" s="1"/>
  <c r="G311" i="9"/>
  <c r="F311" i="9"/>
  <c r="E311" i="9"/>
  <c r="D311" i="9"/>
  <c r="D502" i="9" s="1"/>
  <c r="C311" i="9"/>
  <c r="C364" i="9" s="1"/>
  <c r="C524" i="9" s="1"/>
  <c r="B311" i="9"/>
  <c r="K310" i="9"/>
  <c r="K363" i="9" s="1"/>
  <c r="K523" i="9" s="1"/>
  <c r="J310" i="9"/>
  <c r="J501" i="9" s="1"/>
  <c r="I310" i="9"/>
  <c r="H310" i="9"/>
  <c r="H501" i="9" s="1"/>
  <c r="G310" i="9"/>
  <c r="F310" i="9"/>
  <c r="F363" i="9" s="1"/>
  <c r="F523" i="9" s="1"/>
  <c r="E310" i="9"/>
  <c r="D310" i="9"/>
  <c r="D363" i="9" s="1"/>
  <c r="D523" i="9" s="1"/>
  <c r="C310" i="9"/>
  <c r="C501" i="9" s="1"/>
  <c r="B310" i="9"/>
  <c r="K309" i="9"/>
  <c r="H309" i="9"/>
  <c r="E309" i="9"/>
  <c r="D309" i="9"/>
  <c r="C309" i="9"/>
  <c r="C362" i="9" s="1"/>
  <c r="B309" i="9"/>
  <c r="K308" i="9"/>
  <c r="I308" i="9"/>
  <c r="I361" i="9" s="1"/>
  <c r="H308" i="9"/>
  <c r="G308" i="9"/>
  <c r="F308" i="9"/>
  <c r="F361" i="9" s="1"/>
  <c r="E308" i="9"/>
  <c r="E361" i="9" s="1"/>
  <c r="D308" i="9"/>
  <c r="C308" i="9"/>
  <c r="B308" i="9"/>
  <c r="K307" i="9"/>
  <c r="K360" i="9" s="1"/>
  <c r="J307" i="9"/>
  <c r="I307" i="9"/>
  <c r="I360" i="9" s="1"/>
  <c r="H307" i="9"/>
  <c r="G307" i="9"/>
  <c r="F307" i="9"/>
  <c r="E307" i="9"/>
  <c r="D307" i="9"/>
  <c r="D360" i="9" s="1"/>
  <c r="C307" i="9"/>
  <c r="B307" i="9"/>
  <c r="K306" i="9"/>
  <c r="K359" i="9" s="1"/>
  <c r="J306" i="9"/>
  <c r="I306" i="9"/>
  <c r="H306" i="9"/>
  <c r="G306" i="9"/>
  <c r="G359" i="9" s="1"/>
  <c r="F306" i="9"/>
  <c r="F359" i="9" s="1"/>
  <c r="E306" i="9"/>
  <c r="D306" i="9"/>
  <c r="C306" i="9"/>
  <c r="B306" i="9"/>
  <c r="K305" i="9"/>
  <c r="J305" i="9"/>
  <c r="I305" i="9"/>
  <c r="H305" i="9"/>
  <c r="G305" i="9"/>
  <c r="F305" i="9"/>
  <c r="E305" i="9"/>
  <c r="D305" i="9"/>
  <c r="C305" i="9"/>
  <c r="B305" i="9"/>
  <c r="K304" i="9"/>
  <c r="K357" i="9" s="1"/>
  <c r="J304" i="9"/>
  <c r="J357" i="9" s="1"/>
  <c r="I304" i="9"/>
  <c r="I357" i="9" s="1"/>
  <c r="H304" i="9"/>
  <c r="H357" i="9" s="1"/>
  <c r="G304" i="9"/>
  <c r="G357" i="9" s="1"/>
  <c r="F304" i="9"/>
  <c r="F357" i="9" s="1"/>
  <c r="E304" i="9"/>
  <c r="E357" i="9" s="1"/>
  <c r="C304" i="9"/>
  <c r="C357" i="9" s="1"/>
  <c r="B304" i="9"/>
  <c r="B357" i="9" s="1"/>
  <c r="K303" i="9"/>
  <c r="K356" i="9" s="1"/>
  <c r="J303" i="9"/>
  <c r="J356" i="9" s="1"/>
  <c r="I303" i="9"/>
  <c r="I356" i="9" s="1"/>
  <c r="H303" i="9"/>
  <c r="H356" i="9" s="1"/>
  <c r="G303" i="9"/>
  <c r="G356" i="9" s="1"/>
  <c r="F303" i="9"/>
  <c r="F356" i="9" s="1"/>
  <c r="E303" i="9"/>
  <c r="E356" i="9" s="1"/>
  <c r="D303" i="9"/>
  <c r="D356" i="9" s="1"/>
  <c r="C303" i="9"/>
  <c r="C356" i="9" s="1"/>
  <c r="B303" i="9"/>
  <c r="B356" i="9" s="1"/>
  <c r="K302" i="9"/>
  <c r="K355" i="9" s="1"/>
  <c r="J302" i="9"/>
  <c r="J355" i="9" s="1"/>
  <c r="I302" i="9"/>
  <c r="I355" i="9" s="1"/>
  <c r="H302" i="9"/>
  <c r="H355" i="9" s="1"/>
  <c r="G302" i="9"/>
  <c r="G355" i="9" s="1"/>
  <c r="F302" i="9"/>
  <c r="F355" i="9" s="1"/>
  <c r="E302" i="9"/>
  <c r="E355" i="9" s="1"/>
  <c r="D302" i="9"/>
  <c r="D355" i="9" s="1"/>
  <c r="C302" i="9"/>
  <c r="C355" i="9" s="1"/>
  <c r="B302" i="9"/>
  <c r="B355" i="9" s="1"/>
  <c r="K301" i="9"/>
  <c r="K354" i="9" s="1"/>
  <c r="J301" i="9"/>
  <c r="J354" i="9" s="1"/>
  <c r="I301" i="9"/>
  <c r="I354" i="9" s="1"/>
  <c r="H301" i="9"/>
  <c r="H354" i="9" s="1"/>
  <c r="G301" i="9"/>
  <c r="G354" i="9" s="1"/>
  <c r="F301" i="9"/>
  <c r="F354" i="9" s="1"/>
  <c r="E301" i="9"/>
  <c r="E354" i="9" s="1"/>
  <c r="D301" i="9"/>
  <c r="D354" i="9" s="1"/>
  <c r="C301" i="9"/>
  <c r="C354" i="9" s="1"/>
  <c r="B301" i="9"/>
  <c r="B354" i="9" s="1"/>
  <c r="K300" i="9"/>
  <c r="J300" i="9"/>
  <c r="J353" i="9" s="1"/>
  <c r="I300" i="9"/>
  <c r="H300" i="9"/>
  <c r="H353" i="9" s="1"/>
  <c r="G300" i="9"/>
  <c r="F300" i="9"/>
  <c r="F353" i="9" s="1"/>
  <c r="E300" i="9"/>
  <c r="E353" i="9" s="1"/>
  <c r="D300" i="9"/>
  <c r="C300" i="9"/>
  <c r="B300" i="9"/>
  <c r="K299" i="9"/>
  <c r="K352" i="9" s="1"/>
  <c r="J299" i="9"/>
  <c r="J352" i="9" s="1"/>
  <c r="I299" i="9"/>
  <c r="I352" i="9" s="1"/>
  <c r="H299" i="9"/>
  <c r="H352" i="9" s="1"/>
  <c r="G299" i="9"/>
  <c r="G352" i="9" s="1"/>
  <c r="F299" i="9"/>
  <c r="F352" i="9" s="1"/>
  <c r="E299" i="9"/>
  <c r="E352" i="9" s="1"/>
  <c r="D299" i="9"/>
  <c r="D352" i="9" s="1"/>
  <c r="C299" i="9"/>
  <c r="C352" i="9" s="1"/>
  <c r="B299" i="9"/>
  <c r="B352" i="9" s="1"/>
  <c r="K298" i="9"/>
  <c r="K351" i="9" s="1"/>
  <c r="J298" i="9"/>
  <c r="J351" i="9" s="1"/>
  <c r="I298" i="9"/>
  <c r="I351" i="9" s="1"/>
  <c r="H298" i="9"/>
  <c r="H351" i="9" s="1"/>
  <c r="G298" i="9"/>
  <c r="G351" i="9" s="1"/>
  <c r="F298" i="9"/>
  <c r="F351" i="9" s="1"/>
  <c r="E298" i="9"/>
  <c r="E351" i="9" s="1"/>
  <c r="D298" i="9"/>
  <c r="D351" i="9" s="1"/>
  <c r="C298" i="9"/>
  <c r="C351" i="9" s="1"/>
  <c r="B298" i="9"/>
  <c r="B351" i="9" s="1"/>
  <c r="K297" i="9"/>
  <c r="K350" i="9" s="1"/>
  <c r="J297" i="9"/>
  <c r="J350" i="9" s="1"/>
  <c r="I297" i="9"/>
  <c r="I350" i="9" s="1"/>
  <c r="H297" i="9"/>
  <c r="H350" i="9" s="1"/>
  <c r="G297" i="9"/>
  <c r="G350" i="9" s="1"/>
  <c r="F297" i="9"/>
  <c r="F350" i="9" s="1"/>
  <c r="E297" i="9"/>
  <c r="E350" i="9" s="1"/>
  <c r="D297" i="9"/>
  <c r="D350" i="9" s="1"/>
  <c r="C297" i="9"/>
  <c r="C350" i="9" s="1"/>
  <c r="B297" i="9"/>
  <c r="B350" i="9" s="1"/>
  <c r="K296" i="9"/>
  <c r="K349" i="9" s="1"/>
  <c r="J296" i="9"/>
  <c r="J349" i="9" s="1"/>
  <c r="I296" i="9"/>
  <c r="I349" i="9" s="1"/>
  <c r="H296" i="9"/>
  <c r="H349" i="9" s="1"/>
  <c r="G296" i="9"/>
  <c r="G349" i="9" s="1"/>
  <c r="F296" i="9"/>
  <c r="F349" i="9" s="1"/>
  <c r="E296" i="9"/>
  <c r="E349" i="9" s="1"/>
  <c r="D296" i="9"/>
  <c r="D349" i="9" s="1"/>
  <c r="C296" i="9"/>
  <c r="C349" i="9" s="1"/>
  <c r="B296" i="9"/>
  <c r="B349" i="9" s="1"/>
  <c r="K295" i="9"/>
  <c r="K348" i="9" s="1"/>
  <c r="J295" i="9"/>
  <c r="J348" i="9" s="1"/>
  <c r="I295" i="9"/>
  <c r="H295" i="9"/>
  <c r="G295" i="9"/>
  <c r="F295" i="9"/>
  <c r="E295" i="9"/>
  <c r="E348" i="9" s="1"/>
  <c r="D295" i="9"/>
  <c r="C295" i="9"/>
  <c r="C348" i="9" s="1"/>
  <c r="B295" i="9"/>
  <c r="B348" i="9" s="1"/>
  <c r="K294" i="9"/>
  <c r="K347" i="9" s="1"/>
  <c r="J294" i="9"/>
  <c r="J347" i="9" s="1"/>
  <c r="I294" i="9"/>
  <c r="I347" i="9" s="1"/>
  <c r="H294" i="9"/>
  <c r="H347" i="9" s="1"/>
  <c r="G294" i="9"/>
  <c r="G347" i="9" s="1"/>
  <c r="F294" i="9"/>
  <c r="F347" i="9" s="1"/>
  <c r="E294" i="9"/>
  <c r="E347" i="9" s="1"/>
  <c r="D294" i="9"/>
  <c r="D347" i="9" s="1"/>
  <c r="C294" i="9"/>
  <c r="C347" i="9" s="1"/>
  <c r="B294" i="9"/>
  <c r="B347" i="9" s="1"/>
  <c r="K293" i="9"/>
  <c r="K346" i="9" s="1"/>
  <c r="J293" i="9"/>
  <c r="J346" i="9" s="1"/>
  <c r="I293" i="9"/>
  <c r="I346" i="9" s="1"/>
  <c r="H293" i="9"/>
  <c r="H346" i="9" s="1"/>
  <c r="G293" i="9"/>
  <c r="G346" i="9" s="1"/>
  <c r="F293" i="9"/>
  <c r="F346" i="9" s="1"/>
  <c r="E293" i="9"/>
  <c r="E346" i="9" s="1"/>
  <c r="D293" i="9"/>
  <c r="D346" i="9" s="1"/>
  <c r="C293" i="9"/>
  <c r="C346" i="9" s="1"/>
  <c r="B293" i="9"/>
  <c r="B346" i="9" s="1"/>
  <c r="K292" i="9"/>
  <c r="K345" i="9" s="1"/>
  <c r="J292" i="9"/>
  <c r="J345" i="9" s="1"/>
  <c r="I292" i="9"/>
  <c r="I345" i="9" s="1"/>
  <c r="H292" i="9"/>
  <c r="H345" i="9" s="1"/>
  <c r="G292" i="9"/>
  <c r="G345" i="9" s="1"/>
  <c r="F292" i="9"/>
  <c r="F345" i="9" s="1"/>
  <c r="E292" i="9"/>
  <c r="E345" i="9" s="1"/>
  <c r="D292" i="9"/>
  <c r="D345" i="9" s="1"/>
  <c r="C292" i="9"/>
  <c r="C345" i="9" s="1"/>
  <c r="B292" i="9"/>
  <c r="B345" i="9" s="1"/>
  <c r="K291" i="9"/>
  <c r="K344" i="9" s="1"/>
  <c r="J291" i="9"/>
  <c r="J344" i="9" s="1"/>
  <c r="I291" i="9"/>
  <c r="I344" i="9" s="1"/>
  <c r="H291" i="9"/>
  <c r="H344" i="9" s="1"/>
  <c r="G291" i="9"/>
  <c r="G344" i="9" s="1"/>
  <c r="F291" i="9"/>
  <c r="F344" i="9" s="1"/>
  <c r="E291" i="9"/>
  <c r="E344" i="9" s="1"/>
  <c r="D291" i="9"/>
  <c r="D344" i="9" s="1"/>
  <c r="C291" i="9"/>
  <c r="C344" i="9" s="1"/>
  <c r="B291" i="9"/>
  <c r="B344" i="9" s="1"/>
  <c r="K290" i="9"/>
  <c r="K343" i="9" s="1"/>
  <c r="J290" i="9"/>
  <c r="I290" i="9"/>
  <c r="H290" i="9"/>
  <c r="G290" i="9"/>
  <c r="G343" i="9" s="1"/>
  <c r="F290" i="9"/>
  <c r="E290" i="9"/>
  <c r="D290" i="9"/>
  <c r="C290" i="9"/>
  <c r="C343" i="9" s="1"/>
  <c r="B290" i="9"/>
  <c r="B343" i="9" s="1"/>
  <c r="K289" i="9"/>
  <c r="K342" i="9" s="1"/>
  <c r="J289" i="9"/>
  <c r="J342" i="9" s="1"/>
  <c r="I289" i="9"/>
  <c r="I342" i="9" s="1"/>
  <c r="H289" i="9"/>
  <c r="H342" i="9" s="1"/>
  <c r="G289" i="9"/>
  <c r="G342" i="9" s="1"/>
  <c r="F289" i="9"/>
  <c r="F342" i="9" s="1"/>
  <c r="E289" i="9"/>
  <c r="E342" i="9" s="1"/>
  <c r="D289" i="9"/>
  <c r="D342" i="9" s="1"/>
  <c r="C289" i="9"/>
  <c r="C342" i="9" s="1"/>
  <c r="B289" i="9"/>
  <c r="B342" i="9" s="1"/>
  <c r="K288" i="9"/>
  <c r="K341" i="9" s="1"/>
  <c r="J288" i="9"/>
  <c r="J341" i="9" s="1"/>
  <c r="I288" i="9"/>
  <c r="I341" i="9" s="1"/>
  <c r="H288" i="9"/>
  <c r="H341" i="9" s="1"/>
  <c r="G288" i="9"/>
  <c r="G341" i="9" s="1"/>
  <c r="F288" i="9"/>
  <c r="F341" i="9" s="1"/>
  <c r="E288" i="9"/>
  <c r="E341" i="9" s="1"/>
  <c r="D288" i="9"/>
  <c r="D341" i="9" s="1"/>
  <c r="C288" i="9"/>
  <c r="C341" i="9" s="1"/>
  <c r="B288" i="9"/>
  <c r="B341" i="9" s="1"/>
  <c r="K287" i="9"/>
  <c r="K340" i="9" s="1"/>
  <c r="J287" i="9"/>
  <c r="J340" i="9" s="1"/>
  <c r="I287" i="9"/>
  <c r="I340" i="9" s="1"/>
  <c r="H287" i="9"/>
  <c r="H340" i="9" s="1"/>
  <c r="G287" i="9"/>
  <c r="G340" i="9" s="1"/>
  <c r="F287" i="9"/>
  <c r="F340" i="9" s="1"/>
  <c r="E287" i="9"/>
  <c r="E340" i="9" s="1"/>
  <c r="D287" i="9"/>
  <c r="D340" i="9" s="1"/>
  <c r="C287" i="9"/>
  <c r="C340" i="9" s="1"/>
  <c r="B287" i="9"/>
  <c r="B340" i="9" s="1"/>
  <c r="K286" i="9"/>
  <c r="K339" i="9" s="1"/>
  <c r="J286" i="9"/>
  <c r="I286" i="9"/>
  <c r="I339" i="9" s="1"/>
  <c r="H286" i="9"/>
  <c r="H339" i="9" s="1"/>
  <c r="G286" i="9"/>
  <c r="G339" i="9" s="1"/>
  <c r="F286" i="9"/>
  <c r="E286" i="9"/>
  <c r="E339" i="9" s="1"/>
  <c r="D286" i="9"/>
  <c r="D339" i="9" s="1"/>
  <c r="C286" i="9"/>
  <c r="C339" i="9" s="1"/>
  <c r="B286" i="9"/>
  <c r="B339" i="9" s="1"/>
  <c r="K285" i="9"/>
  <c r="K338" i="9" s="1"/>
  <c r="J285" i="9"/>
  <c r="J338" i="9" s="1"/>
  <c r="I285" i="9"/>
  <c r="I338" i="9" s="1"/>
  <c r="H285" i="9"/>
  <c r="G285" i="9"/>
  <c r="F285" i="9"/>
  <c r="F338" i="9" s="1"/>
  <c r="E285" i="9"/>
  <c r="E338" i="9" s="1"/>
  <c r="D285" i="9"/>
  <c r="C285" i="9"/>
  <c r="C338" i="9" s="1"/>
  <c r="B285" i="9"/>
  <c r="B338" i="9" s="1"/>
  <c r="K284" i="9"/>
  <c r="K337" i="9" s="1"/>
  <c r="J284" i="9"/>
  <c r="J337" i="9" s="1"/>
  <c r="I284" i="9"/>
  <c r="I337" i="9" s="1"/>
  <c r="H284" i="9"/>
  <c r="H337" i="9" s="1"/>
  <c r="G284" i="9"/>
  <c r="G337" i="9" s="1"/>
  <c r="F284" i="9"/>
  <c r="F337" i="9" s="1"/>
  <c r="E284" i="9"/>
  <c r="E337" i="9" s="1"/>
  <c r="D284" i="9"/>
  <c r="D337" i="9" s="1"/>
  <c r="C284" i="9"/>
  <c r="C337" i="9" s="1"/>
  <c r="B284" i="9"/>
  <c r="B337" i="9" s="1"/>
  <c r="K283" i="9"/>
  <c r="K336" i="9" s="1"/>
  <c r="J283" i="9"/>
  <c r="J336" i="9" s="1"/>
  <c r="I283" i="9"/>
  <c r="I336" i="9" s="1"/>
  <c r="H283" i="9"/>
  <c r="H336" i="9" s="1"/>
  <c r="G283" i="9"/>
  <c r="G336" i="9" s="1"/>
  <c r="F283" i="9"/>
  <c r="F336" i="9" s="1"/>
  <c r="E283" i="9"/>
  <c r="E336" i="9" s="1"/>
  <c r="D283" i="9"/>
  <c r="D336" i="9" s="1"/>
  <c r="C283" i="9"/>
  <c r="C336" i="9" s="1"/>
  <c r="B283" i="9"/>
  <c r="B336" i="9" s="1"/>
  <c r="K282" i="9"/>
  <c r="K335" i="9" s="1"/>
  <c r="J282" i="9"/>
  <c r="J335" i="9" s="1"/>
  <c r="I282" i="9"/>
  <c r="I335" i="9" s="1"/>
  <c r="H282" i="9"/>
  <c r="H335" i="9" s="1"/>
  <c r="G282" i="9"/>
  <c r="G335" i="9" s="1"/>
  <c r="F282" i="9"/>
  <c r="F335" i="9" s="1"/>
  <c r="E282" i="9"/>
  <c r="E335" i="9" s="1"/>
  <c r="D282" i="9"/>
  <c r="D335" i="9" s="1"/>
  <c r="C282" i="9"/>
  <c r="C335" i="9" s="1"/>
  <c r="B282" i="9"/>
  <c r="B335" i="9" s="1"/>
  <c r="K281" i="9"/>
  <c r="K334" i="9" s="1"/>
  <c r="J281" i="9"/>
  <c r="J334" i="9" s="1"/>
  <c r="I281" i="9"/>
  <c r="I334" i="9" s="1"/>
  <c r="H281" i="9"/>
  <c r="H334" i="9" s="1"/>
  <c r="G281" i="9"/>
  <c r="G334" i="9" s="1"/>
  <c r="F281" i="9"/>
  <c r="F334" i="9" s="1"/>
  <c r="E281" i="9"/>
  <c r="E334" i="9" s="1"/>
  <c r="D281" i="9"/>
  <c r="D334" i="9" s="1"/>
  <c r="C281" i="9"/>
  <c r="C334" i="9" s="1"/>
  <c r="B281" i="9"/>
  <c r="B334" i="9" s="1"/>
  <c r="K280" i="9"/>
  <c r="K333" i="9" s="1"/>
  <c r="J280" i="9"/>
  <c r="I280" i="9"/>
  <c r="I333" i="9" s="1"/>
  <c r="H280" i="9"/>
  <c r="G280" i="9"/>
  <c r="G333" i="9" s="1"/>
  <c r="F280" i="9"/>
  <c r="F333" i="9" s="1"/>
  <c r="E280" i="9"/>
  <c r="E333" i="9" s="1"/>
  <c r="D280" i="9"/>
  <c r="D333" i="9" s="1"/>
  <c r="C280" i="9"/>
  <c r="C333" i="9" s="1"/>
  <c r="B280" i="9"/>
  <c r="B333" i="9" s="1"/>
  <c r="K279" i="9"/>
  <c r="K332" i="9" s="1"/>
  <c r="J279" i="9"/>
  <c r="J332" i="9" s="1"/>
  <c r="I279" i="9"/>
  <c r="I332" i="9" s="1"/>
  <c r="H279" i="9"/>
  <c r="H332" i="9" s="1"/>
  <c r="G279" i="9"/>
  <c r="G332" i="9" s="1"/>
  <c r="F279" i="9"/>
  <c r="F332" i="9" s="1"/>
  <c r="E279" i="9"/>
  <c r="E332" i="9" s="1"/>
  <c r="D279" i="9"/>
  <c r="D332" i="9" s="1"/>
  <c r="C279" i="9"/>
  <c r="C332" i="9" s="1"/>
  <c r="B279" i="9"/>
  <c r="B332" i="9" s="1"/>
  <c r="K278" i="9"/>
  <c r="K331" i="9" s="1"/>
  <c r="J278" i="9"/>
  <c r="J331" i="9" s="1"/>
  <c r="I278" i="9"/>
  <c r="I331" i="9" s="1"/>
  <c r="H278" i="9"/>
  <c r="H331" i="9" s="1"/>
  <c r="G278" i="9"/>
  <c r="G331" i="9" s="1"/>
  <c r="F278" i="9"/>
  <c r="F331" i="9" s="1"/>
  <c r="E278" i="9"/>
  <c r="E331" i="9" s="1"/>
  <c r="D278" i="9"/>
  <c r="D331" i="9" s="1"/>
  <c r="C278" i="9"/>
  <c r="C331" i="9" s="1"/>
  <c r="B278" i="9"/>
  <c r="B331" i="9" s="1"/>
  <c r="K277" i="9"/>
  <c r="K330" i="9" s="1"/>
  <c r="J277" i="9"/>
  <c r="J330" i="9" s="1"/>
  <c r="I277" i="9"/>
  <c r="I330" i="9" s="1"/>
  <c r="H277" i="9"/>
  <c r="H330" i="9" s="1"/>
  <c r="G277" i="9"/>
  <c r="G330" i="9" s="1"/>
  <c r="F277" i="9"/>
  <c r="F330" i="9" s="1"/>
  <c r="E277" i="9"/>
  <c r="E330" i="9" s="1"/>
  <c r="D277" i="9"/>
  <c r="D330" i="9" s="1"/>
  <c r="C277" i="9"/>
  <c r="C330" i="9" s="1"/>
  <c r="B277" i="9"/>
  <c r="B330" i="9" s="1"/>
  <c r="K276" i="9"/>
  <c r="K329" i="9" s="1"/>
  <c r="J276" i="9"/>
  <c r="J329" i="9" s="1"/>
  <c r="I276" i="9"/>
  <c r="I329" i="9" s="1"/>
  <c r="H276" i="9"/>
  <c r="H329" i="9" s="1"/>
  <c r="G276" i="9"/>
  <c r="G329" i="9" s="1"/>
  <c r="F276" i="9"/>
  <c r="F329" i="9" s="1"/>
  <c r="E276" i="9"/>
  <c r="E329" i="9" s="1"/>
  <c r="D276" i="9"/>
  <c r="D329" i="9" s="1"/>
  <c r="C276" i="9"/>
  <c r="C329" i="9" s="1"/>
  <c r="B276" i="9"/>
  <c r="B329" i="9" s="1"/>
  <c r="K275" i="9"/>
  <c r="K328" i="9" s="1"/>
  <c r="J275" i="9"/>
  <c r="J328" i="9" s="1"/>
  <c r="I275" i="9"/>
  <c r="I328" i="9" s="1"/>
  <c r="H275" i="9"/>
  <c r="H328" i="9" s="1"/>
  <c r="G275" i="9"/>
  <c r="G328" i="9" s="1"/>
  <c r="F275" i="9"/>
  <c r="F328" i="9" s="1"/>
  <c r="E275" i="9"/>
  <c r="E328" i="9" s="1"/>
  <c r="D275" i="9"/>
  <c r="D328" i="9" s="1"/>
  <c r="C275" i="9"/>
  <c r="C328" i="9" s="1"/>
  <c r="B275" i="9"/>
  <c r="B328" i="9" s="1"/>
  <c r="K274" i="9"/>
  <c r="K327" i="9" s="1"/>
  <c r="J274" i="9"/>
  <c r="J327" i="9" s="1"/>
  <c r="I274" i="9"/>
  <c r="I327" i="9" s="1"/>
  <c r="H274" i="9"/>
  <c r="H327" i="9" s="1"/>
  <c r="G274" i="9"/>
  <c r="G327" i="9" s="1"/>
  <c r="F274" i="9"/>
  <c r="F327" i="9" s="1"/>
  <c r="E274" i="9"/>
  <c r="E327" i="9" s="1"/>
  <c r="D274" i="9"/>
  <c r="D327" i="9" s="1"/>
  <c r="C274" i="9"/>
  <c r="C327" i="9" s="1"/>
  <c r="B274" i="9"/>
  <c r="B327" i="9" s="1"/>
  <c r="K273" i="9"/>
  <c r="K326" i="9" s="1"/>
  <c r="J273" i="9"/>
  <c r="J326" i="9" s="1"/>
  <c r="I273" i="9"/>
  <c r="I326" i="9" s="1"/>
  <c r="H273" i="9"/>
  <c r="H326" i="9" s="1"/>
  <c r="G273" i="9"/>
  <c r="G326" i="9" s="1"/>
  <c r="F273" i="9"/>
  <c r="F326" i="9" s="1"/>
  <c r="E273" i="9"/>
  <c r="E326" i="9" s="1"/>
  <c r="D273" i="9"/>
  <c r="D326" i="9" s="1"/>
  <c r="C273" i="9"/>
  <c r="C326" i="9" s="1"/>
  <c r="B273" i="9"/>
  <c r="B326" i="9" s="1"/>
  <c r="K272" i="9"/>
  <c r="K325" i="9" s="1"/>
  <c r="J272" i="9"/>
  <c r="J325" i="9" s="1"/>
  <c r="I272" i="9"/>
  <c r="I325" i="9" s="1"/>
  <c r="H272" i="9"/>
  <c r="H325" i="9" s="1"/>
  <c r="G272" i="9"/>
  <c r="G325" i="9" s="1"/>
  <c r="F272" i="9"/>
  <c r="F325" i="9" s="1"/>
  <c r="E272" i="9"/>
  <c r="E325" i="9" s="1"/>
  <c r="D272" i="9"/>
  <c r="D325" i="9" s="1"/>
  <c r="C272" i="9"/>
  <c r="C325" i="9" s="1"/>
  <c r="B272" i="9"/>
  <c r="B325" i="9" s="1"/>
  <c r="K271" i="9"/>
  <c r="K324" i="9" s="1"/>
  <c r="J271" i="9"/>
  <c r="J324" i="9" s="1"/>
  <c r="I271" i="9"/>
  <c r="I324" i="9" s="1"/>
  <c r="H271" i="9"/>
  <c r="H324" i="9" s="1"/>
  <c r="G271" i="9"/>
  <c r="G324" i="9" s="1"/>
  <c r="F271" i="9"/>
  <c r="F324" i="9" s="1"/>
  <c r="E271" i="9"/>
  <c r="E324" i="9" s="1"/>
  <c r="D271" i="9"/>
  <c r="D324" i="9" s="1"/>
  <c r="C271" i="9"/>
  <c r="C324" i="9" s="1"/>
  <c r="B271" i="9"/>
  <c r="B324" i="9" s="1"/>
  <c r="K270" i="9"/>
  <c r="K323" i="9" s="1"/>
  <c r="J270" i="9"/>
  <c r="J323" i="9" s="1"/>
  <c r="I270" i="9"/>
  <c r="I323" i="9" s="1"/>
  <c r="H270" i="9"/>
  <c r="H323" i="9" s="1"/>
  <c r="G270" i="9"/>
  <c r="G323" i="9" s="1"/>
  <c r="F270" i="9"/>
  <c r="F323" i="9" s="1"/>
  <c r="E270" i="9"/>
  <c r="E323" i="9" s="1"/>
  <c r="D323" i="9"/>
  <c r="C323" i="9"/>
  <c r="B270" i="9"/>
  <c r="B323" i="9" s="1"/>
  <c r="L267" i="9"/>
  <c r="L263" i="9"/>
  <c r="L488" i="9" s="1"/>
  <c r="L262" i="9"/>
  <c r="L487" i="9" s="1"/>
  <c r="L261" i="9"/>
  <c r="L486" i="9" s="1"/>
  <c r="L260" i="9"/>
  <c r="L259" i="9"/>
  <c r="L484" i="9" s="1"/>
  <c r="L258" i="9"/>
  <c r="L483" i="9" s="1"/>
  <c r="L257" i="9"/>
  <c r="L482" i="9" s="1"/>
  <c r="I256" i="9"/>
  <c r="I481" i="9" s="1"/>
  <c r="F256" i="9"/>
  <c r="F481" i="9" s="1"/>
  <c r="L254" i="9"/>
  <c r="L253" i="9"/>
  <c r="L252" i="9"/>
  <c r="L251" i="9"/>
  <c r="L250" i="9"/>
  <c r="L249" i="9"/>
  <c r="L248" i="9"/>
  <c r="L247" i="9"/>
  <c r="L246" i="9"/>
  <c r="L245" i="9"/>
  <c r="L244" i="9"/>
  <c r="L243" i="9"/>
  <c r="L242" i="9"/>
  <c r="L241" i="9"/>
  <c r="L240" i="9"/>
  <c r="L237" i="9"/>
  <c r="L236" i="9"/>
  <c r="L235" i="9"/>
  <c r="L234" i="9"/>
  <c r="L233" i="9"/>
  <c r="L232" i="9"/>
  <c r="L231" i="9"/>
  <c r="L230" i="9"/>
  <c r="L229" i="9"/>
  <c r="L228" i="9"/>
  <c r="L227" i="9"/>
  <c r="L226" i="9"/>
  <c r="L225" i="9"/>
  <c r="L224" i="9"/>
  <c r="L223" i="9"/>
  <c r="L222" i="9"/>
  <c r="L221" i="9"/>
  <c r="L220" i="9"/>
  <c r="L219" i="9"/>
  <c r="L218" i="9"/>
  <c r="L217" i="9"/>
  <c r="L214" i="9"/>
  <c r="L470" i="9" s="1"/>
  <c r="L210" i="9"/>
  <c r="L466" i="9" s="1"/>
  <c r="L209" i="9"/>
  <c r="L465" i="9" s="1"/>
  <c r="L208" i="9"/>
  <c r="L464" i="9" s="1"/>
  <c r="L207" i="9"/>
  <c r="L463" i="9" s="1"/>
  <c r="L206" i="9"/>
  <c r="L462" i="9" s="1"/>
  <c r="L205" i="9"/>
  <c r="L461" i="9" s="1"/>
  <c r="L204" i="9"/>
  <c r="L460" i="9" s="1"/>
  <c r="I203" i="9"/>
  <c r="I459" i="9" s="1"/>
  <c r="L202" i="9"/>
  <c r="L201" i="9"/>
  <c r="L200" i="9"/>
  <c r="L199" i="9"/>
  <c r="D198" i="9"/>
  <c r="D304" i="9" s="1"/>
  <c r="D357" i="9" s="1"/>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67" i="9"/>
  <c r="L166" i="9"/>
  <c r="L165" i="9"/>
  <c r="L164" i="9"/>
  <c r="L161" i="9"/>
  <c r="L451" i="9" s="1"/>
  <c r="L157" i="9"/>
  <c r="L447" i="9" s="1"/>
  <c r="L156" i="9"/>
  <c r="L446" i="9" s="1"/>
  <c r="L155" i="9"/>
  <c r="L445" i="9" s="1"/>
  <c r="L154" i="9"/>
  <c r="L444" i="9" s="1"/>
  <c r="L153" i="9"/>
  <c r="L443" i="9" s="1"/>
  <c r="L152" i="9"/>
  <c r="L442" i="9" s="1"/>
  <c r="L151" i="9"/>
  <c r="L441" i="9" s="1"/>
  <c r="G150" i="9"/>
  <c r="G440" i="9" s="1"/>
  <c r="L149"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08" i="9"/>
  <c r="L429" i="9" s="1"/>
  <c r="L104" i="9"/>
  <c r="L425" i="9" s="1"/>
  <c r="L103" i="9"/>
  <c r="L424" i="9" s="1"/>
  <c r="L102" i="9"/>
  <c r="L423" i="9" s="1"/>
  <c r="L101" i="9"/>
  <c r="L422" i="9" s="1"/>
  <c r="L100" i="9"/>
  <c r="L421" i="9" s="1"/>
  <c r="L99" i="9"/>
  <c r="L420" i="9" s="1"/>
  <c r="L98" i="9"/>
  <c r="L419" i="9" s="1"/>
  <c r="I97" i="9"/>
  <c r="I418" i="9" s="1"/>
  <c r="F97" i="9"/>
  <c r="F418" i="9" s="1"/>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5" i="9"/>
  <c r="L51" i="9"/>
  <c r="L406" i="9" s="1"/>
  <c r="L50" i="9"/>
  <c r="L405" i="9" s="1"/>
  <c r="L49" i="9"/>
  <c r="L404" i="9" s="1"/>
  <c r="L48" i="9"/>
  <c r="L47" i="9"/>
  <c r="L46" i="9"/>
  <c r="L45" i="9"/>
  <c r="L400" i="9" s="1"/>
  <c r="F44" i="9"/>
  <c r="F399" i="9" s="1"/>
  <c r="E44" i="9"/>
  <c r="E399" i="9" s="1"/>
  <c r="L43" i="9"/>
  <c r="L42" i="9"/>
  <c r="L41" i="9"/>
  <c r="L40" i="9"/>
  <c r="L39" i="9"/>
  <c r="L38" i="9"/>
  <c r="L37" i="9"/>
  <c r="L36" i="9"/>
  <c r="L35" i="9"/>
  <c r="L34" i="9"/>
  <c r="L33" i="9"/>
  <c r="L32" i="9"/>
  <c r="L31" i="9"/>
  <c r="L27" i="9"/>
  <c r="L26" i="9"/>
  <c r="L25" i="9"/>
  <c r="L24" i="9"/>
  <c r="L23" i="9"/>
  <c r="L22" i="9"/>
  <c r="L21" i="9"/>
  <c r="L20" i="9"/>
  <c r="L19" i="9"/>
  <c r="L18" i="9"/>
  <c r="L17" i="9"/>
  <c r="L16" i="9"/>
  <c r="L15" i="9"/>
  <c r="L14" i="9"/>
  <c r="L13" i="9"/>
  <c r="L12" i="9"/>
  <c r="L11" i="9"/>
  <c r="L10" i="9"/>
  <c r="L9" i="9"/>
  <c r="L8" i="9"/>
  <c r="L7" i="9"/>
  <c r="L6" i="9"/>
  <c r="L5" i="9"/>
  <c r="R496" i="12" l="1"/>
  <c r="I496" i="12"/>
  <c r="B496" i="12"/>
  <c r="J496" i="12"/>
  <c r="C496" i="12"/>
  <c r="M496" i="12"/>
  <c r="D496" i="12"/>
  <c r="N324" i="12"/>
  <c r="N496" i="12"/>
  <c r="K477" i="12"/>
  <c r="E496" i="12"/>
  <c r="O496" i="12"/>
  <c r="S477" i="12"/>
  <c r="F324" i="12"/>
  <c r="F496" i="12"/>
  <c r="P496" i="12"/>
  <c r="G496" i="12"/>
  <c r="Q496" i="12"/>
  <c r="K454" i="12"/>
  <c r="S454" i="12"/>
  <c r="K435" i="12"/>
  <c r="S435" i="12"/>
  <c r="K412" i="12"/>
  <c r="S412" i="12"/>
  <c r="K393" i="12"/>
  <c r="S393" i="12"/>
  <c r="O494" i="12"/>
  <c r="J324" i="11"/>
  <c r="J489" i="11"/>
  <c r="C324" i="11"/>
  <c r="C489" i="11"/>
  <c r="F324" i="11"/>
  <c r="F489" i="11"/>
  <c r="H489" i="11"/>
  <c r="I489" i="11"/>
  <c r="K470" i="11"/>
  <c r="K469" i="11"/>
  <c r="K449" i="11"/>
  <c r="E279" i="11"/>
  <c r="E489" i="11" s="1"/>
  <c r="E409" i="11"/>
  <c r="K390" i="11"/>
  <c r="I487" i="11"/>
  <c r="H491" i="10"/>
  <c r="J644" i="10"/>
  <c r="K644" i="10"/>
  <c r="S603" i="10"/>
  <c r="S584" i="10"/>
  <c r="S562" i="10"/>
  <c r="L134" i="10"/>
  <c r="L422" i="10" s="1"/>
  <c r="H562" i="10"/>
  <c r="S63" i="10"/>
  <c r="S543" i="10" s="1"/>
  <c r="Q543" i="10"/>
  <c r="L62" i="10"/>
  <c r="H543" i="10"/>
  <c r="S506" i="10"/>
  <c r="S677" i="10" s="1"/>
  <c r="C500" i="9"/>
  <c r="D500" i="9"/>
  <c r="K358" i="9"/>
  <c r="K500" i="9"/>
  <c r="E358" i="9"/>
  <c r="E500" i="9"/>
  <c r="F358" i="9"/>
  <c r="H500" i="9"/>
  <c r="B358" i="9"/>
  <c r="B522" i="9" s="1"/>
  <c r="B500" i="9"/>
  <c r="J358" i="9"/>
  <c r="J500" i="9"/>
  <c r="I518" i="9"/>
  <c r="G519" i="9"/>
  <c r="E520" i="9"/>
  <c r="F517" i="9"/>
  <c r="F521" i="9"/>
  <c r="D517" i="9"/>
  <c r="E517" i="9"/>
  <c r="E521" i="9"/>
  <c r="G517" i="9"/>
  <c r="E518" i="9"/>
  <c r="J520" i="9"/>
  <c r="H521" i="9"/>
  <c r="J495" i="9"/>
  <c r="J521" i="9"/>
  <c r="I517" i="9"/>
  <c r="B360" i="9"/>
  <c r="E493" i="12"/>
  <c r="L198" i="9"/>
  <c r="L304" i="9" s="1"/>
  <c r="L357" i="9" s="1"/>
  <c r="N491" i="12"/>
  <c r="R491" i="12"/>
  <c r="L150" i="9"/>
  <c r="L440" i="9" s="1"/>
  <c r="G367" i="9"/>
  <c r="G527" i="9" s="1"/>
  <c r="G493" i="12"/>
  <c r="G366" i="9"/>
  <c r="G526" i="9" s="1"/>
  <c r="E368" i="9"/>
  <c r="E528" i="9" s="1"/>
  <c r="H507" i="9"/>
  <c r="I359" i="9"/>
  <c r="D458" i="9"/>
  <c r="L274" i="10"/>
  <c r="L418" i="10" s="1"/>
  <c r="L490" i="10" s="1"/>
  <c r="I642" i="10"/>
  <c r="H324" i="11"/>
  <c r="B329" i="11"/>
  <c r="B511" i="11" s="1"/>
  <c r="H339" i="11"/>
  <c r="H521" i="11" s="1"/>
  <c r="Q324" i="12"/>
  <c r="M327" i="12"/>
  <c r="D331" i="12"/>
  <c r="D522" i="12" s="1"/>
  <c r="J497" i="12"/>
  <c r="M499" i="12"/>
  <c r="F309" i="9"/>
  <c r="F500" i="9" s="1"/>
  <c r="H365" i="9"/>
  <c r="H525" i="9" s="1"/>
  <c r="C502" i="9"/>
  <c r="L581" i="10"/>
  <c r="B325" i="11"/>
  <c r="I331" i="11"/>
  <c r="I513" i="11" s="1"/>
  <c r="I494" i="11"/>
  <c r="G309" i="12"/>
  <c r="G516" i="12" s="1"/>
  <c r="C325" i="12"/>
  <c r="H329" i="12"/>
  <c r="H520" i="12" s="1"/>
  <c r="N332" i="12"/>
  <c r="N523" i="12" s="1"/>
  <c r="P494" i="12"/>
  <c r="D498" i="12"/>
  <c r="C500" i="12"/>
  <c r="M501" i="12"/>
  <c r="L479" i="9"/>
  <c r="L256" i="9"/>
  <c r="L481" i="9" s="1"/>
  <c r="H358" i="9"/>
  <c r="L63" i="10"/>
  <c r="S581" i="10"/>
  <c r="I326" i="11"/>
  <c r="E332" i="11"/>
  <c r="E514" i="11" s="1"/>
  <c r="G325" i="12"/>
  <c r="D334" i="12"/>
  <c r="D525" i="12" s="1"/>
  <c r="I498" i="12"/>
  <c r="Q501" i="12"/>
  <c r="G328" i="11"/>
  <c r="E334" i="11"/>
  <c r="E516" i="11" s="1"/>
  <c r="G492" i="12"/>
  <c r="B495" i="12"/>
  <c r="D327" i="12"/>
  <c r="E330" i="12"/>
  <c r="E521" i="12" s="1"/>
  <c r="D335" i="12"/>
  <c r="D526" i="12" s="1"/>
  <c r="D497" i="12"/>
  <c r="R500" i="12"/>
  <c r="H502" i="12"/>
  <c r="S451" i="12"/>
  <c r="D339" i="12"/>
  <c r="D530" i="12" s="1"/>
  <c r="K430" i="12"/>
  <c r="S449" i="12"/>
  <c r="K472" i="12"/>
  <c r="K474" i="12"/>
  <c r="K476" i="12"/>
  <c r="K450" i="12"/>
  <c r="S453" i="12"/>
  <c r="S450" i="12"/>
  <c r="K475" i="12"/>
  <c r="K473" i="12"/>
  <c r="S252" i="12"/>
  <c r="S300" i="12" s="1"/>
  <c r="S472" i="12"/>
  <c r="S452" i="12"/>
  <c r="K449" i="12"/>
  <c r="K451" i="12"/>
  <c r="K452" i="12"/>
  <c r="S392" i="12"/>
  <c r="S250" i="12"/>
  <c r="S298" i="12" s="1"/>
  <c r="S408" i="12"/>
  <c r="S258" i="12"/>
  <c r="S306" i="12" s="1"/>
  <c r="S260" i="12"/>
  <c r="S308" i="12" s="1"/>
  <c r="K265" i="12"/>
  <c r="K313" i="12" s="1"/>
  <c r="K271" i="12"/>
  <c r="K319" i="12" s="1"/>
  <c r="K273" i="12"/>
  <c r="K321" i="12" s="1"/>
  <c r="K431" i="12"/>
  <c r="S433" i="12"/>
  <c r="K453" i="12"/>
  <c r="K275" i="12"/>
  <c r="K323" i="12" s="1"/>
  <c r="K267" i="12"/>
  <c r="K315" i="12" s="1"/>
  <c r="S246" i="12"/>
  <c r="S294" i="12" s="1"/>
  <c r="S248" i="12"/>
  <c r="S296" i="12" s="1"/>
  <c r="S254" i="12"/>
  <c r="S302" i="12" s="1"/>
  <c r="S262" i="12"/>
  <c r="S310" i="12" s="1"/>
  <c r="S434" i="12"/>
  <c r="K389" i="12"/>
  <c r="K392" i="12"/>
  <c r="K250" i="12"/>
  <c r="K298" i="12" s="1"/>
  <c r="K407" i="12"/>
  <c r="K408" i="12"/>
  <c r="K258" i="12"/>
  <c r="K306" i="12" s="1"/>
  <c r="S410" i="12"/>
  <c r="S268" i="12"/>
  <c r="S316" i="12" s="1"/>
  <c r="S411" i="12"/>
  <c r="S430" i="12"/>
  <c r="S431" i="12"/>
  <c r="S432" i="12"/>
  <c r="K433" i="12"/>
  <c r="K274" i="12"/>
  <c r="K322" i="12" s="1"/>
  <c r="K278" i="12"/>
  <c r="K284" i="12"/>
  <c r="K500" i="12" s="1"/>
  <c r="K439" i="12"/>
  <c r="K247" i="12"/>
  <c r="K295" i="12" s="1"/>
  <c r="K249" i="12"/>
  <c r="K297" i="12" s="1"/>
  <c r="K255" i="12"/>
  <c r="K303" i="12" s="1"/>
  <c r="K257" i="12"/>
  <c r="K305" i="12" s="1"/>
  <c r="K259" i="12"/>
  <c r="K307" i="12" s="1"/>
  <c r="K263" i="12"/>
  <c r="K311" i="12" s="1"/>
  <c r="S247" i="12"/>
  <c r="S295" i="12" s="1"/>
  <c r="S255" i="12"/>
  <c r="S303" i="12" s="1"/>
  <c r="S259" i="12"/>
  <c r="S307" i="12" s="1"/>
  <c r="S263" i="12"/>
  <c r="S311" i="12" s="1"/>
  <c r="S265" i="12"/>
  <c r="S313" i="12" s="1"/>
  <c r="S267" i="12"/>
  <c r="S315" i="12" s="1"/>
  <c r="S269" i="12"/>
  <c r="S317" i="12" s="1"/>
  <c r="S271" i="12"/>
  <c r="S319" i="12" s="1"/>
  <c r="S273" i="12"/>
  <c r="S321" i="12" s="1"/>
  <c r="S275" i="12"/>
  <c r="S323" i="12" s="1"/>
  <c r="S277" i="12"/>
  <c r="S281" i="12"/>
  <c r="S497" i="12" s="1"/>
  <c r="S274" i="12"/>
  <c r="S322" i="12" s="1"/>
  <c r="B325" i="12"/>
  <c r="J325" i="12"/>
  <c r="P325" i="12"/>
  <c r="N507" i="12"/>
  <c r="K409" i="12"/>
  <c r="K246" i="12"/>
  <c r="K294" i="12" s="1"/>
  <c r="K254" i="12"/>
  <c r="K302" i="12" s="1"/>
  <c r="K262" i="12"/>
  <c r="K310" i="12" s="1"/>
  <c r="S270" i="12"/>
  <c r="S318" i="12" s="1"/>
  <c r="S272" i="12"/>
  <c r="S320" i="12" s="1"/>
  <c r="J299" i="12"/>
  <c r="J514" i="12" s="1"/>
  <c r="J491" i="12"/>
  <c r="P491" i="12"/>
  <c r="F492" i="12"/>
  <c r="C324" i="12"/>
  <c r="I326" i="12"/>
  <c r="H330" i="12"/>
  <c r="H521" i="12" s="1"/>
  <c r="H498" i="12"/>
  <c r="S287" i="12"/>
  <c r="S503" i="12" s="1"/>
  <c r="P507" i="12"/>
  <c r="P339" i="12"/>
  <c r="P530" i="12" s="1"/>
  <c r="G324" i="12"/>
  <c r="P326" i="12"/>
  <c r="G499" i="12"/>
  <c r="S388" i="12"/>
  <c r="S390" i="12"/>
  <c r="S391" i="12"/>
  <c r="S407" i="12"/>
  <c r="K410" i="12"/>
  <c r="K270" i="12"/>
  <c r="K318" i="12" s="1"/>
  <c r="M517" i="12"/>
  <c r="H500" i="12"/>
  <c r="H332" i="12"/>
  <c r="H523" i="12" s="1"/>
  <c r="K285" i="12"/>
  <c r="K501" i="12" s="1"/>
  <c r="C334" i="12"/>
  <c r="C525" i="12" s="1"/>
  <c r="C502" i="12"/>
  <c r="O324" i="12"/>
  <c r="N325" i="12"/>
  <c r="D332" i="12"/>
  <c r="D523" i="12" s="1"/>
  <c r="N334" i="12"/>
  <c r="N525" i="12" s="1"/>
  <c r="I493" i="12"/>
  <c r="K279" i="12"/>
  <c r="K413" i="12"/>
  <c r="K281" i="12"/>
  <c r="K497" i="12" s="1"/>
  <c r="K415" i="12"/>
  <c r="K283" i="12"/>
  <c r="K499" i="12" s="1"/>
  <c r="K419" i="12"/>
  <c r="K287" i="12"/>
  <c r="K503" i="12" s="1"/>
  <c r="E491" i="12"/>
  <c r="I491" i="12"/>
  <c r="F493" i="12"/>
  <c r="F310" i="12"/>
  <c r="F516" i="12" s="1"/>
  <c r="Q327" i="12"/>
  <c r="B332" i="12"/>
  <c r="B523" i="12" s="1"/>
  <c r="B500" i="12"/>
  <c r="H501" i="12"/>
  <c r="H333" i="12"/>
  <c r="H524" i="12" s="1"/>
  <c r="N333" i="12"/>
  <c r="N524" i="12" s="1"/>
  <c r="N501" i="12"/>
  <c r="E326" i="12"/>
  <c r="D328" i="12"/>
  <c r="N330" i="12"/>
  <c r="N521" i="12" s="1"/>
  <c r="F333" i="12"/>
  <c r="F524" i="12" s="1"/>
  <c r="C503" i="12"/>
  <c r="K253" i="12"/>
  <c r="K301" i="12" s="1"/>
  <c r="K261" i="12"/>
  <c r="K309" i="12" s="1"/>
  <c r="K269" i="12"/>
  <c r="K317" i="12" s="1"/>
  <c r="D514" i="12"/>
  <c r="H491" i="12"/>
  <c r="M492" i="12"/>
  <c r="Q492" i="12"/>
  <c r="E492" i="12"/>
  <c r="I492" i="12"/>
  <c r="F494" i="12"/>
  <c r="J517" i="12"/>
  <c r="C495" i="12"/>
  <c r="G518" i="12"/>
  <c r="P495" i="12"/>
  <c r="J324" i="12"/>
  <c r="B326" i="12"/>
  <c r="Q326" i="12"/>
  <c r="C328" i="12"/>
  <c r="B331" i="12"/>
  <c r="B522" i="12" s="1"/>
  <c r="B335" i="12"/>
  <c r="B526" i="12" s="1"/>
  <c r="H339" i="12"/>
  <c r="H530" i="12" s="1"/>
  <c r="E497" i="12"/>
  <c r="D492" i="12"/>
  <c r="N493" i="12"/>
  <c r="O493" i="12"/>
  <c r="D494" i="12"/>
  <c r="I495" i="12"/>
  <c r="I319" i="12"/>
  <c r="I518" i="12" s="1"/>
  <c r="P324" i="12"/>
  <c r="F326" i="12"/>
  <c r="H327" i="12"/>
  <c r="R328" i="12"/>
  <c r="N331" i="12"/>
  <c r="N522" i="12" s="1"/>
  <c r="P332" i="12"/>
  <c r="P523" i="12" s="1"/>
  <c r="N335" i="12"/>
  <c r="N526" i="12" s="1"/>
  <c r="R493" i="12"/>
  <c r="R497" i="12"/>
  <c r="Q498" i="12"/>
  <c r="S400" i="12"/>
  <c r="R516" i="12"/>
  <c r="R518" i="12"/>
  <c r="E517" i="12"/>
  <c r="K390" i="12"/>
  <c r="K404" i="12"/>
  <c r="K396" i="12"/>
  <c r="K400" i="12"/>
  <c r="S404" i="12"/>
  <c r="K444" i="11"/>
  <c r="K448" i="11"/>
  <c r="K247" i="11"/>
  <c r="K295" i="11" s="1"/>
  <c r="K253" i="11"/>
  <c r="K301" i="11" s="1"/>
  <c r="K265" i="11"/>
  <c r="K313" i="11" s="1"/>
  <c r="K262" i="11"/>
  <c r="K310" i="11" s="1"/>
  <c r="K428" i="11"/>
  <c r="K270" i="11"/>
  <c r="K318" i="11" s="1"/>
  <c r="K263" i="11"/>
  <c r="K311" i="11" s="1"/>
  <c r="I329" i="11"/>
  <c r="I511" i="11" s="1"/>
  <c r="C334" i="11"/>
  <c r="C516" i="11" s="1"/>
  <c r="G339" i="11"/>
  <c r="G521" i="11" s="1"/>
  <c r="I485" i="11"/>
  <c r="F490" i="11"/>
  <c r="E494" i="11"/>
  <c r="K260" i="11"/>
  <c r="K308" i="11" s="1"/>
  <c r="K268" i="11"/>
  <c r="K316" i="11" s="1"/>
  <c r="D327" i="11"/>
  <c r="D330" i="11"/>
  <c r="D512" i="11" s="1"/>
  <c r="H487" i="11"/>
  <c r="F493" i="11"/>
  <c r="B496" i="11"/>
  <c r="C325" i="11"/>
  <c r="B328" i="11"/>
  <c r="D329" i="11"/>
  <c r="D511" i="11" s="1"/>
  <c r="H330" i="11"/>
  <c r="H512" i="11" s="1"/>
  <c r="B333" i="11"/>
  <c r="B515" i="11" s="1"/>
  <c r="F335" i="11"/>
  <c r="F517" i="11" s="1"/>
  <c r="B492" i="11"/>
  <c r="K405" i="11"/>
  <c r="K406" i="11"/>
  <c r="K248" i="11"/>
  <c r="K296" i="11" s="1"/>
  <c r="K252" i="11"/>
  <c r="K300" i="11" s="1"/>
  <c r="K264" i="11"/>
  <c r="K312" i="11" s="1"/>
  <c r="K272" i="11"/>
  <c r="K320" i="11" s="1"/>
  <c r="G485" i="11"/>
  <c r="E488" i="11"/>
  <c r="G325" i="11"/>
  <c r="F328" i="11"/>
  <c r="H329" i="11"/>
  <c r="H511" i="11" s="1"/>
  <c r="E331" i="11"/>
  <c r="E513" i="11" s="1"/>
  <c r="H333" i="11"/>
  <c r="H515" i="11" s="1"/>
  <c r="C339" i="11"/>
  <c r="C521" i="11" s="1"/>
  <c r="D494" i="11"/>
  <c r="G495" i="11"/>
  <c r="B500" i="11"/>
  <c r="F507" i="11"/>
  <c r="H508" i="11"/>
  <c r="E501" i="10"/>
  <c r="E672" i="10" s="1"/>
  <c r="N492" i="10"/>
  <c r="S554" i="10"/>
  <c r="S469" i="10"/>
  <c r="S490" i="10"/>
  <c r="S559" i="10"/>
  <c r="S599" i="10"/>
  <c r="S621" i="10"/>
  <c r="L622" i="10"/>
  <c r="S620" i="10"/>
  <c r="L621" i="10"/>
  <c r="S378" i="10"/>
  <c r="S450" i="10" s="1"/>
  <c r="L624" i="10"/>
  <c r="L579" i="10"/>
  <c r="S366" i="10"/>
  <c r="S438" i="10" s="1"/>
  <c r="S370" i="10"/>
  <c r="S442" i="10" s="1"/>
  <c r="S374" i="10"/>
  <c r="S446" i="10" s="1"/>
  <c r="L600" i="10"/>
  <c r="L601" i="10"/>
  <c r="S409" i="10"/>
  <c r="S481" i="10" s="1"/>
  <c r="L583" i="10"/>
  <c r="S406" i="10"/>
  <c r="S478" i="10" s="1"/>
  <c r="L405" i="10"/>
  <c r="L477" i="10" s="1"/>
  <c r="S368" i="10"/>
  <c r="S440" i="10" s="1"/>
  <c r="S372" i="10"/>
  <c r="S444" i="10" s="1"/>
  <c r="S376" i="10"/>
  <c r="S448" i="10" s="1"/>
  <c r="S380" i="10"/>
  <c r="S452" i="10" s="1"/>
  <c r="S382" i="10"/>
  <c r="S454" i="10" s="1"/>
  <c r="S384" i="10"/>
  <c r="S386" i="10"/>
  <c r="S458" i="10" s="1"/>
  <c r="S388" i="10"/>
  <c r="S460" i="10" s="1"/>
  <c r="S390" i="10"/>
  <c r="S462" i="10" s="1"/>
  <c r="S392" i="10"/>
  <c r="S464" i="10" s="1"/>
  <c r="S396" i="10"/>
  <c r="S468" i="10" s="1"/>
  <c r="L401" i="10"/>
  <c r="L473" i="10" s="1"/>
  <c r="L403" i="10"/>
  <c r="L475" i="10" s="1"/>
  <c r="L407" i="10"/>
  <c r="L479" i="10" s="1"/>
  <c r="L415" i="10"/>
  <c r="L487" i="10" s="1"/>
  <c r="I497" i="10"/>
  <c r="I668" i="10" s="1"/>
  <c r="L557" i="10"/>
  <c r="S403" i="10"/>
  <c r="S405" i="10"/>
  <c r="S477" i="10" s="1"/>
  <c r="L411" i="10"/>
  <c r="L365" i="10"/>
  <c r="L437" i="10" s="1"/>
  <c r="L367" i="10"/>
  <c r="L439" i="10" s="1"/>
  <c r="L369" i="10"/>
  <c r="L441" i="10" s="1"/>
  <c r="L371" i="10"/>
  <c r="L443" i="10" s="1"/>
  <c r="L373" i="10"/>
  <c r="L445" i="10" s="1"/>
  <c r="L375" i="10"/>
  <c r="L447" i="10" s="1"/>
  <c r="L377" i="10"/>
  <c r="L449" i="10" s="1"/>
  <c r="L379" i="10"/>
  <c r="L451" i="10" s="1"/>
  <c r="L381" i="10"/>
  <c r="L453" i="10" s="1"/>
  <c r="L383" i="10"/>
  <c r="L455" i="10" s="1"/>
  <c r="L385" i="10"/>
  <c r="L457" i="10" s="1"/>
  <c r="L387" i="10"/>
  <c r="L459" i="10" s="1"/>
  <c r="L389" i="10"/>
  <c r="L461" i="10" s="1"/>
  <c r="L391" i="10"/>
  <c r="L393" i="10"/>
  <c r="L465" i="10" s="1"/>
  <c r="L395" i="10"/>
  <c r="L397" i="10"/>
  <c r="L469" i="10" s="1"/>
  <c r="S401" i="10"/>
  <c r="S473" i="10" s="1"/>
  <c r="L410" i="10"/>
  <c r="L482" i="10" s="1"/>
  <c r="E640" i="10"/>
  <c r="D493" i="10"/>
  <c r="F500" i="10"/>
  <c r="F671" i="10" s="1"/>
  <c r="S369" i="10"/>
  <c r="S441" i="10" s="1"/>
  <c r="S377" i="10"/>
  <c r="S449" i="10" s="1"/>
  <c r="S389" i="10"/>
  <c r="S461" i="10" s="1"/>
  <c r="L406" i="10"/>
  <c r="L478" i="10" s="1"/>
  <c r="S367" i="10"/>
  <c r="S439" i="10" s="1"/>
  <c r="S375" i="10"/>
  <c r="S447" i="10" s="1"/>
  <c r="S387" i="10"/>
  <c r="S459" i="10" s="1"/>
  <c r="J639" i="10"/>
  <c r="S365" i="10"/>
  <c r="S437" i="10" s="1"/>
  <c r="S373" i="10"/>
  <c r="S445" i="10" s="1"/>
  <c r="S381" i="10"/>
  <c r="S453" i="10" s="1"/>
  <c r="S385" i="10"/>
  <c r="S457" i="10" s="1"/>
  <c r="L400" i="10"/>
  <c r="L472" i="10" s="1"/>
  <c r="S371" i="10"/>
  <c r="S443" i="10" s="1"/>
  <c r="S379" i="10"/>
  <c r="S451" i="10" s="1"/>
  <c r="S383" i="10"/>
  <c r="S455" i="10" s="1"/>
  <c r="S391" i="10"/>
  <c r="S463" i="10" s="1"/>
  <c r="S393" i="10"/>
  <c r="S465" i="10" s="1"/>
  <c r="S395" i="10"/>
  <c r="S467" i="10" s="1"/>
  <c r="L398" i="10"/>
  <c r="L470" i="10" s="1"/>
  <c r="L402" i="10"/>
  <c r="L474" i="10" s="1"/>
  <c r="K494" i="10"/>
  <c r="L368" i="10"/>
  <c r="L440" i="10" s="1"/>
  <c r="L372" i="10"/>
  <c r="L444" i="10" s="1"/>
  <c r="L376" i="10"/>
  <c r="L448" i="10" s="1"/>
  <c r="L380" i="10"/>
  <c r="L452" i="10" s="1"/>
  <c r="L384" i="10"/>
  <c r="L456" i="10" s="1"/>
  <c r="L388" i="10"/>
  <c r="L460" i="10" s="1"/>
  <c r="L366" i="10"/>
  <c r="L438" i="10" s="1"/>
  <c r="L370" i="10"/>
  <c r="L442" i="10" s="1"/>
  <c r="L374" i="10"/>
  <c r="L446" i="10" s="1"/>
  <c r="L378" i="10"/>
  <c r="L450" i="10" s="1"/>
  <c r="L382" i="10"/>
  <c r="L454" i="10" s="1"/>
  <c r="L386" i="10"/>
  <c r="L458" i="10" s="1"/>
  <c r="L390" i="10"/>
  <c r="L462" i="10" s="1"/>
  <c r="L392" i="10"/>
  <c r="L464" i="10" s="1"/>
  <c r="L396" i="10"/>
  <c r="L468" i="10" s="1"/>
  <c r="S398" i="10"/>
  <c r="S470" i="10" s="1"/>
  <c r="S400" i="10"/>
  <c r="S472" i="10" s="1"/>
  <c r="S402" i="10"/>
  <c r="S474" i="10" s="1"/>
  <c r="L408" i="10"/>
  <c r="L480" i="10" s="1"/>
  <c r="L412" i="10"/>
  <c r="L484" i="10" s="1"/>
  <c r="L416" i="10"/>
  <c r="L488" i="10" s="1"/>
  <c r="J491" i="10"/>
  <c r="B495" i="10"/>
  <c r="R662" i="10"/>
  <c r="K511" i="9"/>
  <c r="L292" i="9"/>
  <c r="L345" i="9" s="1"/>
  <c r="L296" i="9"/>
  <c r="L349" i="9" s="1"/>
  <c r="L300" i="9"/>
  <c r="L353" i="9" s="1"/>
  <c r="L436" i="9"/>
  <c r="L272" i="9"/>
  <c r="L325" i="9" s="1"/>
  <c r="L276" i="9"/>
  <c r="L329" i="9" s="1"/>
  <c r="L476" i="9"/>
  <c r="L284" i="9"/>
  <c r="L337" i="9" s="1"/>
  <c r="L288" i="9"/>
  <c r="L341" i="9" s="1"/>
  <c r="L456" i="9"/>
  <c r="L437" i="9"/>
  <c r="L273" i="9"/>
  <c r="L326" i="9" s="1"/>
  <c r="L277" i="9"/>
  <c r="L281" i="9"/>
  <c r="L334" i="9" s="1"/>
  <c r="L289" i="9"/>
  <c r="L342" i="9" s="1"/>
  <c r="L285" i="9"/>
  <c r="L338" i="9" s="1"/>
  <c r="L293" i="9"/>
  <c r="L346" i="9" s="1"/>
  <c r="L297" i="9"/>
  <c r="L350" i="9" s="1"/>
  <c r="L301" i="9"/>
  <c r="L354" i="9" s="1"/>
  <c r="B362" i="9"/>
  <c r="J369" i="9"/>
  <c r="J529" i="9" s="1"/>
  <c r="L270" i="9"/>
  <c r="L323" i="9" s="1"/>
  <c r="L274" i="9"/>
  <c r="L327" i="9" s="1"/>
  <c r="L286" i="9"/>
  <c r="L339" i="9" s="1"/>
  <c r="L314" i="9"/>
  <c r="L367" i="9" s="1"/>
  <c r="L413" i="9"/>
  <c r="J496" i="9"/>
  <c r="F497" i="9"/>
  <c r="J497" i="9"/>
  <c r="L311" i="9"/>
  <c r="L502" i="9" s="1"/>
  <c r="J339" i="9"/>
  <c r="J518" i="9" s="1"/>
  <c r="H359" i="9"/>
  <c r="G361" i="9"/>
  <c r="J363" i="9"/>
  <c r="J523" i="9" s="1"/>
  <c r="I366" i="9"/>
  <c r="I526" i="9" s="1"/>
  <c r="J367" i="9"/>
  <c r="J527" i="9" s="1"/>
  <c r="E373" i="9"/>
  <c r="E533" i="9" s="1"/>
  <c r="L294" i="9"/>
  <c r="L347" i="9" s="1"/>
  <c r="L302" i="9"/>
  <c r="L320" i="9"/>
  <c r="L511" i="9" s="1"/>
  <c r="L278" i="9"/>
  <c r="L331" i="9" s="1"/>
  <c r="L282" i="9"/>
  <c r="L335" i="9" s="1"/>
  <c r="H363" i="9"/>
  <c r="H523" i="9" s="1"/>
  <c r="H367" i="9"/>
  <c r="H527" i="9" s="1"/>
  <c r="H368" i="9"/>
  <c r="H528" i="9" s="1"/>
  <c r="D503" i="9"/>
  <c r="D505" i="9"/>
  <c r="L397" i="9"/>
  <c r="L305" i="9"/>
  <c r="K499" i="9"/>
  <c r="H361" i="9"/>
  <c r="F369" i="9"/>
  <c r="F529" i="9" s="1"/>
  <c r="F373" i="9"/>
  <c r="F533" i="9" s="1"/>
  <c r="L394" i="9"/>
  <c r="D518" i="12"/>
  <c r="I516" i="12"/>
  <c r="O518" i="12"/>
  <c r="S249" i="12"/>
  <c r="S297" i="12" s="1"/>
  <c r="S253" i="12"/>
  <c r="S301" i="12" s="1"/>
  <c r="S257" i="12"/>
  <c r="S305" i="12" s="1"/>
  <c r="S474" i="12"/>
  <c r="S261" i="12"/>
  <c r="S279" i="12"/>
  <c r="D493" i="12"/>
  <c r="D309" i="12"/>
  <c r="D516" i="12" s="1"/>
  <c r="H493" i="12"/>
  <c r="H309" i="12"/>
  <c r="H516" i="12" s="1"/>
  <c r="M493" i="12"/>
  <c r="M309" i="12"/>
  <c r="M516" i="12" s="1"/>
  <c r="Q493" i="12"/>
  <c r="Q309" i="12"/>
  <c r="Q516" i="12" s="1"/>
  <c r="S266" i="12"/>
  <c r="R324" i="12"/>
  <c r="H325" i="12"/>
  <c r="Q325" i="12"/>
  <c r="B328" i="12"/>
  <c r="K280" i="12"/>
  <c r="G497" i="12"/>
  <c r="G329" i="12"/>
  <c r="G520" i="12" s="1"/>
  <c r="F498" i="12"/>
  <c r="F330" i="12"/>
  <c r="F521" i="12" s="1"/>
  <c r="S282" i="12"/>
  <c r="S498" i="12" s="1"/>
  <c r="E499" i="12"/>
  <c r="E331" i="12"/>
  <c r="E522" i="12" s="1"/>
  <c r="S283" i="12"/>
  <c r="E500" i="12"/>
  <c r="E332" i="12"/>
  <c r="E523" i="12" s="1"/>
  <c r="S284" i="12"/>
  <c r="S285" i="12"/>
  <c r="E502" i="12"/>
  <c r="E334" i="12"/>
  <c r="E525" i="12" s="1"/>
  <c r="S286" i="12"/>
  <c r="S502" i="12" s="1"/>
  <c r="E503" i="12"/>
  <c r="E335" i="12"/>
  <c r="E526" i="12" s="1"/>
  <c r="E339" i="12"/>
  <c r="E530" i="12" s="1"/>
  <c r="E507" i="12"/>
  <c r="S291" i="12"/>
  <c r="G514" i="12"/>
  <c r="M514" i="12"/>
  <c r="R299" i="12"/>
  <c r="R514" i="12" s="1"/>
  <c r="M515" i="12"/>
  <c r="I307" i="12"/>
  <c r="I515" i="12" s="1"/>
  <c r="N516" i="12"/>
  <c r="H517" i="12"/>
  <c r="N517" i="12"/>
  <c r="C319" i="12"/>
  <c r="C518" i="12" s="1"/>
  <c r="H518" i="12"/>
  <c r="N518" i="12"/>
  <c r="B320" i="12"/>
  <c r="B518" i="12" s="1"/>
  <c r="H324" i="12"/>
  <c r="P329" i="12"/>
  <c r="P520" i="12" s="1"/>
  <c r="I331" i="12"/>
  <c r="I522" i="12" s="1"/>
  <c r="O333" i="12"/>
  <c r="O524" i="12" s="1"/>
  <c r="I335" i="12"/>
  <c r="I526" i="12" s="1"/>
  <c r="S476" i="12"/>
  <c r="Q491" i="12"/>
  <c r="R492" i="12"/>
  <c r="H494" i="12"/>
  <c r="F495" i="12"/>
  <c r="N495" i="12"/>
  <c r="O500" i="12"/>
  <c r="K248" i="12"/>
  <c r="K296" i="12" s="1"/>
  <c r="K252" i="12"/>
  <c r="K300" i="12" s="1"/>
  <c r="K260" i="12"/>
  <c r="K308" i="12" s="1"/>
  <c r="K264" i="12"/>
  <c r="K312" i="12" s="1"/>
  <c r="K268" i="12"/>
  <c r="K316" i="12" s="1"/>
  <c r="K272" i="12"/>
  <c r="K320" i="12" s="1"/>
  <c r="F514" i="12"/>
  <c r="O514" i="12"/>
  <c r="S251" i="12"/>
  <c r="G517" i="12"/>
  <c r="K266" i="12"/>
  <c r="P517" i="12"/>
  <c r="E324" i="12"/>
  <c r="I324" i="12"/>
  <c r="S276" i="12"/>
  <c r="B327" i="12"/>
  <c r="K282" i="12"/>
  <c r="K498" i="12" s="1"/>
  <c r="K286" i="12"/>
  <c r="K502" i="12" s="1"/>
  <c r="K291" i="12"/>
  <c r="K507" i="12" s="1"/>
  <c r="N299" i="12"/>
  <c r="N514" i="12" s="1"/>
  <c r="H515" i="12"/>
  <c r="O515" i="12"/>
  <c r="G305" i="12"/>
  <c r="G515" i="12" s="1"/>
  <c r="E307" i="12"/>
  <c r="E515" i="12" s="1"/>
  <c r="D308" i="12"/>
  <c r="D515" i="12" s="1"/>
  <c r="D517" i="12"/>
  <c r="I517" i="12"/>
  <c r="O314" i="12"/>
  <c r="O517" i="12" s="1"/>
  <c r="P319" i="12"/>
  <c r="P518" i="12" s="1"/>
  <c r="D324" i="12"/>
  <c r="I325" i="12"/>
  <c r="F327" i="12"/>
  <c r="P327" i="12"/>
  <c r="M328" i="12"/>
  <c r="C329" i="12"/>
  <c r="C520" i="12" s="1"/>
  <c r="Q329" i="12"/>
  <c r="Q520" i="12" s="1"/>
  <c r="G330" i="12"/>
  <c r="G521" i="12" s="1"/>
  <c r="O330" i="12"/>
  <c r="O521" i="12" s="1"/>
  <c r="I332" i="12"/>
  <c r="I523" i="12" s="1"/>
  <c r="P333" i="12"/>
  <c r="P524" i="12" s="1"/>
  <c r="F334" i="12"/>
  <c r="F525" i="12" s="1"/>
  <c r="O334" i="12"/>
  <c r="O525" i="12" s="1"/>
  <c r="B339" i="12"/>
  <c r="B530" i="12" s="1"/>
  <c r="I339" i="12"/>
  <c r="I530" i="12" s="1"/>
  <c r="S478" i="12"/>
  <c r="D491" i="12"/>
  <c r="J494" i="12"/>
  <c r="G495" i="12"/>
  <c r="O495" i="12"/>
  <c r="C498" i="12"/>
  <c r="P498" i="12"/>
  <c r="K388" i="12"/>
  <c r="K434" i="12"/>
  <c r="S473" i="12"/>
  <c r="S475" i="12"/>
  <c r="S278" i="12"/>
  <c r="S280" i="12"/>
  <c r="G491" i="12"/>
  <c r="K251" i="12"/>
  <c r="K299" i="12" s="1"/>
  <c r="H492" i="12"/>
  <c r="N515" i="12"/>
  <c r="R515" i="12"/>
  <c r="J493" i="12"/>
  <c r="Q494" i="12"/>
  <c r="E495" i="12"/>
  <c r="G327" i="12"/>
  <c r="I299" i="12"/>
  <c r="I514" i="12" s="1"/>
  <c r="P299" i="12"/>
  <c r="P514" i="12" s="1"/>
  <c r="H300" i="12"/>
  <c r="H514" i="12" s="1"/>
  <c r="P515" i="12"/>
  <c r="E309" i="12"/>
  <c r="E516" i="12" s="1"/>
  <c r="J516" i="12"/>
  <c r="P516" i="12"/>
  <c r="O310" i="12"/>
  <c r="O516" i="12" s="1"/>
  <c r="Q314" i="12"/>
  <c r="Q517" i="12" s="1"/>
  <c r="E319" i="12"/>
  <c r="E518" i="12" s="1"/>
  <c r="Q518" i="12"/>
  <c r="D326" i="12"/>
  <c r="R326" i="12"/>
  <c r="F328" i="12"/>
  <c r="P328" i="12"/>
  <c r="B330" i="12"/>
  <c r="B521" i="12" s="1"/>
  <c r="F331" i="12"/>
  <c r="F522" i="12" s="1"/>
  <c r="O331" i="12"/>
  <c r="O522" i="12" s="1"/>
  <c r="B333" i="12"/>
  <c r="B524" i="12" s="1"/>
  <c r="I333" i="12"/>
  <c r="I524" i="12" s="1"/>
  <c r="P334" i="12"/>
  <c r="P525" i="12" s="1"/>
  <c r="F335" i="12"/>
  <c r="F526" i="12" s="1"/>
  <c r="O335" i="12"/>
  <c r="O526" i="12" s="1"/>
  <c r="F491" i="12"/>
  <c r="O491" i="12"/>
  <c r="N492" i="12"/>
  <c r="M494" i="12"/>
  <c r="R495" i="12"/>
  <c r="E501" i="12"/>
  <c r="S409" i="12"/>
  <c r="K432" i="12"/>
  <c r="M491" i="12"/>
  <c r="O492" i="12"/>
  <c r="S256" i="12"/>
  <c r="P493" i="12"/>
  <c r="F518" i="12"/>
  <c r="J495" i="12"/>
  <c r="J319" i="12"/>
  <c r="J518" i="12" s="1"/>
  <c r="K277" i="12"/>
  <c r="G326" i="12"/>
  <c r="N327" i="12"/>
  <c r="B497" i="12"/>
  <c r="B329" i="12"/>
  <c r="B520" i="12" s="1"/>
  <c r="R498" i="12"/>
  <c r="R330" i="12"/>
  <c r="R521" i="12" s="1"/>
  <c r="R499" i="12"/>
  <c r="R331" i="12"/>
  <c r="R522" i="12" s="1"/>
  <c r="R501" i="12"/>
  <c r="R333" i="12"/>
  <c r="R524" i="12" s="1"/>
  <c r="R502" i="12"/>
  <c r="R334" i="12"/>
  <c r="R525" i="12" s="1"/>
  <c r="R503" i="12"/>
  <c r="R335" i="12"/>
  <c r="R526" i="12" s="1"/>
  <c r="R507" i="12"/>
  <c r="R339" i="12"/>
  <c r="R530" i="12" s="1"/>
  <c r="E299" i="12"/>
  <c r="E514" i="12" s="1"/>
  <c r="Q514" i="12"/>
  <c r="F304" i="12"/>
  <c r="F515" i="12" s="1"/>
  <c r="Q304" i="12"/>
  <c r="Q515" i="12" s="1"/>
  <c r="F314" i="12"/>
  <c r="F517" i="12" s="1"/>
  <c r="R517" i="12"/>
  <c r="M518" i="12"/>
  <c r="B324" i="12"/>
  <c r="M324" i="12"/>
  <c r="M326" i="12"/>
  <c r="R327" i="12"/>
  <c r="H328" i="12"/>
  <c r="Q328" i="12"/>
  <c r="F329" i="12"/>
  <c r="F520" i="12" s="1"/>
  <c r="O329" i="12"/>
  <c r="O520" i="12" s="1"/>
  <c r="J330" i="12"/>
  <c r="J521" i="12" s="1"/>
  <c r="H331" i="12"/>
  <c r="H522" i="12" s="1"/>
  <c r="P331" i="12"/>
  <c r="P522" i="12" s="1"/>
  <c r="F332" i="12"/>
  <c r="F523" i="12" s="1"/>
  <c r="D333" i="12"/>
  <c r="D524" i="12" s="1"/>
  <c r="B334" i="12"/>
  <c r="B525" i="12" s="1"/>
  <c r="I334" i="12"/>
  <c r="I525" i="12" s="1"/>
  <c r="H335" i="12"/>
  <c r="H526" i="12" s="1"/>
  <c r="P335" i="12"/>
  <c r="P526" i="12" s="1"/>
  <c r="F339" i="12"/>
  <c r="F530" i="12" s="1"/>
  <c r="O339" i="12"/>
  <c r="O530" i="12" s="1"/>
  <c r="K391" i="12"/>
  <c r="G494" i="12"/>
  <c r="M497" i="12"/>
  <c r="S389" i="12"/>
  <c r="K411" i="12"/>
  <c r="K256" i="12"/>
  <c r="P492" i="12"/>
  <c r="E494" i="12"/>
  <c r="I494" i="12"/>
  <c r="N494" i="12"/>
  <c r="R494" i="12"/>
  <c r="D495" i="12"/>
  <c r="H495" i="12"/>
  <c r="M495" i="12"/>
  <c r="Q495" i="12"/>
  <c r="K276" i="12"/>
  <c r="K496" i="12" s="1"/>
  <c r="O326" i="12"/>
  <c r="E327" i="12"/>
  <c r="I327" i="12"/>
  <c r="I328" i="12"/>
  <c r="O328" i="12"/>
  <c r="N497" i="12"/>
  <c r="N329" i="12"/>
  <c r="N520" i="12" s="1"/>
  <c r="M498" i="12"/>
  <c r="M330" i="12"/>
  <c r="M521" i="12" s="1"/>
  <c r="Q499" i="12"/>
  <c r="Q331" i="12"/>
  <c r="Q522" i="12" s="1"/>
  <c r="M500" i="12"/>
  <c r="M332" i="12"/>
  <c r="M523" i="12" s="1"/>
  <c r="Q500" i="12"/>
  <c r="Q332" i="12"/>
  <c r="Q523" i="12" s="1"/>
  <c r="C501" i="12"/>
  <c r="C333" i="12"/>
  <c r="C524" i="12" s="1"/>
  <c r="G501" i="12"/>
  <c r="G333" i="12"/>
  <c r="G524" i="12" s="1"/>
  <c r="G502" i="12"/>
  <c r="G334" i="12"/>
  <c r="G525" i="12" s="1"/>
  <c r="M502" i="12"/>
  <c r="M334" i="12"/>
  <c r="M525" i="12" s="1"/>
  <c r="Q502" i="12"/>
  <c r="Q334" i="12"/>
  <c r="Q525" i="12" s="1"/>
  <c r="G503" i="12"/>
  <c r="G335" i="12"/>
  <c r="G526" i="12" s="1"/>
  <c r="M503" i="12"/>
  <c r="M335" i="12"/>
  <c r="M526" i="12" s="1"/>
  <c r="Q503" i="12"/>
  <c r="Q335" i="12"/>
  <c r="Q526" i="12" s="1"/>
  <c r="C507" i="12"/>
  <c r="C339" i="12"/>
  <c r="C530" i="12" s="1"/>
  <c r="G507" i="12"/>
  <c r="G339" i="12"/>
  <c r="G530" i="12" s="1"/>
  <c r="M507" i="12"/>
  <c r="M339" i="12"/>
  <c r="M530" i="12" s="1"/>
  <c r="Q507" i="12"/>
  <c r="Q339" i="12"/>
  <c r="Q530" i="12" s="1"/>
  <c r="I497" i="12"/>
  <c r="C499" i="12"/>
  <c r="G500" i="12"/>
  <c r="K389" i="11"/>
  <c r="K394" i="11"/>
  <c r="K401" i="11"/>
  <c r="K466" i="11"/>
  <c r="K256" i="11"/>
  <c r="K304" i="11" s="1"/>
  <c r="K280" i="11"/>
  <c r="K474" i="11"/>
  <c r="K284" i="11"/>
  <c r="K493" i="11" s="1"/>
  <c r="K481" i="11"/>
  <c r="K291" i="11"/>
  <c r="K500" i="11" s="1"/>
  <c r="D508" i="11"/>
  <c r="G324" i="11"/>
  <c r="K276" i="11"/>
  <c r="H326" i="11"/>
  <c r="G494" i="11"/>
  <c r="G333" i="11"/>
  <c r="G515" i="11" s="1"/>
  <c r="G332" i="11"/>
  <c r="G514" i="11" s="1"/>
  <c r="J486" i="11"/>
  <c r="J310" i="11"/>
  <c r="J507" i="11" s="1"/>
  <c r="D320" i="11"/>
  <c r="D509" i="11" s="1"/>
  <c r="D488" i="11"/>
  <c r="H320" i="11"/>
  <c r="H509" i="11" s="1"/>
  <c r="H488" i="11"/>
  <c r="D492" i="11"/>
  <c r="D331" i="11"/>
  <c r="D513" i="11" s="1"/>
  <c r="H331" i="11"/>
  <c r="H513" i="11" s="1"/>
  <c r="H492" i="11"/>
  <c r="E319" i="11"/>
  <c r="E509" i="11" s="1"/>
  <c r="I325" i="11"/>
  <c r="I302" i="11"/>
  <c r="I505" i="11" s="1"/>
  <c r="I484" i="11"/>
  <c r="G486" i="11"/>
  <c r="G309" i="11"/>
  <c r="G507" i="11" s="1"/>
  <c r="B488" i="11"/>
  <c r="B319" i="11"/>
  <c r="B509" i="11" s="1"/>
  <c r="F488" i="11"/>
  <c r="F319" i="11"/>
  <c r="F509" i="11" s="1"/>
  <c r="J488" i="11"/>
  <c r="J319" i="11"/>
  <c r="J509" i="11" s="1"/>
  <c r="B491" i="11"/>
  <c r="B330" i="11"/>
  <c r="B512" i="11" s="1"/>
  <c r="F491" i="11"/>
  <c r="F330" i="11"/>
  <c r="F512" i="11" s="1"/>
  <c r="J330" i="11"/>
  <c r="J512" i="11" s="1"/>
  <c r="J491" i="11"/>
  <c r="H505" i="11"/>
  <c r="E325" i="11"/>
  <c r="D326" i="11"/>
  <c r="C493" i="11"/>
  <c r="C332" i="11"/>
  <c r="C514" i="11" s="1"/>
  <c r="C494" i="11"/>
  <c r="C333" i="11"/>
  <c r="C515" i="11" s="1"/>
  <c r="K407" i="11"/>
  <c r="E487" i="11"/>
  <c r="E314" i="11"/>
  <c r="E508" i="11" s="1"/>
  <c r="I488" i="11"/>
  <c r="I319" i="11"/>
  <c r="I509" i="11" s="1"/>
  <c r="K249" i="11"/>
  <c r="K297" i="11" s="1"/>
  <c r="K257" i="11"/>
  <c r="K305" i="11" s="1"/>
  <c r="K427" i="11"/>
  <c r="K435" i="11"/>
  <c r="K285" i="11"/>
  <c r="K494" i="11" s="1"/>
  <c r="K254" i="11"/>
  <c r="K302" i="11" s="1"/>
  <c r="K258" i="11"/>
  <c r="K306" i="11" s="1"/>
  <c r="K445" i="11"/>
  <c r="K447" i="11"/>
  <c r="K266" i="11"/>
  <c r="K314" i="11" s="1"/>
  <c r="K274" i="11"/>
  <c r="K322" i="11" s="1"/>
  <c r="K451" i="11"/>
  <c r="K282" i="11"/>
  <c r="K491" i="11" s="1"/>
  <c r="K465" i="11"/>
  <c r="K251" i="11"/>
  <c r="K299" i="11" s="1"/>
  <c r="K255" i="11"/>
  <c r="K303" i="11" s="1"/>
  <c r="K259" i="11"/>
  <c r="K307" i="11" s="1"/>
  <c r="K267" i="11"/>
  <c r="K315" i="11" s="1"/>
  <c r="K271" i="11"/>
  <c r="K275" i="11"/>
  <c r="K323" i="11" s="1"/>
  <c r="K283" i="11"/>
  <c r="K473" i="11"/>
  <c r="K287" i="11"/>
  <c r="K477" i="11"/>
  <c r="F484" i="11"/>
  <c r="F299" i="11"/>
  <c r="F505" i="11" s="1"/>
  <c r="J299" i="11"/>
  <c r="J505" i="11" s="1"/>
  <c r="J484" i="11"/>
  <c r="C326" i="11"/>
  <c r="G326" i="11"/>
  <c r="C327" i="11"/>
  <c r="B334" i="11"/>
  <c r="B516" i="11" s="1"/>
  <c r="B495" i="11"/>
  <c r="F334" i="11"/>
  <c r="F516" i="11" s="1"/>
  <c r="F495" i="11"/>
  <c r="K286" i="11"/>
  <c r="E496" i="11"/>
  <c r="E335" i="11"/>
  <c r="E517" i="11" s="1"/>
  <c r="I496" i="11"/>
  <c r="I335" i="11"/>
  <c r="I517" i="11" s="1"/>
  <c r="I314" i="11"/>
  <c r="I508" i="11" s="1"/>
  <c r="K385" i="11"/>
  <c r="D484" i="11"/>
  <c r="H493" i="11"/>
  <c r="H332" i="11"/>
  <c r="H514" i="11" s="1"/>
  <c r="K386" i="11"/>
  <c r="K425" i="11"/>
  <c r="K269" i="11"/>
  <c r="K317" i="11" s="1"/>
  <c r="K273" i="11"/>
  <c r="K321" i="11" s="1"/>
  <c r="K277" i="11"/>
  <c r="K281" i="11"/>
  <c r="K490" i="11" s="1"/>
  <c r="G484" i="11"/>
  <c r="E484" i="11"/>
  <c r="E300" i="11"/>
  <c r="E505" i="11" s="1"/>
  <c r="F485" i="11"/>
  <c r="F304" i="11"/>
  <c r="F506" i="11" s="1"/>
  <c r="D486" i="11"/>
  <c r="D309" i="11"/>
  <c r="D507" i="11" s="1"/>
  <c r="H486" i="11"/>
  <c r="G508" i="11"/>
  <c r="J487" i="11"/>
  <c r="J317" i="11"/>
  <c r="J508" i="11" s="1"/>
  <c r="D324" i="11"/>
  <c r="J325" i="11"/>
  <c r="E328" i="11"/>
  <c r="I328" i="11"/>
  <c r="G330" i="11"/>
  <c r="G512" i="11" s="1"/>
  <c r="G491" i="11"/>
  <c r="H506" i="11"/>
  <c r="H309" i="11"/>
  <c r="H507" i="11" s="1"/>
  <c r="F327" i="11"/>
  <c r="D493" i="11"/>
  <c r="G506" i="11"/>
  <c r="K388" i="11"/>
  <c r="K404" i="11"/>
  <c r="K408" i="11"/>
  <c r="E327" i="11"/>
  <c r="K446" i="11"/>
  <c r="K246" i="11"/>
  <c r="K294" i="11" s="1"/>
  <c r="K250" i="11"/>
  <c r="K298" i="11" s="1"/>
  <c r="K468" i="11"/>
  <c r="D505" i="11"/>
  <c r="D487" i="11"/>
  <c r="B327" i="11"/>
  <c r="G327" i="11"/>
  <c r="E490" i="11"/>
  <c r="E329" i="11"/>
  <c r="E511" i="11" s="1"/>
  <c r="F494" i="11"/>
  <c r="F333" i="11"/>
  <c r="F515" i="11" s="1"/>
  <c r="D496" i="11"/>
  <c r="D335" i="11"/>
  <c r="D517" i="11" s="1"/>
  <c r="H496" i="11"/>
  <c r="H335" i="11"/>
  <c r="H517" i="11" s="1"/>
  <c r="D500" i="11"/>
  <c r="D339" i="11"/>
  <c r="D521" i="11" s="1"/>
  <c r="G299" i="11"/>
  <c r="G505" i="11" s="1"/>
  <c r="C509" i="11"/>
  <c r="C330" i="11"/>
  <c r="C512" i="11" s="1"/>
  <c r="I334" i="11"/>
  <c r="I516" i="11" s="1"/>
  <c r="K391" i="11"/>
  <c r="G487" i="11"/>
  <c r="K429" i="11"/>
  <c r="K467" i="11"/>
  <c r="H484" i="11"/>
  <c r="D485" i="11"/>
  <c r="H485" i="11"/>
  <c r="E486" i="11"/>
  <c r="F487" i="11"/>
  <c r="C488" i="11"/>
  <c r="G488" i="11"/>
  <c r="D304" i="11"/>
  <c r="D506" i="11" s="1"/>
  <c r="I324" i="11"/>
  <c r="I510" i="11" s="1"/>
  <c r="E326" i="11"/>
  <c r="J329" i="11"/>
  <c r="J511" i="11" s="1"/>
  <c r="F331" i="11"/>
  <c r="F513" i="11" s="1"/>
  <c r="I339" i="11"/>
  <c r="I521" i="11" s="1"/>
  <c r="K387" i="11"/>
  <c r="K87" i="11"/>
  <c r="K409" i="11" s="1"/>
  <c r="K426" i="11"/>
  <c r="E485" i="11"/>
  <c r="E304" i="11"/>
  <c r="E506" i="11" s="1"/>
  <c r="I506" i="11"/>
  <c r="K261" i="11"/>
  <c r="I486" i="11"/>
  <c r="I310" i="11"/>
  <c r="I507" i="11" s="1"/>
  <c r="B324" i="11"/>
  <c r="B510" i="11" s="1"/>
  <c r="H325" i="11"/>
  <c r="K278" i="11"/>
  <c r="I327" i="11"/>
  <c r="D328" i="11"/>
  <c r="C490" i="11"/>
  <c r="C329" i="11"/>
  <c r="C511" i="11" s="1"/>
  <c r="G490" i="11"/>
  <c r="G329" i="11"/>
  <c r="G511" i="11" s="1"/>
  <c r="E491" i="11"/>
  <c r="E330" i="11"/>
  <c r="E512" i="11" s="1"/>
  <c r="I491" i="11"/>
  <c r="I330" i="11"/>
  <c r="I512" i="11" s="1"/>
  <c r="C492" i="11"/>
  <c r="C331" i="11"/>
  <c r="C513" i="11" s="1"/>
  <c r="G492" i="11"/>
  <c r="G331" i="11"/>
  <c r="G513" i="11" s="1"/>
  <c r="B493" i="11"/>
  <c r="B332" i="11"/>
  <c r="B514" i="11" s="1"/>
  <c r="H495" i="11"/>
  <c r="H334" i="11"/>
  <c r="H516" i="11" s="1"/>
  <c r="C496" i="11"/>
  <c r="C335" i="11"/>
  <c r="C517" i="11" s="1"/>
  <c r="G496" i="11"/>
  <c r="G335" i="11"/>
  <c r="G517" i="11" s="1"/>
  <c r="E309" i="11"/>
  <c r="E507" i="11" s="1"/>
  <c r="F314" i="11"/>
  <c r="F508" i="11" s="1"/>
  <c r="G319" i="11"/>
  <c r="G509" i="11" s="1"/>
  <c r="E324" i="11"/>
  <c r="E510" i="11" s="1"/>
  <c r="I332" i="11"/>
  <c r="I514" i="11" s="1"/>
  <c r="E339" i="11"/>
  <c r="E521" i="11" s="1"/>
  <c r="F486" i="11"/>
  <c r="D495" i="11"/>
  <c r="F500" i="11"/>
  <c r="S538" i="10"/>
  <c r="L541" i="10"/>
  <c r="S456" i="10"/>
  <c r="L538" i="10"/>
  <c r="S540" i="10"/>
  <c r="L544" i="10"/>
  <c r="L546" i="10"/>
  <c r="L548" i="10"/>
  <c r="S550" i="10"/>
  <c r="S502" i="10"/>
  <c r="L559" i="10"/>
  <c r="L561" i="10"/>
  <c r="L582" i="10"/>
  <c r="S607" i="10"/>
  <c r="S427" i="10"/>
  <c r="S648" i="10" s="1"/>
  <c r="L623" i="10"/>
  <c r="L409" i="10"/>
  <c r="L413" i="10"/>
  <c r="L485" i="10" s="1"/>
  <c r="L417" i="10"/>
  <c r="L489" i="10" s="1"/>
  <c r="L421" i="10"/>
  <c r="E639" i="10"/>
  <c r="I639" i="10"/>
  <c r="I466" i="10"/>
  <c r="I661" i="10" s="1"/>
  <c r="D640" i="10"/>
  <c r="D471" i="10"/>
  <c r="D662" i="10" s="1"/>
  <c r="H640" i="10"/>
  <c r="H471" i="10"/>
  <c r="H662" i="10" s="1"/>
  <c r="L399" i="10"/>
  <c r="Q640" i="10"/>
  <c r="Q471" i="10"/>
  <c r="Q662" i="10" s="1"/>
  <c r="D641" i="10"/>
  <c r="D476" i="10"/>
  <c r="D663" i="10" s="1"/>
  <c r="H641" i="10"/>
  <c r="H476" i="10"/>
  <c r="H663" i="10" s="1"/>
  <c r="L404" i="10"/>
  <c r="Q663" i="10"/>
  <c r="N642" i="10"/>
  <c r="N481" i="10"/>
  <c r="N664" i="10" s="1"/>
  <c r="E643" i="10"/>
  <c r="E486" i="10"/>
  <c r="E665" i="10" s="1"/>
  <c r="I643" i="10"/>
  <c r="I486" i="10"/>
  <c r="I665" i="10" s="1"/>
  <c r="N643" i="10"/>
  <c r="N486" i="10"/>
  <c r="N665" i="10" s="1"/>
  <c r="R643" i="10"/>
  <c r="R486" i="10"/>
  <c r="R665" i="10" s="1"/>
  <c r="E491" i="10"/>
  <c r="I491" i="10"/>
  <c r="N491" i="10"/>
  <c r="N666" i="10" s="1"/>
  <c r="R491" i="10"/>
  <c r="R666" i="10" s="1"/>
  <c r="D492" i="10"/>
  <c r="H492" i="10"/>
  <c r="L420" i="10"/>
  <c r="Q492" i="10"/>
  <c r="I494" i="10"/>
  <c r="O494" i="10"/>
  <c r="S422" i="10"/>
  <c r="E423" i="10"/>
  <c r="E644" i="10" s="1"/>
  <c r="O646" i="10"/>
  <c r="O497" i="10"/>
  <c r="O668" i="10" s="1"/>
  <c r="E647" i="10"/>
  <c r="E498" i="10"/>
  <c r="E669" i="10" s="1"/>
  <c r="I498" i="10"/>
  <c r="I669" i="10" s="1"/>
  <c r="I647" i="10"/>
  <c r="O647" i="10"/>
  <c r="O498" i="10"/>
  <c r="O669" i="10" s="1"/>
  <c r="E648" i="10"/>
  <c r="E499" i="10"/>
  <c r="E670" i="10" s="1"/>
  <c r="I648" i="10"/>
  <c r="I499" i="10"/>
  <c r="I670" i="10" s="1"/>
  <c r="N648" i="10"/>
  <c r="N499" i="10"/>
  <c r="N670" i="10" s="1"/>
  <c r="R648" i="10"/>
  <c r="R499" i="10"/>
  <c r="R670" i="10" s="1"/>
  <c r="N651" i="10"/>
  <c r="N502" i="10"/>
  <c r="N673" i="10" s="1"/>
  <c r="R651" i="10"/>
  <c r="R502" i="10"/>
  <c r="R673" i="10" s="1"/>
  <c r="D655" i="10"/>
  <c r="D506" i="10"/>
  <c r="D677" i="10" s="1"/>
  <c r="H655" i="10"/>
  <c r="H506" i="10"/>
  <c r="H677" i="10" s="1"/>
  <c r="L434" i="10"/>
  <c r="L655" i="10" s="1"/>
  <c r="Q655" i="10"/>
  <c r="Q506" i="10"/>
  <c r="Q677" i="10" s="1"/>
  <c r="I481" i="10"/>
  <c r="I664" i="10" s="1"/>
  <c r="S485" i="10"/>
  <c r="S541" i="10"/>
  <c r="S493" i="10"/>
  <c r="S546" i="10"/>
  <c r="S498" i="10"/>
  <c r="L554" i="10"/>
  <c r="G423" i="10"/>
  <c r="G644" i="10" s="1"/>
  <c r="F423" i="10"/>
  <c r="F644" i="10" s="1"/>
  <c r="L627" i="10"/>
  <c r="L425" i="10"/>
  <c r="L646" i="10" s="1"/>
  <c r="L631" i="10"/>
  <c r="L429" i="10"/>
  <c r="L650" i="10" s="1"/>
  <c r="F639" i="10"/>
  <c r="F466" i="10"/>
  <c r="F661" i="10" s="1"/>
  <c r="O639" i="10"/>
  <c r="O466" i="10"/>
  <c r="O661" i="10" s="1"/>
  <c r="S394" i="10"/>
  <c r="I640" i="10"/>
  <c r="I471" i="10"/>
  <c r="I662" i="10" s="1"/>
  <c r="N640" i="10"/>
  <c r="N471" i="10"/>
  <c r="N662" i="10" s="1"/>
  <c r="E642" i="10"/>
  <c r="E481" i="10"/>
  <c r="E664" i="10" s="1"/>
  <c r="B643" i="10"/>
  <c r="B486" i="10"/>
  <c r="B665" i="10" s="1"/>
  <c r="F643" i="10"/>
  <c r="F486" i="10"/>
  <c r="F665" i="10" s="1"/>
  <c r="O643" i="10"/>
  <c r="O486" i="10"/>
  <c r="O665" i="10" s="1"/>
  <c r="O493" i="10"/>
  <c r="E494" i="10"/>
  <c r="J494" i="10"/>
  <c r="H495" i="10"/>
  <c r="C496" i="10"/>
  <c r="C667" i="10" s="1"/>
  <c r="C645" i="10"/>
  <c r="G645" i="10"/>
  <c r="G496" i="10"/>
  <c r="G667" i="10" s="1"/>
  <c r="K496" i="10"/>
  <c r="K667" i="10" s="1"/>
  <c r="K645" i="10"/>
  <c r="P645" i="10"/>
  <c r="P496" i="10"/>
  <c r="P667" i="10" s="1"/>
  <c r="B646" i="10"/>
  <c r="B497" i="10"/>
  <c r="B668" i="10" s="1"/>
  <c r="F646" i="10"/>
  <c r="F497" i="10"/>
  <c r="F668" i="10" s="1"/>
  <c r="J646" i="10"/>
  <c r="J497" i="10"/>
  <c r="J668" i="10" s="1"/>
  <c r="P646" i="10"/>
  <c r="P497" i="10"/>
  <c r="P668" i="10" s="1"/>
  <c r="B647" i="10"/>
  <c r="B498" i="10"/>
  <c r="B669" i="10" s="1"/>
  <c r="F647" i="10"/>
  <c r="F498" i="10"/>
  <c r="F669" i="10" s="1"/>
  <c r="J647" i="10"/>
  <c r="J498" i="10"/>
  <c r="J669" i="10" s="1"/>
  <c r="O650" i="10"/>
  <c r="O501" i="10"/>
  <c r="O672" i="10" s="1"/>
  <c r="S650" i="10"/>
  <c r="S501" i="10"/>
  <c r="E651" i="10"/>
  <c r="E502" i="10"/>
  <c r="E673" i="10" s="1"/>
  <c r="I651" i="10"/>
  <c r="I502" i="10"/>
  <c r="I673" i="10" s="1"/>
  <c r="O651" i="10"/>
  <c r="O502" i="10"/>
  <c r="O673" i="10" s="1"/>
  <c r="E655" i="10"/>
  <c r="E506" i="10"/>
  <c r="E677" i="10" s="1"/>
  <c r="I655" i="10"/>
  <c r="I506" i="10"/>
  <c r="I677" i="10" s="1"/>
  <c r="N655" i="10"/>
  <c r="N506" i="10"/>
  <c r="N677" i="10" s="1"/>
  <c r="R655" i="10"/>
  <c r="R506" i="10"/>
  <c r="R677" i="10" s="1"/>
  <c r="E661" i="10"/>
  <c r="E471" i="10"/>
  <c r="E662" i="10" s="1"/>
  <c r="J486" i="10"/>
  <c r="J665" i="10" s="1"/>
  <c r="L463" i="10"/>
  <c r="L467" i="10"/>
  <c r="L539" i="10"/>
  <c r="S475" i="10"/>
  <c r="L483" i="10"/>
  <c r="L542" i="10"/>
  <c r="Q495" i="10"/>
  <c r="L545" i="10"/>
  <c r="L547" i="10"/>
  <c r="L549" i="10"/>
  <c r="S557" i="10"/>
  <c r="L558" i="10"/>
  <c r="S579" i="10"/>
  <c r="L580" i="10"/>
  <c r="L207" i="10"/>
  <c r="L584" i="10" s="1"/>
  <c r="L598" i="10"/>
  <c r="S600" i="10"/>
  <c r="L628" i="10"/>
  <c r="L426" i="10"/>
  <c r="L647" i="10" s="1"/>
  <c r="L632" i="10"/>
  <c r="L430" i="10"/>
  <c r="L651" i="10" s="1"/>
  <c r="G639" i="10"/>
  <c r="G466" i="10"/>
  <c r="G661" i="10" s="1"/>
  <c r="P639" i="10"/>
  <c r="P466" i="10"/>
  <c r="P661" i="10" s="1"/>
  <c r="F640" i="10"/>
  <c r="F471" i="10"/>
  <c r="F662" i="10" s="1"/>
  <c r="J640" i="10"/>
  <c r="J471" i="10"/>
  <c r="J662" i="10" s="1"/>
  <c r="O640" i="10"/>
  <c r="S399" i="10"/>
  <c r="S471" i="10" s="1"/>
  <c r="F641" i="10"/>
  <c r="F476" i="10"/>
  <c r="F663" i="10" s="1"/>
  <c r="J641" i="10"/>
  <c r="J476" i="10"/>
  <c r="J663" i="10" s="1"/>
  <c r="O641" i="10"/>
  <c r="O476" i="10"/>
  <c r="O663" i="10" s="1"/>
  <c r="S404" i="10"/>
  <c r="F642" i="10"/>
  <c r="F481" i="10"/>
  <c r="F664" i="10" s="1"/>
  <c r="J642" i="10"/>
  <c r="J481" i="10"/>
  <c r="J664" i="10" s="1"/>
  <c r="P664" i="10"/>
  <c r="D418" i="10"/>
  <c r="D490" i="10" s="1"/>
  <c r="C491" i="10"/>
  <c r="G491" i="10"/>
  <c r="K491" i="10"/>
  <c r="P491" i="10"/>
  <c r="B492" i="10"/>
  <c r="F492" i="10"/>
  <c r="J492" i="10"/>
  <c r="O492" i="10"/>
  <c r="B493" i="10"/>
  <c r="F493" i="10"/>
  <c r="J493" i="10"/>
  <c r="P493" i="10"/>
  <c r="B494" i="10"/>
  <c r="F494" i="10"/>
  <c r="I423" i="10"/>
  <c r="I644" i="10" s="1"/>
  <c r="N495" i="10"/>
  <c r="R495" i="10"/>
  <c r="D645" i="10"/>
  <c r="D496" i="10"/>
  <c r="D667" i="10" s="1"/>
  <c r="H645" i="10"/>
  <c r="H496" i="10"/>
  <c r="H667" i="10" s="1"/>
  <c r="L424" i="10"/>
  <c r="L645" i="10" s="1"/>
  <c r="Q645" i="10"/>
  <c r="Q496" i="10"/>
  <c r="Q667" i="10" s="1"/>
  <c r="C646" i="10"/>
  <c r="C497" i="10"/>
  <c r="C668" i="10" s="1"/>
  <c r="G646" i="10"/>
  <c r="G497" i="10"/>
  <c r="G668" i="10" s="1"/>
  <c r="K646" i="10"/>
  <c r="K497" i="10"/>
  <c r="K668" i="10" s="1"/>
  <c r="C649" i="10"/>
  <c r="C500" i="10"/>
  <c r="C671" i="10" s="1"/>
  <c r="G500" i="10"/>
  <c r="G671" i="10" s="1"/>
  <c r="G649" i="10"/>
  <c r="K649" i="10"/>
  <c r="K500" i="10"/>
  <c r="K671" i="10" s="1"/>
  <c r="P649" i="10"/>
  <c r="P500" i="10"/>
  <c r="P671" i="10" s="1"/>
  <c r="B650" i="10"/>
  <c r="B501" i="10"/>
  <c r="B672" i="10" s="1"/>
  <c r="F650" i="10"/>
  <c r="F501" i="10"/>
  <c r="F672" i="10" s="1"/>
  <c r="J650" i="10"/>
  <c r="J501" i="10"/>
  <c r="J672" i="10" s="1"/>
  <c r="P650" i="10"/>
  <c r="P501" i="10"/>
  <c r="P672" i="10" s="1"/>
  <c r="B651" i="10"/>
  <c r="B502" i="10"/>
  <c r="B673" i="10" s="1"/>
  <c r="F651" i="10"/>
  <c r="F502" i="10"/>
  <c r="F673" i="10" s="1"/>
  <c r="J651" i="10"/>
  <c r="J502" i="10"/>
  <c r="J673" i="10" s="1"/>
  <c r="J466" i="10"/>
  <c r="J661" i="10" s="1"/>
  <c r="O471" i="10"/>
  <c r="O662" i="10" s="1"/>
  <c r="S491" i="10"/>
  <c r="S496" i="10"/>
  <c r="S544" i="10"/>
  <c r="S548" i="10"/>
  <c r="S500" i="10"/>
  <c r="H422" i="10"/>
  <c r="H644" i="10" s="1"/>
  <c r="L135" i="10"/>
  <c r="S539" i="10"/>
  <c r="L540" i="10"/>
  <c r="S542" i="10"/>
  <c r="S486" i="10"/>
  <c r="S495" i="10"/>
  <c r="S545" i="10"/>
  <c r="S497" i="10"/>
  <c r="S547" i="10"/>
  <c r="L550" i="10"/>
  <c r="S558" i="10"/>
  <c r="L560" i="10"/>
  <c r="S580" i="10"/>
  <c r="S598" i="10"/>
  <c r="L599" i="10"/>
  <c r="S420" i="10"/>
  <c r="S644" i="10" s="1"/>
  <c r="L279" i="10"/>
  <c r="L603" i="10" s="1"/>
  <c r="L620" i="10"/>
  <c r="L351" i="10"/>
  <c r="L625" i="10" s="1"/>
  <c r="D639" i="10"/>
  <c r="D466" i="10"/>
  <c r="D661" i="10" s="1"/>
  <c r="H639" i="10"/>
  <c r="H466" i="10"/>
  <c r="H661" i="10" s="1"/>
  <c r="L394" i="10"/>
  <c r="Q639" i="10"/>
  <c r="G640" i="10"/>
  <c r="G471" i="10"/>
  <c r="G662" i="10" s="1"/>
  <c r="P640" i="10"/>
  <c r="P471" i="10"/>
  <c r="P662" i="10" s="1"/>
  <c r="G641" i="10"/>
  <c r="G476" i="10"/>
  <c r="G663" i="10" s="1"/>
  <c r="P641" i="10"/>
  <c r="P476" i="10"/>
  <c r="P663" i="10" s="1"/>
  <c r="G642" i="10"/>
  <c r="G481" i="10"/>
  <c r="G664" i="10" s="1"/>
  <c r="D643" i="10"/>
  <c r="D486" i="10"/>
  <c r="H643" i="10"/>
  <c r="H486" i="10"/>
  <c r="H665" i="10" s="1"/>
  <c r="L414" i="10"/>
  <c r="Q643" i="10"/>
  <c r="Q486" i="10"/>
  <c r="Q665" i="10" s="1"/>
  <c r="D491" i="10"/>
  <c r="L419" i="10"/>
  <c r="Q491" i="10"/>
  <c r="C492" i="10"/>
  <c r="G492" i="10"/>
  <c r="K492" i="10"/>
  <c r="P492" i="10"/>
  <c r="C493" i="10"/>
  <c r="G493" i="10"/>
  <c r="K493" i="10"/>
  <c r="N494" i="10"/>
  <c r="R494" i="10"/>
  <c r="D423" i="10"/>
  <c r="D644" i="10" s="1"/>
  <c r="N647" i="10"/>
  <c r="N498" i="10"/>
  <c r="N669" i="10" s="1"/>
  <c r="R647" i="10"/>
  <c r="R498" i="10"/>
  <c r="R669" i="10" s="1"/>
  <c r="D648" i="10"/>
  <c r="D499" i="10"/>
  <c r="D670" i="10" s="1"/>
  <c r="H648" i="10"/>
  <c r="H499" i="10"/>
  <c r="H670" i="10" s="1"/>
  <c r="L427" i="10"/>
  <c r="L648" i="10" s="1"/>
  <c r="Q499" i="10"/>
  <c r="Q670" i="10" s="1"/>
  <c r="Q648" i="10"/>
  <c r="D649" i="10"/>
  <c r="D500" i="10"/>
  <c r="D671" i="10" s="1"/>
  <c r="H649" i="10"/>
  <c r="H500" i="10"/>
  <c r="H671" i="10" s="1"/>
  <c r="L428" i="10"/>
  <c r="L649" i="10" s="1"/>
  <c r="Q649" i="10"/>
  <c r="Q500" i="10"/>
  <c r="Q671" i="10" s="1"/>
  <c r="C650" i="10"/>
  <c r="C501" i="10"/>
  <c r="C672" i="10" s="1"/>
  <c r="G650" i="10"/>
  <c r="G501" i="10"/>
  <c r="G672" i="10" s="1"/>
  <c r="K650" i="10"/>
  <c r="K501" i="10"/>
  <c r="K672" i="10" s="1"/>
  <c r="Q466" i="10"/>
  <c r="Q661" i="10" s="1"/>
  <c r="I663" i="10"/>
  <c r="D664" i="10"/>
  <c r="J496" i="10"/>
  <c r="J667" i="10" s="1"/>
  <c r="E641" i="10"/>
  <c r="E476" i="10"/>
  <c r="E663" i="10" s="1"/>
  <c r="I641" i="10"/>
  <c r="N641" i="10"/>
  <c r="N476" i="10"/>
  <c r="N663" i="10" s="1"/>
  <c r="R663" i="10"/>
  <c r="D642" i="10"/>
  <c r="H642" i="10"/>
  <c r="H481" i="10"/>
  <c r="H664" i="10" s="1"/>
  <c r="Q664" i="10"/>
  <c r="C643" i="10"/>
  <c r="C486" i="10"/>
  <c r="C665" i="10" s="1"/>
  <c r="G643" i="10"/>
  <c r="G486" i="10"/>
  <c r="G665" i="10" s="1"/>
  <c r="K643" i="10"/>
  <c r="K486" i="10"/>
  <c r="K665" i="10" s="1"/>
  <c r="B491" i="10"/>
  <c r="B666" i="10" s="1"/>
  <c r="F491" i="10"/>
  <c r="O491" i="10"/>
  <c r="I492" i="10"/>
  <c r="R492" i="10"/>
  <c r="H493" i="10"/>
  <c r="Q493" i="10"/>
  <c r="G494" i="10"/>
  <c r="P494" i="10"/>
  <c r="O495" i="10"/>
  <c r="E645" i="10"/>
  <c r="E496" i="10"/>
  <c r="E667" i="10" s="1"/>
  <c r="I645" i="10"/>
  <c r="I496" i="10"/>
  <c r="I667" i="10" s="1"/>
  <c r="N645" i="10"/>
  <c r="N496" i="10"/>
  <c r="N667" i="10" s="1"/>
  <c r="R645" i="10"/>
  <c r="R496" i="10"/>
  <c r="R667" i="10" s="1"/>
  <c r="D646" i="10"/>
  <c r="D497" i="10"/>
  <c r="D668" i="10" s="1"/>
  <c r="H646" i="10"/>
  <c r="H497" i="10"/>
  <c r="H668" i="10" s="1"/>
  <c r="Q646" i="10"/>
  <c r="Q497" i="10"/>
  <c r="Q668" i="10" s="1"/>
  <c r="C647" i="10"/>
  <c r="C498" i="10"/>
  <c r="C669" i="10" s="1"/>
  <c r="G647" i="10"/>
  <c r="G498" i="10"/>
  <c r="G669" i="10" s="1"/>
  <c r="K647" i="10"/>
  <c r="K498" i="10"/>
  <c r="K669" i="10" s="1"/>
  <c r="P647" i="10"/>
  <c r="P498" i="10"/>
  <c r="P669" i="10" s="1"/>
  <c r="B648" i="10"/>
  <c r="B499" i="10"/>
  <c r="B670" i="10" s="1"/>
  <c r="F648" i="10"/>
  <c r="F499" i="10"/>
  <c r="F670" i="10" s="1"/>
  <c r="J648" i="10"/>
  <c r="J499" i="10"/>
  <c r="J670" i="10" s="1"/>
  <c r="O648" i="10"/>
  <c r="O499" i="10"/>
  <c r="O670" i="10" s="1"/>
  <c r="E649" i="10"/>
  <c r="E500" i="10"/>
  <c r="E671" i="10" s="1"/>
  <c r="I649" i="10"/>
  <c r="I500" i="10"/>
  <c r="I671" i="10" s="1"/>
  <c r="N649" i="10"/>
  <c r="N500" i="10"/>
  <c r="N671" i="10" s="1"/>
  <c r="R649" i="10"/>
  <c r="R500" i="10"/>
  <c r="R671" i="10" s="1"/>
  <c r="D650" i="10"/>
  <c r="D501" i="10"/>
  <c r="D672" i="10" s="1"/>
  <c r="H650" i="10"/>
  <c r="H501" i="10"/>
  <c r="H672" i="10" s="1"/>
  <c r="Q650" i="10"/>
  <c r="Q501" i="10"/>
  <c r="Q672" i="10" s="1"/>
  <c r="C651" i="10"/>
  <c r="C502" i="10"/>
  <c r="C673" i="10" s="1"/>
  <c r="G651" i="10"/>
  <c r="G502" i="10"/>
  <c r="G673" i="10" s="1"/>
  <c r="K651" i="10"/>
  <c r="K502" i="10"/>
  <c r="K673" i="10" s="1"/>
  <c r="P651" i="10"/>
  <c r="P502" i="10"/>
  <c r="P673" i="10" s="1"/>
  <c r="B655" i="10"/>
  <c r="B506" i="10"/>
  <c r="B677" i="10" s="1"/>
  <c r="F506" i="10"/>
  <c r="F677" i="10" s="1"/>
  <c r="F655" i="10"/>
  <c r="J655" i="10"/>
  <c r="J506" i="10"/>
  <c r="J677" i="10" s="1"/>
  <c r="O655" i="10"/>
  <c r="O506" i="10"/>
  <c r="O677" i="10" s="1"/>
  <c r="P486" i="10"/>
  <c r="P665" i="10" s="1"/>
  <c r="J495" i="10"/>
  <c r="H498" i="10"/>
  <c r="H669" i="10" s="1"/>
  <c r="D502" i="10"/>
  <c r="D673" i="10" s="1"/>
  <c r="E493" i="10"/>
  <c r="I493" i="10"/>
  <c r="N493" i="10"/>
  <c r="R493" i="10"/>
  <c r="D494" i="10"/>
  <c r="Q494" i="10"/>
  <c r="C495" i="10"/>
  <c r="K495" i="10"/>
  <c r="P495" i="10"/>
  <c r="B645" i="10"/>
  <c r="B496" i="10"/>
  <c r="B667" i="10" s="1"/>
  <c r="F645" i="10"/>
  <c r="F496" i="10"/>
  <c r="F667" i="10" s="1"/>
  <c r="O645" i="10"/>
  <c r="O496" i="10"/>
  <c r="O667" i="10" s="1"/>
  <c r="E646" i="10"/>
  <c r="E497" i="10"/>
  <c r="E668" i="10" s="1"/>
  <c r="N646" i="10"/>
  <c r="N497" i="10"/>
  <c r="N668" i="10" s="1"/>
  <c r="R646" i="10"/>
  <c r="R497" i="10"/>
  <c r="R668" i="10" s="1"/>
  <c r="D647" i="10"/>
  <c r="D498" i="10"/>
  <c r="D669" i="10" s="1"/>
  <c r="Q647" i="10"/>
  <c r="Q498" i="10"/>
  <c r="Q669" i="10" s="1"/>
  <c r="C648" i="10"/>
  <c r="C499" i="10"/>
  <c r="C670" i="10" s="1"/>
  <c r="K648" i="10"/>
  <c r="K499" i="10"/>
  <c r="K670" i="10" s="1"/>
  <c r="P648" i="10"/>
  <c r="P499" i="10"/>
  <c r="P670" i="10" s="1"/>
  <c r="B649" i="10"/>
  <c r="B500" i="10"/>
  <c r="B671" i="10" s="1"/>
  <c r="J649" i="10"/>
  <c r="J500" i="10"/>
  <c r="J671" i="10" s="1"/>
  <c r="O649" i="10"/>
  <c r="O500" i="10"/>
  <c r="O671" i="10" s="1"/>
  <c r="I650" i="10"/>
  <c r="I501" i="10"/>
  <c r="I672" i="10" s="1"/>
  <c r="N650" i="10"/>
  <c r="N501" i="10"/>
  <c r="N672" i="10" s="1"/>
  <c r="R650" i="10"/>
  <c r="R501" i="10"/>
  <c r="R672" i="10" s="1"/>
  <c r="H651" i="10"/>
  <c r="H502" i="10"/>
  <c r="H673" i="10" s="1"/>
  <c r="Q651" i="10"/>
  <c r="Q502" i="10"/>
  <c r="Q673" i="10" s="1"/>
  <c r="G655" i="10"/>
  <c r="G506" i="10"/>
  <c r="G677" i="10" s="1"/>
  <c r="K655" i="10"/>
  <c r="K506" i="10"/>
  <c r="K677" i="10" s="1"/>
  <c r="P655" i="10"/>
  <c r="P506" i="10"/>
  <c r="P677" i="10" s="1"/>
  <c r="E492" i="10"/>
  <c r="C494" i="10"/>
  <c r="G499" i="10"/>
  <c r="G670" i="10" s="1"/>
  <c r="C506" i="10"/>
  <c r="C677" i="10" s="1"/>
  <c r="F362" i="9"/>
  <c r="L402" i="9"/>
  <c r="L313" i="9"/>
  <c r="L504" i="9" s="1"/>
  <c r="L485" i="9"/>
  <c r="D496" i="9"/>
  <c r="D338" i="9"/>
  <c r="D518" i="9" s="1"/>
  <c r="H496" i="9"/>
  <c r="H338" i="9"/>
  <c r="H518" i="9" s="1"/>
  <c r="L298" i="9"/>
  <c r="L351" i="9" s="1"/>
  <c r="C499" i="9"/>
  <c r="C353" i="9"/>
  <c r="C521" i="9" s="1"/>
  <c r="G499" i="9"/>
  <c r="G353" i="9"/>
  <c r="G521" i="9" s="1"/>
  <c r="J359" i="9"/>
  <c r="G501" i="9"/>
  <c r="G363" i="9"/>
  <c r="G523" i="9" s="1"/>
  <c r="F504" i="9"/>
  <c r="F366" i="9"/>
  <c r="F526" i="9" s="1"/>
  <c r="J504" i="9"/>
  <c r="J366" i="9"/>
  <c r="J526" i="9" s="1"/>
  <c r="E505" i="9"/>
  <c r="E367" i="9"/>
  <c r="E527" i="9" s="1"/>
  <c r="I505" i="9"/>
  <c r="I367" i="9"/>
  <c r="I527" i="9" s="1"/>
  <c r="C506" i="9"/>
  <c r="C368" i="9"/>
  <c r="C528" i="9" s="1"/>
  <c r="F343" i="9"/>
  <c r="F519" i="9" s="1"/>
  <c r="G360" i="9"/>
  <c r="H362" i="9"/>
  <c r="H364" i="9"/>
  <c r="H524" i="9" s="1"/>
  <c r="K368" i="9"/>
  <c r="K528" i="9" s="1"/>
  <c r="L417" i="9"/>
  <c r="E496" i="9"/>
  <c r="G497" i="9"/>
  <c r="K501" i="9"/>
  <c r="L44" i="9"/>
  <c r="L399" i="9" s="1"/>
  <c r="L403" i="9"/>
  <c r="L410" i="9"/>
  <c r="L414" i="9"/>
  <c r="L438" i="9"/>
  <c r="L291" i="9"/>
  <c r="L344" i="9" s="1"/>
  <c r="L457" i="9"/>
  <c r="L203" i="9"/>
  <c r="L459" i="9" s="1"/>
  <c r="L477" i="9"/>
  <c r="L295" i="9"/>
  <c r="L299" i="9"/>
  <c r="L352" i="9" s="1"/>
  <c r="L303" i="9"/>
  <c r="L356" i="9" s="1"/>
  <c r="L307" i="9"/>
  <c r="F496" i="9"/>
  <c r="I498" i="9"/>
  <c r="I348" i="9"/>
  <c r="I520" i="9" s="1"/>
  <c r="D499" i="9"/>
  <c r="K361" i="9"/>
  <c r="I309" i="9"/>
  <c r="I500" i="9" s="1"/>
  <c r="L310" i="9"/>
  <c r="L501" i="9" s="1"/>
  <c r="E502" i="9"/>
  <c r="E364" i="9"/>
  <c r="E524" i="9" s="1"/>
  <c r="F503" i="9"/>
  <c r="F365" i="9"/>
  <c r="F525" i="9" s="1"/>
  <c r="K504" i="9"/>
  <c r="K366" i="9"/>
  <c r="K526" i="9" s="1"/>
  <c r="C507" i="9"/>
  <c r="C369" i="9"/>
  <c r="C529" i="9" s="1"/>
  <c r="G507" i="9"/>
  <c r="G369" i="9"/>
  <c r="G529" i="9" s="1"/>
  <c r="K507" i="9"/>
  <c r="K369" i="9"/>
  <c r="K529" i="9" s="1"/>
  <c r="I511" i="9"/>
  <c r="I373" i="9"/>
  <c r="I533" i="9" s="1"/>
  <c r="J333" i="9"/>
  <c r="J517" i="9" s="1"/>
  <c r="K353" i="9"/>
  <c r="K521" i="9" s="1"/>
  <c r="I358" i="9"/>
  <c r="I364" i="9"/>
  <c r="I524" i="9" s="1"/>
  <c r="I365" i="9"/>
  <c r="I525" i="9" s="1"/>
  <c r="F495" i="9"/>
  <c r="I496" i="9"/>
  <c r="F499" i="9"/>
  <c r="E503" i="9"/>
  <c r="G506" i="9"/>
  <c r="L330" i="9"/>
  <c r="L395" i="9"/>
  <c r="D495" i="9"/>
  <c r="H495" i="9"/>
  <c r="L280" i="9"/>
  <c r="L333" i="9" s="1"/>
  <c r="I495" i="9"/>
  <c r="D497" i="9"/>
  <c r="D343" i="9"/>
  <c r="D519" i="9" s="1"/>
  <c r="H497" i="9"/>
  <c r="H343" i="9"/>
  <c r="H519" i="9" s="1"/>
  <c r="L290" i="9"/>
  <c r="F498" i="9"/>
  <c r="G358" i="9"/>
  <c r="L306" i="9"/>
  <c r="E360" i="9"/>
  <c r="L308" i="9"/>
  <c r="K362" i="9"/>
  <c r="K505" i="9"/>
  <c r="K367" i="9"/>
  <c r="K527" i="9" s="1"/>
  <c r="I506" i="9"/>
  <c r="I368" i="9"/>
  <c r="I528" i="9" s="1"/>
  <c r="D507" i="9"/>
  <c r="D369" i="9"/>
  <c r="D529" i="9" s="1"/>
  <c r="L316" i="9"/>
  <c r="L507" i="9" s="1"/>
  <c r="F339" i="9"/>
  <c r="F518" i="9" s="1"/>
  <c r="J343" i="9"/>
  <c r="J519" i="9" s="1"/>
  <c r="F348" i="9"/>
  <c r="F520" i="9" s="1"/>
  <c r="D353" i="9"/>
  <c r="D521" i="9" s="1"/>
  <c r="C358" i="9"/>
  <c r="B359" i="9"/>
  <c r="B361" i="9"/>
  <c r="C363" i="9"/>
  <c r="C523" i="9" s="1"/>
  <c r="B365" i="9"/>
  <c r="B525" i="9" s="1"/>
  <c r="B366" i="9"/>
  <c r="B526" i="9" s="1"/>
  <c r="J373" i="9"/>
  <c r="J533" i="9" s="1"/>
  <c r="G495" i="9"/>
  <c r="E498" i="9"/>
  <c r="H499" i="9"/>
  <c r="D501" i="9"/>
  <c r="J503" i="9"/>
  <c r="L396" i="9"/>
  <c r="E362" i="9"/>
  <c r="L401" i="9"/>
  <c r="L415" i="9"/>
  <c r="L416" i="9"/>
  <c r="L97" i="9"/>
  <c r="L418" i="9" s="1"/>
  <c r="L435" i="9"/>
  <c r="L455" i="9"/>
  <c r="L271" i="9"/>
  <c r="L324" i="9" s="1"/>
  <c r="L275" i="9"/>
  <c r="L328" i="9" s="1"/>
  <c r="L279" i="9"/>
  <c r="L332" i="9" s="1"/>
  <c r="L283" i="9"/>
  <c r="L336" i="9" s="1"/>
  <c r="L287" i="9"/>
  <c r="L480" i="9"/>
  <c r="E495" i="9"/>
  <c r="G496" i="9"/>
  <c r="G338" i="9"/>
  <c r="G518" i="9" s="1"/>
  <c r="E497" i="9"/>
  <c r="E343" i="9"/>
  <c r="E519" i="9" s="1"/>
  <c r="I343" i="9"/>
  <c r="I519" i="9" s="1"/>
  <c r="I497" i="9"/>
  <c r="G498" i="9"/>
  <c r="B499" i="9"/>
  <c r="B353" i="9"/>
  <c r="B521" i="9" s="1"/>
  <c r="J499" i="9"/>
  <c r="E359" i="9"/>
  <c r="F360" i="9"/>
  <c r="J360" i="9"/>
  <c r="D361" i="9"/>
  <c r="B501" i="9"/>
  <c r="B363" i="9"/>
  <c r="B523" i="9" s="1"/>
  <c r="G502" i="9"/>
  <c r="G364" i="9"/>
  <c r="G524" i="9" s="1"/>
  <c r="K502" i="9"/>
  <c r="K364" i="9"/>
  <c r="K524" i="9" s="1"/>
  <c r="L312" i="9"/>
  <c r="L503" i="9" s="1"/>
  <c r="E504" i="9"/>
  <c r="E366" i="9"/>
  <c r="E526" i="9" s="1"/>
  <c r="F506" i="9"/>
  <c r="F368" i="9"/>
  <c r="F528" i="9" s="1"/>
  <c r="J506" i="9"/>
  <c r="J368" i="9"/>
  <c r="J528" i="9" s="1"/>
  <c r="I507" i="9"/>
  <c r="I369" i="9"/>
  <c r="I529" i="9" s="1"/>
  <c r="C511" i="9"/>
  <c r="C373" i="9"/>
  <c r="C533" i="9" s="1"/>
  <c r="G511" i="9"/>
  <c r="G373" i="9"/>
  <c r="G533" i="9" s="1"/>
  <c r="H333" i="9"/>
  <c r="H517" i="9" s="1"/>
  <c r="G348" i="9"/>
  <c r="G520" i="9" s="1"/>
  <c r="D358" i="9"/>
  <c r="D359" i="9"/>
  <c r="C360" i="9"/>
  <c r="C361" i="9"/>
  <c r="D362" i="9"/>
  <c r="D364" i="9"/>
  <c r="D524" i="9" s="1"/>
  <c r="C366" i="9"/>
  <c r="C526" i="9" s="1"/>
  <c r="C367" i="9"/>
  <c r="C527" i="9" s="1"/>
  <c r="E369" i="9"/>
  <c r="E529" i="9" s="1"/>
  <c r="L492" i="9"/>
  <c r="J498" i="9"/>
  <c r="F501" i="9"/>
  <c r="L398" i="9"/>
  <c r="L439" i="9"/>
  <c r="L454" i="9"/>
  <c r="L478" i="9"/>
  <c r="D498" i="9"/>
  <c r="D348" i="9"/>
  <c r="D520" i="9" s="1"/>
  <c r="H498" i="9"/>
  <c r="H348" i="9"/>
  <c r="H520" i="9" s="1"/>
  <c r="I499" i="9"/>
  <c r="I353" i="9"/>
  <c r="I521" i="9" s="1"/>
  <c r="C359" i="9"/>
  <c r="H360" i="9"/>
  <c r="G309" i="9"/>
  <c r="G500" i="9" s="1"/>
  <c r="E501" i="9"/>
  <c r="E363" i="9"/>
  <c r="E523" i="9" s="1"/>
  <c r="I501" i="9"/>
  <c r="I363" i="9"/>
  <c r="I523" i="9" s="1"/>
  <c r="B502" i="9"/>
  <c r="B364" i="9"/>
  <c r="B524" i="9" s="1"/>
  <c r="F502" i="9"/>
  <c r="F364" i="9"/>
  <c r="F524" i="9" s="1"/>
  <c r="J502" i="9"/>
  <c r="J364" i="9"/>
  <c r="J524" i="9" s="1"/>
  <c r="C503" i="9"/>
  <c r="C365" i="9"/>
  <c r="C525" i="9" s="1"/>
  <c r="G503" i="9"/>
  <c r="G365" i="9"/>
  <c r="G525" i="9" s="1"/>
  <c r="K503" i="9"/>
  <c r="K365" i="9"/>
  <c r="K525" i="9" s="1"/>
  <c r="D504" i="9"/>
  <c r="D366" i="9"/>
  <c r="D526" i="9" s="1"/>
  <c r="H504" i="9"/>
  <c r="H366" i="9"/>
  <c r="H526" i="9" s="1"/>
  <c r="L315" i="9"/>
  <c r="D511" i="9"/>
  <c r="D373" i="9"/>
  <c r="D533" i="9" s="1"/>
  <c r="H511" i="9"/>
  <c r="H373" i="9"/>
  <c r="H533" i="9" s="1"/>
  <c r="F367" i="9"/>
  <c r="F527" i="9" s="1"/>
  <c r="D368" i="9"/>
  <c r="D528" i="9" s="1"/>
  <c r="E499" i="9"/>
  <c r="B519" i="12" l="1"/>
  <c r="F519" i="12"/>
  <c r="R519" i="12"/>
  <c r="Q519" i="12"/>
  <c r="J519" i="12"/>
  <c r="C519" i="12"/>
  <c r="D519" i="12"/>
  <c r="I519" i="12"/>
  <c r="G519" i="12"/>
  <c r="M519" i="12"/>
  <c r="E519" i="12"/>
  <c r="H519" i="12"/>
  <c r="P519" i="12"/>
  <c r="O519" i="12"/>
  <c r="N519" i="12"/>
  <c r="S496" i="12"/>
  <c r="G510" i="11"/>
  <c r="H510" i="11"/>
  <c r="F510" i="11"/>
  <c r="D510" i="11"/>
  <c r="C510" i="11"/>
  <c r="J510" i="11"/>
  <c r="K430" i="11"/>
  <c r="P666" i="10"/>
  <c r="K666" i="10"/>
  <c r="J666" i="10"/>
  <c r="G666" i="10"/>
  <c r="O666" i="10"/>
  <c r="Q666" i="10"/>
  <c r="C666" i="10"/>
  <c r="L562" i="10"/>
  <c r="L543" i="10"/>
  <c r="E495" i="10"/>
  <c r="E666" i="10" s="1"/>
  <c r="S665" i="10"/>
  <c r="D665" i="10"/>
  <c r="H522" i="9"/>
  <c r="F522" i="9"/>
  <c r="C522" i="9"/>
  <c r="E522" i="9"/>
  <c r="D522" i="9"/>
  <c r="J522" i="9"/>
  <c r="K522" i="9"/>
  <c r="L458" i="9"/>
  <c r="S668" i="10"/>
  <c r="S669" i="10"/>
  <c r="S673" i="10"/>
  <c r="S667" i="10"/>
  <c r="S672" i="10"/>
  <c r="S671" i="10"/>
  <c r="L505" i="9"/>
  <c r="L527" i="9"/>
  <c r="L517" i="9"/>
  <c r="S325" i="12"/>
  <c r="K329" i="12"/>
  <c r="K326" i="12"/>
  <c r="S330" i="12"/>
  <c r="S491" i="12"/>
  <c r="K332" i="12"/>
  <c r="S335" i="12"/>
  <c r="K333" i="12"/>
  <c r="S328" i="12"/>
  <c r="S329" i="12"/>
  <c r="S326" i="12"/>
  <c r="S327" i="12"/>
  <c r="K330" i="12"/>
  <c r="K327" i="12"/>
  <c r="K331" i="12"/>
  <c r="S299" i="12"/>
  <c r="S514" i="12" s="1"/>
  <c r="K494" i="12"/>
  <c r="S334" i="12"/>
  <c r="K325" i="12"/>
  <c r="K491" i="12"/>
  <c r="K314" i="12"/>
  <c r="K517" i="12" s="1"/>
  <c r="S495" i="12"/>
  <c r="K335" i="12"/>
  <c r="S518" i="12"/>
  <c r="K279" i="11"/>
  <c r="K327" i="11" s="1"/>
  <c r="K330" i="11"/>
  <c r="K333" i="11"/>
  <c r="K486" i="11"/>
  <c r="K329" i="11"/>
  <c r="K326" i="11"/>
  <c r="S640" i="10"/>
  <c r="S642" i="10"/>
  <c r="L641" i="10"/>
  <c r="L476" i="10"/>
  <c r="L663" i="10" s="1"/>
  <c r="L640" i="10"/>
  <c r="L639" i="10"/>
  <c r="L492" i="10"/>
  <c r="S664" i="10"/>
  <c r="S639" i="10"/>
  <c r="L497" i="10"/>
  <c r="L471" i="10"/>
  <c r="L662" i="10" s="1"/>
  <c r="L506" i="10"/>
  <c r="S641" i="10"/>
  <c r="L494" i="10"/>
  <c r="D495" i="10"/>
  <c r="D666" i="10" s="1"/>
  <c r="L369" i="9"/>
  <c r="L496" i="9"/>
  <c r="L373" i="9"/>
  <c r="L366" i="9"/>
  <c r="L499" i="9"/>
  <c r="L355" i="9"/>
  <c r="L521" i="9" s="1"/>
  <c r="L497" i="9"/>
  <c r="L495" i="9"/>
  <c r="L365" i="9"/>
  <c r="L364" i="9"/>
  <c r="L358" i="9"/>
  <c r="K324" i="12"/>
  <c r="K514" i="12"/>
  <c r="K492" i="12"/>
  <c r="K304" i="12"/>
  <c r="K515" i="12" s="1"/>
  <c r="K518" i="12"/>
  <c r="K334" i="12"/>
  <c r="S507" i="12"/>
  <c r="S339" i="12"/>
  <c r="S333" i="12"/>
  <c r="S501" i="12"/>
  <c r="S499" i="12"/>
  <c r="S331" i="12"/>
  <c r="K328" i="12"/>
  <c r="S493" i="12"/>
  <c r="S309" i="12"/>
  <c r="S516" i="12" s="1"/>
  <c r="K495" i="12"/>
  <c r="K339" i="12"/>
  <c r="K516" i="12"/>
  <c r="S492" i="12"/>
  <c r="S304" i="12"/>
  <c r="S515" i="12" s="1"/>
  <c r="S500" i="12"/>
  <c r="S332" i="12"/>
  <c r="S494" i="12"/>
  <c r="S314" i="12"/>
  <c r="S517" i="12" s="1"/>
  <c r="K493" i="12"/>
  <c r="S324" i="12"/>
  <c r="K505" i="11"/>
  <c r="K506" i="11"/>
  <c r="K488" i="11"/>
  <c r="K319" i="11"/>
  <c r="K509" i="11" s="1"/>
  <c r="K339" i="11"/>
  <c r="K328" i="11"/>
  <c r="K508" i="11"/>
  <c r="K309" i="11"/>
  <c r="K507" i="11" s="1"/>
  <c r="K325" i="11"/>
  <c r="K495" i="11"/>
  <c r="K334" i="11"/>
  <c r="K496" i="11"/>
  <c r="K335" i="11"/>
  <c r="K487" i="11"/>
  <c r="K485" i="11"/>
  <c r="K492" i="11"/>
  <c r="K331" i="11"/>
  <c r="K484" i="11"/>
  <c r="K332" i="11"/>
  <c r="K324" i="11"/>
  <c r="K510" i="11" s="1"/>
  <c r="L502" i="10"/>
  <c r="F495" i="10"/>
  <c r="F666" i="10" s="1"/>
  <c r="S492" i="10"/>
  <c r="S666" i="10" s="1"/>
  <c r="H494" i="10"/>
  <c r="H666" i="10" s="1"/>
  <c r="L498" i="10"/>
  <c r="G495" i="10"/>
  <c r="L493" i="10"/>
  <c r="S476" i="10"/>
  <c r="S663" i="10" s="1"/>
  <c r="L466" i="10"/>
  <c r="L661" i="10" s="1"/>
  <c r="S466" i="10"/>
  <c r="S661" i="10" s="1"/>
  <c r="I495" i="10"/>
  <c r="I666" i="10" s="1"/>
  <c r="L643" i="10"/>
  <c r="L423" i="10"/>
  <c r="L644" i="10" s="1"/>
  <c r="S662" i="10"/>
  <c r="L499" i="10"/>
  <c r="L642" i="10"/>
  <c r="L481" i="10"/>
  <c r="L664" i="10" s="1"/>
  <c r="S499" i="10"/>
  <c r="L501" i="10"/>
  <c r="L486" i="10"/>
  <c r="L665" i="10" s="1"/>
  <c r="L500" i="10"/>
  <c r="L496" i="10"/>
  <c r="S494" i="10"/>
  <c r="L491" i="10"/>
  <c r="L506" i="9"/>
  <c r="L368" i="9"/>
  <c r="L340" i="9"/>
  <c r="L518" i="9" s="1"/>
  <c r="L363" i="9"/>
  <c r="G362" i="9"/>
  <c r="G522" i="9" s="1"/>
  <c r="I362" i="9"/>
  <c r="I522" i="9" s="1"/>
  <c r="L309" i="9"/>
  <c r="L500" i="9" s="1"/>
  <c r="L359" i="9"/>
  <c r="L361" i="9"/>
  <c r="L343" i="9"/>
  <c r="L519" i="9" s="1"/>
  <c r="L348" i="9"/>
  <c r="L520" i="9" s="1"/>
  <c r="L498" i="9"/>
  <c r="L360" i="9"/>
  <c r="S519" i="12" l="1"/>
  <c r="K519" i="12"/>
  <c r="K489" i="11"/>
  <c r="S523" i="12"/>
  <c r="K526" i="12"/>
  <c r="K522" i="12"/>
  <c r="S526" i="12"/>
  <c r="K525" i="12"/>
  <c r="S525" i="12"/>
  <c r="S520" i="12"/>
  <c r="K523" i="12"/>
  <c r="S524" i="12"/>
  <c r="K521" i="12"/>
  <c r="K520" i="12"/>
  <c r="S522" i="12"/>
  <c r="S530" i="12"/>
  <c r="K524" i="12"/>
  <c r="S521" i="12"/>
  <c r="K513" i="11"/>
  <c r="K515" i="11"/>
  <c r="K514" i="11"/>
  <c r="K516" i="11"/>
  <c r="K512" i="11"/>
  <c r="K517" i="11"/>
  <c r="K511" i="11"/>
  <c r="L667" i="10"/>
  <c r="L677" i="10"/>
  <c r="L670" i="10"/>
  <c r="L669" i="10"/>
  <c r="S670" i="10"/>
  <c r="L668" i="10"/>
  <c r="L672" i="10"/>
  <c r="L673" i="10"/>
  <c r="L671" i="10"/>
  <c r="L524" i="9"/>
  <c r="L528" i="9"/>
  <c r="L533" i="9"/>
  <c r="L523" i="9"/>
  <c r="L525" i="9"/>
  <c r="L529" i="9"/>
  <c r="L526" i="9"/>
  <c r="K530" i="12"/>
  <c r="K521" i="11"/>
  <c r="L495" i="10"/>
  <c r="L666" i="10" s="1"/>
  <c r="L362" i="9"/>
  <c r="L522" i="9" s="1"/>
  <c r="H200" i="21" l="1"/>
  <c r="G200" i="21"/>
  <c r="F200" i="21"/>
  <c r="E200" i="21"/>
  <c r="D200" i="21"/>
  <c r="C200" i="21"/>
  <c r="B200" i="21"/>
  <c r="H197" i="21"/>
  <c r="G197" i="21"/>
  <c r="F197" i="21"/>
  <c r="E197" i="21"/>
  <c r="D197" i="21"/>
  <c r="C197" i="21"/>
  <c r="B197" i="21"/>
  <c r="H196" i="21"/>
  <c r="G196" i="21"/>
  <c r="F196" i="21"/>
  <c r="E196" i="21"/>
  <c r="D196" i="21"/>
  <c r="C196" i="21"/>
  <c r="B196" i="21"/>
  <c r="H195" i="21"/>
  <c r="G195" i="21"/>
  <c r="F195" i="21"/>
  <c r="E195" i="21"/>
  <c r="D195" i="21"/>
  <c r="C195" i="21"/>
  <c r="B195" i="21"/>
  <c r="H194" i="21"/>
  <c r="G194" i="21"/>
  <c r="F194" i="21"/>
  <c r="E194" i="21"/>
  <c r="D194" i="21"/>
  <c r="C194" i="21"/>
  <c r="B194" i="21"/>
  <c r="H193" i="21"/>
  <c r="G193" i="21"/>
  <c r="F193" i="21"/>
  <c r="E193" i="21"/>
  <c r="D193" i="21"/>
  <c r="C193" i="21"/>
  <c r="B193" i="21"/>
  <c r="H181" i="21"/>
  <c r="G181" i="21"/>
  <c r="F181" i="21"/>
  <c r="E181" i="21"/>
  <c r="D181" i="21"/>
  <c r="C181" i="21"/>
  <c r="B181" i="21"/>
  <c r="H180" i="21"/>
  <c r="G180" i="21"/>
  <c r="F180" i="21"/>
  <c r="E180" i="21"/>
  <c r="D180" i="21"/>
  <c r="C180" i="21"/>
  <c r="B180" i="21"/>
  <c r="H179" i="21"/>
  <c r="G179" i="21"/>
  <c r="F179" i="21"/>
  <c r="E179" i="21"/>
  <c r="D179" i="21"/>
  <c r="C179" i="21"/>
  <c r="B179" i="21"/>
  <c r="H178" i="21"/>
  <c r="G178" i="21"/>
  <c r="F178" i="21"/>
  <c r="E178" i="21"/>
  <c r="D178" i="21"/>
  <c r="C178" i="21"/>
  <c r="B178" i="21"/>
  <c r="H177" i="21"/>
  <c r="G177" i="21"/>
  <c r="F177" i="21"/>
  <c r="E177" i="21"/>
  <c r="D177" i="21"/>
  <c r="C177" i="21"/>
  <c r="B177" i="21"/>
  <c r="H171" i="21"/>
  <c r="G171" i="21"/>
  <c r="F171" i="21"/>
  <c r="E171" i="21"/>
  <c r="D171" i="21"/>
  <c r="C171" i="21"/>
  <c r="B171" i="21"/>
  <c r="H168" i="21"/>
  <c r="G168" i="21"/>
  <c r="F168" i="21"/>
  <c r="E168" i="21"/>
  <c r="D168" i="21"/>
  <c r="C168" i="21"/>
  <c r="B168" i="21"/>
  <c r="H167" i="21"/>
  <c r="G167" i="21"/>
  <c r="F167" i="21"/>
  <c r="E167" i="21"/>
  <c r="D167" i="21"/>
  <c r="C167" i="21"/>
  <c r="B167" i="21"/>
  <c r="H166" i="21"/>
  <c r="G166" i="21"/>
  <c r="F166" i="21"/>
  <c r="E166" i="21"/>
  <c r="D166" i="21"/>
  <c r="C166" i="21"/>
  <c r="B166" i="21"/>
  <c r="H165" i="21"/>
  <c r="G165" i="21"/>
  <c r="F165" i="21"/>
  <c r="E165" i="21"/>
  <c r="D165" i="21"/>
  <c r="C165" i="21"/>
  <c r="B165" i="21"/>
  <c r="H164" i="21"/>
  <c r="G164" i="21"/>
  <c r="F164" i="21"/>
  <c r="E164" i="21"/>
  <c r="D164" i="21"/>
  <c r="C164" i="21"/>
  <c r="B164" i="21"/>
  <c r="H158" i="21"/>
  <c r="G158" i="21"/>
  <c r="F158" i="21"/>
  <c r="E158" i="21"/>
  <c r="D158" i="21"/>
  <c r="C158" i="21"/>
  <c r="B158" i="21"/>
  <c r="H155" i="21"/>
  <c r="G155" i="21"/>
  <c r="F155" i="21"/>
  <c r="E155" i="21"/>
  <c r="D155" i="21"/>
  <c r="C155" i="21"/>
  <c r="B155" i="21"/>
  <c r="H154" i="21"/>
  <c r="G154" i="21"/>
  <c r="F154" i="21"/>
  <c r="E154" i="21"/>
  <c r="D154" i="21"/>
  <c r="C154" i="21"/>
  <c r="B154" i="21"/>
  <c r="H153" i="21"/>
  <c r="G153" i="21"/>
  <c r="F153" i="21"/>
  <c r="E153" i="21"/>
  <c r="D153" i="21"/>
  <c r="C153" i="21"/>
  <c r="B153" i="21"/>
  <c r="H152" i="21"/>
  <c r="G152" i="21"/>
  <c r="F152" i="21"/>
  <c r="E152" i="21"/>
  <c r="D152" i="21"/>
  <c r="C152" i="21"/>
  <c r="B152" i="21"/>
  <c r="H151" i="21"/>
  <c r="G151" i="21"/>
  <c r="F151" i="21"/>
  <c r="E151" i="21"/>
  <c r="D151" i="21"/>
  <c r="C151" i="21"/>
  <c r="B151" i="21"/>
  <c r="G127" i="21"/>
  <c r="F127" i="21"/>
  <c r="E127" i="21"/>
  <c r="D127" i="21"/>
  <c r="C127" i="21"/>
  <c r="B127" i="21"/>
  <c r="H124" i="21"/>
  <c r="G124" i="21"/>
  <c r="F124" i="21"/>
  <c r="E124" i="21"/>
  <c r="D124" i="21"/>
  <c r="C124" i="21"/>
  <c r="B124" i="21"/>
  <c r="H123" i="21"/>
  <c r="G123" i="21"/>
  <c r="F123" i="21"/>
  <c r="E123" i="21"/>
  <c r="D123" i="21"/>
  <c r="C123" i="21"/>
  <c r="B123" i="21"/>
  <c r="H122" i="21"/>
  <c r="G122" i="21"/>
  <c r="F122" i="21"/>
  <c r="E122" i="21"/>
  <c r="D122" i="21"/>
  <c r="C122" i="21"/>
  <c r="B122" i="21"/>
  <c r="H121" i="21"/>
  <c r="G121" i="21"/>
  <c r="F121" i="21"/>
  <c r="E121" i="21"/>
  <c r="D121" i="21"/>
  <c r="C121" i="21"/>
  <c r="B121" i="21"/>
  <c r="H120" i="21"/>
  <c r="G120" i="21"/>
  <c r="F120" i="21"/>
  <c r="E120" i="21"/>
  <c r="D120" i="21"/>
  <c r="C120" i="21"/>
  <c r="B120" i="21"/>
  <c r="H119" i="21"/>
  <c r="G119" i="21"/>
  <c r="F119" i="21"/>
  <c r="E119" i="21"/>
  <c r="D119" i="21"/>
  <c r="C119" i="21"/>
  <c r="B119" i="21"/>
  <c r="H118" i="21"/>
  <c r="G118" i="21"/>
  <c r="F118" i="21"/>
  <c r="E118" i="21"/>
  <c r="D118" i="21"/>
  <c r="C118" i="21"/>
  <c r="B118" i="21"/>
  <c r="H117" i="21"/>
  <c r="G117" i="21"/>
  <c r="F117" i="21"/>
  <c r="E117" i="21"/>
  <c r="D117" i="21"/>
  <c r="C117" i="21"/>
  <c r="B117" i="21"/>
  <c r="H116" i="21"/>
  <c r="G116" i="21"/>
  <c r="F116" i="21"/>
  <c r="E116" i="21"/>
  <c r="D116" i="21"/>
  <c r="C116" i="21"/>
  <c r="B116" i="21"/>
  <c r="H115" i="21"/>
  <c r="G115" i="21"/>
  <c r="F115" i="21"/>
  <c r="E115" i="21"/>
  <c r="D115" i="21"/>
  <c r="C115" i="21"/>
  <c r="B115" i="21"/>
  <c r="H114" i="21"/>
  <c r="G114" i="21"/>
  <c r="F114" i="21"/>
  <c r="E114" i="21"/>
  <c r="D114" i="21"/>
  <c r="C114" i="21"/>
  <c r="B114" i="21"/>
  <c r="H113" i="21"/>
  <c r="G113" i="21"/>
  <c r="F113" i="21"/>
  <c r="E113" i="21"/>
  <c r="D113" i="21"/>
  <c r="C113" i="21"/>
  <c r="B113" i="21"/>
  <c r="H112" i="21"/>
  <c r="G112" i="21"/>
  <c r="F112" i="21"/>
  <c r="E112" i="21"/>
  <c r="D112" i="21"/>
  <c r="C112" i="21"/>
  <c r="B112" i="21"/>
  <c r="H111" i="21"/>
  <c r="G111" i="21"/>
  <c r="F111" i="21"/>
  <c r="E111" i="21"/>
  <c r="D111" i="21"/>
  <c r="C111" i="21"/>
  <c r="B111" i="21"/>
  <c r="H110" i="21"/>
  <c r="G110" i="21"/>
  <c r="F110" i="21"/>
  <c r="E110" i="21"/>
  <c r="D110" i="21"/>
  <c r="C110" i="21"/>
  <c r="B110" i="21"/>
  <c r="H109" i="21"/>
  <c r="G109" i="21"/>
  <c r="F109" i="21"/>
  <c r="E109" i="21"/>
  <c r="D109" i="21"/>
  <c r="C109" i="21"/>
  <c r="B109" i="21"/>
  <c r="H108" i="21"/>
  <c r="G108" i="21"/>
  <c r="F108" i="21"/>
  <c r="E108" i="21"/>
  <c r="D108" i="21"/>
  <c r="C108" i="21"/>
  <c r="B108" i="21"/>
  <c r="H107" i="21"/>
  <c r="G107" i="21"/>
  <c r="E107" i="21"/>
  <c r="D107" i="21"/>
  <c r="C107" i="21"/>
  <c r="B107" i="21"/>
  <c r="H106" i="21"/>
  <c r="G106" i="21"/>
  <c r="F106" i="21"/>
  <c r="E106" i="21"/>
  <c r="D106" i="21"/>
  <c r="C106" i="21"/>
  <c r="B106" i="21"/>
  <c r="H105" i="21"/>
  <c r="G105" i="21"/>
  <c r="F105" i="21"/>
  <c r="E105" i="21"/>
  <c r="D105" i="21"/>
  <c r="C105" i="21"/>
  <c r="B105" i="21"/>
  <c r="I102" i="21"/>
  <c r="I200" i="21" s="1"/>
  <c r="I99" i="21"/>
  <c r="I197" i="21" s="1"/>
  <c r="I98" i="21"/>
  <c r="I196" i="21" s="1"/>
  <c r="I97" i="21"/>
  <c r="I195" i="21" s="1"/>
  <c r="I96" i="21"/>
  <c r="I194" i="21" s="1"/>
  <c r="I95" i="21"/>
  <c r="I193" i="21" s="1"/>
  <c r="I94" i="21"/>
  <c r="I93" i="21"/>
  <c r="I92" i="21"/>
  <c r="I91" i="21"/>
  <c r="I90" i="21"/>
  <c r="I89" i="21"/>
  <c r="I88" i="21"/>
  <c r="I87" i="21"/>
  <c r="I86" i="21"/>
  <c r="I85" i="21"/>
  <c r="I84" i="21"/>
  <c r="I83" i="21"/>
  <c r="I82" i="21"/>
  <c r="I81" i="21"/>
  <c r="I80" i="21"/>
  <c r="I190" i="21" s="1"/>
  <c r="I77" i="21"/>
  <c r="I74" i="21"/>
  <c r="I181" i="21" s="1"/>
  <c r="I73" i="21"/>
  <c r="I180" i="21" s="1"/>
  <c r="I72" i="21"/>
  <c r="I179" i="21" s="1"/>
  <c r="I71" i="21"/>
  <c r="I178" i="21" s="1"/>
  <c r="I70" i="21"/>
  <c r="I177" i="21" s="1"/>
  <c r="I69" i="21"/>
  <c r="I68" i="21"/>
  <c r="I67" i="21"/>
  <c r="I66" i="21"/>
  <c r="I65" i="21"/>
  <c r="I64" i="21"/>
  <c r="I63" i="21"/>
  <c r="I62" i="21"/>
  <c r="I61" i="21"/>
  <c r="I60" i="21"/>
  <c r="I175" i="21" s="1"/>
  <c r="I59" i="21"/>
  <c r="I58" i="21"/>
  <c r="F57" i="21"/>
  <c r="F174" i="21" s="1"/>
  <c r="I56" i="21"/>
  <c r="I55" i="21"/>
  <c r="I52" i="21"/>
  <c r="I171" i="21" s="1"/>
  <c r="I49" i="21"/>
  <c r="I168" i="21" s="1"/>
  <c r="I48" i="21"/>
  <c r="I167" i="21" s="1"/>
  <c r="I47" i="21"/>
  <c r="I166" i="21" s="1"/>
  <c r="I46" i="21"/>
  <c r="I165" i="21" s="1"/>
  <c r="I45" i="21"/>
  <c r="I164" i="21" s="1"/>
  <c r="I44" i="21"/>
  <c r="I43" i="21"/>
  <c r="I42" i="21"/>
  <c r="I41" i="21"/>
  <c r="I40" i="21"/>
  <c r="I163" i="21" s="1"/>
  <c r="I39" i="21"/>
  <c r="I38" i="21"/>
  <c r="I37" i="21"/>
  <c r="I36" i="21"/>
  <c r="I35" i="21"/>
  <c r="I34" i="21"/>
  <c r="I33" i="21"/>
  <c r="I32" i="21"/>
  <c r="I31" i="21"/>
  <c r="I30" i="21"/>
  <c r="I161" i="21" s="1"/>
  <c r="I27" i="21"/>
  <c r="I158" i="21" s="1"/>
  <c r="I24" i="21"/>
  <c r="I155" i="21" s="1"/>
  <c r="I23" i="21"/>
  <c r="I154" i="21" s="1"/>
  <c r="I22" i="21"/>
  <c r="I153" i="21" s="1"/>
  <c r="I21" i="21"/>
  <c r="I152" i="21" s="1"/>
  <c r="I20" i="21"/>
  <c r="I151" i="21" s="1"/>
  <c r="I19" i="21"/>
  <c r="I18" i="21"/>
  <c r="I17" i="21"/>
  <c r="I16" i="21"/>
  <c r="I14" i="21"/>
  <c r="I13" i="21"/>
  <c r="I12" i="21"/>
  <c r="I11" i="21"/>
  <c r="I10" i="21"/>
  <c r="I9" i="21"/>
  <c r="I8" i="21"/>
  <c r="F7" i="21"/>
  <c r="I6" i="21"/>
  <c r="I5" i="21"/>
  <c r="I192" i="21" l="1"/>
  <c r="I162" i="21"/>
  <c r="I150" i="21"/>
  <c r="I191" i="21"/>
  <c r="B206" i="21"/>
  <c r="I176" i="21"/>
  <c r="I7" i="21"/>
  <c r="I148" i="21" s="1"/>
  <c r="F148" i="21"/>
  <c r="F203" i="21" s="1"/>
  <c r="I149" i="21"/>
  <c r="I204" i="21" s="1"/>
  <c r="B207" i="21"/>
  <c r="B213" i="21"/>
  <c r="B210" i="21"/>
  <c r="C213" i="21"/>
  <c r="B209" i="21"/>
  <c r="C210" i="21"/>
  <c r="B208" i="21"/>
  <c r="F208" i="21"/>
  <c r="C209" i="21"/>
  <c r="G209" i="21"/>
  <c r="I209" i="21"/>
  <c r="D206" i="21"/>
  <c r="H206" i="21"/>
  <c r="D210" i="21"/>
  <c r="H210" i="21"/>
  <c r="I109" i="21"/>
  <c r="I108" i="21"/>
  <c r="C207" i="21"/>
  <c r="F207" i="21"/>
  <c r="C208" i="21"/>
  <c r="G208" i="21"/>
  <c r="F213" i="21"/>
  <c r="I106" i="21"/>
  <c r="I105" i="21"/>
  <c r="C206" i="21"/>
  <c r="F209" i="21"/>
  <c r="F206" i="21"/>
  <c r="G207" i="21"/>
  <c r="F210" i="21"/>
  <c r="G213" i="21"/>
  <c r="G206" i="21"/>
  <c r="G210" i="21"/>
  <c r="E207" i="21"/>
  <c r="E213" i="21"/>
  <c r="I206" i="21"/>
  <c r="I210" i="21"/>
  <c r="I110" i="21"/>
  <c r="I111" i="21"/>
  <c r="I112" i="21"/>
  <c r="I113" i="21"/>
  <c r="I114" i="21"/>
  <c r="I115" i="21"/>
  <c r="I116" i="21"/>
  <c r="I117" i="21"/>
  <c r="I118" i="21"/>
  <c r="I119" i="21"/>
  <c r="I120" i="21"/>
  <c r="I121" i="21"/>
  <c r="I122" i="21"/>
  <c r="I123" i="21"/>
  <c r="I124" i="21"/>
  <c r="I127" i="21"/>
  <c r="E206" i="21"/>
  <c r="D209" i="21"/>
  <c r="H209" i="21"/>
  <c r="E210" i="21"/>
  <c r="I207" i="21"/>
  <c r="I213" i="21"/>
  <c r="D208" i="21"/>
  <c r="H208" i="21"/>
  <c r="E209" i="21"/>
  <c r="F107" i="21"/>
  <c r="I57" i="21"/>
  <c r="I174" i="21" s="1"/>
  <c r="I208" i="21"/>
  <c r="D207" i="21"/>
  <c r="H207" i="21"/>
  <c r="E208" i="21"/>
  <c r="D213" i="21"/>
  <c r="H213" i="21"/>
  <c r="I203" i="21" l="1"/>
  <c r="I205" i="21"/>
  <c r="I107" i="21"/>
  <c r="A239" i="30"/>
  <c r="A238" i="30"/>
  <c r="A237" i="30"/>
  <c r="A236" i="30"/>
  <c r="O213" i="30"/>
  <c r="N213" i="30"/>
  <c r="K213" i="30"/>
  <c r="H213" i="30"/>
  <c r="F213" i="30"/>
  <c r="E213" i="30"/>
  <c r="D213" i="30"/>
  <c r="B213" i="30"/>
  <c r="O209" i="30"/>
  <c r="N209" i="30"/>
  <c r="K209" i="30"/>
  <c r="H209" i="30"/>
  <c r="F209" i="30"/>
  <c r="D209" i="30"/>
  <c r="B209" i="30"/>
  <c r="Q93" i="30"/>
  <c r="P93" i="30"/>
  <c r="O93" i="30"/>
  <c r="N93" i="30"/>
  <c r="N208" i="30" s="1"/>
  <c r="M93" i="30"/>
  <c r="L93" i="30"/>
  <c r="K93" i="30"/>
  <c r="K208" i="30" s="1"/>
  <c r="H93" i="30"/>
  <c r="H208" i="30" s="1"/>
  <c r="G93" i="30"/>
  <c r="F93" i="30"/>
  <c r="F208" i="30" s="1"/>
  <c r="E93" i="30"/>
  <c r="D93" i="30"/>
  <c r="D208" i="30" s="1"/>
  <c r="C93" i="30"/>
  <c r="B93" i="30"/>
  <c r="B208" i="30" s="1"/>
  <c r="Q92" i="30"/>
  <c r="P92" i="30"/>
  <c r="O92" i="30"/>
  <c r="O207" i="30" s="1"/>
  <c r="N92" i="30"/>
  <c r="N207" i="30" s="1"/>
  <c r="M92" i="30"/>
  <c r="L92" i="30"/>
  <c r="K92" i="30"/>
  <c r="K207" i="30" s="1"/>
  <c r="H92" i="30"/>
  <c r="H207" i="30" s="1"/>
  <c r="G92" i="30"/>
  <c r="F92" i="30"/>
  <c r="F207" i="30" s="1"/>
  <c r="E92" i="30"/>
  <c r="D92" i="30"/>
  <c r="D207" i="30" s="1"/>
  <c r="C92" i="30"/>
  <c r="B92" i="30"/>
  <c r="B207" i="30" s="1"/>
  <c r="Q91" i="30"/>
  <c r="P91" i="30"/>
  <c r="O91" i="30"/>
  <c r="O206" i="30" s="1"/>
  <c r="N91" i="30"/>
  <c r="N206" i="30" s="1"/>
  <c r="M91" i="30"/>
  <c r="L91" i="30"/>
  <c r="K91" i="30"/>
  <c r="H91" i="30"/>
  <c r="H206" i="30" s="1"/>
  <c r="G91" i="30"/>
  <c r="F91" i="30"/>
  <c r="E91" i="30"/>
  <c r="D91" i="30"/>
  <c r="D206" i="30" s="1"/>
  <c r="C91" i="30"/>
  <c r="B91" i="30"/>
  <c r="B206" i="30" s="1"/>
  <c r="Q90" i="30"/>
  <c r="P90" i="30"/>
  <c r="O90" i="30"/>
  <c r="O205" i="30" s="1"/>
  <c r="N90" i="30"/>
  <c r="N205" i="30" s="1"/>
  <c r="M90" i="30"/>
  <c r="L90" i="30"/>
  <c r="K90" i="30"/>
  <c r="K205" i="30" s="1"/>
  <c r="H90" i="30"/>
  <c r="H205" i="30" s="1"/>
  <c r="G90" i="30"/>
  <c r="F90" i="30"/>
  <c r="E90" i="30"/>
  <c r="D90" i="30"/>
  <c r="D205" i="30" s="1"/>
  <c r="C90" i="30"/>
  <c r="B90" i="30"/>
  <c r="B205" i="30" s="1"/>
  <c r="Q89" i="30"/>
  <c r="P89" i="30"/>
  <c r="O89" i="30"/>
  <c r="O204" i="30" s="1"/>
  <c r="N89" i="30"/>
  <c r="N204" i="30" s="1"/>
  <c r="M89" i="30"/>
  <c r="L89" i="30"/>
  <c r="K89" i="30"/>
  <c r="H89" i="30"/>
  <c r="H204" i="30" s="1"/>
  <c r="G89" i="30"/>
  <c r="F89" i="30"/>
  <c r="E89" i="30"/>
  <c r="D89" i="30"/>
  <c r="D204" i="30" s="1"/>
  <c r="C89" i="30"/>
  <c r="B89" i="30"/>
  <c r="B204" i="30" s="1"/>
  <c r="Q88" i="30"/>
  <c r="P88" i="30"/>
  <c r="O88" i="30"/>
  <c r="O203" i="30" s="1"/>
  <c r="N88" i="30"/>
  <c r="N203" i="30" s="1"/>
  <c r="M88" i="30"/>
  <c r="L88" i="30"/>
  <c r="K88" i="30"/>
  <c r="H88" i="30"/>
  <c r="H203" i="30" s="1"/>
  <c r="G88" i="30"/>
  <c r="F88" i="30"/>
  <c r="E88" i="30"/>
  <c r="D88" i="30"/>
  <c r="D203" i="30" s="1"/>
  <c r="C88" i="30"/>
  <c r="B88" i="30"/>
  <c r="B203" i="30" s="1"/>
  <c r="Q87" i="30"/>
  <c r="P87" i="30"/>
  <c r="O87" i="30"/>
  <c r="N87" i="30"/>
  <c r="M87" i="30"/>
  <c r="L87" i="30"/>
  <c r="K87" i="30"/>
  <c r="H87" i="30"/>
  <c r="G87" i="30"/>
  <c r="F87" i="30"/>
  <c r="E87" i="30"/>
  <c r="D87" i="30"/>
  <c r="C87" i="30"/>
  <c r="B87" i="30"/>
  <c r="Q86" i="30"/>
  <c r="P86" i="30"/>
  <c r="O86" i="30"/>
  <c r="N86" i="30"/>
  <c r="M86" i="30"/>
  <c r="L86" i="30"/>
  <c r="K86" i="30"/>
  <c r="H86" i="30"/>
  <c r="G86" i="30"/>
  <c r="F86" i="30"/>
  <c r="E86" i="30"/>
  <c r="D86" i="30"/>
  <c r="C86" i="30"/>
  <c r="B86" i="30"/>
  <c r="Q85" i="30"/>
  <c r="P85" i="30"/>
  <c r="O85" i="30"/>
  <c r="N85" i="30"/>
  <c r="M85" i="30"/>
  <c r="L85" i="30"/>
  <c r="K85" i="30"/>
  <c r="H85" i="30"/>
  <c r="G85" i="30"/>
  <c r="F85" i="30"/>
  <c r="E85" i="30"/>
  <c r="D85" i="30"/>
  <c r="C85" i="30"/>
  <c r="B85" i="30"/>
  <c r="Q84" i="30"/>
  <c r="P84" i="30"/>
  <c r="O84" i="30"/>
  <c r="N84" i="30"/>
  <c r="M84" i="30"/>
  <c r="L84" i="30"/>
  <c r="K84" i="30"/>
  <c r="H84" i="30"/>
  <c r="G84" i="30"/>
  <c r="F84" i="30"/>
  <c r="E84" i="30"/>
  <c r="D84" i="30"/>
  <c r="C84" i="30"/>
  <c r="B84" i="30"/>
  <c r="Q83" i="30"/>
  <c r="Q202" i="30" s="1"/>
  <c r="P83" i="30"/>
  <c r="O83" i="30"/>
  <c r="N83" i="30"/>
  <c r="M83" i="30"/>
  <c r="L83" i="30"/>
  <c r="L202" i="30" s="1"/>
  <c r="K83" i="30"/>
  <c r="K202" i="30" s="1"/>
  <c r="H83" i="30"/>
  <c r="H202" i="30" s="1"/>
  <c r="G83" i="30"/>
  <c r="F83" i="30"/>
  <c r="E83" i="30"/>
  <c r="D83" i="30"/>
  <c r="C83" i="30"/>
  <c r="B83" i="30"/>
  <c r="B202" i="30" s="1"/>
  <c r="Q82" i="30"/>
  <c r="P82" i="30"/>
  <c r="O82" i="30"/>
  <c r="N82" i="30"/>
  <c r="M82" i="30"/>
  <c r="L82" i="30"/>
  <c r="K82" i="30"/>
  <c r="H82" i="30"/>
  <c r="G82" i="30"/>
  <c r="F82" i="30"/>
  <c r="E82" i="30"/>
  <c r="D82" i="30"/>
  <c r="C82" i="30"/>
  <c r="B82" i="30"/>
  <c r="Q81" i="30"/>
  <c r="P81" i="30"/>
  <c r="O81" i="30"/>
  <c r="N81" i="30"/>
  <c r="M81" i="30"/>
  <c r="L81" i="30"/>
  <c r="K81" i="30"/>
  <c r="H81" i="30"/>
  <c r="G81" i="30"/>
  <c r="F81" i="30"/>
  <c r="E81" i="30"/>
  <c r="D81" i="30"/>
  <c r="C81" i="30"/>
  <c r="B81" i="30"/>
  <c r="Q80" i="30"/>
  <c r="P80" i="30"/>
  <c r="O80" i="30"/>
  <c r="N80" i="30"/>
  <c r="M80" i="30"/>
  <c r="L80" i="30"/>
  <c r="K80" i="30"/>
  <c r="H80" i="30"/>
  <c r="G80" i="30"/>
  <c r="F80" i="30"/>
  <c r="E80" i="30"/>
  <c r="D80" i="30"/>
  <c r="C80" i="30"/>
  <c r="B80" i="30"/>
  <c r="Q79" i="30"/>
  <c r="P79" i="30"/>
  <c r="O79" i="30"/>
  <c r="N79" i="30"/>
  <c r="M79" i="30"/>
  <c r="L79" i="30"/>
  <c r="K79" i="30"/>
  <c r="H79" i="30"/>
  <c r="G79" i="30"/>
  <c r="F79" i="30"/>
  <c r="E79" i="30"/>
  <c r="D79" i="30"/>
  <c r="C79" i="30"/>
  <c r="B79" i="30"/>
  <c r="Q78" i="30"/>
  <c r="Q201" i="30" s="1"/>
  <c r="P78" i="30"/>
  <c r="O78" i="30"/>
  <c r="N78" i="30"/>
  <c r="M78" i="30"/>
  <c r="L78" i="30"/>
  <c r="K78" i="30"/>
  <c r="H78" i="30"/>
  <c r="G78" i="30"/>
  <c r="F78" i="30"/>
  <c r="E78" i="30"/>
  <c r="D78" i="30"/>
  <c r="D201" i="30" s="1"/>
  <c r="C78" i="30"/>
  <c r="B78" i="30"/>
  <c r="Q77" i="30"/>
  <c r="P77" i="30"/>
  <c r="O77" i="30"/>
  <c r="N77" i="30"/>
  <c r="M77" i="30"/>
  <c r="L77" i="30"/>
  <c r="K77" i="30"/>
  <c r="H77" i="30"/>
  <c r="G77" i="30"/>
  <c r="F77" i="30"/>
  <c r="E77" i="30"/>
  <c r="D77" i="30"/>
  <c r="C77" i="30"/>
  <c r="B77" i="30"/>
  <c r="Q76" i="30"/>
  <c r="P76" i="30"/>
  <c r="O76" i="30"/>
  <c r="N76" i="30"/>
  <c r="M76" i="30"/>
  <c r="L76" i="30"/>
  <c r="K76" i="30"/>
  <c r="H76" i="30"/>
  <c r="G76" i="30"/>
  <c r="F76" i="30"/>
  <c r="E76" i="30"/>
  <c r="D76" i="30"/>
  <c r="C76" i="30"/>
  <c r="B76" i="30"/>
  <c r="Q75" i="30"/>
  <c r="P75" i="30"/>
  <c r="O75" i="30"/>
  <c r="N75" i="30"/>
  <c r="M75" i="30"/>
  <c r="L75" i="30"/>
  <c r="K75" i="30"/>
  <c r="H75" i="30"/>
  <c r="G75" i="30"/>
  <c r="F75" i="30"/>
  <c r="E75" i="30"/>
  <c r="D75" i="30"/>
  <c r="C75" i="30"/>
  <c r="B75" i="30"/>
  <c r="Q74" i="30"/>
  <c r="P74" i="30"/>
  <c r="O74" i="30"/>
  <c r="N74" i="30"/>
  <c r="M74" i="30"/>
  <c r="L74" i="30"/>
  <c r="K74" i="30"/>
  <c r="H74" i="30"/>
  <c r="G74" i="30"/>
  <c r="F74" i="30"/>
  <c r="E74" i="30"/>
  <c r="D74" i="30"/>
  <c r="C74" i="30"/>
  <c r="B74" i="30"/>
  <c r="Q73" i="30"/>
  <c r="P73" i="30"/>
  <c r="O73" i="30"/>
  <c r="N73" i="30"/>
  <c r="M73" i="30"/>
  <c r="L73" i="30"/>
  <c r="K73" i="30"/>
  <c r="H73" i="30"/>
  <c r="G73" i="30"/>
  <c r="F73" i="30"/>
  <c r="E73" i="30"/>
  <c r="D73" i="30"/>
  <c r="C73" i="30"/>
  <c r="B73" i="30"/>
  <c r="Q72" i="30"/>
  <c r="P72" i="30"/>
  <c r="O72" i="30"/>
  <c r="N72" i="30"/>
  <c r="M72" i="30"/>
  <c r="L72" i="30"/>
  <c r="K72" i="30"/>
  <c r="H72" i="30"/>
  <c r="G72" i="30"/>
  <c r="F72" i="30"/>
  <c r="E72" i="30"/>
  <c r="D72" i="30"/>
  <c r="C72" i="30"/>
  <c r="B72" i="30"/>
  <c r="R71" i="30"/>
  <c r="Q71" i="30"/>
  <c r="P71" i="30"/>
  <c r="O71" i="30"/>
  <c r="N71" i="30"/>
  <c r="M71" i="30"/>
  <c r="L71" i="30"/>
  <c r="K71" i="30"/>
  <c r="I71" i="30"/>
  <c r="H71" i="30"/>
  <c r="G71" i="30"/>
  <c r="F71" i="30"/>
  <c r="E71" i="30"/>
  <c r="D71" i="30"/>
  <c r="C71" i="30"/>
  <c r="B71" i="30"/>
  <c r="Q70" i="30"/>
  <c r="P70" i="30"/>
  <c r="O70" i="30"/>
  <c r="N70" i="30"/>
  <c r="M70" i="30"/>
  <c r="L70" i="30"/>
  <c r="K70" i="30"/>
  <c r="H70" i="30"/>
  <c r="G70" i="30"/>
  <c r="F70" i="30"/>
  <c r="E70" i="30"/>
  <c r="D70" i="30"/>
  <c r="C70" i="30"/>
  <c r="B70" i="30"/>
  <c r="Q69" i="30"/>
  <c r="P69" i="30"/>
  <c r="O69" i="30"/>
  <c r="N69" i="30"/>
  <c r="M69" i="30"/>
  <c r="L69" i="30"/>
  <c r="K69" i="30"/>
  <c r="H69" i="30"/>
  <c r="G69" i="30"/>
  <c r="F69" i="30"/>
  <c r="E69" i="30"/>
  <c r="D69" i="30"/>
  <c r="C69" i="30"/>
  <c r="B69" i="30"/>
  <c r="Q68" i="30"/>
  <c r="P68" i="30"/>
  <c r="O68" i="30"/>
  <c r="N68" i="30"/>
  <c r="M68" i="30"/>
  <c r="L68" i="30"/>
  <c r="K68" i="30"/>
  <c r="H68" i="30"/>
  <c r="G68" i="30"/>
  <c r="F68" i="30"/>
  <c r="E68" i="30"/>
  <c r="D68" i="30"/>
  <c r="C68" i="30"/>
  <c r="B68" i="30"/>
  <c r="Q67" i="30"/>
  <c r="P67" i="30"/>
  <c r="O67" i="30"/>
  <c r="N67" i="30"/>
  <c r="M67" i="30"/>
  <c r="L67" i="30"/>
  <c r="K67" i="30"/>
  <c r="H67" i="30"/>
  <c r="G67" i="30"/>
  <c r="F67" i="30"/>
  <c r="E67" i="30"/>
  <c r="D67" i="30"/>
  <c r="C67" i="30"/>
  <c r="B67" i="30"/>
  <c r="Q66" i="30"/>
  <c r="P66" i="30"/>
  <c r="O66" i="30"/>
  <c r="N66" i="30"/>
  <c r="M66" i="30"/>
  <c r="L66" i="30"/>
  <c r="K66" i="30"/>
  <c r="H66" i="30"/>
  <c r="G66" i="30"/>
  <c r="F66" i="30"/>
  <c r="E66" i="30"/>
  <c r="D66" i="30"/>
  <c r="C66" i="30"/>
  <c r="B66" i="30"/>
  <c r="Q65" i="30"/>
  <c r="P65" i="30"/>
  <c r="O65" i="30"/>
  <c r="N65" i="30"/>
  <c r="M65" i="30"/>
  <c r="L65" i="30"/>
  <c r="K65" i="30"/>
  <c r="H65" i="30"/>
  <c r="G65" i="30"/>
  <c r="F65" i="30"/>
  <c r="E65" i="30"/>
  <c r="D65" i="30"/>
  <c r="C65" i="30"/>
  <c r="B65" i="30"/>
  <c r="Q64" i="30"/>
  <c r="P64" i="30"/>
  <c r="O64" i="30"/>
  <c r="N64" i="30"/>
  <c r="M64" i="30"/>
  <c r="L64" i="30"/>
  <c r="K64" i="30"/>
  <c r="H64" i="30"/>
  <c r="G64" i="30"/>
  <c r="F64" i="30"/>
  <c r="E64" i="30"/>
  <c r="D64" i="30"/>
  <c r="C64" i="30"/>
  <c r="B64" i="30"/>
  <c r="Q63" i="30"/>
  <c r="P63" i="30"/>
  <c r="O63" i="30"/>
  <c r="N63" i="30"/>
  <c r="M63" i="30"/>
  <c r="L63" i="30"/>
  <c r="K63" i="30"/>
  <c r="H63" i="30"/>
  <c r="G63" i="30"/>
  <c r="F63" i="30"/>
  <c r="E63" i="30"/>
  <c r="D63" i="30"/>
  <c r="C63" i="30"/>
  <c r="B63" i="30"/>
  <c r="Q62" i="30"/>
  <c r="P62" i="30"/>
  <c r="O62" i="30"/>
  <c r="N62" i="30"/>
  <c r="M62" i="30"/>
  <c r="L62" i="30"/>
  <c r="K62" i="30"/>
  <c r="H62" i="30"/>
  <c r="G62" i="30"/>
  <c r="F62" i="30"/>
  <c r="E62" i="30"/>
  <c r="D62" i="30"/>
  <c r="C62" i="30"/>
  <c r="B62" i="30"/>
  <c r="Q61" i="30"/>
  <c r="P61" i="30"/>
  <c r="O61" i="30"/>
  <c r="N61" i="30"/>
  <c r="M61" i="30"/>
  <c r="L61" i="30"/>
  <c r="K61" i="30"/>
  <c r="H61" i="30"/>
  <c r="G61" i="30"/>
  <c r="F61" i="30"/>
  <c r="E61" i="30"/>
  <c r="D61" i="30"/>
  <c r="C61" i="30"/>
  <c r="B61" i="30"/>
  <c r="Q60" i="30"/>
  <c r="P60" i="30"/>
  <c r="O60" i="30"/>
  <c r="N60" i="30"/>
  <c r="M60" i="30"/>
  <c r="L60" i="30"/>
  <c r="K60" i="30"/>
  <c r="H60" i="30"/>
  <c r="G60" i="30"/>
  <c r="F60" i="30"/>
  <c r="E60" i="30"/>
  <c r="D60" i="30"/>
  <c r="C60" i="30"/>
  <c r="B60" i="30"/>
  <c r="P59" i="30"/>
  <c r="O59" i="30"/>
  <c r="N59" i="30"/>
  <c r="M59" i="30"/>
  <c r="L59" i="30"/>
  <c r="K59" i="30"/>
  <c r="G59" i="30"/>
  <c r="F59" i="30"/>
  <c r="E59" i="30"/>
  <c r="D59" i="30"/>
  <c r="C59" i="30"/>
  <c r="B59" i="30"/>
  <c r="Q58" i="30"/>
  <c r="P58" i="30"/>
  <c r="N58" i="30"/>
  <c r="M58" i="30"/>
  <c r="L58" i="30"/>
  <c r="K58" i="30"/>
  <c r="H58" i="30"/>
  <c r="G58" i="30"/>
  <c r="E58" i="30"/>
  <c r="D58" i="30"/>
  <c r="C58" i="30"/>
  <c r="B58" i="30"/>
  <c r="Q57" i="30"/>
  <c r="P57" i="30"/>
  <c r="O57" i="30"/>
  <c r="N57" i="30"/>
  <c r="M57" i="30"/>
  <c r="L57" i="30"/>
  <c r="K57" i="30"/>
  <c r="H57" i="30"/>
  <c r="G57" i="30"/>
  <c r="F57" i="30"/>
  <c r="E57" i="30"/>
  <c r="D57" i="30"/>
  <c r="C57" i="30"/>
  <c r="B57" i="30"/>
  <c r="Q56" i="30"/>
  <c r="P56" i="30"/>
  <c r="O56" i="30"/>
  <c r="N56" i="30"/>
  <c r="M56" i="30"/>
  <c r="L56" i="30"/>
  <c r="K56" i="30"/>
  <c r="H56" i="30"/>
  <c r="G56" i="30"/>
  <c r="F56" i="30"/>
  <c r="E56" i="30"/>
  <c r="D56" i="30"/>
  <c r="C56" i="30"/>
  <c r="B56" i="30"/>
  <c r="Q55" i="30"/>
  <c r="P55" i="30"/>
  <c r="O55" i="30"/>
  <c r="N55" i="30"/>
  <c r="M55" i="30"/>
  <c r="L55" i="30"/>
  <c r="K55" i="30"/>
  <c r="H55" i="30"/>
  <c r="G55" i="30"/>
  <c r="F55" i="30"/>
  <c r="E55" i="30"/>
  <c r="D55" i="30"/>
  <c r="C55" i="30"/>
  <c r="B55" i="30"/>
  <c r="Q54" i="30"/>
  <c r="P54" i="30"/>
  <c r="O54" i="30"/>
  <c r="N54" i="30"/>
  <c r="M54" i="30"/>
  <c r="L54" i="30"/>
  <c r="K54" i="30"/>
  <c r="H54" i="30"/>
  <c r="G54" i="30"/>
  <c r="F54" i="30"/>
  <c r="E54" i="30"/>
  <c r="D54" i="30"/>
  <c r="C54" i="30"/>
  <c r="B54" i="30"/>
  <c r="Q53" i="30"/>
  <c r="P53" i="30"/>
  <c r="O53" i="30"/>
  <c r="N53" i="30"/>
  <c r="M53" i="30"/>
  <c r="L53" i="30"/>
  <c r="K53" i="30"/>
  <c r="H53" i="30"/>
  <c r="G53" i="30"/>
  <c r="F53" i="30"/>
  <c r="E53" i="30"/>
  <c r="D53" i="30"/>
  <c r="C53" i="30"/>
  <c r="B53" i="30"/>
  <c r="Q50" i="30"/>
  <c r="Q194" i="30" s="1"/>
  <c r="P50" i="30"/>
  <c r="P194" i="30" s="1"/>
  <c r="O50" i="30"/>
  <c r="O194" i="30" s="1"/>
  <c r="N50" i="30"/>
  <c r="N194" i="30" s="1"/>
  <c r="M50" i="30"/>
  <c r="M194" i="30" s="1"/>
  <c r="L50" i="30"/>
  <c r="L194" i="30" s="1"/>
  <c r="K50" i="30"/>
  <c r="H50" i="30"/>
  <c r="H194" i="30" s="1"/>
  <c r="G50" i="30"/>
  <c r="G194" i="30" s="1"/>
  <c r="F50" i="30"/>
  <c r="F194" i="30" s="1"/>
  <c r="E50" i="30"/>
  <c r="E194" i="30" s="1"/>
  <c r="D50" i="30"/>
  <c r="D194" i="30" s="1"/>
  <c r="C50" i="30"/>
  <c r="C194" i="30" s="1"/>
  <c r="B50" i="30"/>
  <c r="B194" i="30" s="1"/>
  <c r="Q46" i="30"/>
  <c r="Q190" i="30" s="1"/>
  <c r="P46" i="30"/>
  <c r="P190" i="30" s="1"/>
  <c r="O46" i="30"/>
  <c r="O190" i="30" s="1"/>
  <c r="N46" i="30"/>
  <c r="N190" i="30" s="1"/>
  <c r="M46" i="30"/>
  <c r="M190" i="30" s="1"/>
  <c r="L46" i="30"/>
  <c r="L190" i="30" s="1"/>
  <c r="K46" i="30"/>
  <c r="K190" i="30" s="1"/>
  <c r="H46" i="30"/>
  <c r="H190" i="30" s="1"/>
  <c r="G46" i="30"/>
  <c r="G190" i="30" s="1"/>
  <c r="F46" i="30"/>
  <c r="F190" i="30" s="1"/>
  <c r="E46" i="30"/>
  <c r="E190" i="30" s="1"/>
  <c r="D46" i="30"/>
  <c r="D190" i="30" s="1"/>
  <c r="C46" i="30"/>
  <c r="C190" i="30" s="1"/>
  <c r="B46" i="30"/>
  <c r="B142" i="30" s="1"/>
  <c r="B231" i="30" s="1"/>
  <c r="Q45" i="30"/>
  <c r="Q189" i="30" s="1"/>
  <c r="P45" i="30"/>
  <c r="P189" i="30" s="1"/>
  <c r="O45" i="30"/>
  <c r="O189" i="30" s="1"/>
  <c r="N45" i="30"/>
  <c r="N189" i="30" s="1"/>
  <c r="M45" i="30"/>
  <c r="M189" i="30" s="1"/>
  <c r="L45" i="30"/>
  <c r="L189" i="30" s="1"/>
  <c r="K45" i="30"/>
  <c r="K189" i="30" s="1"/>
  <c r="H45" i="30"/>
  <c r="H189" i="30" s="1"/>
  <c r="G45" i="30"/>
  <c r="G189" i="30" s="1"/>
  <c r="F45" i="30"/>
  <c r="F189" i="30" s="1"/>
  <c r="E45" i="30"/>
  <c r="E189" i="30" s="1"/>
  <c r="D45" i="30"/>
  <c r="D189" i="30" s="1"/>
  <c r="C45" i="30"/>
  <c r="C189" i="30" s="1"/>
  <c r="B45" i="30"/>
  <c r="B189" i="30" s="1"/>
  <c r="Q44" i="30"/>
  <c r="Q188" i="30" s="1"/>
  <c r="P44" i="30"/>
  <c r="P188" i="30" s="1"/>
  <c r="O44" i="30"/>
  <c r="O140" i="30" s="1"/>
  <c r="O229" i="30" s="1"/>
  <c r="N44" i="30"/>
  <c r="M44" i="30"/>
  <c r="M188" i="30" s="1"/>
  <c r="L44" i="30"/>
  <c r="L188" i="30" s="1"/>
  <c r="K44" i="30"/>
  <c r="K188" i="30" s="1"/>
  <c r="H44" i="30"/>
  <c r="H188" i="30" s="1"/>
  <c r="G44" i="30"/>
  <c r="G188" i="30" s="1"/>
  <c r="F44" i="30"/>
  <c r="F188" i="30" s="1"/>
  <c r="E44" i="30"/>
  <c r="E188" i="30" s="1"/>
  <c r="D44" i="30"/>
  <c r="D188" i="30" s="1"/>
  <c r="C44" i="30"/>
  <c r="C188" i="30" s="1"/>
  <c r="B44" i="30"/>
  <c r="B188" i="30" s="1"/>
  <c r="Q43" i="30"/>
  <c r="Q187" i="30" s="1"/>
  <c r="P43" i="30"/>
  <c r="P187" i="30" s="1"/>
  <c r="O43" i="30"/>
  <c r="O187" i="30" s="1"/>
  <c r="N43" i="30"/>
  <c r="N187" i="30" s="1"/>
  <c r="M43" i="30"/>
  <c r="M187" i="30" s="1"/>
  <c r="L43" i="30"/>
  <c r="L187" i="30" s="1"/>
  <c r="K43" i="30"/>
  <c r="K187" i="30" s="1"/>
  <c r="H43" i="30"/>
  <c r="H187" i="30" s="1"/>
  <c r="G43" i="30"/>
  <c r="G187" i="30" s="1"/>
  <c r="F43" i="30"/>
  <c r="F187" i="30" s="1"/>
  <c r="E43" i="30"/>
  <c r="E187" i="30" s="1"/>
  <c r="D43" i="30"/>
  <c r="D187" i="30" s="1"/>
  <c r="C43" i="30"/>
  <c r="C187" i="30" s="1"/>
  <c r="B43" i="30"/>
  <c r="B187" i="30" s="1"/>
  <c r="Q42" i="30"/>
  <c r="Q186" i="30" s="1"/>
  <c r="P42" i="30"/>
  <c r="P186" i="30" s="1"/>
  <c r="O42" i="30"/>
  <c r="O186" i="30" s="1"/>
  <c r="N42" i="30"/>
  <c r="N186" i="30" s="1"/>
  <c r="M42" i="30"/>
  <c r="M186" i="30" s="1"/>
  <c r="L42" i="30"/>
  <c r="L186" i="30" s="1"/>
  <c r="K42" i="30"/>
  <c r="K186" i="30" s="1"/>
  <c r="H42" i="30"/>
  <c r="H186" i="30" s="1"/>
  <c r="G42" i="30"/>
  <c r="G186" i="30" s="1"/>
  <c r="F42" i="30"/>
  <c r="F186" i="30" s="1"/>
  <c r="E42" i="30"/>
  <c r="E186" i="30" s="1"/>
  <c r="D42" i="30"/>
  <c r="D186" i="30" s="1"/>
  <c r="C42" i="30"/>
  <c r="C186" i="30" s="1"/>
  <c r="B42" i="30"/>
  <c r="B138" i="30" s="1"/>
  <c r="B227" i="30" s="1"/>
  <c r="Q41" i="30"/>
  <c r="Q185" i="30" s="1"/>
  <c r="P41" i="30"/>
  <c r="P185" i="30" s="1"/>
  <c r="O41" i="30"/>
  <c r="O185" i="30" s="1"/>
  <c r="N41" i="30"/>
  <c r="N185" i="30" s="1"/>
  <c r="M41" i="30"/>
  <c r="M185" i="30" s="1"/>
  <c r="L41" i="30"/>
  <c r="L185" i="30" s="1"/>
  <c r="K41" i="30"/>
  <c r="K185" i="30" s="1"/>
  <c r="H41" i="30"/>
  <c r="H185" i="30" s="1"/>
  <c r="G41" i="30"/>
  <c r="G185" i="30" s="1"/>
  <c r="F41" i="30"/>
  <c r="F185" i="30" s="1"/>
  <c r="E41" i="30"/>
  <c r="E185" i="30" s="1"/>
  <c r="D41" i="30"/>
  <c r="D185" i="30" s="1"/>
  <c r="C41" i="30"/>
  <c r="C185" i="30" s="1"/>
  <c r="B41" i="30"/>
  <c r="B185" i="30" s="1"/>
  <c r="Q40" i="30"/>
  <c r="Q184" i="30" s="1"/>
  <c r="P40" i="30"/>
  <c r="P184" i="30" s="1"/>
  <c r="O40" i="30"/>
  <c r="O136" i="30" s="1"/>
  <c r="O225" i="30" s="1"/>
  <c r="N40" i="30"/>
  <c r="N136" i="30" s="1"/>
  <c r="N225" i="30" s="1"/>
  <c r="M40" i="30"/>
  <c r="M184" i="30" s="1"/>
  <c r="L40" i="30"/>
  <c r="L184" i="30" s="1"/>
  <c r="K40" i="30"/>
  <c r="K184" i="30" s="1"/>
  <c r="H40" i="30"/>
  <c r="H184" i="30" s="1"/>
  <c r="G40" i="30"/>
  <c r="G184" i="30" s="1"/>
  <c r="F40" i="30"/>
  <c r="F184" i="30" s="1"/>
  <c r="E40" i="30"/>
  <c r="E184" i="30" s="1"/>
  <c r="D40" i="30"/>
  <c r="D184" i="30" s="1"/>
  <c r="C40" i="30"/>
  <c r="C184" i="30" s="1"/>
  <c r="B40" i="30"/>
  <c r="B184" i="30" s="1"/>
  <c r="Q39" i="30"/>
  <c r="P39" i="30"/>
  <c r="O39" i="30"/>
  <c r="N39" i="30"/>
  <c r="M39" i="30"/>
  <c r="L39" i="30"/>
  <c r="K39" i="30"/>
  <c r="H39" i="30"/>
  <c r="G39" i="30"/>
  <c r="F39" i="30"/>
  <c r="E39" i="30"/>
  <c r="D39" i="30"/>
  <c r="C39" i="30"/>
  <c r="B39" i="30"/>
  <c r="Q38" i="30"/>
  <c r="P38" i="30"/>
  <c r="O38" i="30"/>
  <c r="N38" i="30"/>
  <c r="M38" i="30"/>
  <c r="L38" i="30"/>
  <c r="K38" i="30"/>
  <c r="H38" i="30"/>
  <c r="G38" i="30"/>
  <c r="F38" i="30"/>
  <c r="E38" i="30"/>
  <c r="D38" i="30"/>
  <c r="C38" i="30"/>
  <c r="B38" i="30"/>
  <c r="B134" i="30" s="1"/>
  <c r="Q37" i="30"/>
  <c r="P37" i="30"/>
  <c r="O37" i="30"/>
  <c r="N37" i="30"/>
  <c r="M37" i="30"/>
  <c r="L37" i="30"/>
  <c r="K37" i="30"/>
  <c r="H37" i="30"/>
  <c r="G37" i="30"/>
  <c r="F37" i="30"/>
  <c r="E37" i="30"/>
  <c r="D37" i="30"/>
  <c r="C37" i="30"/>
  <c r="B37" i="30"/>
  <c r="Q36" i="30"/>
  <c r="P36" i="30"/>
  <c r="O36" i="30"/>
  <c r="N36" i="30"/>
  <c r="M36" i="30"/>
  <c r="L36" i="30"/>
  <c r="K36" i="30"/>
  <c r="H36" i="30"/>
  <c r="G36" i="30"/>
  <c r="F36" i="30"/>
  <c r="E36" i="30"/>
  <c r="D36" i="30"/>
  <c r="C36" i="30"/>
  <c r="B36" i="30"/>
  <c r="Q35" i="30"/>
  <c r="P35" i="30"/>
  <c r="O35" i="30"/>
  <c r="N35" i="30"/>
  <c r="M35" i="30"/>
  <c r="L35" i="30"/>
  <c r="L183" i="30" s="1"/>
  <c r="K35" i="30"/>
  <c r="K183" i="30" s="1"/>
  <c r="H35" i="30"/>
  <c r="H183" i="30" s="1"/>
  <c r="G35" i="30"/>
  <c r="F35" i="30"/>
  <c r="E35" i="30"/>
  <c r="D35" i="30"/>
  <c r="C35" i="30"/>
  <c r="C183" i="30" s="1"/>
  <c r="B35" i="30"/>
  <c r="B183" i="30" s="1"/>
  <c r="Q34" i="30"/>
  <c r="P34" i="30"/>
  <c r="O34" i="30"/>
  <c r="N34" i="30"/>
  <c r="N130" i="30" s="1"/>
  <c r="M34" i="30"/>
  <c r="L34" i="30"/>
  <c r="K34" i="30"/>
  <c r="H34" i="30"/>
  <c r="G34" i="30"/>
  <c r="F34" i="30"/>
  <c r="E34" i="30"/>
  <c r="D34" i="30"/>
  <c r="C34" i="30"/>
  <c r="B34" i="30"/>
  <c r="B130" i="30" s="1"/>
  <c r="Q33" i="30"/>
  <c r="P33" i="30"/>
  <c r="O33" i="30"/>
  <c r="O129" i="30" s="1"/>
  <c r="N33" i="30"/>
  <c r="M33" i="30"/>
  <c r="L33" i="30"/>
  <c r="K33" i="30"/>
  <c r="H33" i="30"/>
  <c r="G33" i="30"/>
  <c r="F33" i="30"/>
  <c r="E33" i="30"/>
  <c r="D33" i="30"/>
  <c r="D129" i="30" s="1"/>
  <c r="C33" i="30"/>
  <c r="B33" i="30"/>
  <c r="Q32" i="30"/>
  <c r="P32" i="30"/>
  <c r="O32" i="30"/>
  <c r="N32" i="30"/>
  <c r="N128" i="30" s="1"/>
  <c r="M32" i="30"/>
  <c r="L32" i="30"/>
  <c r="K32" i="30"/>
  <c r="H32" i="30"/>
  <c r="G32" i="30"/>
  <c r="F32" i="30"/>
  <c r="E32" i="30"/>
  <c r="D32" i="30"/>
  <c r="C32" i="30"/>
  <c r="B32" i="30"/>
  <c r="B128" i="30" s="1"/>
  <c r="Q31" i="30"/>
  <c r="P31" i="30"/>
  <c r="O31" i="30"/>
  <c r="N31" i="30"/>
  <c r="M31" i="30"/>
  <c r="L31" i="30"/>
  <c r="K31" i="30"/>
  <c r="H31" i="30"/>
  <c r="G31" i="30"/>
  <c r="F31" i="30"/>
  <c r="E31" i="30"/>
  <c r="D31" i="30"/>
  <c r="D127" i="30" s="1"/>
  <c r="C31" i="30"/>
  <c r="B31" i="30"/>
  <c r="Q30" i="30"/>
  <c r="P30" i="30"/>
  <c r="O30" i="30"/>
  <c r="N30" i="30"/>
  <c r="M30" i="30"/>
  <c r="L30" i="30"/>
  <c r="L182" i="30" s="1"/>
  <c r="K30" i="30"/>
  <c r="K182" i="30" s="1"/>
  <c r="H30" i="30"/>
  <c r="G30" i="30"/>
  <c r="F30" i="30"/>
  <c r="E30" i="30"/>
  <c r="D30" i="30"/>
  <c r="D182" i="30" s="1"/>
  <c r="C30" i="30"/>
  <c r="C182" i="30" s="1"/>
  <c r="B30" i="30"/>
  <c r="B182" i="30" s="1"/>
  <c r="Q29" i="30"/>
  <c r="P29" i="30"/>
  <c r="O29" i="30"/>
  <c r="N29" i="30"/>
  <c r="M29" i="30"/>
  <c r="L29" i="30"/>
  <c r="K29" i="30"/>
  <c r="H29" i="30"/>
  <c r="G29" i="30"/>
  <c r="F29" i="30"/>
  <c r="E29" i="30"/>
  <c r="D29" i="30"/>
  <c r="D125" i="30" s="1"/>
  <c r="C29" i="30"/>
  <c r="B29" i="30"/>
  <c r="Q28" i="30"/>
  <c r="P28" i="30"/>
  <c r="O28" i="30"/>
  <c r="N28" i="30"/>
  <c r="M28" i="30"/>
  <c r="M124" i="30" s="1"/>
  <c r="L28" i="30"/>
  <c r="K28" i="30"/>
  <c r="H28" i="30"/>
  <c r="G28" i="30"/>
  <c r="F28" i="30"/>
  <c r="E28" i="30"/>
  <c r="D28" i="30"/>
  <c r="D124" i="30" s="1"/>
  <c r="C28" i="30"/>
  <c r="B28" i="30"/>
  <c r="Q27" i="30"/>
  <c r="P27" i="30"/>
  <c r="O27" i="30"/>
  <c r="N27" i="30"/>
  <c r="M27" i="30"/>
  <c r="L27" i="30"/>
  <c r="K27" i="30"/>
  <c r="H27" i="30"/>
  <c r="G27" i="30"/>
  <c r="F27" i="30"/>
  <c r="E27" i="30"/>
  <c r="D27" i="30"/>
  <c r="D123" i="30" s="1"/>
  <c r="C27" i="30"/>
  <c r="B27" i="30"/>
  <c r="Q26" i="30"/>
  <c r="P26" i="30"/>
  <c r="O26" i="30"/>
  <c r="N26" i="30"/>
  <c r="M26" i="30"/>
  <c r="M122" i="30" s="1"/>
  <c r="L26" i="30"/>
  <c r="K26" i="30"/>
  <c r="H26" i="30"/>
  <c r="G26" i="30"/>
  <c r="F26" i="30"/>
  <c r="E26" i="30"/>
  <c r="D26" i="30"/>
  <c r="D122" i="30" s="1"/>
  <c r="C26" i="30"/>
  <c r="B26" i="30"/>
  <c r="Q25" i="30"/>
  <c r="P25" i="30"/>
  <c r="O25" i="30"/>
  <c r="N25" i="30"/>
  <c r="M25" i="30"/>
  <c r="L25" i="30"/>
  <c r="K25" i="30"/>
  <c r="H25" i="30"/>
  <c r="G25" i="30"/>
  <c r="F25" i="30"/>
  <c r="E25" i="30"/>
  <c r="D25" i="30"/>
  <c r="D121" i="30" s="1"/>
  <c r="C25" i="30"/>
  <c r="B25" i="30"/>
  <c r="Q24" i="30"/>
  <c r="P24" i="30"/>
  <c r="O24" i="30"/>
  <c r="N24" i="30"/>
  <c r="M24" i="30"/>
  <c r="M120" i="30" s="1"/>
  <c r="L24" i="30"/>
  <c r="K24" i="30"/>
  <c r="H24" i="30"/>
  <c r="G24" i="30"/>
  <c r="F24" i="30"/>
  <c r="E24" i="30"/>
  <c r="D24" i="30"/>
  <c r="D120" i="30" s="1"/>
  <c r="C24" i="30"/>
  <c r="B24" i="30"/>
  <c r="R23" i="30"/>
  <c r="Q23" i="30"/>
  <c r="P23" i="30"/>
  <c r="O23" i="30"/>
  <c r="N23" i="30"/>
  <c r="M23" i="30"/>
  <c r="L23" i="30"/>
  <c r="K23" i="30"/>
  <c r="I23" i="30"/>
  <c r="H23" i="30"/>
  <c r="G23" i="30"/>
  <c r="F23" i="30"/>
  <c r="E23" i="30"/>
  <c r="D23" i="30"/>
  <c r="D119" i="30" s="1"/>
  <c r="C23" i="30"/>
  <c r="B23" i="30"/>
  <c r="Q22" i="30"/>
  <c r="P22" i="30"/>
  <c r="O22" i="30"/>
  <c r="N22" i="30"/>
  <c r="M22" i="30"/>
  <c r="M118" i="30" s="1"/>
  <c r="L22" i="30"/>
  <c r="K22" i="30"/>
  <c r="H22" i="30"/>
  <c r="G22" i="30"/>
  <c r="F22" i="30"/>
  <c r="E22" i="30"/>
  <c r="D22" i="30"/>
  <c r="D118" i="30" s="1"/>
  <c r="C22" i="30"/>
  <c r="B22" i="30"/>
  <c r="Q21" i="30"/>
  <c r="P21" i="30"/>
  <c r="O21" i="30"/>
  <c r="N21" i="30"/>
  <c r="M21" i="30"/>
  <c r="M117" i="30" s="1"/>
  <c r="L21" i="30"/>
  <c r="K21" i="30"/>
  <c r="H21" i="30"/>
  <c r="G21" i="30"/>
  <c r="F21" i="30"/>
  <c r="E21" i="30"/>
  <c r="D21" i="30"/>
  <c r="D117" i="30" s="1"/>
  <c r="C21" i="30"/>
  <c r="B21" i="30"/>
  <c r="Q20" i="30"/>
  <c r="P20" i="30"/>
  <c r="O20" i="30"/>
  <c r="N20" i="30"/>
  <c r="M20" i="30"/>
  <c r="L20" i="30"/>
  <c r="K20" i="30"/>
  <c r="H20" i="30"/>
  <c r="G20" i="30"/>
  <c r="F20" i="30"/>
  <c r="E20" i="30"/>
  <c r="D20" i="30"/>
  <c r="C20" i="30"/>
  <c r="B20" i="30"/>
  <c r="Q19" i="30"/>
  <c r="P19" i="30"/>
  <c r="O19" i="30"/>
  <c r="M19" i="30"/>
  <c r="L19" i="30"/>
  <c r="K19" i="30"/>
  <c r="H19" i="30"/>
  <c r="G19" i="30"/>
  <c r="F19" i="30"/>
  <c r="E19" i="30"/>
  <c r="D19" i="30"/>
  <c r="C19" i="30"/>
  <c r="B19" i="30"/>
  <c r="Q18" i="30"/>
  <c r="P18" i="30"/>
  <c r="O18" i="30"/>
  <c r="N18" i="30"/>
  <c r="M18" i="30"/>
  <c r="L18" i="30"/>
  <c r="K18" i="30"/>
  <c r="H18" i="30"/>
  <c r="G18" i="30"/>
  <c r="F18" i="30"/>
  <c r="D18" i="30"/>
  <c r="C18" i="30"/>
  <c r="B18" i="30"/>
  <c r="Q17" i="30"/>
  <c r="P17" i="30"/>
  <c r="O17" i="30"/>
  <c r="N17" i="30"/>
  <c r="M17" i="30"/>
  <c r="L17" i="30"/>
  <c r="K17" i="30"/>
  <c r="H17" i="30"/>
  <c r="G17" i="30"/>
  <c r="F17" i="30"/>
  <c r="E17" i="30"/>
  <c r="D17" i="30"/>
  <c r="C17" i="30"/>
  <c r="B17" i="30"/>
  <c r="Q16" i="30"/>
  <c r="P16" i="30"/>
  <c r="O16" i="30"/>
  <c r="N16" i="30"/>
  <c r="M16" i="30"/>
  <c r="L16" i="30"/>
  <c r="K16" i="30"/>
  <c r="H16" i="30"/>
  <c r="G16" i="30"/>
  <c r="F16" i="30"/>
  <c r="E16" i="30"/>
  <c r="D16" i="30"/>
  <c r="C16" i="30"/>
  <c r="B16" i="30"/>
  <c r="Q15" i="30"/>
  <c r="P15" i="30"/>
  <c r="O15" i="30"/>
  <c r="N15" i="30"/>
  <c r="M15" i="30"/>
  <c r="L15" i="30"/>
  <c r="K15" i="30"/>
  <c r="H15" i="30"/>
  <c r="G15" i="30"/>
  <c r="F15" i="30"/>
  <c r="E15" i="30"/>
  <c r="D15" i="30"/>
  <c r="C15" i="30"/>
  <c r="B15" i="30"/>
  <c r="Q14" i="30"/>
  <c r="P14" i="30"/>
  <c r="O14" i="30"/>
  <c r="N14" i="30"/>
  <c r="M14" i="30"/>
  <c r="L14" i="30"/>
  <c r="K14" i="30"/>
  <c r="H14" i="30"/>
  <c r="G14" i="30"/>
  <c r="E14" i="30"/>
  <c r="D14" i="30"/>
  <c r="C14" i="30"/>
  <c r="B14" i="30"/>
  <c r="Q13" i="30"/>
  <c r="P13" i="30"/>
  <c r="O13" i="30"/>
  <c r="N13" i="30"/>
  <c r="M13" i="30"/>
  <c r="L13" i="30"/>
  <c r="K13" i="30"/>
  <c r="H13" i="30"/>
  <c r="G13" i="30"/>
  <c r="F13" i="30"/>
  <c r="E13" i="30"/>
  <c r="D13" i="30"/>
  <c r="C13" i="30"/>
  <c r="Q12" i="30"/>
  <c r="P12" i="30"/>
  <c r="O12" i="30"/>
  <c r="N12" i="30"/>
  <c r="M12" i="30"/>
  <c r="L12" i="30"/>
  <c r="K12" i="30"/>
  <c r="H12" i="30"/>
  <c r="G12" i="30"/>
  <c r="F12" i="30"/>
  <c r="E12" i="30"/>
  <c r="D12" i="30"/>
  <c r="C12" i="30"/>
  <c r="B12" i="30"/>
  <c r="Q11" i="30"/>
  <c r="P11" i="30"/>
  <c r="O11" i="30"/>
  <c r="N11" i="30"/>
  <c r="M11" i="30"/>
  <c r="L11" i="30"/>
  <c r="K11" i="30"/>
  <c r="H11" i="30"/>
  <c r="G11" i="30"/>
  <c r="F11" i="30"/>
  <c r="E11" i="30"/>
  <c r="D11" i="30"/>
  <c r="C11" i="30"/>
  <c r="B11" i="30"/>
  <c r="Q10" i="30"/>
  <c r="P10" i="30"/>
  <c r="O10" i="30"/>
  <c r="N10" i="30"/>
  <c r="M10" i="30"/>
  <c r="L10" i="30"/>
  <c r="H10" i="30"/>
  <c r="G10" i="30"/>
  <c r="E10" i="30"/>
  <c r="D10" i="30"/>
  <c r="C10" i="30"/>
  <c r="Q9" i="30"/>
  <c r="P9" i="30"/>
  <c r="O9" i="30"/>
  <c r="N9" i="30"/>
  <c r="M9" i="30"/>
  <c r="L9" i="30"/>
  <c r="K9" i="30"/>
  <c r="H9" i="30"/>
  <c r="G9" i="30"/>
  <c r="E9" i="30"/>
  <c r="D9" i="30"/>
  <c r="C9" i="30"/>
  <c r="B9" i="30"/>
  <c r="Q8" i="30"/>
  <c r="P8" i="30"/>
  <c r="O8" i="30"/>
  <c r="N8" i="30"/>
  <c r="M8" i="30"/>
  <c r="L8" i="30"/>
  <c r="K8" i="30"/>
  <c r="H8" i="30"/>
  <c r="G8" i="30"/>
  <c r="F8" i="30"/>
  <c r="E8" i="30"/>
  <c r="D8" i="30"/>
  <c r="C8" i="30"/>
  <c r="B8" i="30"/>
  <c r="P7" i="30"/>
  <c r="O7" i="30"/>
  <c r="N7" i="30"/>
  <c r="M7" i="30"/>
  <c r="L7" i="30"/>
  <c r="G7" i="30"/>
  <c r="F7" i="30"/>
  <c r="E7" i="30"/>
  <c r="D7" i="30"/>
  <c r="C7" i="30"/>
  <c r="Q6" i="30"/>
  <c r="P6" i="30"/>
  <c r="O6" i="30"/>
  <c r="N6" i="30"/>
  <c r="M6" i="30"/>
  <c r="L6" i="30"/>
  <c r="K6" i="30"/>
  <c r="H6" i="30"/>
  <c r="G6" i="30"/>
  <c r="F6" i="30"/>
  <c r="E6" i="30"/>
  <c r="D6" i="30"/>
  <c r="C6" i="30"/>
  <c r="B6" i="30"/>
  <c r="Q5" i="30"/>
  <c r="P5" i="30"/>
  <c r="O5" i="30"/>
  <c r="N5" i="30"/>
  <c r="M5" i="30"/>
  <c r="L5" i="30"/>
  <c r="H5" i="30"/>
  <c r="G5" i="30"/>
  <c r="F5" i="30"/>
  <c r="E5" i="30"/>
  <c r="D5" i="30"/>
  <c r="B5" i="30"/>
  <c r="H97" i="29"/>
  <c r="G97" i="29"/>
  <c r="F97" i="29"/>
  <c r="F203" i="29" s="1"/>
  <c r="E97" i="29"/>
  <c r="D97" i="29"/>
  <c r="C97" i="29"/>
  <c r="B97" i="29"/>
  <c r="B203" i="29" s="1"/>
  <c r="H93" i="29"/>
  <c r="G93" i="29"/>
  <c r="F93" i="29"/>
  <c r="F199" i="29" s="1"/>
  <c r="E93" i="29"/>
  <c r="D93" i="29"/>
  <c r="C93" i="29"/>
  <c r="B93" i="29"/>
  <c r="B199" i="29" s="1"/>
  <c r="H92" i="29"/>
  <c r="G92" i="29"/>
  <c r="F92" i="29"/>
  <c r="F198" i="29" s="1"/>
  <c r="E92" i="29"/>
  <c r="D92" i="29"/>
  <c r="C92" i="29"/>
  <c r="B92" i="29"/>
  <c r="B198" i="29" s="1"/>
  <c r="H91" i="29"/>
  <c r="G91" i="29"/>
  <c r="F91" i="29"/>
  <c r="F197" i="29" s="1"/>
  <c r="E91" i="29"/>
  <c r="D91" i="29"/>
  <c r="C91" i="29"/>
  <c r="B91" i="29"/>
  <c r="B197" i="29" s="1"/>
  <c r="H90" i="29"/>
  <c r="G90" i="29"/>
  <c r="G196" i="29" s="1"/>
  <c r="F90" i="29"/>
  <c r="F196" i="29" s="1"/>
  <c r="E90" i="29"/>
  <c r="D90" i="29"/>
  <c r="C90" i="29"/>
  <c r="B90" i="29"/>
  <c r="B196" i="29" s="1"/>
  <c r="H89" i="29"/>
  <c r="G89" i="29"/>
  <c r="F89" i="29"/>
  <c r="F195" i="29" s="1"/>
  <c r="E89" i="29"/>
  <c r="D89" i="29"/>
  <c r="C89" i="29"/>
  <c r="B89" i="29"/>
  <c r="B195" i="29" s="1"/>
  <c r="H88" i="29"/>
  <c r="G88" i="29"/>
  <c r="G194" i="29" s="1"/>
  <c r="F88" i="29"/>
  <c r="F194" i="29" s="1"/>
  <c r="E88" i="29"/>
  <c r="D88" i="29"/>
  <c r="C88" i="29"/>
  <c r="B88" i="29"/>
  <c r="B194" i="29" s="1"/>
  <c r="H87" i="29"/>
  <c r="G87" i="29"/>
  <c r="F87" i="29"/>
  <c r="F193" i="29" s="1"/>
  <c r="E87" i="29"/>
  <c r="D87" i="29"/>
  <c r="C87" i="29"/>
  <c r="B87" i="29"/>
  <c r="B193" i="29" s="1"/>
  <c r="H86" i="29"/>
  <c r="G86" i="29"/>
  <c r="F86" i="29"/>
  <c r="E86" i="29"/>
  <c r="D86" i="29"/>
  <c r="C86" i="29"/>
  <c r="B86" i="29"/>
  <c r="H85" i="29"/>
  <c r="G85" i="29"/>
  <c r="F85" i="29"/>
  <c r="E85" i="29"/>
  <c r="D85" i="29"/>
  <c r="C85" i="29"/>
  <c r="B85" i="29"/>
  <c r="H84" i="29"/>
  <c r="G84" i="29"/>
  <c r="F84" i="29"/>
  <c r="E84" i="29"/>
  <c r="D84" i="29"/>
  <c r="C84" i="29"/>
  <c r="B84" i="29"/>
  <c r="H83" i="29"/>
  <c r="G83" i="29"/>
  <c r="F83" i="29"/>
  <c r="E83" i="29"/>
  <c r="D83" i="29"/>
  <c r="C83" i="29"/>
  <c r="B83" i="29"/>
  <c r="H82" i="29"/>
  <c r="H192" i="29" s="1"/>
  <c r="G82" i="29"/>
  <c r="F82" i="29"/>
  <c r="E82" i="29"/>
  <c r="D82" i="29"/>
  <c r="D192" i="29" s="1"/>
  <c r="C82" i="29"/>
  <c r="B82" i="29"/>
  <c r="B192" i="29" s="1"/>
  <c r="B211" i="29" s="1"/>
  <c r="H81" i="29"/>
  <c r="G81" i="29"/>
  <c r="F81" i="29"/>
  <c r="E81" i="29"/>
  <c r="D81" i="29"/>
  <c r="C81" i="29"/>
  <c r="B81" i="29"/>
  <c r="H80" i="29"/>
  <c r="G80" i="29"/>
  <c r="F80" i="29"/>
  <c r="E80" i="29"/>
  <c r="D80" i="29"/>
  <c r="C80" i="29"/>
  <c r="B80" i="29"/>
  <c r="H79" i="29"/>
  <c r="G79" i="29"/>
  <c r="F79" i="29"/>
  <c r="E79" i="29"/>
  <c r="D79" i="29"/>
  <c r="C79" i="29"/>
  <c r="B79" i="29"/>
  <c r="H78" i="29"/>
  <c r="G78" i="29"/>
  <c r="F78" i="29"/>
  <c r="E78" i="29"/>
  <c r="D78" i="29"/>
  <c r="C78" i="29"/>
  <c r="B78" i="29"/>
  <c r="H77" i="29"/>
  <c r="G77" i="29"/>
  <c r="F77" i="29"/>
  <c r="E77" i="29"/>
  <c r="D77" i="29"/>
  <c r="C77" i="29"/>
  <c r="B77" i="29"/>
  <c r="B191" i="29" s="1"/>
  <c r="B210" i="29" s="1"/>
  <c r="H76" i="29"/>
  <c r="G76" i="29"/>
  <c r="F76" i="29"/>
  <c r="E76" i="29"/>
  <c r="D76" i="29"/>
  <c r="C76" i="29"/>
  <c r="B76" i="29"/>
  <c r="H75" i="29"/>
  <c r="G75" i="29"/>
  <c r="F75" i="29"/>
  <c r="E75" i="29"/>
  <c r="D75" i="29"/>
  <c r="C75" i="29"/>
  <c r="B75" i="29"/>
  <c r="H74" i="29"/>
  <c r="G74" i="29"/>
  <c r="F74" i="29"/>
  <c r="E74" i="29"/>
  <c r="D74" i="29"/>
  <c r="C74" i="29"/>
  <c r="B74" i="29"/>
  <c r="H73" i="29"/>
  <c r="G73" i="29"/>
  <c r="F73" i="29"/>
  <c r="E73" i="29"/>
  <c r="D73" i="29"/>
  <c r="C73" i="29"/>
  <c r="B73" i="29"/>
  <c r="H72" i="29"/>
  <c r="G72" i="29"/>
  <c r="F72" i="29"/>
  <c r="E72" i="29"/>
  <c r="D72" i="29"/>
  <c r="C72" i="29"/>
  <c r="B72" i="29"/>
  <c r="H71" i="29"/>
  <c r="G71" i="29"/>
  <c r="F71" i="29"/>
  <c r="E71" i="29"/>
  <c r="D71" i="29"/>
  <c r="C71" i="29"/>
  <c r="B71" i="29"/>
  <c r="I70" i="29"/>
  <c r="H70" i="29"/>
  <c r="G70" i="29"/>
  <c r="F70" i="29"/>
  <c r="E70" i="29"/>
  <c r="D70" i="29"/>
  <c r="C70" i="29"/>
  <c r="B70" i="29"/>
  <c r="H69" i="29"/>
  <c r="G69" i="29"/>
  <c r="F69" i="29"/>
  <c r="E69" i="29"/>
  <c r="D69" i="29"/>
  <c r="C69" i="29"/>
  <c r="B69" i="29"/>
  <c r="H68" i="29"/>
  <c r="G68" i="29"/>
  <c r="F68" i="29"/>
  <c r="E68" i="29"/>
  <c r="D68" i="29"/>
  <c r="C68" i="29"/>
  <c r="B68" i="29"/>
  <c r="H67" i="29"/>
  <c r="G67" i="29"/>
  <c r="F67" i="29"/>
  <c r="E67" i="29"/>
  <c r="D67" i="29"/>
  <c r="C67" i="29"/>
  <c r="B67" i="29"/>
  <c r="H66" i="29"/>
  <c r="G66" i="29"/>
  <c r="F66" i="29"/>
  <c r="E66" i="29"/>
  <c r="D66" i="29"/>
  <c r="C66" i="29"/>
  <c r="B66" i="29"/>
  <c r="H65" i="29"/>
  <c r="G65" i="29"/>
  <c r="F65" i="29"/>
  <c r="E65" i="29"/>
  <c r="D65" i="29"/>
  <c r="C65" i="29"/>
  <c r="B65" i="29"/>
  <c r="H64" i="29"/>
  <c r="G64" i="29"/>
  <c r="F64" i="29"/>
  <c r="E64" i="29"/>
  <c r="D64" i="29"/>
  <c r="C64" i="29"/>
  <c r="B64" i="29"/>
  <c r="H63" i="29"/>
  <c r="G63" i="29"/>
  <c r="F63" i="29"/>
  <c r="E63" i="29"/>
  <c r="D63" i="29"/>
  <c r="C63" i="29"/>
  <c r="B63" i="29"/>
  <c r="H62" i="29"/>
  <c r="G62" i="29"/>
  <c r="F62" i="29"/>
  <c r="E62" i="29"/>
  <c r="D62" i="29"/>
  <c r="C62" i="29"/>
  <c r="B62" i="29"/>
  <c r="H61" i="29"/>
  <c r="G61" i="29"/>
  <c r="F61" i="29"/>
  <c r="E61" i="29"/>
  <c r="D61" i="29"/>
  <c r="C61" i="29"/>
  <c r="B61" i="29"/>
  <c r="H60" i="29"/>
  <c r="G60" i="29"/>
  <c r="F60" i="29"/>
  <c r="E60" i="29"/>
  <c r="D60" i="29"/>
  <c r="C60" i="29"/>
  <c r="B60" i="29"/>
  <c r="H59" i="29"/>
  <c r="G59" i="29"/>
  <c r="F59" i="29"/>
  <c r="E59" i="29"/>
  <c r="D59" i="29"/>
  <c r="C59" i="29"/>
  <c r="B59" i="29"/>
  <c r="G58" i="29"/>
  <c r="F58" i="29"/>
  <c r="E58" i="29"/>
  <c r="D58" i="29"/>
  <c r="C58" i="29"/>
  <c r="B58" i="29"/>
  <c r="H57" i="29"/>
  <c r="G57" i="29"/>
  <c r="E57" i="29"/>
  <c r="D57" i="29"/>
  <c r="C57" i="29"/>
  <c r="B57" i="29"/>
  <c r="H56" i="29"/>
  <c r="G56" i="29"/>
  <c r="F56" i="29"/>
  <c r="E56" i="29"/>
  <c r="D56" i="29"/>
  <c r="C56" i="29"/>
  <c r="B56" i="29"/>
  <c r="H55" i="29"/>
  <c r="G55" i="29"/>
  <c r="F55" i="29"/>
  <c r="E55" i="29"/>
  <c r="D55" i="29"/>
  <c r="C55" i="29"/>
  <c r="B55" i="29"/>
  <c r="H54" i="29"/>
  <c r="G54" i="29"/>
  <c r="F54" i="29"/>
  <c r="E54" i="29"/>
  <c r="D54" i="29"/>
  <c r="C54" i="29"/>
  <c r="B54" i="29"/>
  <c r="H53" i="29"/>
  <c r="G53" i="29"/>
  <c r="F53" i="29"/>
  <c r="E53" i="29"/>
  <c r="D53" i="29"/>
  <c r="C53" i="29"/>
  <c r="B53" i="29"/>
  <c r="H52" i="29"/>
  <c r="G52" i="29"/>
  <c r="F52" i="29"/>
  <c r="E52" i="29"/>
  <c r="D52" i="29"/>
  <c r="C52" i="29"/>
  <c r="B52" i="29"/>
  <c r="H49" i="29"/>
  <c r="H184" i="29" s="1"/>
  <c r="G49" i="29"/>
  <c r="G184" i="29" s="1"/>
  <c r="F49" i="29"/>
  <c r="F184" i="29" s="1"/>
  <c r="E49" i="29"/>
  <c r="E184" i="29" s="1"/>
  <c r="D49" i="29"/>
  <c r="D184" i="29" s="1"/>
  <c r="C49" i="29"/>
  <c r="C184" i="29" s="1"/>
  <c r="B49" i="29"/>
  <c r="B184" i="29" s="1"/>
  <c r="H45" i="29"/>
  <c r="H180" i="29" s="1"/>
  <c r="G45" i="29"/>
  <c r="G180" i="29" s="1"/>
  <c r="F45" i="29"/>
  <c r="F180" i="29" s="1"/>
  <c r="E45" i="29"/>
  <c r="E180" i="29" s="1"/>
  <c r="D45" i="29"/>
  <c r="D180" i="29" s="1"/>
  <c r="C45" i="29"/>
  <c r="C180" i="29" s="1"/>
  <c r="B45" i="29"/>
  <c r="B180" i="29" s="1"/>
  <c r="H44" i="29"/>
  <c r="H179" i="29" s="1"/>
  <c r="G44" i="29"/>
  <c r="G179" i="29" s="1"/>
  <c r="F44" i="29"/>
  <c r="F179" i="29" s="1"/>
  <c r="E44" i="29"/>
  <c r="E179" i="29" s="1"/>
  <c r="D44" i="29"/>
  <c r="D179" i="29" s="1"/>
  <c r="C44" i="29"/>
  <c r="C179" i="29" s="1"/>
  <c r="B44" i="29"/>
  <c r="B179" i="29" s="1"/>
  <c r="H43" i="29"/>
  <c r="H178" i="29" s="1"/>
  <c r="G43" i="29"/>
  <c r="G178" i="29" s="1"/>
  <c r="F43" i="29"/>
  <c r="F178" i="29" s="1"/>
  <c r="E43" i="29"/>
  <c r="E178" i="29" s="1"/>
  <c r="D43" i="29"/>
  <c r="D178" i="29" s="1"/>
  <c r="C43" i="29"/>
  <c r="C178" i="29" s="1"/>
  <c r="B43" i="29"/>
  <c r="B178" i="29" s="1"/>
  <c r="H42" i="29"/>
  <c r="H177" i="29" s="1"/>
  <c r="G42" i="29"/>
  <c r="G177" i="29" s="1"/>
  <c r="F42" i="29"/>
  <c r="F177" i="29" s="1"/>
  <c r="E42" i="29"/>
  <c r="E177" i="29" s="1"/>
  <c r="D42" i="29"/>
  <c r="D177" i="29" s="1"/>
  <c r="C42" i="29"/>
  <c r="C177" i="29" s="1"/>
  <c r="B42" i="29"/>
  <c r="B177" i="29" s="1"/>
  <c r="H41" i="29"/>
  <c r="H176" i="29" s="1"/>
  <c r="G41" i="29"/>
  <c r="G176" i="29" s="1"/>
  <c r="F41" i="29"/>
  <c r="F176" i="29" s="1"/>
  <c r="E41" i="29"/>
  <c r="E176" i="29" s="1"/>
  <c r="D41" i="29"/>
  <c r="D176" i="29" s="1"/>
  <c r="C41" i="29"/>
  <c r="C176" i="29" s="1"/>
  <c r="B41" i="29"/>
  <c r="B176" i="29" s="1"/>
  <c r="H40" i="29"/>
  <c r="H175" i="29" s="1"/>
  <c r="G40" i="29"/>
  <c r="G175" i="29" s="1"/>
  <c r="F40" i="29"/>
  <c r="F175" i="29" s="1"/>
  <c r="E40" i="29"/>
  <c r="E175" i="29" s="1"/>
  <c r="D40" i="29"/>
  <c r="D175" i="29" s="1"/>
  <c r="C40" i="29"/>
  <c r="C175" i="29" s="1"/>
  <c r="B40" i="29"/>
  <c r="B175" i="29" s="1"/>
  <c r="H39" i="29"/>
  <c r="H174" i="29" s="1"/>
  <c r="G39" i="29"/>
  <c r="G174" i="29" s="1"/>
  <c r="F39" i="29"/>
  <c r="F174" i="29" s="1"/>
  <c r="E39" i="29"/>
  <c r="E174" i="29" s="1"/>
  <c r="D39" i="29"/>
  <c r="D174" i="29" s="1"/>
  <c r="C39" i="29"/>
  <c r="C174" i="29" s="1"/>
  <c r="B39" i="29"/>
  <c r="B174" i="29" s="1"/>
  <c r="H38" i="29"/>
  <c r="G38" i="29"/>
  <c r="F38" i="29"/>
  <c r="E38" i="29"/>
  <c r="D38" i="29"/>
  <c r="C38" i="29"/>
  <c r="B38" i="29"/>
  <c r="H37" i="29"/>
  <c r="G37" i="29"/>
  <c r="F37" i="29"/>
  <c r="E37" i="29"/>
  <c r="D37" i="29"/>
  <c r="C37" i="29"/>
  <c r="B37" i="29"/>
  <c r="H36" i="29"/>
  <c r="G36" i="29"/>
  <c r="F36" i="29"/>
  <c r="E36" i="29"/>
  <c r="D36" i="29"/>
  <c r="C36" i="29"/>
  <c r="B36" i="29"/>
  <c r="H35" i="29"/>
  <c r="G35" i="29"/>
  <c r="F35" i="29"/>
  <c r="E35" i="29"/>
  <c r="D35" i="29"/>
  <c r="C35" i="29"/>
  <c r="B35" i="29"/>
  <c r="H34" i="29"/>
  <c r="H173" i="29" s="1"/>
  <c r="G34" i="29"/>
  <c r="F34" i="29"/>
  <c r="E34" i="29"/>
  <c r="D34" i="29"/>
  <c r="C34" i="29"/>
  <c r="B34" i="29"/>
  <c r="H33" i="29"/>
  <c r="G33" i="29"/>
  <c r="F33" i="29"/>
  <c r="E33" i="29"/>
  <c r="D33" i="29"/>
  <c r="C33" i="29"/>
  <c r="B33" i="29"/>
  <c r="H32" i="29"/>
  <c r="G32" i="29"/>
  <c r="F32" i="29"/>
  <c r="E32" i="29"/>
  <c r="D32" i="29"/>
  <c r="C32" i="29"/>
  <c r="B32" i="29"/>
  <c r="H31" i="29"/>
  <c r="G31" i="29"/>
  <c r="F31" i="29"/>
  <c r="E31" i="29"/>
  <c r="D31" i="29"/>
  <c r="C31" i="29"/>
  <c r="B31" i="29"/>
  <c r="H30" i="29"/>
  <c r="G30" i="29"/>
  <c r="F30" i="29"/>
  <c r="E30" i="29"/>
  <c r="D30" i="29"/>
  <c r="C30" i="29"/>
  <c r="B30" i="29"/>
  <c r="H29" i="29"/>
  <c r="G29" i="29"/>
  <c r="F29" i="29"/>
  <c r="E29" i="29"/>
  <c r="D29" i="29"/>
  <c r="C29" i="29"/>
  <c r="B29" i="29"/>
  <c r="B172" i="29" s="1"/>
  <c r="H28" i="29"/>
  <c r="G28" i="29"/>
  <c r="F28" i="29"/>
  <c r="E28" i="29"/>
  <c r="D28" i="29"/>
  <c r="C28" i="29"/>
  <c r="B28" i="29"/>
  <c r="H27" i="29"/>
  <c r="F27" i="29"/>
  <c r="E27" i="29"/>
  <c r="D27" i="29"/>
  <c r="C27" i="29"/>
  <c r="B27" i="29"/>
  <c r="H26" i="29"/>
  <c r="G26" i="29"/>
  <c r="F26" i="29"/>
  <c r="E26" i="29"/>
  <c r="D26" i="29"/>
  <c r="C26" i="29"/>
  <c r="B26" i="29"/>
  <c r="H25" i="29"/>
  <c r="G25" i="29"/>
  <c r="F25" i="29"/>
  <c r="E25" i="29"/>
  <c r="D25" i="29"/>
  <c r="C25" i="29"/>
  <c r="B25" i="29"/>
  <c r="H24" i="29"/>
  <c r="G24" i="29"/>
  <c r="F24" i="29"/>
  <c r="E24" i="29"/>
  <c r="D24" i="29"/>
  <c r="C24" i="29"/>
  <c r="B24" i="29"/>
  <c r="H23" i="29"/>
  <c r="G23" i="29"/>
  <c r="F23" i="29"/>
  <c r="E23" i="29"/>
  <c r="D23" i="29"/>
  <c r="C23" i="29"/>
  <c r="B23" i="29"/>
  <c r="I22" i="29"/>
  <c r="H22" i="29"/>
  <c r="G22" i="29"/>
  <c r="F22" i="29"/>
  <c r="E22" i="29"/>
  <c r="D22" i="29"/>
  <c r="C22" i="29"/>
  <c r="B22" i="29"/>
  <c r="H21" i="29"/>
  <c r="F21" i="29"/>
  <c r="E21" i="29"/>
  <c r="D21" i="29"/>
  <c r="C21" i="29"/>
  <c r="B21" i="29"/>
  <c r="H20" i="29"/>
  <c r="G20" i="29"/>
  <c r="F20" i="29"/>
  <c r="E20" i="29"/>
  <c r="D20" i="29"/>
  <c r="C20" i="29"/>
  <c r="B20" i="29"/>
  <c r="H19" i="29"/>
  <c r="G19" i="29"/>
  <c r="F19" i="29"/>
  <c r="E19" i="29"/>
  <c r="D19" i="29"/>
  <c r="C19" i="29"/>
  <c r="B19" i="29"/>
  <c r="H18" i="29"/>
  <c r="G18" i="29"/>
  <c r="F18" i="29"/>
  <c r="E18" i="29"/>
  <c r="D18" i="29"/>
  <c r="C18" i="29"/>
  <c r="B18" i="29"/>
  <c r="H17" i="29"/>
  <c r="G17" i="29"/>
  <c r="F17" i="29"/>
  <c r="E17" i="29"/>
  <c r="D17" i="29"/>
  <c r="C17" i="29"/>
  <c r="B17" i="29"/>
  <c r="H16" i="29"/>
  <c r="G16" i="29"/>
  <c r="F16" i="29"/>
  <c r="E16" i="29"/>
  <c r="D16" i="29"/>
  <c r="C16" i="29"/>
  <c r="B16" i="29"/>
  <c r="H15" i="29"/>
  <c r="G15" i="29"/>
  <c r="F15" i="29"/>
  <c r="E15" i="29"/>
  <c r="D15" i="29"/>
  <c r="C15" i="29"/>
  <c r="B15" i="29"/>
  <c r="H14" i="29"/>
  <c r="G14" i="29"/>
  <c r="F14" i="29"/>
  <c r="E14" i="29"/>
  <c r="D14" i="29"/>
  <c r="C14" i="29"/>
  <c r="B14" i="29"/>
  <c r="H13" i="29"/>
  <c r="G13" i="29"/>
  <c r="F13" i="29"/>
  <c r="E13" i="29"/>
  <c r="D13" i="29"/>
  <c r="C13" i="29"/>
  <c r="B13" i="29"/>
  <c r="H12" i="29"/>
  <c r="G12" i="29"/>
  <c r="F12" i="29"/>
  <c r="E12" i="29"/>
  <c r="D12" i="29"/>
  <c r="C12" i="29"/>
  <c r="H11" i="29"/>
  <c r="G11" i="29"/>
  <c r="F11" i="29"/>
  <c r="E11" i="29"/>
  <c r="D11" i="29"/>
  <c r="C11" i="29"/>
  <c r="B11" i="29"/>
  <c r="H10" i="29"/>
  <c r="G10" i="29"/>
  <c r="F10" i="29"/>
  <c r="E10" i="29"/>
  <c r="D10" i="29"/>
  <c r="C10" i="29"/>
  <c r="B10" i="29"/>
  <c r="H9" i="29"/>
  <c r="G9" i="29"/>
  <c r="F9" i="29"/>
  <c r="E9" i="29"/>
  <c r="D9" i="29"/>
  <c r="C9" i="29"/>
  <c r="H8" i="29"/>
  <c r="G8" i="29"/>
  <c r="F8" i="29"/>
  <c r="E8" i="29"/>
  <c r="D8" i="29"/>
  <c r="C8" i="29"/>
  <c r="B8" i="29"/>
  <c r="H7" i="29"/>
  <c r="G7" i="29"/>
  <c r="F7" i="29"/>
  <c r="E7" i="29"/>
  <c r="D7" i="29"/>
  <c r="C7" i="29"/>
  <c r="B7" i="29"/>
  <c r="G6" i="29"/>
  <c r="F6" i="29"/>
  <c r="E6" i="29"/>
  <c r="D6" i="29"/>
  <c r="C6" i="29"/>
  <c r="H5" i="29"/>
  <c r="G5" i="29"/>
  <c r="G101" i="29" s="1"/>
  <c r="F5" i="29"/>
  <c r="E5" i="29"/>
  <c r="D5" i="29"/>
  <c r="C5" i="29"/>
  <c r="B5" i="29"/>
  <c r="H4" i="29"/>
  <c r="G4" i="29"/>
  <c r="G100" i="29" s="1"/>
  <c r="F4" i="29"/>
  <c r="E4" i="29"/>
  <c r="D4" i="29"/>
  <c r="C4" i="29"/>
  <c r="G258" i="28"/>
  <c r="G257" i="28"/>
  <c r="G256" i="28"/>
  <c r="G250" i="28"/>
  <c r="G247" i="28"/>
  <c r="F247" i="28"/>
  <c r="E247" i="28"/>
  <c r="D247" i="28"/>
  <c r="C247" i="28"/>
  <c r="B247" i="28"/>
  <c r="G246" i="28"/>
  <c r="F246" i="28"/>
  <c r="E246" i="28"/>
  <c r="D246" i="28"/>
  <c r="C246" i="28"/>
  <c r="B246" i="28"/>
  <c r="G245" i="28"/>
  <c r="F245" i="28"/>
  <c r="E245" i="28"/>
  <c r="D245" i="28"/>
  <c r="C245" i="28"/>
  <c r="B245" i="28"/>
  <c r="F241" i="28"/>
  <c r="E241" i="28"/>
  <c r="D241" i="28"/>
  <c r="C241" i="28"/>
  <c r="B241" i="28"/>
  <c r="F240" i="28"/>
  <c r="E240" i="28"/>
  <c r="D240" i="28"/>
  <c r="C240" i="28"/>
  <c r="B240" i="28"/>
  <c r="F239" i="28"/>
  <c r="E239" i="28"/>
  <c r="D239" i="28"/>
  <c r="C239" i="28"/>
  <c r="B239" i="28"/>
  <c r="B205" i="28"/>
  <c r="B204" i="28"/>
  <c r="B203" i="28"/>
  <c r="H199" i="28"/>
  <c r="G199" i="28"/>
  <c r="F199" i="28"/>
  <c r="E199" i="28"/>
  <c r="D199" i="28"/>
  <c r="C199" i="28"/>
  <c r="B199" i="28"/>
  <c r="H198" i="28"/>
  <c r="G198" i="28"/>
  <c r="F198" i="28"/>
  <c r="E198" i="28"/>
  <c r="D198" i="28"/>
  <c r="C198" i="28"/>
  <c r="H197" i="28"/>
  <c r="G197" i="28"/>
  <c r="F197" i="28"/>
  <c r="E197" i="28"/>
  <c r="D197" i="28"/>
  <c r="C197" i="28"/>
  <c r="G127" i="28"/>
  <c r="G267" i="28" s="1"/>
  <c r="G124" i="28"/>
  <c r="G264" i="28" s="1"/>
  <c r="F124" i="28"/>
  <c r="F264" i="28" s="1"/>
  <c r="E124" i="28"/>
  <c r="E264" i="28" s="1"/>
  <c r="D124" i="28"/>
  <c r="D264" i="28" s="1"/>
  <c r="C124" i="28"/>
  <c r="C264" i="28" s="1"/>
  <c r="B124" i="28"/>
  <c r="G123" i="28"/>
  <c r="G263" i="28" s="1"/>
  <c r="F123" i="28"/>
  <c r="F263" i="28" s="1"/>
  <c r="E123" i="28"/>
  <c r="E263" i="28" s="1"/>
  <c r="D123" i="28"/>
  <c r="D263" i="28" s="1"/>
  <c r="C123" i="28"/>
  <c r="B123" i="28"/>
  <c r="B263" i="28" s="1"/>
  <c r="G122" i="28"/>
  <c r="G262" i="28" s="1"/>
  <c r="F122" i="28"/>
  <c r="E122" i="28"/>
  <c r="E262" i="28" s="1"/>
  <c r="D122" i="28"/>
  <c r="D262" i="28" s="1"/>
  <c r="C122" i="28"/>
  <c r="C262" i="28" s="1"/>
  <c r="B122" i="28"/>
  <c r="G121" i="28"/>
  <c r="F121" i="28"/>
  <c r="E121" i="28"/>
  <c r="D121" i="28"/>
  <c r="C121" i="28"/>
  <c r="B121" i="28"/>
  <c r="G120" i="28"/>
  <c r="G261" i="28" s="1"/>
  <c r="F120" i="28"/>
  <c r="F261" i="28" s="1"/>
  <c r="E120" i="28"/>
  <c r="E261" i="28" s="1"/>
  <c r="D120" i="28"/>
  <c r="D261" i="28" s="1"/>
  <c r="C120" i="28"/>
  <c r="B120" i="28"/>
  <c r="G119" i="28"/>
  <c r="F119" i="28"/>
  <c r="E119" i="28"/>
  <c r="D119" i="28"/>
  <c r="C119" i="28"/>
  <c r="B119" i="28"/>
  <c r="G118" i="28"/>
  <c r="F118" i="28"/>
  <c r="E118" i="28"/>
  <c r="D118" i="28"/>
  <c r="C118" i="28"/>
  <c r="B118" i="28"/>
  <c r="G117" i="28"/>
  <c r="G260" i="28" s="1"/>
  <c r="F117" i="28"/>
  <c r="F260" i="28" s="1"/>
  <c r="E117" i="28"/>
  <c r="D117" i="28"/>
  <c r="C117" i="28"/>
  <c r="B117" i="28"/>
  <c r="G116" i="28"/>
  <c r="F116" i="28"/>
  <c r="E116" i="28"/>
  <c r="D116" i="28"/>
  <c r="C116" i="28"/>
  <c r="B116" i="28"/>
  <c r="G115" i="28"/>
  <c r="G259" i="28" s="1"/>
  <c r="F115" i="28"/>
  <c r="E115" i="28"/>
  <c r="E259" i="28" s="1"/>
  <c r="D115" i="28"/>
  <c r="C115" i="28"/>
  <c r="C259" i="28" s="1"/>
  <c r="B115" i="28"/>
  <c r="B259" i="28" s="1"/>
  <c r="G114" i="28"/>
  <c r="F114" i="28"/>
  <c r="E114" i="28"/>
  <c r="D114" i="28"/>
  <c r="C114" i="28"/>
  <c r="B114" i="28"/>
  <c r="G113" i="28"/>
  <c r="F113" i="28"/>
  <c r="E113" i="28"/>
  <c r="D113" i="28"/>
  <c r="C113" i="28"/>
  <c r="B113" i="28"/>
  <c r="G112" i="28"/>
  <c r="F112" i="28"/>
  <c r="E112" i="28"/>
  <c r="D112" i="28"/>
  <c r="C112" i="28"/>
  <c r="B112" i="28"/>
  <c r="G111" i="28"/>
  <c r="F111" i="28"/>
  <c r="E111" i="28"/>
  <c r="D111" i="28"/>
  <c r="C111" i="28"/>
  <c r="B111" i="28"/>
  <c r="G110" i="28"/>
  <c r="F110" i="28"/>
  <c r="E110" i="28"/>
  <c r="D110" i="28"/>
  <c r="C110" i="28"/>
  <c r="B110" i="28"/>
  <c r="G109" i="28"/>
  <c r="F109" i="28"/>
  <c r="E109" i="28"/>
  <c r="D109" i="28"/>
  <c r="C109" i="28"/>
  <c r="B109" i="28"/>
  <c r="G108" i="28"/>
  <c r="F108" i="28"/>
  <c r="E108" i="28"/>
  <c r="D108" i="28"/>
  <c r="C108" i="28"/>
  <c r="B108" i="28"/>
  <c r="G107" i="28"/>
  <c r="F107" i="28"/>
  <c r="E107" i="28"/>
  <c r="D107" i="28"/>
  <c r="C107" i="28"/>
  <c r="B107" i="28"/>
  <c r="G106" i="28"/>
  <c r="F106" i="28"/>
  <c r="E106" i="28"/>
  <c r="D106" i="28"/>
  <c r="C106" i="28"/>
  <c r="B106" i="28"/>
  <c r="G105" i="28"/>
  <c r="F105" i="28"/>
  <c r="E105" i="28"/>
  <c r="D105" i="28"/>
  <c r="C105" i="28"/>
  <c r="P102" i="28"/>
  <c r="I102" i="28"/>
  <c r="F250" i="28"/>
  <c r="E250" i="28"/>
  <c r="D250" i="28"/>
  <c r="C250" i="28"/>
  <c r="P99" i="28"/>
  <c r="I99" i="28"/>
  <c r="H99" i="28"/>
  <c r="H124" i="28" s="1"/>
  <c r="H264" i="28" s="1"/>
  <c r="P98" i="28"/>
  <c r="I98" i="28"/>
  <c r="H98" i="28"/>
  <c r="H123" i="28" s="1"/>
  <c r="P97" i="28"/>
  <c r="I97" i="28"/>
  <c r="H97" i="28"/>
  <c r="H245" i="28" s="1"/>
  <c r="P96" i="28"/>
  <c r="I96" i="28"/>
  <c r="H96" i="28"/>
  <c r="P95" i="28"/>
  <c r="I95" i="28"/>
  <c r="H95" i="28"/>
  <c r="P94" i="28"/>
  <c r="I94" i="28"/>
  <c r="H94" i="28"/>
  <c r="P93" i="28"/>
  <c r="I93" i="28"/>
  <c r="H93" i="28"/>
  <c r="P92" i="28"/>
  <c r="I92" i="28"/>
  <c r="H92" i="28"/>
  <c r="P91" i="28"/>
  <c r="I91" i="28"/>
  <c r="H91" i="28"/>
  <c r="H116" i="28" s="1"/>
  <c r="P90" i="28"/>
  <c r="I90" i="28"/>
  <c r="H90" i="28"/>
  <c r="P89" i="28"/>
  <c r="I89" i="28"/>
  <c r="H89" i="28"/>
  <c r="H114" i="28" s="1"/>
  <c r="P88" i="28"/>
  <c r="I88" i="28"/>
  <c r="H88" i="28"/>
  <c r="P87" i="28"/>
  <c r="I87" i="28"/>
  <c r="H87" i="28"/>
  <c r="H112" i="28" s="1"/>
  <c r="P86" i="28"/>
  <c r="I86" i="28"/>
  <c r="H86" i="28"/>
  <c r="H111" i="28" s="1"/>
  <c r="P85" i="28"/>
  <c r="I85" i="28"/>
  <c r="H85" i="28"/>
  <c r="H110" i="28" s="1"/>
  <c r="P84" i="28"/>
  <c r="I84" i="28"/>
  <c r="H84" i="28"/>
  <c r="H109" i="28" s="1"/>
  <c r="P83" i="28"/>
  <c r="I83" i="28"/>
  <c r="H83" i="28"/>
  <c r="H108" i="28" s="1"/>
  <c r="P82" i="28"/>
  <c r="I82" i="28"/>
  <c r="H82" i="28"/>
  <c r="P81" i="28"/>
  <c r="I81" i="28"/>
  <c r="H81" i="28"/>
  <c r="H106" i="28" s="1"/>
  <c r="P80" i="28"/>
  <c r="I80" i="28"/>
  <c r="H80" i="28"/>
  <c r="H105" i="28" s="1"/>
  <c r="F222" i="28"/>
  <c r="E222" i="28"/>
  <c r="D222" i="28"/>
  <c r="C222" i="28"/>
  <c r="B222" i="28"/>
  <c r="G49" i="28"/>
  <c r="G219" i="28" s="1"/>
  <c r="F49" i="28"/>
  <c r="F219" i="28" s="1"/>
  <c r="E49" i="28"/>
  <c r="D49" i="28"/>
  <c r="D74" i="28" s="1"/>
  <c r="D233" i="28" s="1"/>
  <c r="C49" i="28"/>
  <c r="C219" i="28" s="1"/>
  <c r="B49" i="28"/>
  <c r="B219" i="28" s="1"/>
  <c r="G48" i="28"/>
  <c r="G218" i="28" s="1"/>
  <c r="F48" i="28"/>
  <c r="F218" i="28" s="1"/>
  <c r="E48" i="28"/>
  <c r="E73" i="28" s="1"/>
  <c r="E232" i="28" s="1"/>
  <c r="D48" i="28"/>
  <c r="C48" i="28"/>
  <c r="C218" i="28" s="1"/>
  <c r="B48" i="28"/>
  <c r="B218" i="28" s="1"/>
  <c r="G47" i="28"/>
  <c r="F47" i="28"/>
  <c r="F72" i="28" s="1"/>
  <c r="F231" i="28" s="1"/>
  <c r="E47" i="28"/>
  <c r="E217" i="28" s="1"/>
  <c r="D47" i="28"/>
  <c r="D217" i="28" s="1"/>
  <c r="C47" i="28"/>
  <c r="B47" i="28"/>
  <c r="B217" i="28" s="1"/>
  <c r="G46" i="28"/>
  <c r="F46" i="28"/>
  <c r="E46" i="28"/>
  <c r="E71" i="28" s="1"/>
  <c r="D46" i="28"/>
  <c r="C46" i="28"/>
  <c r="C71" i="28" s="1"/>
  <c r="B46" i="28"/>
  <c r="G45" i="28"/>
  <c r="G216" i="28" s="1"/>
  <c r="F45" i="28"/>
  <c r="E45" i="28"/>
  <c r="E216" i="28" s="1"/>
  <c r="D45" i="28"/>
  <c r="C45" i="28"/>
  <c r="B45" i="28"/>
  <c r="B216" i="28" s="1"/>
  <c r="G44" i="28"/>
  <c r="F44" i="28"/>
  <c r="F69" i="28" s="1"/>
  <c r="E44" i="28"/>
  <c r="D44" i="28"/>
  <c r="C44" i="28"/>
  <c r="B44" i="28"/>
  <c r="B69" i="28" s="1"/>
  <c r="G43" i="28"/>
  <c r="F43" i="28"/>
  <c r="E43" i="28"/>
  <c r="D43" i="28"/>
  <c r="C43" i="28"/>
  <c r="B43" i="28"/>
  <c r="G42" i="28"/>
  <c r="F42" i="28"/>
  <c r="E42" i="28"/>
  <c r="D42" i="28"/>
  <c r="C42" i="28"/>
  <c r="B42" i="28"/>
  <c r="G41" i="28"/>
  <c r="G66" i="28" s="1"/>
  <c r="F41" i="28"/>
  <c r="F66" i="28" s="1"/>
  <c r="E41" i="28"/>
  <c r="E66" i="28" s="1"/>
  <c r="D41" i="28"/>
  <c r="D66" i="28" s="1"/>
  <c r="C41" i="28"/>
  <c r="C66" i="28" s="1"/>
  <c r="B41" i="28"/>
  <c r="B66" i="28" s="1"/>
  <c r="G40" i="28"/>
  <c r="F40" i="28"/>
  <c r="E40" i="28"/>
  <c r="E214" i="28" s="1"/>
  <c r="D40" i="28"/>
  <c r="C40" i="28"/>
  <c r="B40" i="28"/>
  <c r="G39" i="28"/>
  <c r="G64" i="28" s="1"/>
  <c r="F39" i="28"/>
  <c r="F64" i="28" s="1"/>
  <c r="E39" i="28"/>
  <c r="E64" i="28" s="1"/>
  <c r="D39" i="28"/>
  <c r="D64" i="28" s="1"/>
  <c r="C39" i="28"/>
  <c r="C64" i="28" s="1"/>
  <c r="B39" i="28"/>
  <c r="B64" i="28" s="1"/>
  <c r="G38" i="28"/>
  <c r="F38" i="28"/>
  <c r="F63" i="28" s="1"/>
  <c r="E38" i="28"/>
  <c r="E63" i="28" s="1"/>
  <c r="D38" i="28"/>
  <c r="D63" i="28" s="1"/>
  <c r="C38" i="28"/>
  <c r="C63" i="28" s="1"/>
  <c r="B38" i="28"/>
  <c r="B63" i="28" s="1"/>
  <c r="G37" i="28"/>
  <c r="G62" i="28" s="1"/>
  <c r="F37" i="28"/>
  <c r="E37" i="28"/>
  <c r="D37" i="28"/>
  <c r="D62" i="28" s="1"/>
  <c r="C37" i="28"/>
  <c r="C62" i="28" s="1"/>
  <c r="B37" i="28"/>
  <c r="G36" i="28"/>
  <c r="G61" i="28" s="1"/>
  <c r="F36" i="28"/>
  <c r="F61" i="28" s="1"/>
  <c r="E36" i="28"/>
  <c r="E61" i="28" s="1"/>
  <c r="D36" i="28"/>
  <c r="D61" i="28" s="1"/>
  <c r="C36" i="28"/>
  <c r="C61" i="28" s="1"/>
  <c r="B36" i="28"/>
  <c r="G35" i="28"/>
  <c r="F35" i="28"/>
  <c r="E35" i="28"/>
  <c r="D35" i="28"/>
  <c r="C35" i="28"/>
  <c r="C60" i="28" s="1"/>
  <c r="B35" i="28"/>
  <c r="B60" i="28" s="1"/>
  <c r="G34" i="28"/>
  <c r="G59" i="28" s="1"/>
  <c r="F34" i="28"/>
  <c r="F59" i="28" s="1"/>
  <c r="E34" i="28"/>
  <c r="E59" i="28" s="1"/>
  <c r="D34" i="28"/>
  <c r="D59" i="28" s="1"/>
  <c r="C34" i="28"/>
  <c r="C59" i="28" s="1"/>
  <c r="B34" i="28"/>
  <c r="B59" i="28" s="1"/>
  <c r="G33" i="28"/>
  <c r="G58" i="28" s="1"/>
  <c r="F33" i="28"/>
  <c r="F58" i="28" s="1"/>
  <c r="E33" i="28"/>
  <c r="E58" i="28" s="1"/>
  <c r="D33" i="28"/>
  <c r="D58" i="28" s="1"/>
  <c r="C33" i="28"/>
  <c r="C58" i="28" s="1"/>
  <c r="B33" i="28"/>
  <c r="B58" i="28" s="1"/>
  <c r="G32" i="28"/>
  <c r="G57" i="28" s="1"/>
  <c r="F32" i="28"/>
  <c r="E32" i="28"/>
  <c r="D32" i="28"/>
  <c r="C32" i="28"/>
  <c r="C57" i="28" s="1"/>
  <c r="B32" i="28"/>
  <c r="B57" i="28" s="1"/>
  <c r="G31" i="28"/>
  <c r="G56" i="28" s="1"/>
  <c r="F31" i="28"/>
  <c r="F56" i="28" s="1"/>
  <c r="E31" i="28"/>
  <c r="E56" i="28" s="1"/>
  <c r="D31" i="28"/>
  <c r="D56" i="28" s="1"/>
  <c r="C31" i="28"/>
  <c r="C56" i="28" s="1"/>
  <c r="B31" i="28"/>
  <c r="B56" i="28" s="1"/>
  <c r="G30" i="28"/>
  <c r="G55" i="28" s="1"/>
  <c r="F30" i="28"/>
  <c r="F55" i="28" s="1"/>
  <c r="E30" i="28"/>
  <c r="E55" i="28" s="1"/>
  <c r="D30" i="28"/>
  <c r="D55" i="28" s="1"/>
  <c r="C30" i="28"/>
  <c r="C55" i="28" s="1"/>
  <c r="B30" i="28"/>
  <c r="B55" i="28" s="1"/>
  <c r="F27" i="28"/>
  <c r="F208" i="28" s="1"/>
  <c r="E27" i="28"/>
  <c r="E208" i="28" s="1"/>
  <c r="D27" i="28"/>
  <c r="D208" i="28" s="1"/>
  <c r="C27" i="28"/>
  <c r="C208" i="28" s="1"/>
  <c r="B27" i="28"/>
  <c r="B77" i="28" s="1"/>
  <c r="B236" i="28" s="1"/>
  <c r="A495" i="27"/>
  <c r="A494" i="27"/>
  <c r="A493" i="27"/>
  <c r="J429" i="27"/>
  <c r="J425" i="27"/>
  <c r="J424" i="27"/>
  <c r="J423" i="27"/>
  <c r="J422" i="27"/>
  <c r="J421" i="27"/>
  <c r="J420" i="27"/>
  <c r="J419" i="27"/>
  <c r="J417" i="27"/>
  <c r="P415" i="27"/>
  <c r="P414" i="27"/>
  <c r="P413" i="27"/>
  <c r="O369" i="27"/>
  <c r="K369" i="27"/>
  <c r="J369" i="27"/>
  <c r="G369" i="27"/>
  <c r="O365" i="27"/>
  <c r="K365" i="27"/>
  <c r="J365" i="27"/>
  <c r="G365" i="27"/>
  <c r="O364" i="27"/>
  <c r="K364" i="27"/>
  <c r="J364" i="27"/>
  <c r="G364" i="27"/>
  <c r="O363" i="27"/>
  <c r="K363" i="27"/>
  <c r="J363" i="27"/>
  <c r="G363" i="27"/>
  <c r="O362" i="27"/>
  <c r="K362" i="27"/>
  <c r="J362" i="27"/>
  <c r="G362" i="27"/>
  <c r="O361" i="27"/>
  <c r="K361" i="27"/>
  <c r="J361" i="27"/>
  <c r="G361" i="27"/>
  <c r="O360" i="27"/>
  <c r="K360" i="27"/>
  <c r="J360" i="27"/>
  <c r="G360" i="27"/>
  <c r="O359" i="27"/>
  <c r="K359" i="27"/>
  <c r="J359" i="27"/>
  <c r="G359" i="27"/>
  <c r="O357" i="27"/>
  <c r="K357" i="27"/>
  <c r="J357" i="27"/>
  <c r="G357" i="27"/>
  <c r="J242" i="27"/>
  <c r="J451" i="27" s="1"/>
  <c r="J238" i="27"/>
  <c r="J447" i="27" s="1"/>
  <c r="J237" i="27"/>
  <c r="J446" i="27" s="1"/>
  <c r="J236" i="27"/>
  <c r="J445" i="27" s="1"/>
  <c r="J235" i="27"/>
  <c r="J444" i="27" s="1"/>
  <c r="J234" i="27"/>
  <c r="J443" i="27" s="1"/>
  <c r="J233" i="27"/>
  <c r="J442" i="27" s="1"/>
  <c r="J232" i="27"/>
  <c r="J441" i="27" s="1"/>
  <c r="J231" i="27"/>
  <c r="J230" i="27"/>
  <c r="J229" i="27"/>
  <c r="J228" i="27"/>
  <c r="J227" i="27"/>
  <c r="J440" i="27" s="1"/>
  <c r="J226" i="27"/>
  <c r="J225" i="27"/>
  <c r="J224" i="27"/>
  <c r="J223" i="27"/>
  <c r="J222" i="27"/>
  <c r="J439" i="27" s="1"/>
  <c r="J221" i="27"/>
  <c r="J220" i="27"/>
  <c r="J219" i="27"/>
  <c r="J218" i="27"/>
  <c r="J217" i="27"/>
  <c r="J216" i="27"/>
  <c r="J215" i="27"/>
  <c r="J214" i="27"/>
  <c r="J213" i="27"/>
  <c r="J212" i="27"/>
  <c r="J211" i="27"/>
  <c r="J210" i="27"/>
  <c r="J209" i="27"/>
  <c r="J208" i="27"/>
  <c r="J207" i="27"/>
  <c r="J206" i="27"/>
  <c r="J205" i="27"/>
  <c r="J204" i="27"/>
  <c r="J203" i="27"/>
  <c r="J202" i="27"/>
  <c r="J201" i="27"/>
  <c r="J200" i="27"/>
  <c r="J199" i="27"/>
  <c r="J198" i="27"/>
  <c r="J197" i="27"/>
  <c r="O194" i="27"/>
  <c r="N194" i="27"/>
  <c r="M194" i="27"/>
  <c r="M429" i="27" s="1"/>
  <c r="L194" i="27"/>
  <c r="L429" i="27" s="1"/>
  <c r="K194" i="27"/>
  <c r="G194" i="27"/>
  <c r="G429" i="27" s="1"/>
  <c r="F194" i="27"/>
  <c r="E194" i="27"/>
  <c r="E429" i="27" s="1"/>
  <c r="D194" i="27"/>
  <c r="C194" i="27"/>
  <c r="C429" i="27" s="1"/>
  <c r="B194" i="27"/>
  <c r="O190" i="27"/>
  <c r="O425" i="27" s="1"/>
  <c r="N190" i="27"/>
  <c r="M190" i="27"/>
  <c r="L190" i="27"/>
  <c r="L425" i="27" s="1"/>
  <c r="K190" i="27"/>
  <c r="G190" i="27"/>
  <c r="G425" i="27" s="1"/>
  <c r="F190" i="27"/>
  <c r="F425" i="27" s="1"/>
  <c r="E190" i="27"/>
  <c r="E425" i="27" s="1"/>
  <c r="D190" i="27"/>
  <c r="C190" i="27"/>
  <c r="C425" i="27" s="1"/>
  <c r="B190" i="27"/>
  <c r="B425" i="27" s="1"/>
  <c r="P189" i="27"/>
  <c r="P424" i="27" s="1"/>
  <c r="O189" i="27"/>
  <c r="N189" i="27"/>
  <c r="N424" i="27" s="1"/>
  <c r="M189" i="27"/>
  <c r="M424" i="27" s="1"/>
  <c r="L189" i="27"/>
  <c r="L424" i="27" s="1"/>
  <c r="K189" i="27"/>
  <c r="G189" i="27"/>
  <c r="G424" i="27" s="1"/>
  <c r="F189" i="27"/>
  <c r="F424" i="27" s="1"/>
  <c r="E189" i="27"/>
  <c r="D189" i="27"/>
  <c r="D424" i="27" s="1"/>
  <c r="C189" i="27"/>
  <c r="C424" i="27" s="1"/>
  <c r="B189" i="27"/>
  <c r="B424" i="27" s="1"/>
  <c r="O188" i="27"/>
  <c r="O423" i="27" s="1"/>
  <c r="N188" i="27"/>
  <c r="N423" i="27" s="1"/>
  <c r="M188" i="27"/>
  <c r="M423" i="27" s="1"/>
  <c r="L188" i="27"/>
  <c r="L423" i="27" s="1"/>
  <c r="K188" i="27"/>
  <c r="G188" i="27"/>
  <c r="G236" i="27" s="1"/>
  <c r="G445" i="27" s="1"/>
  <c r="F188" i="27"/>
  <c r="F423" i="27" s="1"/>
  <c r="E188" i="27"/>
  <c r="D188" i="27"/>
  <c r="D423" i="27" s="1"/>
  <c r="C188" i="27"/>
  <c r="C423" i="27" s="1"/>
  <c r="B188" i="27"/>
  <c r="B423" i="27" s="1"/>
  <c r="O187" i="27"/>
  <c r="N187" i="27"/>
  <c r="N422" i="27" s="1"/>
  <c r="M187" i="27"/>
  <c r="M422" i="27" s="1"/>
  <c r="L187" i="27"/>
  <c r="L422" i="27" s="1"/>
  <c r="K187" i="27"/>
  <c r="G187" i="27"/>
  <c r="G422" i="27" s="1"/>
  <c r="F187" i="27"/>
  <c r="F422" i="27" s="1"/>
  <c r="E187" i="27"/>
  <c r="D187" i="27"/>
  <c r="D422" i="27" s="1"/>
  <c r="C187" i="27"/>
  <c r="C422" i="27" s="1"/>
  <c r="B187" i="27"/>
  <c r="B422" i="27" s="1"/>
  <c r="O186" i="27"/>
  <c r="O421" i="27" s="1"/>
  <c r="N186" i="27"/>
  <c r="N421" i="27" s="1"/>
  <c r="M186" i="27"/>
  <c r="M421" i="27" s="1"/>
  <c r="L186" i="27"/>
  <c r="L421" i="27" s="1"/>
  <c r="K186" i="27"/>
  <c r="G186" i="27"/>
  <c r="G421" i="27" s="1"/>
  <c r="F186" i="27"/>
  <c r="F421" i="27" s="1"/>
  <c r="E186" i="27"/>
  <c r="D186" i="27"/>
  <c r="D421" i="27" s="1"/>
  <c r="C186" i="27"/>
  <c r="C421" i="27" s="1"/>
  <c r="B186" i="27"/>
  <c r="B421" i="27" s="1"/>
  <c r="O185" i="27"/>
  <c r="N185" i="27"/>
  <c r="N420" i="27" s="1"/>
  <c r="M185" i="27"/>
  <c r="M420" i="27" s="1"/>
  <c r="L185" i="27"/>
  <c r="L420" i="27" s="1"/>
  <c r="K185" i="27"/>
  <c r="G185" i="27"/>
  <c r="G420" i="27" s="1"/>
  <c r="F185" i="27"/>
  <c r="F420" i="27" s="1"/>
  <c r="E185" i="27"/>
  <c r="D185" i="27"/>
  <c r="D420" i="27" s="1"/>
  <c r="C185" i="27"/>
  <c r="C420" i="27" s="1"/>
  <c r="B185" i="27"/>
  <c r="B420" i="27" s="1"/>
  <c r="O184" i="27"/>
  <c r="O419" i="27" s="1"/>
  <c r="N184" i="27"/>
  <c r="N419" i="27" s="1"/>
  <c r="M184" i="27"/>
  <c r="M419" i="27" s="1"/>
  <c r="L184" i="27"/>
  <c r="K184" i="27"/>
  <c r="G184" i="27"/>
  <c r="G419" i="27" s="1"/>
  <c r="F184" i="27"/>
  <c r="E184" i="27"/>
  <c r="D184" i="27"/>
  <c r="D419" i="27" s="1"/>
  <c r="C184" i="27"/>
  <c r="C419" i="27" s="1"/>
  <c r="B184" i="27"/>
  <c r="B419" i="27" s="1"/>
  <c r="O183" i="27"/>
  <c r="M183" i="27"/>
  <c r="L183" i="27"/>
  <c r="K183" i="27"/>
  <c r="G183" i="27"/>
  <c r="F183" i="27"/>
  <c r="O182" i="27"/>
  <c r="N182" i="27"/>
  <c r="M182" i="27"/>
  <c r="L182" i="27"/>
  <c r="K182" i="27"/>
  <c r="G182" i="27"/>
  <c r="E182" i="27"/>
  <c r="D182" i="27"/>
  <c r="C182" i="27"/>
  <c r="B182" i="27"/>
  <c r="O181" i="27"/>
  <c r="N181" i="27"/>
  <c r="M181" i="27"/>
  <c r="L181" i="27"/>
  <c r="K181" i="27"/>
  <c r="G181" i="27"/>
  <c r="F181" i="27"/>
  <c r="E181" i="27"/>
  <c r="D181" i="27"/>
  <c r="C181" i="27"/>
  <c r="B181" i="27"/>
  <c r="O180" i="27"/>
  <c r="N180" i="27"/>
  <c r="M180" i="27"/>
  <c r="L180" i="27"/>
  <c r="K180" i="27"/>
  <c r="G180" i="27"/>
  <c r="G228" i="27" s="1"/>
  <c r="F180" i="27"/>
  <c r="E180" i="27"/>
  <c r="D180" i="27"/>
  <c r="C180" i="27"/>
  <c r="B180" i="27"/>
  <c r="O179" i="27"/>
  <c r="O418" i="27" s="1"/>
  <c r="N179" i="27"/>
  <c r="M179" i="27"/>
  <c r="L179" i="27"/>
  <c r="K179" i="27"/>
  <c r="K418" i="27" s="1"/>
  <c r="G179" i="27"/>
  <c r="G418" i="27" s="1"/>
  <c r="F179" i="27"/>
  <c r="E179" i="27"/>
  <c r="D179" i="27"/>
  <c r="C179" i="27"/>
  <c r="B179" i="27"/>
  <c r="O178" i="27"/>
  <c r="O226" i="27" s="1"/>
  <c r="N178" i="27"/>
  <c r="M178" i="27"/>
  <c r="L178" i="27"/>
  <c r="K178" i="27"/>
  <c r="G178" i="27"/>
  <c r="G226" i="27" s="1"/>
  <c r="F178" i="27"/>
  <c r="E178" i="27"/>
  <c r="D178" i="27"/>
  <c r="C178" i="27"/>
  <c r="O177" i="27"/>
  <c r="O225" i="27" s="1"/>
  <c r="N177" i="27"/>
  <c r="M177" i="27"/>
  <c r="L177" i="27"/>
  <c r="K177" i="27"/>
  <c r="G177" i="27"/>
  <c r="G225" i="27" s="1"/>
  <c r="F177" i="27"/>
  <c r="E177" i="27"/>
  <c r="D177" i="27"/>
  <c r="C177" i="27"/>
  <c r="B177" i="27"/>
  <c r="O176" i="27"/>
  <c r="O224" i="27" s="1"/>
  <c r="N176" i="27"/>
  <c r="M176" i="27"/>
  <c r="L176" i="27"/>
  <c r="K176" i="27"/>
  <c r="G176" i="27"/>
  <c r="G224" i="27" s="1"/>
  <c r="F176" i="27"/>
  <c r="E176" i="27"/>
  <c r="D176" i="27"/>
  <c r="C176" i="27"/>
  <c r="B176" i="27"/>
  <c r="O175" i="27"/>
  <c r="O223" i="27" s="1"/>
  <c r="N175" i="27"/>
  <c r="M175" i="27"/>
  <c r="L175" i="27"/>
  <c r="K175" i="27"/>
  <c r="G175" i="27"/>
  <c r="G223" i="27" s="1"/>
  <c r="F175" i="27"/>
  <c r="E175" i="27"/>
  <c r="D175" i="27"/>
  <c r="C175" i="27"/>
  <c r="B175" i="27"/>
  <c r="O174" i="27"/>
  <c r="O417" i="27" s="1"/>
  <c r="N174" i="27"/>
  <c r="M174" i="27"/>
  <c r="L174" i="27"/>
  <c r="K174" i="27"/>
  <c r="G174" i="27"/>
  <c r="G222" i="27" s="1"/>
  <c r="G439" i="27" s="1"/>
  <c r="F174" i="27"/>
  <c r="E174" i="27"/>
  <c r="D174" i="27"/>
  <c r="C174" i="27"/>
  <c r="B174" i="27"/>
  <c r="O173" i="27"/>
  <c r="O221" i="27" s="1"/>
  <c r="N173" i="27"/>
  <c r="M173" i="27"/>
  <c r="L173" i="27"/>
  <c r="K173" i="27"/>
  <c r="G173" i="27"/>
  <c r="G221" i="27" s="1"/>
  <c r="F173" i="27"/>
  <c r="E173" i="27"/>
  <c r="D173" i="27"/>
  <c r="C173" i="27"/>
  <c r="B173" i="27"/>
  <c r="O172" i="27"/>
  <c r="O220" i="27" s="1"/>
  <c r="N172" i="27"/>
  <c r="M172" i="27"/>
  <c r="L172" i="27"/>
  <c r="K172" i="27"/>
  <c r="G172" i="27"/>
  <c r="G220" i="27" s="1"/>
  <c r="F172" i="27"/>
  <c r="E172" i="27"/>
  <c r="D172" i="27"/>
  <c r="C172" i="27"/>
  <c r="B172" i="27"/>
  <c r="O171" i="27"/>
  <c r="O219" i="27" s="1"/>
  <c r="N171" i="27"/>
  <c r="M171" i="27"/>
  <c r="L171" i="27"/>
  <c r="K171" i="27"/>
  <c r="K219" i="27" s="1"/>
  <c r="G171" i="27"/>
  <c r="G219" i="27" s="1"/>
  <c r="F171" i="27"/>
  <c r="E171" i="27"/>
  <c r="D171" i="27"/>
  <c r="C171" i="27"/>
  <c r="B171" i="27"/>
  <c r="O170" i="27"/>
  <c r="O218" i="27" s="1"/>
  <c r="N170" i="27"/>
  <c r="M170" i="27"/>
  <c r="L170" i="27"/>
  <c r="K170" i="27"/>
  <c r="K218" i="27" s="1"/>
  <c r="G170" i="27"/>
  <c r="G218" i="27" s="1"/>
  <c r="F170" i="27"/>
  <c r="E170" i="27"/>
  <c r="D170" i="27"/>
  <c r="C170" i="27"/>
  <c r="B170" i="27"/>
  <c r="O169" i="27"/>
  <c r="O217" i="27" s="1"/>
  <c r="N169" i="27"/>
  <c r="M169" i="27"/>
  <c r="L169" i="27"/>
  <c r="K169" i="27"/>
  <c r="K217" i="27" s="1"/>
  <c r="G169" i="27"/>
  <c r="G217" i="27" s="1"/>
  <c r="F169" i="27"/>
  <c r="E169" i="27"/>
  <c r="D169" i="27"/>
  <c r="C169" i="27"/>
  <c r="B169" i="27"/>
  <c r="O168" i="27"/>
  <c r="O216" i="27" s="1"/>
  <c r="N168" i="27"/>
  <c r="M168" i="27"/>
  <c r="L168" i="27"/>
  <c r="K168" i="27"/>
  <c r="K216" i="27" s="1"/>
  <c r="G168" i="27"/>
  <c r="G216" i="27" s="1"/>
  <c r="F168" i="27"/>
  <c r="E168" i="27"/>
  <c r="D168" i="27"/>
  <c r="C168" i="27"/>
  <c r="B168" i="27"/>
  <c r="O167" i="27"/>
  <c r="O215" i="27" s="1"/>
  <c r="N167" i="27"/>
  <c r="M167" i="27"/>
  <c r="L167" i="27"/>
  <c r="K167" i="27"/>
  <c r="K215" i="27" s="1"/>
  <c r="G167" i="27"/>
  <c r="G215" i="27" s="1"/>
  <c r="F167" i="27"/>
  <c r="E167" i="27"/>
  <c r="D167" i="27"/>
  <c r="C167" i="27"/>
  <c r="B167" i="27"/>
  <c r="O166" i="27"/>
  <c r="O214" i="27" s="1"/>
  <c r="N166" i="27"/>
  <c r="M166" i="27"/>
  <c r="L166" i="27"/>
  <c r="K166" i="27"/>
  <c r="K214" i="27" s="1"/>
  <c r="G166" i="27"/>
  <c r="G214" i="27" s="1"/>
  <c r="F166" i="27"/>
  <c r="E166" i="27"/>
  <c r="D166" i="27"/>
  <c r="C166" i="27"/>
  <c r="B166" i="27"/>
  <c r="O165" i="27"/>
  <c r="O213" i="27" s="1"/>
  <c r="N165" i="27"/>
  <c r="M165" i="27"/>
  <c r="L165" i="27"/>
  <c r="K165" i="27"/>
  <c r="K213" i="27" s="1"/>
  <c r="G165" i="27"/>
  <c r="G213" i="27" s="1"/>
  <c r="F165" i="27"/>
  <c r="E165" i="27"/>
  <c r="D165" i="27"/>
  <c r="C165" i="27"/>
  <c r="B165" i="27"/>
  <c r="O164" i="27"/>
  <c r="O212" i="27" s="1"/>
  <c r="N164" i="27"/>
  <c r="M164" i="27"/>
  <c r="L164" i="27"/>
  <c r="K164" i="27"/>
  <c r="K212" i="27" s="1"/>
  <c r="G164" i="27"/>
  <c r="G212" i="27" s="1"/>
  <c r="F164" i="27"/>
  <c r="E164" i="27"/>
  <c r="D164" i="27"/>
  <c r="C164" i="27"/>
  <c r="B164" i="27"/>
  <c r="O163" i="27"/>
  <c r="O211" i="27" s="1"/>
  <c r="M163" i="27"/>
  <c r="L163" i="27"/>
  <c r="K163" i="27"/>
  <c r="K211" i="27" s="1"/>
  <c r="G163" i="27"/>
  <c r="G211" i="27" s="1"/>
  <c r="E163" i="27"/>
  <c r="D163" i="27"/>
  <c r="C163" i="27"/>
  <c r="O162" i="27"/>
  <c r="O210" i="27" s="1"/>
  <c r="N162" i="27"/>
  <c r="M162" i="27"/>
  <c r="L162" i="27"/>
  <c r="K162" i="27"/>
  <c r="K210" i="27" s="1"/>
  <c r="G162" i="27"/>
  <c r="G210" i="27" s="1"/>
  <c r="F162" i="27"/>
  <c r="E162" i="27"/>
  <c r="D162" i="27"/>
  <c r="C162" i="27"/>
  <c r="B162" i="27"/>
  <c r="O161" i="27"/>
  <c r="O209" i="27" s="1"/>
  <c r="N161" i="27"/>
  <c r="M161" i="27"/>
  <c r="L161" i="27"/>
  <c r="K161" i="27"/>
  <c r="K209" i="27" s="1"/>
  <c r="G161" i="27"/>
  <c r="G209" i="27" s="1"/>
  <c r="F161" i="27"/>
  <c r="E161" i="27"/>
  <c r="D161" i="27"/>
  <c r="C161" i="27"/>
  <c r="O160" i="27"/>
  <c r="O208" i="27" s="1"/>
  <c r="N160" i="27"/>
  <c r="M160" i="27"/>
  <c r="L160" i="27"/>
  <c r="K160" i="27"/>
  <c r="K208" i="27" s="1"/>
  <c r="G160" i="27"/>
  <c r="G208" i="27" s="1"/>
  <c r="F160" i="27"/>
  <c r="E160" i="27"/>
  <c r="D160" i="27"/>
  <c r="C160" i="27"/>
  <c r="O159" i="27"/>
  <c r="N159" i="27"/>
  <c r="M159" i="27"/>
  <c r="L159" i="27"/>
  <c r="K159" i="27"/>
  <c r="K207" i="27" s="1"/>
  <c r="G159" i="27"/>
  <c r="F159" i="27"/>
  <c r="E159" i="27"/>
  <c r="D159" i="27"/>
  <c r="C159" i="27"/>
  <c r="O158" i="27"/>
  <c r="O206" i="27" s="1"/>
  <c r="N158" i="27"/>
  <c r="M158" i="27"/>
  <c r="L158" i="27"/>
  <c r="K158" i="27"/>
  <c r="K206" i="27" s="1"/>
  <c r="G158" i="27"/>
  <c r="G206" i="27" s="1"/>
  <c r="F158" i="27"/>
  <c r="E158" i="27"/>
  <c r="D158" i="27"/>
  <c r="C158" i="27"/>
  <c r="O157" i="27"/>
  <c r="O205" i="27" s="1"/>
  <c r="N157" i="27"/>
  <c r="M157" i="27"/>
  <c r="L157" i="27"/>
  <c r="K157" i="27"/>
  <c r="K205" i="27" s="1"/>
  <c r="G157" i="27"/>
  <c r="G205" i="27" s="1"/>
  <c r="F157" i="27"/>
  <c r="E157" i="27"/>
  <c r="D157" i="27"/>
  <c r="C157" i="27"/>
  <c r="B157" i="27"/>
  <c r="O156" i="27"/>
  <c r="O204" i="27" s="1"/>
  <c r="N156" i="27"/>
  <c r="M156" i="27"/>
  <c r="L156" i="27"/>
  <c r="K156" i="27"/>
  <c r="K204" i="27" s="1"/>
  <c r="G156" i="27"/>
  <c r="G204" i="27" s="1"/>
  <c r="F156" i="27"/>
  <c r="E156" i="27"/>
  <c r="D156" i="27"/>
  <c r="C156" i="27"/>
  <c r="O155" i="27"/>
  <c r="O203" i="27" s="1"/>
  <c r="N155" i="27"/>
  <c r="M155" i="27"/>
  <c r="L155" i="27"/>
  <c r="K155" i="27"/>
  <c r="K203" i="27" s="1"/>
  <c r="G155" i="27"/>
  <c r="G203" i="27" s="1"/>
  <c r="F155" i="27"/>
  <c r="E155" i="27"/>
  <c r="D155" i="27"/>
  <c r="C155" i="27"/>
  <c r="O154" i="27"/>
  <c r="O202" i="27" s="1"/>
  <c r="N154" i="27"/>
  <c r="L154" i="27"/>
  <c r="K154" i="27"/>
  <c r="K202" i="27" s="1"/>
  <c r="G154" i="27"/>
  <c r="F154" i="27"/>
  <c r="E154" i="27"/>
  <c r="D154" i="27"/>
  <c r="C154" i="27"/>
  <c r="O153" i="27"/>
  <c r="O201" i="27" s="1"/>
  <c r="N153" i="27"/>
  <c r="M153" i="27"/>
  <c r="L153" i="27"/>
  <c r="K153" i="27"/>
  <c r="K201" i="27" s="1"/>
  <c r="G153" i="27"/>
  <c r="G201" i="27" s="1"/>
  <c r="F153" i="27"/>
  <c r="E153" i="27"/>
  <c r="D153" i="27"/>
  <c r="C153" i="27"/>
  <c r="O152" i="27"/>
  <c r="O200" i="27" s="1"/>
  <c r="N152" i="27"/>
  <c r="M152" i="27"/>
  <c r="L152" i="27"/>
  <c r="K152" i="27"/>
  <c r="K200" i="27" s="1"/>
  <c r="G152" i="27"/>
  <c r="G200" i="27" s="1"/>
  <c r="F152" i="27"/>
  <c r="E152" i="27"/>
  <c r="D152" i="27"/>
  <c r="C152" i="27"/>
  <c r="O151" i="27"/>
  <c r="O199" i="27" s="1"/>
  <c r="M151" i="27"/>
  <c r="L151" i="27"/>
  <c r="K151" i="27"/>
  <c r="K199" i="27" s="1"/>
  <c r="G151" i="27"/>
  <c r="G199" i="27" s="1"/>
  <c r="E151" i="27"/>
  <c r="D151" i="27"/>
  <c r="C151" i="27"/>
  <c r="B151" i="27"/>
  <c r="O150" i="27"/>
  <c r="O198" i="27" s="1"/>
  <c r="M150" i="27"/>
  <c r="L150" i="27"/>
  <c r="K150" i="27"/>
  <c r="K198" i="27" s="1"/>
  <c r="G150" i="27"/>
  <c r="G198" i="27" s="1"/>
  <c r="E150" i="27"/>
  <c r="D150" i="27"/>
  <c r="C150" i="27"/>
  <c r="O149" i="27"/>
  <c r="O197" i="27" s="1"/>
  <c r="M149" i="27"/>
  <c r="L149" i="27"/>
  <c r="K149" i="27"/>
  <c r="K197" i="27" s="1"/>
  <c r="G149" i="27"/>
  <c r="G197" i="27" s="1"/>
  <c r="E149" i="27"/>
  <c r="D149" i="27"/>
  <c r="C149" i="27"/>
  <c r="O98" i="27"/>
  <c r="N98" i="27"/>
  <c r="N388" i="27" s="1"/>
  <c r="M98" i="27"/>
  <c r="M388" i="27" s="1"/>
  <c r="L98" i="27"/>
  <c r="L388" i="27" s="1"/>
  <c r="K98" i="27"/>
  <c r="J98" i="27"/>
  <c r="J388" i="27" s="1"/>
  <c r="G98" i="27"/>
  <c r="G388" i="27" s="1"/>
  <c r="F98" i="27"/>
  <c r="E98" i="27"/>
  <c r="E388" i="27" s="1"/>
  <c r="D98" i="27"/>
  <c r="D388" i="27" s="1"/>
  <c r="C98" i="27"/>
  <c r="C388" i="27" s="1"/>
  <c r="B98" i="27"/>
  <c r="O94" i="27"/>
  <c r="O384" i="27" s="1"/>
  <c r="N94" i="27"/>
  <c r="N384" i="27" s="1"/>
  <c r="M94" i="27"/>
  <c r="L94" i="27"/>
  <c r="L384" i="27" s="1"/>
  <c r="K94" i="27"/>
  <c r="K384" i="27" s="1"/>
  <c r="J94" i="27"/>
  <c r="J384" i="27" s="1"/>
  <c r="G94" i="27"/>
  <c r="G384" i="27" s="1"/>
  <c r="F94" i="27"/>
  <c r="F384" i="27" s="1"/>
  <c r="E94" i="27"/>
  <c r="E384" i="27" s="1"/>
  <c r="D94" i="27"/>
  <c r="C94" i="27"/>
  <c r="C384" i="27" s="1"/>
  <c r="B94" i="27"/>
  <c r="B384" i="27" s="1"/>
  <c r="O93" i="27"/>
  <c r="N93" i="27"/>
  <c r="N383" i="27" s="1"/>
  <c r="M93" i="27"/>
  <c r="M383" i="27" s="1"/>
  <c r="L93" i="27"/>
  <c r="L383" i="27" s="1"/>
  <c r="K93" i="27"/>
  <c r="J93" i="27"/>
  <c r="J383" i="27" s="1"/>
  <c r="G93" i="27"/>
  <c r="G383" i="27" s="1"/>
  <c r="F93" i="27"/>
  <c r="E93" i="27"/>
  <c r="E383" i="27" s="1"/>
  <c r="D93" i="27"/>
  <c r="D383" i="27" s="1"/>
  <c r="C93" i="27"/>
  <c r="C383" i="27" s="1"/>
  <c r="B93" i="27"/>
  <c r="O92" i="27"/>
  <c r="O382" i="27" s="1"/>
  <c r="N92" i="27"/>
  <c r="N382" i="27" s="1"/>
  <c r="M92" i="27"/>
  <c r="L92" i="27"/>
  <c r="L382" i="27" s="1"/>
  <c r="K92" i="27"/>
  <c r="K382" i="27" s="1"/>
  <c r="J92" i="27"/>
  <c r="J382" i="27" s="1"/>
  <c r="G92" i="27"/>
  <c r="G382" i="27" s="1"/>
  <c r="F92" i="27"/>
  <c r="F382" i="27" s="1"/>
  <c r="E92" i="27"/>
  <c r="E382" i="27" s="1"/>
  <c r="D92" i="27"/>
  <c r="C92" i="27"/>
  <c r="C382" i="27" s="1"/>
  <c r="B92" i="27"/>
  <c r="B382" i="27" s="1"/>
  <c r="O91" i="27"/>
  <c r="N91" i="27"/>
  <c r="N381" i="27" s="1"/>
  <c r="M91" i="27"/>
  <c r="M381" i="27" s="1"/>
  <c r="L91" i="27"/>
  <c r="L381" i="27" s="1"/>
  <c r="K91" i="27"/>
  <c r="J91" i="27"/>
  <c r="J381" i="27" s="1"/>
  <c r="G91" i="27"/>
  <c r="G381" i="27" s="1"/>
  <c r="F91" i="27"/>
  <c r="E91" i="27"/>
  <c r="E381" i="27" s="1"/>
  <c r="D91" i="27"/>
  <c r="D381" i="27" s="1"/>
  <c r="C91" i="27"/>
  <c r="C381" i="27" s="1"/>
  <c r="B91" i="27"/>
  <c r="O90" i="27"/>
  <c r="O380" i="27" s="1"/>
  <c r="N90" i="27"/>
  <c r="N380" i="27" s="1"/>
  <c r="M90" i="27"/>
  <c r="L90" i="27"/>
  <c r="L380" i="27" s="1"/>
  <c r="K90" i="27"/>
  <c r="K380" i="27" s="1"/>
  <c r="J90" i="27"/>
  <c r="J380" i="27" s="1"/>
  <c r="G90" i="27"/>
  <c r="G380" i="27" s="1"/>
  <c r="F90" i="27"/>
  <c r="F380" i="27" s="1"/>
  <c r="E90" i="27"/>
  <c r="E380" i="27" s="1"/>
  <c r="D90" i="27"/>
  <c r="C90" i="27"/>
  <c r="C380" i="27" s="1"/>
  <c r="B90" i="27"/>
  <c r="B380" i="27" s="1"/>
  <c r="O89" i="27"/>
  <c r="N89" i="27"/>
  <c r="N379" i="27" s="1"/>
  <c r="M89" i="27"/>
  <c r="M379" i="27" s="1"/>
  <c r="L89" i="27"/>
  <c r="L379" i="27" s="1"/>
  <c r="K89" i="27"/>
  <c r="J89" i="27"/>
  <c r="J379" i="27" s="1"/>
  <c r="G89" i="27"/>
  <c r="G379" i="27" s="1"/>
  <c r="F89" i="27"/>
  <c r="E89" i="27"/>
  <c r="E379" i="27" s="1"/>
  <c r="D89" i="27"/>
  <c r="D379" i="27" s="1"/>
  <c r="C89" i="27"/>
  <c r="C379" i="27" s="1"/>
  <c r="B89" i="27"/>
  <c r="O88" i="27"/>
  <c r="O378" i="27" s="1"/>
  <c r="N88" i="27"/>
  <c r="N378" i="27" s="1"/>
  <c r="M88" i="27"/>
  <c r="L88" i="27"/>
  <c r="L378" i="27" s="1"/>
  <c r="K88" i="27"/>
  <c r="K378" i="27" s="1"/>
  <c r="J88" i="27"/>
  <c r="J378" i="27" s="1"/>
  <c r="G88" i="27"/>
  <c r="G378" i="27" s="1"/>
  <c r="F88" i="27"/>
  <c r="F378" i="27" s="1"/>
  <c r="E88" i="27"/>
  <c r="E378" i="27" s="1"/>
  <c r="D88" i="27"/>
  <c r="C88" i="27"/>
  <c r="C378" i="27" s="1"/>
  <c r="B88" i="27"/>
  <c r="B378" i="27" s="1"/>
  <c r="O87" i="27"/>
  <c r="N87" i="27"/>
  <c r="M87" i="27"/>
  <c r="L87" i="27"/>
  <c r="K87" i="27"/>
  <c r="J87" i="27"/>
  <c r="G87" i="27"/>
  <c r="F87" i="27"/>
  <c r="E87" i="27"/>
  <c r="D87" i="27"/>
  <c r="C87" i="27"/>
  <c r="B87" i="27"/>
  <c r="O86" i="27"/>
  <c r="N86" i="27"/>
  <c r="M86" i="27"/>
  <c r="L86" i="27"/>
  <c r="K86" i="27"/>
  <c r="J86" i="27"/>
  <c r="G86" i="27"/>
  <c r="F86" i="27"/>
  <c r="E86" i="27"/>
  <c r="D86" i="27"/>
  <c r="C86" i="27"/>
  <c r="B86" i="27"/>
  <c r="O85" i="27"/>
  <c r="N85" i="27"/>
  <c r="M85" i="27"/>
  <c r="L85" i="27"/>
  <c r="K85" i="27"/>
  <c r="J85" i="27"/>
  <c r="G85" i="27"/>
  <c r="F85" i="27"/>
  <c r="E85" i="27"/>
  <c r="D85" i="27"/>
  <c r="C85" i="27"/>
  <c r="B85" i="27"/>
  <c r="O84" i="27"/>
  <c r="N84" i="27"/>
  <c r="M84" i="27"/>
  <c r="L84" i="27"/>
  <c r="K84" i="27"/>
  <c r="J84" i="27"/>
  <c r="G84" i="27"/>
  <c r="F84" i="27"/>
  <c r="E84" i="27"/>
  <c r="D84" i="27"/>
  <c r="C84" i="27"/>
  <c r="B84" i="27"/>
  <c r="O83" i="27"/>
  <c r="O377" i="27" s="1"/>
  <c r="N83" i="27"/>
  <c r="M83" i="27"/>
  <c r="M377" i="27" s="1"/>
  <c r="L83" i="27"/>
  <c r="K83" i="27"/>
  <c r="J83" i="27"/>
  <c r="G83" i="27"/>
  <c r="F83" i="27"/>
  <c r="E83" i="27"/>
  <c r="E377" i="27" s="1"/>
  <c r="D83" i="27"/>
  <c r="C83" i="27"/>
  <c r="C377" i="27" s="1"/>
  <c r="B83" i="27"/>
  <c r="O82" i="27"/>
  <c r="O130" i="27" s="1"/>
  <c r="N82" i="27"/>
  <c r="M82" i="27"/>
  <c r="L82" i="27"/>
  <c r="K82" i="27"/>
  <c r="K130" i="27" s="1"/>
  <c r="J82" i="27"/>
  <c r="J130" i="27" s="1"/>
  <c r="G82" i="27"/>
  <c r="G130" i="27" s="1"/>
  <c r="F82" i="27"/>
  <c r="E82" i="27"/>
  <c r="D82" i="27"/>
  <c r="C82" i="27"/>
  <c r="B82" i="27"/>
  <c r="O81" i="27"/>
  <c r="O129" i="27" s="1"/>
  <c r="N81" i="27"/>
  <c r="M81" i="27"/>
  <c r="L81" i="27"/>
  <c r="K81" i="27"/>
  <c r="K129" i="27" s="1"/>
  <c r="J81" i="27"/>
  <c r="J129" i="27" s="1"/>
  <c r="G81" i="27"/>
  <c r="G129" i="27" s="1"/>
  <c r="F81" i="27"/>
  <c r="E81" i="27"/>
  <c r="D81" i="27"/>
  <c r="C81" i="27"/>
  <c r="B81" i="27"/>
  <c r="O80" i="27"/>
  <c r="O128" i="27" s="1"/>
  <c r="N80" i="27"/>
  <c r="M80" i="27"/>
  <c r="L80" i="27"/>
  <c r="K80" i="27"/>
  <c r="K128" i="27" s="1"/>
  <c r="J80" i="27"/>
  <c r="J128" i="27" s="1"/>
  <c r="G80" i="27"/>
  <c r="G128" i="27" s="1"/>
  <c r="F80" i="27"/>
  <c r="E80" i="27"/>
  <c r="D80" i="27"/>
  <c r="C80" i="27"/>
  <c r="B80" i="27"/>
  <c r="O79" i="27"/>
  <c r="O127" i="27" s="1"/>
  <c r="N79" i="27"/>
  <c r="M79" i="27"/>
  <c r="L79" i="27"/>
  <c r="K79" i="27"/>
  <c r="K127" i="27" s="1"/>
  <c r="J79" i="27"/>
  <c r="J127" i="27" s="1"/>
  <c r="G79" i="27"/>
  <c r="G127" i="27" s="1"/>
  <c r="F79" i="27"/>
  <c r="E79" i="27"/>
  <c r="D79" i="27"/>
  <c r="C79" i="27"/>
  <c r="B79" i="27"/>
  <c r="O78" i="27"/>
  <c r="O126" i="27" s="1"/>
  <c r="N78" i="27"/>
  <c r="M78" i="27"/>
  <c r="L78" i="27"/>
  <c r="K78" i="27"/>
  <c r="K126" i="27" s="1"/>
  <c r="J78" i="27"/>
  <c r="G78" i="27"/>
  <c r="G126" i="27" s="1"/>
  <c r="F78" i="27"/>
  <c r="E78" i="27"/>
  <c r="D78" i="27"/>
  <c r="C78" i="27"/>
  <c r="B78" i="27"/>
  <c r="O77" i="27"/>
  <c r="O125" i="27" s="1"/>
  <c r="N77" i="27"/>
  <c r="M77" i="27"/>
  <c r="L77" i="27"/>
  <c r="K77" i="27"/>
  <c r="K125" i="27" s="1"/>
  <c r="J77" i="27"/>
  <c r="J125" i="27" s="1"/>
  <c r="G77" i="27"/>
  <c r="G125" i="27" s="1"/>
  <c r="F77" i="27"/>
  <c r="E77" i="27"/>
  <c r="D77" i="27"/>
  <c r="C77" i="27"/>
  <c r="B77" i="27"/>
  <c r="O76" i="27"/>
  <c r="O124" i="27" s="1"/>
  <c r="N76" i="27"/>
  <c r="M76" i="27"/>
  <c r="L76" i="27"/>
  <c r="K76" i="27"/>
  <c r="K124" i="27" s="1"/>
  <c r="J76" i="27"/>
  <c r="J124" i="27" s="1"/>
  <c r="G76" i="27"/>
  <c r="G124" i="27" s="1"/>
  <c r="F76" i="27"/>
  <c r="E76" i="27"/>
  <c r="D76" i="27"/>
  <c r="C76" i="27"/>
  <c r="B76" i="27"/>
  <c r="O75" i="27"/>
  <c r="O123" i="27" s="1"/>
  <c r="N75" i="27"/>
  <c r="M75" i="27"/>
  <c r="L75" i="27"/>
  <c r="K75" i="27"/>
  <c r="K123" i="27" s="1"/>
  <c r="J75" i="27"/>
  <c r="J123" i="27" s="1"/>
  <c r="G75" i="27"/>
  <c r="G123" i="27" s="1"/>
  <c r="F75" i="27"/>
  <c r="E75" i="27"/>
  <c r="D75" i="27"/>
  <c r="C75" i="27"/>
  <c r="B75" i="27"/>
  <c r="O74" i="27"/>
  <c r="O122" i="27" s="1"/>
  <c r="N74" i="27"/>
  <c r="M74" i="27"/>
  <c r="L74" i="27"/>
  <c r="K74" i="27"/>
  <c r="K122" i="27" s="1"/>
  <c r="J74" i="27"/>
  <c r="J122" i="27" s="1"/>
  <c r="G74" i="27"/>
  <c r="G122" i="27" s="1"/>
  <c r="F74" i="27"/>
  <c r="E74" i="27"/>
  <c r="D74" i="27"/>
  <c r="C74" i="27"/>
  <c r="B74" i="27"/>
  <c r="O73" i="27"/>
  <c r="O121" i="27" s="1"/>
  <c r="N73" i="27"/>
  <c r="M73" i="27"/>
  <c r="L73" i="27"/>
  <c r="K73" i="27"/>
  <c r="J73" i="27"/>
  <c r="J121" i="27" s="1"/>
  <c r="G73" i="27"/>
  <c r="G121" i="27" s="1"/>
  <c r="F73" i="27"/>
  <c r="E73" i="27"/>
  <c r="D73" i="27"/>
  <c r="C73" i="27"/>
  <c r="B73" i="27"/>
  <c r="O72" i="27"/>
  <c r="O120" i="27" s="1"/>
  <c r="N72" i="27"/>
  <c r="M72" i="27"/>
  <c r="L72" i="27"/>
  <c r="K72" i="27"/>
  <c r="K120" i="27" s="1"/>
  <c r="J72" i="27"/>
  <c r="J120" i="27" s="1"/>
  <c r="G72" i="27"/>
  <c r="G120" i="27" s="1"/>
  <c r="F72" i="27"/>
  <c r="E72" i="27"/>
  <c r="D72" i="27"/>
  <c r="C72" i="27"/>
  <c r="B72" i="27"/>
  <c r="O71" i="27"/>
  <c r="O119" i="27" s="1"/>
  <c r="N71" i="27"/>
  <c r="M71" i="27"/>
  <c r="L71" i="27"/>
  <c r="K71" i="27"/>
  <c r="K119" i="27" s="1"/>
  <c r="J71" i="27"/>
  <c r="J119" i="27" s="1"/>
  <c r="G71" i="27"/>
  <c r="G119" i="27" s="1"/>
  <c r="F71" i="27"/>
  <c r="E71" i="27"/>
  <c r="D71" i="27"/>
  <c r="C71" i="27"/>
  <c r="B71" i="27"/>
  <c r="O70" i="27"/>
  <c r="O118" i="27" s="1"/>
  <c r="N70" i="27"/>
  <c r="M70" i="27"/>
  <c r="L70" i="27"/>
  <c r="K70" i="27"/>
  <c r="K118" i="27" s="1"/>
  <c r="J70" i="27"/>
  <c r="J118" i="27" s="1"/>
  <c r="G70" i="27"/>
  <c r="G118" i="27" s="1"/>
  <c r="F70" i="27"/>
  <c r="E70" i="27"/>
  <c r="D70" i="27"/>
  <c r="C70" i="27"/>
  <c r="B70" i="27"/>
  <c r="O69" i="27"/>
  <c r="O117" i="27" s="1"/>
  <c r="N69" i="27"/>
  <c r="M69" i="27"/>
  <c r="L69" i="27"/>
  <c r="K69" i="27"/>
  <c r="K117" i="27" s="1"/>
  <c r="J69" i="27"/>
  <c r="J117" i="27" s="1"/>
  <c r="G69" i="27"/>
  <c r="G117" i="27" s="1"/>
  <c r="F69" i="27"/>
  <c r="E69" i="27"/>
  <c r="D69" i="27"/>
  <c r="C69" i="27"/>
  <c r="B69" i="27"/>
  <c r="O68" i="27"/>
  <c r="O116" i="27" s="1"/>
  <c r="N68" i="27"/>
  <c r="M68" i="27"/>
  <c r="L68" i="27"/>
  <c r="K68" i="27"/>
  <c r="K116" i="27" s="1"/>
  <c r="J68" i="27"/>
  <c r="G68" i="27"/>
  <c r="G116" i="27" s="1"/>
  <c r="F68" i="27"/>
  <c r="E68" i="27"/>
  <c r="D68" i="27"/>
  <c r="C68" i="27"/>
  <c r="B68" i="27"/>
  <c r="O67" i="27"/>
  <c r="O115" i="27" s="1"/>
  <c r="N67" i="27"/>
  <c r="M67" i="27"/>
  <c r="L67" i="27"/>
  <c r="K67" i="27"/>
  <c r="K115" i="27" s="1"/>
  <c r="J67" i="27"/>
  <c r="J115" i="27" s="1"/>
  <c r="G67" i="27"/>
  <c r="G115" i="27" s="1"/>
  <c r="F67" i="27"/>
  <c r="E67" i="27"/>
  <c r="D67" i="27"/>
  <c r="C67" i="27"/>
  <c r="B67" i="27"/>
  <c r="O66" i="27"/>
  <c r="O114" i="27" s="1"/>
  <c r="N66" i="27"/>
  <c r="M66" i="27"/>
  <c r="L66" i="27"/>
  <c r="K66" i="27"/>
  <c r="K114" i="27" s="1"/>
  <c r="J66" i="27"/>
  <c r="J114" i="27" s="1"/>
  <c r="G66" i="27"/>
  <c r="G114" i="27" s="1"/>
  <c r="F66" i="27"/>
  <c r="E66" i="27"/>
  <c r="D66" i="27"/>
  <c r="C66" i="27"/>
  <c r="B66" i="27"/>
  <c r="O65" i="27"/>
  <c r="O113" i="27" s="1"/>
  <c r="N65" i="27"/>
  <c r="M65" i="27"/>
  <c r="L65" i="27"/>
  <c r="K65" i="27"/>
  <c r="K113" i="27" s="1"/>
  <c r="J65" i="27"/>
  <c r="J113" i="27" s="1"/>
  <c r="G65" i="27"/>
  <c r="G113" i="27" s="1"/>
  <c r="F65" i="27"/>
  <c r="E65" i="27"/>
  <c r="D65" i="27"/>
  <c r="C65" i="27"/>
  <c r="B65" i="27"/>
  <c r="O64" i="27"/>
  <c r="O112" i="27" s="1"/>
  <c r="N64" i="27"/>
  <c r="M64" i="27"/>
  <c r="L64" i="27"/>
  <c r="K64" i="27"/>
  <c r="K112" i="27" s="1"/>
  <c r="J64" i="27"/>
  <c r="J112" i="27" s="1"/>
  <c r="G64" i="27"/>
  <c r="G112" i="27" s="1"/>
  <c r="F64" i="27"/>
  <c r="E64" i="27"/>
  <c r="D64" i="27"/>
  <c r="C64" i="27"/>
  <c r="B64" i="27"/>
  <c r="O63" i="27"/>
  <c r="N63" i="27"/>
  <c r="M63" i="27"/>
  <c r="L63" i="27"/>
  <c r="K63" i="27"/>
  <c r="J63" i="27"/>
  <c r="G63" i="27"/>
  <c r="F63" i="27"/>
  <c r="E63" i="27"/>
  <c r="D63" i="27"/>
  <c r="C63" i="27"/>
  <c r="B63" i="27"/>
  <c r="O62" i="27"/>
  <c r="O110" i="27" s="1"/>
  <c r="N62" i="27"/>
  <c r="M62" i="27"/>
  <c r="L62" i="27"/>
  <c r="K62" i="27"/>
  <c r="K110" i="27" s="1"/>
  <c r="J62" i="27"/>
  <c r="J110" i="27" s="1"/>
  <c r="G62" i="27"/>
  <c r="G110" i="27" s="1"/>
  <c r="F62" i="27"/>
  <c r="E62" i="27"/>
  <c r="D62" i="27"/>
  <c r="C62" i="27"/>
  <c r="B62" i="27"/>
  <c r="O61" i="27"/>
  <c r="O109" i="27" s="1"/>
  <c r="N61" i="27"/>
  <c r="M61" i="27"/>
  <c r="L61" i="27"/>
  <c r="K61" i="27"/>
  <c r="K109" i="27" s="1"/>
  <c r="J61" i="27"/>
  <c r="J109" i="27" s="1"/>
  <c r="G61" i="27"/>
  <c r="G109" i="27" s="1"/>
  <c r="F61" i="27"/>
  <c r="E61" i="27"/>
  <c r="D61" i="27"/>
  <c r="C61" i="27"/>
  <c r="B61" i="27"/>
  <c r="O60" i="27"/>
  <c r="O108" i="27" s="1"/>
  <c r="N60" i="27"/>
  <c r="M60" i="27"/>
  <c r="L60" i="27"/>
  <c r="K60" i="27"/>
  <c r="K108" i="27" s="1"/>
  <c r="J60" i="27"/>
  <c r="J108" i="27" s="1"/>
  <c r="G60" i="27"/>
  <c r="G108" i="27" s="1"/>
  <c r="F60" i="27"/>
  <c r="E60" i="27"/>
  <c r="D60" i="27"/>
  <c r="C60" i="27"/>
  <c r="B60" i="27"/>
  <c r="O59" i="27"/>
  <c r="O107" i="27" s="1"/>
  <c r="N59" i="27"/>
  <c r="M59" i="27"/>
  <c r="L59" i="27"/>
  <c r="K59" i="27"/>
  <c r="K107" i="27" s="1"/>
  <c r="J59" i="27"/>
  <c r="J107" i="27" s="1"/>
  <c r="G59" i="27"/>
  <c r="G107" i="27" s="1"/>
  <c r="F59" i="27"/>
  <c r="E59" i="27"/>
  <c r="D59" i="27"/>
  <c r="C59" i="27"/>
  <c r="B59" i="27"/>
  <c r="O58" i="27"/>
  <c r="O106" i="27" s="1"/>
  <c r="N58" i="27"/>
  <c r="M58" i="27"/>
  <c r="L58" i="27"/>
  <c r="K58" i="27"/>
  <c r="K106" i="27" s="1"/>
  <c r="J58" i="27"/>
  <c r="G58" i="27"/>
  <c r="F58" i="27"/>
  <c r="E58" i="27"/>
  <c r="D58" i="27"/>
  <c r="C58" i="27"/>
  <c r="B58" i="27"/>
  <c r="O57" i="27"/>
  <c r="O105" i="27" s="1"/>
  <c r="N57" i="27"/>
  <c r="M57" i="27"/>
  <c r="L57" i="27"/>
  <c r="K57" i="27"/>
  <c r="K105" i="27" s="1"/>
  <c r="J57" i="27"/>
  <c r="J105" i="27" s="1"/>
  <c r="G57" i="27"/>
  <c r="G105" i="27" s="1"/>
  <c r="F57" i="27"/>
  <c r="E57" i="27"/>
  <c r="D57" i="27"/>
  <c r="C57" i="27"/>
  <c r="B57" i="27"/>
  <c r="O56" i="27"/>
  <c r="O104" i="27" s="1"/>
  <c r="N56" i="27"/>
  <c r="M56" i="27"/>
  <c r="L56" i="27"/>
  <c r="K56" i="27"/>
  <c r="K104" i="27" s="1"/>
  <c r="J56" i="27"/>
  <c r="J104" i="27" s="1"/>
  <c r="G56" i="27"/>
  <c r="G104" i="27" s="1"/>
  <c r="F56" i="27"/>
  <c r="E56" i="27"/>
  <c r="D56" i="27"/>
  <c r="C56" i="27"/>
  <c r="B56" i="27"/>
  <c r="O55" i="27"/>
  <c r="O103" i="27" s="1"/>
  <c r="N55" i="27"/>
  <c r="M55" i="27"/>
  <c r="L55" i="27"/>
  <c r="K55" i="27"/>
  <c r="K103" i="27" s="1"/>
  <c r="J55" i="27"/>
  <c r="J103" i="27" s="1"/>
  <c r="G55" i="27"/>
  <c r="G103" i="27" s="1"/>
  <c r="F55" i="27"/>
  <c r="E55" i="27"/>
  <c r="D55" i="27"/>
  <c r="C55" i="27"/>
  <c r="B55" i="27"/>
  <c r="O54" i="27"/>
  <c r="O102" i="27" s="1"/>
  <c r="N54" i="27"/>
  <c r="M54" i="27"/>
  <c r="L54" i="27"/>
  <c r="K54" i="27"/>
  <c r="K102" i="27" s="1"/>
  <c r="J54" i="27"/>
  <c r="J102" i="27" s="1"/>
  <c r="G54" i="27"/>
  <c r="G102" i="27" s="1"/>
  <c r="F54" i="27"/>
  <c r="E54" i="27"/>
  <c r="D54" i="27"/>
  <c r="C54" i="27"/>
  <c r="B54" i="27"/>
  <c r="O53" i="27"/>
  <c r="O101" i="27" s="1"/>
  <c r="N53" i="27"/>
  <c r="M53" i="27"/>
  <c r="L53" i="27"/>
  <c r="K53" i="27"/>
  <c r="K101" i="27" s="1"/>
  <c r="J53" i="27"/>
  <c r="J101" i="27" s="1"/>
  <c r="G53" i="27"/>
  <c r="G101" i="27" s="1"/>
  <c r="F53" i="27"/>
  <c r="E53" i="27"/>
  <c r="D53" i="27"/>
  <c r="C53" i="27"/>
  <c r="B53" i="27"/>
  <c r="N50" i="27"/>
  <c r="M50" i="27"/>
  <c r="L50" i="27"/>
  <c r="L369" i="27" s="1"/>
  <c r="F50" i="27"/>
  <c r="F369" i="27" s="1"/>
  <c r="E50" i="27"/>
  <c r="D50" i="27"/>
  <c r="C50" i="27"/>
  <c r="C369" i="27" s="1"/>
  <c r="B50" i="27"/>
  <c r="B369" i="27" s="1"/>
  <c r="N46" i="27"/>
  <c r="N365" i="27" s="1"/>
  <c r="M46" i="27"/>
  <c r="M365" i="27" s="1"/>
  <c r="L46" i="27"/>
  <c r="F46" i="27"/>
  <c r="E46" i="27"/>
  <c r="E365" i="27" s="1"/>
  <c r="D46" i="27"/>
  <c r="D365" i="27" s="1"/>
  <c r="C46" i="27"/>
  <c r="B46" i="27"/>
  <c r="B365" i="27" s="1"/>
  <c r="P45" i="27"/>
  <c r="P364" i="27" s="1"/>
  <c r="N45" i="27"/>
  <c r="M45" i="27"/>
  <c r="M364" i="27" s="1"/>
  <c r="L45" i="27"/>
  <c r="L364" i="27" s="1"/>
  <c r="F45" i="27"/>
  <c r="F364" i="27" s="1"/>
  <c r="E45" i="27"/>
  <c r="D45" i="27"/>
  <c r="D364" i="27" s="1"/>
  <c r="C45" i="27"/>
  <c r="C364" i="27" s="1"/>
  <c r="B45" i="27"/>
  <c r="B364" i="27" s="1"/>
  <c r="N44" i="27"/>
  <c r="N363" i="27" s="1"/>
  <c r="M44" i="27"/>
  <c r="M363" i="27" s="1"/>
  <c r="L44" i="27"/>
  <c r="F44" i="27"/>
  <c r="E44" i="27"/>
  <c r="E363" i="27" s="1"/>
  <c r="D44" i="27"/>
  <c r="C44" i="27"/>
  <c r="B44" i="27"/>
  <c r="B363" i="27" s="1"/>
  <c r="N43" i="27"/>
  <c r="M43" i="27"/>
  <c r="M362" i="27" s="1"/>
  <c r="L43" i="27"/>
  <c r="L362" i="27" s="1"/>
  <c r="F43" i="27"/>
  <c r="F362" i="27" s="1"/>
  <c r="E43" i="27"/>
  <c r="D43" i="27"/>
  <c r="D362" i="27" s="1"/>
  <c r="C43" i="27"/>
  <c r="C362" i="27" s="1"/>
  <c r="B43" i="27"/>
  <c r="B362" i="27" s="1"/>
  <c r="N42" i="27"/>
  <c r="N361" i="27" s="1"/>
  <c r="M42" i="27"/>
  <c r="M361" i="27" s="1"/>
  <c r="L42" i="27"/>
  <c r="F42" i="27"/>
  <c r="F361" i="27" s="1"/>
  <c r="E42" i="27"/>
  <c r="E361" i="27" s="1"/>
  <c r="D42" i="27"/>
  <c r="C42" i="27"/>
  <c r="B42" i="27"/>
  <c r="B361" i="27" s="1"/>
  <c r="N41" i="27"/>
  <c r="M41" i="27"/>
  <c r="M360" i="27" s="1"/>
  <c r="L41" i="27"/>
  <c r="L360" i="27" s="1"/>
  <c r="F41" i="27"/>
  <c r="F360" i="27" s="1"/>
  <c r="E41" i="27"/>
  <c r="D41" i="27"/>
  <c r="D360" i="27" s="1"/>
  <c r="C41" i="27"/>
  <c r="C360" i="27" s="1"/>
  <c r="B41" i="27"/>
  <c r="B360" i="27" s="1"/>
  <c r="N40" i="27"/>
  <c r="N359" i="27" s="1"/>
  <c r="M40" i="27"/>
  <c r="M359" i="27" s="1"/>
  <c r="L40" i="27"/>
  <c r="F40" i="27"/>
  <c r="F359" i="27" s="1"/>
  <c r="E40" i="27"/>
  <c r="E359" i="27" s="1"/>
  <c r="D40" i="27"/>
  <c r="C40" i="27"/>
  <c r="B40" i="27"/>
  <c r="B359" i="27" s="1"/>
  <c r="N39" i="27"/>
  <c r="M39" i="27"/>
  <c r="L39" i="27"/>
  <c r="F39" i="27"/>
  <c r="E39" i="27"/>
  <c r="D39" i="27"/>
  <c r="C39" i="27"/>
  <c r="B39" i="27"/>
  <c r="N38" i="27"/>
  <c r="M38" i="27"/>
  <c r="L38" i="27"/>
  <c r="F38" i="27"/>
  <c r="E38" i="27"/>
  <c r="D38" i="27"/>
  <c r="C38" i="27"/>
  <c r="B38" i="27"/>
  <c r="N37" i="27"/>
  <c r="M37" i="27"/>
  <c r="L37" i="27"/>
  <c r="F37" i="27"/>
  <c r="E37" i="27"/>
  <c r="D37" i="27"/>
  <c r="C37" i="27"/>
  <c r="B37" i="27"/>
  <c r="N36" i="27"/>
  <c r="M36" i="27"/>
  <c r="L36" i="27"/>
  <c r="F36" i="27"/>
  <c r="E36" i="27"/>
  <c r="D36" i="27"/>
  <c r="C36" i="27"/>
  <c r="B36" i="27"/>
  <c r="N35" i="27"/>
  <c r="N358" i="27" s="1"/>
  <c r="M35" i="27"/>
  <c r="M358" i="27" s="1"/>
  <c r="L35" i="27"/>
  <c r="L358" i="27" s="1"/>
  <c r="F35" i="27"/>
  <c r="F358" i="27" s="1"/>
  <c r="E35" i="27"/>
  <c r="E358" i="27" s="1"/>
  <c r="D35" i="27"/>
  <c r="D358" i="27" s="1"/>
  <c r="C35" i="27"/>
  <c r="C358" i="27" s="1"/>
  <c r="B35" i="27"/>
  <c r="B358" i="27" s="1"/>
  <c r="N34" i="27"/>
  <c r="M34" i="27"/>
  <c r="L34" i="27"/>
  <c r="L130" i="27" s="1"/>
  <c r="F34" i="27"/>
  <c r="E34" i="27"/>
  <c r="D34" i="27"/>
  <c r="C34" i="27"/>
  <c r="N33" i="27"/>
  <c r="M33" i="27"/>
  <c r="L33" i="27"/>
  <c r="F33" i="27"/>
  <c r="E33" i="27"/>
  <c r="E129" i="27" s="1"/>
  <c r="D33" i="27"/>
  <c r="D129" i="27" s="1"/>
  <c r="C33" i="27"/>
  <c r="B33" i="27"/>
  <c r="N32" i="27"/>
  <c r="M32" i="27"/>
  <c r="L32" i="27"/>
  <c r="F32" i="27"/>
  <c r="E32" i="27"/>
  <c r="D32" i="27"/>
  <c r="C32" i="27"/>
  <c r="C128" i="27" s="1"/>
  <c r="B32" i="27"/>
  <c r="N31" i="27"/>
  <c r="M31" i="27"/>
  <c r="L31" i="27"/>
  <c r="F31" i="27"/>
  <c r="E31" i="27"/>
  <c r="E127" i="27" s="1"/>
  <c r="D31" i="27"/>
  <c r="C31" i="27"/>
  <c r="B31" i="27"/>
  <c r="N30" i="27"/>
  <c r="L30" i="27"/>
  <c r="F30" i="27"/>
  <c r="D30" i="27"/>
  <c r="C30" i="27"/>
  <c r="B30" i="27"/>
  <c r="N29" i="27"/>
  <c r="M29" i="27"/>
  <c r="L29" i="27"/>
  <c r="F29" i="27"/>
  <c r="E29" i="27"/>
  <c r="D29" i="27"/>
  <c r="C29" i="27"/>
  <c r="B29" i="27"/>
  <c r="N28" i="27"/>
  <c r="M28" i="27"/>
  <c r="L28" i="27"/>
  <c r="F28" i="27"/>
  <c r="E28" i="27"/>
  <c r="D28" i="27"/>
  <c r="C28" i="27"/>
  <c r="B28" i="27"/>
  <c r="P27" i="27"/>
  <c r="P219" i="27" s="1"/>
  <c r="N27" i="27"/>
  <c r="M27" i="27"/>
  <c r="L27" i="27"/>
  <c r="F27" i="27"/>
  <c r="E27" i="27"/>
  <c r="D27" i="27"/>
  <c r="C27" i="27"/>
  <c r="B27" i="27"/>
  <c r="P26" i="27"/>
  <c r="P218" i="27" s="1"/>
  <c r="N26" i="27"/>
  <c r="M26" i="27"/>
  <c r="L26" i="27"/>
  <c r="F26" i="27"/>
  <c r="E26" i="27"/>
  <c r="D26" i="27"/>
  <c r="C26" i="27"/>
  <c r="B26" i="27"/>
  <c r="B122" i="27" s="1"/>
  <c r="N25" i="27"/>
  <c r="M25" i="27"/>
  <c r="L25" i="27"/>
  <c r="H25" i="27"/>
  <c r="H217" i="27" s="1"/>
  <c r="F25" i="27"/>
  <c r="E25" i="27"/>
  <c r="D25" i="27"/>
  <c r="C25" i="27"/>
  <c r="B25" i="27"/>
  <c r="N24" i="27"/>
  <c r="M24" i="27"/>
  <c r="L24" i="27"/>
  <c r="L120" i="27" s="1"/>
  <c r="F24" i="27"/>
  <c r="E24" i="27"/>
  <c r="D24" i="27"/>
  <c r="C24" i="27"/>
  <c r="B24" i="27"/>
  <c r="P23" i="27"/>
  <c r="P215" i="27" s="1"/>
  <c r="N23" i="27"/>
  <c r="M23" i="27"/>
  <c r="L23" i="27"/>
  <c r="H23" i="27"/>
  <c r="H215" i="27" s="1"/>
  <c r="F23" i="27"/>
  <c r="E23" i="27"/>
  <c r="D23" i="27"/>
  <c r="C23" i="27"/>
  <c r="B23" i="27"/>
  <c r="N22" i="27"/>
  <c r="M22" i="27"/>
  <c r="L22" i="27"/>
  <c r="F22" i="27"/>
  <c r="E22" i="27"/>
  <c r="D22" i="27"/>
  <c r="C22" i="27"/>
  <c r="B22" i="27"/>
  <c r="N21" i="27"/>
  <c r="M21" i="27"/>
  <c r="L21" i="27"/>
  <c r="F21" i="27"/>
  <c r="E21" i="27"/>
  <c r="D21" i="27"/>
  <c r="C21" i="27"/>
  <c r="B21" i="27"/>
  <c r="N20" i="27"/>
  <c r="M20" i="27"/>
  <c r="L20" i="27"/>
  <c r="F20" i="27"/>
  <c r="E20" i="27"/>
  <c r="D20" i="27"/>
  <c r="B20" i="27"/>
  <c r="M19" i="27"/>
  <c r="L19" i="27"/>
  <c r="E19" i="27"/>
  <c r="D19" i="27"/>
  <c r="D115" i="27" s="1"/>
  <c r="C19" i="27"/>
  <c r="N18" i="27"/>
  <c r="L18" i="27"/>
  <c r="F18" i="27"/>
  <c r="D18" i="27"/>
  <c r="C18" i="27"/>
  <c r="B18" i="27"/>
  <c r="N17" i="27"/>
  <c r="N113" i="27" s="1"/>
  <c r="M17" i="27"/>
  <c r="L17" i="27"/>
  <c r="F17" i="27"/>
  <c r="E17" i="27"/>
  <c r="D17" i="27"/>
  <c r="C17" i="27"/>
  <c r="N16" i="27"/>
  <c r="M16" i="27"/>
  <c r="F16" i="27"/>
  <c r="E16" i="27"/>
  <c r="D16" i="27"/>
  <c r="C16" i="27"/>
  <c r="N15" i="27"/>
  <c r="M15" i="27"/>
  <c r="L15" i="27"/>
  <c r="F15" i="27"/>
  <c r="E15" i="27"/>
  <c r="D15" i="27"/>
  <c r="C15" i="27"/>
  <c r="N14" i="27"/>
  <c r="M14" i="27"/>
  <c r="L14" i="27"/>
  <c r="F14" i="27"/>
  <c r="E14" i="27"/>
  <c r="D14" i="27"/>
  <c r="C14" i="27"/>
  <c r="N13" i="27"/>
  <c r="M13" i="27"/>
  <c r="L13" i="27"/>
  <c r="F13" i="27"/>
  <c r="E13" i="27"/>
  <c r="D13" i="27"/>
  <c r="C13" i="27"/>
  <c r="B13" i="27"/>
  <c r="N12" i="27"/>
  <c r="L12" i="27"/>
  <c r="F12" i="27"/>
  <c r="E12" i="27"/>
  <c r="D12" i="27"/>
  <c r="C12" i="27"/>
  <c r="N11" i="27"/>
  <c r="M11" i="27"/>
  <c r="L11" i="27"/>
  <c r="F11" i="27"/>
  <c r="E11" i="27"/>
  <c r="D11" i="27"/>
  <c r="C11" i="27"/>
  <c r="N10" i="27"/>
  <c r="M10" i="27"/>
  <c r="L10" i="27"/>
  <c r="F10" i="27"/>
  <c r="E10" i="27"/>
  <c r="D10" i="27"/>
  <c r="C10" i="27"/>
  <c r="N9" i="27"/>
  <c r="M9" i="27"/>
  <c r="L9" i="27"/>
  <c r="F9" i="27"/>
  <c r="E9" i="27"/>
  <c r="D9" i="27"/>
  <c r="C9" i="27"/>
  <c r="N8" i="27"/>
  <c r="M8" i="27"/>
  <c r="F8" i="27"/>
  <c r="E8" i="27"/>
  <c r="D8" i="27"/>
  <c r="C8" i="27"/>
  <c r="M7" i="27"/>
  <c r="L7" i="27"/>
  <c r="E7" i="27"/>
  <c r="D7" i="27"/>
  <c r="C7" i="27"/>
  <c r="B7" i="27"/>
  <c r="M6" i="27"/>
  <c r="E6" i="27"/>
  <c r="D6" i="27"/>
  <c r="C6" i="27"/>
  <c r="M5" i="27"/>
  <c r="L5" i="27"/>
  <c r="E5" i="27"/>
  <c r="D5" i="27"/>
  <c r="C5" i="27"/>
  <c r="E251" i="26"/>
  <c r="G194" i="26"/>
  <c r="F194" i="26"/>
  <c r="F434" i="26" s="1"/>
  <c r="E194" i="26"/>
  <c r="D194" i="26"/>
  <c r="D434" i="26" s="1"/>
  <c r="C194" i="26"/>
  <c r="B194" i="26"/>
  <c r="B434" i="26" s="1"/>
  <c r="G190" i="26"/>
  <c r="F190" i="26"/>
  <c r="E190" i="26"/>
  <c r="E430" i="26" s="1"/>
  <c r="D190" i="26"/>
  <c r="D430" i="26" s="1"/>
  <c r="C190" i="26"/>
  <c r="C430" i="26" s="1"/>
  <c r="B190" i="26"/>
  <c r="G189" i="26"/>
  <c r="F189" i="26"/>
  <c r="F429" i="26" s="1"/>
  <c r="E189" i="26"/>
  <c r="D189" i="26"/>
  <c r="D429" i="26" s="1"/>
  <c r="C189" i="26"/>
  <c r="B189" i="26"/>
  <c r="B429" i="26" s="1"/>
  <c r="G188" i="26"/>
  <c r="G428" i="26" s="1"/>
  <c r="F188" i="26"/>
  <c r="E188" i="26"/>
  <c r="D188" i="26"/>
  <c r="C188" i="26"/>
  <c r="C428" i="26" s="1"/>
  <c r="B188" i="26"/>
  <c r="B428" i="26" s="1"/>
  <c r="G187" i="26"/>
  <c r="F187" i="26"/>
  <c r="F427" i="26" s="1"/>
  <c r="E187" i="26"/>
  <c r="D187" i="26"/>
  <c r="D427" i="26" s="1"/>
  <c r="C187" i="26"/>
  <c r="B187" i="26"/>
  <c r="B427" i="26" s="1"/>
  <c r="G186" i="26"/>
  <c r="G426" i="26" s="1"/>
  <c r="F186" i="26"/>
  <c r="E186" i="26"/>
  <c r="E426" i="26" s="1"/>
  <c r="D186" i="26"/>
  <c r="C186" i="26"/>
  <c r="B186" i="26"/>
  <c r="G185" i="26"/>
  <c r="G425" i="26" s="1"/>
  <c r="F185" i="26"/>
  <c r="F425" i="26" s="1"/>
  <c r="E185" i="26"/>
  <c r="D185" i="26"/>
  <c r="D425" i="26" s="1"/>
  <c r="C185" i="26"/>
  <c r="C425" i="26" s="1"/>
  <c r="B185" i="26"/>
  <c r="B425" i="26" s="1"/>
  <c r="G184" i="26"/>
  <c r="G424" i="26" s="1"/>
  <c r="F184" i="26"/>
  <c r="E184" i="26"/>
  <c r="E424" i="26" s="1"/>
  <c r="D184" i="26"/>
  <c r="C184" i="26"/>
  <c r="C424" i="26" s="1"/>
  <c r="B184" i="26"/>
  <c r="G183" i="26"/>
  <c r="F183" i="26"/>
  <c r="E183" i="26"/>
  <c r="B183" i="26"/>
  <c r="G182" i="26"/>
  <c r="F182" i="26"/>
  <c r="E182" i="26"/>
  <c r="D182" i="26"/>
  <c r="C182" i="26"/>
  <c r="B182" i="26"/>
  <c r="G181" i="26"/>
  <c r="F181" i="26"/>
  <c r="E181" i="26"/>
  <c r="D181" i="26"/>
  <c r="C181" i="26"/>
  <c r="B181" i="26"/>
  <c r="G180" i="26"/>
  <c r="F180" i="26"/>
  <c r="E180" i="26"/>
  <c r="D180" i="26"/>
  <c r="C180" i="26"/>
  <c r="B180" i="26"/>
  <c r="G179" i="26"/>
  <c r="G423" i="26" s="1"/>
  <c r="F179" i="26"/>
  <c r="F423" i="26" s="1"/>
  <c r="E179" i="26"/>
  <c r="D179" i="26"/>
  <c r="C179" i="26"/>
  <c r="B179" i="26"/>
  <c r="G178" i="26"/>
  <c r="F178" i="26"/>
  <c r="E178" i="26"/>
  <c r="D178" i="26"/>
  <c r="C178" i="26"/>
  <c r="B178" i="26"/>
  <c r="G177" i="26"/>
  <c r="F177" i="26"/>
  <c r="E177" i="26"/>
  <c r="D177" i="26"/>
  <c r="C177" i="26"/>
  <c r="B177" i="26"/>
  <c r="G176" i="26"/>
  <c r="F176" i="26"/>
  <c r="E176" i="26"/>
  <c r="D176" i="26"/>
  <c r="C176" i="26"/>
  <c r="B176" i="26"/>
  <c r="G175" i="26"/>
  <c r="F175" i="26"/>
  <c r="E175" i="26"/>
  <c r="D175" i="26"/>
  <c r="C175" i="26"/>
  <c r="B175" i="26"/>
  <c r="G174" i="26"/>
  <c r="G422" i="26" s="1"/>
  <c r="F174" i="26"/>
  <c r="E174" i="26"/>
  <c r="D174" i="26"/>
  <c r="C174" i="26"/>
  <c r="B174" i="26"/>
  <c r="G173" i="26"/>
  <c r="F173" i="26"/>
  <c r="E173" i="26"/>
  <c r="D173" i="26"/>
  <c r="C173" i="26"/>
  <c r="B173" i="26"/>
  <c r="G172" i="26"/>
  <c r="F172" i="26"/>
  <c r="E172" i="26"/>
  <c r="D172" i="26"/>
  <c r="C172" i="26"/>
  <c r="B172" i="26"/>
  <c r="G171" i="26"/>
  <c r="F171" i="26"/>
  <c r="E171" i="26"/>
  <c r="D171" i="26"/>
  <c r="C171" i="26"/>
  <c r="B171" i="26"/>
  <c r="G170" i="26"/>
  <c r="F170" i="26"/>
  <c r="E170" i="26"/>
  <c r="D170" i="26"/>
  <c r="C170" i="26"/>
  <c r="B170" i="26"/>
  <c r="H169" i="26"/>
  <c r="G169" i="26"/>
  <c r="F169" i="26"/>
  <c r="E169" i="26"/>
  <c r="D169" i="26"/>
  <c r="C169" i="26"/>
  <c r="B169" i="26"/>
  <c r="H168" i="26"/>
  <c r="G168" i="26"/>
  <c r="F168" i="26"/>
  <c r="E168" i="26"/>
  <c r="D168" i="26"/>
  <c r="C168" i="26"/>
  <c r="B168" i="26"/>
  <c r="H167" i="26"/>
  <c r="G167" i="26"/>
  <c r="F167" i="26"/>
  <c r="E167" i="26"/>
  <c r="D167" i="26"/>
  <c r="C167" i="26"/>
  <c r="B167" i="26"/>
  <c r="G166" i="26"/>
  <c r="F166" i="26"/>
  <c r="E166" i="26"/>
  <c r="D166" i="26"/>
  <c r="C166" i="26"/>
  <c r="B166" i="26"/>
  <c r="G165" i="26"/>
  <c r="F165" i="26"/>
  <c r="E165" i="26"/>
  <c r="D165" i="26"/>
  <c r="C165" i="26"/>
  <c r="B165" i="26"/>
  <c r="G164" i="26"/>
  <c r="F164" i="26"/>
  <c r="E164" i="26"/>
  <c r="D164" i="26"/>
  <c r="C164" i="26"/>
  <c r="B164" i="26"/>
  <c r="G163" i="26"/>
  <c r="F163" i="26"/>
  <c r="E163" i="26"/>
  <c r="D163" i="26"/>
  <c r="C163" i="26"/>
  <c r="B163" i="26"/>
  <c r="G162" i="26"/>
  <c r="F162" i="26"/>
  <c r="E162" i="26"/>
  <c r="D162" i="26"/>
  <c r="C162" i="26"/>
  <c r="B162" i="26"/>
  <c r="G161" i="26"/>
  <c r="F161" i="26"/>
  <c r="E161" i="26"/>
  <c r="D161" i="26"/>
  <c r="C161" i="26"/>
  <c r="B161" i="26"/>
  <c r="G160" i="26"/>
  <c r="F160" i="26"/>
  <c r="E160" i="26"/>
  <c r="D160" i="26"/>
  <c r="C160" i="26"/>
  <c r="B160" i="26"/>
  <c r="G159" i="26"/>
  <c r="F159" i="26"/>
  <c r="E159" i="26"/>
  <c r="D159" i="26"/>
  <c r="C159" i="26"/>
  <c r="B159" i="26"/>
  <c r="G158" i="26"/>
  <c r="F158" i="26"/>
  <c r="E158" i="26"/>
  <c r="D158" i="26"/>
  <c r="C158" i="26"/>
  <c r="B158" i="26"/>
  <c r="G157" i="26"/>
  <c r="F157" i="26"/>
  <c r="E157" i="26"/>
  <c r="D157" i="26"/>
  <c r="C157" i="26"/>
  <c r="B157" i="26"/>
  <c r="G156" i="26"/>
  <c r="F156" i="26"/>
  <c r="E156" i="26"/>
  <c r="D156" i="26"/>
  <c r="C156" i="26"/>
  <c r="B156" i="26"/>
  <c r="G155" i="26"/>
  <c r="F155" i="26"/>
  <c r="E155" i="26"/>
  <c r="D155" i="26"/>
  <c r="C155" i="26"/>
  <c r="B155" i="26"/>
  <c r="G154" i="26"/>
  <c r="F154" i="26"/>
  <c r="E154" i="26"/>
  <c r="D154" i="26"/>
  <c r="C154" i="26"/>
  <c r="B154" i="26"/>
  <c r="G153" i="26"/>
  <c r="F153" i="26"/>
  <c r="E153" i="26"/>
  <c r="D153" i="26"/>
  <c r="C153" i="26"/>
  <c r="B153" i="26"/>
  <c r="G152" i="26"/>
  <c r="F152" i="26"/>
  <c r="E152" i="26"/>
  <c r="D152" i="26"/>
  <c r="C152" i="26"/>
  <c r="B152" i="26"/>
  <c r="G151" i="26"/>
  <c r="F151" i="26"/>
  <c r="E151" i="26"/>
  <c r="D151" i="26"/>
  <c r="C151" i="26"/>
  <c r="B151" i="26"/>
  <c r="G150" i="26"/>
  <c r="F150" i="26"/>
  <c r="E150" i="26"/>
  <c r="D150" i="26"/>
  <c r="C150" i="26"/>
  <c r="B150" i="26"/>
  <c r="G149" i="26"/>
  <c r="F149" i="26"/>
  <c r="E149" i="26"/>
  <c r="D149" i="26"/>
  <c r="C149" i="26"/>
  <c r="B149" i="26"/>
  <c r="G98" i="26"/>
  <c r="G393" i="26" s="1"/>
  <c r="F98" i="26"/>
  <c r="F393" i="26" s="1"/>
  <c r="E98" i="26"/>
  <c r="D98" i="26"/>
  <c r="D393" i="26" s="1"/>
  <c r="C98" i="26"/>
  <c r="C393" i="26" s="1"/>
  <c r="B98" i="26"/>
  <c r="G94" i="26"/>
  <c r="G389" i="26" s="1"/>
  <c r="F94" i="26"/>
  <c r="F389" i="26" s="1"/>
  <c r="E94" i="26"/>
  <c r="E389" i="26" s="1"/>
  <c r="D94" i="26"/>
  <c r="C94" i="26"/>
  <c r="C389" i="26" s="1"/>
  <c r="B94" i="26"/>
  <c r="B389" i="26" s="1"/>
  <c r="G93" i="26"/>
  <c r="F93" i="26"/>
  <c r="F388" i="26" s="1"/>
  <c r="E93" i="26"/>
  <c r="E388" i="26" s="1"/>
  <c r="D93" i="26"/>
  <c r="D388" i="26" s="1"/>
  <c r="C93" i="26"/>
  <c r="B93" i="26"/>
  <c r="B388" i="26" s="1"/>
  <c r="G92" i="26"/>
  <c r="F92" i="26"/>
  <c r="E92" i="26"/>
  <c r="E387" i="26" s="1"/>
  <c r="D92" i="26"/>
  <c r="C92" i="26"/>
  <c r="B92" i="26"/>
  <c r="G91" i="26"/>
  <c r="F91" i="26"/>
  <c r="E91" i="26"/>
  <c r="D91" i="26"/>
  <c r="D386" i="26" s="1"/>
  <c r="C91" i="26"/>
  <c r="B91" i="26"/>
  <c r="G90" i="26"/>
  <c r="G385" i="26" s="1"/>
  <c r="F90" i="26"/>
  <c r="E90" i="26"/>
  <c r="D90" i="26"/>
  <c r="D385" i="26" s="1"/>
  <c r="C90" i="26"/>
  <c r="C385" i="26" s="1"/>
  <c r="B90" i="26"/>
  <c r="G89" i="26"/>
  <c r="F89" i="26"/>
  <c r="F384" i="26" s="1"/>
  <c r="E89" i="26"/>
  <c r="D89" i="26"/>
  <c r="C89" i="26"/>
  <c r="C384" i="26" s="1"/>
  <c r="B89" i="26"/>
  <c r="B384" i="26" s="1"/>
  <c r="G88" i="26"/>
  <c r="F88" i="26"/>
  <c r="F383" i="26" s="1"/>
  <c r="E88" i="26"/>
  <c r="E383" i="26" s="1"/>
  <c r="D88" i="26"/>
  <c r="C88" i="26"/>
  <c r="B88" i="26"/>
  <c r="G87" i="26"/>
  <c r="F87" i="26"/>
  <c r="E87" i="26"/>
  <c r="D87" i="26"/>
  <c r="C87" i="26"/>
  <c r="B87" i="26"/>
  <c r="G86" i="26"/>
  <c r="F86" i="26"/>
  <c r="E86" i="26"/>
  <c r="D86" i="26"/>
  <c r="C86" i="26"/>
  <c r="B86" i="26"/>
  <c r="G85" i="26"/>
  <c r="F85" i="26"/>
  <c r="E85" i="26"/>
  <c r="D85" i="26"/>
  <c r="C85" i="26"/>
  <c r="B85" i="26"/>
  <c r="G84" i="26"/>
  <c r="F84" i="26"/>
  <c r="E84" i="26"/>
  <c r="D84" i="26"/>
  <c r="C84" i="26"/>
  <c r="B84" i="26"/>
  <c r="G83" i="26"/>
  <c r="F83" i="26"/>
  <c r="F382" i="26" s="1"/>
  <c r="E83" i="26"/>
  <c r="D83" i="26"/>
  <c r="C83" i="26"/>
  <c r="C382" i="26" s="1"/>
  <c r="B83" i="26"/>
  <c r="G82" i="26"/>
  <c r="F82" i="26"/>
  <c r="E82" i="26"/>
  <c r="D82" i="26"/>
  <c r="C82" i="26"/>
  <c r="B82" i="26"/>
  <c r="G81" i="26"/>
  <c r="F81" i="26"/>
  <c r="E81" i="26"/>
  <c r="D81" i="26"/>
  <c r="C81" i="26"/>
  <c r="B81" i="26"/>
  <c r="G80" i="26"/>
  <c r="F80" i="26"/>
  <c r="E80" i="26"/>
  <c r="D80" i="26"/>
  <c r="C80" i="26"/>
  <c r="B80" i="26"/>
  <c r="G79" i="26"/>
  <c r="F79" i="26"/>
  <c r="E79" i="26"/>
  <c r="D79" i="26"/>
  <c r="C79" i="26"/>
  <c r="B79" i="26"/>
  <c r="G78" i="26"/>
  <c r="G381" i="26" s="1"/>
  <c r="F78" i="26"/>
  <c r="E78" i="26"/>
  <c r="D78" i="26"/>
  <c r="C78" i="26"/>
  <c r="B78" i="26"/>
  <c r="G77" i="26"/>
  <c r="F77" i="26"/>
  <c r="E77" i="26"/>
  <c r="D77" i="26"/>
  <c r="C77" i="26"/>
  <c r="B77" i="26"/>
  <c r="G76" i="26"/>
  <c r="F76" i="26"/>
  <c r="E76" i="26"/>
  <c r="D76" i="26"/>
  <c r="C76" i="26"/>
  <c r="B76" i="26"/>
  <c r="G75" i="26"/>
  <c r="F75" i="26"/>
  <c r="E75" i="26"/>
  <c r="D75" i="26"/>
  <c r="C75" i="26"/>
  <c r="B75" i="26"/>
  <c r="G74" i="26"/>
  <c r="F74" i="26"/>
  <c r="E74" i="26"/>
  <c r="D74" i="26"/>
  <c r="C74" i="26"/>
  <c r="B74" i="26"/>
  <c r="G73" i="26"/>
  <c r="F73" i="26"/>
  <c r="E73" i="26"/>
  <c r="D73" i="26"/>
  <c r="C73" i="26"/>
  <c r="B73" i="26"/>
  <c r="G72" i="26"/>
  <c r="F72" i="26"/>
  <c r="E72" i="26"/>
  <c r="D72" i="26"/>
  <c r="C72" i="26"/>
  <c r="B72" i="26"/>
  <c r="G71" i="26"/>
  <c r="F71" i="26"/>
  <c r="E71" i="26"/>
  <c r="D71" i="26"/>
  <c r="C71" i="26"/>
  <c r="B71" i="26"/>
  <c r="G70" i="26"/>
  <c r="F70" i="26"/>
  <c r="E70" i="26"/>
  <c r="D70" i="26"/>
  <c r="C70" i="26"/>
  <c r="B70" i="26"/>
  <c r="G69" i="26"/>
  <c r="F69" i="26"/>
  <c r="E69" i="26"/>
  <c r="D69" i="26"/>
  <c r="C69" i="26"/>
  <c r="B69" i="26"/>
  <c r="G68" i="26"/>
  <c r="F68" i="26"/>
  <c r="E68" i="26"/>
  <c r="D68" i="26"/>
  <c r="C68" i="26"/>
  <c r="B68" i="26"/>
  <c r="G67" i="26"/>
  <c r="F67" i="26"/>
  <c r="E67" i="26"/>
  <c r="D67" i="26"/>
  <c r="C67" i="26"/>
  <c r="B67" i="26"/>
  <c r="G66" i="26"/>
  <c r="F66" i="26"/>
  <c r="E66" i="26"/>
  <c r="D66" i="26"/>
  <c r="C66" i="26"/>
  <c r="B66" i="26"/>
  <c r="G65" i="26"/>
  <c r="F65" i="26"/>
  <c r="E65" i="26"/>
  <c r="D65" i="26"/>
  <c r="C65" i="26"/>
  <c r="B65" i="26"/>
  <c r="G64" i="26"/>
  <c r="F64" i="26"/>
  <c r="E64" i="26"/>
  <c r="D64" i="26"/>
  <c r="C64" i="26"/>
  <c r="B64" i="26"/>
  <c r="G63" i="26"/>
  <c r="F63" i="26"/>
  <c r="E63" i="26"/>
  <c r="D63" i="26"/>
  <c r="C63" i="26"/>
  <c r="B63" i="26"/>
  <c r="G62" i="26"/>
  <c r="F62" i="26"/>
  <c r="E62" i="26"/>
  <c r="D62" i="26"/>
  <c r="C62" i="26"/>
  <c r="B62" i="26"/>
  <c r="G61" i="26"/>
  <c r="F61" i="26"/>
  <c r="E61" i="26"/>
  <c r="D61" i="26"/>
  <c r="C61" i="26"/>
  <c r="B61" i="26"/>
  <c r="G60" i="26"/>
  <c r="F60" i="26"/>
  <c r="E60" i="26"/>
  <c r="D60" i="26"/>
  <c r="C60" i="26"/>
  <c r="B60" i="26"/>
  <c r="G59" i="26"/>
  <c r="F59" i="26"/>
  <c r="E59" i="26"/>
  <c r="D59" i="26"/>
  <c r="C59" i="26"/>
  <c r="B59" i="26"/>
  <c r="G58" i="26"/>
  <c r="F58" i="26"/>
  <c r="E58" i="26"/>
  <c r="D58" i="26"/>
  <c r="C58" i="26"/>
  <c r="B58" i="26"/>
  <c r="G57" i="26"/>
  <c r="F57" i="26"/>
  <c r="E57" i="26"/>
  <c r="D57" i="26"/>
  <c r="C57" i="26"/>
  <c r="B57" i="26"/>
  <c r="G56" i="26"/>
  <c r="F56" i="26"/>
  <c r="E56" i="26"/>
  <c r="D56" i="26"/>
  <c r="C56" i="26"/>
  <c r="B56" i="26"/>
  <c r="G55" i="26"/>
  <c r="F55" i="26"/>
  <c r="E55" i="26"/>
  <c r="D55" i="26"/>
  <c r="C55" i="26"/>
  <c r="B55" i="26"/>
  <c r="G54" i="26"/>
  <c r="F54" i="26"/>
  <c r="E54" i="26"/>
  <c r="D54" i="26"/>
  <c r="C54" i="26"/>
  <c r="B54" i="26"/>
  <c r="G53" i="26"/>
  <c r="F53" i="26"/>
  <c r="E53" i="26"/>
  <c r="D53" i="26"/>
  <c r="C53" i="26"/>
  <c r="B53" i="26"/>
  <c r="G50" i="26"/>
  <c r="G374" i="26" s="1"/>
  <c r="F50" i="26"/>
  <c r="F374" i="26" s="1"/>
  <c r="E50" i="26"/>
  <c r="E374" i="26" s="1"/>
  <c r="D50" i="26"/>
  <c r="D374" i="26" s="1"/>
  <c r="C50" i="26"/>
  <c r="C374" i="26" s="1"/>
  <c r="B50" i="26"/>
  <c r="G46" i="26"/>
  <c r="G370" i="26" s="1"/>
  <c r="F46" i="26"/>
  <c r="F370" i="26" s="1"/>
  <c r="E46" i="26"/>
  <c r="D46" i="26"/>
  <c r="D370" i="26" s="1"/>
  <c r="C46" i="26"/>
  <c r="C370" i="26" s="1"/>
  <c r="B46" i="26"/>
  <c r="B370" i="26" s="1"/>
  <c r="G45" i="26"/>
  <c r="G369" i="26" s="1"/>
  <c r="F45" i="26"/>
  <c r="F369" i="26" s="1"/>
  <c r="E45" i="26"/>
  <c r="E369" i="26" s="1"/>
  <c r="D45" i="26"/>
  <c r="D369" i="26" s="1"/>
  <c r="C45" i="26"/>
  <c r="C369" i="26" s="1"/>
  <c r="B45" i="26"/>
  <c r="B369" i="26" s="1"/>
  <c r="G44" i="26"/>
  <c r="F44" i="26"/>
  <c r="F368" i="26" s="1"/>
  <c r="E44" i="26"/>
  <c r="E368" i="26" s="1"/>
  <c r="D44" i="26"/>
  <c r="D368" i="26" s="1"/>
  <c r="C44" i="26"/>
  <c r="B44" i="26"/>
  <c r="B368" i="26" s="1"/>
  <c r="G43" i="26"/>
  <c r="G367" i="26" s="1"/>
  <c r="F43" i="26"/>
  <c r="E43" i="26"/>
  <c r="E367" i="26" s="1"/>
  <c r="D43" i="26"/>
  <c r="D367" i="26" s="1"/>
  <c r="C43" i="26"/>
  <c r="C367" i="26" s="1"/>
  <c r="B43" i="26"/>
  <c r="B367" i="26" s="1"/>
  <c r="G42" i="26"/>
  <c r="G366" i="26" s="1"/>
  <c r="F42" i="26"/>
  <c r="F366" i="26" s="1"/>
  <c r="E42" i="26"/>
  <c r="D42" i="26"/>
  <c r="D366" i="26" s="1"/>
  <c r="C42" i="26"/>
  <c r="C366" i="26" s="1"/>
  <c r="B42" i="26"/>
  <c r="B366" i="26" s="1"/>
  <c r="G41" i="26"/>
  <c r="G365" i="26" s="1"/>
  <c r="F41" i="26"/>
  <c r="E41" i="26"/>
  <c r="E365" i="26" s="1"/>
  <c r="D41" i="26"/>
  <c r="D365" i="26" s="1"/>
  <c r="C41" i="26"/>
  <c r="C365" i="26" s="1"/>
  <c r="B41" i="26"/>
  <c r="B365" i="26" s="1"/>
  <c r="G40" i="26"/>
  <c r="G364" i="26" s="1"/>
  <c r="F40" i="26"/>
  <c r="F364" i="26" s="1"/>
  <c r="E40" i="26"/>
  <c r="E364" i="26" s="1"/>
  <c r="D40" i="26"/>
  <c r="D364" i="26" s="1"/>
  <c r="C40" i="26"/>
  <c r="C364" i="26" s="1"/>
  <c r="B40" i="26"/>
  <c r="B364" i="26" s="1"/>
  <c r="G39" i="26"/>
  <c r="G363" i="26" s="1"/>
  <c r="F39" i="26"/>
  <c r="E39" i="26"/>
  <c r="E363" i="26" s="1"/>
  <c r="D39" i="26"/>
  <c r="D363" i="26" s="1"/>
  <c r="C39" i="26"/>
  <c r="C363" i="26" s="1"/>
  <c r="B39" i="26"/>
  <c r="B363" i="26" s="1"/>
  <c r="G38" i="26"/>
  <c r="G362" i="26" s="1"/>
  <c r="F38" i="26"/>
  <c r="F362" i="26" s="1"/>
  <c r="E38" i="26"/>
  <c r="E362" i="26" s="1"/>
  <c r="D38" i="26"/>
  <c r="D362" i="26" s="1"/>
  <c r="C38" i="26"/>
  <c r="C362" i="26" s="1"/>
  <c r="B38" i="26"/>
  <c r="B362" i="26" s="1"/>
  <c r="G37" i="26"/>
  <c r="G361" i="26" s="1"/>
  <c r="F37" i="26"/>
  <c r="E37" i="26"/>
  <c r="E361" i="26" s="1"/>
  <c r="D37" i="26"/>
  <c r="C37" i="26"/>
  <c r="C361" i="26" s="1"/>
  <c r="B37" i="26"/>
  <c r="B361" i="26" s="1"/>
  <c r="G36" i="26"/>
  <c r="G360" i="26" s="1"/>
  <c r="F36" i="26"/>
  <c r="F360" i="26" s="1"/>
  <c r="E36" i="26"/>
  <c r="D36" i="26"/>
  <c r="D360" i="26" s="1"/>
  <c r="C36" i="26"/>
  <c r="C360" i="26" s="1"/>
  <c r="B36" i="26"/>
  <c r="B360" i="26" s="1"/>
  <c r="G35" i="26"/>
  <c r="F35" i="26"/>
  <c r="E35" i="26"/>
  <c r="D35" i="26"/>
  <c r="C35" i="26"/>
  <c r="B35" i="26"/>
  <c r="G34" i="26"/>
  <c r="F34" i="26"/>
  <c r="E34" i="26"/>
  <c r="D34" i="26"/>
  <c r="C34" i="26"/>
  <c r="B34" i="26"/>
  <c r="G33" i="26"/>
  <c r="F33" i="26"/>
  <c r="E33" i="26"/>
  <c r="D33" i="26"/>
  <c r="C33" i="26"/>
  <c r="B33" i="26"/>
  <c r="G32" i="26"/>
  <c r="F32" i="26"/>
  <c r="E32" i="26"/>
  <c r="D32" i="26"/>
  <c r="C32" i="26"/>
  <c r="B32" i="26"/>
  <c r="G31" i="26"/>
  <c r="F31" i="26"/>
  <c r="E31" i="26"/>
  <c r="D31" i="26"/>
  <c r="C31" i="26"/>
  <c r="B31" i="26"/>
  <c r="G30" i="26"/>
  <c r="G357" i="26" s="1"/>
  <c r="F30" i="26"/>
  <c r="D30" i="26"/>
  <c r="C30" i="26"/>
  <c r="B30" i="26"/>
  <c r="G29" i="26"/>
  <c r="F29" i="26"/>
  <c r="E29" i="26"/>
  <c r="D29" i="26"/>
  <c r="C29" i="26"/>
  <c r="B29" i="26"/>
  <c r="G28" i="26"/>
  <c r="F28" i="26"/>
  <c r="E28" i="26"/>
  <c r="D28" i="26"/>
  <c r="C28" i="26"/>
  <c r="B28" i="26"/>
  <c r="G27" i="26"/>
  <c r="F27" i="26"/>
  <c r="E27" i="26"/>
  <c r="D27" i="26"/>
  <c r="C27" i="26"/>
  <c r="B27" i="26"/>
  <c r="G26" i="26"/>
  <c r="F26" i="26"/>
  <c r="E26" i="26"/>
  <c r="D26" i="26"/>
  <c r="C26" i="26"/>
  <c r="B26" i="26"/>
  <c r="G25" i="26"/>
  <c r="F25" i="26"/>
  <c r="E25" i="26"/>
  <c r="D25" i="26"/>
  <c r="C25" i="26"/>
  <c r="B25" i="26"/>
  <c r="G24" i="26"/>
  <c r="F24" i="26"/>
  <c r="E24" i="26"/>
  <c r="D24" i="26"/>
  <c r="C24" i="26"/>
  <c r="B24" i="26"/>
  <c r="H23" i="26"/>
  <c r="G23" i="26"/>
  <c r="F23" i="26"/>
  <c r="E23" i="26"/>
  <c r="D23" i="26"/>
  <c r="C23" i="26"/>
  <c r="B23" i="26"/>
  <c r="G22" i="26"/>
  <c r="F22" i="26"/>
  <c r="E22" i="26"/>
  <c r="D22" i="26"/>
  <c r="C22" i="26"/>
  <c r="B22" i="26"/>
  <c r="G21" i="26"/>
  <c r="F21" i="26"/>
  <c r="E21" i="26"/>
  <c r="D21" i="26"/>
  <c r="C21" i="26"/>
  <c r="B21" i="26"/>
  <c r="G20" i="26"/>
  <c r="F20" i="26"/>
  <c r="E20" i="26"/>
  <c r="D20" i="26"/>
  <c r="C20" i="26"/>
  <c r="B20" i="26"/>
  <c r="G19" i="26"/>
  <c r="F19" i="26"/>
  <c r="E19" i="26"/>
  <c r="D19" i="26"/>
  <c r="C19" i="26"/>
  <c r="B19" i="26"/>
  <c r="G18" i="26"/>
  <c r="F18" i="26"/>
  <c r="E18" i="26"/>
  <c r="D18" i="26"/>
  <c r="C18" i="26"/>
  <c r="B18" i="26"/>
  <c r="G17" i="26"/>
  <c r="F17" i="26"/>
  <c r="E17" i="26"/>
  <c r="D17" i="26"/>
  <c r="C17" i="26"/>
  <c r="B17" i="26"/>
  <c r="G16" i="26"/>
  <c r="F16" i="26"/>
  <c r="E16" i="26"/>
  <c r="D16" i="26"/>
  <c r="C16" i="26"/>
  <c r="B16" i="26"/>
  <c r="G15" i="26"/>
  <c r="F15" i="26"/>
  <c r="E15" i="26"/>
  <c r="D15" i="26"/>
  <c r="C15" i="26"/>
  <c r="B15" i="26"/>
  <c r="G14" i="26"/>
  <c r="F14" i="26"/>
  <c r="E14" i="26"/>
  <c r="D14" i="26"/>
  <c r="C14" i="26"/>
  <c r="B14" i="26"/>
  <c r="G13" i="26"/>
  <c r="F13" i="26"/>
  <c r="E13" i="26"/>
  <c r="D13" i="26"/>
  <c r="C13" i="26"/>
  <c r="B13" i="26"/>
  <c r="G12" i="26"/>
  <c r="F12" i="26"/>
  <c r="E12" i="26"/>
  <c r="D12" i="26"/>
  <c r="C12" i="26"/>
  <c r="B12" i="26"/>
  <c r="G11" i="26"/>
  <c r="F11" i="26"/>
  <c r="E11" i="26"/>
  <c r="D11" i="26"/>
  <c r="C11" i="26"/>
  <c r="B11" i="26"/>
  <c r="G10" i="26"/>
  <c r="F10" i="26"/>
  <c r="E10" i="26"/>
  <c r="D10" i="26"/>
  <c r="C10" i="26"/>
  <c r="B10" i="26"/>
  <c r="G9" i="26"/>
  <c r="F9" i="26"/>
  <c r="E9" i="26"/>
  <c r="D9" i="26"/>
  <c r="C9" i="26"/>
  <c r="B9" i="26"/>
  <c r="G8" i="26"/>
  <c r="F8" i="26"/>
  <c r="E8" i="26"/>
  <c r="D8" i="26"/>
  <c r="C8" i="26"/>
  <c r="B8" i="26"/>
  <c r="G7" i="26"/>
  <c r="F7" i="26"/>
  <c r="E7" i="26"/>
  <c r="D7" i="26"/>
  <c r="C7" i="26"/>
  <c r="B7" i="26"/>
  <c r="G6" i="26"/>
  <c r="F6" i="26"/>
  <c r="E6" i="26"/>
  <c r="D6" i="26"/>
  <c r="C6" i="26"/>
  <c r="B6" i="26"/>
  <c r="G5" i="26"/>
  <c r="F5" i="26"/>
  <c r="E5" i="26"/>
  <c r="D5" i="26"/>
  <c r="C5" i="26"/>
  <c r="B5" i="26"/>
  <c r="A282" i="25"/>
  <c r="K240" i="25"/>
  <c r="B240" i="25"/>
  <c r="X236" i="25"/>
  <c r="K236" i="25"/>
  <c r="B236" i="25"/>
  <c r="K235" i="25"/>
  <c r="B235" i="25"/>
  <c r="K234" i="25"/>
  <c r="B234" i="25"/>
  <c r="K233" i="25"/>
  <c r="B233" i="25"/>
  <c r="K232" i="25"/>
  <c r="B232" i="25"/>
  <c r="K231" i="25"/>
  <c r="B231" i="25"/>
  <c r="K230" i="25"/>
  <c r="B230" i="25"/>
  <c r="B228" i="25"/>
  <c r="B227" i="25"/>
  <c r="B226" i="25"/>
  <c r="B225" i="25"/>
  <c r="B224" i="25"/>
  <c r="W221" i="25"/>
  <c r="P221" i="25"/>
  <c r="O221" i="25"/>
  <c r="N221" i="25"/>
  <c r="K221" i="25"/>
  <c r="B221" i="25"/>
  <c r="W217" i="25"/>
  <c r="P217" i="25"/>
  <c r="O217" i="25"/>
  <c r="N217" i="25"/>
  <c r="K217" i="25"/>
  <c r="B217" i="25"/>
  <c r="W216" i="25"/>
  <c r="P216" i="25"/>
  <c r="O216" i="25"/>
  <c r="N216" i="25"/>
  <c r="K216" i="25"/>
  <c r="B216" i="25"/>
  <c r="W215" i="25"/>
  <c r="P215" i="25"/>
  <c r="O215" i="25"/>
  <c r="N215" i="25"/>
  <c r="K215" i="25"/>
  <c r="B215" i="25"/>
  <c r="W214" i="25"/>
  <c r="P214" i="25"/>
  <c r="O214" i="25"/>
  <c r="N214" i="25"/>
  <c r="K214" i="25"/>
  <c r="B214" i="25"/>
  <c r="W213" i="25"/>
  <c r="P213" i="25"/>
  <c r="O213" i="25"/>
  <c r="N213" i="25"/>
  <c r="K213" i="25"/>
  <c r="B213" i="25"/>
  <c r="W212" i="25"/>
  <c r="P212" i="25"/>
  <c r="O212" i="25"/>
  <c r="N212" i="25"/>
  <c r="B212" i="25"/>
  <c r="W211" i="25"/>
  <c r="P211" i="25"/>
  <c r="O211" i="25"/>
  <c r="N211" i="25"/>
  <c r="B211" i="25"/>
  <c r="W209" i="25"/>
  <c r="P209" i="25"/>
  <c r="O209" i="25"/>
  <c r="N209" i="25"/>
  <c r="B209" i="25"/>
  <c r="W208" i="25"/>
  <c r="P208" i="25"/>
  <c r="O208" i="25"/>
  <c r="N208" i="25"/>
  <c r="B208" i="25"/>
  <c r="W207" i="25"/>
  <c r="P207" i="25"/>
  <c r="O207" i="25"/>
  <c r="N207" i="25"/>
  <c r="B207" i="25"/>
  <c r="W206" i="25"/>
  <c r="P206" i="25"/>
  <c r="O206" i="25"/>
  <c r="N206" i="25"/>
  <c r="B206" i="25"/>
  <c r="W205" i="25"/>
  <c r="P205" i="25"/>
  <c r="O205" i="25"/>
  <c r="N205" i="25"/>
  <c r="B205" i="25"/>
  <c r="B174" i="25"/>
  <c r="B173" i="25"/>
  <c r="B171" i="25"/>
  <c r="B170" i="25"/>
  <c r="W146" i="25"/>
  <c r="V146" i="25"/>
  <c r="U146" i="25"/>
  <c r="U262" i="25" s="1"/>
  <c r="T146" i="25"/>
  <c r="T262" i="25" s="1"/>
  <c r="S146" i="25"/>
  <c r="R146" i="25"/>
  <c r="Q146" i="25"/>
  <c r="Q262" i="25" s="1"/>
  <c r="P146" i="25"/>
  <c r="P262" i="25" s="1"/>
  <c r="O146" i="25"/>
  <c r="N146" i="25"/>
  <c r="K146" i="25"/>
  <c r="K194" i="25" s="1"/>
  <c r="K281" i="25" s="1"/>
  <c r="J146" i="25"/>
  <c r="I146" i="25"/>
  <c r="H146" i="25"/>
  <c r="H262" i="25" s="1"/>
  <c r="G146" i="25"/>
  <c r="G262" i="25" s="1"/>
  <c r="D146" i="25"/>
  <c r="D262" i="25" s="1"/>
  <c r="C146" i="25"/>
  <c r="C262" i="25" s="1"/>
  <c r="B146" i="25"/>
  <c r="W142" i="25"/>
  <c r="W258" i="25" s="1"/>
  <c r="V142" i="25"/>
  <c r="V258" i="25" s="1"/>
  <c r="U142" i="25"/>
  <c r="T142" i="25"/>
  <c r="S142" i="25"/>
  <c r="S258" i="25" s="1"/>
  <c r="R142" i="25"/>
  <c r="R258" i="25" s="1"/>
  <c r="Q142" i="25"/>
  <c r="P142" i="25"/>
  <c r="O142" i="25"/>
  <c r="O258" i="25" s="1"/>
  <c r="N142" i="25"/>
  <c r="N258" i="25" s="1"/>
  <c r="K142" i="25"/>
  <c r="J142" i="25"/>
  <c r="J258" i="25" s="1"/>
  <c r="I142" i="25"/>
  <c r="I258" i="25" s="1"/>
  <c r="H142" i="25"/>
  <c r="G142" i="25"/>
  <c r="F142" i="25"/>
  <c r="E142" i="25"/>
  <c r="E258" i="25" s="1"/>
  <c r="D142" i="25"/>
  <c r="C142" i="25"/>
  <c r="B142" i="25"/>
  <c r="B258" i="25" s="1"/>
  <c r="W141" i="25"/>
  <c r="V141" i="25"/>
  <c r="U141" i="25"/>
  <c r="U257" i="25" s="1"/>
  <c r="T141" i="25"/>
  <c r="T257" i="25" s="1"/>
  <c r="S141" i="25"/>
  <c r="R141" i="25"/>
  <c r="Q141" i="25"/>
  <c r="Q257" i="25" s="1"/>
  <c r="P141" i="25"/>
  <c r="P257" i="25" s="1"/>
  <c r="O141" i="25"/>
  <c r="N141" i="25"/>
  <c r="K141" i="25"/>
  <c r="J141" i="25"/>
  <c r="I141" i="25"/>
  <c r="H141" i="25"/>
  <c r="H257" i="25" s="1"/>
  <c r="G141" i="25"/>
  <c r="G257" i="25" s="1"/>
  <c r="F141" i="25"/>
  <c r="E141" i="25"/>
  <c r="D141" i="25"/>
  <c r="D257" i="25" s="1"/>
  <c r="C141" i="25"/>
  <c r="C257" i="25" s="1"/>
  <c r="B141" i="25"/>
  <c r="W140" i="25"/>
  <c r="W256" i="25" s="1"/>
  <c r="V140" i="25"/>
  <c r="V256" i="25" s="1"/>
  <c r="U140" i="25"/>
  <c r="T140" i="25"/>
  <c r="S140" i="25"/>
  <c r="S256" i="25" s="1"/>
  <c r="R140" i="25"/>
  <c r="R256" i="25" s="1"/>
  <c r="Q140" i="25"/>
  <c r="P140" i="25"/>
  <c r="O140" i="25"/>
  <c r="O256" i="25" s="1"/>
  <c r="N140" i="25"/>
  <c r="N256" i="25" s="1"/>
  <c r="K140" i="25"/>
  <c r="J140" i="25"/>
  <c r="J256" i="25" s="1"/>
  <c r="I140" i="25"/>
  <c r="I256" i="25" s="1"/>
  <c r="H140" i="25"/>
  <c r="G140" i="25"/>
  <c r="F140" i="25"/>
  <c r="F256" i="25" s="1"/>
  <c r="E140" i="25"/>
  <c r="E256" i="25" s="1"/>
  <c r="D140" i="25"/>
  <c r="C140" i="25"/>
  <c r="B140" i="25"/>
  <c r="W139" i="25"/>
  <c r="V139" i="25"/>
  <c r="U139" i="25"/>
  <c r="T139" i="25"/>
  <c r="T255" i="25" s="1"/>
  <c r="S139" i="25"/>
  <c r="R139" i="25"/>
  <c r="Q139" i="25"/>
  <c r="P139" i="25"/>
  <c r="P255" i="25" s="1"/>
  <c r="O139" i="25"/>
  <c r="N139" i="25"/>
  <c r="K139" i="25"/>
  <c r="J139" i="25"/>
  <c r="I139" i="25"/>
  <c r="H139" i="25"/>
  <c r="H255" i="25" s="1"/>
  <c r="G139" i="25"/>
  <c r="G255" i="25" s="1"/>
  <c r="F139" i="25"/>
  <c r="E139" i="25"/>
  <c r="D139" i="25"/>
  <c r="C139" i="25"/>
  <c r="C255" i="25" s="1"/>
  <c r="B139" i="25"/>
  <c r="W138" i="25"/>
  <c r="V138" i="25"/>
  <c r="V254" i="25" s="1"/>
  <c r="U138" i="25"/>
  <c r="T138" i="25"/>
  <c r="S138" i="25"/>
  <c r="R138" i="25"/>
  <c r="R254" i="25" s="1"/>
  <c r="Q138" i="25"/>
  <c r="P138" i="25"/>
  <c r="O138" i="25"/>
  <c r="O254" i="25" s="1"/>
  <c r="N138" i="25"/>
  <c r="N254" i="25" s="1"/>
  <c r="K138" i="25"/>
  <c r="J138" i="25"/>
  <c r="I138" i="25"/>
  <c r="I254" i="25" s="1"/>
  <c r="H138" i="25"/>
  <c r="G138" i="25"/>
  <c r="F138" i="25"/>
  <c r="E138" i="25"/>
  <c r="E254" i="25" s="1"/>
  <c r="D138" i="25"/>
  <c r="C138" i="25"/>
  <c r="B138" i="25"/>
  <c r="W137" i="25"/>
  <c r="V137" i="25"/>
  <c r="U137" i="25"/>
  <c r="U253" i="25" s="1"/>
  <c r="T137" i="25"/>
  <c r="T253" i="25" s="1"/>
  <c r="S137" i="25"/>
  <c r="R137" i="25"/>
  <c r="Q137" i="25"/>
  <c r="Q253" i="25" s="1"/>
  <c r="P137" i="25"/>
  <c r="P253" i="25" s="1"/>
  <c r="O137" i="25"/>
  <c r="N137" i="25"/>
  <c r="K137" i="25"/>
  <c r="K253" i="25" s="1"/>
  <c r="J137" i="25"/>
  <c r="I137" i="25"/>
  <c r="H137" i="25"/>
  <c r="H253" i="25" s="1"/>
  <c r="G137" i="25"/>
  <c r="G253" i="25" s="1"/>
  <c r="F137" i="25"/>
  <c r="E137" i="25"/>
  <c r="D137" i="25"/>
  <c r="D253" i="25" s="1"/>
  <c r="C137" i="25"/>
  <c r="C253" i="25" s="1"/>
  <c r="B137" i="25"/>
  <c r="W136" i="25"/>
  <c r="W252" i="25" s="1"/>
  <c r="V136" i="25"/>
  <c r="V252" i="25" s="1"/>
  <c r="U136" i="25"/>
  <c r="T136" i="25"/>
  <c r="S136" i="25"/>
  <c r="S252" i="25" s="1"/>
  <c r="R136" i="25"/>
  <c r="R252" i="25" s="1"/>
  <c r="Q136" i="25"/>
  <c r="P136" i="25"/>
  <c r="O136" i="25"/>
  <c r="O252" i="25" s="1"/>
  <c r="N136" i="25"/>
  <c r="K136" i="25"/>
  <c r="J136" i="25"/>
  <c r="J252" i="25" s="1"/>
  <c r="I136" i="25"/>
  <c r="I252" i="25" s="1"/>
  <c r="H136" i="25"/>
  <c r="G136" i="25"/>
  <c r="F136" i="25"/>
  <c r="F252" i="25" s="1"/>
  <c r="E136" i="25"/>
  <c r="E252" i="25" s="1"/>
  <c r="D136" i="25"/>
  <c r="C136" i="25"/>
  <c r="B136" i="25"/>
  <c r="B252" i="25" s="1"/>
  <c r="W135" i="25"/>
  <c r="V135" i="25"/>
  <c r="U135" i="25"/>
  <c r="T135" i="25"/>
  <c r="S135" i="25"/>
  <c r="R135" i="25"/>
  <c r="Q135" i="25"/>
  <c r="P135" i="25"/>
  <c r="O135" i="25"/>
  <c r="N135" i="25"/>
  <c r="K135" i="25"/>
  <c r="J135" i="25"/>
  <c r="I135" i="25"/>
  <c r="H135" i="25"/>
  <c r="G135" i="25"/>
  <c r="F135" i="25"/>
  <c r="E135" i="25"/>
  <c r="D135" i="25"/>
  <c r="C135" i="25"/>
  <c r="B135" i="25"/>
  <c r="X134" i="25"/>
  <c r="W134" i="25"/>
  <c r="V134" i="25"/>
  <c r="U134" i="25"/>
  <c r="T134" i="25"/>
  <c r="S134" i="25"/>
  <c r="R134" i="25"/>
  <c r="Q134" i="25"/>
  <c r="P134" i="25"/>
  <c r="O134" i="25"/>
  <c r="N134" i="25"/>
  <c r="K134" i="25"/>
  <c r="J134" i="25"/>
  <c r="I134" i="25"/>
  <c r="H134" i="25"/>
  <c r="G134" i="25"/>
  <c r="F134" i="25"/>
  <c r="E134" i="25"/>
  <c r="D134" i="25"/>
  <c r="C134" i="25"/>
  <c r="B134" i="25"/>
  <c r="X133" i="25"/>
  <c r="W133" i="25"/>
  <c r="V133" i="25"/>
  <c r="U133" i="25"/>
  <c r="T133" i="25"/>
  <c r="S133" i="25"/>
  <c r="R133" i="25"/>
  <c r="Q133" i="25"/>
  <c r="P133" i="25"/>
  <c r="O133" i="25"/>
  <c r="N133" i="25"/>
  <c r="K133" i="25"/>
  <c r="J133" i="25"/>
  <c r="I133" i="25"/>
  <c r="H133" i="25"/>
  <c r="G133" i="25"/>
  <c r="F133" i="25"/>
  <c r="E133" i="25"/>
  <c r="D133" i="25"/>
  <c r="C133" i="25"/>
  <c r="B133" i="25"/>
  <c r="Y132" i="25"/>
  <c r="W132" i="25"/>
  <c r="V132" i="25"/>
  <c r="U132" i="25"/>
  <c r="T132" i="25"/>
  <c r="S132" i="25"/>
  <c r="R132" i="25"/>
  <c r="Q132" i="25"/>
  <c r="P132" i="25"/>
  <c r="O132" i="25"/>
  <c r="N132" i="25"/>
  <c r="K132" i="25"/>
  <c r="J132" i="25"/>
  <c r="I132" i="25"/>
  <c r="H132" i="25"/>
  <c r="G132" i="25"/>
  <c r="F132" i="25"/>
  <c r="E132" i="25"/>
  <c r="D132" i="25"/>
  <c r="C132" i="25"/>
  <c r="B132" i="25"/>
  <c r="W131" i="25"/>
  <c r="W251" i="25" s="1"/>
  <c r="V131" i="25"/>
  <c r="V251" i="25" s="1"/>
  <c r="U131" i="25"/>
  <c r="T131" i="25"/>
  <c r="S131" i="25"/>
  <c r="R131" i="25"/>
  <c r="Q131" i="25"/>
  <c r="P131" i="25"/>
  <c r="P251" i="25" s="1"/>
  <c r="O131" i="25"/>
  <c r="O251" i="25" s="1"/>
  <c r="N131" i="25"/>
  <c r="N251" i="25" s="1"/>
  <c r="K131" i="25"/>
  <c r="J131" i="25"/>
  <c r="I131" i="25"/>
  <c r="H131" i="25"/>
  <c r="G131" i="25"/>
  <c r="F131" i="25"/>
  <c r="F251" i="25" s="1"/>
  <c r="E131" i="25"/>
  <c r="D131" i="25"/>
  <c r="C131" i="25"/>
  <c r="B131" i="25"/>
  <c r="W130" i="25"/>
  <c r="V130" i="25"/>
  <c r="U130" i="25"/>
  <c r="T130" i="25"/>
  <c r="S130" i="25"/>
  <c r="R130" i="25"/>
  <c r="Q130" i="25"/>
  <c r="P130" i="25"/>
  <c r="O130" i="25"/>
  <c r="N130" i="25"/>
  <c r="K130" i="25"/>
  <c r="J130" i="25"/>
  <c r="I130" i="25"/>
  <c r="H130" i="25"/>
  <c r="G130" i="25"/>
  <c r="F130" i="25"/>
  <c r="E130" i="25"/>
  <c r="D130" i="25"/>
  <c r="C130" i="25"/>
  <c r="B130" i="25"/>
  <c r="B178" i="25" s="1"/>
  <c r="W129" i="25"/>
  <c r="V129" i="25"/>
  <c r="U129" i="25"/>
  <c r="T129" i="25"/>
  <c r="S129" i="25"/>
  <c r="R129" i="25"/>
  <c r="Q129" i="25"/>
  <c r="P129" i="25"/>
  <c r="O129" i="25"/>
  <c r="N129" i="25"/>
  <c r="K129" i="25"/>
  <c r="J129" i="25"/>
  <c r="I129" i="25"/>
  <c r="H129" i="25"/>
  <c r="G129" i="25"/>
  <c r="F129" i="25"/>
  <c r="E129" i="25"/>
  <c r="D129" i="25"/>
  <c r="C129" i="25"/>
  <c r="B129" i="25"/>
  <c r="B177" i="25" s="1"/>
  <c r="W128" i="25"/>
  <c r="V128" i="25"/>
  <c r="U128" i="25"/>
  <c r="T128" i="25"/>
  <c r="S128" i="25"/>
  <c r="R128" i="25"/>
  <c r="Q128" i="25"/>
  <c r="P128" i="25"/>
  <c r="O128" i="25"/>
  <c r="N128" i="25"/>
  <c r="K128" i="25"/>
  <c r="J128" i="25"/>
  <c r="I128" i="25"/>
  <c r="H128" i="25"/>
  <c r="G128" i="25"/>
  <c r="F128" i="25"/>
  <c r="E128" i="25"/>
  <c r="D128" i="25"/>
  <c r="C128" i="25"/>
  <c r="B128" i="25"/>
  <c r="B176" i="25" s="1"/>
  <c r="W127" i="25"/>
  <c r="V127" i="25"/>
  <c r="U127" i="25"/>
  <c r="T127" i="25"/>
  <c r="S127" i="25"/>
  <c r="R127" i="25"/>
  <c r="Q127" i="25"/>
  <c r="P127" i="25"/>
  <c r="O127" i="25"/>
  <c r="N127" i="25"/>
  <c r="K127" i="25"/>
  <c r="J127" i="25"/>
  <c r="I127" i="25"/>
  <c r="H127" i="25"/>
  <c r="G127" i="25"/>
  <c r="F127" i="25"/>
  <c r="E127" i="25"/>
  <c r="D127" i="25"/>
  <c r="C127" i="25"/>
  <c r="B127" i="25"/>
  <c r="W126" i="25"/>
  <c r="V126" i="25"/>
  <c r="V250" i="25" s="1"/>
  <c r="U126" i="25"/>
  <c r="T126" i="25"/>
  <c r="S126" i="25"/>
  <c r="R126" i="25"/>
  <c r="Q126" i="25"/>
  <c r="P126" i="25"/>
  <c r="O126" i="25"/>
  <c r="N126" i="25"/>
  <c r="N250" i="25" s="1"/>
  <c r="K126" i="25"/>
  <c r="J126" i="25"/>
  <c r="I126" i="25"/>
  <c r="H126" i="25"/>
  <c r="G126" i="25"/>
  <c r="F126" i="25"/>
  <c r="E126" i="25"/>
  <c r="D126" i="25"/>
  <c r="C126" i="25"/>
  <c r="W125" i="25"/>
  <c r="V125" i="25"/>
  <c r="U125" i="25"/>
  <c r="T125" i="25"/>
  <c r="S125" i="25"/>
  <c r="R125" i="25"/>
  <c r="Q125" i="25"/>
  <c r="P125" i="25"/>
  <c r="O125" i="25"/>
  <c r="N125" i="25"/>
  <c r="K125" i="25"/>
  <c r="J125" i="25"/>
  <c r="I125" i="25"/>
  <c r="H125" i="25"/>
  <c r="G125" i="25"/>
  <c r="F125" i="25"/>
  <c r="E125" i="25"/>
  <c r="D125" i="25"/>
  <c r="W124" i="25"/>
  <c r="V124" i="25"/>
  <c r="U124" i="25"/>
  <c r="T124" i="25"/>
  <c r="S124" i="25"/>
  <c r="R124" i="25"/>
  <c r="Q124" i="25"/>
  <c r="P124" i="25"/>
  <c r="O124" i="25"/>
  <c r="N124" i="25"/>
  <c r="J124" i="25"/>
  <c r="I124" i="25"/>
  <c r="H124" i="25"/>
  <c r="G124" i="25"/>
  <c r="F124" i="25"/>
  <c r="E124" i="25"/>
  <c r="D124" i="25"/>
  <c r="C124" i="25"/>
  <c r="B124" i="25"/>
  <c r="B172" i="25" s="1"/>
  <c r="W123" i="25"/>
  <c r="V123" i="25"/>
  <c r="U123" i="25"/>
  <c r="T123" i="25"/>
  <c r="S123" i="25"/>
  <c r="R123" i="25"/>
  <c r="Q123" i="25"/>
  <c r="P123" i="25"/>
  <c r="O123" i="25"/>
  <c r="N123" i="25"/>
  <c r="J123" i="25"/>
  <c r="I123" i="25"/>
  <c r="H123" i="25"/>
  <c r="G123" i="25"/>
  <c r="F123" i="25"/>
  <c r="E123" i="25"/>
  <c r="D123" i="25"/>
  <c r="C123" i="25"/>
  <c r="W122" i="25"/>
  <c r="V122" i="25"/>
  <c r="U122" i="25"/>
  <c r="T122" i="25"/>
  <c r="S122" i="25"/>
  <c r="R122" i="25"/>
  <c r="Q122" i="25"/>
  <c r="P122" i="25"/>
  <c r="O122" i="25"/>
  <c r="N122" i="25"/>
  <c r="K122" i="25"/>
  <c r="J122" i="25"/>
  <c r="I122" i="25"/>
  <c r="H122" i="25"/>
  <c r="G122" i="25"/>
  <c r="F122" i="25"/>
  <c r="E122" i="25"/>
  <c r="D122" i="25"/>
  <c r="C122" i="25"/>
  <c r="W121" i="25"/>
  <c r="V121" i="25"/>
  <c r="U121" i="25"/>
  <c r="T121" i="25"/>
  <c r="S121" i="25"/>
  <c r="R121" i="25"/>
  <c r="Q121" i="25"/>
  <c r="P121" i="25"/>
  <c r="O121" i="25"/>
  <c r="N121" i="25"/>
  <c r="J121" i="25"/>
  <c r="I121" i="25"/>
  <c r="H121" i="25"/>
  <c r="G121" i="25"/>
  <c r="F121" i="25"/>
  <c r="E121" i="25"/>
  <c r="D121" i="25"/>
  <c r="C121" i="25"/>
  <c r="B121" i="25"/>
  <c r="W120" i="25"/>
  <c r="V120" i="25"/>
  <c r="U120" i="25"/>
  <c r="T120" i="25"/>
  <c r="S120" i="25"/>
  <c r="R120" i="25"/>
  <c r="Q120" i="25"/>
  <c r="P120" i="25"/>
  <c r="O120" i="25"/>
  <c r="N120" i="25"/>
  <c r="J120" i="25"/>
  <c r="I120" i="25"/>
  <c r="H120" i="25"/>
  <c r="G120" i="25"/>
  <c r="F120" i="25"/>
  <c r="E120" i="25"/>
  <c r="D120" i="25"/>
  <c r="C120" i="25"/>
  <c r="B120" i="25"/>
  <c r="B168" i="25" s="1"/>
  <c r="W119" i="25"/>
  <c r="V119" i="25"/>
  <c r="U119" i="25"/>
  <c r="T119" i="25"/>
  <c r="S119" i="25"/>
  <c r="R119" i="25"/>
  <c r="Q119" i="25"/>
  <c r="P119" i="25"/>
  <c r="O119" i="25"/>
  <c r="N119" i="25"/>
  <c r="J119" i="25"/>
  <c r="I119" i="25"/>
  <c r="H119" i="25"/>
  <c r="G119" i="25"/>
  <c r="F119" i="25"/>
  <c r="E119" i="25"/>
  <c r="D119" i="25"/>
  <c r="C119" i="25"/>
  <c r="B119" i="25"/>
  <c r="B167" i="25" s="1"/>
  <c r="W118" i="25"/>
  <c r="V118" i="25"/>
  <c r="U118" i="25"/>
  <c r="T118" i="25"/>
  <c r="S118" i="25"/>
  <c r="R118" i="25"/>
  <c r="Q118" i="25"/>
  <c r="P118" i="25"/>
  <c r="O118" i="25"/>
  <c r="N118" i="25"/>
  <c r="K118" i="25"/>
  <c r="J118" i="25"/>
  <c r="I118" i="25"/>
  <c r="H118" i="25"/>
  <c r="G118" i="25"/>
  <c r="F118" i="25"/>
  <c r="E118" i="25"/>
  <c r="D118" i="25"/>
  <c r="C118" i="25"/>
  <c r="B118" i="25"/>
  <c r="B166" i="25" s="1"/>
  <c r="W117" i="25"/>
  <c r="V117" i="25"/>
  <c r="U117" i="25"/>
  <c r="T117" i="25"/>
  <c r="S117" i="25"/>
  <c r="R117" i="25"/>
  <c r="Q117" i="25"/>
  <c r="P117" i="25"/>
  <c r="O117" i="25"/>
  <c r="N117" i="25"/>
  <c r="K117" i="25"/>
  <c r="J117" i="25"/>
  <c r="I117" i="25"/>
  <c r="H117" i="25"/>
  <c r="G117" i="25"/>
  <c r="F117" i="25"/>
  <c r="E117" i="25"/>
  <c r="D117" i="25"/>
  <c r="C117" i="25"/>
  <c r="B117" i="25"/>
  <c r="B165" i="25" s="1"/>
  <c r="W116" i="25"/>
  <c r="V116" i="25"/>
  <c r="U116" i="25"/>
  <c r="T116" i="25"/>
  <c r="S116" i="25"/>
  <c r="R116" i="25"/>
  <c r="Q116" i="25"/>
  <c r="P116" i="25"/>
  <c r="O116" i="25"/>
  <c r="N116" i="25"/>
  <c r="K116" i="25"/>
  <c r="J116" i="25"/>
  <c r="I116" i="25"/>
  <c r="H116" i="25"/>
  <c r="G116" i="25"/>
  <c r="F116" i="25"/>
  <c r="E116" i="25"/>
  <c r="D116" i="25"/>
  <c r="C116" i="25"/>
  <c r="B116" i="25"/>
  <c r="W115" i="25"/>
  <c r="V115" i="25"/>
  <c r="U115" i="25"/>
  <c r="T115" i="25"/>
  <c r="S115" i="25"/>
  <c r="R115" i="25"/>
  <c r="Q115" i="25"/>
  <c r="P115" i="25"/>
  <c r="O115" i="25"/>
  <c r="N115" i="25"/>
  <c r="K115" i="25"/>
  <c r="J115" i="25"/>
  <c r="I115" i="25"/>
  <c r="H115" i="25"/>
  <c r="G115" i="25"/>
  <c r="F115" i="25"/>
  <c r="E115" i="25"/>
  <c r="D115" i="25"/>
  <c r="C115" i="25"/>
  <c r="B115" i="25"/>
  <c r="B163" i="25" s="1"/>
  <c r="W114" i="25"/>
  <c r="V114" i="25"/>
  <c r="U114" i="25"/>
  <c r="T114" i="25"/>
  <c r="S114" i="25"/>
  <c r="R114" i="25"/>
  <c r="Q114" i="25"/>
  <c r="P114" i="25"/>
  <c r="O114" i="25"/>
  <c r="N114" i="25"/>
  <c r="K114" i="25"/>
  <c r="J114" i="25"/>
  <c r="I114" i="25"/>
  <c r="H114" i="25"/>
  <c r="G114" i="25"/>
  <c r="F114" i="25"/>
  <c r="E114" i="25"/>
  <c r="D114" i="25"/>
  <c r="C114" i="25"/>
  <c r="B114" i="25"/>
  <c r="B162" i="25" s="1"/>
  <c r="W113" i="25"/>
  <c r="V113" i="25"/>
  <c r="U113" i="25"/>
  <c r="T113" i="25"/>
  <c r="S113" i="25"/>
  <c r="R113" i="25"/>
  <c r="Q113" i="25"/>
  <c r="P113" i="25"/>
  <c r="O113" i="25"/>
  <c r="N113" i="25"/>
  <c r="K113" i="25"/>
  <c r="J113" i="25"/>
  <c r="I113" i="25"/>
  <c r="H113" i="25"/>
  <c r="G113" i="25"/>
  <c r="F113" i="25"/>
  <c r="E113" i="25"/>
  <c r="D113" i="25"/>
  <c r="C113" i="25"/>
  <c r="B113" i="25"/>
  <c r="B161" i="25" s="1"/>
  <c r="W112" i="25"/>
  <c r="V112" i="25"/>
  <c r="U112" i="25"/>
  <c r="T112" i="25"/>
  <c r="S112" i="25"/>
  <c r="R112" i="25"/>
  <c r="Q112" i="25"/>
  <c r="P112" i="25"/>
  <c r="O112" i="25"/>
  <c r="N112" i="25"/>
  <c r="K112" i="25"/>
  <c r="J112" i="25"/>
  <c r="I112" i="25"/>
  <c r="H112" i="25"/>
  <c r="G112" i="25"/>
  <c r="F112" i="25"/>
  <c r="E112" i="25"/>
  <c r="D112" i="25"/>
  <c r="C112" i="25"/>
  <c r="B112" i="25"/>
  <c r="B160" i="25" s="1"/>
  <c r="W111" i="25"/>
  <c r="V111" i="25"/>
  <c r="U111" i="25"/>
  <c r="T111" i="25"/>
  <c r="S111" i="25"/>
  <c r="R111" i="25"/>
  <c r="Q111" i="25"/>
  <c r="P111" i="25"/>
  <c r="O111" i="25"/>
  <c r="N111" i="25"/>
  <c r="K111" i="25"/>
  <c r="J111" i="25"/>
  <c r="I111" i="25"/>
  <c r="H111" i="25"/>
  <c r="G111" i="25"/>
  <c r="F111" i="25"/>
  <c r="E111" i="25"/>
  <c r="D111" i="25"/>
  <c r="C111" i="25"/>
  <c r="B111" i="25"/>
  <c r="B159" i="25" s="1"/>
  <c r="W110" i="25"/>
  <c r="V110" i="25"/>
  <c r="U110" i="25"/>
  <c r="T110" i="25"/>
  <c r="S110" i="25"/>
  <c r="R110" i="25"/>
  <c r="Q110" i="25"/>
  <c r="P110" i="25"/>
  <c r="O110" i="25"/>
  <c r="N110" i="25"/>
  <c r="K110" i="25"/>
  <c r="J110" i="25"/>
  <c r="I110" i="25"/>
  <c r="H110" i="25"/>
  <c r="G110" i="25"/>
  <c r="F110" i="25"/>
  <c r="E110" i="25"/>
  <c r="D110" i="25"/>
  <c r="C110" i="25"/>
  <c r="B110" i="25"/>
  <c r="B158" i="25" s="1"/>
  <c r="W109" i="25"/>
  <c r="V109" i="25"/>
  <c r="U109" i="25"/>
  <c r="T109" i="25"/>
  <c r="S109" i="25"/>
  <c r="R109" i="25"/>
  <c r="Q109" i="25"/>
  <c r="P109" i="25"/>
  <c r="O109" i="25"/>
  <c r="N109" i="25"/>
  <c r="K109" i="25"/>
  <c r="J109" i="25"/>
  <c r="I109" i="25"/>
  <c r="H109" i="25"/>
  <c r="G109" i="25"/>
  <c r="F109" i="25"/>
  <c r="E109" i="25"/>
  <c r="D109" i="25"/>
  <c r="C109" i="25"/>
  <c r="B109" i="25"/>
  <c r="B157" i="25" s="1"/>
  <c r="W108" i="25"/>
  <c r="V108" i="25"/>
  <c r="U108" i="25"/>
  <c r="T108" i="25"/>
  <c r="S108" i="25"/>
  <c r="R108" i="25"/>
  <c r="Q108" i="25"/>
  <c r="P108" i="25"/>
  <c r="O108" i="25"/>
  <c r="N108" i="25"/>
  <c r="K108" i="25"/>
  <c r="J108" i="25"/>
  <c r="I108" i="25"/>
  <c r="H108" i="25"/>
  <c r="G108" i="25"/>
  <c r="F108" i="25"/>
  <c r="E108" i="25"/>
  <c r="D108" i="25"/>
  <c r="C108" i="25"/>
  <c r="B108" i="25"/>
  <c r="B156" i="25" s="1"/>
  <c r="W107" i="25"/>
  <c r="V107" i="25"/>
  <c r="U107" i="25"/>
  <c r="T107" i="25"/>
  <c r="S107" i="25"/>
  <c r="R107" i="25"/>
  <c r="Q107" i="25"/>
  <c r="P107" i="25"/>
  <c r="O107" i="25"/>
  <c r="N107" i="25"/>
  <c r="K107" i="25"/>
  <c r="J107" i="25"/>
  <c r="I107" i="25"/>
  <c r="H107" i="25"/>
  <c r="G107" i="25"/>
  <c r="F107" i="25"/>
  <c r="E107" i="25"/>
  <c r="D107" i="25"/>
  <c r="C107" i="25"/>
  <c r="B107" i="25"/>
  <c r="B155" i="25" s="1"/>
  <c r="W106" i="25"/>
  <c r="V106" i="25"/>
  <c r="U106" i="25"/>
  <c r="T106" i="25"/>
  <c r="S106" i="25"/>
  <c r="R106" i="25"/>
  <c r="Q106" i="25"/>
  <c r="P106" i="25"/>
  <c r="O106" i="25"/>
  <c r="N106" i="25"/>
  <c r="K106" i="25"/>
  <c r="J106" i="25"/>
  <c r="I106" i="25"/>
  <c r="H106" i="25"/>
  <c r="G106" i="25"/>
  <c r="F106" i="25"/>
  <c r="E106" i="25"/>
  <c r="D106" i="25"/>
  <c r="C106" i="25"/>
  <c r="B106" i="25"/>
  <c r="W105" i="25"/>
  <c r="V105" i="25"/>
  <c r="U105" i="25"/>
  <c r="T105" i="25"/>
  <c r="S105" i="25"/>
  <c r="R105" i="25"/>
  <c r="Q105" i="25"/>
  <c r="P105" i="25"/>
  <c r="O105" i="25"/>
  <c r="N105" i="25"/>
  <c r="K105" i="25"/>
  <c r="J105" i="25"/>
  <c r="I105" i="25"/>
  <c r="H105" i="25"/>
  <c r="G105" i="25"/>
  <c r="F105" i="25"/>
  <c r="E105" i="25"/>
  <c r="D105" i="25"/>
  <c r="C105" i="25"/>
  <c r="B105" i="25"/>
  <c r="B153" i="25" s="1"/>
  <c r="W104" i="25"/>
  <c r="V104" i="25"/>
  <c r="U104" i="25"/>
  <c r="T104" i="25"/>
  <c r="S104" i="25"/>
  <c r="R104" i="25"/>
  <c r="Q104" i="25"/>
  <c r="P104" i="25"/>
  <c r="O104" i="25"/>
  <c r="N104" i="25"/>
  <c r="K104" i="25"/>
  <c r="J104" i="25"/>
  <c r="I104" i="25"/>
  <c r="H104" i="25"/>
  <c r="G104" i="25"/>
  <c r="F104" i="25"/>
  <c r="E104" i="25"/>
  <c r="D104" i="25"/>
  <c r="C104" i="25"/>
  <c r="B104" i="25"/>
  <c r="B152" i="25" s="1"/>
  <c r="W103" i="25"/>
  <c r="V103" i="25"/>
  <c r="U103" i="25"/>
  <c r="T103" i="25"/>
  <c r="S103" i="25"/>
  <c r="R103" i="25"/>
  <c r="Q103" i="25"/>
  <c r="P103" i="25"/>
  <c r="O103" i="25"/>
  <c r="N103" i="25"/>
  <c r="K103" i="25"/>
  <c r="J103" i="25"/>
  <c r="I103" i="25"/>
  <c r="H103" i="25"/>
  <c r="G103" i="25"/>
  <c r="F103" i="25"/>
  <c r="E103" i="25"/>
  <c r="D103" i="25"/>
  <c r="C103" i="25"/>
  <c r="B103" i="25"/>
  <c r="B151" i="25" s="1"/>
  <c r="W102" i="25"/>
  <c r="V102" i="25"/>
  <c r="U102" i="25"/>
  <c r="T102" i="25"/>
  <c r="S102" i="25"/>
  <c r="R102" i="25"/>
  <c r="Q102" i="25"/>
  <c r="P102" i="25"/>
  <c r="O102" i="25"/>
  <c r="N102" i="25"/>
  <c r="K102" i="25"/>
  <c r="J102" i="25"/>
  <c r="I102" i="25"/>
  <c r="H102" i="25"/>
  <c r="G102" i="25"/>
  <c r="F102" i="25"/>
  <c r="E102" i="25"/>
  <c r="D102" i="25"/>
  <c r="C102" i="25"/>
  <c r="B102" i="25"/>
  <c r="B150" i="25" s="1"/>
  <c r="W101" i="25"/>
  <c r="V101" i="25"/>
  <c r="U101" i="25"/>
  <c r="T101" i="25"/>
  <c r="S101" i="25"/>
  <c r="R101" i="25"/>
  <c r="Q101" i="25"/>
  <c r="P101" i="25"/>
  <c r="O101" i="25"/>
  <c r="N101" i="25"/>
  <c r="K101" i="25"/>
  <c r="J101" i="25"/>
  <c r="I101" i="25"/>
  <c r="H101" i="25"/>
  <c r="G101" i="25"/>
  <c r="F101" i="25"/>
  <c r="E101" i="25"/>
  <c r="D101" i="25"/>
  <c r="C101" i="25"/>
  <c r="B101" i="25"/>
  <c r="B149" i="25" s="1"/>
  <c r="W98" i="25"/>
  <c r="W240" i="25" s="1"/>
  <c r="V98" i="25"/>
  <c r="V240" i="25" s="1"/>
  <c r="U98" i="25"/>
  <c r="U240" i="25" s="1"/>
  <c r="T98" i="25"/>
  <c r="T240" i="25" s="1"/>
  <c r="S98" i="25"/>
  <c r="S240" i="25" s="1"/>
  <c r="R98" i="25"/>
  <c r="R240" i="25" s="1"/>
  <c r="Q98" i="25"/>
  <c r="Q240" i="25" s="1"/>
  <c r="P98" i="25"/>
  <c r="P240" i="25" s="1"/>
  <c r="O98" i="25"/>
  <c r="O240" i="25" s="1"/>
  <c r="N98" i="25"/>
  <c r="J98" i="25"/>
  <c r="J240" i="25" s="1"/>
  <c r="I98" i="25"/>
  <c r="I240" i="25" s="1"/>
  <c r="H98" i="25"/>
  <c r="H240" i="25" s="1"/>
  <c r="G98" i="25"/>
  <c r="G240" i="25" s="1"/>
  <c r="F98" i="25"/>
  <c r="F240" i="25" s="1"/>
  <c r="E98" i="25"/>
  <c r="E240" i="25" s="1"/>
  <c r="D98" i="25"/>
  <c r="D240" i="25" s="1"/>
  <c r="C98" i="25"/>
  <c r="C240" i="25" s="1"/>
  <c r="W94" i="25"/>
  <c r="W236" i="25" s="1"/>
  <c r="V94" i="25"/>
  <c r="V236" i="25" s="1"/>
  <c r="U94" i="25"/>
  <c r="U236" i="25" s="1"/>
  <c r="T94" i="25"/>
  <c r="T236" i="25" s="1"/>
  <c r="S94" i="25"/>
  <c r="S236" i="25" s="1"/>
  <c r="R94" i="25"/>
  <c r="R236" i="25" s="1"/>
  <c r="Q94" i="25"/>
  <c r="Q236" i="25" s="1"/>
  <c r="P94" i="25"/>
  <c r="P236" i="25" s="1"/>
  <c r="O94" i="25"/>
  <c r="O236" i="25" s="1"/>
  <c r="N94" i="25"/>
  <c r="N236" i="25" s="1"/>
  <c r="J94" i="25"/>
  <c r="J236" i="25" s="1"/>
  <c r="I94" i="25"/>
  <c r="I236" i="25" s="1"/>
  <c r="H94" i="25"/>
  <c r="H236" i="25" s="1"/>
  <c r="G94" i="25"/>
  <c r="G236" i="25" s="1"/>
  <c r="F94" i="25"/>
  <c r="F236" i="25" s="1"/>
  <c r="E94" i="25"/>
  <c r="E236" i="25" s="1"/>
  <c r="D94" i="25"/>
  <c r="D236" i="25" s="1"/>
  <c r="C94" i="25"/>
  <c r="C236" i="25" s="1"/>
  <c r="W93" i="25"/>
  <c r="W235" i="25" s="1"/>
  <c r="V93" i="25"/>
  <c r="V235" i="25" s="1"/>
  <c r="U93" i="25"/>
  <c r="U235" i="25" s="1"/>
  <c r="T93" i="25"/>
  <c r="T235" i="25" s="1"/>
  <c r="S93" i="25"/>
  <c r="S235" i="25" s="1"/>
  <c r="R93" i="25"/>
  <c r="R235" i="25" s="1"/>
  <c r="Q93" i="25"/>
  <c r="Q235" i="25" s="1"/>
  <c r="P93" i="25"/>
  <c r="P235" i="25" s="1"/>
  <c r="O93" i="25"/>
  <c r="O235" i="25" s="1"/>
  <c r="N93" i="25"/>
  <c r="N235" i="25" s="1"/>
  <c r="J93" i="25"/>
  <c r="J235" i="25" s="1"/>
  <c r="I93" i="25"/>
  <c r="I235" i="25" s="1"/>
  <c r="H93" i="25"/>
  <c r="H235" i="25" s="1"/>
  <c r="G93" i="25"/>
  <c r="G235" i="25" s="1"/>
  <c r="F93" i="25"/>
  <c r="F235" i="25" s="1"/>
  <c r="E93" i="25"/>
  <c r="E235" i="25" s="1"/>
  <c r="D93" i="25"/>
  <c r="D235" i="25" s="1"/>
  <c r="C93" i="25"/>
  <c r="C235" i="25" s="1"/>
  <c r="W92" i="25"/>
  <c r="W234" i="25" s="1"/>
  <c r="V92" i="25"/>
  <c r="V234" i="25" s="1"/>
  <c r="U92" i="25"/>
  <c r="U234" i="25" s="1"/>
  <c r="T92" i="25"/>
  <c r="T234" i="25" s="1"/>
  <c r="S92" i="25"/>
  <c r="S234" i="25" s="1"/>
  <c r="R92" i="25"/>
  <c r="R234" i="25" s="1"/>
  <c r="Q92" i="25"/>
  <c r="Q234" i="25" s="1"/>
  <c r="P92" i="25"/>
  <c r="P234" i="25" s="1"/>
  <c r="O92" i="25"/>
  <c r="O234" i="25" s="1"/>
  <c r="N92" i="25"/>
  <c r="N234" i="25" s="1"/>
  <c r="J92" i="25"/>
  <c r="J234" i="25" s="1"/>
  <c r="I92" i="25"/>
  <c r="I234" i="25" s="1"/>
  <c r="H92" i="25"/>
  <c r="H234" i="25" s="1"/>
  <c r="G92" i="25"/>
  <c r="G234" i="25" s="1"/>
  <c r="F92" i="25"/>
  <c r="F234" i="25" s="1"/>
  <c r="E92" i="25"/>
  <c r="E234" i="25" s="1"/>
  <c r="D92" i="25"/>
  <c r="D234" i="25" s="1"/>
  <c r="C92" i="25"/>
  <c r="C234" i="25" s="1"/>
  <c r="W91" i="25"/>
  <c r="W233" i="25" s="1"/>
  <c r="V91" i="25"/>
  <c r="V233" i="25" s="1"/>
  <c r="U91" i="25"/>
  <c r="U233" i="25" s="1"/>
  <c r="T91" i="25"/>
  <c r="T233" i="25" s="1"/>
  <c r="S91" i="25"/>
  <c r="S233" i="25" s="1"/>
  <c r="R91" i="25"/>
  <c r="R233" i="25" s="1"/>
  <c r="Q91" i="25"/>
  <c r="Q233" i="25" s="1"/>
  <c r="P91" i="25"/>
  <c r="P233" i="25" s="1"/>
  <c r="O91" i="25"/>
  <c r="O233" i="25" s="1"/>
  <c r="N91" i="25"/>
  <c r="N233" i="25" s="1"/>
  <c r="J91" i="25"/>
  <c r="J233" i="25" s="1"/>
  <c r="I91" i="25"/>
  <c r="I233" i="25" s="1"/>
  <c r="H91" i="25"/>
  <c r="H233" i="25" s="1"/>
  <c r="G91" i="25"/>
  <c r="G233" i="25" s="1"/>
  <c r="F91" i="25"/>
  <c r="F233" i="25" s="1"/>
  <c r="E91" i="25"/>
  <c r="E233" i="25" s="1"/>
  <c r="D91" i="25"/>
  <c r="D233" i="25" s="1"/>
  <c r="C91" i="25"/>
  <c r="C233" i="25" s="1"/>
  <c r="W90" i="25"/>
  <c r="W232" i="25" s="1"/>
  <c r="V90" i="25"/>
  <c r="V232" i="25" s="1"/>
  <c r="U90" i="25"/>
  <c r="U232" i="25" s="1"/>
  <c r="T90" i="25"/>
  <c r="T232" i="25" s="1"/>
  <c r="S90" i="25"/>
  <c r="S232" i="25" s="1"/>
  <c r="R90" i="25"/>
  <c r="R232" i="25" s="1"/>
  <c r="Q90" i="25"/>
  <c r="Q232" i="25" s="1"/>
  <c r="P90" i="25"/>
  <c r="P232" i="25" s="1"/>
  <c r="O90" i="25"/>
  <c r="O232" i="25" s="1"/>
  <c r="N90" i="25"/>
  <c r="N232" i="25" s="1"/>
  <c r="J90" i="25"/>
  <c r="J232" i="25" s="1"/>
  <c r="I90" i="25"/>
  <c r="I232" i="25" s="1"/>
  <c r="H90" i="25"/>
  <c r="H232" i="25" s="1"/>
  <c r="G90" i="25"/>
  <c r="G232" i="25" s="1"/>
  <c r="F90" i="25"/>
  <c r="F232" i="25" s="1"/>
  <c r="E90" i="25"/>
  <c r="E232" i="25" s="1"/>
  <c r="D90" i="25"/>
  <c r="D232" i="25" s="1"/>
  <c r="C90" i="25"/>
  <c r="C232" i="25" s="1"/>
  <c r="W89" i="25"/>
  <c r="W231" i="25" s="1"/>
  <c r="V89" i="25"/>
  <c r="V231" i="25" s="1"/>
  <c r="U89" i="25"/>
  <c r="U231" i="25" s="1"/>
  <c r="T89" i="25"/>
  <c r="T231" i="25" s="1"/>
  <c r="S89" i="25"/>
  <c r="S231" i="25" s="1"/>
  <c r="R89" i="25"/>
  <c r="R231" i="25" s="1"/>
  <c r="Q89" i="25"/>
  <c r="Q231" i="25" s="1"/>
  <c r="P89" i="25"/>
  <c r="P231" i="25" s="1"/>
  <c r="O89" i="25"/>
  <c r="O231" i="25" s="1"/>
  <c r="N89" i="25"/>
  <c r="N231" i="25" s="1"/>
  <c r="J89" i="25"/>
  <c r="J231" i="25" s="1"/>
  <c r="I89" i="25"/>
  <c r="I231" i="25" s="1"/>
  <c r="H89" i="25"/>
  <c r="H231" i="25" s="1"/>
  <c r="G89" i="25"/>
  <c r="G231" i="25" s="1"/>
  <c r="F89" i="25"/>
  <c r="F231" i="25" s="1"/>
  <c r="E89" i="25"/>
  <c r="E231" i="25" s="1"/>
  <c r="D89" i="25"/>
  <c r="D231" i="25" s="1"/>
  <c r="C89" i="25"/>
  <c r="C231" i="25" s="1"/>
  <c r="W88" i="25"/>
  <c r="W230" i="25" s="1"/>
  <c r="V88" i="25"/>
  <c r="V230" i="25" s="1"/>
  <c r="U88" i="25"/>
  <c r="U230" i="25" s="1"/>
  <c r="T88" i="25"/>
  <c r="T230" i="25" s="1"/>
  <c r="S88" i="25"/>
  <c r="S230" i="25" s="1"/>
  <c r="R88" i="25"/>
  <c r="R230" i="25" s="1"/>
  <c r="Q88" i="25"/>
  <c r="Q230" i="25" s="1"/>
  <c r="P88" i="25"/>
  <c r="P230" i="25" s="1"/>
  <c r="O88" i="25"/>
  <c r="O230" i="25" s="1"/>
  <c r="N88" i="25"/>
  <c r="N230" i="25" s="1"/>
  <c r="J88" i="25"/>
  <c r="J230" i="25" s="1"/>
  <c r="I88" i="25"/>
  <c r="I230" i="25" s="1"/>
  <c r="H88" i="25"/>
  <c r="H230" i="25" s="1"/>
  <c r="G88" i="25"/>
  <c r="G230" i="25" s="1"/>
  <c r="F88" i="25"/>
  <c r="F230" i="25" s="1"/>
  <c r="E88" i="25"/>
  <c r="E230" i="25" s="1"/>
  <c r="D88" i="25"/>
  <c r="D230" i="25" s="1"/>
  <c r="C88" i="25"/>
  <c r="C230" i="25" s="1"/>
  <c r="W87" i="25"/>
  <c r="V87" i="25"/>
  <c r="U87" i="25"/>
  <c r="T87" i="25"/>
  <c r="S87" i="25"/>
  <c r="R87" i="25"/>
  <c r="Q87" i="25"/>
  <c r="P87" i="25"/>
  <c r="O87" i="25"/>
  <c r="N87" i="25"/>
  <c r="J87" i="25"/>
  <c r="I87" i="25"/>
  <c r="H87" i="25"/>
  <c r="G87" i="25"/>
  <c r="F87" i="25"/>
  <c r="E87" i="25"/>
  <c r="D87" i="25"/>
  <c r="C87" i="25"/>
  <c r="W86" i="25"/>
  <c r="V86" i="25"/>
  <c r="U86" i="25"/>
  <c r="T86" i="25"/>
  <c r="S86" i="25"/>
  <c r="R86" i="25"/>
  <c r="Q86" i="25"/>
  <c r="P86" i="25"/>
  <c r="O86" i="25"/>
  <c r="N86" i="25"/>
  <c r="J86" i="25"/>
  <c r="I86" i="25"/>
  <c r="H86" i="25"/>
  <c r="G86" i="25"/>
  <c r="F86" i="25"/>
  <c r="E86" i="25"/>
  <c r="D86" i="25"/>
  <c r="C86" i="25"/>
  <c r="W85" i="25"/>
  <c r="V85" i="25"/>
  <c r="U85" i="25"/>
  <c r="T85" i="25"/>
  <c r="S85" i="25"/>
  <c r="R85" i="25"/>
  <c r="Q85" i="25"/>
  <c r="P85" i="25"/>
  <c r="O85" i="25"/>
  <c r="N85" i="25"/>
  <c r="J85" i="25"/>
  <c r="I85" i="25"/>
  <c r="H85" i="25"/>
  <c r="G85" i="25"/>
  <c r="F85" i="25"/>
  <c r="E85" i="25"/>
  <c r="D85" i="25"/>
  <c r="C85" i="25"/>
  <c r="W84" i="25"/>
  <c r="V84" i="25"/>
  <c r="U84" i="25"/>
  <c r="T84" i="25"/>
  <c r="S84" i="25"/>
  <c r="R84" i="25"/>
  <c r="Q84" i="25"/>
  <c r="P84" i="25"/>
  <c r="O84" i="25"/>
  <c r="N84" i="25"/>
  <c r="K84" i="25"/>
  <c r="J84" i="25"/>
  <c r="I84" i="25"/>
  <c r="H84" i="25"/>
  <c r="G84" i="25"/>
  <c r="F84" i="25"/>
  <c r="E84" i="25"/>
  <c r="D84" i="25"/>
  <c r="C84" i="25"/>
  <c r="W83" i="25"/>
  <c r="W229" i="25" s="1"/>
  <c r="V83" i="25"/>
  <c r="U83" i="25"/>
  <c r="T83" i="25"/>
  <c r="S83" i="25"/>
  <c r="R83" i="25"/>
  <c r="Q83" i="25"/>
  <c r="P83" i="25"/>
  <c r="P229" i="25" s="1"/>
  <c r="O83" i="25"/>
  <c r="O229" i="25" s="1"/>
  <c r="N83" i="25"/>
  <c r="N229" i="25" s="1"/>
  <c r="K83" i="25"/>
  <c r="K229" i="25" s="1"/>
  <c r="J83" i="25"/>
  <c r="I83" i="25"/>
  <c r="H83" i="25"/>
  <c r="G83" i="25"/>
  <c r="F83" i="25"/>
  <c r="E83" i="25"/>
  <c r="D83" i="25"/>
  <c r="D229" i="25" s="1"/>
  <c r="C83" i="25"/>
  <c r="C229" i="25" s="1"/>
  <c r="W82" i="25"/>
  <c r="V82" i="25"/>
  <c r="U82" i="25"/>
  <c r="T82" i="25"/>
  <c r="S82" i="25"/>
  <c r="R82" i="25"/>
  <c r="Q82" i="25"/>
  <c r="P82" i="25"/>
  <c r="O82" i="25"/>
  <c r="N82" i="25"/>
  <c r="K82" i="25"/>
  <c r="J82" i="25"/>
  <c r="I82" i="25"/>
  <c r="H82" i="25"/>
  <c r="G82" i="25"/>
  <c r="F82" i="25"/>
  <c r="E82" i="25"/>
  <c r="D82" i="25"/>
  <c r="C82" i="25"/>
  <c r="W81" i="25"/>
  <c r="V81" i="25"/>
  <c r="U81" i="25"/>
  <c r="T81" i="25"/>
  <c r="S81" i="25"/>
  <c r="R81" i="25"/>
  <c r="Q81" i="25"/>
  <c r="P81" i="25"/>
  <c r="O81" i="25"/>
  <c r="N81" i="25"/>
  <c r="K81" i="25"/>
  <c r="J81" i="25"/>
  <c r="I81" i="25"/>
  <c r="H81" i="25"/>
  <c r="G81" i="25"/>
  <c r="F81" i="25"/>
  <c r="E81" i="25"/>
  <c r="D81" i="25"/>
  <c r="C81" i="25"/>
  <c r="W80" i="25"/>
  <c r="V80" i="25"/>
  <c r="U80" i="25"/>
  <c r="T80" i="25"/>
  <c r="S80" i="25"/>
  <c r="R80" i="25"/>
  <c r="Q80" i="25"/>
  <c r="P80" i="25"/>
  <c r="O80" i="25"/>
  <c r="N80" i="25"/>
  <c r="K80" i="25"/>
  <c r="J80" i="25"/>
  <c r="I80" i="25"/>
  <c r="H80" i="25"/>
  <c r="G80" i="25"/>
  <c r="F80" i="25"/>
  <c r="E80" i="25"/>
  <c r="D80" i="25"/>
  <c r="C80" i="25"/>
  <c r="W79" i="25"/>
  <c r="V79" i="25"/>
  <c r="U79" i="25"/>
  <c r="T79" i="25"/>
  <c r="S79" i="25"/>
  <c r="R79" i="25"/>
  <c r="Q79" i="25"/>
  <c r="P79" i="25"/>
  <c r="O79" i="25"/>
  <c r="N79" i="25"/>
  <c r="K79" i="25"/>
  <c r="J79" i="25"/>
  <c r="I79" i="25"/>
  <c r="H79" i="25"/>
  <c r="G79" i="25"/>
  <c r="F79" i="25"/>
  <c r="E79" i="25"/>
  <c r="D79" i="25"/>
  <c r="C79" i="25"/>
  <c r="W78" i="25"/>
  <c r="W228" i="25" s="1"/>
  <c r="V78" i="25"/>
  <c r="U78" i="25"/>
  <c r="T78" i="25"/>
  <c r="S78" i="25"/>
  <c r="R78" i="25"/>
  <c r="Q78" i="25"/>
  <c r="P78" i="25"/>
  <c r="P228" i="25" s="1"/>
  <c r="O78" i="25"/>
  <c r="O228" i="25" s="1"/>
  <c r="N78" i="25"/>
  <c r="K78" i="25"/>
  <c r="K228" i="25" s="1"/>
  <c r="J78" i="25"/>
  <c r="I78" i="25"/>
  <c r="H78" i="25"/>
  <c r="G78" i="25"/>
  <c r="F78" i="25"/>
  <c r="E78" i="25"/>
  <c r="D78" i="25"/>
  <c r="D228" i="25" s="1"/>
  <c r="C78" i="25"/>
  <c r="C228" i="25" s="1"/>
  <c r="W77" i="25"/>
  <c r="V77" i="25"/>
  <c r="U77" i="25"/>
  <c r="T77" i="25"/>
  <c r="S77" i="25"/>
  <c r="R77" i="25"/>
  <c r="Q77" i="25"/>
  <c r="P77" i="25"/>
  <c r="O77" i="25"/>
  <c r="N77" i="25"/>
  <c r="K77" i="25"/>
  <c r="J77" i="25"/>
  <c r="I77" i="25"/>
  <c r="H77" i="25"/>
  <c r="G77" i="25"/>
  <c r="F77" i="25"/>
  <c r="E77" i="25"/>
  <c r="D77" i="25"/>
  <c r="C77" i="25"/>
  <c r="W76" i="25"/>
  <c r="V76" i="25"/>
  <c r="U76" i="25"/>
  <c r="T76" i="25"/>
  <c r="S76" i="25"/>
  <c r="R76" i="25"/>
  <c r="Q76" i="25"/>
  <c r="P76" i="25"/>
  <c r="O76" i="25"/>
  <c r="N76" i="25"/>
  <c r="K76" i="25"/>
  <c r="J76" i="25"/>
  <c r="I76" i="25"/>
  <c r="H76" i="25"/>
  <c r="G76" i="25"/>
  <c r="F76" i="25"/>
  <c r="E76" i="25"/>
  <c r="D76" i="25"/>
  <c r="C76" i="25"/>
  <c r="W75" i="25"/>
  <c r="V75" i="25"/>
  <c r="U75" i="25"/>
  <c r="T75" i="25"/>
  <c r="S75" i="25"/>
  <c r="R75" i="25"/>
  <c r="Q75" i="25"/>
  <c r="P75" i="25"/>
  <c r="O75" i="25"/>
  <c r="N75" i="25"/>
  <c r="K75" i="25"/>
  <c r="J75" i="25"/>
  <c r="I75" i="25"/>
  <c r="H75" i="25"/>
  <c r="G75" i="25"/>
  <c r="F75" i="25"/>
  <c r="E75" i="25"/>
  <c r="D75" i="25"/>
  <c r="C75" i="25"/>
  <c r="W74" i="25"/>
  <c r="V74" i="25"/>
  <c r="U74" i="25"/>
  <c r="T74" i="25"/>
  <c r="S74" i="25"/>
  <c r="R74" i="25"/>
  <c r="Q74" i="25"/>
  <c r="P74" i="25"/>
  <c r="P170" i="25" s="1"/>
  <c r="O74" i="25"/>
  <c r="N74" i="25"/>
  <c r="K74" i="25"/>
  <c r="J74" i="25"/>
  <c r="I74" i="25"/>
  <c r="H74" i="25"/>
  <c r="G74" i="25"/>
  <c r="F74" i="25"/>
  <c r="E74" i="25"/>
  <c r="D74" i="25"/>
  <c r="C74" i="25"/>
  <c r="W73" i="25"/>
  <c r="V73" i="25"/>
  <c r="U73" i="25"/>
  <c r="T73" i="25"/>
  <c r="S73" i="25"/>
  <c r="R73" i="25"/>
  <c r="Q73" i="25"/>
  <c r="P73" i="25"/>
  <c r="O73" i="25"/>
  <c r="N73" i="25"/>
  <c r="K73" i="25"/>
  <c r="K227" i="25" s="1"/>
  <c r="J73" i="25"/>
  <c r="I73" i="25"/>
  <c r="H73" i="25"/>
  <c r="G73" i="25"/>
  <c r="F73" i="25"/>
  <c r="E73" i="25"/>
  <c r="D73" i="25"/>
  <c r="D227" i="25" s="1"/>
  <c r="C73" i="25"/>
  <c r="C227" i="25" s="1"/>
  <c r="W72" i="25"/>
  <c r="V72" i="25"/>
  <c r="U72" i="25"/>
  <c r="T72" i="25"/>
  <c r="S72" i="25"/>
  <c r="R72" i="25"/>
  <c r="Q72" i="25"/>
  <c r="P72" i="25"/>
  <c r="O72" i="25"/>
  <c r="N72" i="25"/>
  <c r="K72" i="25"/>
  <c r="J72" i="25"/>
  <c r="I72" i="25"/>
  <c r="H72" i="25"/>
  <c r="G72" i="25"/>
  <c r="F72" i="25"/>
  <c r="E72" i="25"/>
  <c r="D72" i="25"/>
  <c r="C72" i="25"/>
  <c r="W71" i="25"/>
  <c r="V71" i="25"/>
  <c r="U71" i="25"/>
  <c r="T71" i="25"/>
  <c r="S71" i="25"/>
  <c r="R71" i="25"/>
  <c r="Q71" i="25"/>
  <c r="P71" i="25"/>
  <c r="O71" i="25"/>
  <c r="N71" i="25"/>
  <c r="K71" i="25"/>
  <c r="J71" i="25"/>
  <c r="I71" i="25"/>
  <c r="H71" i="25"/>
  <c r="G71" i="25"/>
  <c r="F71" i="25"/>
  <c r="E71" i="25"/>
  <c r="D71" i="25"/>
  <c r="C71" i="25"/>
  <c r="W70" i="25"/>
  <c r="V70" i="25"/>
  <c r="U70" i="25"/>
  <c r="T70" i="25"/>
  <c r="S70" i="25"/>
  <c r="R70" i="25"/>
  <c r="Q70" i="25"/>
  <c r="P70" i="25"/>
  <c r="O70" i="25"/>
  <c r="N70" i="25"/>
  <c r="K70" i="25"/>
  <c r="J70" i="25"/>
  <c r="J166" i="25" s="1"/>
  <c r="I70" i="25"/>
  <c r="H70" i="25"/>
  <c r="G70" i="25"/>
  <c r="F70" i="25"/>
  <c r="E70" i="25"/>
  <c r="D70" i="25"/>
  <c r="C70" i="25"/>
  <c r="W69" i="25"/>
  <c r="V69" i="25"/>
  <c r="U69" i="25"/>
  <c r="T69" i="25"/>
  <c r="S69" i="25"/>
  <c r="R69" i="25"/>
  <c r="Q69" i="25"/>
  <c r="P69" i="25"/>
  <c r="O69" i="25"/>
  <c r="N69" i="25"/>
  <c r="K69" i="25"/>
  <c r="J69" i="25"/>
  <c r="I69" i="25"/>
  <c r="H69" i="25"/>
  <c r="G69" i="25"/>
  <c r="F69" i="25"/>
  <c r="E69" i="25"/>
  <c r="D69" i="25"/>
  <c r="C69" i="25"/>
  <c r="W68" i="25"/>
  <c r="V68" i="25"/>
  <c r="U68" i="25"/>
  <c r="T68" i="25"/>
  <c r="S68" i="25"/>
  <c r="R68" i="25"/>
  <c r="Q68" i="25"/>
  <c r="P68" i="25"/>
  <c r="O68" i="25"/>
  <c r="N68" i="25"/>
  <c r="K68" i="25"/>
  <c r="K226" i="25" s="1"/>
  <c r="J68" i="25"/>
  <c r="I68" i="25"/>
  <c r="H68" i="25"/>
  <c r="G68" i="25"/>
  <c r="F68" i="25"/>
  <c r="E68" i="25"/>
  <c r="D68" i="25"/>
  <c r="D226" i="25" s="1"/>
  <c r="C68" i="25"/>
  <c r="W67" i="25"/>
  <c r="V67" i="25"/>
  <c r="U67" i="25"/>
  <c r="T67" i="25"/>
  <c r="S67" i="25"/>
  <c r="R67" i="25"/>
  <c r="Q67" i="25"/>
  <c r="P67" i="25"/>
  <c r="O67" i="25"/>
  <c r="N67" i="25"/>
  <c r="K67" i="25"/>
  <c r="K225" i="25" s="1"/>
  <c r="J67" i="25"/>
  <c r="I67" i="25"/>
  <c r="H67" i="25"/>
  <c r="G67" i="25"/>
  <c r="F67" i="25"/>
  <c r="E67" i="25"/>
  <c r="D67" i="25"/>
  <c r="D225" i="25" s="1"/>
  <c r="C67" i="25"/>
  <c r="W66" i="25"/>
  <c r="V66" i="25"/>
  <c r="U66" i="25"/>
  <c r="T66" i="25"/>
  <c r="S66" i="25"/>
  <c r="R66" i="25"/>
  <c r="Q66" i="25"/>
  <c r="P66" i="25"/>
  <c r="O66" i="25"/>
  <c r="N66" i="25"/>
  <c r="K66" i="25"/>
  <c r="J66" i="25"/>
  <c r="I66" i="25"/>
  <c r="H66" i="25"/>
  <c r="G66" i="25"/>
  <c r="F66" i="25"/>
  <c r="E66" i="25"/>
  <c r="D66" i="25"/>
  <c r="C66" i="25"/>
  <c r="W65" i="25"/>
  <c r="V65" i="25"/>
  <c r="U65" i="25"/>
  <c r="T65" i="25"/>
  <c r="S65" i="25"/>
  <c r="R65" i="25"/>
  <c r="Q65" i="25"/>
  <c r="P65" i="25"/>
  <c r="O65" i="25"/>
  <c r="N65" i="25"/>
  <c r="K65" i="25"/>
  <c r="J65" i="25"/>
  <c r="I65" i="25"/>
  <c r="H65" i="25"/>
  <c r="G65" i="25"/>
  <c r="F65" i="25"/>
  <c r="E65" i="25"/>
  <c r="D65" i="25"/>
  <c r="C65" i="25"/>
  <c r="W64" i="25"/>
  <c r="V64" i="25"/>
  <c r="U64" i="25"/>
  <c r="T64" i="25"/>
  <c r="S64" i="25"/>
  <c r="R64" i="25"/>
  <c r="Q64" i="25"/>
  <c r="P64" i="25"/>
  <c r="O64" i="25"/>
  <c r="N64" i="25"/>
  <c r="K64" i="25"/>
  <c r="J64" i="25"/>
  <c r="I64" i="25"/>
  <c r="H64" i="25"/>
  <c r="G64" i="25"/>
  <c r="F64" i="25"/>
  <c r="E64" i="25"/>
  <c r="D64" i="25"/>
  <c r="C64" i="25"/>
  <c r="W63" i="25"/>
  <c r="V63" i="25"/>
  <c r="U63" i="25"/>
  <c r="T63" i="25"/>
  <c r="S63" i="25"/>
  <c r="R63" i="25"/>
  <c r="Q63" i="25"/>
  <c r="P63" i="25"/>
  <c r="O63" i="25"/>
  <c r="N63" i="25"/>
  <c r="K63" i="25"/>
  <c r="J63" i="25"/>
  <c r="I63" i="25"/>
  <c r="H63" i="25"/>
  <c r="G63" i="25"/>
  <c r="F63" i="25"/>
  <c r="E63" i="25"/>
  <c r="D63" i="25"/>
  <c r="C63" i="25"/>
  <c r="W62" i="25"/>
  <c r="V62" i="25"/>
  <c r="U62" i="25"/>
  <c r="T62" i="25"/>
  <c r="S62" i="25"/>
  <c r="R62" i="25"/>
  <c r="Q62" i="25"/>
  <c r="P62" i="25"/>
  <c r="O62" i="25"/>
  <c r="N62" i="25"/>
  <c r="K62" i="25"/>
  <c r="J62" i="25"/>
  <c r="I62" i="25"/>
  <c r="H62" i="25"/>
  <c r="G62" i="25"/>
  <c r="F62" i="25"/>
  <c r="E62" i="25"/>
  <c r="D62" i="25"/>
  <c r="C62" i="25"/>
  <c r="W61" i="25"/>
  <c r="V61" i="25"/>
  <c r="U61" i="25"/>
  <c r="T61" i="25"/>
  <c r="S61" i="25"/>
  <c r="R61" i="25"/>
  <c r="Q61" i="25"/>
  <c r="P61" i="25"/>
  <c r="O61" i="25"/>
  <c r="N61" i="25"/>
  <c r="K61" i="25"/>
  <c r="J61" i="25"/>
  <c r="I61" i="25"/>
  <c r="H61" i="25"/>
  <c r="G61" i="25"/>
  <c r="F61" i="25"/>
  <c r="E61" i="25"/>
  <c r="D61" i="25"/>
  <c r="C61" i="25"/>
  <c r="W60" i="25"/>
  <c r="V60" i="25"/>
  <c r="U60" i="25"/>
  <c r="T60" i="25"/>
  <c r="S60" i="25"/>
  <c r="R60" i="25"/>
  <c r="Q60" i="25"/>
  <c r="P60" i="25"/>
  <c r="O60" i="25"/>
  <c r="N60" i="25"/>
  <c r="K60" i="25"/>
  <c r="J60" i="25"/>
  <c r="I60" i="25"/>
  <c r="H60" i="25"/>
  <c r="G60" i="25"/>
  <c r="F60" i="25"/>
  <c r="E60" i="25"/>
  <c r="D60" i="25"/>
  <c r="C60" i="25"/>
  <c r="W59" i="25"/>
  <c r="V59" i="25"/>
  <c r="U59" i="25"/>
  <c r="T59" i="25"/>
  <c r="S59" i="25"/>
  <c r="R59" i="25"/>
  <c r="Q59" i="25"/>
  <c r="P59" i="25"/>
  <c r="O59" i="25"/>
  <c r="N59" i="25"/>
  <c r="K59" i="25"/>
  <c r="J59" i="25"/>
  <c r="I59" i="25"/>
  <c r="H59" i="25"/>
  <c r="G59" i="25"/>
  <c r="F59" i="25"/>
  <c r="E59" i="25"/>
  <c r="D59" i="25"/>
  <c r="C59" i="25"/>
  <c r="W58" i="25"/>
  <c r="V58" i="25"/>
  <c r="U58" i="25"/>
  <c r="T58" i="25"/>
  <c r="S58" i="25"/>
  <c r="R58" i="25"/>
  <c r="Q58" i="25"/>
  <c r="P58" i="25"/>
  <c r="O58" i="25"/>
  <c r="N58" i="25"/>
  <c r="K58" i="25"/>
  <c r="J58" i="25"/>
  <c r="I58" i="25"/>
  <c r="H58" i="25"/>
  <c r="G58" i="25"/>
  <c r="F58" i="25"/>
  <c r="E58" i="25"/>
  <c r="D58" i="25"/>
  <c r="C58" i="25"/>
  <c r="W57" i="25"/>
  <c r="V57" i="25"/>
  <c r="U57" i="25"/>
  <c r="T57" i="25"/>
  <c r="S57" i="25"/>
  <c r="R57" i="25"/>
  <c r="Q57" i="25"/>
  <c r="P57" i="25"/>
  <c r="O57" i="25"/>
  <c r="N57" i="25"/>
  <c r="K57" i="25"/>
  <c r="J57" i="25"/>
  <c r="I57" i="25"/>
  <c r="H57" i="25"/>
  <c r="G57" i="25"/>
  <c r="F57" i="25"/>
  <c r="E57" i="25"/>
  <c r="D57" i="25"/>
  <c r="C57" i="25"/>
  <c r="W56" i="25"/>
  <c r="V56" i="25"/>
  <c r="U56" i="25"/>
  <c r="T56" i="25"/>
  <c r="S56" i="25"/>
  <c r="R56" i="25"/>
  <c r="Q56" i="25"/>
  <c r="P56" i="25"/>
  <c r="O56" i="25"/>
  <c r="N56" i="25"/>
  <c r="K56" i="25"/>
  <c r="J56" i="25"/>
  <c r="I56" i="25"/>
  <c r="H56" i="25"/>
  <c r="G56" i="25"/>
  <c r="F56" i="25"/>
  <c r="E56" i="25"/>
  <c r="D56" i="25"/>
  <c r="C56" i="25"/>
  <c r="W55" i="25"/>
  <c r="V55" i="25"/>
  <c r="U55" i="25"/>
  <c r="T55" i="25"/>
  <c r="S55" i="25"/>
  <c r="R55" i="25"/>
  <c r="Q55" i="25"/>
  <c r="P55" i="25"/>
  <c r="O55" i="25"/>
  <c r="N55" i="25"/>
  <c r="K55" i="25"/>
  <c r="J55" i="25"/>
  <c r="I55" i="25"/>
  <c r="H55" i="25"/>
  <c r="G55" i="25"/>
  <c r="F55" i="25"/>
  <c r="E55" i="25"/>
  <c r="D55" i="25"/>
  <c r="C55" i="25"/>
  <c r="W54" i="25"/>
  <c r="V54" i="25"/>
  <c r="U54" i="25"/>
  <c r="T54" i="25"/>
  <c r="S54" i="25"/>
  <c r="R54" i="25"/>
  <c r="Q54" i="25"/>
  <c r="P54" i="25"/>
  <c r="O54" i="25"/>
  <c r="N54" i="25"/>
  <c r="K54" i="25"/>
  <c r="J54" i="25"/>
  <c r="I54" i="25"/>
  <c r="H54" i="25"/>
  <c r="G54" i="25"/>
  <c r="F54" i="25"/>
  <c r="E54" i="25"/>
  <c r="D54" i="25"/>
  <c r="C54" i="25"/>
  <c r="W53" i="25"/>
  <c r="V53" i="25"/>
  <c r="U53" i="25"/>
  <c r="T53" i="25"/>
  <c r="S53" i="25"/>
  <c r="R53" i="25"/>
  <c r="Q53" i="25"/>
  <c r="P53" i="25"/>
  <c r="O53" i="25"/>
  <c r="N53" i="25"/>
  <c r="K53" i="25"/>
  <c r="J53" i="25"/>
  <c r="I53" i="25"/>
  <c r="H53" i="25"/>
  <c r="G53" i="25"/>
  <c r="F53" i="25"/>
  <c r="E53" i="25"/>
  <c r="D53" i="25"/>
  <c r="C53" i="25"/>
  <c r="V50" i="25"/>
  <c r="V221" i="25" s="1"/>
  <c r="U50" i="25"/>
  <c r="U221" i="25" s="1"/>
  <c r="T50" i="25"/>
  <c r="T221" i="25" s="1"/>
  <c r="S50" i="25"/>
  <c r="S221" i="25" s="1"/>
  <c r="R50" i="25"/>
  <c r="R221" i="25" s="1"/>
  <c r="Q50" i="25"/>
  <c r="Q221" i="25" s="1"/>
  <c r="J50" i="25"/>
  <c r="J221" i="25" s="1"/>
  <c r="I50" i="25"/>
  <c r="I221" i="25" s="1"/>
  <c r="H50" i="25"/>
  <c r="H221" i="25" s="1"/>
  <c r="G50" i="25"/>
  <c r="G221" i="25" s="1"/>
  <c r="F50" i="25"/>
  <c r="F221" i="25" s="1"/>
  <c r="E50" i="25"/>
  <c r="E221" i="25" s="1"/>
  <c r="D50" i="25"/>
  <c r="D221" i="25" s="1"/>
  <c r="C50" i="25"/>
  <c r="C221" i="25" s="1"/>
  <c r="V46" i="25"/>
  <c r="V217" i="25" s="1"/>
  <c r="U46" i="25"/>
  <c r="U217" i="25" s="1"/>
  <c r="T46" i="25"/>
  <c r="T217" i="25" s="1"/>
  <c r="S46" i="25"/>
  <c r="S217" i="25" s="1"/>
  <c r="R46" i="25"/>
  <c r="R217" i="25" s="1"/>
  <c r="Q46" i="25"/>
  <c r="Q217" i="25" s="1"/>
  <c r="J46" i="25"/>
  <c r="J217" i="25" s="1"/>
  <c r="I46" i="25"/>
  <c r="I217" i="25" s="1"/>
  <c r="H46" i="25"/>
  <c r="H217" i="25" s="1"/>
  <c r="G46" i="25"/>
  <c r="G217" i="25" s="1"/>
  <c r="F46" i="25"/>
  <c r="F217" i="25" s="1"/>
  <c r="E46" i="25"/>
  <c r="E217" i="25" s="1"/>
  <c r="D46" i="25"/>
  <c r="D217" i="25" s="1"/>
  <c r="C217" i="25"/>
  <c r="V45" i="25"/>
  <c r="V216" i="25" s="1"/>
  <c r="U45" i="25"/>
  <c r="U216" i="25" s="1"/>
  <c r="T45" i="25"/>
  <c r="T216" i="25" s="1"/>
  <c r="S45" i="25"/>
  <c r="S216" i="25" s="1"/>
  <c r="R45" i="25"/>
  <c r="R216" i="25" s="1"/>
  <c r="Q45" i="25"/>
  <c r="Q216" i="25" s="1"/>
  <c r="J45" i="25"/>
  <c r="J216" i="25" s="1"/>
  <c r="I45" i="25"/>
  <c r="I216" i="25" s="1"/>
  <c r="H45" i="25"/>
  <c r="H216" i="25" s="1"/>
  <c r="G45" i="25"/>
  <c r="G216" i="25" s="1"/>
  <c r="F45" i="25"/>
  <c r="F216" i="25" s="1"/>
  <c r="E45" i="25"/>
  <c r="E216" i="25" s="1"/>
  <c r="D45" i="25"/>
  <c r="D216" i="25" s="1"/>
  <c r="C45" i="25"/>
  <c r="C216" i="25" s="1"/>
  <c r="V44" i="25"/>
  <c r="V215" i="25" s="1"/>
  <c r="U44" i="25"/>
  <c r="U215" i="25" s="1"/>
  <c r="T44" i="25"/>
  <c r="T215" i="25" s="1"/>
  <c r="S44" i="25"/>
  <c r="S215" i="25" s="1"/>
  <c r="R44" i="25"/>
  <c r="R215" i="25" s="1"/>
  <c r="Q44" i="25"/>
  <c r="Q215" i="25" s="1"/>
  <c r="J44" i="25"/>
  <c r="J215" i="25" s="1"/>
  <c r="I44" i="25"/>
  <c r="I215" i="25" s="1"/>
  <c r="H44" i="25"/>
  <c r="H215" i="25" s="1"/>
  <c r="G44" i="25"/>
  <c r="G215" i="25" s="1"/>
  <c r="F44" i="25"/>
  <c r="F215" i="25" s="1"/>
  <c r="E44" i="25"/>
  <c r="E215" i="25" s="1"/>
  <c r="D44" i="25"/>
  <c r="D215" i="25" s="1"/>
  <c r="C44" i="25"/>
  <c r="C215" i="25" s="1"/>
  <c r="V43" i="25"/>
  <c r="V214" i="25" s="1"/>
  <c r="U43" i="25"/>
  <c r="U214" i="25" s="1"/>
  <c r="T43" i="25"/>
  <c r="T214" i="25" s="1"/>
  <c r="S43" i="25"/>
  <c r="S214" i="25" s="1"/>
  <c r="R43" i="25"/>
  <c r="R214" i="25" s="1"/>
  <c r="Q43" i="25"/>
  <c r="Q214" i="25" s="1"/>
  <c r="J43" i="25"/>
  <c r="J214" i="25" s="1"/>
  <c r="I43" i="25"/>
  <c r="I214" i="25" s="1"/>
  <c r="H43" i="25"/>
  <c r="H214" i="25" s="1"/>
  <c r="G43" i="25"/>
  <c r="G214" i="25" s="1"/>
  <c r="F43" i="25"/>
  <c r="F214" i="25" s="1"/>
  <c r="E43" i="25"/>
  <c r="E214" i="25" s="1"/>
  <c r="D43" i="25"/>
  <c r="D214" i="25" s="1"/>
  <c r="C43" i="25"/>
  <c r="C214" i="25" s="1"/>
  <c r="V42" i="25"/>
  <c r="V213" i="25" s="1"/>
  <c r="U42" i="25"/>
  <c r="U213" i="25" s="1"/>
  <c r="T42" i="25"/>
  <c r="T213" i="25" s="1"/>
  <c r="S42" i="25"/>
  <c r="S213" i="25" s="1"/>
  <c r="R42" i="25"/>
  <c r="R213" i="25" s="1"/>
  <c r="Q42" i="25"/>
  <c r="Q213" i="25" s="1"/>
  <c r="J42" i="25"/>
  <c r="J213" i="25" s="1"/>
  <c r="I42" i="25"/>
  <c r="I213" i="25" s="1"/>
  <c r="H42" i="25"/>
  <c r="H213" i="25" s="1"/>
  <c r="G42" i="25"/>
  <c r="G213" i="25" s="1"/>
  <c r="F42" i="25"/>
  <c r="F213" i="25" s="1"/>
  <c r="E42" i="25"/>
  <c r="E213" i="25" s="1"/>
  <c r="D42" i="25"/>
  <c r="D213" i="25" s="1"/>
  <c r="C42" i="25"/>
  <c r="C213" i="25" s="1"/>
  <c r="V41" i="25"/>
  <c r="V212" i="25" s="1"/>
  <c r="U41" i="25"/>
  <c r="U212" i="25" s="1"/>
  <c r="T41" i="25"/>
  <c r="T212" i="25" s="1"/>
  <c r="S41" i="25"/>
  <c r="S212" i="25" s="1"/>
  <c r="R41" i="25"/>
  <c r="R212" i="25" s="1"/>
  <c r="Q41" i="25"/>
  <c r="Q212" i="25" s="1"/>
  <c r="K41" i="25"/>
  <c r="K212" i="25" s="1"/>
  <c r="J41" i="25"/>
  <c r="J212" i="25" s="1"/>
  <c r="I41" i="25"/>
  <c r="I212" i="25" s="1"/>
  <c r="H41" i="25"/>
  <c r="H212" i="25" s="1"/>
  <c r="G41" i="25"/>
  <c r="G212" i="25" s="1"/>
  <c r="F41" i="25"/>
  <c r="F212" i="25" s="1"/>
  <c r="E41" i="25"/>
  <c r="E212" i="25" s="1"/>
  <c r="D41" i="25"/>
  <c r="D212" i="25" s="1"/>
  <c r="C41" i="25"/>
  <c r="C212" i="25" s="1"/>
  <c r="V40" i="25"/>
  <c r="V211" i="25" s="1"/>
  <c r="U40" i="25"/>
  <c r="U211" i="25" s="1"/>
  <c r="T40" i="25"/>
  <c r="T211" i="25" s="1"/>
  <c r="S40" i="25"/>
  <c r="S211" i="25" s="1"/>
  <c r="R40" i="25"/>
  <c r="R211" i="25" s="1"/>
  <c r="Q40" i="25"/>
  <c r="Q211" i="25" s="1"/>
  <c r="K40" i="25"/>
  <c r="K211" i="25" s="1"/>
  <c r="J40" i="25"/>
  <c r="J211" i="25" s="1"/>
  <c r="I40" i="25"/>
  <c r="I211" i="25" s="1"/>
  <c r="H40" i="25"/>
  <c r="H211" i="25" s="1"/>
  <c r="G40" i="25"/>
  <c r="G211" i="25" s="1"/>
  <c r="F40" i="25"/>
  <c r="F211" i="25" s="1"/>
  <c r="E40" i="25"/>
  <c r="E211" i="25" s="1"/>
  <c r="D40" i="25"/>
  <c r="D211" i="25" s="1"/>
  <c r="C40" i="25"/>
  <c r="C211" i="25" s="1"/>
  <c r="V39" i="25"/>
  <c r="U39" i="25"/>
  <c r="T39" i="25"/>
  <c r="S39" i="25"/>
  <c r="R39" i="25"/>
  <c r="Q39" i="25"/>
  <c r="J39" i="25"/>
  <c r="I39" i="25"/>
  <c r="H39" i="25"/>
  <c r="G39" i="25"/>
  <c r="F39" i="25"/>
  <c r="E39" i="25"/>
  <c r="D39" i="25"/>
  <c r="C39" i="25"/>
  <c r="V38" i="25"/>
  <c r="U38" i="25"/>
  <c r="T38" i="25"/>
  <c r="S38" i="25"/>
  <c r="R38" i="25"/>
  <c r="Q38" i="25"/>
  <c r="J38" i="25"/>
  <c r="I38" i="25"/>
  <c r="H38" i="25"/>
  <c r="G38" i="25"/>
  <c r="F38" i="25"/>
  <c r="E38" i="25"/>
  <c r="D38" i="25"/>
  <c r="C38" i="25"/>
  <c r="V37" i="25"/>
  <c r="U37" i="25"/>
  <c r="T37" i="25"/>
  <c r="S37" i="25"/>
  <c r="R37" i="25"/>
  <c r="Q37" i="25"/>
  <c r="J37" i="25"/>
  <c r="I37" i="25"/>
  <c r="H37" i="25"/>
  <c r="G37" i="25"/>
  <c r="F37" i="25"/>
  <c r="E37" i="25"/>
  <c r="D37" i="25"/>
  <c r="C37" i="25"/>
  <c r="V36" i="25"/>
  <c r="U36" i="25"/>
  <c r="T36" i="25"/>
  <c r="S36" i="25"/>
  <c r="R36" i="25"/>
  <c r="Q36" i="25"/>
  <c r="K36" i="25"/>
  <c r="J36" i="25"/>
  <c r="I36" i="25"/>
  <c r="H36" i="25"/>
  <c r="G36" i="25"/>
  <c r="F36" i="25"/>
  <c r="E36" i="25"/>
  <c r="D36" i="25"/>
  <c r="C36" i="25"/>
  <c r="V35" i="25"/>
  <c r="U35" i="25"/>
  <c r="T35" i="25"/>
  <c r="S35" i="25"/>
  <c r="R35" i="25"/>
  <c r="Q35" i="25"/>
  <c r="K35" i="25"/>
  <c r="K210" i="25" s="1"/>
  <c r="J35" i="25"/>
  <c r="I35" i="25"/>
  <c r="H35" i="25"/>
  <c r="G35" i="25"/>
  <c r="F35" i="25"/>
  <c r="E35" i="25"/>
  <c r="D35" i="25"/>
  <c r="C35" i="25"/>
  <c r="V34" i="25"/>
  <c r="U34" i="25"/>
  <c r="T34" i="25"/>
  <c r="S34" i="25"/>
  <c r="R34" i="25"/>
  <c r="Q34" i="25"/>
  <c r="K34" i="25"/>
  <c r="J34" i="25"/>
  <c r="I34" i="25"/>
  <c r="H34" i="25"/>
  <c r="G34" i="25"/>
  <c r="F34" i="25"/>
  <c r="E34" i="25"/>
  <c r="D34" i="25"/>
  <c r="C34" i="25"/>
  <c r="V33" i="25"/>
  <c r="U33" i="25"/>
  <c r="T33" i="25"/>
  <c r="S33" i="25"/>
  <c r="R33" i="25"/>
  <c r="Q33" i="25"/>
  <c r="K33" i="25"/>
  <c r="J33" i="25"/>
  <c r="I33" i="25"/>
  <c r="H33" i="25"/>
  <c r="G33" i="25"/>
  <c r="F33" i="25"/>
  <c r="E33" i="25"/>
  <c r="D33" i="25"/>
  <c r="C33" i="25"/>
  <c r="V32" i="25"/>
  <c r="U32" i="25"/>
  <c r="T32" i="25"/>
  <c r="S32" i="25"/>
  <c r="R32" i="25"/>
  <c r="Q32" i="25"/>
  <c r="K32" i="25"/>
  <c r="J32" i="25"/>
  <c r="I32" i="25"/>
  <c r="H32" i="25"/>
  <c r="G32" i="25"/>
  <c r="F32" i="25"/>
  <c r="E32" i="25"/>
  <c r="D32" i="25"/>
  <c r="C32" i="25"/>
  <c r="V31" i="25"/>
  <c r="U31" i="25"/>
  <c r="T31" i="25"/>
  <c r="S31" i="25"/>
  <c r="R31" i="25"/>
  <c r="Q31" i="25"/>
  <c r="K31" i="25"/>
  <c r="J31" i="25"/>
  <c r="I31" i="25"/>
  <c r="H31" i="25"/>
  <c r="G31" i="25"/>
  <c r="F31" i="25"/>
  <c r="E31" i="25"/>
  <c r="D31" i="25"/>
  <c r="C31" i="25"/>
  <c r="V30" i="25"/>
  <c r="U30" i="25"/>
  <c r="T30" i="25"/>
  <c r="S30" i="25"/>
  <c r="R30" i="25"/>
  <c r="Q30" i="25"/>
  <c r="K30" i="25"/>
  <c r="J30" i="25"/>
  <c r="I30" i="25"/>
  <c r="H30" i="25"/>
  <c r="G30" i="25"/>
  <c r="F30" i="25"/>
  <c r="E30" i="25"/>
  <c r="D30" i="25"/>
  <c r="C30" i="25"/>
  <c r="V29" i="25"/>
  <c r="U29" i="25"/>
  <c r="T29" i="25"/>
  <c r="S29" i="25"/>
  <c r="R29" i="25"/>
  <c r="Q29" i="25"/>
  <c r="K29" i="25"/>
  <c r="J29" i="25"/>
  <c r="I29" i="25"/>
  <c r="H29" i="25"/>
  <c r="G29" i="25"/>
  <c r="F29" i="25"/>
  <c r="E29" i="25"/>
  <c r="D29" i="25"/>
  <c r="C29" i="25"/>
  <c r="V28" i="25"/>
  <c r="U28" i="25"/>
  <c r="T28" i="25"/>
  <c r="S28" i="25"/>
  <c r="R28" i="25"/>
  <c r="Q28" i="25"/>
  <c r="K28" i="25"/>
  <c r="J28" i="25"/>
  <c r="I28" i="25"/>
  <c r="H28" i="25"/>
  <c r="G28" i="25"/>
  <c r="F28" i="25"/>
  <c r="E28" i="25"/>
  <c r="D28" i="25"/>
  <c r="C28" i="25"/>
  <c r="V27" i="25"/>
  <c r="U27" i="25"/>
  <c r="T27" i="25"/>
  <c r="S27" i="25"/>
  <c r="R27" i="25"/>
  <c r="Q27" i="25"/>
  <c r="J27" i="25"/>
  <c r="I27" i="25"/>
  <c r="H27" i="25"/>
  <c r="G27" i="25"/>
  <c r="F27" i="25"/>
  <c r="E27" i="25"/>
  <c r="D27" i="25"/>
  <c r="C27" i="25"/>
  <c r="V26" i="25"/>
  <c r="U26" i="25"/>
  <c r="T26" i="25"/>
  <c r="S26" i="25"/>
  <c r="R26" i="25"/>
  <c r="Q26" i="25"/>
  <c r="J26" i="25"/>
  <c r="I26" i="25"/>
  <c r="H26" i="25"/>
  <c r="G26" i="25"/>
  <c r="F26" i="25"/>
  <c r="E26" i="25"/>
  <c r="D26" i="25"/>
  <c r="C26" i="25"/>
  <c r="V25" i="25"/>
  <c r="V208" i="25" s="1"/>
  <c r="U25" i="25"/>
  <c r="T25" i="25"/>
  <c r="S25" i="25"/>
  <c r="R25" i="25"/>
  <c r="Q25" i="25"/>
  <c r="J25" i="25"/>
  <c r="I25" i="25"/>
  <c r="H25" i="25"/>
  <c r="G25" i="25"/>
  <c r="F25" i="25"/>
  <c r="E25" i="25"/>
  <c r="D25" i="25"/>
  <c r="D208" i="25" s="1"/>
  <c r="C25" i="25"/>
  <c r="C208" i="25" s="1"/>
  <c r="V24" i="25"/>
  <c r="U24" i="25"/>
  <c r="T24" i="25"/>
  <c r="S24" i="25"/>
  <c r="R24" i="25"/>
  <c r="Q24" i="25"/>
  <c r="K24" i="25"/>
  <c r="J24" i="25"/>
  <c r="I24" i="25"/>
  <c r="H24" i="25"/>
  <c r="G24" i="25"/>
  <c r="F24" i="25"/>
  <c r="E24" i="25"/>
  <c r="D24" i="25"/>
  <c r="C24" i="25"/>
  <c r="X23" i="25"/>
  <c r="V23" i="25"/>
  <c r="U23" i="25"/>
  <c r="T23" i="25"/>
  <c r="S23" i="25"/>
  <c r="R23" i="25"/>
  <c r="Q23" i="25"/>
  <c r="K23" i="25"/>
  <c r="J23" i="25"/>
  <c r="J207" i="25" s="1"/>
  <c r="I23" i="25"/>
  <c r="H23" i="25"/>
  <c r="G23" i="25"/>
  <c r="F23" i="25"/>
  <c r="E23" i="25"/>
  <c r="D23" i="25"/>
  <c r="C23" i="25"/>
  <c r="V22" i="25"/>
  <c r="U22" i="25"/>
  <c r="T22" i="25"/>
  <c r="S22" i="25"/>
  <c r="R22" i="25"/>
  <c r="Q22" i="25"/>
  <c r="H22" i="25"/>
  <c r="G22" i="25"/>
  <c r="F22" i="25"/>
  <c r="E22" i="25"/>
  <c r="D22" i="25"/>
  <c r="C22" i="25"/>
  <c r="V21" i="25"/>
  <c r="U21" i="25"/>
  <c r="T21" i="25"/>
  <c r="S21" i="25"/>
  <c r="R21" i="25"/>
  <c r="Q21" i="25"/>
  <c r="K21" i="25"/>
  <c r="I21" i="25"/>
  <c r="H21" i="25"/>
  <c r="G21" i="25"/>
  <c r="F21" i="25"/>
  <c r="E21" i="25"/>
  <c r="D21" i="25"/>
  <c r="C21" i="25"/>
  <c r="V20" i="25"/>
  <c r="V207" i="25" s="1"/>
  <c r="U20" i="25"/>
  <c r="T20" i="25"/>
  <c r="S20" i="25"/>
  <c r="R20" i="25"/>
  <c r="Q20" i="25"/>
  <c r="K20" i="25"/>
  <c r="I20" i="25"/>
  <c r="H20" i="25"/>
  <c r="G20" i="25"/>
  <c r="F20" i="25"/>
  <c r="E20" i="25"/>
  <c r="D20" i="25"/>
  <c r="D207" i="25" s="1"/>
  <c r="C20" i="25"/>
  <c r="C207" i="25" s="1"/>
  <c r="V19" i="25"/>
  <c r="V206" i="25" s="1"/>
  <c r="U19" i="25"/>
  <c r="T19" i="25"/>
  <c r="S19" i="25"/>
  <c r="R19" i="25"/>
  <c r="Q19" i="25"/>
  <c r="K19" i="25"/>
  <c r="I19" i="25"/>
  <c r="H19" i="25"/>
  <c r="G19" i="25"/>
  <c r="F19" i="25"/>
  <c r="E19" i="25"/>
  <c r="D19" i="25"/>
  <c r="D206" i="25" s="1"/>
  <c r="C19" i="25"/>
  <c r="C206" i="25" s="1"/>
  <c r="V18" i="25"/>
  <c r="V205" i="25" s="1"/>
  <c r="U18" i="25"/>
  <c r="T18" i="25"/>
  <c r="S18" i="25"/>
  <c r="R18" i="25"/>
  <c r="Q18" i="25"/>
  <c r="I18" i="25"/>
  <c r="H18" i="25"/>
  <c r="G18" i="25"/>
  <c r="F18" i="25"/>
  <c r="E18" i="25"/>
  <c r="D18" i="25"/>
  <c r="D205" i="25" s="1"/>
  <c r="C18" i="25"/>
  <c r="C205" i="25" s="1"/>
  <c r="V17" i="25"/>
  <c r="U17" i="25"/>
  <c r="T17" i="25"/>
  <c r="S17" i="25"/>
  <c r="R17" i="25"/>
  <c r="Q17" i="25"/>
  <c r="I17" i="25"/>
  <c r="H17" i="25"/>
  <c r="G17" i="25"/>
  <c r="F17" i="25"/>
  <c r="E17" i="25"/>
  <c r="D17" i="25"/>
  <c r="C17" i="25"/>
  <c r="V16" i="25"/>
  <c r="U16" i="25"/>
  <c r="T16" i="25"/>
  <c r="S16" i="25"/>
  <c r="R16" i="25"/>
  <c r="Q16" i="25"/>
  <c r="I16" i="25"/>
  <c r="H16" i="25"/>
  <c r="G16" i="25"/>
  <c r="F16" i="25"/>
  <c r="E16" i="25"/>
  <c r="D16" i="25"/>
  <c r="C16" i="25"/>
  <c r="V15" i="25"/>
  <c r="U15" i="25"/>
  <c r="T15" i="25"/>
  <c r="S15" i="25"/>
  <c r="R15" i="25"/>
  <c r="Q15" i="25"/>
  <c r="I15" i="25"/>
  <c r="H15" i="25"/>
  <c r="G15" i="25"/>
  <c r="F15" i="25"/>
  <c r="E15" i="25"/>
  <c r="D15" i="25"/>
  <c r="C15" i="25"/>
  <c r="V14" i="25"/>
  <c r="U14" i="25"/>
  <c r="T14" i="25"/>
  <c r="S14" i="25"/>
  <c r="R14" i="25"/>
  <c r="Q14" i="25"/>
  <c r="J14" i="25"/>
  <c r="I14" i="25"/>
  <c r="H14" i="25"/>
  <c r="G14" i="25"/>
  <c r="F14" i="25"/>
  <c r="E14" i="25"/>
  <c r="D14" i="25"/>
  <c r="C14" i="25"/>
  <c r="V13" i="25"/>
  <c r="U13" i="25"/>
  <c r="T13" i="25"/>
  <c r="S13" i="25"/>
  <c r="R13" i="25"/>
  <c r="Q13" i="25"/>
  <c r="I13" i="25"/>
  <c r="H13" i="25"/>
  <c r="G13" i="25"/>
  <c r="F13" i="25"/>
  <c r="E13" i="25"/>
  <c r="D13" i="25"/>
  <c r="C13" i="25"/>
  <c r="V12" i="25"/>
  <c r="U12" i="25"/>
  <c r="T12" i="25"/>
  <c r="S12" i="25"/>
  <c r="R12" i="25"/>
  <c r="Q12" i="25"/>
  <c r="I12" i="25"/>
  <c r="H12" i="25"/>
  <c r="G12" i="25"/>
  <c r="F12" i="25"/>
  <c r="E12" i="25"/>
  <c r="D12" i="25"/>
  <c r="C12" i="25"/>
  <c r="V11" i="25"/>
  <c r="U11" i="25"/>
  <c r="T11" i="25"/>
  <c r="S11" i="25"/>
  <c r="R11" i="25"/>
  <c r="Q11" i="25"/>
  <c r="I11" i="25"/>
  <c r="H11" i="25"/>
  <c r="G11" i="25"/>
  <c r="F11" i="25"/>
  <c r="E11" i="25"/>
  <c r="D11" i="25"/>
  <c r="C11" i="25"/>
  <c r="V10" i="25"/>
  <c r="U10" i="25"/>
  <c r="T10" i="25"/>
  <c r="S10" i="25"/>
  <c r="R10" i="25"/>
  <c r="Q10" i="25"/>
  <c r="I10" i="25"/>
  <c r="H10" i="25"/>
  <c r="G10" i="25"/>
  <c r="F10" i="25"/>
  <c r="E10" i="25"/>
  <c r="D10" i="25"/>
  <c r="C10" i="25"/>
  <c r="V9" i="25"/>
  <c r="U9" i="25"/>
  <c r="T9" i="25"/>
  <c r="S9" i="25"/>
  <c r="R9" i="25"/>
  <c r="Q9" i="25"/>
  <c r="I9" i="25"/>
  <c r="H9" i="25"/>
  <c r="G9" i="25"/>
  <c r="F9" i="25"/>
  <c r="E9" i="25"/>
  <c r="D9" i="25"/>
  <c r="C9" i="25"/>
  <c r="V8" i="25"/>
  <c r="U8" i="25"/>
  <c r="T8" i="25"/>
  <c r="S8" i="25"/>
  <c r="R8" i="25"/>
  <c r="Q8" i="25"/>
  <c r="J8" i="25"/>
  <c r="I8" i="25"/>
  <c r="H8" i="25"/>
  <c r="G8" i="25"/>
  <c r="F8" i="25"/>
  <c r="E8" i="25"/>
  <c r="D8" i="25"/>
  <c r="C8" i="25"/>
  <c r="V7" i="25"/>
  <c r="U7" i="25"/>
  <c r="T7" i="25"/>
  <c r="S7" i="25"/>
  <c r="R7" i="25"/>
  <c r="Q7" i="25"/>
  <c r="J7" i="25"/>
  <c r="I7" i="25"/>
  <c r="H7" i="25"/>
  <c r="G7" i="25"/>
  <c r="F7" i="25"/>
  <c r="E7" i="25"/>
  <c r="D7" i="25"/>
  <c r="C7" i="25"/>
  <c r="V6" i="25"/>
  <c r="U6" i="25"/>
  <c r="T6" i="25"/>
  <c r="S6" i="25"/>
  <c r="R6" i="25"/>
  <c r="Q6" i="25"/>
  <c r="K6" i="25"/>
  <c r="J6" i="25"/>
  <c r="I6" i="25"/>
  <c r="H6" i="25"/>
  <c r="G6" i="25"/>
  <c r="F6" i="25"/>
  <c r="E6" i="25"/>
  <c r="D6" i="25"/>
  <c r="C6" i="25"/>
  <c r="V5" i="25"/>
  <c r="U5" i="25"/>
  <c r="T5" i="25"/>
  <c r="S5" i="25"/>
  <c r="R5" i="25"/>
  <c r="Q5" i="25"/>
  <c r="K5" i="25"/>
  <c r="J5" i="25"/>
  <c r="I5" i="25"/>
  <c r="H5" i="25"/>
  <c r="G5" i="25"/>
  <c r="F5" i="25"/>
  <c r="E5" i="25"/>
  <c r="D5" i="25"/>
  <c r="C5" i="25"/>
  <c r="A286" i="24"/>
  <c r="K225" i="24"/>
  <c r="B225" i="24"/>
  <c r="K221" i="24"/>
  <c r="B221" i="24"/>
  <c r="K220" i="24"/>
  <c r="B220" i="24"/>
  <c r="K219" i="24"/>
  <c r="B219" i="24"/>
  <c r="K218" i="24"/>
  <c r="B218" i="24"/>
  <c r="K217" i="24"/>
  <c r="B217" i="24"/>
  <c r="B216" i="24"/>
  <c r="B215" i="24"/>
  <c r="B213" i="24"/>
  <c r="K145" i="24"/>
  <c r="J145" i="24"/>
  <c r="I145" i="24"/>
  <c r="H145" i="24"/>
  <c r="H266" i="24" s="1"/>
  <c r="G145" i="24"/>
  <c r="G266" i="24" s="1"/>
  <c r="D145" i="24"/>
  <c r="D266" i="24" s="1"/>
  <c r="C145" i="24"/>
  <c r="B145" i="24"/>
  <c r="B266" i="24" s="1"/>
  <c r="K141" i="24"/>
  <c r="K262" i="24" s="1"/>
  <c r="J141" i="24"/>
  <c r="J262" i="24" s="1"/>
  <c r="I141" i="24"/>
  <c r="I262" i="24" s="1"/>
  <c r="H141" i="24"/>
  <c r="H262" i="24" s="1"/>
  <c r="G141" i="24"/>
  <c r="G262" i="24" s="1"/>
  <c r="F141" i="24"/>
  <c r="F262" i="24" s="1"/>
  <c r="E141" i="24"/>
  <c r="E262" i="24" s="1"/>
  <c r="D141" i="24"/>
  <c r="D262" i="24" s="1"/>
  <c r="C141" i="24"/>
  <c r="C262" i="24" s="1"/>
  <c r="B141" i="24"/>
  <c r="B262" i="24" s="1"/>
  <c r="K140" i="24"/>
  <c r="K261" i="24" s="1"/>
  <c r="J140" i="24"/>
  <c r="J261" i="24" s="1"/>
  <c r="I140" i="24"/>
  <c r="I261" i="24" s="1"/>
  <c r="H140" i="24"/>
  <c r="H261" i="24" s="1"/>
  <c r="G140" i="24"/>
  <c r="G261" i="24" s="1"/>
  <c r="F140" i="24"/>
  <c r="F261" i="24" s="1"/>
  <c r="E140" i="24"/>
  <c r="E261" i="24" s="1"/>
  <c r="D140" i="24"/>
  <c r="D261" i="24" s="1"/>
  <c r="C140" i="24"/>
  <c r="C261" i="24" s="1"/>
  <c r="B140" i="24"/>
  <c r="B261" i="24" s="1"/>
  <c r="K139" i="24"/>
  <c r="K260" i="24" s="1"/>
  <c r="J139" i="24"/>
  <c r="J260" i="24" s="1"/>
  <c r="I139" i="24"/>
  <c r="I260" i="24" s="1"/>
  <c r="H139" i="24"/>
  <c r="H260" i="24" s="1"/>
  <c r="G139" i="24"/>
  <c r="F139" i="24"/>
  <c r="F260" i="24" s="1"/>
  <c r="E139" i="24"/>
  <c r="E260" i="24" s="1"/>
  <c r="D139" i="24"/>
  <c r="D260" i="24" s="1"/>
  <c r="C139" i="24"/>
  <c r="C260" i="24" s="1"/>
  <c r="B139" i="24"/>
  <c r="B260" i="24" s="1"/>
  <c r="K138" i="24"/>
  <c r="K259" i="24" s="1"/>
  <c r="J138" i="24"/>
  <c r="I138" i="24"/>
  <c r="I259" i="24" s="1"/>
  <c r="H138" i="24"/>
  <c r="H259" i="24" s="1"/>
  <c r="G138" i="24"/>
  <c r="G259" i="24" s="1"/>
  <c r="F138" i="24"/>
  <c r="E138" i="24"/>
  <c r="E259" i="24" s="1"/>
  <c r="D138" i="24"/>
  <c r="D259" i="24" s="1"/>
  <c r="C138" i="24"/>
  <c r="C259" i="24" s="1"/>
  <c r="B138" i="24"/>
  <c r="B259" i="24" s="1"/>
  <c r="K137" i="24"/>
  <c r="K258" i="24" s="1"/>
  <c r="J137" i="24"/>
  <c r="J258" i="24" s="1"/>
  <c r="I137" i="24"/>
  <c r="I258" i="24" s="1"/>
  <c r="H137" i="24"/>
  <c r="G137" i="24"/>
  <c r="G258" i="24" s="1"/>
  <c r="F137" i="24"/>
  <c r="F258" i="24" s="1"/>
  <c r="E137" i="24"/>
  <c r="E258" i="24" s="1"/>
  <c r="D137" i="24"/>
  <c r="C137" i="24"/>
  <c r="C258" i="24" s="1"/>
  <c r="B137" i="24"/>
  <c r="B258" i="24" s="1"/>
  <c r="K136" i="24"/>
  <c r="K257" i="24" s="1"/>
  <c r="J136" i="24"/>
  <c r="J257" i="24" s="1"/>
  <c r="I136" i="24"/>
  <c r="I257" i="24" s="1"/>
  <c r="H136" i="24"/>
  <c r="H257" i="24" s="1"/>
  <c r="G136" i="24"/>
  <c r="G257" i="24" s="1"/>
  <c r="F136" i="24"/>
  <c r="F257" i="24" s="1"/>
  <c r="E136" i="24"/>
  <c r="E257" i="24" s="1"/>
  <c r="D136" i="24"/>
  <c r="D257" i="24" s="1"/>
  <c r="C136" i="24"/>
  <c r="C257" i="24" s="1"/>
  <c r="B136" i="24"/>
  <c r="B257" i="24" s="1"/>
  <c r="K135" i="24"/>
  <c r="K256" i="24" s="1"/>
  <c r="J135" i="24"/>
  <c r="J256" i="24" s="1"/>
  <c r="I135" i="24"/>
  <c r="I256" i="24" s="1"/>
  <c r="H135" i="24"/>
  <c r="H256" i="24" s="1"/>
  <c r="G135" i="24"/>
  <c r="G256" i="24" s="1"/>
  <c r="F135" i="24"/>
  <c r="F256" i="24" s="1"/>
  <c r="E135" i="24"/>
  <c r="E256" i="24" s="1"/>
  <c r="D135" i="24"/>
  <c r="D256" i="24" s="1"/>
  <c r="C135" i="24"/>
  <c r="B135" i="24"/>
  <c r="B256" i="24" s="1"/>
  <c r="K134" i="24"/>
  <c r="J134" i="24"/>
  <c r="I134" i="24"/>
  <c r="H134" i="24"/>
  <c r="G134" i="24"/>
  <c r="F134" i="24"/>
  <c r="E134" i="24"/>
  <c r="D134" i="24"/>
  <c r="C134" i="24"/>
  <c r="B134" i="24"/>
  <c r="L133" i="24"/>
  <c r="K133" i="24"/>
  <c r="J133" i="24"/>
  <c r="I133" i="24"/>
  <c r="H133" i="24"/>
  <c r="G133" i="24"/>
  <c r="F133" i="24"/>
  <c r="E133" i="24"/>
  <c r="D133" i="24"/>
  <c r="C133" i="24"/>
  <c r="B133" i="24"/>
  <c r="K132" i="24"/>
  <c r="J132" i="24"/>
  <c r="I132" i="24"/>
  <c r="H132" i="24"/>
  <c r="G132" i="24"/>
  <c r="F132" i="24"/>
  <c r="E132" i="24"/>
  <c r="D132" i="24"/>
  <c r="C132" i="24"/>
  <c r="B132" i="24"/>
  <c r="K131" i="24"/>
  <c r="J131" i="24"/>
  <c r="I131" i="24"/>
  <c r="H131" i="24"/>
  <c r="G131" i="24"/>
  <c r="F131" i="24"/>
  <c r="E131" i="24"/>
  <c r="D131" i="24"/>
  <c r="C131" i="24"/>
  <c r="B131" i="24"/>
  <c r="L130" i="24"/>
  <c r="K130" i="24"/>
  <c r="J130" i="24"/>
  <c r="I130" i="24"/>
  <c r="H130" i="24"/>
  <c r="G130" i="24"/>
  <c r="F130" i="24"/>
  <c r="E130" i="24"/>
  <c r="D130" i="24"/>
  <c r="C130" i="24"/>
  <c r="B130" i="24"/>
  <c r="K129" i="24"/>
  <c r="J129" i="24"/>
  <c r="I129" i="24"/>
  <c r="H129" i="24"/>
  <c r="G129" i="24"/>
  <c r="F129" i="24"/>
  <c r="E129" i="24"/>
  <c r="D129" i="24"/>
  <c r="C129" i="24"/>
  <c r="B129" i="24"/>
  <c r="K128" i="24"/>
  <c r="J128" i="24"/>
  <c r="I128" i="24"/>
  <c r="H128" i="24"/>
  <c r="G128" i="24"/>
  <c r="F128" i="24"/>
  <c r="E128" i="24"/>
  <c r="D128" i="24"/>
  <c r="C128" i="24"/>
  <c r="B128" i="24"/>
  <c r="K127" i="24"/>
  <c r="J127" i="24"/>
  <c r="I127" i="24"/>
  <c r="H127" i="24"/>
  <c r="G127" i="24"/>
  <c r="F127" i="24"/>
  <c r="E127" i="24"/>
  <c r="D127" i="24"/>
  <c r="C127" i="24"/>
  <c r="B127" i="24"/>
  <c r="K126" i="24"/>
  <c r="J126" i="24"/>
  <c r="I126" i="24"/>
  <c r="H126" i="24"/>
  <c r="G126" i="24"/>
  <c r="F126" i="24"/>
  <c r="E126" i="24"/>
  <c r="D126" i="24"/>
  <c r="C126" i="24"/>
  <c r="B126" i="24"/>
  <c r="K125" i="24"/>
  <c r="J125" i="24"/>
  <c r="I125" i="24"/>
  <c r="H125" i="24"/>
  <c r="G125" i="24"/>
  <c r="F125" i="24"/>
  <c r="E125" i="24"/>
  <c r="D125" i="24"/>
  <c r="C125" i="24"/>
  <c r="B125" i="24"/>
  <c r="K124" i="24"/>
  <c r="J124" i="24"/>
  <c r="I124" i="24"/>
  <c r="H124" i="24"/>
  <c r="G124" i="24"/>
  <c r="F124" i="24"/>
  <c r="E124" i="24"/>
  <c r="D124" i="24"/>
  <c r="C124" i="24"/>
  <c r="J123" i="24"/>
  <c r="I123" i="24"/>
  <c r="H123" i="24"/>
  <c r="G123" i="24"/>
  <c r="F123" i="24"/>
  <c r="E123" i="24"/>
  <c r="D123" i="24"/>
  <c r="C123" i="24"/>
  <c r="B123" i="24"/>
  <c r="J122" i="24"/>
  <c r="I122" i="24"/>
  <c r="H122" i="24"/>
  <c r="G122" i="24"/>
  <c r="F122" i="24"/>
  <c r="E122" i="24"/>
  <c r="D122" i="24"/>
  <c r="C122" i="24"/>
  <c r="K121" i="24"/>
  <c r="J121" i="24"/>
  <c r="I121" i="24"/>
  <c r="H121" i="24"/>
  <c r="G121" i="24"/>
  <c r="F121" i="24"/>
  <c r="E121" i="24"/>
  <c r="D121" i="24"/>
  <c r="C121" i="24"/>
  <c r="K120" i="24"/>
  <c r="J120" i="24"/>
  <c r="I120" i="24"/>
  <c r="H120" i="24"/>
  <c r="G120" i="24"/>
  <c r="F120" i="24"/>
  <c r="E120" i="24"/>
  <c r="D120" i="24"/>
  <c r="C120" i="24"/>
  <c r="B120" i="24"/>
  <c r="J119" i="24"/>
  <c r="I119" i="24"/>
  <c r="H119" i="24"/>
  <c r="G119" i="24"/>
  <c r="F119" i="24"/>
  <c r="E119" i="24"/>
  <c r="D119" i="24"/>
  <c r="C119" i="24"/>
  <c r="B119" i="24"/>
  <c r="J118" i="24"/>
  <c r="I118" i="24"/>
  <c r="H118" i="24"/>
  <c r="G118" i="24"/>
  <c r="F118" i="24"/>
  <c r="E118" i="24"/>
  <c r="D118" i="24"/>
  <c r="C118" i="24"/>
  <c r="B118" i="24"/>
  <c r="K117" i="24"/>
  <c r="J117" i="24"/>
  <c r="I117" i="24"/>
  <c r="H117" i="24"/>
  <c r="G117" i="24"/>
  <c r="F117" i="24"/>
  <c r="E117" i="24"/>
  <c r="D117" i="24"/>
  <c r="C117" i="24"/>
  <c r="B117" i="24"/>
  <c r="K116" i="24"/>
  <c r="J116" i="24"/>
  <c r="I116" i="24"/>
  <c r="H116" i="24"/>
  <c r="G116" i="24"/>
  <c r="F116" i="24"/>
  <c r="E116" i="24"/>
  <c r="D116" i="24"/>
  <c r="C116" i="24"/>
  <c r="B116" i="24"/>
  <c r="K115" i="24"/>
  <c r="J115" i="24"/>
  <c r="I115" i="24"/>
  <c r="H115" i="24"/>
  <c r="G115" i="24"/>
  <c r="F115" i="24"/>
  <c r="E115" i="24"/>
  <c r="D115" i="24"/>
  <c r="C115" i="24"/>
  <c r="B115" i="24"/>
  <c r="K114" i="24"/>
  <c r="J114" i="24"/>
  <c r="I114" i="24"/>
  <c r="H114" i="24"/>
  <c r="G114" i="24"/>
  <c r="F114" i="24"/>
  <c r="E114" i="24"/>
  <c r="D114" i="24"/>
  <c r="C114" i="24"/>
  <c r="B114" i="24"/>
  <c r="K113" i="24"/>
  <c r="J113" i="24"/>
  <c r="I113" i="24"/>
  <c r="H113" i="24"/>
  <c r="G113" i="24"/>
  <c r="F113" i="24"/>
  <c r="E113" i="24"/>
  <c r="D113" i="24"/>
  <c r="C113" i="24"/>
  <c r="B113" i="24"/>
  <c r="K112" i="24"/>
  <c r="J112" i="24"/>
  <c r="I112" i="24"/>
  <c r="H112" i="24"/>
  <c r="G112" i="24"/>
  <c r="F112" i="24"/>
  <c r="E112" i="24"/>
  <c r="D112" i="24"/>
  <c r="C112" i="24"/>
  <c r="B112" i="24"/>
  <c r="K111" i="24"/>
  <c r="J111" i="24"/>
  <c r="I111" i="24"/>
  <c r="H111" i="24"/>
  <c r="G111" i="24"/>
  <c r="F111" i="24"/>
  <c r="E111" i="24"/>
  <c r="D111" i="24"/>
  <c r="C111" i="24"/>
  <c r="B111" i="24"/>
  <c r="K110" i="24"/>
  <c r="J110" i="24"/>
  <c r="I110" i="24"/>
  <c r="H110" i="24"/>
  <c r="G110" i="24"/>
  <c r="F110" i="24"/>
  <c r="E110" i="24"/>
  <c r="D110" i="24"/>
  <c r="C110" i="24"/>
  <c r="B110" i="24"/>
  <c r="K109" i="24"/>
  <c r="J109" i="24"/>
  <c r="I109" i="24"/>
  <c r="H109" i="24"/>
  <c r="G109" i="24"/>
  <c r="F109" i="24"/>
  <c r="E109" i="24"/>
  <c r="D109" i="24"/>
  <c r="C109" i="24"/>
  <c r="B109" i="24"/>
  <c r="K108" i="24"/>
  <c r="J108" i="24"/>
  <c r="I108" i="24"/>
  <c r="H108" i="24"/>
  <c r="G108" i="24"/>
  <c r="F108" i="24"/>
  <c r="E108" i="24"/>
  <c r="D108" i="24"/>
  <c r="C108" i="24"/>
  <c r="B108" i="24"/>
  <c r="K107" i="24"/>
  <c r="J107" i="24"/>
  <c r="I107" i="24"/>
  <c r="H107" i="24"/>
  <c r="G107" i="24"/>
  <c r="F107" i="24"/>
  <c r="E107" i="24"/>
  <c r="D107" i="24"/>
  <c r="C107" i="24"/>
  <c r="B107" i="24"/>
  <c r="K106" i="24"/>
  <c r="J106" i="24"/>
  <c r="I106" i="24"/>
  <c r="H106" i="24"/>
  <c r="G106" i="24"/>
  <c r="F106" i="24"/>
  <c r="E106" i="24"/>
  <c r="D106" i="24"/>
  <c r="C106" i="24"/>
  <c r="B106" i="24"/>
  <c r="K105" i="24"/>
  <c r="J105" i="24"/>
  <c r="I105" i="24"/>
  <c r="H105" i="24"/>
  <c r="G105" i="24"/>
  <c r="F105" i="24"/>
  <c r="E105" i="24"/>
  <c r="D105" i="24"/>
  <c r="C105" i="24"/>
  <c r="B105" i="24"/>
  <c r="K104" i="24"/>
  <c r="J104" i="24"/>
  <c r="I104" i="24"/>
  <c r="H104" i="24"/>
  <c r="G104" i="24"/>
  <c r="F104" i="24"/>
  <c r="E104" i="24"/>
  <c r="D104" i="24"/>
  <c r="C104" i="24"/>
  <c r="B104" i="24"/>
  <c r="K103" i="24"/>
  <c r="J103" i="24"/>
  <c r="I103" i="24"/>
  <c r="H103" i="24"/>
  <c r="G103" i="24"/>
  <c r="F103" i="24"/>
  <c r="E103" i="24"/>
  <c r="D103" i="24"/>
  <c r="C103" i="24"/>
  <c r="B103" i="24"/>
  <c r="K102" i="24"/>
  <c r="J102" i="24"/>
  <c r="I102" i="24"/>
  <c r="H102" i="24"/>
  <c r="G102" i="24"/>
  <c r="F102" i="24"/>
  <c r="E102" i="24"/>
  <c r="D102" i="24"/>
  <c r="C102" i="24"/>
  <c r="B102" i="24"/>
  <c r="K101" i="24"/>
  <c r="J101" i="24"/>
  <c r="I101" i="24"/>
  <c r="H101" i="24"/>
  <c r="G101" i="24"/>
  <c r="F101" i="24"/>
  <c r="E101" i="24"/>
  <c r="D101" i="24"/>
  <c r="C101" i="24"/>
  <c r="B101" i="24"/>
  <c r="K100" i="24"/>
  <c r="J100" i="24"/>
  <c r="I100" i="24"/>
  <c r="H100" i="24"/>
  <c r="G100" i="24"/>
  <c r="F100" i="24"/>
  <c r="E100" i="24"/>
  <c r="D100" i="24"/>
  <c r="C100" i="24"/>
  <c r="B100" i="24"/>
  <c r="K97" i="24"/>
  <c r="K244" i="24" s="1"/>
  <c r="J97" i="24"/>
  <c r="J244" i="24" s="1"/>
  <c r="I97" i="24"/>
  <c r="I244" i="24" s="1"/>
  <c r="H97" i="24"/>
  <c r="H244" i="24" s="1"/>
  <c r="G97" i="24"/>
  <c r="G244" i="24" s="1"/>
  <c r="F97" i="24"/>
  <c r="F244" i="24" s="1"/>
  <c r="E97" i="24"/>
  <c r="E244" i="24" s="1"/>
  <c r="D97" i="24"/>
  <c r="D244" i="24" s="1"/>
  <c r="C97" i="24"/>
  <c r="C244" i="24" s="1"/>
  <c r="B97" i="24"/>
  <c r="B244" i="24" s="1"/>
  <c r="K93" i="24"/>
  <c r="K240" i="24" s="1"/>
  <c r="J93" i="24"/>
  <c r="J240" i="24" s="1"/>
  <c r="I93" i="24"/>
  <c r="I240" i="24" s="1"/>
  <c r="H93" i="24"/>
  <c r="H240" i="24" s="1"/>
  <c r="G93" i="24"/>
  <c r="G240" i="24" s="1"/>
  <c r="F93" i="24"/>
  <c r="F240" i="24" s="1"/>
  <c r="E93" i="24"/>
  <c r="E240" i="24" s="1"/>
  <c r="D93" i="24"/>
  <c r="D240" i="24" s="1"/>
  <c r="C93" i="24"/>
  <c r="B93" i="24"/>
  <c r="B240" i="24" s="1"/>
  <c r="K92" i="24"/>
  <c r="K239" i="24" s="1"/>
  <c r="J92" i="24"/>
  <c r="J239" i="24" s="1"/>
  <c r="I92" i="24"/>
  <c r="I239" i="24" s="1"/>
  <c r="H92" i="24"/>
  <c r="H239" i="24" s="1"/>
  <c r="G92" i="24"/>
  <c r="G239" i="24" s="1"/>
  <c r="F92" i="24"/>
  <c r="F239" i="24" s="1"/>
  <c r="E92" i="24"/>
  <c r="E239" i="24" s="1"/>
  <c r="D92" i="24"/>
  <c r="D239" i="24" s="1"/>
  <c r="C92" i="24"/>
  <c r="C239" i="24" s="1"/>
  <c r="B92" i="24"/>
  <c r="K91" i="24"/>
  <c r="K238" i="24" s="1"/>
  <c r="J91" i="24"/>
  <c r="J238" i="24" s="1"/>
  <c r="I91" i="24"/>
  <c r="I238" i="24" s="1"/>
  <c r="H91" i="24"/>
  <c r="H238" i="24" s="1"/>
  <c r="G91" i="24"/>
  <c r="G238" i="24" s="1"/>
  <c r="F91" i="24"/>
  <c r="F238" i="24" s="1"/>
  <c r="E91" i="24"/>
  <c r="E238" i="24" s="1"/>
  <c r="D91" i="24"/>
  <c r="D238" i="24" s="1"/>
  <c r="C91" i="24"/>
  <c r="C238" i="24" s="1"/>
  <c r="B91" i="24"/>
  <c r="K90" i="24"/>
  <c r="K237" i="24" s="1"/>
  <c r="J90" i="24"/>
  <c r="J237" i="24" s="1"/>
  <c r="I90" i="24"/>
  <c r="I237" i="24" s="1"/>
  <c r="H90" i="24"/>
  <c r="H237" i="24" s="1"/>
  <c r="G90" i="24"/>
  <c r="G237" i="24" s="1"/>
  <c r="F90" i="24"/>
  <c r="F237" i="24" s="1"/>
  <c r="E90" i="24"/>
  <c r="E237" i="24" s="1"/>
  <c r="D90" i="24"/>
  <c r="D237" i="24" s="1"/>
  <c r="C90" i="24"/>
  <c r="C237" i="24" s="1"/>
  <c r="B90" i="24"/>
  <c r="B237" i="24" s="1"/>
  <c r="K89" i="24"/>
  <c r="K236" i="24" s="1"/>
  <c r="J89" i="24"/>
  <c r="J236" i="24" s="1"/>
  <c r="I89" i="24"/>
  <c r="I236" i="24" s="1"/>
  <c r="H89" i="24"/>
  <c r="H236" i="24" s="1"/>
  <c r="G89" i="24"/>
  <c r="G236" i="24" s="1"/>
  <c r="F89" i="24"/>
  <c r="F236" i="24" s="1"/>
  <c r="E89" i="24"/>
  <c r="E236" i="24" s="1"/>
  <c r="D89" i="24"/>
  <c r="D236" i="24" s="1"/>
  <c r="C89" i="24"/>
  <c r="C236" i="24" s="1"/>
  <c r="B89" i="24"/>
  <c r="B236" i="24" s="1"/>
  <c r="K88" i="24"/>
  <c r="K235" i="24" s="1"/>
  <c r="J88" i="24"/>
  <c r="J235" i="24" s="1"/>
  <c r="I88" i="24"/>
  <c r="I235" i="24" s="1"/>
  <c r="H88" i="24"/>
  <c r="H235" i="24" s="1"/>
  <c r="G88" i="24"/>
  <c r="G235" i="24" s="1"/>
  <c r="F88" i="24"/>
  <c r="F235" i="24" s="1"/>
  <c r="E88" i="24"/>
  <c r="E235" i="24" s="1"/>
  <c r="D88" i="24"/>
  <c r="D235" i="24" s="1"/>
  <c r="C88" i="24"/>
  <c r="C235" i="24" s="1"/>
  <c r="B88" i="24"/>
  <c r="K87" i="24"/>
  <c r="K234" i="24" s="1"/>
  <c r="J87" i="24"/>
  <c r="J234" i="24" s="1"/>
  <c r="I87" i="24"/>
  <c r="I234" i="24" s="1"/>
  <c r="H87" i="24"/>
  <c r="H234" i="24" s="1"/>
  <c r="G87" i="24"/>
  <c r="G234" i="24" s="1"/>
  <c r="F87" i="24"/>
  <c r="F234" i="24" s="1"/>
  <c r="E87" i="24"/>
  <c r="E234" i="24" s="1"/>
  <c r="D87" i="24"/>
  <c r="D234" i="24" s="1"/>
  <c r="C87" i="24"/>
  <c r="C234" i="24" s="1"/>
  <c r="B87" i="24"/>
  <c r="K86" i="24"/>
  <c r="J86" i="24"/>
  <c r="I86" i="24"/>
  <c r="H86" i="24"/>
  <c r="G86" i="24"/>
  <c r="F86" i="24"/>
  <c r="E86" i="24"/>
  <c r="D86" i="24"/>
  <c r="C86" i="24"/>
  <c r="B86" i="24"/>
  <c r="K85" i="24"/>
  <c r="J85" i="24"/>
  <c r="I85" i="24"/>
  <c r="H85" i="24"/>
  <c r="G85" i="24"/>
  <c r="F85" i="24"/>
  <c r="E85" i="24"/>
  <c r="D85" i="24"/>
  <c r="C85" i="24"/>
  <c r="B85" i="24"/>
  <c r="K84" i="24"/>
  <c r="J84" i="24"/>
  <c r="I84" i="24"/>
  <c r="H84" i="24"/>
  <c r="G84" i="24"/>
  <c r="F84" i="24"/>
  <c r="E84" i="24"/>
  <c r="D84" i="24"/>
  <c r="C84" i="24"/>
  <c r="B84" i="24"/>
  <c r="K83" i="24"/>
  <c r="J83" i="24"/>
  <c r="I83" i="24"/>
  <c r="H83" i="24"/>
  <c r="G83" i="24"/>
  <c r="F83" i="24"/>
  <c r="E83" i="24"/>
  <c r="D83" i="24"/>
  <c r="C83" i="24"/>
  <c r="B83" i="24"/>
  <c r="K82" i="24"/>
  <c r="K233" i="24" s="1"/>
  <c r="J82" i="24"/>
  <c r="I82" i="24"/>
  <c r="H82" i="24"/>
  <c r="G82" i="24"/>
  <c r="F82" i="24"/>
  <c r="E82" i="24"/>
  <c r="D82" i="24"/>
  <c r="D233" i="24" s="1"/>
  <c r="C82" i="24"/>
  <c r="C233" i="24" s="1"/>
  <c r="B82" i="24"/>
  <c r="B233" i="24" s="1"/>
  <c r="K81" i="24"/>
  <c r="J81" i="24"/>
  <c r="I81" i="24"/>
  <c r="H81" i="24"/>
  <c r="G81" i="24"/>
  <c r="F81" i="24"/>
  <c r="E81" i="24"/>
  <c r="D81" i="24"/>
  <c r="C81" i="24"/>
  <c r="B81" i="24"/>
  <c r="K80" i="24"/>
  <c r="J80" i="24"/>
  <c r="I80" i="24"/>
  <c r="H80" i="24"/>
  <c r="G80" i="24"/>
  <c r="F80" i="24"/>
  <c r="E80" i="24"/>
  <c r="D80" i="24"/>
  <c r="C80" i="24"/>
  <c r="B80" i="24"/>
  <c r="K79" i="24"/>
  <c r="J79" i="24"/>
  <c r="I79" i="24"/>
  <c r="H79" i="24"/>
  <c r="G79" i="24"/>
  <c r="F79" i="24"/>
  <c r="E79" i="24"/>
  <c r="D79" i="24"/>
  <c r="C79" i="24"/>
  <c r="B79" i="24"/>
  <c r="K78" i="24"/>
  <c r="J78" i="24"/>
  <c r="I78" i="24"/>
  <c r="H78" i="24"/>
  <c r="G78" i="24"/>
  <c r="F78" i="24"/>
  <c r="E78" i="24"/>
  <c r="D78" i="24"/>
  <c r="C78" i="24"/>
  <c r="B78" i="24"/>
  <c r="K77" i="24"/>
  <c r="J77" i="24"/>
  <c r="I77" i="24"/>
  <c r="H77" i="24"/>
  <c r="G77" i="24"/>
  <c r="F77" i="24"/>
  <c r="E77" i="24"/>
  <c r="D77" i="24"/>
  <c r="C77" i="24"/>
  <c r="B77" i="24"/>
  <c r="B232" i="24" s="1"/>
  <c r="K76" i="24"/>
  <c r="J76" i="24"/>
  <c r="I76" i="24"/>
  <c r="H76" i="24"/>
  <c r="G76" i="24"/>
  <c r="F76" i="24"/>
  <c r="E76" i="24"/>
  <c r="D76" i="24"/>
  <c r="C76" i="24"/>
  <c r="B76" i="24"/>
  <c r="K75" i="24"/>
  <c r="J75" i="24"/>
  <c r="I75" i="24"/>
  <c r="H75" i="24"/>
  <c r="G75" i="24"/>
  <c r="F75" i="24"/>
  <c r="E75" i="24"/>
  <c r="D75" i="24"/>
  <c r="C75" i="24"/>
  <c r="B75" i="24"/>
  <c r="K74" i="24"/>
  <c r="J74" i="24"/>
  <c r="I74" i="24"/>
  <c r="H74" i="24"/>
  <c r="G74" i="24"/>
  <c r="F74" i="24"/>
  <c r="E74" i="24"/>
  <c r="D74" i="24"/>
  <c r="C74" i="24"/>
  <c r="B74" i="24"/>
  <c r="K73" i="24"/>
  <c r="J73" i="24"/>
  <c r="I73" i="24"/>
  <c r="H73" i="24"/>
  <c r="G73" i="24"/>
  <c r="F73" i="24"/>
  <c r="E73" i="24"/>
  <c r="D73" i="24"/>
  <c r="C73" i="24"/>
  <c r="B73" i="24"/>
  <c r="K72" i="24"/>
  <c r="J72" i="24"/>
  <c r="I72" i="24"/>
  <c r="H72" i="24"/>
  <c r="G72" i="24"/>
  <c r="F72" i="24"/>
  <c r="E72" i="24"/>
  <c r="D72" i="24"/>
  <c r="C72" i="24"/>
  <c r="B72" i="24"/>
  <c r="K71" i="24"/>
  <c r="J71" i="24"/>
  <c r="I71" i="24"/>
  <c r="H71" i="24"/>
  <c r="G71" i="24"/>
  <c r="F71" i="24"/>
  <c r="E71" i="24"/>
  <c r="D71" i="24"/>
  <c r="C71" i="24"/>
  <c r="B71" i="24"/>
  <c r="K70" i="24"/>
  <c r="J70" i="24"/>
  <c r="I70" i="24"/>
  <c r="H70" i="24"/>
  <c r="G70" i="24"/>
  <c r="F70" i="24"/>
  <c r="E70" i="24"/>
  <c r="D70" i="24"/>
  <c r="C70" i="24"/>
  <c r="B70" i="24"/>
  <c r="K69" i="24"/>
  <c r="J69" i="24"/>
  <c r="I69" i="24"/>
  <c r="H69" i="24"/>
  <c r="G69" i="24"/>
  <c r="F69" i="24"/>
  <c r="E69" i="24"/>
  <c r="D69" i="24"/>
  <c r="C69" i="24"/>
  <c r="B69" i="24"/>
  <c r="K68" i="24"/>
  <c r="J68" i="24"/>
  <c r="I68" i="24"/>
  <c r="H68" i="24"/>
  <c r="G68" i="24"/>
  <c r="F68" i="24"/>
  <c r="E68" i="24"/>
  <c r="D68" i="24"/>
  <c r="C68" i="24"/>
  <c r="B68" i="24"/>
  <c r="K67" i="24"/>
  <c r="J67" i="24"/>
  <c r="I67" i="24"/>
  <c r="H67" i="24"/>
  <c r="G67" i="24"/>
  <c r="F67" i="24"/>
  <c r="E67" i="24"/>
  <c r="D67" i="24"/>
  <c r="C67" i="24"/>
  <c r="B67" i="24"/>
  <c r="K66" i="24"/>
  <c r="J66" i="24"/>
  <c r="I66" i="24"/>
  <c r="H66" i="24"/>
  <c r="G66" i="24"/>
  <c r="F66" i="24"/>
  <c r="E66" i="24"/>
  <c r="D66" i="24"/>
  <c r="C66" i="24"/>
  <c r="B66" i="24"/>
  <c r="K65" i="24"/>
  <c r="J65" i="24"/>
  <c r="I65" i="24"/>
  <c r="H65" i="24"/>
  <c r="G65" i="24"/>
  <c r="F65" i="24"/>
  <c r="E65" i="24"/>
  <c r="D65" i="24"/>
  <c r="C65" i="24"/>
  <c r="B65" i="24"/>
  <c r="K64" i="24"/>
  <c r="J64" i="24"/>
  <c r="I64" i="24"/>
  <c r="H64" i="24"/>
  <c r="G64" i="24"/>
  <c r="F64" i="24"/>
  <c r="E64" i="24"/>
  <c r="D64" i="24"/>
  <c r="C64" i="24"/>
  <c r="B64" i="24"/>
  <c r="K63" i="24"/>
  <c r="J63" i="24"/>
  <c r="I63" i="24"/>
  <c r="H63" i="24"/>
  <c r="G63" i="24"/>
  <c r="F63" i="24"/>
  <c r="E63" i="24"/>
  <c r="D63" i="24"/>
  <c r="C63" i="24"/>
  <c r="B63" i="24"/>
  <c r="K62" i="24"/>
  <c r="J62" i="24"/>
  <c r="I62" i="24"/>
  <c r="H62" i="24"/>
  <c r="G62" i="24"/>
  <c r="F62" i="24"/>
  <c r="E62" i="24"/>
  <c r="D62" i="24"/>
  <c r="C62" i="24"/>
  <c r="B62" i="24"/>
  <c r="K61" i="24"/>
  <c r="J61" i="24"/>
  <c r="I61" i="24"/>
  <c r="H61" i="24"/>
  <c r="G61" i="24"/>
  <c r="F61" i="24"/>
  <c r="E61" i="24"/>
  <c r="D61" i="24"/>
  <c r="C61" i="24"/>
  <c r="B61" i="24"/>
  <c r="K60" i="24"/>
  <c r="J60" i="24"/>
  <c r="I60" i="24"/>
  <c r="H60" i="24"/>
  <c r="G60" i="24"/>
  <c r="F60" i="24"/>
  <c r="E60" i="24"/>
  <c r="D60" i="24"/>
  <c r="C60" i="24"/>
  <c r="B60" i="24"/>
  <c r="K59" i="24"/>
  <c r="J59" i="24"/>
  <c r="I59" i="24"/>
  <c r="H59" i="24"/>
  <c r="G59" i="24"/>
  <c r="F59" i="24"/>
  <c r="E59" i="24"/>
  <c r="D59" i="24"/>
  <c r="C59" i="24"/>
  <c r="B59" i="24"/>
  <c r="K58" i="24"/>
  <c r="J58" i="24"/>
  <c r="I58" i="24"/>
  <c r="H58" i="24"/>
  <c r="G58" i="24"/>
  <c r="F58" i="24"/>
  <c r="E58" i="24"/>
  <c r="D58" i="24"/>
  <c r="C58" i="24"/>
  <c r="B58" i="24"/>
  <c r="K57" i="24"/>
  <c r="J57" i="24"/>
  <c r="I57" i="24"/>
  <c r="H57" i="24"/>
  <c r="G57" i="24"/>
  <c r="F57" i="24"/>
  <c r="E57" i="24"/>
  <c r="D57" i="24"/>
  <c r="C57" i="24"/>
  <c r="B57" i="24"/>
  <c r="K56" i="24"/>
  <c r="J56" i="24"/>
  <c r="I56" i="24"/>
  <c r="H56" i="24"/>
  <c r="G56" i="24"/>
  <c r="F56" i="24"/>
  <c r="E56" i="24"/>
  <c r="D56" i="24"/>
  <c r="C56" i="24"/>
  <c r="B56" i="24"/>
  <c r="K55" i="24"/>
  <c r="J55" i="24"/>
  <c r="I55" i="24"/>
  <c r="H55" i="24"/>
  <c r="G55" i="24"/>
  <c r="F55" i="24"/>
  <c r="E55" i="24"/>
  <c r="D55" i="24"/>
  <c r="C55" i="24"/>
  <c r="B55" i="24"/>
  <c r="K54" i="24"/>
  <c r="J54" i="24"/>
  <c r="I54" i="24"/>
  <c r="H54" i="24"/>
  <c r="G54" i="24"/>
  <c r="F54" i="24"/>
  <c r="E54" i="24"/>
  <c r="D54" i="24"/>
  <c r="C54" i="24"/>
  <c r="B54" i="24"/>
  <c r="K53" i="24"/>
  <c r="J53" i="24"/>
  <c r="I53" i="24"/>
  <c r="H53" i="24"/>
  <c r="G53" i="24"/>
  <c r="F53" i="24"/>
  <c r="E53" i="24"/>
  <c r="D53" i="24"/>
  <c r="C53" i="24"/>
  <c r="B53" i="24"/>
  <c r="K52" i="24"/>
  <c r="J52" i="24"/>
  <c r="I52" i="24"/>
  <c r="H52" i="24"/>
  <c r="G52" i="24"/>
  <c r="F52" i="24"/>
  <c r="E52" i="24"/>
  <c r="D52" i="24"/>
  <c r="C52" i="24"/>
  <c r="B52" i="24"/>
  <c r="J49" i="24"/>
  <c r="J225" i="24" s="1"/>
  <c r="I49" i="24"/>
  <c r="I225" i="24" s="1"/>
  <c r="H49" i="24"/>
  <c r="H225" i="24" s="1"/>
  <c r="G49" i="24"/>
  <c r="G225" i="24" s="1"/>
  <c r="F49" i="24"/>
  <c r="F225" i="24" s="1"/>
  <c r="E49" i="24"/>
  <c r="E225" i="24" s="1"/>
  <c r="D49" i="24"/>
  <c r="D225" i="24" s="1"/>
  <c r="C49" i="24"/>
  <c r="C225" i="24" s="1"/>
  <c r="J45" i="24"/>
  <c r="J221" i="24" s="1"/>
  <c r="I45" i="24"/>
  <c r="I221" i="24" s="1"/>
  <c r="H45" i="24"/>
  <c r="H221" i="24" s="1"/>
  <c r="G45" i="24"/>
  <c r="G221" i="24" s="1"/>
  <c r="F45" i="24"/>
  <c r="F221" i="24" s="1"/>
  <c r="E45" i="24"/>
  <c r="E221" i="24" s="1"/>
  <c r="D45" i="24"/>
  <c r="D221" i="24" s="1"/>
  <c r="C45" i="24"/>
  <c r="C221" i="24" s="1"/>
  <c r="J44" i="24"/>
  <c r="J220" i="24" s="1"/>
  <c r="I44" i="24"/>
  <c r="I220" i="24" s="1"/>
  <c r="H44" i="24"/>
  <c r="H220" i="24" s="1"/>
  <c r="G44" i="24"/>
  <c r="G220" i="24" s="1"/>
  <c r="F44" i="24"/>
  <c r="F220" i="24" s="1"/>
  <c r="E44" i="24"/>
  <c r="E220" i="24" s="1"/>
  <c r="D44" i="24"/>
  <c r="D220" i="24" s="1"/>
  <c r="C44" i="24"/>
  <c r="C220" i="24" s="1"/>
  <c r="J43" i="24"/>
  <c r="J219" i="24" s="1"/>
  <c r="I43" i="24"/>
  <c r="I219" i="24" s="1"/>
  <c r="H43" i="24"/>
  <c r="H219" i="24" s="1"/>
  <c r="G43" i="24"/>
  <c r="G219" i="24" s="1"/>
  <c r="F43" i="24"/>
  <c r="F219" i="24" s="1"/>
  <c r="E43" i="24"/>
  <c r="E219" i="24" s="1"/>
  <c r="D43" i="24"/>
  <c r="D219" i="24" s="1"/>
  <c r="C43" i="24"/>
  <c r="C219" i="24" s="1"/>
  <c r="J42" i="24"/>
  <c r="J218" i="24" s="1"/>
  <c r="I42" i="24"/>
  <c r="I218" i="24" s="1"/>
  <c r="H42" i="24"/>
  <c r="H218" i="24" s="1"/>
  <c r="G42" i="24"/>
  <c r="G218" i="24" s="1"/>
  <c r="F42" i="24"/>
  <c r="F218" i="24" s="1"/>
  <c r="E42" i="24"/>
  <c r="E218" i="24" s="1"/>
  <c r="D42" i="24"/>
  <c r="D218" i="24" s="1"/>
  <c r="C42" i="24"/>
  <c r="C218" i="24" s="1"/>
  <c r="J41" i="24"/>
  <c r="J217" i="24" s="1"/>
  <c r="I41" i="24"/>
  <c r="I217" i="24" s="1"/>
  <c r="H41" i="24"/>
  <c r="H217" i="24" s="1"/>
  <c r="G41" i="24"/>
  <c r="G217" i="24" s="1"/>
  <c r="F41" i="24"/>
  <c r="F217" i="24" s="1"/>
  <c r="E41" i="24"/>
  <c r="E217" i="24" s="1"/>
  <c r="D41" i="24"/>
  <c r="D217" i="24" s="1"/>
  <c r="C41" i="24"/>
  <c r="C217" i="24" s="1"/>
  <c r="K40" i="24"/>
  <c r="K216" i="24" s="1"/>
  <c r="J40" i="24"/>
  <c r="J216" i="24" s="1"/>
  <c r="I40" i="24"/>
  <c r="I216" i="24" s="1"/>
  <c r="H40" i="24"/>
  <c r="H216" i="24" s="1"/>
  <c r="G40" i="24"/>
  <c r="G216" i="24" s="1"/>
  <c r="F40" i="24"/>
  <c r="F216" i="24" s="1"/>
  <c r="E40" i="24"/>
  <c r="E216" i="24" s="1"/>
  <c r="D40" i="24"/>
  <c r="D216" i="24" s="1"/>
  <c r="C40" i="24"/>
  <c r="C216" i="24" s="1"/>
  <c r="K39" i="24"/>
  <c r="K215" i="24" s="1"/>
  <c r="J39" i="24"/>
  <c r="J215" i="24" s="1"/>
  <c r="I39" i="24"/>
  <c r="I215" i="24" s="1"/>
  <c r="H39" i="24"/>
  <c r="H215" i="24" s="1"/>
  <c r="G39" i="24"/>
  <c r="G215" i="24" s="1"/>
  <c r="F39" i="24"/>
  <c r="F215" i="24" s="1"/>
  <c r="E39" i="24"/>
  <c r="E215" i="24" s="1"/>
  <c r="D39" i="24"/>
  <c r="D215" i="24" s="1"/>
  <c r="C39" i="24"/>
  <c r="C215" i="24" s="1"/>
  <c r="J38" i="24"/>
  <c r="I38" i="24"/>
  <c r="H38" i="24"/>
  <c r="G38" i="24"/>
  <c r="F38" i="24"/>
  <c r="E38" i="24"/>
  <c r="D38" i="24"/>
  <c r="C38" i="24"/>
  <c r="J37" i="24"/>
  <c r="I37" i="24"/>
  <c r="H37" i="24"/>
  <c r="G37" i="24"/>
  <c r="E37" i="24"/>
  <c r="D37" i="24"/>
  <c r="C37" i="24"/>
  <c r="J36" i="24"/>
  <c r="I36" i="24"/>
  <c r="H36" i="24"/>
  <c r="G36" i="24"/>
  <c r="F36" i="24"/>
  <c r="E36" i="24"/>
  <c r="D36" i="24"/>
  <c r="C36" i="24"/>
  <c r="K35" i="24"/>
  <c r="J35" i="24"/>
  <c r="I35" i="24"/>
  <c r="H35" i="24"/>
  <c r="G35" i="24"/>
  <c r="F35" i="24"/>
  <c r="E35" i="24"/>
  <c r="D35" i="24"/>
  <c r="C35" i="24"/>
  <c r="K34" i="24"/>
  <c r="J34" i="24"/>
  <c r="I34" i="24"/>
  <c r="H34" i="24"/>
  <c r="G34" i="24"/>
  <c r="G214" i="24" s="1"/>
  <c r="F34" i="24"/>
  <c r="E34" i="24"/>
  <c r="D34" i="24"/>
  <c r="C34" i="24"/>
  <c r="K33" i="24"/>
  <c r="J33" i="24"/>
  <c r="I33" i="24"/>
  <c r="H33" i="24"/>
  <c r="G33" i="24"/>
  <c r="F33" i="24"/>
  <c r="E33" i="24"/>
  <c r="D33" i="24"/>
  <c r="C33" i="24"/>
  <c r="K32" i="24"/>
  <c r="J32" i="24"/>
  <c r="I32" i="24"/>
  <c r="H32" i="24"/>
  <c r="G32" i="24"/>
  <c r="F32" i="24"/>
  <c r="E32" i="24"/>
  <c r="D32" i="24"/>
  <c r="C32" i="24"/>
  <c r="K31" i="24"/>
  <c r="J31" i="24"/>
  <c r="I31" i="24"/>
  <c r="H31" i="24"/>
  <c r="G31" i="24"/>
  <c r="F31" i="24"/>
  <c r="E31" i="24"/>
  <c r="D31" i="24"/>
  <c r="C31" i="24"/>
  <c r="K30" i="24"/>
  <c r="J30" i="24"/>
  <c r="I30" i="24"/>
  <c r="H30" i="24"/>
  <c r="G30" i="24"/>
  <c r="F30" i="24"/>
  <c r="E30" i="24"/>
  <c r="D30" i="24"/>
  <c r="C30" i="24"/>
  <c r="K29" i="24"/>
  <c r="J29" i="24"/>
  <c r="I29" i="24"/>
  <c r="H29" i="24"/>
  <c r="G29" i="24"/>
  <c r="F29" i="24"/>
  <c r="E29" i="24"/>
  <c r="D29" i="24"/>
  <c r="C29" i="24"/>
  <c r="K28" i="24"/>
  <c r="J28" i="24"/>
  <c r="I28" i="24"/>
  <c r="H28" i="24"/>
  <c r="G28" i="24"/>
  <c r="F28" i="24"/>
  <c r="E28" i="24"/>
  <c r="D28" i="24"/>
  <c r="C28" i="24"/>
  <c r="K27" i="24"/>
  <c r="J27" i="24"/>
  <c r="I27" i="24"/>
  <c r="H27" i="24"/>
  <c r="G27" i="24"/>
  <c r="F27" i="24"/>
  <c r="E27" i="24"/>
  <c r="D27" i="24"/>
  <c r="C27" i="24"/>
  <c r="J26" i="24"/>
  <c r="I26" i="24"/>
  <c r="H26" i="24"/>
  <c r="G26" i="24"/>
  <c r="F26" i="24"/>
  <c r="E26" i="24"/>
  <c r="D26" i="24"/>
  <c r="C26" i="24"/>
  <c r="J25" i="24"/>
  <c r="I25" i="24"/>
  <c r="H25" i="24"/>
  <c r="G25" i="24"/>
  <c r="F25" i="24"/>
  <c r="E25" i="24"/>
  <c r="D25" i="24"/>
  <c r="C25" i="24"/>
  <c r="J24" i="24"/>
  <c r="I24" i="24"/>
  <c r="H24" i="24"/>
  <c r="G24" i="24"/>
  <c r="F24" i="24"/>
  <c r="E24" i="24"/>
  <c r="D24" i="24"/>
  <c r="C24" i="24"/>
  <c r="K23" i="24"/>
  <c r="J23" i="24"/>
  <c r="I23" i="24"/>
  <c r="H23" i="24"/>
  <c r="G23" i="24"/>
  <c r="F23" i="24"/>
  <c r="E23" i="24"/>
  <c r="D23" i="24"/>
  <c r="C23" i="24"/>
  <c r="K22" i="24"/>
  <c r="J22" i="24"/>
  <c r="I22" i="24"/>
  <c r="H22" i="24"/>
  <c r="G22" i="24"/>
  <c r="F22" i="24"/>
  <c r="E22" i="24"/>
  <c r="D22" i="24"/>
  <c r="C22" i="24"/>
  <c r="H21" i="24"/>
  <c r="G21" i="24"/>
  <c r="F21" i="24"/>
  <c r="E21" i="24"/>
  <c r="D21" i="24"/>
  <c r="C21" i="24"/>
  <c r="I20" i="24"/>
  <c r="H20" i="24"/>
  <c r="G20" i="24"/>
  <c r="F20" i="24"/>
  <c r="E20" i="24"/>
  <c r="D20" i="24"/>
  <c r="C20" i="24"/>
  <c r="K19" i="24"/>
  <c r="I19" i="24"/>
  <c r="H19" i="24"/>
  <c r="G19" i="24"/>
  <c r="F19" i="24"/>
  <c r="E19" i="24"/>
  <c r="D19" i="24"/>
  <c r="C19" i="24"/>
  <c r="K18" i="24"/>
  <c r="I18" i="24"/>
  <c r="H18" i="24"/>
  <c r="G18" i="24"/>
  <c r="F18" i="24"/>
  <c r="E18" i="24"/>
  <c r="D18" i="24"/>
  <c r="C18" i="24"/>
  <c r="I17" i="24"/>
  <c r="H17" i="24"/>
  <c r="G17" i="24"/>
  <c r="F17" i="24"/>
  <c r="E17" i="24"/>
  <c r="D17" i="24"/>
  <c r="C17" i="24"/>
  <c r="I16" i="24"/>
  <c r="H16" i="24"/>
  <c r="G16" i="24"/>
  <c r="F16" i="24"/>
  <c r="E16" i="24"/>
  <c r="D16" i="24"/>
  <c r="C16" i="24"/>
  <c r="I15" i="24"/>
  <c r="H15" i="24"/>
  <c r="G15" i="24"/>
  <c r="F15" i="24"/>
  <c r="E15" i="24"/>
  <c r="D15" i="24"/>
  <c r="C15" i="24"/>
  <c r="I14" i="24"/>
  <c r="H14" i="24"/>
  <c r="G14" i="24"/>
  <c r="F14" i="24"/>
  <c r="E14" i="24"/>
  <c r="D14" i="24"/>
  <c r="C14" i="24"/>
  <c r="J13" i="24"/>
  <c r="J209" i="24" s="1"/>
  <c r="I13" i="24"/>
  <c r="H13" i="24"/>
  <c r="G13" i="24"/>
  <c r="F13" i="24"/>
  <c r="E13" i="24"/>
  <c r="D13" i="24"/>
  <c r="C13" i="24"/>
  <c r="I12" i="24"/>
  <c r="H12" i="24"/>
  <c r="G12" i="24"/>
  <c r="F12" i="24"/>
  <c r="E12" i="24"/>
  <c r="D12" i="24"/>
  <c r="C12" i="24"/>
  <c r="I11" i="24"/>
  <c r="H11" i="24"/>
  <c r="G11" i="24"/>
  <c r="F11" i="24"/>
  <c r="E11" i="24"/>
  <c r="D11" i="24"/>
  <c r="C11" i="24"/>
  <c r="I10" i="24"/>
  <c r="H10" i="24"/>
  <c r="G10" i="24"/>
  <c r="F10" i="24"/>
  <c r="E10" i="24"/>
  <c r="D10" i="24"/>
  <c r="C10" i="24"/>
  <c r="I9" i="24"/>
  <c r="H9" i="24"/>
  <c r="G9" i="24"/>
  <c r="F9" i="24"/>
  <c r="E9" i="24"/>
  <c r="D9" i="24"/>
  <c r="C9" i="24"/>
  <c r="I8" i="24"/>
  <c r="H8" i="24"/>
  <c r="G8" i="24"/>
  <c r="F8" i="24"/>
  <c r="E8" i="24"/>
  <c r="D8" i="24"/>
  <c r="C8" i="24"/>
  <c r="J7" i="24"/>
  <c r="I7" i="24"/>
  <c r="H7" i="24"/>
  <c r="G7" i="24"/>
  <c r="F7" i="24"/>
  <c r="E7" i="24"/>
  <c r="D7" i="24"/>
  <c r="C7" i="24"/>
  <c r="J6" i="24"/>
  <c r="I6" i="24"/>
  <c r="H6" i="24"/>
  <c r="G6" i="24"/>
  <c r="F6" i="24"/>
  <c r="E6" i="24"/>
  <c r="D6" i="24"/>
  <c r="C6" i="24"/>
  <c r="K5" i="24"/>
  <c r="J5" i="24"/>
  <c r="I5" i="24"/>
  <c r="H5" i="24"/>
  <c r="G5" i="24"/>
  <c r="F5" i="24"/>
  <c r="E5" i="24"/>
  <c r="D5" i="24"/>
  <c r="C5" i="24"/>
  <c r="K4" i="24"/>
  <c r="J4" i="24"/>
  <c r="I4" i="24"/>
  <c r="H4" i="24"/>
  <c r="G4" i="24"/>
  <c r="F4" i="24"/>
  <c r="E4" i="24"/>
  <c r="D4" i="24"/>
  <c r="C4" i="24"/>
  <c r="A284" i="23"/>
  <c r="A283" i="23"/>
  <c r="A282" i="23"/>
  <c r="X262" i="23"/>
  <c r="W262" i="23"/>
  <c r="V262" i="23"/>
  <c r="U262" i="23"/>
  <c r="T262" i="23"/>
  <c r="S262" i="23"/>
  <c r="R262" i="23"/>
  <c r="Q262" i="23"/>
  <c r="P262" i="23"/>
  <c r="O262" i="23"/>
  <c r="N262" i="23"/>
  <c r="K262" i="23"/>
  <c r="J262" i="23"/>
  <c r="B262" i="23"/>
  <c r="X258" i="23"/>
  <c r="W258" i="23"/>
  <c r="V258" i="23"/>
  <c r="U258" i="23"/>
  <c r="T258" i="23"/>
  <c r="S258" i="23"/>
  <c r="R258" i="23"/>
  <c r="Q258" i="23"/>
  <c r="P258" i="23"/>
  <c r="O258" i="23"/>
  <c r="N258" i="23"/>
  <c r="K258" i="23"/>
  <c r="J258" i="23"/>
  <c r="B258" i="23"/>
  <c r="X257" i="23"/>
  <c r="W257" i="23"/>
  <c r="V257" i="23"/>
  <c r="U257" i="23"/>
  <c r="T257" i="23"/>
  <c r="S257" i="23"/>
  <c r="R257" i="23"/>
  <c r="Q257" i="23"/>
  <c r="P257" i="23"/>
  <c r="O257" i="23"/>
  <c r="N257" i="23"/>
  <c r="K257" i="23"/>
  <c r="J257" i="23"/>
  <c r="B257" i="23"/>
  <c r="X256" i="23"/>
  <c r="W256" i="23"/>
  <c r="V256" i="23"/>
  <c r="U256" i="23"/>
  <c r="T256" i="23"/>
  <c r="S256" i="23"/>
  <c r="R256" i="23"/>
  <c r="Q256" i="23"/>
  <c r="P256" i="23"/>
  <c r="O256" i="23"/>
  <c r="N256" i="23"/>
  <c r="K256" i="23"/>
  <c r="J256" i="23"/>
  <c r="B256" i="23"/>
  <c r="X255" i="23"/>
  <c r="W255" i="23"/>
  <c r="V255" i="23"/>
  <c r="U255" i="23"/>
  <c r="T255" i="23"/>
  <c r="S255" i="23"/>
  <c r="R255" i="23"/>
  <c r="Q255" i="23"/>
  <c r="P255" i="23"/>
  <c r="O255" i="23"/>
  <c r="N255" i="23"/>
  <c r="K255" i="23"/>
  <c r="J255" i="23"/>
  <c r="B255" i="23"/>
  <c r="X254" i="23"/>
  <c r="W254" i="23"/>
  <c r="V254" i="23"/>
  <c r="U254" i="23"/>
  <c r="T254" i="23"/>
  <c r="S254" i="23"/>
  <c r="R254" i="23"/>
  <c r="Q254" i="23"/>
  <c r="P254" i="23"/>
  <c r="O254" i="23"/>
  <c r="N254" i="23"/>
  <c r="K254" i="23"/>
  <c r="J254" i="23"/>
  <c r="B254" i="23"/>
  <c r="X253" i="23"/>
  <c r="W253" i="23"/>
  <c r="V253" i="23"/>
  <c r="U253" i="23"/>
  <c r="T253" i="23"/>
  <c r="S253" i="23"/>
  <c r="R253" i="23"/>
  <c r="Q253" i="23"/>
  <c r="P253" i="23"/>
  <c r="O253" i="23"/>
  <c r="N253" i="23"/>
  <c r="K253" i="23"/>
  <c r="J253" i="23"/>
  <c r="B253" i="23"/>
  <c r="X252" i="23"/>
  <c r="W252" i="23"/>
  <c r="V252" i="23"/>
  <c r="U252" i="23"/>
  <c r="T252" i="23"/>
  <c r="S252" i="23"/>
  <c r="R252" i="23"/>
  <c r="Q252" i="23"/>
  <c r="P252" i="23"/>
  <c r="O252" i="23"/>
  <c r="N252" i="23"/>
  <c r="K252" i="23"/>
  <c r="J252" i="23"/>
  <c r="B252" i="23"/>
  <c r="X250" i="23"/>
  <c r="W250" i="23"/>
  <c r="V250" i="23"/>
  <c r="U250" i="23"/>
  <c r="T250" i="23"/>
  <c r="S250" i="23"/>
  <c r="R250" i="23"/>
  <c r="Q250" i="23"/>
  <c r="P250" i="23"/>
  <c r="O250" i="23"/>
  <c r="N250" i="23"/>
  <c r="K250" i="23"/>
  <c r="J250" i="23"/>
  <c r="B250" i="23"/>
  <c r="X240" i="23"/>
  <c r="W240" i="23"/>
  <c r="V240" i="23"/>
  <c r="U240" i="23"/>
  <c r="T240" i="23"/>
  <c r="S240" i="23"/>
  <c r="R240" i="23"/>
  <c r="Q240" i="23"/>
  <c r="P240" i="23"/>
  <c r="O240" i="23"/>
  <c r="N240" i="23"/>
  <c r="X236" i="23"/>
  <c r="W236" i="23"/>
  <c r="V236" i="23"/>
  <c r="U236" i="23"/>
  <c r="T236" i="23"/>
  <c r="S236" i="23"/>
  <c r="R236" i="23"/>
  <c r="Q236" i="23"/>
  <c r="P236" i="23"/>
  <c r="O236" i="23"/>
  <c r="N236" i="23"/>
  <c r="X235" i="23"/>
  <c r="W235" i="23"/>
  <c r="V235" i="23"/>
  <c r="U235" i="23"/>
  <c r="T235" i="23"/>
  <c r="S235" i="23"/>
  <c r="R235" i="23"/>
  <c r="Q235" i="23"/>
  <c r="P235" i="23"/>
  <c r="O235" i="23"/>
  <c r="N235" i="23"/>
  <c r="X234" i="23"/>
  <c r="W234" i="23"/>
  <c r="V234" i="23"/>
  <c r="U234" i="23"/>
  <c r="T234" i="23"/>
  <c r="S234" i="23"/>
  <c r="R234" i="23"/>
  <c r="Q234" i="23"/>
  <c r="P234" i="23"/>
  <c r="O234" i="23"/>
  <c r="N234" i="23"/>
  <c r="X233" i="23"/>
  <c r="W233" i="23"/>
  <c r="V233" i="23"/>
  <c r="U233" i="23"/>
  <c r="T233" i="23"/>
  <c r="S233" i="23"/>
  <c r="R233" i="23"/>
  <c r="Q233" i="23"/>
  <c r="P233" i="23"/>
  <c r="O233" i="23"/>
  <c r="N233" i="23"/>
  <c r="X232" i="23"/>
  <c r="W232" i="23"/>
  <c r="V232" i="23"/>
  <c r="U232" i="23"/>
  <c r="T232" i="23"/>
  <c r="S232" i="23"/>
  <c r="R232" i="23"/>
  <c r="Q232" i="23"/>
  <c r="P232" i="23"/>
  <c r="O232" i="23"/>
  <c r="N232" i="23"/>
  <c r="X231" i="23"/>
  <c r="W231" i="23"/>
  <c r="V231" i="23"/>
  <c r="U231" i="23"/>
  <c r="T231" i="23"/>
  <c r="S231" i="23"/>
  <c r="R231" i="23"/>
  <c r="Q231" i="23"/>
  <c r="P231" i="23"/>
  <c r="O231" i="23"/>
  <c r="N231" i="23"/>
  <c r="X230" i="23"/>
  <c r="W230" i="23"/>
  <c r="V230" i="23"/>
  <c r="U230" i="23"/>
  <c r="T230" i="23"/>
  <c r="S230" i="23"/>
  <c r="R230" i="23"/>
  <c r="Q230" i="23"/>
  <c r="P230" i="23"/>
  <c r="O230" i="23"/>
  <c r="N230" i="23"/>
  <c r="X228" i="23"/>
  <c r="W228" i="23"/>
  <c r="V228" i="23"/>
  <c r="U228" i="23"/>
  <c r="T228" i="23"/>
  <c r="S228" i="23"/>
  <c r="R228" i="23"/>
  <c r="Q228" i="23"/>
  <c r="P228" i="23"/>
  <c r="O228" i="23"/>
  <c r="N228" i="23"/>
  <c r="X227" i="23"/>
  <c r="U226" i="23"/>
  <c r="T226" i="23"/>
  <c r="X221" i="23"/>
  <c r="W221" i="23"/>
  <c r="V221" i="23"/>
  <c r="P221" i="23"/>
  <c r="O221" i="23"/>
  <c r="N221" i="23"/>
  <c r="X217" i="23"/>
  <c r="W217" i="23"/>
  <c r="V217" i="23"/>
  <c r="P217" i="23"/>
  <c r="O217" i="23"/>
  <c r="N217" i="23"/>
  <c r="X216" i="23"/>
  <c r="W216" i="23"/>
  <c r="V216" i="23"/>
  <c r="P216" i="23"/>
  <c r="O216" i="23"/>
  <c r="N216" i="23"/>
  <c r="X215" i="23"/>
  <c r="W215" i="23"/>
  <c r="V215" i="23"/>
  <c r="P215" i="23"/>
  <c r="O215" i="23"/>
  <c r="N215" i="23"/>
  <c r="W214" i="23"/>
  <c r="V214" i="23"/>
  <c r="P214" i="23"/>
  <c r="O214" i="23"/>
  <c r="N214" i="23"/>
  <c r="X213" i="23"/>
  <c r="W213" i="23"/>
  <c r="V213" i="23"/>
  <c r="P213" i="23"/>
  <c r="O213" i="23"/>
  <c r="N213" i="23"/>
  <c r="X212" i="23"/>
  <c r="W212" i="23"/>
  <c r="V212" i="23"/>
  <c r="P212" i="23"/>
  <c r="O212" i="23"/>
  <c r="N212" i="23"/>
  <c r="X211" i="23"/>
  <c r="W211" i="23"/>
  <c r="V211" i="23"/>
  <c r="P211" i="23"/>
  <c r="O211" i="23"/>
  <c r="N211" i="23"/>
  <c r="X209" i="23"/>
  <c r="W209" i="23"/>
  <c r="V209" i="23"/>
  <c r="P209" i="23"/>
  <c r="O209" i="23"/>
  <c r="N209" i="23"/>
  <c r="X194" i="23"/>
  <c r="W194" i="23"/>
  <c r="W281" i="23" s="1"/>
  <c r="V194" i="23"/>
  <c r="V281" i="23" s="1"/>
  <c r="P194" i="23"/>
  <c r="P281" i="23" s="1"/>
  <c r="O194" i="23"/>
  <c r="O281" i="23" s="1"/>
  <c r="N194" i="23"/>
  <c r="N281" i="23" s="1"/>
  <c r="X190" i="23"/>
  <c r="W190" i="23"/>
  <c r="W277" i="23" s="1"/>
  <c r="V190" i="23"/>
  <c r="V277" i="23" s="1"/>
  <c r="P190" i="23"/>
  <c r="P277" i="23" s="1"/>
  <c r="O190" i="23"/>
  <c r="O277" i="23" s="1"/>
  <c r="N190" i="23"/>
  <c r="N277" i="23" s="1"/>
  <c r="X189" i="23"/>
  <c r="W189" i="23"/>
  <c r="W276" i="23" s="1"/>
  <c r="V189" i="23"/>
  <c r="V276" i="23" s="1"/>
  <c r="P189" i="23"/>
  <c r="P276" i="23" s="1"/>
  <c r="O189" i="23"/>
  <c r="O276" i="23" s="1"/>
  <c r="N189" i="23"/>
  <c r="N276" i="23" s="1"/>
  <c r="X188" i="23"/>
  <c r="W188" i="23"/>
  <c r="W275" i="23" s="1"/>
  <c r="V188" i="23"/>
  <c r="V275" i="23" s="1"/>
  <c r="P188" i="23"/>
  <c r="P275" i="23" s="1"/>
  <c r="O188" i="23"/>
  <c r="O275" i="23" s="1"/>
  <c r="N188" i="23"/>
  <c r="N275" i="23" s="1"/>
  <c r="W187" i="23"/>
  <c r="W274" i="23" s="1"/>
  <c r="V187" i="23"/>
  <c r="V274" i="23" s="1"/>
  <c r="P187" i="23"/>
  <c r="P274" i="23" s="1"/>
  <c r="O187" i="23"/>
  <c r="O274" i="23" s="1"/>
  <c r="N187" i="23"/>
  <c r="N274" i="23" s="1"/>
  <c r="X186" i="23"/>
  <c r="X273" i="23" s="1"/>
  <c r="W186" i="23"/>
  <c r="W273" i="23" s="1"/>
  <c r="V186" i="23"/>
  <c r="V273" i="23" s="1"/>
  <c r="P186" i="23"/>
  <c r="P273" i="23" s="1"/>
  <c r="O186" i="23"/>
  <c r="O273" i="23" s="1"/>
  <c r="N186" i="23"/>
  <c r="N273" i="23" s="1"/>
  <c r="X185" i="23"/>
  <c r="X272" i="23" s="1"/>
  <c r="W185" i="23"/>
  <c r="W272" i="23" s="1"/>
  <c r="V185" i="23"/>
  <c r="V272" i="23" s="1"/>
  <c r="P185" i="23"/>
  <c r="P272" i="23" s="1"/>
  <c r="O185" i="23"/>
  <c r="O272" i="23" s="1"/>
  <c r="N185" i="23"/>
  <c r="N272" i="23" s="1"/>
  <c r="X184" i="23"/>
  <c r="X271" i="23" s="1"/>
  <c r="W184" i="23"/>
  <c r="W271" i="23" s="1"/>
  <c r="V184" i="23"/>
  <c r="V271" i="23" s="1"/>
  <c r="P184" i="23"/>
  <c r="P271" i="23" s="1"/>
  <c r="O184" i="23"/>
  <c r="O271" i="23" s="1"/>
  <c r="N184" i="23"/>
  <c r="N271" i="23" s="1"/>
  <c r="X183" i="23"/>
  <c r="W183" i="23"/>
  <c r="V183" i="23"/>
  <c r="P183" i="23"/>
  <c r="O183" i="23"/>
  <c r="N183" i="23"/>
  <c r="W182" i="23"/>
  <c r="V182" i="23"/>
  <c r="P182" i="23"/>
  <c r="O182" i="23"/>
  <c r="N182" i="23"/>
  <c r="X181" i="23"/>
  <c r="W181" i="23"/>
  <c r="V181" i="23"/>
  <c r="P181" i="23"/>
  <c r="O181" i="23"/>
  <c r="N181" i="23"/>
  <c r="W180" i="23"/>
  <c r="V180" i="23"/>
  <c r="P180" i="23"/>
  <c r="O180" i="23"/>
  <c r="N180" i="23"/>
  <c r="X179" i="23"/>
  <c r="W179" i="23"/>
  <c r="W270" i="23" s="1"/>
  <c r="V179" i="23"/>
  <c r="V270" i="23" s="1"/>
  <c r="P179" i="23"/>
  <c r="P270" i="23" s="1"/>
  <c r="O179" i="23"/>
  <c r="O270" i="23" s="1"/>
  <c r="N179" i="23"/>
  <c r="N270" i="23" s="1"/>
  <c r="X178" i="23"/>
  <c r="W178" i="23"/>
  <c r="V178" i="23"/>
  <c r="P178" i="23"/>
  <c r="O178" i="23"/>
  <c r="N178" i="23"/>
  <c r="X177" i="23"/>
  <c r="W177" i="23"/>
  <c r="V177" i="23"/>
  <c r="P177" i="23"/>
  <c r="O177" i="23"/>
  <c r="N177" i="23"/>
  <c r="X176" i="23"/>
  <c r="W176" i="23"/>
  <c r="V176" i="23"/>
  <c r="P176" i="23"/>
  <c r="O176" i="23"/>
  <c r="N176" i="23"/>
  <c r="X175" i="23"/>
  <c r="W175" i="23"/>
  <c r="V175" i="23"/>
  <c r="P175" i="23"/>
  <c r="O175" i="23"/>
  <c r="N175" i="23"/>
  <c r="X174" i="23"/>
  <c r="X269" i="23" s="1"/>
  <c r="W174" i="23"/>
  <c r="W269" i="23" s="1"/>
  <c r="V174" i="23"/>
  <c r="V269" i="23" s="1"/>
  <c r="P174" i="23"/>
  <c r="P269" i="23" s="1"/>
  <c r="O174" i="23"/>
  <c r="O269" i="23" s="1"/>
  <c r="N174" i="23"/>
  <c r="N269" i="23" s="1"/>
  <c r="X173" i="23"/>
  <c r="W173" i="23"/>
  <c r="V173" i="23"/>
  <c r="P173" i="23"/>
  <c r="O173" i="23"/>
  <c r="N173" i="23"/>
  <c r="X172" i="23"/>
  <c r="W172" i="23"/>
  <c r="V172" i="23"/>
  <c r="P172" i="23"/>
  <c r="O172" i="23"/>
  <c r="N172" i="23"/>
  <c r="X171" i="23"/>
  <c r="W171" i="23"/>
  <c r="V171" i="23"/>
  <c r="P171" i="23"/>
  <c r="O171" i="23"/>
  <c r="N171" i="23"/>
  <c r="X170" i="23"/>
  <c r="W170" i="23"/>
  <c r="V170" i="23"/>
  <c r="P170" i="23"/>
  <c r="O170" i="23"/>
  <c r="N170" i="23"/>
  <c r="W169" i="23"/>
  <c r="V169" i="23"/>
  <c r="P169" i="23"/>
  <c r="O169" i="23"/>
  <c r="N169" i="23"/>
  <c r="X168" i="23"/>
  <c r="W168" i="23"/>
  <c r="V168" i="23"/>
  <c r="P168" i="23"/>
  <c r="O168" i="23"/>
  <c r="N168" i="23"/>
  <c r="X167" i="23"/>
  <c r="W167" i="23"/>
  <c r="V167" i="23"/>
  <c r="P167" i="23"/>
  <c r="O167" i="23"/>
  <c r="N167" i="23"/>
  <c r="W166" i="23"/>
  <c r="V166" i="23"/>
  <c r="P166" i="23"/>
  <c r="O166" i="23"/>
  <c r="N166" i="23"/>
  <c r="W165" i="23"/>
  <c r="V165" i="23"/>
  <c r="P165" i="23"/>
  <c r="O165" i="23"/>
  <c r="N165" i="23"/>
  <c r="W164" i="23"/>
  <c r="V164" i="23"/>
  <c r="P164" i="23"/>
  <c r="O164" i="23"/>
  <c r="N164" i="23"/>
  <c r="W163" i="23"/>
  <c r="V163" i="23"/>
  <c r="P163" i="23"/>
  <c r="O163" i="23"/>
  <c r="N163" i="23"/>
  <c r="W162" i="23"/>
  <c r="V162" i="23"/>
  <c r="P162" i="23"/>
  <c r="O162" i="23"/>
  <c r="N162" i="23"/>
  <c r="W161" i="23"/>
  <c r="V161" i="23"/>
  <c r="P161" i="23"/>
  <c r="O161" i="23"/>
  <c r="N161" i="23"/>
  <c r="W160" i="23"/>
  <c r="V160" i="23"/>
  <c r="P160" i="23"/>
  <c r="O160" i="23"/>
  <c r="N160" i="23"/>
  <c r="W159" i="23"/>
  <c r="V159" i="23"/>
  <c r="P159" i="23"/>
  <c r="O159" i="23"/>
  <c r="N159" i="23"/>
  <c r="W158" i="23"/>
  <c r="V158" i="23"/>
  <c r="N158" i="23"/>
  <c r="W157" i="23"/>
  <c r="V157" i="23"/>
  <c r="N157" i="23"/>
  <c r="W156" i="23"/>
  <c r="V156" i="23"/>
  <c r="N156" i="23"/>
  <c r="W155" i="23"/>
  <c r="V155" i="23"/>
  <c r="N155" i="23"/>
  <c r="W154" i="23"/>
  <c r="V154" i="23"/>
  <c r="N154" i="23"/>
  <c r="W153" i="23"/>
  <c r="V153" i="23"/>
  <c r="N153" i="23"/>
  <c r="W152" i="23"/>
  <c r="V152" i="23"/>
  <c r="N152" i="23"/>
  <c r="W151" i="23"/>
  <c r="V151" i="23"/>
  <c r="N151" i="23"/>
  <c r="W150" i="23"/>
  <c r="V150" i="23"/>
  <c r="N150" i="23"/>
  <c r="W149" i="23"/>
  <c r="V149" i="23"/>
  <c r="N149" i="23"/>
  <c r="I146" i="23"/>
  <c r="I262" i="23" s="1"/>
  <c r="H146" i="23"/>
  <c r="G146" i="23"/>
  <c r="G262" i="23" s="1"/>
  <c r="F146" i="23"/>
  <c r="F262" i="23" s="1"/>
  <c r="E146" i="23"/>
  <c r="D146" i="23"/>
  <c r="C146" i="23"/>
  <c r="C262" i="23" s="1"/>
  <c r="I142" i="23"/>
  <c r="I258" i="23" s="1"/>
  <c r="H142" i="23"/>
  <c r="G142" i="23"/>
  <c r="G258" i="23" s="1"/>
  <c r="F142" i="23"/>
  <c r="F258" i="23" s="1"/>
  <c r="E142" i="23"/>
  <c r="E258" i="23" s="1"/>
  <c r="D142" i="23"/>
  <c r="D258" i="23" s="1"/>
  <c r="C142" i="23"/>
  <c r="I141" i="23"/>
  <c r="H141" i="23"/>
  <c r="G141" i="23"/>
  <c r="G257" i="23" s="1"/>
  <c r="F141" i="23"/>
  <c r="F257" i="23" s="1"/>
  <c r="E141" i="23"/>
  <c r="D141" i="23"/>
  <c r="C141" i="23"/>
  <c r="C257" i="23" s="1"/>
  <c r="I140" i="23"/>
  <c r="I256" i="23" s="1"/>
  <c r="H140" i="23"/>
  <c r="G140" i="23"/>
  <c r="G256" i="23" s="1"/>
  <c r="F140" i="23"/>
  <c r="F256" i="23" s="1"/>
  <c r="E140" i="23"/>
  <c r="E256" i="23" s="1"/>
  <c r="D140" i="23"/>
  <c r="C140" i="23"/>
  <c r="I139" i="23"/>
  <c r="I255" i="23" s="1"/>
  <c r="H139" i="23"/>
  <c r="G139" i="23"/>
  <c r="G255" i="23" s="1"/>
  <c r="F139" i="23"/>
  <c r="F255" i="23" s="1"/>
  <c r="E139" i="23"/>
  <c r="D139" i="23"/>
  <c r="C139" i="23"/>
  <c r="I138" i="23"/>
  <c r="I254" i="23" s="1"/>
  <c r="H138" i="23"/>
  <c r="G138" i="23"/>
  <c r="G254" i="23" s="1"/>
  <c r="F138" i="23"/>
  <c r="F254" i="23" s="1"/>
  <c r="E138" i="23"/>
  <c r="E254" i="23" s="1"/>
  <c r="D138" i="23"/>
  <c r="D254" i="23" s="1"/>
  <c r="C138" i="23"/>
  <c r="I137" i="23"/>
  <c r="H137" i="23"/>
  <c r="G137" i="23"/>
  <c r="G253" i="23" s="1"/>
  <c r="F137" i="23"/>
  <c r="F253" i="23" s="1"/>
  <c r="E137" i="23"/>
  <c r="D137" i="23"/>
  <c r="C137" i="23"/>
  <c r="C253" i="23" s="1"/>
  <c r="I136" i="23"/>
  <c r="I252" i="23" s="1"/>
  <c r="H136" i="23"/>
  <c r="G136" i="23"/>
  <c r="G252" i="23" s="1"/>
  <c r="F136" i="23"/>
  <c r="F252" i="23" s="1"/>
  <c r="E136" i="23"/>
  <c r="E252" i="23" s="1"/>
  <c r="D136" i="23"/>
  <c r="D252" i="23" s="1"/>
  <c r="C136" i="23"/>
  <c r="I135" i="23"/>
  <c r="H135" i="23"/>
  <c r="G135" i="23"/>
  <c r="F135" i="23"/>
  <c r="E135" i="23"/>
  <c r="D135" i="23"/>
  <c r="C135" i="23"/>
  <c r="L134" i="23"/>
  <c r="I134" i="23"/>
  <c r="H134" i="23"/>
  <c r="G134" i="23"/>
  <c r="F134" i="23"/>
  <c r="E134" i="23"/>
  <c r="D134" i="23"/>
  <c r="C134" i="23"/>
  <c r="L133" i="23"/>
  <c r="I133" i="23"/>
  <c r="H133" i="23"/>
  <c r="G133" i="23"/>
  <c r="F133" i="23"/>
  <c r="E133" i="23"/>
  <c r="D133" i="23"/>
  <c r="C133" i="23"/>
  <c r="I132" i="23"/>
  <c r="H132" i="23"/>
  <c r="G132" i="23"/>
  <c r="F132" i="23"/>
  <c r="E132" i="23"/>
  <c r="D132" i="23"/>
  <c r="C132" i="23"/>
  <c r="I131" i="23"/>
  <c r="H131" i="23"/>
  <c r="G131" i="23"/>
  <c r="G251" i="23" s="1"/>
  <c r="F131" i="23"/>
  <c r="F251" i="23" s="1"/>
  <c r="E131" i="23"/>
  <c r="E251" i="23" s="1"/>
  <c r="D131" i="23"/>
  <c r="D251" i="23" s="1"/>
  <c r="C131" i="23"/>
  <c r="I130" i="23"/>
  <c r="H130" i="23"/>
  <c r="G130" i="23"/>
  <c r="F130" i="23"/>
  <c r="E130" i="23"/>
  <c r="D130" i="23"/>
  <c r="C130" i="23"/>
  <c r="I129" i="23"/>
  <c r="H129" i="23"/>
  <c r="G129" i="23"/>
  <c r="F129" i="23"/>
  <c r="E129" i="23"/>
  <c r="D129" i="23"/>
  <c r="C129" i="23"/>
  <c r="I128" i="23"/>
  <c r="H128" i="23"/>
  <c r="G128" i="23"/>
  <c r="F128" i="23"/>
  <c r="E128" i="23"/>
  <c r="D128" i="23"/>
  <c r="C128" i="23"/>
  <c r="I127" i="23"/>
  <c r="H127" i="23"/>
  <c r="G127" i="23"/>
  <c r="F127" i="23"/>
  <c r="E127" i="23"/>
  <c r="D127" i="23"/>
  <c r="C127" i="23"/>
  <c r="I126" i="23"/>
  <c r="H126" i="23"/>
  <c r="G126" i="23"/>
  <c r="F126" i="23"/>
  <c r="E126" i="23"/>
  <c r="D126" i="23"/>
  <c r="C126" i="23"/>
  <c r="I125" i="23"/>
  <c r="H125" i="23"/>
  <c r="G125" i="23"/>
  <c r="F125" i="23"/>
  <c r="E125" i="23"/>
  <c r="D125" i="23"/>
  <c r="C125" i="23"/>
  <c r="I124" i="23"/>
  <c r="H124" i="23"/>
  <c r="G124" i="23"/>
  <c r="F124" i="23"/>
  <c r="E124" i="23"/>
  <c r="D124" i="23"/>
  <c r="C124" i="23"/>
  <c r="I123" i="23"/>
  <c r="H123" i="23"/>
  <c r="G123" i="23"/>
  <c r="F123" i="23"/>
  <c r="E123" i="23"/>
  <c r="D123" i="23"/>
  <c r="C123" i="23"/>
  <c r="I122" i="23"/>
  <c r="H122" i="23"/>
  <c r="G122" i="23"/>
  <c r="F122" i="23"/>
  <c r="E122" i="23"/>
  <c r="D122" i="23"/>
  <c r="C122" i="23"/>
  <c r="I121" i="23"/>
  <c r="H121" i="23"/>
  <c r="G121" i="23"/>
  <c r="F121" i="23"/>
  <c r="E121" i="23"/>
  <c r="D121" i="23"/>
  <c r="C121" i="23"/>
  <c r="I120" i="23"/>
  <c r="H120" i="23"/>
  <c r="G120" i="23"/>
  <c r="F120" i="23"/>
  <c r="E120" i="23"/>
  <c r="D120" i="23"/>
  <c r="C120" i="23"/>
  <c r="I119" i="23"/>
  <c r="H119" i="23"/>
  <c r="G119" i="23"/>
  <c r="F119" i="23"/>
  <c r="E119" i="23"/>
  <c r="D119" i="23"/>
  <c r="C119" i="23"/>
  <c r="I118" i="23"/>
  <c r="H118" i="23"/>
  <c r="G118" i="23"/>
  <c r="F118" i="23"/>
  <c r="E118" i="23"/>
  <c r="D118" i="23"/>
  <c r="C118" i="23"/>
  <c r="S117" i="23"/>
  <c r="R117" i="23"/>
  <c r="Q117" i="23"/>
  <c r="I117" i="23"/>
  <c r="H117" i="23"/>
  <c r="G117" i="23"/>
  <c r="F117" i="23"/>
  <c r="E117" i="23"/>
  <c r="D117" i="23"/>
  <c r="C117" i="23"/>
  <c r="S116" i="23"/>
  <c r="R116" i="23"/>
  <c r="Q116" i="23"/>
  <c r="I116" i="23"/>
  <c r="H116" i="23"/>
  <c r="G116" i="23"/>
  <c r="F116" i="23"/>
  <c r="E116" i="23"/>
  <c r="D116" i="23"/>
  <c r="C116" i="23"/>
  <c r="S115" i="23"/>
  <c r="R115" i="23"/>
  <c r="Q115" i="23"/>
  <c r="I115" i="23"/>
  <c r="H115" i="23"/>
  <c r="G115" i="23"/>
  <c r="F115" i="23"/>
  <c r="E115" i="23"/>
  <c r="D115" i="23"/>
  <c r="C115" i="23"/>
  <c r="T114" i="23"/>
  <c r="S114" i="23"/>
  <c r="R114" i="23"/>
  <c r="Q114" i="23"/>
  <c r="I114" i="23"/>
  <c r="H114" i="23"/>
  <c r="G114" i="23"/>
  <c r="F114" i="23"/>
  <c r="E114" i="23"/>
  <c r="D114" i="23"/>
  <c r="C114" i="23"/>
  <c r="U113" i="23"/>
  <c r="T113" i="23"/>
  <c r="S113" i="23"/>
  <c r="R113" i="23"/>
  <c r="Q113" i="23"/>
  <c r="I113" i="23"/>
  <c r="H113" i="23"/>
  <c r="G113" i="23"/>
  <c r="F113" i="23"/>
  <c r="E113" i="23"/>
  <c r="D113" i="23"/>
  <c r="C113" i="23"/>
  <c r="U112" i="23"/>
  <c r="T112" i="23"/>
  <c r="S112" i="23"/>
  <c r="R112" i="23"/>
  <c r="Q112" i="23"/>
  <c r="I112" i="23"/>
  <c r="H112" i="23"/>
  <c r="G112" i="23"/>
  <c r="F112" i="23"/>
  <c r="E112" i="23"/>
  <c r="D112" i="23"/>
  <c r="C112" i="23"/>
  <c r="U111" i="23"/>
  <c r="T111" i="23"/>
  <c r="S111" i="23"/>
  <c r="R111" i="23"/>
  <c r="Q111" i="23"/>
  <c r="I111" i="23"/>
  <c r="H111" i="23"/>
  <c r="G111" i="23"/>
  <c r="F111" i="23"/>
  <c r="E111" i="23"/>
  <c r="D111" i="23"/>
  <c r="C111" i="23"/>
  <c r="U110" i="23"/>
  <c r="T110" i="23"/>
  <c r="S110" i="23"/>
  <c r="R110" i="23"/>
  <c r="Q110" i="23"/>
  <c r="P110" i="23"/>
  <c r="O110" i="23"/>
  <c r="I110" i="23"/>
  <c r="H110" i="23"/>
  <c r="G110" i="23"/>
  <c r="F110" i="23"/>
  <c r="E110" i="23"/>
  <c r="D110" i="23"/>
  <c r="C110" i="23"/>
  <c r="U109" i="23"/>
  <c r="T109" i="23"/>
  <c r="S109" i="23"/>
  <c r="R109" i="23"/>
  <c r="Q109" i="23"/>
  <c r="P109" i="23"/>
  <c r="O109" i="23"/>
  <c r="I109" i="23"/>
  <c r="H109" i="23"/>
  <c r="G109" i="23"/>
  <c r="F109" i="23"/>
  <c r="E109" i="23"/>
  <c r="D109" i="23"/>
  <c r="C109" i="23"/>
  <c r="U108" i="23"/>
  <c r="T108" i="23"/>
  <c r="S108" i="23"/>
  <c r="R108" i="23"/>
  <c r="Q108" i="23"/>
  <c r="P108" i="23"/>
  <c r="O108" i="23"/>
  <c r="I108" i="23"/>
  <c r="H108" i="23"/>
  <c r="G108" i="23"/>
  <c r="F108" i="23"/>
  <c r="E108" i="23"/>
  <c r="D108" i="23"/>
  <c r="C108" i="23"/>
  <c r="U107" i="23"/>
  <c r="T107" i="23"/>
  <c r="S107" i="23"/>
  <c r="R107" i="23"/>
  <c r="Q107" i="23"/>
  <c r="P107" i="23"/>
  <c r="O107" i="23"/>
  <c r="I107" i="23"/>
  <c r="H107" i="23"/>
  <c r="G107" i="23"/>
  <c r="F107" i="23"/>
  <c r="E107" i="23"/>
  <c r="D107" i="23"/>
  <c r="U106" i="23"/>
  <c r="T106" i="23"/>
  <c r="S106" i="23"/>
  <c r="R106" i="23"/>
  <c r="Q106" i="23"/>
  <c r="P106" i="23"/>
  <c r="O106" i="23"/>
  <c r="I106" i="23"/>
  <c r="H106" i="23"/>
  <c r="G106" i="23"/>
  <c r="F106" i="23"/>
  <c r="E106" i="23"/>
  <c r="D106" i="23"/>
  <c r="C106" i="23"/>
  <c r="U105" i="23"/>
  <c r="T105" i="23"/>
  <c r="S105" i="23"/>
  <c r="R105" i="23"/>
  <c r="Q105" i="23"/>
  <c r="P105" i="23"/>
  <c r="O105" i="23"/>
  <c r="I105" i="23"/>
  <c r="H105" i="23"/>
  <c r="G105" i="23"/>
  <c r="F105" i="23"/>
  <c r="E105" i="23"/>
  <c r="D105" i="23"/>
  <c r="C105" i="23"/>
  <c r="U104" i="23"/>
  <c r="T104" i="23"/>
  <c r="S104" i="23"/>
  <c r="R104" i="23"/>
  <c r="Q104" i="23"/>
  <c r="P104" i="23"/>
  <c r="O104" i="23"/>
  <c r="I104" i="23"/>
  <c r="H104" i="23"/>
  <c r="G104" i="23"/>
  <c r="F104" i="23"/>
  <c r="E104" i="23"/>
  <c r="D104" i="23"/>
  <c r="C104" i="23"/>
  <c r="U103" i="23"/>
  <c r="T103" i="23"/>
  <c r="S103" i="23"/>
  <c r="R103" i="23"/>
  <c r="Q103" i="23"/>
  <c r="P103" i="23"/>
  <c r="O103" i="23"/>
  <c r="I103" i="23"/>
  <c r="H103" i="23"/>
  <c r="G103" i="23"/>
  <c r="F103" i="23"/>
  <c r="E103" i="23"/>
  <c r="D103" i="23"/>
  <c r="C103" i="23"/>
  <c r="U102" i="23"/>
  <c r="T102" i="23"/>
  <c r="S102" i="23"/>
  <c r="R102" i="23"/>
  <c r="Q102" i="23"/>
  <c r="P102" i="23"/>
  <c r="O102" i="23"/>
  <c r="I102" i="23"/>
  <c r="H102" i="23"/>
  <c r="G102" i="23"/>
  <c r="F102" i="23"/>
  <c r="E102" i="23"/>
  <c r="D102" i="23"/>
  <c r="C102" i="23"/>
  <c r="T101" i="23"/>
  <c r="S101" i="23"/>
  <c r="R101" i="23"/>
  <c r="Q101" i="23"/>
  <c r="P101" i="23"/>
  <c r="O101" i="23"/>
  <c r="I101" i="23"/>
  <c r="H101" i="23"/>
  <c r="G101" i="23"/>
  <c r="F101" i="23"/>
  <c r="E101" i="23"/>
  <c r="D101" i="23"/>
  <c r="C101" i="23"/>
  <c r="K98" i="23"/>
  <c r="K240" i="23" s="1"/>
  <c r="J98" i="23"/>
  <c r="I98" i="23"/>
  <c r="I240" i="23" s="1"/>
  <c r="H98" i="23"/>
  <c r="H240" i="23" s="1"/>
  <c r="G98" i="23"/>
  <c r="G240" i="23" s="1"/>
  <c r="F98" i="23"/>
  <c r="F240" i="23" s="1"/>
  <c r="E98" i="23"/>
  <c r="E240" i="23" s="1"/>
  <c r="D98" i="23"/>
  <c r="D240" i="23" s="1"/>
  <c r="C98" i="23"/>
  <c r="C240" i="23" s="1"/>
  <c r="B98" i="23"/>
  <c r="B240" i="23" s="1"/>
  <c r="K94" i="23"/>
  <c r="J94" i="23"/>
  <c r="I94" i="23"/>
  <c r="I236" i="23" s="1"/>
  <c r="H94" i="23"/>
  <c r="H236" i="23" s="1"/>
  <c r="G94" i="23"/>
  <c r="G236" i="23" s="1"/>
  <c r="F94" i="23"/>
  <c r="F236" i="23" s="1"/>
  <c r="E94" i="23"/>
  <c r="E236" i="23" s="1"/>
  <c r="D94" i="23"/>
  <c r="D236" i="23" s="1"/>
  <c r="C94" i="23"/>
  <c r="C236" i="23" s="1"/>
  <c r="B94" i="23"/>
  <c r="B236" i="23" s="1"/>
  <c r="K93" i="23"/>
  <c r="K235" i="23" s="1"/>
  <c r="J93" i="23"/>
  <c r="I93" i="23"/>
  <c r="I235" i="23" s="1"/>
  <c r="H93" i="23"/>
  <c r="H235" i="23" s="1"/>
  <c r="G93" i="23"/>
  <c r="G235" i="23" s="1"/>
  <c r="F93" i="23"/>
  <c r="F235" i="23" s="1"/>
  <c r="E93" i="23"/>
  <c r="E235" i="23" s="1"/>
  <c r="D93" i="23"/>
  <c r="D235" i="23" s="1"/>
  <c r="C93" i="23"/>
  <c r="C235" i="23" s="1"/>
  <c r="B93" i="23"/>
  <c r="K92" i="23"/>
  <c r="K234" i="23" s="1"/>
  <c r="J92" i="23"/>
  <c r="J234" i="23" s="1"/>
  <c r="I92" i="23"/>
  <c r="I234" i="23" s="1"/>
  <c r="H92" i="23"/>
  <c r="H234" i="23" s="1"/>
  <c r="G92" i="23"/>
  <c r="G234" i="23" s="1"/>
  <c r="F92" i="23"/>
  <c r="F234" i="23" s="1"/>
  <c r="E92" i="23"/>
  <c r="E234" i="23" s="1"/>
  <c r="D92" i="23"/>
  <c r="D234" i="23" s="1"/>
  <c r="C92" i="23"/>
  <c r="C234" i="23" s="1"/>
  <c r="B92" i="23"/>
  <c r="B234" i="23" s="1"/>
  <c r="K91" i="23"/>
  <c r="K233" i="23" s="1"/>
  <c r="J91" i="23"/>
  <c r="J233" i="23" s="1"/>
  <c r="I91" i="23"/>
  <c r="I233" i="23" s="1"/>
  <c r="H91" i="23"/>
  <c r="H233" i="23" s="1"/>
  <c r="G91" i="23"/>
  <c r="G233" i="23" s="1"/>
  <c r="F91" i="23"/>
  <c r="F233" i="23" s="1"/>
  <c r="E91" i="23"/>
  <c r="E233" i="23" s="1"/>
  <c r="D91" i="23"/>
  <c r="D233" i="23" s="1"/>
  <c r="C91" i="23"/>
  <c r="C233" i="23" s="1"/>
  <c r="B91" i="23"/>
  <c r="B233" i="23" s="1"/>
  <c r="K90" i="23"/>
  <c r="J90" i="23"/>
  <c r="J232" i="23" s="1"/>
  <c r="I90" i="23"/>
  <c r="I232" i="23" s="1"/>
  <c r="H90" i="23"/>
  <c r="H232" i="23" s="1"/>
  <c r="G90" i="23"/>
  <c r="G232" i="23" s="1"/>
  <c r="F90" i="23"/>
  <c r="F232" i="23" s="1"/>
  <c r="E90" i="23"/>
  <c r="E232" i="23" s="1"/>
  <c r="D90" i="23"/>
  <c r="D232" i="23" s="1"/>
  <c r="C90" i="23"/>
  <c r="C232" i="23" s="1"/>
  <c r="B90" i="23"/>
  <c r="B232" i="23" s="1"/>
  <c r="K89" i="23"/>
  <c r="K231" i="23" s="1"/>
  <c r="J89" i="23"/>
  <c r="I89" i="23"/>
  <c r="I231" i="23" s="1"/>
  <c r="H89" i="23"/>
  <c r="H231" i="23" s="1"/>
  <c r="G89" i="23"/>
  <c r="G231" i="23" s="1"/>
  <c r="F89" i="23"/>
  <c r="F231" i="23" s="1"/>
  <c r="E89" i="23"/>
  <c r="E231" i="23" s="1"/>
  <c r="D89" i="23"/>
  <c r="D231" i="23" s="1"/>
  <c r="C89" i="23"/>
  <c r="B89" i="23"/>
  <c r="K88" i="23"/>
  <c r="K230" i="23" s="1"/>
  <c r="J88" i="23"/>
  <c r="J230" i="23" s="1"/>
  <c r="I88" i="23"/>
  <c r="I230" i="23" s="1"/>
  <c r="H88" i="23"/>
  <c r="H230" i="23" s="1"/>
  <c r="G88" i="23"/>
  <c r="G230" i="23" s="1"/>
  <c r="F88" i="23"/>
  <c r="F230" i="23" s="1"/>
  <c r="E88" i="23"/>
  <c r="D88" i="23"/>
  <c r="D230" i="23" s="1"/>
  <c r="C88" i="23"/>
  <c r="C230" i="23" s="1"/>
  <c r="B88" i="23"/>
  <c r="B230" i="23" s="1"/>
  <c r="K87" i="23"/>
  <c r="J87" i="23"/>
  <c r="H87" i="23"/>
  <c r="G87" i="23"/>
  <c r="E87" i="23"/>
  <c r="D87" i="23"/>
  <c r="C87" i="23"/>
  <c r="B87" i="23"/>
  <c r="L86" i="23"/>
  <c r="K86" i="23"/>
  <c r="J86" i="23"/>
  <c r="I86" i="23"/>
  <c r="H86" i="23"/>
  <c r="G86" i="23"/>
  <c r="F86" i="23"/>
  <c r="E86" i="23"/>
  <c r="D86" i="23"/>
  <c r="C86" i="23"/>
  <c r="B86" i="23"/>
  <c r="K85" i="23"/>
  <c r="J85" i="23"/>
  <c r="I85" i="23"/>
  <c r="H85" i="23"/>
  <c r="G85" i="23"/>
  <c r="F85" i="23"/>
  <c r="E85" i="23"/>
  <c r="D85" i="23"/>
  <c r="C85" i="23"/>
  <c r="B85" i="23"/>
  <c r="K84" i="23"/>
  <c r="J84" i="23"/>
  <c r="I84" i="23"/>
  <c r="H84" i="23"/>
  <c r="G84" i="23"/>
  <c r="F84" i="23"/>
  <c r="E84" i="23"/>
  <c r="D84" i="23"/>
  <c r="C84" i="23"/>
  <c r="B84" i="23"/>
  <c r="K83" i="23"/>
  <c r="K229" i="23" s="1"/>
  <c r="J83" i="23"/>
  <c r="I83" i="23"/>
  <c r="H83" i="23"/>
  <c r="H229" i="23" s="1"/>
  <c r="G83" i="23"/>
  <c r="F83" i="23"/>
  <c r="E83" i="23"/>
  <c r="D83" i="23"/>
  <c r="C83" i="23"/>
  <c r="B83" i="23"/>
  <c r="B229" i="23" s="1"/>
  <c r="K82" i="23"/>
  <c r="J82" i="23"/>
  <c r="I82" i="23"/>
  <c r="H82" i="23"/>
  <c r="G82" i="23"/>
  <c r="F82" i="23"/>
  <c r="E82" i="23"/>
  <c r="D82" i="23"/>
  <c r="C82" i="23"/>
  <c r="B82" i="23"/>
  <c r="K81" i="23"/>
  <c r="J81" i="23"/>
  <c r="I81" i="23"/>
  <c r="H81" i="23"/>
  <c r="G81" i="23"/>
  <c r="F81" i="23"/>
  <c r="E81" i="23"/>
  <c r="D81" i="23"/>
  <c r="C81" i="23"/>
  <c r="B81" i="23"/>
  <c r="K80" i="23"/>
  <c r="J80" i="23"/>
  <c r="I80" i="23"/>
  <c r="H80" i="23"/>
  <c r="G80" i="23"/>
  <c r="F80" i="23"/>
  <c r="E80" i="23"/>
  <c r="D80" i="23"/>
  <c r="C80" i="23"/>
  <c r="B80" i="23"/>
  <c r="K79" i="23"/>
  <c r="J79" i="23"/>
  <c r="I79" i="23"/>
  <c r="H79" i="23"/>
  <c r="G79" i="23"/>
  <c r="F79" i="23"/>
  <c r="E79" i="23"/>
  <c r="D79" i="23"/>
  <c r="C79" i="23"/>
  <c r="B79" i="23"/>
  <c r="K78" i="23"/>
  <c r="J78" i="23"/>
  <c r="I78" i="23"/>
  <c r="H78" i="23"/>
  <c r="G78" i="23"/>
  <c r="F78" i="23"/>
  <c r="E78" i="23"/>
  <c r="D78" i="23"/>
  <c r="C78" i="23"/>
  <c r="B78" i="23"/>
  <c r="K77" i="23"/>
  <c r="J77" i="23"/>
  <c r="I77" i="23"/>
  <c r="H77" i="23"/>
  <c r="G77" i="23"/>
  <c r="F77" i="23"/>
  <c r="E77" i="23"/>
  <c r="D77" i="23"/>
  <c r="C77" i="23"/>
  <c r="B77" i="23"/>
  <c r="K76" i="23"/>
  <c r="J76" i="23"/>
  <c r="I76" i="23"/>
  <c r="H76" i="23"/>
  <c r="G76" i="23"/>
  <c r="F76" i="23"/>
  <c r="E76" i="23"/>
  <c r="D76" i="23"/>
  <c r="C76" i="23"/>
  <c r="B76" i="23"/>
  <c r="K75" i="23"/>
  <c r="J75" i="23"/>
  <c r="I75" i="23"/>
  <c r="H75" i="23"/>
  <c r="G75" i="23"/>
  <c r="F75" i="23"/>
  <c r="E75" i="23"/>
  <c r="D75" i="23"/>
  <c r="C75" i="23"/>
  <c r="B75" i="23"/>
  <c r="K74" i="23"/>
  <c r="J74" i="23"/>
  <c r="I74" i="23"/>
  <c r="H74" i="23"/>
  <c r="G74" i="23"/>
  <c r="F74" i="23"/>
  <c r="E74" i="23"/>
  <c r="D74" i="23"/>
  <c r="C74" i="23"/>
  <c r="B74" i="23"/>
  <c r="K73" i="23"/>
  <c r="J73" i="23"/>
  <c r="I73" i="23"/>
  <c r="H73" i="23"/>
  <c r="G73" i="23"/>
  <c r="F73" i="23"/>
  <c r="E73" i="23"/>
  <c r="D73" i="23"/>
  <c r="C73" i="23"/>
  <c r="B73" i="23"/>
  <c r="K72" i="23"/>
  <c r="J72" i="23"/>
  <c r="I72" i="23"/>
  <c r="H72" i="23"/>
  <c r="G72" i="23"/>
  <c r="F72" i="23"/>
  <c r="E72" i="23"/>
  <c r="D72" i="23"/>
  <c r="C72" i="23"/>
  <c r="B72" i="23"/>
  <c r="K71" i="23"/>
  <c r="J71" i="23"/>
  <c r="I71" i="23"/>
  <c r="H71" i="23"/>
  <c r="G71" i="23"/>
  <c r="F71" i="23"/>
  <c r="E71" i="23"/>
  <c r="D71" i="23"/>
  <c r="C71" i="23"/>
  <c r="B71" i="23"/>
  <c r="L70" i="23"/>
  <c r="K70" i="23"/>
  <c r="J70" i="23"/>
  <c r="I70" i="23"/>
  <c r="H70" i="23"/>
  <c r="G70" i="23"/>
  <c r="F70" i="23"/>
  <c r="E70" i="23"/>
  <c r="D70" i="23"/>
  <c r="C70" i="23"/>
  <c r="B70" i="23"/>
  <c r="L69" i="23"/>
  <c r="K69" i="23"/>
  <c r="J69" i="23"/>
  <c r="I69" i="23"/>
  <c r="H69" i="23"/>
  <c r="G69" i="23"/>
  <c r="F69" i="23"/>
  <c r="E69" i="23"/>
  <c r="D69" i="23"/>
  <c r="C69" i="23"/>
  <c r="B69" i="23"/>
  <c r="X68" i="23"/>
  <c r="K68" i="23"/>
  <c r="J68" i="23"/>
  <c r="I68" i="23"/>
  <c r="H68" i="23"/>
  <c r="G68" i="23"/>
  <c r="F68" i="23"/>
  <c r="E68" i="23"/>
  <c r="D68" i="23"/>
  <c r="C68" i="23"/>
  <c r="B68" i="23"/>
  <c r="R67" i="23"/>
  <c r="Q67" i="23"/>
  <c r="K67" i="23"/>
  <c r="J67" i="23"/>
  <c r="I67" i="23"/>
  <c r="H67" i="23"/>
  <c r="G67" i="23"/>
  <c r="F67" i="23"/>
  <c r="E67" i="23"/>
  <c r="D67" i="23"/>
  <c r="C67" i="23"/>
  <c r="B67" i="23"/>
  <c r="Q66" i="23"/>
  <c r="K66" i="23"/>
  <c r="J66" i="23"/>
  <c r="I66" i="23"/>
  <c r="H66" i="23"/>
  <c r="G66" i="23"/>
  <c r="F66" i="23"/>
  <c r="E66" i="23"/>
  <c r="D66" i="23"/>
  <c r="C66" i="23"/>
  <c r="B66" i="23"/>
  <c r="U65" i="23"/>
  <c r="T65" i="23"/>
  <c r="S65" i="23"/>
  <c r="R65" i="23"/>
  <c r="Q65" i="23"/>
  <c r="K65" i="23"/>
  <c r="J65" i="23"/>
  <c r="I65" i="23"/>
  <c r="H65" i="23"/>
  <c r="G65" i="23"/>
  <c r="F65" i="23"/>
  <c r="E65" i="23"/>
  <c r="D65" i="23"/>
  <c r="C65" i="23"/>
  <c r="B65" i="23"/>
  <c r="U64" i="23"/>
  <c r="T64" i="23"/>
  <c r="S64" i="23"/>
  <c r="R64" i="23"/>
  <c r="Q64" i="23"/>
  <c r="K64" i="23"/>
  <c r="J64" i="23"/>
  <c r="I64" i="23"/>
  <c r="H64" i="23"/>
  <c r="G64" i="23"/>
  <c r="F64" i="23"/>
  <c r="E64" i="23"/>
  <c r="D64" i="23"/>
  <c r="C64" i="23"/>
  <c r="B64" i="23"/>
  <c r="U63" i="23"/>
  <c r="T63" i="23"/>
  <c r="S63" i="23"/>
  <c r="R63" i="23"/>
  <c r="Q63" i="23"/>
  <c r="K63" i="23"/>
  <c r="J63" i="23"/>
  <c r="I63" i="23"/>
  <c r="H63" i="23"/>
  <c r="G63" i="23"/>
  <c r="F63" i="23"/>
  <c r="E63" i="23"/>
  <c r="D63" i="23"/>
  <c r="C63" i="23"/>
  <c r="B63" i="23"/>
  <c r="U62" i="23"/>
  <c r="T62" i="23"/>
  <c r="S62" i="23"/>
  <c r="R62" i="23"/>
  <c r="Q62" i="23"/>
  <c r="P62" i="23"/>
  <c r="K62" i="23"/>
  <c r="J62" i="23"/>
  <c r="I62" i="23"/>
  <c r="H62" i="23"/>
  <c r="G62" i="23"/>
  <c r="F62" i="23"/>
  <c r="E62" i="23"/>
  <c r="D62" i="23"/>
  <c r="C62" i="23"/>
  <c r="B62" i="23"/>
  <c r="U61" i="23"/>
  <c r="T61" i="23"/>
  <c r="S61" i="23"/>
  <c r="R61" i="23"/>
  <c r="Q61" i="23"/>
  <c r="P61" i="23"/>
  <c r="K61" i="23"/>
  <c r="J61" i="23"/>
  <c r="I61" i="23"/>
  <c r="H61" i="23"/>
  <c r="G61" i="23"/>
  <c r="F61" i="23"/>
  <c r="E61" i="23"/>
  <c r="D61" i="23"/>
  <c r="C61" i="23"/>
  <c r="B61" i="23"/>
  <c r="U60" i="23"/>
  <c r="T60" i="23"/>
  <c r="S60" i="23"/>
  <c r="R60" i="23"/>
  <c r="Q60" i="23"/>
  <c r="P60" i="23"/>
  <c r="K60" i="23"/>
  <c r="J60" i="23"/>
  <c r="I60" i="23"/>
  <c r="H60" i="23"/>
  <c r="G60" i="23"/>
  <c r="F60" i="23"/>
  <c r="E60" i="23"/>
  <c r="D60" i="23"/>
  <c r="C60" i="23"/>
  <c r="B60" i="23"/>
  <c r="U59" i="23"/>
  <c r="T59" i="23"/>
  <c r="S59" i="23"/>
  <c r="R59" i="23"/>
  <c r="Q59" i="23"/>
  <c r="P59" i="23"/>
  <c r="K59" i="23"/>
  <c r="J59" i="23"/>
  <c r="I59" i="23"/>
  <c r="H59" i="23"/>
  <c r="G59" i="23"/>
  <c r="F59" i="23"/>
  <c r="E59" i="23"/>
  <c r="D59" i="23"/>
  <c r="C59" i="23"/>
  <c r="B59" i="23"/>
  <c r="U58" i="23"/>
  <c r="T58" i="23"/>
  <c r="S58" i="23"/>
  <c r="R58" i="23"/>
  <c r="Q58" i="23"/>
  <c r="Q224" i="23" s="1"/>
  <c r="P58" i="23"/>
  <c r="K58" i="23"/>
  <c r="J58" i="23"/>
  <c r="I58" i="23"/>
  <c r="H58" i="23"/>
  <c r="G58" i="23"/>
  <c r="G224" i="23" s="1"/>
  <c r="F58" i="23"/>
  <c r="E58" i="23"/>
  <c r="D58" i="23"/>
  <c r="C58" i="23"/>
  <c r="B58" i="23"/>
  <c r="U57" i="23"/>
  <c r="T57" i="23"/>
  <c r="S57" i="23"/>
  <c r="R57" i="23"/>
  <c r="Q57" i="23"/>
  <c r="P57" i="23"/>
  <c r="O57" i="23"/>
  <c r="K57" i="23"/>
  <c r="J57" i="23"/>
  <c r="I57" i="23"/>
  <c r="H57" i="23"/>
  <c r="G57" i="23"/>
  <c r="F57" i="23"/>
  <c r="E57" i="23"/>
  <c r="D57" i="23"/>
  <c r="C57" i="23"/>
  <c r="B57" i="23"/>
  <c r="U56" i="23"/>
  <c r="T56" i="23"/>
  <c r="S56" i="23"/>
  <c r="R56" i="23"/>
  <c r="Q56" i="23"/>
  <c r="P56" i="23"/>
  <c r="O56" i="23"/>
  <c r="K56" i="23"/>
  <c r="J56" i="23"/>
  <c r="I56" i="23"/>
  <c r="H56" i="23"/>
  <c r="G56" i="23"/>
  <c r="F56" i="23"/>
  <c r="E56" i="23"/>
  <c r="D56" i="23"/>
  <c r="C56" i="23"/>
  <c r="B56" i="23"/>
  <c r="U55" i="23"/>
  <c r="T55" i="23"/>
  <c r="S55" i="23"/>
  <c r="R55" i="23"/>
  <c r="Q55" i="23"/>
  <c r="P55" i="23"/>
  <c r="O55" i="23"/>
  <c r="K55" i="23"/>
  <c r="J55" i="23"/>
  <c r="I55" i="23"/>
  <c r="H55" i="23"/>
  <c r="G55" i="23"/>
  <c r="F55" i="23"/>
  <c r="E55" i="23"/>
  <c r="D55" i="23"/>
  <c r="C55" i="23"/>
  <c r="B55" i="23"/>
  <c r="U54" i="23"/>
  <c r="T54" i="23"/>
  <c r="S54" i="23"/>
  <c r="R54" i="23"/>
  <c r="Q54" i="23"/>
  <c r="P54" i="23"/>
  <c r="K54" i="23"/>
  <c r="J54" i="23"/>
  <c r="I54" i="23"/>
  <c r="H54" i="23"/>
  <c r="G54" i="23"/>
  <c r="F54" i="23"/>
  <c r="E54" i="23"/>
  <c r="D54" i="23"/>
  <c r="C54" i="23"/>
  <c r="U53" i="23"/>
  <c r="T53" i="23"/>
  <c r="S53" i="23"/>
  <c r="R53" i="23"/>
  <c r="Q53" i="23"/>
  <c r="P53" i="23"/>
  <c r="K53" i="23"/>
  <c r="J53" i="23"/>
  <c r="I53" i="23"/>
  <c r="H53" i="23"/>
  <c r="G53" i="23"/>
  <c r="F53" i="23"/>
  <c r="E53" i="23"/>
  <c r="D53" i="23"/>
  <c r="C53" i="23"/>
  <c r="U50" i="23"/>
  <c r="U221" i="23" s="1"/>
  <c r="T50" i="23"/>
  <c r="T194" i="23" s="1"/>
  <c r="T281" i="23" s="1"/>
  <c r="S50" i="23"/>
  <c r="R50" i="23"/>
  <c r="R221" i="23" s="1"/>
  <c r="Q221" i="23"/>
  <c r="K50" i="23"/>
  <c r="J50" i="23"/>
  <c r="J221" i="23" s="1"/>
  <c r="I50" i="23"/>
  <c r="I221" i="23" s="1"/>
  <c r="H50" i="23"/>
  <c r="H221" i="23" s="1"/>
  <c r="G50" i="23"/>
  <c r="F50" i="23"/>
  <c r="F221" i="23" s="1"/>
  <c r="E50" i="23"/>
  <c r="E221" i="23" s="1"/>
  <c r="D50" i="23"/>
  <c r="D221" i="23" s="1"/>
  <c r="C50" i="23"/>
  <c r="C221" i="23" s="1"/>
  <c r="B50" i="23"/>
  <c r="B221" i="23" s="1"/>
  <c r="U46" i="23"/>
  <c r="U217" i="23" s="1"/>
  <c r="T46" i="23"/>
  <c r="T217" i="23" s="1"/>
  <c r="S46" i="23"/>
  <c r="R46" i="23"/>
  <c r="R217" i="23" s="1"/>
  <c r="Q217" i="23"/>
  <c r="K46" i="23"/>
  <c r="K217" i="23" s="1"/>
  <c r="J46" i="23"/>
  <c r="J217" i="23" s="1"/>
  <c r="I46" i="23"/>
  <c r="I217" i="23" s="1"/>
  <c r="H46" i="23"/>
  <c r="H217" i="23" s="1"/>
  <c r="G46" i="23"/>
  <c r="G217" i="23" s="1"/>
  <c r="F46" i="23"/>
  <c r="F217" i="23" s="1"/>
  <c r="E46" i="23"/>
  <c r="E217" i="23" s="1"/>
  <c r="D46" i="23"/>
  <c r="D217" i="23" s="1"/>
  <c r="C46" i="23"/>
  <c r="C217" i="23" s="1"/>
  <c r="B46" i="23"/>
  <c r="B217" i="23" s="1"/>
  <c r="U45" i="23"/>
  <c r="U216" i="23" s="1"/>
  <c r="T45" i="23"/>
  <c r="T216" i="23" s="1"/>
  <c r="S45" i="23"/>
  <c r="R45" i="23"/>
  <c r="R216" i="23" s="1"/>
  <c r="Q45" i="23"/>
  <c r="Q216" i="23" s="1"/>
  <c r="K45" i="23"/>
  <c r="J45" i="23"/>
  <c r="J216" i="23" s="1"/>
  <c r="I45" i="23"/>
  <c r="I216" i="23" s="1"/>
  <c r="H45" i="23"/>
  <c r="H216" i="23" s="1"/>
  <c r="G45" i="23"/>
  <c r="F45" i="23"/>
  <c r="F216" i="23" s="1"/>
  <c r="E45" i="23"/>
  <c r="E216" i="23" s="1"/>
  <c r="D45" i="23"/>
  <c r="D216" i="23" s="1"/>
  <c r="C45" i="23"/>
  <c r="B45" i="23"/>
  <c r="B216" i="23" s="1"/>
  <c r="U44" i="23"/>
  <c r="U215" i="23" s="1"/>
  <c r="T44" i="23"/>
  <c r="T215" i="23" s="1"/>
  <c r="S44" i="23"/>
  <c r="R44" i="23"/>
  <c r="R215" i="23" s="1"/>
  <c r="Q44" i="23"/>
  <c r="Q215" i="23" s="1"/>
  <c r="K44" i="23"/>
  <c r="K215" i="23" s="1"/>
  <c r="J44" i="23"/>
  <c r="J215" i="23" s="1"/>
  <c r="I44" i="23"/>
  <c r="I215" i="23" s="1"/>
  <c r="H44" i="23"/>
  <c r="H215" i="23" s="1"/>
  <c r="G44" i="23"/>
  <c r="G215" i="23" s="1"/>
  <c r="F44" i="23"/>
  <c r="F215" i="23" s="1"/>
  <c r="E44" i="23"/>
  <c r="E215" i="23" s="1"/>
  <c r="D44" i="23"/>
  <c r="D215" i="23" s="1"/>
  <c r="C44" i="23"/>
  <c r="C215" i="23" s="1"/>
  <c r="B44" i="23"/>
  <c r="B215" i="23" s="1"/>
  <c r="U43" i="23"/>
  <c r="U214" i="23" s="1"/>
  <c r="T43" i="23"/>
  <c r="T187" i="23" s="1"/>
  <c r="T274" i="23" s="1"/>
  <c r="S43" i="23"/>
  <c r="S214" i="23" s="1"/>
  <c r="R43" i="23"/>
  <c r="R214" i="23" s="1"/>
  <c r="Q43" i="23"/>
  <c r="Q214" i="23" s="1"/>
  <c r="K43" i="23"/>
  <c r="K214" i="23" s="1"/>
  <c r="J43" i="23"/>
  <c r="J214" i="23" s="1"/>
  <c r="I43" i="23"/>
  <c r="I214" i="23" s="1"/>
  <c r="H43" i="23"/>
  <c r="H214" i="23" s="1"/>
  <c r="G43" i="23"/>
  <c r="G214" i="23" s="1"/>
  <c r="F43" i="23"/>
  <c r="F214" i="23" s="1"/>
  <c r="E43" i="23"/>
  <c r="E214" i="23" s="1"/>
  <c r="D43" i="23"/>
  <c r="D214" i="23" s="1"/>
  <c r="C43" i="23"/>
  <c r="C214" i="23" s="1"/>
  <c r="B43" i="23"/>
  <c r="B214" i="23" s="1"/>
  <c r="U42" i="23"/>
  <c r="U213" i="23" s="1"/>
  <c r="T42" i="23"/>
  <c r="S42" i="23"/>
  <c r="S213" i="23" s="1"/>
  <c r="R42" i="23"/>
  <c r="R213" i="23" s="1"/>
  <c r="Q42" i="23"/>
  <c r="Q213" i="23" s="1"/>
  <c r="K42" i="23"/>
  <c r="K213" i="23" s="1"/>
  <c r="J42" i="23"/>
  <c r="J213" i="23" s="1"/>
  <c r="I42" i="23"/>
  <c r="I213" i="23" s="1"/>
  <c r="H42" i="23"/>
  <c r="H213" i="23" s="1"/>
  <c r="G42" i="23"/>
  <c r="G213" i="23" s="1"/>
  <c r="F42" i="23"/>
  <c r="F213" i="23" s="1"/>
  <c r="E42" i="23"/>
  <c r="E213" i="23" s="1"/>
  <c r="D42" i="23"/>
  <c r="D213" i="23" s="1"/>
  <c r="C42" i="23"/>
  <c r="C213" i="23" s="1"/>
  <c r="B42" i="23"/>
  <c r="B213" i="23" s="1"/>
  <c r="U41" i="23"/>
  <c r="U212" i="23" s="1"/>
  <c r="T41" i="23"/>
  <c r="T185" i="23" s="1"/>
  <c r="T272" i="23" s="1"/>
  <c r="S41" i="23"/>
  <c r="S212" i="23" s="1"/>
  <c r="R41" i="23"/>
  <c r="R212" i="23" s="1"/>
  <c r="Q41" i="23"/>
  <c r="Q212" i="23" s="1"/>
  <c r="K41" i="23"/>
  <c r="K212" i="23" s="1"/>
  <c r="J41" i="23"/>
  <c r="J212" i="23" s="1"/>
  <c r="I41" i="23"/>
  <c r="I212" i="23" s="1"/>
  <c r="H41" i="23"/>
  <c r="H212" i="23" s="1"/>
  <c r="G41" i="23"/>
  <c r="G212" i="23" s="1"/>
  <c r="F41" i="23"/>
  <c r="F212" i="23" s="1"/>
  <c r="E41" i="23"/>
  <c r="E212" i="23" s="1"/>
  <c r="D41" i="23"/>
  <c r="D212" i="23" s="1"/>
  <c r="C41" i="23"/>
  <c r="C212" i="23" s="1"/>
  <c r="B41" i="23"/>
  <c r="B212" i="23" s="1"/>
  <c r="U40" i="23"/>
  <c r="U211" i="23" s="1"/>
  <c r="T40" i="23"/>
  <c r="S40" i="23"/>
  <c r="S211" i="23" s="1"/>
  <c r="R40" i="23"/>
  <c r="R211" i="23" s="1"/>
  <c r="Q40" i="23"/>
  <c r="Q211" i="23" s="1"/>
  <c r="K40" i="23"/>
  <c r="K211" i="23" s="1"/>
  <c r="J40" i="23"/>
  <c r="J211" i="23" s="1"/>
  <c r="I40" i="23"/>
  <c r="I211" i="23" s="1"/>
  <c r="H40" i="23"/>
  <c r="H211" i="23" s="1"/>
  <c r="G40" i="23"/>
  <c r="G211" i="23" s="1"/>
  <c r="F40" i="23"/>
  <c r="F211" i="23" s="1"/>
  <c r="E40" i="23"/>
  <c r="E211" i="23" s="1"/>
  <c r="D40" i="23"/>
  <c r="D211" i="23" s="1"/>
  <c r="C40" i="23"/>
  <c r="C211" i="23" s="1"/>
  <c r="B40" i="23"/>
  <c r="B211" i="23" s="1"/>
  <c r="U39" i="23"/>
  <c r="T39" i="23"/>
  <c r="T183" i="23" s="1"/>
  <c r="S39" i="23"/>
  <c r="R39" i="23"/>
  <c r="Q39" i="23"/>
  <c r="K39" i="23"/>
  <c r="J39" i="23"/>
  <c r="H39" i="23"/>
  <c r="C39" i="23"/>
  <c r="B39" i="23"/>
  <c r="U38" i="23"/>
  <c r="T38" i="23"/>
  <c r="S38" i="23"/>
  <c r="R38" i="23"/>
  <c r="Q38" i="23"/>
  <c r="K38" i="23"/>
  <c r="J38" i="23"/>
  <c r="I38" i="23"/>
  <c r="G38" i="23"/>
  <c r="F38" i="23"/>
  <c r="E38" i="23"/>
  <c r="D38" i="23"/>
  <c r="C38" i="23"/>
  <c r="B38" i="23"/>
  <c r="U37" i="23"/>
  <c r="T37" i="23"/>
  <c r="S37" i="23"/>
  <c r="R37" i="23"/>
  <c r="Q37" i="23"/>
  <c r="K37" i="23"/>
  <c r="J37" i="23"/>
  <c r="I37" i="23"/>
  <c r="H37" i="23"/>
  <c r="G37" i="23"/>
  <c r="F37" i="23"/>
  <c r="E37" i="23"/>
  <c r="D37" i="23"/>
  <c r="C37" i="23"/>
  <c r="B37" i="23"/>
  <c r="U36" i="23"/>
  <c r="T36" i="23"/>
  <c r="S36" i="23"/>
  <c r="R36" i="23"/>
  <c r="Q36" i="23"/>
  <c r="K36" i="23"/>
  <c r="J36" i="23"/>
  <c r="I36" i="23"/>
  <c r="H36" i="23"/>
  <c r="G36" i="23"/>
  <c r="F36" i="23"/>
  <c r="E36" i="23"/>
  <c r="D36" i="23"/>
  <c r="C36" i="23"/>
  <c r="B36" i="23"/>
  <c r="U35" i="23"/>
  <c r="U210" i="23" s="1"/>
  <c r="T35" i="23"/>
  <c r="S35" i="23"/>
  <c r="R35" i="23"/>
  <c r="R210" i="23" s="1"/>
  <c r="Q35" i="23"/>
  <c r="Q210" i="23" s="1"/>
  <c r="K35" i="23"/>
  <c r="J35" i="23"/>
  <c r="I35" i="23"/>
  <c r="H35" i="23"/>
  <c r="G35" i="23"/>
  <c r="F35" i="23"/>
  <c r="E35" i="23"/>
  <c r="D35" i="23"/>
  <c r="C35" i="23"/>
  <c r="B35" i="23"/>
  <c r="B210" i="23" s="1"/>
  <c r="U34" i="23"/>
  <c r="U178" i="23" s="1"/>
  <c r="T34" i="23"/>
  <c r="T178" i="23" s="1"/>
  <c r="S34" i="23"/>
  <c r="S178" i="23" s="1"/>
  <c r="R34" i="23"/>
  <c r="R178" i="23" s="1"/>
  <c r="Q34" i="23"/>
  <c r="Q178" i="23" s="1"/>
  <c r="K34" i="23"/>
  <c r="J34" i="23"/>
  <c r="I34" i="23"/>
  <c r="H34" i="23"/>
  <c r="G34" i="23"/>
  <c r="F34" i="23"/>
  <c r="E34" i="23"/>
  <c r="C34" i="23"/>
  <c r="B34" i="23"/>
  <c r="U33" i="23"/>
  <c r="U177" i="23" s="1"/>
  <c r="T33" i="23"/>
  <c r="T177" i="23" s="1"/>
  <c r="S33" i="23"/>
  <c r="S177" i="23" s="1"/>
  <c r="R33" i="23"/>
  <c r="R177" i="23" s="1"/>
  <c r="Q33" i="23"/>
  <c r="Q177" i="23" s="1"/>
  <c r="K33" i="23"/>
  <c r="J33" i="23"/>
  <c r="I33" i="23"/>
  <c r="H33" i="23"/>
  <c r="G33" i="23"/>
  <c r="F33" i="23"/>
  <c r="E33" i="23"/>
  <c r="D33" i="23"/>
  <c r="C33" i="23"/>
  <c r="B33" i="23"/>
  <c r="U32" i="23"/>
  <c r="U176" i="23" s="1"/>
  <c r="T32" i="23"/>
  <c r="T176" i="23" s="1"/>
  <c r="S32" i="23"/>
  <c r="S176" i="23" s="1"/>
  <c r="R32" i="23"/>
  <c r="R176" i="23" s="1"/>
  <c r="Q32" i="23"/>
  <c r="Q176" i="23" s="1"/>
  <c r="K32" i="23"/>
  <c r="J32" i="23"/>
  <c r="I32" i="23"/>
  <c r="H32" i="23"/>
  <c r="G32" i="23"/>
  <c r="F32" i="23"/>
  <c r="E32" i="23"/>
  <c r="D32" i="23"/>
  <c r="C32" i="23"/>
  <c r="B32" i="23"/>
  <c r="U31" i="23"/>
  <c r="U175" i="23" s="1"/>
  <c r="T31" i="23"/>
  <c r="T175" i="23" s="1"/>
  <c r="S31" i="23"/>
  <c r="S175" i="23" s="1"/>
  <c r="R31" i="23"/>
  <c r="R175" i="23" s="1"/>
  <c r="Q31" i="23"/>
  <c r="Q175" i="23" s="1"/>
  <c r="K31" i="23"/>
  <c r="J31" i="23"/>
  <c r="I31" i="23"/>
  <c r="H31" i="23"/>
  <c r="G31" i="23"/>
  <c r="F31" i="23"/>
  <c r="E31" i="23"/>
  <c r="D31" i="23"/>
  <c r="C31" i="23"/>
  <c r="B31" i="23"/>
  <c r="U30" i="23"/>
  <c r="U209" i="23" s="1"/>
  <c r="T30" i="23"/>
  <c r="T209" i="23" s="1"/>
  <c r="S30" i="23"/>
  <c r="S209" i="23" s="1"/>
  <c r="R30" i="23"/>
  <c r="R174" i="23" s="1"/>
  <c r="R269" i="23" s="1"/>
  <c r="Q30" i="23"/>
  <c r="Q209" i="23" s="1"/>
  <c r="K30" i="23"/>
  <c r="J30" i="23"/>
  <c r="I30" i="23"/>
  <c r="H30" i="23"/>
  <c r="G30" i="23"/>
  <c r="F30" i="23"/>
  <c r="E30" i="23"/>
  <c r="D30" i="23"/>
  <c r="C30" i="23"/>
  <c r="B30" i="23"/>
  <c r="U29" i="23"/>
  <c r="U173" i="23" s="1"/>
  <c r="T29" i="23"/>
  <c r="T173" i="23" s="1"/>
  <c r="S29" i="23"/>
  <c r="S173" i="23" s="1"/>
  <c r="R29" i="23"/>
  <c r="R173" i="23" s="1"/>
  <c r="Q29" i="23"/>
  <c r="Q173" i="23" s="1"/>
  <c r="K29" i="23"/>
  <c r="J29" i="23"/>
  <c r="I29" i="23"/>
  <c r="H29" i="23"/>
  <c r="G29" i="23"/>
  <c r="F29" i="23"/>
  <c r="E29" i="23"/>
  <c r="D29" i="23"/>
  <c r="C29" i="23"/>
  <c r="B29" i="23"/>
  <c r="U28" i="23"/>
  <c r="U172" i="23" s="1"/>
  <c r="T28" i="23"/>
  <c r="T172" i="23" s="1"/>
  <c r="S28" i="23"/>
  <c r="S172" i="23" s="1"/>
  <c r="R28" i="23"/>
  <c r="R172" i="23" s="1"/>
  <c r="Q28" i="23"/>
  <c r="Q172" i="23" s="1"/>
  <c r="K28" i="23"/>
  <c r="J28" i="23"/>
  <c r="I28" i="23"/>
  <c r="H28" i="23"/>
  <c r="G28" i="23"/>
  <c r="F28" i="23"/>
  <c r="E28" i="23"/>
  <c r="D28" i="23"/>
  <c r="C28" i="23"/>
  <c r="B28" i="23"/>
  <c r="U27" i="23"/>
  <c r="U171" i="23" s="1"/>
  <c r="T27" i="23"/>
  <c r="T171" i="23" s="1"/>
  <c r="S27" i="23"/>
  <c r="S171" i="23" s="1"/>
  <c r="R27" i="23"/>
  <c r="R171" i="23" s="1"/>
  <c r="Q27" i="23"/>
  <c r="Q171" i="23" s="1"/>
  <c r="K27" i="23"/>
  <c r="J27" i="23"/>
  <c r="I27" i="23"/>
  <c r="H27" i="23"/>
  <c r="G27" i="23"/>
  <c r="F27" i="23"/>
  <c r="E27" i="23"/>
  <c r="D27" i="23"/>
  <c r="C27" i="23"/>
  <c r="B27" i="23"/>
  <c r="U26" i="23"/>
  <c r="U170" i="23" s="1"/>
  <c r="T26" i="23"/>
  <c r="T170" i="23" s="1"/>
  <c r="S26" i="23"/>
  <c r="S170" i="23" s="1"/>
  <c r="R26" i="23"/>
  <c r="R170" i="23" s="1"/>
  <c r="Q26" i="23"/>
  <c r="Q170" i="23" s="1"/>
  <c r="K26" i="23"/>
  <c r="J26" i="23"/>
  <c r="I26" i="23"/>
  <c r="H26" i="23"/>
  <c r="G26" i="23"/>
  <c r="F26" i="23"/>
  <c r="E26" i="23"/>
  <c r="D26" i="23"/>
  <c r="C26" i="23"/>
  <c r="B26" i="23"/>
  <c r="U25" i="23"/>
  <c r="U169" i="23" s="1"/>
  <c r="T25" i="23"/>
  <c r="T169" i="23" s="1"/>
  <c r="S25" i="23"/>
  <c r="S169" i="23" s="1"/>
  <c r="R25" i="23"/>
  <c r="R169" i="23" s="1"/>
  <c r="Q25" i="23"/>
  <c r="Q169" i="23" s="1"/>
  <c r="K25" i="23"/>
  <c r="J25" i="23"/>
  <c r="I25" i="23"/>
  <c r="H25" i="23"/>
  <c r="G25" i="23"/>
  <c r="F25" i="23"/>
  <c r="E25" i="23"/>
  <c r="D25" i="23"/>
  <c r="C25" i="23"/>
  <c r="B25" i="23"/>
  <c r="U24" i="23"/>
  <c r="U168" i="23" s="1"/>
  <c r="T24" i="23"/>
  <c r="T168" i="23" s="1"/>
  <c r="S24" i="23"/>
  <c r="S168" i="23" s="1"/>
  <c r="R24" i="23"/>
  <c r="R168" i="23" s="1"/>
  <c r="Q24" i="23"/>
  <c r="Q168" i="23" s="1"/>
  <c r="K24" i="23"/>
  <c r="J24" i="23"/>
  <c r="I24" i="23"/>
  <c r="H24" i="23"/>
  <c r="G24" i="23"/>
  <c r="F24" i="23"/>
  <c r="E24" i="23"/>
  <c r="D24" i="23"/>
  <c r="C24" i="23"/>
  <c r="B24" i="23"/>
  <c r="U23" i="23"/>
  <c r="U167" i="23" s="1"/>
  <c r="T23" i="23"/>
  <c r="T167" i="23" s="1"/>
  <c r="S23" i="23"/>
  <c r="S167" i="23" s="1"/>
  <c r="R23" i="23"/>
  <c r="R167" i="23" s="1"/>
  <c r="Q23" i="23"/>
  <c r="Q167" i="23" s="1"/>
  <c r="K23" i="23"/>
  <c r="J23" i="23"/>
  <c r="I23" i="23"/>
  <c r="H23" i="23"/>
  <c r="G23" i="23"/>
  <c r="F23" i="23"/>
  <c r="E23" i="23"/>
  <c r="D23" i="23"/>
  <c r="C23" i="23"/>
  <c r="B23" i="23"/>
  <c r="U22" i="23"/>
  <c r="U166" i="23" s="1"/>
  <c r="T22" i="23"/>
  <c r="T166" i="23" s="1"/>
  <c r="S22" i="23"/>
  <c r="S166" i="23" s="1"/>
  <c r="R22" i="23"/>
  <c r="R166" i="23" s="1"/>
  <c r="Q22" i="23"/>
  <c r="Q166" i="23" s="1"/>
  <c r="K22" i="23"/>
  <c r="J22" i="23"/>
  <c r="I22" i="23"/>
  <c r="H22" i="23"/>
  <c r="G22" i="23"/>
  <c r="F22" i="23"/>
  <c r="E22" i="23"/>
  <c r="D22" i="23"/>
  <c r="C22" i="23"/>
  <c r="B22" i="23"/>
  <c r="U21" i="23"/>
  <c r="U165" i="23" s="1"/>
  <c r="T21" i="23"/>
  <c r="T165" i="23" s="1"/>
  <c r="S21" i="23"/>
  <c r="R21" i="23"/>
  <c r="Q21" i="23"/>
  <c r="K21" i="23"/>
  <c r="J21" i="23"/>
  <c r="I21" i="23"/>
  <c r="H21" i="23"/>
  <c r="G21" i="23"/>
  <c r="F21" i="23"/>
  <c r="E21" i="23"/>
  <c r="D21" i="23"/>
  <c r="C21" i="23"/>
  <c r="B21" i="23"/>
  <c r="U20" i="23"/>
  <c r="T20" i="23"/>
  <c r="T164" i="23" s="1"/>
  <c r="S20" i="23"/>
  <c r="R20" i="23"/>
  <c r="Q20" i="23"/>
  <c r="K20" i="23"/>
  <c r="J20" i="23"/>
  <c r="I20" i="23"/>
  <c r="H20" i="23"/>
  <c r="G20" i="23"/>
  <c r="F20" i="23"/>
  <c r="E20" i="23"/>
  <c r="D20" i="23"/>
  <c r="C20" i="23"/>
  <c r="B20" i="23"/>
  <c r="U19" i="23"/>
  <c r="U163" i="23" s="1"/>
  <c r="T19" i="23"/>
  <c r="T163" i="23" s="1"/>
  <c r="S19" i="23"/>
  <c r="R19" i="23"/>
  <c r="Q19" i="23"/>
  <c r="K19" i="23"/>
  <c r="J19" i="23"/>
  <c r="I19" i="23"/>
  <c r="H19" i="23"/>
  <c r="G19" i="23"/>
  <c r="F19" i="23"/>
  <c r="E19" i="23"/>
  <c r="D19" i="23"/>
  <c r="C19" i="23"/>
  <c r="B19" i="23"/>
  <c r="U18" i="23"/>
  <c r="U162" i="23" s="1"/>
  <c r="T18" i="23"/>
  <c r="S18" i="23"/>
  <c r="R18" i="23"/>
  <c r="Q18" i="23"/>
  <c r="K18" i="23"/>
  <c r="J18" i="23"/>
  <c r="I18" i="23"/>
  <c r="H18" i="23"/>
  <c r="G18" i="23"/>
  <c r="F18" i="23"/>
  <c r="E18" i="23"/>
  <c r="D18" i="23"/>
  <c r="C18" i="23"/>
  <c r="B18" i="23"/>
  <c r="U17" i="23"/>
  <c r="T17" i="23"/>
  <c r="S17" i="23"/>
  <c r="R17" i="23"/>
  <c r="Q17" i="23"/>
  <c r="K17" i="23"/>
  <c r="J17" i="23"/>
  <c r="I17" i="23"/>
  <c r="H17" i="23"/>
  <c r="G17" i="23"/>
  <c r="F17" i="23"/>
  <c r="E17" i="23"/>
  <c r="D17" i="23"/>
  <c r="C17" i="23"/>
  <c r="B17" i="23"/>
  <c r="U16" i="23"/>
  <c r="T16" i="23"/>
  <c r="S16" i="23"/>
  <c r="R16" i="23"/>
  <c r="Q16" i="23"/>
  <c r="K16" i="23"/>
  <c r="J16" i="23"/>
  <c r="I16" i="23"/>
  <c r="H16" i="23"/>
  <c r="G16" i="23"/>
  <c r="F16" i="23"/>
  <c r="E16" i="23"/>
  <c r="D16" i="23"/>
  <c r="C16" i="23"/>
  <c r="B16" i="23"/>
  <c r="U15" i="23"/>
  <c r="T15" i="23"/>
  <c r="S15" i="23"/>
  <c r="R15" i="23"/>
  <c r="Q15" i="23"/>
  <c r="K15" i="23"/>
  <c r="J15" i="23"/>
  <c r="I15" i="23"/>
  <c r="H15" i="23"/>
  <c r="G15" i="23"/>
  <c r="F15" i="23"/>
  <c r="E15" i="23"/>
  <c r="D15" i="23"/>
  <c r="C15" i="23"/>
  <c r="B15" i="23"/>
  <c r="U14" i="23"/>
  <c r="T14" i="23"/>
  <c r="S14" i="23"/>
  <c r="R14" i="23"/>
  <c r="Q14" i="23"/>
  <c r="K14" i="23"/>
  <c r="J14" i="23"/>
  <c r="I14" i="23"/>
  <c r="H14" i="23"/>
  <c r="G14" i="23"/>
  <c r="F14" i="23"/>
  <c r="E14" i="23"/>
  <c r="D14" i="23"/>
  <c r="C14" i="23"/>
  <c r="B14" i="23"/>
  <c r="U13" i="23"/>
  <c r="T13" i="23"/>
  <c r="S13" i="23"/>
  <c r="R13" i="23"/>
  <c r="Q13" i="23"/>
  <c r="K13" i="23"/>
  <c r="J13" i="23"/>
  <c r="I13" i="23"/>
  <c r="H13" i="23"/>
  <c r="G13" i="23"/>
  <c r="F13" i="23"/>
  <c r="E13" i="23"/>
  <c r="D13" i="23"/>
  <c r="C13" i="23"/>
  <c r="B13" i="23"/>
  <c r="U12" i="23"/>
  <c r="T12" i="23"/>
  <c r="S12" i="23"/>
  <c r="R12" i="23"/>
  <c r="Q12" i="23"/>
  <c r="K12" i="23"/>
  <c r="J12" i="23"/>
  <c r="I12" i="23"/>
  <c r="H12" i="23"/>
  <c r="G12" i="23"/>
  <c r="F12" i="23"/>
  <c r="E12" i="23"/>
  <c r="D12" i="23"/>
  <c r="C12" i="23"/>
  <c r="B12" i="23"/>
  <c r="U11" i="23"/>
  <c r="T11" i="23"/>
  <c r="S11" i="23"/>
  <c r="R11" i="23"/>
  <c r="Q11" i="23"/>
  <c r="K11" i="23"/>
  <c r="J11" i="23"/>
  <c r="I11" i="23"/>
  <c r="H11" i="23"/>
  <c r="G11" i="23"/>
  <c r="F11" i="23"/>
  <c r="E11" i="23"/>
  <c r="D11" i="23"/>
  <c r="C11" i="23"/>
  <c r="B11" i="23"/>
  <c r="U10" i="23"/>
  <c r="T10" i="23"/>
  <c r="S10" i="23"/>
  <c r="R10" i="23"/>
  <c r="Q10" i="23"/>
  <c r="K10" i="23"/>
  <c r="J10" i="23"/>
  <c r="I10" i="23"/>
  <c r="H10" i="23"/>
  <c r="G10" i="23"/>
  <c r="F10" i="23"/>
  <c r="E10" i="23"/>
  <c r="D10" i="23"/>
  <c r="C10" i="23"/>
  <c r="B10" i="23"/>
  <c r="U9" i="23"/>
  <c r="T9" i="23"/>
  <c r="S9" i="23"/>
  <c r="R9" i="23"/>
  <c r="Q9" i="23"/>
  <c r="K9" i="23"/>
  <c r="J9" i="23"/>
  <c r="I9" i="23"/>
  <c r="H9" i="23"/>
  <c r="G9" i="23"/>
  <c r="F9" i="23"/>
  <c r="E9" i="23"/>
  <c r="D9" i="23"/>
  <c r="C9" i="23"/>
  <c r="B9" i="23"/>
  <c r="U8" i="23"/>
  <c r="T8" i="23"/>
  <c r="S8" i="23"/>
  <c r="R8" i="23"/>
  <c r="Q8" i="23"/>
  <c r="K8" i="23"/>
  <c r="J8" i="23"/>
  <c r="I8" i="23"/>
  <c r="I152" i="23" s="1"/>
  <c r="H8" i="23"/>
  <c r="G8" i="23"/>
  <c r="F8" i="23"/>
  <c r="E8" i="23"/>
  <c r="D8" i="23"/>
  <c r="C8" i="23"/>
  <c r="B8" i="23"/>
  <c r="U7" i="23"/>
  <c r="T7" i="23"/>
  <c r="S7" i="23"/>
  <c r="R7" i="23"/>
  <c r="Q7" i="23"/>
  <c r="K7" i="23"/>
  <c r="J7" i="23"/>
  <c r="I7" i="23"/>
  <c r="H7" i="23"/>
  <c r="G7" i="23"/>
  <c r="F7" i="23"/>
  <c r="E7" i="23"/>
  <c r="D7" i="23"/>
  <c r="C7" i="23"/>
  <c r="B7" i="23"/>
  <c r="U6" i="23"/>
  <c r="T6" i="23"/>
  <c r="S6" i="23"/>
  <c r="R6" i="23"/>
  <c r="Q6" i="23"/>
  <c r="K6" i="23"/>
  <c r="J6" i="23"/>
  <c r="I6" i="23"/>
  <c r="H6" i="23"/>
  <c r="G6" i="23"/>
  <c r="F6" i="23"/>
  <c r="E6" i="23"/>
  <c r="D6" i="23"/>
  <c r="C6" i="23"/>
  <c r="B6" i="23"/>
  <c r="B150" i="23" s="1"/>
  <c r="U5" i="23"/>
  <c r="T5" i="23"/>
  <c r="S5" i="23"/>
  <c r="R5" i="23"/>
  <c r="Q5" i="23"/>
  <c r="K5" i="23"/>
  <c r="J5" i="23"/>
  <c r="I5" i="23"/>
  <c r="H5" i="23"/>
  <c r="G5" i="23"/>
  <c r="F5" i="23"/>
  <c r="E5" i="23"/>
  <c r="D5" i="23"/>
  <c r="C5" i="23"/>
  <c r="B5" i="23"/>
  <c r="B149" i="23" s="1"/>
  <c r="K263" i="22"/>
  <c r="J263" i="22"/>
  <c r="B263" i="22"/>
  <c r="K259" i="22"/>
  <c r="J259" i="22"/>
  <c r="B259" i="22"/>
  <c r="K258" i="22"/>
  <c r="J258" i="22"/>
  <c r="B258" i="22"/>
  <c r="K257" i="22"/>
  <c r="J257" i="22"/>
  <c r="B257" i="22"/>
  <c r="K256" i="22"/>
  <c r="J256" i="22"/>
  <c r="B256" i="22"/>
  <c r="K255" i="22"/>
  <c r="J255" i="22"/>
  <c r="B255" i="22"/>
  <c r="K254" i="22"/>
  <c r="J254" i="22"/>
  <c r="B254" i="22"/>
  <c r="K253" i="22"/>
  <c r="J253" i="22"/>
  <c r="B253" i="22"/>
  <c r="K251" i="22"/>
  <c r="J251" i="22"/>
  <c r="B251" i="22"/>
  <c r="I140" i="22"/>
  <c r="H140" i="22"/>
  <c r="H263" i="22" s="1"/>
  <c r="G140" i="22"/>
  <c r="G263" i="22" s="1"/>
  <c r="F140" i="22"/>
  <c r="E140" i="22"/>
  <c r="D140" i="22"/>
  <c r="C140" i="22"/>
  <c r="C263" i="22" s="1"/>
  <c r="I136" i="22"/>
  <c r="I259" i="22" s="1"/>
  <c r="H136" i="22"/>
  <c r="H259" i="22" s="1"/>
  <c r="G136" i="22"/>
  <c r="G259" i="22" s="1"/>
  <c r="F136" i="22"/>
  <c r="E136" i="22"/>
  <c r="D136" i="22"/>
  <c r="C136" i="22"/>
  <c r="C259" i="22" s="1"/>
  <c r="I135" i="22"/>
  <c r="I258" i="22" s="1"/>
  <c r="H135" i="22"/>
  <c r="H258" i="22" s="1"/>
  <c r="G135" i="22"/>
  <c r="G258" i="22" s="1"/>
  <c r="F135" i="22"/>
  <c r="E135" i="22"/>
  <c r="D135" i="22"/>
  <c r="C135" i="22"/>
  <c r="C258" i="22" s="1"/>
  <c r="I134" i="22"/>
  <c r="I257" i="22" s="1"/>
  <c r="H134" i="22"/>
  <c r="H257" i="22" s="1"/>
  <c r="G134" i="22"/>
  <c r="G257" i="22" s="1"/>
  <c r="F134" i="22"/>
  <c r="E134" i="22"/>
  <c r="D134" i="22"/>
  <c r="C134" i="22"/>
  <c r="C257" i="22" s="1"/>
  <c r="I133" i="22"/>
  <c r="I256" i="22" s="1"/>
  <c r="H133" i="22"/>
  <c r="H256" i="22" s="1"/>
  <c r="G133" i="22"/>
  <c r="G256" i="22" s="1"/>
  <c r="F133" i="22"/>
  <c r="E133" i="22"/>
  <c r="D133" i="22"/>
  <c r="D256" i="22" s="1"/>
  <c r="C133" i="22"/>
  <c r="C256" i="22" s="1"/>
  <c r="I132" i="22"/>
  <c r="I255" i="22" s="1"/>
  <c r="H132" i="22"/>
  <c r="G132" i="22"/>
  <c r="G255" i="22" s="1"/>
  <c r="F132" i="22"/>
  <c r="E132" i="22"/>
  <c r="E255" i="22" s="1"/>
  <c r="D132" i="22"/>
  <c r="D255" i="22" s="1"/>
  <c r="C132" i="22"/>
  <c r="C255" i="22" s="1"/>
  <c r="I131" i="22"/>
  <c r="I254" i="22" s="1"/>
  <c r="H131" i="22"/>
  <c r="H254" i="22" s="1"/>
  <c r="G131" i="22"/>
  <c r="G254" i="22" s="1"/>
  <c r="F131" i="22"/>
  <c r="E131" i="22"/>
  <c r="E254" i="22" s="1"/>
  <c r="D131" i="22"/>
  <c r="D254" i="22" s="1"/>
  <c r="C131" i="22"/>
  <c r="C254" i="22" s="1"/>
  <c r="I130" i="22"/>
  <c r="I253" i="22" s="1"/>
  <c r="H130" i="22"/>
  <c r="H253" i="22" s="1"/>
  <c r="G130" i="22"/>
  <c r="G253" i="22" s="1"/>
  <c r="F130" i="22"/>
  <c r="F253" i="22" s="1"/>
  <c r="E130" i="22"/>
  <c r="E253" i="22" s="1"/>
  <c r="D130" i="22"/>
  <c r="D253" i="22" s="1"/>
  <c r="C130" i="22"/>
  <c r="C253" i="22" s="1"/>
  <c r="I129" i="22"/>
  <c r="H129" i="22"/>
  <c r="G129" i="22"/>
  <c r="F129" i="22"/>
  <c r="E129" i="22"/>
  <c r="D129" i="22"/>
  <c r="C129" i="22"/>
  <c r="I128" i="22"/>
  <c r="H128" i="22"/>
  <c r="G128" i="22"/>
  <c r="F128" i="22"/>
  <c r="E128" i="22"/>
  <c r="D128" i="22"/>
  <c r="C128" i="22"/>
  <c r="I127" i="22"/>
  <c r="H127" i="22"/>
  <c r="G127" i="22"/>
  <c r="F127" i="22"/>
  <c r="E127" i="22"/>
  <c r="D127" i="22"/>
  <c r="C127" i="22"/>
  <c r="I126" i="22"/>
  <c r="H126" i="22"/>
  <c r="G126" i="22"/>
  <c r="F126" i="22"/>
  <c r="E126" i="22"/>
  <c r="D126" i="22"/>
  <c r="C126" i="22"/>
  <c r="I125" i="22"/>
  <c r="H125" i="22"/>
  <c r="G125" i="22"/>
  <c r="F125" i="22"/>
  <c r="E125" i="22"/>
  <c r="E252" i="22" s="1"/>
  <c r="D125" i="22"/>
  <c r="D252" i="22" s="1"/>
  <c r="C125" i="22"/>
  <c r="C252" i="22" s="1"/>
  <c r="I124" i="22"/>
  <c r="H124" i="22"/>
  <c r="G124" i="22"/>
  <c r="F124" i="22"/>
  <c r="E124" i="22"/>
  <c r="D124" i="22"/>
  <c r="C124" i="22"/>
  <c r="I123" i="22"/>
  <c r="H123" i="22"/>
  <c r="G123" i="22"/>
  <c r="F123" i="22"/>
  <c r="E123" i="22"/>
  <c r="D123" i="22"/>
  <c r="C123" i="22"/>
  <c r="I122" i="22"/>
  <c r="H122" i="22"/>
  <c r="G122" i="22"/>
  <c r="F122" i="22"/>
  <c r="E122" i="22"/>
  <c r="D122" i="22"/>
  <c r="C122" i="22"/>
  <c r="I121" i="22"/>
  <c r="H121" i="22"/>
  <c r="G121" i="22"/>
  <c r="F121" i="22"/>
  <c r="E121" i="22"/>
  <c r="D121" i="22"/>
  <c r="C121" i="22"/>
  <c r="I120" i="22"/>
  <c r="H120" i="22"/>
  <c r="G120" i="22"/>
  <c r="F120" i="22"/>
  <c r="E120" i="22"/>
  <c r="D120" i="22"/>
  <c r="C120" i="22"/>
  <c r="I119" i="22"/>
  <c r="H119" i="22"/>
  <c r="G119" i="22"/>
  <c r="F119" i="22"/>
  <c r="E119" i="22"/>
  <c r="D119" i="22"/>
  <c r="C119" i="22"/>
  <c r="I118" i="22"/>
  <c r="H118" i="22"/>
  <c r="G118" i="22"/>
  <c r="F118" i="22"/>
  <c r="E118" i="22"/>
  <c r="D118" i="22"/>
  <c r="C118" i="22"/>
  <c r="I117" i="22"/>
  <c r="H117" i="22"/>
  <c r="G117" i="22"/>
  <c r="F117" i="22"/>
  <c r="E117" i="22"/>
  <c r="D117" i="22"/>
  <c r="C117" i="22"/>
  <c r="I116" i="22"/>
  <c r="H116" i="22"/>
  <c r="G116" i="22"/>
  <c r="F116" i="22"/>
  <c r="E116" i="22"/>
  <c r="D116" i="22"/>
  <c r="C116" i="22"/>
  <c r="I115" i="22"/>
  <c r="H115" i="22"/>
  <c r="G115" i="22"/>
  <c r="F115" i="22"/>
  <c r="E115" i="22"/>
  <c r="D115" i="22"/>
  <c r="C115" i="22"/>
  <c r="I114" i="22"/>
  <c r="H114" i="22"/>
  <c r="G114" i="22"/>
  <c r="F114" i="22"/>
  <c r="E114" i="22"/>
  <c r="D114" i="22"/>
  <c r="C114" i="22"/>
  <c r="I113" i="22"/>
  <c r="H113" i="22"/>
  <c r="G113" i="22"/>
  <c r="F113" i="22"/>
  <c r="E113" i="22"/>
  <c r="D113" i="22"/>
  <c r="C113" i="22"/>
  <c r="I112" i="22"/>
  <c r="H112" i="22"/>
  <c r="G112" i="22"/>
  <c r="F112" i="22"/>
  <c r="E112" i="22"/>
  <c r="D112" i="22"/>
  <c r="C112" i="22"/>
  <c r="I111" i="22"/>
  <c r="H111" i="22"/>
  <c r="G111" i="22"/>
  <c r="F111" i="22"/>
  <c r="E111" i="22"/>
  <c r="D111" i="22"/>
  <c r="C111" i="22"/>
  <c r="I110" i="22"/>
  <c r="H110" i="22"/>
  <c r="G110" i="22"/>
  <c r="F110" i="22"/>
  <c r="E110" i="22"/>
  <c r="D110" i="22"/>
  <c r="C110" i="22"/>
  <c r="I109" i="22"/>
  <c r="H109" i="22"/>
  <c r="G109" i="22"/>
  <c r="F109" i="22"/>
  <c r="E109" i="22"/>
  <c r="D109" i="22"/>
  <c r="C109" i="22"/>
  <c r="I108" i="22"/>
  <c r="H108" i="22"/>
  <c r="G108" i="22"/>
  <c r="F108" i="22"/>
  <c r="E108" i="22"/>
  <c r="D108" i="22"/>
  <c r="C108" i="22"/>
  <c r="I107" i="22"/>
  <c r="H107" i="22"/>
  <c r="G107" i="22"/>
  <c r="F107" i="22"/>
  <c r="E107" i="22"/>
  <c r="D107" i="22"/>
  <c r="C107" i="22"/>
  <c r="I106" i="22"/>
  <c r="H106" i="22"/>
  <c r="G106" i="22"/>
  <c r="F106" i="22"/>
  <c r="E106" i="22"/>
  <c r="D106" i="22"/>
  <c r="C106" i="22"/>
  <c r="I105" i="22"/>
  <c r="H105" i="22"/>
  <c r="G105" i="22"/>
  <c r="F105" i="22"/>
  <c r="E105" i="22"/>
  <c r="D105" i="22"/>
  <c r="C105" i="22"/>
  <c r="I104" i="22"/>
  <c r="H104" i="22"/>
  <c r="G104" i="22"/>
  <c r="F104" i="22"/>
  <c r="E104" i="22"/>
  <c r="D104" i="22"/>
  <c r="C104" i="22"/>
  <c r="I103" i="22"/>
  <c r="H103" i="22"/>
  <c r="G103" i="22"/>
  <c r="F103" i="22"/>
  <c r="E103" i="22"/>
  <c r="D103" i="22"/>
  <c r="C103" i="22"/>
  <c r="I102" i="22"/>
  <c r="H102" i="22"/>
  <c r="G102" i="22"/>
  <c r="F102" i="22"/>
  <c r="E102" i="22"/>
  <c r="D102" i="22"/>
  <c r="C102" i="22"/>
  <c r="I101" i="22"/>
  <c r="H101" i="22"/>
  <c r="G101" i="22"/>
  <c r="F101" i="22"/>
  <c r="E101" i="22"/>
  <c r="D101" i="22"/>
  <c r="I100" i="22"/>
  <c r="H100" i="22"/>
  <c r="G100" i="22"/>
  <c r="F100" i="22"/>
  <c r="E100" i="22"/>
  <c r="D100" i="22"/>
  <c r="C100" i="22"/>
  <c r="I99" i="22"/>
  <c r="H99" i="22"/>
  <c r="G99" i="22"/>
  <c r="F99" i="22"/>
  <c r="E99" i="22"/>
  <c r="D99" i="22"/>
  <c r="C99" i="22"/>
  <c r="I98" i="22"/>
  <c r="H98" i="22"/>
  <c r="G98" i="22"/>
  <c r="F98" i="22"/>
  <c r="E98" i="22"/>
  <c r="D98" i="22"/>
  <c r="C98" i="22"/>
  <c r="I97" i="22"/>
  <c r="H97" i="22"/>
  <c r="G97" i="22"/>
  <c r="F97" i="22"/>
  <c r="E97" i="22"/>
  <c r="D97" i="22"/>
  <c r="C97" i="22"/>
  <c r="K94" i="22"/>
  <c r="J94" i="22"/>
  <c r="I94" i="22"/>
  <c r="H94" i="22"/>
  <c r="G94" i="22"/>
  <c r="F94" i="22"/>
  <c r="E94" i="22"/>
  <c r="D94" i="22"/>
  <c r="C94" i="22"/>
  <c r="B94" i="22"/>
  <c r="K90" i="22"/>
  <c r="J90" i="22"/>
  <c r="I90" i="22"/>
  <c r="H90" i="22"/>
  <c r="G90" i="22"/>
  <c r="F90" i="22"/>
  <c r="E90" i="22"/>
  <c r="D90" i="22"/>
  <c r="C90" i="22"/>
  <c r="B90" i="22"/>
  <c r="K89" i="22"/>
  <c r="J89" i="22"/>
  <c r="I89" i="22"/>
  <c r="H89" i="22"/>
  <c r="G89" i="22"/>
  <c r="F89" i="22"/>
  <c r="E89" i="22"/>
  <c r="D89" i="22"/>
  <c r="C89" i="22"/>
  <c r="B89" i="22"/>
  <c r="K88" i="22"/>
  <c r="J88" i="22"/>
  <c r="J234" i="22" s="1"/>
  <c r="I88" i="22"/>
  <c r="I234" i="22" s="1"/>
  <c r="H88" i="22"/>
  <c r="H234" i="22" s="1"/>
  <c r="G88" i="22"/>
  <c r="G234" i="22" s="1"/>
  <c r="F88" i="22"/>
  <c r="F234" i="22" s="1"/>
  <c r="E88" i="22"/>
  <c r="E234" i="22" s="1"/>
  <c r="D88" i="22"/>
  <c r="D234" i="22" s="1"/>
  <c r="C88" i="22"/>
  <c r="C234" i="22" s="1"/>
  <c r="B88" i="22"/>
  <c r="B234" i="22" s="1"/>
  <c r="K87" i="22"/>
  <c r="J87" i="22"/>
  <c r="I87" i="22"/>
  <c r="I233" i="22" s="1"/>
  <c r="H87" i="22"/>
  <c r="H233" i="22" s="1"/>
  <c r="G87" i="22"/>
  <c r="G233" i="22" s="1"/>
  <c r="F87" i="22"/>
  <c r="F233" i="22" s="1"/>
  <c r="E87" i="22"/>
  <c r="E233" i="22" s="1"/>
  <c r="D87" i="22"/>
  <c r="D233" i="22" s="1"/>
  <c r="C87" i="22"/>
  <c r="C233" i="22" s="1"/>
  <c r="B87" i="22"/>
  <c r="K86" i="22"/>
  <c r="K232" i="22" s="1"/>
  <c r="J86" i="22"/>
  <c r="I86" i="22"/>
  <c r="I232" i="22" s="1"/>
  <c r="H86" i="22"/>
  <c r="H232" i="22" s="1"/>
  <c r="G86" i="22"/>
  <c r="G232" i="22" s="1"/>
  <c r="F86" i="22"/>
  <c r="F232" i="22" s="1"/>
  <c r="E86" i="22"/>
  <c r="E232" i="22" s="1"/>
  <c r="D86" i="22"/>
  <c r="D232" i="22" s="1"/>
  <c r="C86" i="22"/>
  <c r="C232" i="22" s="1"/>
  <c r="B86" i="22"/>
  <c r="K85" i="22"/>
  <c r="J85" i="22"/>
  <c r="J231" i="22" s="1"/>
  <c r="I85" i="22"/>
  <c r="I231" i="22" s="1"/>
  <c r="H85" i="22"/>
  <c r="H231" i="22" s="1"/>
  <c r="G85" i="22"/>
  <c r="G231" i="22" s="1"/>
  <c r="F85" i="22"/>
  <c r="F231" i="22" s="1"/>
  <c r="E85" i="22"/>
  <c r="E231" i="22" s="1"/>
  <c r="D85" i="22"/>
  <c r="D231" i="22" s="1"/>
  <c r="C85" i="22"/>
  <c r="C231" i="22" s="1"/>
  <c r="B85" i="22"/>
  <c r="K84" i="22"/>
  <c r="J84" i="22"/>
  <c r="J230" i="22" s="1"/>
  <c r="I84" i="22"/>
  <c r="I230" i="22" s="1"/>
  <c r="H84" i="22"/>
  <c r="H230" i="22" s="1"/>
  <c r="G84" i="22"/>
  <c r="G230" i="22" s="1"/>
  <c r="F84" i="22"/>
  <c r="F230" i="22" s="1"/>
  <c r="E84" i="22"/>
  <c r="E230" i="22" s="1"/>
  <c r="D84" i="22"/>
  <c r="D230" i="22" s="1"/>
  <c r="C84" i="22"/>
  <c r="C230" i="22" s="1"/>
  <c r="B84" i="22"/>
  <c r="B230" i="22" s="1"/>
  <c r="K83" i="22"/>
  <c r="J83" i="22"/>
  <c r="H83" i="22"/>
  <c r="G83" i="22"/>
  <c r="E83" i="22"/>
  <c r="D83" i="22"/>
  <c r="C83" i="22"/>
  <c r="B83" i="22"/>
  <c r="L82" i="22"/>
  <c r="K82" i="22"/>
  <c r="J82" i="22"/>
  <c r="I82" i="22"/>
  <c r="H82" i="22"/>
  <c r="G82" i="22"/>
  <c r="F82" i="22"/>
  <c r="E82" i="22"/>
  <c r="D82" i="22"/>
  <c r="C82" i="22"/>
  <c r="B82" i="22"/>
  <c r="K81" i="22"/>
  <c r="J81" i="22"/>
  <c r="I81" i="22"/>
  <c r="H81" i="22"/>
  <c r="G81" i="22"/>
  <c r="F81" i="22"/>
  <c r="E81" i="22"/>
  <c r="D81" i="22"/>
  <c r="C81" i="22"/>
  <c r="B81" i="22"/>
  <c r="K80" i="22"/>
  <c r="J80" i="22"/>
  <c r="I80" i="22"/>
  <c r="H80" i="22"/>
  <c r="G80" i="22"/>
  <c r="F80" i="22"/>
  <c r="E80" i="22"/>
  <c r="D80" i="22"/>
  <c r="C80" i="22"/>
  <c r="B80" i="22"/>
  <c r="K79" i="22"/>
  <c r="K229" i="22" s="1"/>
  <c r="J79" i="22"/>
  <c r="I79" i="22"/>
  <c r="H79" i="22"/>
  <c r="H229" i="22" s="1"/>
  <c r="G79" i="22"/>
  <c r="F79" i="22"/>
  <c r="E79" i="22"/>
  <c r="D79" i="22"/>
  <c r="C79" i="22"/>
  <c r="C229" i="22" s="1"/>
  <c r="B79" i="22"/>
  <c r="B229" i="22" s="1"/>
  <c r="K78" i="22"/>
  <c r="J78" i="22"/>
  <c r="I78" i="22"/>
  <c r="H78" i="22"/>
  <c r="G78" i="22"/>
  <c r="F78" i="22"/>
  <c r="E78" i="22"/>
  <c r="D78" i="22"/>
  <c r="C78" i="22"/>
  <c r="B78" i="22"/>
  <c r="K77" i="22"/>
  <c r="J77" i="22"/>
  <c r="I77" i="22"/>
  <c r="H77" i="22"/>
  <c r="G77" i="22"/>
  <c r="F77" i="22"/>
  <c r="E77" i="22"/>
  <c r="D77" i="22"/>
  <c r="C77" i="22"/>
  <c r="B77" i="22"/>
  <c r="K76" i="22"/>
  <c r="J76" i="22"/>
  <c r="I76" i="22"/>
  <c r="H76" i="22"/>
  <c r="G76" i="22"/>
  <c r="F76" i="22"/>
  <c r="E76" i="22"/>
  <c r="D76" i="22"/>
  <c r="C76" i="22"/>
  <c r="B76" i="22"/>
  <c r="K75" i="22"/>
  <c r="J75" i="22"/>
  <c r="I75" i="22"/>
  <c r="H75" i="22"/>
  <c r="G75" i="22"/>
  <c r="F75" i="22"/>
  <c r="E75" i="22"/>
  <c r="D75" i="22"/>
  <c r="C75" i="22"/>
  <c r="B75" i="22"/>
  <c r="K74" i="22"/>
  <c r="J74" i="22"/>
  <c r="I74" i="22"/>
  <c r="H74" i="22"/>
  <c r="G74" i="22"/>
  <c r="F74" i="22"/>
  <c r="E74" i="22"/>
  <c r="D74" i="22"/>
  <c r="C74" i="22"/>
  <c r="B74" i="22"/>
  <c r="K73" i="22"/>
  <c r="J73" i="22"/>
  <c r="I73" i="22"/>
  <c r="H73" i="22"/>
  <c r="G73" i="22"/>
  <c r="F73" i="22"/>
  <c r="E73" i="22"/>
  <c r="D73" i="22"/>
  <c r="C73" i="22"/>
  <c r="B73" i="22"/>
  <c r="K72" i="22"/>
  <c r="J72" i="22"/>
  <c r="I72" i="22"/>
  <c r="H72" i="22"/>
  <c r="G72" i="22"/>
  <c r="F72" i="22"/>
  <c r="E72" i="22"/>
  <c r="D72" i="22"/>
  <c r="C72" i="22"/>
  <c r="B72" i="22"/>
  <c r="K71" i="22"/>
  <c r="J71" i="22"/>
  <c r="I71" i="22"/>
  <c r="H71" i="22"/>
  <c r="G71" i="22"/>
  <c r="F71" i="22"/>
  <c r="E71" i="22"/>
  <c r="D71" i="22"/>
  <c r="C71" i="22"/>
  <c r="B71" i="22"/>
  <c r="K70" i="22"/>
  <c r="J70" i="22"/>
  <c r="I70" i="22"/>
  <c r="H70" i="22"/>
  <c r="G70" i="22"/>
  <c r="F70" i="22"/>
  <c r="E70" i="22"/>
  <c r="D70" i="22"/>
  <c r="C70" i="22"/>
  <c r="B70" i="22"/>
  <c r="K69" i="22"/>
  <c r="J69" i="22"/>
  <c r="I69" i="22"/>
  <c r="H69" i="22"/>
  <c r="G69" i="22"/>
  <c r="F69" i="22"/>
  <c r="E69" i="22"/>
  <c r="D69" i="22"/>
  <c r="C69" i="22"/>
  <c r="B69" i="22"/>
  <c r="K68" i="22"/>
  <c r="J68" i="22"/>
  <c r="I68" i="22"/>
  <c r="H68" i="22"/>
  <c r="G68" i="22"/>
  <c r="F68" i="22"/>
  <c r="E68" i="22"/>
  <c r="D68" i="22"/>
  <c r="C68" i="22"/>
  <c r="B68" i="22"/>
  <c r="K67" i="22"/>
  <c r="J67" i="22"/>
  <c r="I67" i="22"/>
  <c r="H67" i="22"/>
  <c r="G67" i="22"/>
  <c r="F67" i="22"/>
  <c r="E67" i="22"/>
  <c r="D67" i="22"/>
  <c r="C67" i="22"/>
  <c r="B67" i="22"/>
  <c r="L66" i="22"/>
  <c r="K66" i="22"/>
  <c r="J66" i="22"/>
  <c r="I66" i="22"/>
  <c r="H66" i="22"/>
  <c r="G66" i="22"/>
  <c r="F66" i="22"/>
  <c r="E66" i="22"/>
  <c r="D66" i="22"/>
  <c r="C66" i="22"/>
  <c r="B66" i="22"/>
  <c r="L65" i="22"/>
  <c r="K65" i="22"/>
  <c r="J65" i="22"/>
  <c r="I65" i="22"/>
  <c r="H65" i="22"/>
  <c r="G65" i="22"/>
  <c r="F65" i="22"/>
  <c r="E65" i="22"/>
  <c r="D65" i="22"/>
  <c r="C65" i="22"/>
  <c r="B65" i="22"/>
  <c r="K64" i="22"/>
  <c r="J64" i="22"/>
  <c r="I64" i="22"/>
  <c r="H64" i="22"/>
  <c r="G64" i="22"/>
  <c r="F64" i="22"/>
  <c r="E64" i="22"/>
  <c r="D64" i="22"/>
  <c r="C64" i="22"/>
  <c r="B64" i="22"/>
  <c r="K63" i="22"/>
  <c r="J63" i="22"/>
  <c r="I63" i="22"/>
  <c r="H63" i="22"/>
  <c r="G63" i="22"/>
  <c r="F63" i="22"/>
  <c r="E63" i="22"/>
  <c r="D63" i="22"/>
  <c r="C63" i="22"/>
  <c r="B63" i="22"/>
  <c r="K62" i="22"/>
  <c r="J62" i="22"/>
  <c r="I62" i="22"/>
  <c r="H62" i="22"/>
  <c r="G62" i="22"/>
  <c r="F62" i="22"/>
  <c r="E62" i="22"/>
  <c r="D62" i="22"/>
  <c r="C62" i="22"/>
  <c r="B62" i="22"/>
  <c r="K61" i="22"/>
  <c r="J61" i="22"/>
  <c r="I61" i="22"/>
  <c r="H61" i="22"/>
  <c r="G61" i="22"/>
  <c r="F61" i="22"/>
  <c r="E61" i="22"/>
  <c r="D61" i="22"/>
  <c r="C61" i="22"/>
  <c r="B61" i="22"/>
  <c r="K60" i="22"/>
  <c r="J60" i="22"/>
  <c r="I60" i="22"/>
  <c r="H60" i="22"/>
  <c r="G60" i="22"/>
  <c r="F60" i="22"/>
  <c r="E60" i="22"/>
  <c r="D60" i="22"/>
  <c r="C60" i="22"/>
  <c r="B60" i="22"/>
  <c r="K59" i="22"/>
  <c r="J59" i="22"/>
  <c r="I59" i="22"/>
  <c r="H59" i="22"/>
  <c r="G59" i="22"/>
  <c r="F59" i="22"/>
  <c r="E59" i="22"/>
  <c r="D59" i="22"/>
  <c r="C59" i="22"/>
  <c r="B59" i="22"/>
  <c r="K58" i="22"/>
  <c r="J58" i="22"/>
  <c r="I58" i="22"/>
  <c r="H58" i="22"/>
  <c r="G58" i="22"/>
  <c r="F58" i="22"/>
  <c r="E58" i="22"/>
  <c r="D58" i="22"/>
  <c r="C58" i="22"/>
  <c r="B58" i="22"/>
  <c r="K57" i="22"/>
  <c r="J57" i="22"/>
  <c r="I57" i="22"/>
  <c r="H57" i="22"/>
  <c r="G57" i="22"/>
  <c r="F57" i="22"/>
  <c r="E57" i="22"/>
  <c r="D57" i="22"/>
  <c r="C57" i="22"/>
  <c r="B57" i="22"/>
  <c r="K56" i="22"/>
  <c r="J56" i="22"/>
  <c r="I56" i="22"/>
  <c r="H56" i="22"/>
  <c r="G56" i="22"/>
  <c r="F56" i="22"/>
  <c r="E56" i="22"/>
  <c r="D56" i="22"/>
  <c r="C56" i="22"/>
  <c r="B56" i="22"/>
  <c r="K55" i="22"/>
  <c r="J55" i="22"/>
  <c r="I55" i="22"/>
  <c r="H55" i="22"/>
  <c r="G55" i="22"/>
  <c r="F55" i="22"/>
  <c r="E55" i="22"/>
  <c r="D55" i="22"/>
  <c r="C55" i="22"/>
  <c r="B55" i="22"/>
  <c r="K54" i="22"/>
  <c r="J54" i="22"/>
  <c r="I54" i="22"/>
  <c r="H54" i="22"/>
  <c r="G54" i="22"/>
  <c r="F54" i="22"/>
  <c r="E54" i="22"/>
  <c r="D54" i="22"/>
  <c r="C54" i="22"/>
  <c r="B54" i="22"/>
  <c r="K53" i="22"/>
  <c r="J53" i="22"/>
  <c r="I53" i="22"/>
  <c r="H53" i="22"/>
  <c r="G53" i="22"/>
  <c r="F53" i="22"/>
  <c r="E53" i="22"/>
  <c r="D53" i="22"/>
  <c r="C53" i="22"/>
  <c r="B53" i="22"/>
  <c r="K52" i="22"/>
  <c r="J52" i="22"/>
  <c r="I52" i="22"/>
  <c r="H52" i="22"/>
  <c r="G52" i="22"/>
  <c r="F52" i="22"/>
  <c r="E52" i="22"/>
  <c r="D52" i="22"/>
  <c r="C52" i="22"/>
  <c r="B52" i="22"/>
  <c r="K51" i="22"/>
  <c r="J51" i="22"/>
  <c r="I51" i="22"/>
  <c r="H51" i="22"/>
  <c r="G51" i="22"/>
  <c r="F51" i="22"/>
  <c r="E51" i="22"/>
  <c r="D51" i="22"/>
  <c r="C51" i="22"/>
  <c r="B51" i="22"/>
  <c r="K48" i="22"/>
  <c r="J48" i="22"/>
  <c r="I48" i="22"/>
  <c r="H48" i="22"/>
  <c r="G48" i="22"/>
  <c r="F48" i="22"/>
  <c r="E48" i="22"/>
  <c r="D48" i="22"/>
  <c r="C48" i="22"/>
  <c r="B48" i="22"/>
  <c r="K44" i="22"/>
  <c r="K217" i="22" s="1"/>
  <c r="J44" i="22"/>
  <c r="J217" i="22" s="1"/>
  <c r="I44" i="22"/>
  <c r="I217" i="22" s="1"/>
  <c r="H44" i="22"/>
  <c r="H217" i="22" s="1"/>
  <c r="G44" i="22"/>
  <c r="G217" i="22" s="1"/>
  <c r="F44" i="22"/>
  <c r="F217" i="22" s="1"/>
  <c r="E44" i="22"/>
  <c r="E217" i="22" s="1"/>
  <c r="D44" i="22"/>
  <c r="D217" i="22" s="1"/>
  <c r="C44" i="22"/>
  <c r="C217" i="22" s="1"/>
  <c r="B44" i="22"/>
  <c r="B217" i="22" s="1"/>
  <c r="K43" i="22"/>
  <c r="K216" i="22" s="1"/>
  <c r="J43" i="22"/>
  <c r="J216" i="22" s="1"/>
  <c r="I43" i="22"/>
  <c r="I216" i="22" s="1"/>
  <c r="H43" i="22"/>
  <c r="H216" i="22" s="1"/>
  <c r="G43" i="22"/>
  <c r="G216" i="22" s="1"/>
  <c r="F43" i="22"/>
  <c r="F216" i="22" s="1"/>
  <c r="E43" i="22"/>
  <c r="E216" i="22" s="1"/>
  <c r="D43" i="22"/>
  <c r="D216" i="22" s="1"/>
  <c r="C43" i="22"/>
  <c r="C216" i="22" s="1"/>
  <c r="B43" i="22"/>
  <c r="B216" i="22" s="1"/>
  <c r="K42" i="22"/>
  <c r="K215" i="22" s="1"/>
  <c r="J42" i="22"/>
  <c r="J215" i="22" s="1"/>
  <c r="I42" i="22"/>
  <c r="I215" i="22" s="1"/>
  <c r="H42" i="22"/>
  <c r="H215" i="22" s="1"/>
  <c r="G42" i="22"/>
  <c r="G215" i="22" s="1"/>
  <c r="F42" i="22"/>
  <c r="F215" i="22" s="1"/>
  <c r="E42" i="22"/>
  <c r="E215" i="22" s="1"/>
  <c r="D42" i="22"/>
  <c r="D215" i="22" s="1"/>
  <c r="C42" i="22"/>
  <c r="C215" i="22" s="1"/>
  <c r="B42" i="22"/>
  <c r="K41" i="22"/>
  <c r="K214" i="22" s="1"/>
  <c r="J41" i="22"/>
  <c r="J214" i="22" s="1"/>
  <c r="I41" i="22"/>
  <c r="I214" i="22" s="1"/>
  <c r="H41" i="22"/>
  <c r="H214" i="22" s="1"/>
  <c r="G41" i="22"/>
  <c r="G214" i="22" s="1"/>
  <c r="F41" i="22"/>
  <c r="F214" i="22" s="1"/>
  <c r="E41" i="22"/>
  <c r="E214" i="22" s="1"/>
  <c r="D41" i="22"/>
  <c r="D214" i="22" s="1"/>
  <c r="C41" i="22"/>
  <c r="C214" i="22" s="1"/>
  <c r="B41" i="22"/>
  <c r="B214" i="22" s="1"/>
  <c r="K40" i="22"/>
  <c r="K213" i="22" s="1"/>
  <c r="J40" i="22"/>
  <c r="J213" i="22" s="1"/>
  <c r="I40" i="22"/>
  <c r="I213" i="22" s="1"/>
  <c r="H40" i="22"/>
  <c r="H213" i="22" s="1"/>
  <c r="G40" i="22"/>
  <c r="G213" i="22" s="1"/>
  <c r="F40" i="22"/>
  <c r="F213" i="22" s="1"/>
  <c r="E40" i="22"/>
  <c r="E213" i="22" s="1"/>
  <c r="D40" i="22"/>
  <c r="D213" i="22" s="1"/>
  <c r="C40" i="22"/>
  <c r="C213" i="22" s="1"/>
  <c r="B40" i="22"/>
  <c r="B213" i="22" s="1"/>
  <c r="K39" i="22"/>
  <c r="K212" i="22" s="1"/>
  <c r="J39" i="22"/>
  <c r="J212" i="22" s="1"/>
  <c r="I39" i="22"/>
  <c r="I212" i="22" s="1"/>
  <c r="H39" i="22"/>
  <c r="H212" i="22" s="1"/>
  <c r="G39" i="22"/>
  <c r="G212" i="22" s="1"/>
  <c r="F39" i="22"/>
  <c r="F212" i="22" s="1"/>
  <c r="E39" i="22"/>
  <c r="E212" i="22" s="1"/>
  <c r="D39" i="22"/>
  <c r="D212" i="22" s="1"/>
  <c r="C39" i="22"/>
  <c r="C212" i="22" s="1"/>
  <c r="B39" i="22"/>
  <c r="B212" i="22" s="1"/>
  <c r="K38" i="22"/>
  <c r="K211" i="22" s="1"/>
  <c r="J38" i="22"/>
  <c r="J211" i="22" s="1"/>
  <c r="I38" i="22"/>
  <c r="I211" i="22" s="1"/>
  <c r="H38" i="22"/>
  <c r="H211" i="22" s="1"/>
  <c r="G38" i="22"/>
  <c r="G211" i="22" s="1"/>
  <c r="F38" i="22"/>
  <c r="F211" i="22" s="1"/>
  <c r="E38" i="22"/>
  <c r="E211" i="22" s="1"/>
  <c r="D38" i="22"/>
  <c r="D211" i="22" s="1"/>
  <c r="C38" i="22"/>
  <c r="C211" i="22" s="1"/>
  <c r="B38" i="22"/>
  <c r="B211" i="22" s="1"/>
  <c r="K37" i="22"/>
  <c r="J37" i="22"/>
  <c r="H37" i="22"/>
  <c r="E37" i="22"/>
  <c r="D37" i="22"/>
  <c r="C37" i="22"/>
  <c r="B37" i="22"/>
  <c r="K36" i="22"/>
  <c r="J36" i="22"/>
  <c r="I36" i="22"/>
  <c r="H36" i="22"/>
  <c r="G36" i="22"/>
  <c r="F36" i="22"/>
  <c r="E36" i="22"/>
  <c r="D36" i="22"/>
  <c r="C36" i="22"/>
  <c r="B36" i="22"/>
  <c r="K35" i="22"/>
  <c r="J35" i="22"/>
  <c r="I35" i="22"/>
  <c r="H35" i="22"/>
  <c r="G35" i="22"/>
  <c r="F35" i="22"/>
  <c r="E35" i="22"/>
  <c r="D35" i="22"/>
  <c r="C35" i="22"/>
  <c r="B35" i="22"/>
  <c r="K34" i="22"/>
  <c r="J34" i="22"/>
  <c r="I34" i="22"/>
  <c r="H34" i="22"/>
  <c r="G34" i="22"/>
  <c r="F34" i="22"/>
  <c r="E34" i="22"/>
  <c r="D34" i="22"/>
  <c r="C34" i="22"/>
  <c r="B34" i="22"/>
  <c r="K33" i="22"/>
  <c r="J33" i="22"/>
  <c r="I33" i="22"/>
  <c r="I210" i="22" s="1"/>
  <c r="H33" i="22"/>
  <c r="G33" i="22"/>
  <c r="F33" i="22"/>
  <c r="E33" i="22"/>
  <c r="D33" i="22"/>
  <c r="C33" i="22"/>
  <c r="B33" i="22"/>
  <c r="B210" i="22" s="1"/>
  <c r="K32" i="22"/>
  <c r="J32" i="22"/>
  <c r="I32" i="22"/>
  <c r="H32" i="22"/>
  <c r="G32" i="22"/>
  <c r="F32" i="22"/>
  <c r="E32" i="22"/>
  <c r="C32" i="22"/>
  <c r="B32" i="22"/>
  <c r="K31" i="22"/>
  <c r="K169" i="22" s="1"/>
  <c r="J31" i="22"/>
  <c r="I31" i="22"/>
  <c r="H31" i="22"/>
  <c r="G31" i="22"/>
  <c r="F31" i="22"/>
  <c r="E31" i="22"/>
  <c r="D31" i="22"/>
  <c r="C31" i="22"/>
  <c r="B31" i="22"/>
  <c r="K30" i="22"/>
  <c r="J30" i="22"/>
  <c r="I30" i="22"/>
  <c r="H30" i="22"/>
  <c r="G30" i="22"/>
  <c r="F30" i="22"/>
  <c r="E30" i="22"/>
  <c r="D30" i="22"/>
  <c r="C30" i="22"/>
  <c r="B30" i="22"/>
  <c r="K29" i="22"/>
  <c r="J29" i="22"/>
  <c r="I29" i="22"/>
  <c r="H29" i="22"/>
  <c r="G29" i="22"/>
  <c r="F29" i="22"/>
  <c r="E29" i="22"/>
  <c r="D29" i="22"/>
  <c r="C29" i="22"/>
  <c r="B29" i="22"/>
  <c r="K28" i="22"/>
  <c r="J28" i="22"/>
  <c r="I28" i="22"/>
  <c r="H28" i="22"/>
  <c r="G28" i="22"/>
  <c r="F28" i="22"/>
  <c r="E28" i="22"/>
  <c r="D28" i="22"/>
  <c r="C28" i="22"/>
  <c r="B28" i="22"/>
  <c r="K27" i="22"/>
  <c r="K165" i="22" s="1"/>
  <c r="J27" i="22"/>
  <c r="I27" i="22"/>
  <c r="H27" i="22"/>
  <c r="G27" i="22"/>
  <c r="F27" i="22"/>
  <c r="E27" i="22"/>
  <c r="D27" i="22"/>
  <c r="C27" i="22"/>
  <c r="B27" i="22"/>
  <c r="K26" i="22"/>
  <c r="J26" i="22"/>
  <c r="I26" i="22"/>
  <c r="H26" i="22"/>
  <c r="G26" i="22"/>
  <c r="F26" i="22"/>
  <c r="F164" i="22" s="1"/>
  <c r="E26" i="22"/>
  <c r="D26" i="22"/>
  <c r="C26" i="22"/>
  <c r="B26" i="22"/>
  <c r="B164" i="22" s="1"/>
  <c r="K25" i="22"/>
  <c r="J25" i="22"/>
  <c r="I25" i="22"/>
  <c r="H25" i="22"/>
  <c r="G25" i="22"/>
  <c r="F25" i="22"/>
  <c r="E25" i="22"/>
  <c r="D25" i="22"/>
  <c r="C25" i="22"/>
  <c r="B25" i="22"/>
  <c r="K24" i="22"/>
  <c r="J24" i="22"/>
  <c r="I24" i="22"/>
  <c r="H24" i="22"/>
  <c r="G24" i="22"/>
  <c r="F24" i="22"/>
  <c r="E24" i="22"/>
  <c r="D24" i="22"/>
  <c r="C24" i="22"/>
  <c r="B24" i="22"/>
  <c r="K23" i="22"/>
  <c r="K161" i="22" s="1"/>
  <c r="J23" i="22"/>
  <c r="I23" i="22"/>
  <c r="H23" i="22"/>
  <c r="G23" i="22"/>
  <c r="F23" i="22"/>
  <c r="E23" i="22"/>
  <c r="D23" i="22"/>
  <c r="C23" i="22"/>
  <c r="B23" i="22"/>
  <c r="K22" i="22"/>
  <c r="J22" i="22"/>
  <c r="J160" i="22" s="1"/>
  <c r="I22" i="22"/>
  <c r="H22" i="22"/>
  <c r="G22" i="22"/>
  <c r="F22" i="22"/>
  <c r="E22" i="22"/>
  <c r="D22" i="22"/>
  <c r="C22" i="22"/>
  <c r="B22" i="22"/>
  <c r="B160" i="22" s="1"/>
  <c r="K21" i="22"/>
  <c r="J21" i="22"/>
  <c r="I21" i="22"/>
  <c r="H21" i="22"/>
  <c r="G21" i="22"/>
  <c r="F21" i="22"/>
  <c r="E21" i="22"/>
  <c r="D21" i="22"/>
  <c r="C21" i="22"/>
  <c r="B21" i="22"/>
  <c r="K20" i="22"/>
  <c r="J20" i="22"/>
  <c r="I20" i="22"/>
  <c r="H20" i="22"/>
  <c r="G20" i="22"/>
  <c r="F20" i="22"/>
  <c r="E20" i="22"/>
  <c r="D20" i="22"/>
  <c r="C20" i="22"/>
  <c r="B20" i="22"/>
  <c r="K19" i="22"/>
  <c r="J19" i="22"/>
  <c r="I19" i="22"/>
  <c r="H19" i="22"/>
  <c r="G19" i="22"/>
  <c r="F19" i="22"/>
  <c r="E19" i="22"/>
  <c r="D19" i="22"/>
  <c r="C19" i="22"/>
  <c r="B19" i="22"/>
  <c r="K18" i="22"/>
  <c r="J18" i="22"/>
  <c r="I18" i="22"/>
  <c r="H18" i="22"/>
  <c r="G18" i="22"/>
  <c r="F18" i="22"/>
  <c r="E18" i="22"/>
  <c r="D18" i="22"/>
  <c r="C18" i="22"/>
  <c r="B18" i="22"/>
  <c r="K17" i="22"/>
  <c r="J17" i="22"/>
  <c r="I17" i="22"/>
  <c r="H17" i="22"/>
  <c r="G17" i="22"/>
  <c r="F17" i="22"/>
  <c r="E17" i="22"/>
  <c r="D17" i="22"/>
  <c r="C17" i="22"/>
  <c r="B17" i="22"/>
  <c r="K16" i="22"/>
  <c r="J16" i="22"/>
  <c r="I16" i="22"/>
  <c r="H16" i="22"/>
  <c r="G16" i="22"/>
  <c r="F16" i="22"/>
  <c r="E16" i="22"/>
  <c r="D16" i="22"/>
  <c r="C16" i="22"/>
  <c r="B16" i="22"/>
  <c r="K15" i="22"/>
  <c r="J15" i="22"/>
  <c r="I15" i="22"/>
  <c r="H15" i="22"/>
  <c r="G15" i="22"/>
  <c r="F15" i="22"/>
  <c r="E15" i="22"/>
  <c r="D15" i="22"/>
  <c r="C15" i="22"/>
  <c r="B15" i="22"/>
  <c r="K14" i="22"/>
  <c r="J14" i="22"/>
  <c r="I14" i="22"/>
  <c r="H14" i="22"/>
  <c r="G14" i="22"/>
  <c r="F14" i="22"/>
  <c r="E14" i="22"/>
  <c r="D14" i="22"/>
  <c r="C14" i="22"/>
  <c r="B14" i="22"/>
  <c r="K13" i="22"/>
  <c r="J13" i="22"/>
  <c r="I13" i="22"/>
  <c r="H13" i="22"/>
  <c r="G13" i="22"/>
  <c r="F13" i="22"/>
  <c r="E13" i="22"/>
  <c r="D13" i="22"/>
  <c r="C13" i="22"/>
  <c r="B13" i="22"/>
  <c r="K12" i="22"/>
  <c r="J12" i="22"/>
  <c r="I12" i="22"/>
  <c r="H12" i="22"/>
  <c r="G12" i="22"/>
  <c r="F12" i="22"/>
  <c r="E12" i="22"/>
  <c r="D12" i="22"/>
  <c r="C12" i="22"/>
  <c r="B12" i="22"/>
  <c r="K11" i="22"/>
  <c r="J11" i="22"/>
  <c r="I11" i="22"/>
  <c r="H11" i="22"/>
  <c r="G11" i="22"/>
  <c r="F11" i="22"/>
  <c r="E11" i="22"/>
  <c r="D11" i="22"/>
  <c r="C11" i="22"/>
  <c r="B11" i="22"/>
  <c r="K10" i="22"/>
  <c r="J10" i="22"/>
  <c r="I10" i="22"/>
  <c r="H10" i="22"/>
  <c r="G10" i="22"/>
  <c r="F10" i="22"/>
  <c r="E10" i="22"/>
  <c r="D10" i="22"/>
  <c r="C10" i="22"/>
  <c r="B10" i="22"/>
  <c r="K9" i="22"/>
  <c r="J9" i="22"/>
  <c r="I9" i="22"/>
  <c r="H9" i="22"/>
  <c r="G9" i="22"/>
  <c r="F9" i="22"/>
  <c r="E9" i="22"/>
  <c r="D9" i="22"/>
  <c r="C9" i="22"/>
  <c r="B9" i="22"/>
  <c r="K8" i="22"/>
  <c r="J8" i="22"/>
  <c r="I8" i="22"/>
  <c r="H8" i="22"/>
  <c r="G8" i="22"/>
  <c r="F8" i="22"/>
  <c r="E8" i="22"/>
  <c r="D8" i="22"/>
  <c r="C8" i="22"/>
  <c r="B8" i="22"/>
  <c r="K7" i="22"/>
  <c r="J7" i="22"/>
  <c r="I7" i="22"/>
  <c r="H7" i="22"/>
  <c r="G7" i="22"/>
  <c r="F7" i="22"/>
  <c r="E7" i="22"/>
  <c r="D7" i="22"/>
  <c r="C7" i="22"/>
  <c r="B7" i="22"/>
  <c r="K6" i="22"/>
  <c r="J6" i="22"/>
  <c r="I6" i="22"/>
  <c r="H6" i="22"/>
  <c r="G6" i="22"/>
  <c r="F6" i="22"/>
  <c r="E6" i="22"/>
  <c r="D6" i="22"/>
  <c r="C6" i="22"/>
  <c r="B6" i="22"/>
  <c r="K5" i="22"/>
  <c r="J5" i="22"/>
  <c r="I5" i="22"/>
  <c r="H5" i="22"/>
  <c r="G5" i="22"/>
  <c r="F5" i="22"/>
  <c r="E5" i="22"/>
  <c r="D5" i="22"/>
  <c r="C5" i="22"/>
  <c r="B5" i="22"/>
  <c r="A366" i="20"/>
  <c r="A365" i="20"/>
  <c r="A364" i="20"/>
  <c r="Q341" i="20"/>
  <c r="P341" i="20"/>
  <c r="O341" i="20"/>
  <c r="N341" i="20"/>
  <c r="M341" i="20"/>
  <c r="L341" i="20"/>
  <c r="K341" i="20"/>
  <c r="H341" i="20"/>
  <c r="G341" i="20"/>
  <c r="F341" i="20"/>
  <c r="E341" i="20"/>
  <c r="D341" i="20"/>
  <c r="C341" i="20"/>
  <c r="B341" i="20"/>
  <c r="Q337" i="20"/>
  <c r="P337" i="20"/>
  <c r="O337" i="20"/>
  <c r="N337" i="20"/>
  <c r="M337" i="20"/>
  <c r="L337" i="20"/>
  <c r="K337" i="20"/>
  <c r="H337" i="20"/>
  <c r="G337" i="20"/>
  <c r="F337" i="20"/>
  <c r="E337" i="20"/>
  <c r="D337" i="20"/>
  <c r="C337" i="20"/>
  <c r="B337" i="20"/>
  <c r="Q336" i="20"/>
  <c r="P336" i="20"/>
  <c r="O336" i="20"/>
  <c r="N336" i="20"/>
  <c r="M336" i="20"/>
  <c r="L336" i="20"/>
  <c r="K336" i="20"/>
  <c r="H336" i="20"/>
  <c r="G336" i="20"/>
  <c r="F336" i="20"/>
  <c r="E336" i="20"/>
  <c r="D336" i="20"/>
  <c r="C336" i="20"/>
  <c r="B336" i="20"/>
  <c r="Q335" i="20"/>
  <c r="P335" i="20"/>
  <c r="O335" i="20"/>
  <c r="N335" i="20"/>
  <c r="M335" i="20"/>
  <c r="L335" i="20"/>
  <c r="K335" i="20"/>
  <c r="H335" i="20"/>
  <c r="G335" i="20"/>
  <c r="F335" i="20"/>
  <c r="E335" i="20"/>
  <c r="D335" i="20"/>
  <c r="C335" i="20"/>
  <c r="B335" i="20"/>
  <c r="Q334" i="20"/>
  <c r="P334" i="20"/>
  <c r="O334" i="20"/>
  <c r="N334" i="20"/>
  <c r="M334" i="20"/>
  <c r="L334" i="20"/>
  <c r="K334" i="20"/>
  <c r="H334" i="20"/>
  <c r="G334" i="20"/>
  <c r="F334" i="20"/>
  <c r="E334" i="20"/>
  <c r="D334" i="20"/>
  <c r="C334" i="20"/>
  <c r="B334" i="20"/>
  <c r="Q333" i="20"/>
  <c r="P333" i="20"/>
  <c r="O333" i="20"/>
  <c r="N333" i="20"/>
  <c r="M333" i="20"/>
  <c r="L333" i="20"/>
  <c r="K333" i="20"/>
  <c r="H333" i="20"/>
  <c r="G333" i="20"/>
  <c r="F333" i="20"/>
  <c r="E333" i="20"/>
  <c r="D333" i="20"/>
  <c r="C333" i="20"/>
  <c r="B333" i="20"/>
  <c r="Q332" i="20"/>
  <c r="P332" i="20"/>
  <c r="O332" i="20"/>
  <c r="N332" i="20"/>
  <c r="M332" i="20"/>
  <c r="L332" i="20"/>
  <c r="K332" i="20"/>
  <c r="H332" i="20"/>
  <c r="G332" i="20"/>
  <c r="F332" i="20"/>
  <c r="E332" i="20"/>
  <c r="D332" i="20"/>
  <c r="C332" i="20"/>
  <c r="B332" i="20"/>
  <c r="Q331" i="20"/>
  <c r="P331" i="20"/>
  <c r="O331" i="20"/>
  <c r="N331" i="20"/>
  <c r="M331" i="20"/>
  <c r="L331" i="20"/>
  <c r="K331" i="20"/>
  <c r="H331" i="20"/>
  <c r="G331" i="20"/>
  <c r="F331" i="20"/>
  <c r="E331" i="20"/>
  <c r="D331" i="20"/>
  <c r="C331" i="20"/>
  <c r="B331" i="20"/>
  <c r="Q329" i="20"/>
  <c r="P329" i="20"/>
  <c r="O329" i="20"/>
  <c r="N329" i="20"/>
  <c r="M329" i="20"/>
  <c r="L329" i="20"/>
  <c r="K329" i="20"/>
  <c r="H329" i="20"/>
  <c r="G329" i="20"/>
  <c r="F329" i="20"/>
  <c r="E329" i="20"/>
  <c r="D329" i="20"/>
  <c r="C329" i="20"/>
  <c r="B329" i="20"/>
  <c r="P328" i="20"/>
  <c r="O328" i="20"/>
  <c r="N328" i="20"/>
  <c r="G328" i="20"/>
  <c r="F328" i="20"/>
  <c r="E328" i="20"/>
  <c r="P327" i="20"/>
  <c r="O327" i="20"/>
  <c r="N327" i="20"/>
  <c r="M327" i="20"/>
  <c r="G327" i="20"/>
  <c r="F327" i="20"/>
  <c r="E327" i="20"/>
  <c r="D327" i="20"/>
  <c r="P326" i="20"/>
  <c r="O326" i="20"/>
  <c r="N326" i="20"/>
  <c r="M326" i="20"/>
  <c r="G326" i="20"/>
  <c r="F326" i="20"/>
  <c r="E326" i="20"/>
  <c r="D326" i="20"/>
  <c r="C326" i="20"/>
  <c r="P325" i="20"/>
  <c r="N325" i="20"/>
  <c r="M325" i="20"/>
  <c r="L325" i="20"/>
  <c r="G325" i="20"/>
  <c r="E325" i="20"/>
  <c r="D325" i="20"/>
  <c r="C325" i="20"/>
  <c r="Q322" i="20"/>
  <c r="P322" i="20"/>
  <c r="O322" i="20"/>
  <c r="N322" i="20"/>
  <c r="M322" i="20"/>
  <c r="L322" i="20"/>
  <c r="K322" i="20"/>
  <c r="H322" i="20"/>
  <c r="G322" i="20"/>
  <c r="F322" i="20"/>
  <c r="E322" i="20"/>
  <c r="D322" i="20"/>
  <c r="C322" i="20"/>
  <c r="B322" i="20"/>
  <c r="Q318" i="20"/>
  <c r="P318" i="20"/>
  <c r="O318" i="20"/>
  <c r="N318" i="20"/>
  <c r="M318" i="20"/>
  <c r="L318" i="20"/>
  <c r="K318" i="20"/>
  <c r="H318" i="20"/>
  <c r="G318" i="20"/>
  <c r="F318" i="20"/>
  <c r="E318" i="20"/>
  <c r="D318" i="20"/>
  <c r="C318" i="20"/>
  <c r="B318" i="20"/>
  <c r="Q317" i="20"/>
  <c r="P317" i="20"/>
  <c r="O317" i="20"/>
  <c r="N317" i="20"/>
  <c r="M317" i="20"/>
  <c r="L317" i="20"/>
  <c r="K317" i="20"/>
  <c r="H317" i="20"/>
  <c r="G317" i="20"/>
  <c r="F317" i="20"/>
  <c r="E317" i="20"/>
  <c r="D317" i="20"/>
  <c r="C317" i="20"/>
  <c r="B317" i="20"/>
  <c r="Q316" i="20"/>
  <c r="P316" i="20"/>
  <c r="O316" i="20"/>
  <c r="N316" i="20"/>
  <c r="M316" i="20"/>
  <c r="L316" i="20"/>
  <c r="K316" i="20"/>
  <c r="H316" i="20"/>
  <c r="G316" i="20"/>
  <c r="F316" i="20"/>
  <c r="E316" i="20"/>
  <c r="D316" i="20"/>
  <c r="C316" i="20"/>
  <c r="B316" i="20"/>
  <c r="Q315" i="20"/>
  <c r="P315" i="20"/>
  <c r="O315" i="20"/>
  <c r="N315" i="20"/>
  <c r="M315" i="20"/>
  <c r="L315" i="20"/>
  <c r="K315" i="20"/>
  <c r="H315" i="20"/>
  <c r="G315" i="20"/>
  <c r="F315" i="20"/>
  <c r="E315" i="20"/>
  <c r="D315" i="20"/>
  <c r="C315" i="20"/>
  <c r="B315" i="20"/>
  <c r="Q314" i="20"/>
  <c r="P314" i="20"/>
  <c r="O314" i="20"/>
  <c r="N314" i="20"/>
  <c r="M314" i="20"/>
  <c r="L314" i="20"/>
  <c r="K314" i="20"/>
  <c r="H314" i="20"/>
  <c r="G314" i="20"/>
  <c r="F314" i="20"/>
  <c r="E314" i="20"/>
  <c r="D314" i="20"/>
  <c r="C314" i="20"/>
  <c r="B314" i="20"/>
  <c r="Q313" i="20"/>
  <c r="P313" i="20"/>
  <c r="O313" i="20"/>
  <c r="N313" i="20"/>
  <c r="M313" i="20"/>
  <c r="L313" i="20"/>
  <c r="K313" i="20"/>
  <c r="H313" i="20"/>
  <c r="G313" i="20"/>
  <c r="F313" i="20"/>
  <c r="E313" i="20"/>
  <c r="D313" i="20"/>
  <c r="C313" i="20"/>
  <c r="B313" i="20"/>
  <c r="Q312" i="20"/>
  <c r="P312" i="20"/>
  <c r="O312" i="20"/>
  <c r="N312" i="20"/>
  <c r="M312" i="20"/>
  <c r="L312" i="20"/>
  <c r="K312" i="20"/>
  <c r="H312" i="20"/>
  <c r="G312" i="20"/>
  <c r="F312" i="20"/>
  <c r="E312" i="20"/>
  <c r="D312" i="20"/>
  <c r="C312" i="20"/>
  <c r="B312" i="20"/>
  <c r="Q310" i="20"/>
  <c r="K310" i="20"/>
  <c r="H310" i="20"/>
  <c r="B310" i="20"/>
  <c r="P309" i="20"/>
  <c r="O309" i="20"/>
  <c r="N309" i="20"/>
  <c r="G309" i="20"/>
  <c r="F309" i="20"/>
  <c r="E309" i="20"/>
  <c r="Q308" i="20"/>
  <c r="P308" i="20"/>
  <c r="O308" i="20"/>
  <c r="N308" i="20"/>
  <c r="M308" i="20"/>
  <c r="H308" i="20"/>
  <c r="G308" i="20"/>
  <c r="F308" i="20"/>
  <c r="E308" i="20"/>
  <c r="D308" i="20"/>
  <c r="Q307" i="20"/>
  <c r="P307" i="20"/>
  <c r="O307" i="20"/>
  <c r="N307" i="20"/>
  <c r="M307" i="20"/>
  <c r="L307" i="20"/>
  <c r="G307" i="20"/>
  <c r="F307" i="20"/>
  <c r="E307" i="20"/>
  <c r="D307" i="20"/>
  <c r="C307" i="20"/>
  <c r="Q306" i="20"/>
  <c r="P306" i="20"/>
  <c r="O306" i="20"/>
  <c r="N306" i="20"/>
  <c r="M306" i="20"/>
  <c r="L306" i="20"/>
  <c r="H306" i="20"/>
  <c r="G306" i="20"/>
  <c r="F306" i="20"/>
  <c r="E306" i="20"/>
  <c r="D306" i="20"/>
  <c r="C306" i="20"/>
  <c r="Q300" i="20"/>
  <c r="P300" i="20"/>
  <c r="O300" i="20"/>
  <c r="N300" i="20"/>
  <c r="M300" i="20"/>
  <c r="L300" i="20"/>
  <c r="K300" i="20"/>
  <c r="H300" i="20"/>
  <c r="G300" i="20"/>
  <c r="F300" i="20"/>
  <c r="E300" i="20"/>
  <c r="D300" i="20"/>
  <c r="C300" i="20"/>
  <c r="B300" i="20"/>
  <c r="Q296" i="20"/>
  <c r="P296" i="20"/>
  <c r="O296" i="20"/>
  <c r="N296" i="20"/>
  <c r="M296" i="20"/>
  <c r="L296" i="20"/>
  <c r="K296" i="20"/>
  <c r="H296" i="20"/>
  <c r="G296" i="20"/>
  <c r="F296" i="20"/>
  <c r="E296" i="20"/>
  <c r="D296" i="20"/>
  <c r="C296" i="20"/>
  <c r="B296" i="20"/>
  <c r="Q295" i="20"/>
  <c r="P295" i="20"/>
  <c r="O295" i="20"/>
  <c r="N295" i="20"/>
  <c r="M295" i="20"/>
  <c r="L295" i="20"/>
  <c r="K295" i="20"/>
  <c r="H295" i="20"/>
  <c r="G295" i="20"/>
  <c r="F295" i="20"/>
  <c r="E295" i="20"/>
  <c r="D295" i="20"/>
  <c r="C295" i="20"/>
  <c r="B295" i="20"/>
  <c r="Q294" i="20"/>
  <c r="P294" i="20"/>
  <c r="O294" i="20"/>
  <c r="N294" i="20"/>
  <c r="M294" i="20"/>
  <c r="L294" i="20"/>
  <c r="K294" i="20"/>
  <c r="H294" i="20"/>
  <c r="G294" i="20"/>
  <c r="F294" i="20"/>
  <c r="E294" i="20"/>
  <c r="D294" i="20"/>
  <c r="C294" i="20"/>
  <c r="B294" i="20"/>
  <c r="Q293" i="20"/>
  <c r="P293" i="20"/>
  <c r="O293" i="20"/>
  <c r="N293" i="20"/>
  <c r="M293" i="20"/>
  <c r="L293" i="20"/>
  <c r="K293" i="20"/>
  <c r="H293" i="20"/>
  <c r="G293" i="20"/>
  <c r="F293" i="20"/>
  <c r="E293" i="20"/>
  <c r="D293" i="20"/>
  <c r="C293" i="20"/>
  <c r="B293" i="20"/>
  <c r="Q292" i="20"/>
  <c r="P292" i="20"/>
  <c r="O292" i="20"/>
  <c r="N292" i="20"/>
  <c r="M292" i="20"/>
  <c r="L292" i="20"/>
  <c r="K292" i="20"/>
  <c r="H292" i="20"/>
  <c r="G292" i="20"/>
  <c r="F292" i="20"/>
  <c r="E292" i="20"/>
  <c r="D292" i="20"/>
  <c r="C292" i="20"/>
  <c r="B292" i="20"/>
  <c r="Q291" i="20"/>
  <c r="P291" i="20"/>
  <c r="O291" i="20"/>
  <c r="N291" i="20"/>
  <c r="M291" i="20"/>
  <c r="L291" i="20"/>
  <c r="K291" i="20"/>
  <c r="H291" i="20"/>
  <c r="G291" i="20"/>
  <c r="F291" i="20"/>
  <c r="E291" i="20"/>
  <c r="D291" i="20"/>
  <c r="C291" i="20"/>
  <c r="B291" i="20"/>
  <c r="Q290" i="20"/>
  <c r="P290" i="20"/>
  <c r="O290" i="20"/>
  <c r="N290" i="20"/>
  <c r="M290" i="20"/>
  <c r="L290" i="20"/>
  <c r="K290" i="20"/>
  <c r="H290" i="20"/>
  <c r="G290" i="20"/>
  <c r="F290" i="20"/>
  <c r="E290" i="20"/>
  <c r="D290" i="20"/>
  <c r="C290" i="20"/>
  <c r="B290" i="20"/>
  <c r="Q288" i="20"/>
  <c r="P288" i="20"/>
  <c r="O288" i="20"/>
  <c r="N288" i="20"/>
  <c r="M288" i="20"/>
  <c r="L288" i="20"/>
  <c r="K288" i="20"/>
  <c r="H288" i="20"/>
  <c r="G288" i="20"/>
  <c r="F288" i="20"/>
  <c r="E288" i="20"/>
  <c r="D288" i="20"/>
  <c r="C288" i="20"/>
  <c r="B288" i="20"/>
  <c r="P287" i="20"/>
  <c r="O287" i="20"/>
  <c r="N287" i="20"/>
  <c r="G287" i="20"/>
  <c r="F287" i="20"/>
  <c r="E287" i="20"/>
  <c r="Q286" i="20"/>
  <c r="P286" i="20"/>
  <c r="O286" i="20"/>
  <c r="N286" i="20"/>
  <c r="H286" i="20"/>
  <c r="G286" i="20"/>
  <c r="F286" i="20"/>
  <c r="E286" i="20"/>
  <c r="P285" i="20"/>
  <c r="O285" i="20"/>
  <c r="N285" i="20"/>
  <c r="M285" i="20"/>
  <c r="G285" i="20"/>
  <c r="F285" i="20"/>
  <c r="E285" i="20"/>
  <c r="D285" i="20"/>
  <c r="C285" i="20"/>
  <c r="P284" i="20"/>
  <c r="O284" i="20"/>
  <c r="N284" i="20"/>
  <c r="M284" i="20"/>
  <c r="L284" i="20"/>
  <c r="G284" i="20"/>
  <c r="F284" i="20"/>
  <c r="E284" i="20"/>
  <c r="D284" i="20"/>
  <c r="C284" i="20"/>
  <c r="Q281" i="20"/>
  <c r="P281" i="20"/>
  <c r="O281" i="20"/>
  <c r="N281" i="20"/>
  <c r="M281" i="20"/>
  <c r="L281" i="20"/>
  <c r="K281" i="20"/>
  <c r="H281" i="20"/>
  <c r="G281" i="20"/>
  <c r="F281" i="20"/>
  <c r="E281" i="20"/>
  <c r="D281" i="20"/>
  <c r="C281" i="20"/>
  <c r="B281" i="20"/>
  <c r="Q277" i="20"/>
  <c r="P277" i="20"/>
  <c r="O277" i="20"/>
  <c r="N277" i="20"/>
  <c r="M277" i="20"/>
  <c r="L277" i="20"/>
  <c r="K277" i="20"/>
  <c r="H277" i="20"/>
  <c r="G277" i="20"/>
  <c r="F277" i="20"/>
  <c r="E277" i="20"/>
  <c r="D277" i="20"/>
  <c r="C277" i="20"/>
  <c r="B277" i="20"/>
  <c r="Q276" i="20"/>
  <c r="P276" i="20"/>
  <c r="O276" i="20"/>
  <c r="N276" i="20"/>
  <c r="M276" i="20"/>
  <c r="L276" i="20"/>
  <c r="K276" i="20"/>
  <c r="H276" i="20"/>
  <c r="G276" i="20"/>
  <c r="F276" i="20"/>
  <c r="E276" i="20"/>
  <c r="D276" i="20"/>
  <c r="C276" i="20"/>
  <c r="B276" i="20"/>
  <c r="Q275" i="20"/>
  <c r="P275" i="20"/>
  <c r="O275" i="20"/>
  <c r="N275" i="20"/>
  <c r="M275" i="20"/>
  <c r="L275" i="20"/>
  <c r="K275" i="20"/>
  <c r="H275" i="20"/>
  <c r="G275" i="20"/>
  <c r="F275" i="20"/>
  <c r="E275" i="20"/>
  <c r="D275" i="20"/>
  <c r="C275" i="20"/>
  <c r="B275" i="20"/>
  <c r="Q274" i="20"/>
  <c r="P274" i="20"/>
  <c r="O274" i="20"/>
  <c r="N274" i="20"/>
  <c r="M274" i="20"/>
  <c r="L274" i="20"/>
  <c r="K274" i="20"/>
  <c r="H274" i="20"/>
  <c r="G274" i="20"/>
  <c r="F274" i="20"/>
  <c r="E274" i="20"/>
  <c r="D274" i="20"/>
  <c r="C274" i="20"/>
  <c r="B274" i="20"/>
  <c r="Q273" i="20"/>
  <c r="P273" i="20"/>
  <c r="O273" i="20"/>
  <c r="N273" i="20"/>
  <c r="M273" i="20"/>
  <c r="L273" i="20"/>
  <c r="K273" i="20"/>
  <c r="H273" i="20"/>
  <c r="G273" i="20"/>
  <c r="F273" i="20"/>
  <c r="E273" i="20"/>
  <c r="D273" i="20"/>
  <c r="C273" i="20"/>
  <c r="B273" i="20"/>
  <c r="Q272" i="20"/>
  <c r="P272" i="20"/>
  <c r="O272" i="20"/>
  <c r="N272" i="20"/>
  <c r="M272" i="20"/>
  <c r="L272" i="20"/>
  <c r="K272" i="20"/>
  <c r="H272" i="20"/>
  <c r="G272" i="20"/>
  <c r="F272" i="20"/>
  <c r="E272" i="20"/>
  <c r="D272" i="20"/>
  <c r="C272" i="20"/>
  <c r="B272" i="20"/>
  <c r="Q271" i="20"/>
  <c r="P271" i="20"/>
  <c r="O271" i="20"/>
  <c r="N271" i="20"/>
  <c r="M271" i="20"/>
  <c r="L271" i="20"/>
  <c r="K271" i="20"/>
  <c r="H271" i="20"/>
  <c r="G271" i="20"/>
  <c r="F271" i="20"/>
  <c r="E271" i="20"/>
  <c r="D271" i="20"/>
  <c r="C271" i="20"/>
  <c r="B271" i="20"/>
  <c r="Q269" i="20"/>
  <c r="P269" i="20"/>
  <c r="O269" i="20"/>
  <c r="N269" i="20"/>
  <c r="M269" i="20"/>
  <c r="L269" i="20"/>
  <c r="K269" i="20"/>
  <c r="H269" i="20"/>
  <c r="G269" i="20"/>
  <c r="F269" i="20"/>
  <c r="E269" i="20"/>
  <c r="D269" i="20"/>
  <c r="C269" i="20"/>
  <c r="B269" i="20"/>
  <c r="P268" i="20"/>
  <c r="O268" i="20"/>
  <c r="N268" i="20"/>
  <c r="G268" i="20"/>
  <c r="F268" i="20"/>
  <c r="E268" i="20"/>
  <c r="P267" i="20"/>
  <c r="O267" i="20"/>
  <c r="N267" i="20"/>
  <c r="L267" i="20"/>
  <c r="G267" i="20"/>
  <c r="F267" i="20"/>
  <c r="E267" i="20"/>
  <c r="C267" i="20"/>
  <c r="P266" i="20"/>
  <c r="O266" i="20"/>
  <c r="M266" i="20"/>
  <c r="G266" i="20"/>
  <c r="F266" i="20"/>
  <c r="D266" i="20"/>
  <c r="C266" i="20"/>
  <c r="Q265" i="20"/>
  <c r="P265" i="20"/>
  <c r="O265" i="20"/>
  <c r="N265" i="20"/>
  <c r="M265" i="20"/>
  <c r="L265" i="20"/>
  <c r="H265" i="20"/>
  <c r="G265" i="20"/>
  <c r="E265" i="20"/>
  <c r="D265" i="20"/>
  <c r="C265" i="20"/>
  <c r="Q242" i="20"/>
  <c r="Q363" i="20" s="1"/>
  <c r="P242" i="20"/>
  <c r="P363" i="20" s="1"/>
  <c r="O242" i="20"/>
  <c r="O363" i="20" s="1"/>
  <c r="N242" i="20"/>
  <c r="N363" i="20" s="1"/>
  <c r="M242" i="20"/>
  <c r="M363" i="20" s="1"/>
  <c r="L242" i="20"/>
  <c r="L363" i="20" s="1"/>
  <c r="K242" i="20"/>
  <c r="K363" i="20" s="1"/>
  <c r="H242" i="20"/>
  <c r="H363" i="20" s="1"/>
  <c r="G242" i="20"/>
  <c r="G363" i="20" s="1"/>
  <c r="F242" i="20"/>
  <c r="F363" i="20" s="1"/>
  <c r="E242" i="20"/>
  <c r="E363" i="20" s="1"/>
  <c r="D242" i="20"/>
  <c r="D363" i="20" s="1"/>
  <c r="C242" i="20"/>
  <c r="C363" i="20" s="1"/>
  <c r="B242" i="20"/>
  <c r="B363" i="20" s="1"/>
  <c r="Q238" i="20"/>
  <c r="Q359" i="20" s="1"/>
  <c r="P238" i="20"/>
  <c r="P359" i="20" s="1"/>
  <c r="O238" i="20"/>
  <c r="O359" i="20" s="1"/>
  <c r="N238" i="20"/>
  <c r="N359" i="20" s="1"/>
  <c r="M238" i="20"/>
  <c r="M359" i="20" s="1"/>
  <c r="L238" i="20"/>
  <c r="L359" i="20" s="1"/>
  <c r="K238" i="20"/>
  <c r="K359" i="20" s="1"/>
  <c r="H238" i="20"/>
  <c r="H359" i="20" s="1"/>
  <c r="G238" i="20"/>
  <c r="G359" i="20" s="1"/>
  <c r="F238" i="20"/>
  <c r="F359" i="20" s="1"/>
  <c r="E238" i="20"/>
  <c r="E359" i="20" s="1"/>
  <c r="D238" i="20"/>
  <c r="D359" i="20" s="1"/>
  <c r="C238" i="20"/>
  <c r="C359" i="20" s="1"/>
  <c r="B238" i="20"/>
  <c r="B359" i="20" s="1"/>
  <c r="Q237" i="20"/>
  <c r="Q358" i="20" s="1"/>
  <c r="P237" i="20"/>
  <c r="P358" i="20" s="1"/>
  <c r="O237" i="20"/>
  <c r="O358" i="20" s="1"/>
  <c r="N237" i="20"/>
  <c r="N358" i="20" s="1"/>
  <c r="M237" i="20"/>
  <c r="M358" i="20" s="1"/>
  <c r="L237" i="20"/>
  <c r="L358" i="20" s="1"/>
  <c r="K237" i="20"/>
  <c r="K358" i="20" s="1"/>
  <c r="H237" i="20"/>
  <c r="H358" i="20" s="1"/>
  <c r="G237" i="20"/>
  <c r="G358" i="20" s="1"/>
  <c r="F237" i="20"/>
  <c r="F358" i="20" s="1"/>
  <c r="E237" i="20"/>
  <c r="E358" i="20" s="1"/>
  <c r="D237" i="20"/>
  <c r="D358" i="20" s="1"/>
  <c r="C237" i="20"/>
  <c r="C358" i="20" s="1"/>
  <c r="B237" i="20"/>
  <c r="B358" i="20" s="1"/>
  <c r="Q236" i="20"/>
  <c r="Q357" i="20" s="1"/>
  <c r="P236" i="20"/>
  <c r="P357" i="20" s="1"/>
  <c r="O236" i="20"/>
  <c r="O357" i="20" s="1"/>
  <c r="N236" i="20"/>
  <c r="N357" i="20" s="1"/>
  <c r="M236" i="20"/>
  <c r="M357" i="20" s="1"/>
  <c r="L236" i="20"/>
  <c r="L357" i="20" s="1"/>
  <c r="K236" i="20"/>
  <c r="K357" i="20" s="1"/>
  <c r="H236" i="20"/>
  <c r="H357" i="20" s="1"/>
  <c r="G236" i="20"/>
  <c r="G357" i="20" s="1"/>
  <c r="F236" i="20"/>
  <c r="F357" i="20" s="1"/>
  <c r="E236" i="20"/>
  <c r="E357" i="20" s="1"/>
  <c r="D236" i="20"/>
  <c r="D357" i="20" s="1"/>
  <c r="C236" i="20"/>
  <c r="C357" i="20" s="1"/>
  <c r="B236" i="20"/>
  <c r="B357" i="20" s="1"/>
  <c r="Q235" i="20"/>
  <c r="Q356" i="20" s="1"/>
  <c r="P235" i="20"/>
  <c r="P356" i="20" s="1"/>
  <c r="O235" i="20"/>
  <c r="O356" i="20" s="1"/>
  <c r="N235" i="20"/>
  <c r="N356" i="20" s="1"/>
  <c r="M235" i="20"/>
  <c r="M356" i="20" s="1"/>
  <c r="L235" i="20"/>
  <c r="L356" i="20" s="1"/>
  <c r="K235" i="20"/>
  <c r="K356" i="20" s="1"/>
  <c r="H235" i="20"/>
  <c r="H356" i="20" s="1"/>
  <c r="G235" i="20"/>
  <c r="G356" i="20" s="1"/>
  <c r="F235" i="20"/>
  <c r="F356" i="20" s="1"/>
  <c r="E235" i="20"/>
  <c r="E356" i="20" s="1"/>
  <c r="D235" i="20"/>
  <c r="D356" i="20" s="1"/>
  <c r="C235" i="20"/>
  <c r="C356" i="20" s="1"/>
  <c r="B235" i="20"/>
  <c r="B356" i="20" s="1"/>
  <c r="Q234" i="20"/>
  <c r="Q355" i="20" s="1"/>
  <c r="P234" i="20"/>
  <c r="P355" i="20" s="1"/>
  <c r="O234" i="20"/>
  <c r="O355" i="20" s="1"/>
  <c r="N234" i="20"/>
  <c r="N355" i="20" s="1"/>
  <c r="M234" i="20"/>
  <c r="M355" i="20" s="1"/>
  <c r="L234" i="20"/>
  <c r="L355" i="20" s="1"/>
  <c r="K234" i="20"/>
  <c r="K355" i="20" s="1"/>
  <c r="H234" i="20"/>
  <c r="H355" i="20" s="1"/>
  <c r="G234" i="20"/>
  <c r="G355" i="20" s="1"/>
  <c r="F234" i="20"/>
  <c r="F355" i="20" s="1"/>
  <c r="E234" i="20"/>
  <c r="E355" i="20" s="1"/>
  <c r="D234" i="20"/>
  <c r="D355" i="20" s="1"/>
  <c r="C234" i="20"/>
  <c r="C355" i="20" s="1"/>
  <c r="B234" i="20"/>
  <c r="B355" i="20" s="1"/>
  <c r="Q233" i="20"/>
  <c r="Q354" i="20" s="1"/>
  <c r="P233" i="20"/>
  <c r="P354" i="20" s="1"/>
  <c r="O233" i="20"/>
  <c r="O354" i="20" s="1"/>
  <c r="N233" i="20"/>
  <c r="N354" i="20" s="1"/>
  <c r="M233" i="20"/>
  <c r="M354" i="20" s="1"/>
  <c r="L233" i="20"/>
  <c r="L354" i="20" s="1"/>
  <c r="K233" i="20"/>
  <c r="K354" i="20" s="1"/>
  <c r="H233" i="20"/>
  <c r="H354" i="20" s="1"/>
  <c r="G233" i="20"/>
  <c r="G354" i="20" s="1"/>
  <c r="F233" i="20"/>
  <c r="F354" i="20" s="1"/>
  <c r="E233" i="20"/>
  <c r="E354" i="20" s="1"/>
  <c r="D233" i="20"/>
  <c r="D354" i="20" s="1"/>
  <c r="C233" i="20"/>
  <c r="C354" i="20" s="1"/>
  <c r="B233" i="20"/>
  <c r="B354" i="20" s="1"/>
  <c r="Q232" i="20"/>
  <c r="Q353" i="20" s="1"/>
  <c r="P232" i="20"/>
  <c r="P353" i="20" s="1"/>
  <c r="O232" i="20"/>
  <c r="O353" i="20" s="1"/>
  <c r="N232" i="20"/>
  <c r="N353" i="20" s="1"/>
  <c r="M232" i="20"/>
  <c r="M353" i="20" s="1"/>
  <c r="L232" i="20"/>
  <c r="L353" i="20" s="1"/>
  <c r="K232" i="20"/>
  <c r="K353" i="20" s="1"/>
  <c r="H232" i="20"/>
  <c r="H353" i="20" s="1"/>
  <c r="G232" i="20"/>
  <c r="G353" i="20" s="1"/>
  <c r="F232" i="20"/>
  <c r="F353" i="20" s="1"/>
  <c r="E232" i="20"/>
  <c r="E353" i="20" s="1"/>
  <c r="D232" i="20"/>
  <c r="D353" i="20" s="1"/>
  <c r="C232" i="20"/>
  <c r="C353" i="20" s="1"/>
  <c r="B232" i="20"/>
  <c r="B353" i="20" s="1"/>
  <c r="Q231" i="20"/>
  <c r="P231" i="20"/>
  <c r="O231" i="20"/>
  <c r="N231" i="20"/>
  <c r="M231" i="20"/>
  <c r="L231" i="20"/>
  <c r="K231" i="20"/>
  <c r="H231" i="20"/>
  <c r="G231" i="20"/>
  <c r="F231" i="20"/>
  <c r="E231" i="20"/>
  <c r="D231" i="20"/>
  <c r="C231" i="20"/>
  <c r="B231" i="20"/>
  <c r="Q230" i="20"/>
  <c r="P230" i="20"/>
  <c r="O230" i="20"/>
  <c r="N230" i="20"/>
  <c r="M230" i="20"/>
  <c r="L230" i="20"/>
  <c r="K230" i="20"/>
  <c r="H230" i="20"/>
  <c r="G230" i="20"/>
  <c r="F230" i="20"/>
  <c r="E230" i="20"/>
  <c r="D230" i="20"/>
  <c r="C230" i="20"/>
  <c r="B230" i="20"/>
  <c r="Q229" i="20"/>
  <c r="P229" i="20"/>
  <c r="O229" i="20"/>
  <c r="N229" i="20"/>
  <c r="M229" i="20"/>
  <c r="L229" i="20"/>
  <c r="K229" i="20"/>
  <c r="H229" i="20"/>
  <c r="G229" i="20"/>
  <c r="F229" i="20"/>
  <c r="E229" i="20"/>
  <c r="D229" i="20"/>
  <c r="C229" i="20"/>
  <c r="B229" i="20"/>
  <c r="Q228" i="20"/>
  <c r="P228" i="20"/>
  <c r="O228" i="20"/>
  <c r="N228" i="20"/>
  <c r="M228" i="20"/>
  <c r="L228" i="20"/>
  <c r="K228" i="20"/>
  <c r="H228" i="20"/>
  <c r="G228" i="20"/>
  <c r="F228" i="20"/>
  <c r="E228" i="20"/>
  <c r="D228" i="20"/>
  <c r="C228" i="20"/>
  <c r="B228" i="20"/>
  <c r="Q227" i="20"/>
  <c r="P227" i="20"/>
  <c r="P352" i="20" s="1"/>
  <c r="O227" i="20"/>
  <c r="N227" i="20"/>
  <c r="N352" i="20" s="1"/>
  <c r="M227" i="20"/>
  <c r="M352" i="20" s="1"/>
  <c r="L227" i="20"/>
  <c r="L352" i="20" s="1"/>
  <c r="K227" i="20"/>
  <c r="K352" i="20" s="1"/>
  <c r="H227" i="20"/>
  <c r="H352" i="20" s="1"/>
  <c r="G227" i="20"/>
  <c r="F227" i="20"/>
  <c r="F352" i="20" s="1"/>
  <c r="E227" i="20"/>
  <c r="D227" i="20"/>
  <c r="D352" i="20" s="1"/>
  <c r="C227" i="20"/>
  <c r="C352" i="20" s="1"/>
  <c r="B227" i="20"/>
  <c r="B352" i="20" s="1"/>
  <c r="Q226" i="20"/>
  <c r="P226" i="20"/>
  <c r="O226" i="20"/>
  <c r="N226" i="20"/>
  <c r="M226" i="20"/>
  <c r="L226" i="20"/>
  <c r="K226" i="20"/>
  <c r="H226" i="20"/>
  <c r="G226" i="20"/>
  <c r="F226" i="20"/>
  <c r="E226" i="20"/>
  <c r="D226" i="20"/>
  <c r="C226" i="20"/>
  <c r="B226" i="20"/>
  <c r="Q225" i="20"/>
  <c r="P225" i="20"/>
  <c r="O225" i="20"/>
  <c r="N225" i="20"/>
  <c r="M225" i="20"/>
  <c r="L225" i="20"/>
  <c r="K225" i="20"/>
  <c r="H225" i="20"/>
  <c r="G225" i="20"/>
  <c r="F225" i="20"/>
  <c r="E225" i="20"/>
  <c r="D225" i="20"/>
  <c r="C225" i="20"/>
  <c r="B225" i="20"/>
  <c r="Q224" i="20"/>
  <c r="P224" i="20"/>
  <c r="O224" i="20"/>
  <c r="N224" i="20"/>
  <c r="M224" i="20"/>
  <c r="L224" i="20"/>
  <c r="K224" i="20"/>
  <c r="H224" i="20"/>
  <c r="G224" i="20"/>
  <c r="F224" i="20"/>
  <c r="E224" i="20"/>
  <c r="D224" i="20"/>
  <c r="C224" i="20"/>
  <c r="B224" i="20"/>
  <c r="Q223" i="20"/>
  <c r="P223" i="20"/>
  <c r="O223" i="20"/>
  <c r="N223" i="20"/>
  <c r="M223" i="20"/>
  <c r="L223" i="20"/>
  <c r="K223" i="20"/>
  <c r="H223" i="20"/>
  <c r="G223" i="20"/>
  <c r="F223" i="20"/>
  <c r="E223" i="20"/>
  <c r="D223" i="20"/>
  <c r="C223" i="20"/>
  <c r="B223" i="20"/>
  <c r="Q222" i="20"/>
  <c r="P222" i="20"/>
  <c r="O222" i="20"/>
  <c r="N222" i="20"/>
  <c r="M222" i="20"/>
  <c r="L222" i="20"/>
  <c r="K222" i="20"/>
  <c r="K351" i="20" s="1"/>
  <c r="H222" i="20"/>
  <c r="G222" i="20"/>
  <c r="F222" i="20"/>
  <c r="E222" i="20"/>
  <c r="D222" i="20"/>
  <c r="C222" i="20"/>
  <c r="B222" i="20"/>
  <c r="B351" i="20" s="1"/>
  <c r="Q221" i="20"/>
  <c r="P221" i="20"/>
  <c r="O221" i="20"/>
  <c r="N221" i="20"/>
  <c r="M221" i="20"/>
  <c r="L221" i="20"/>
  <c r="K221" i="20"/>
  <c r="H221" i="20"/>
  <c r="G221" i="20"/>
  <c r="F221" i="20"/>
  <c r="E221" i="20"/>
  <c r="D221" i="20"/>
  <c r="C221" i="20"/>
  <c r="B221" i="20"/>
  <c r="Q220" i="20"/>
  <c r="P220" i="20"/>
  <c r="O220" i="20"/>
  <c r="N220" i="20"/>
  <c r="M220" i="20"/>
  <c r="L220" i="20"/>
  <c r="K220" i="20"/>
  <c r="H220" i="20"/>
  <c r="G220" i="20"/>
  <c r="F220" i="20"/>
  <c r="E220" i="20"/>
  <c r="D220" i="20"/>
  <c r="C220" i="20"/>
  <c r="B220" i="20"/>
  <c r="Q219" i="20"/>
  <c r="P219" i="20"/>
  <c r="O219" i="20"/>
  <c r="N219" i="20"/>
  <c r="M219" i="20"/>
  <c r="L219" i="20"/>
  <c r="K219" i="20"/>
  <c r="H219" i="20"/>
  <c r="G219" i="20"/>
  <c r="F219" i="20"/>
  <c r="E219" i="20"/>
  <c r="D219" i="20"/>
  <c r="C219" i="20"/>
  <c r="B219" i="20"/>
  <c r="Q218" i="20"/>
  <c r="P218" i="20"/>
  <c r="O218" i="20"/>
  <c r="N218" i="20"/>
  <c r="M218" i="20"/>
  <c r="L218" i="20"/>
  <c r="K218" i="20"/>
  <c r="H218" i="20"/>
  <c r="G218" i="20"/>
  <c r="F218" i="20"/>
  <c r="E218" i="20"/>
  <c r="D218" i="20"/>
  <c r="C218" i="20"/>
  <c r="B218" i="20"/>
  <c r="Q217" i="20"/>
  <c r="P217" i="20"/>
  <c r="O217" i="20"/>
  <c r="N217" i="20"/>
  <c r="M217" i="20"/>
  <c r="L217" i="20"/>
  <c r="K217" i="20"/>
  <c r="H217" i="20"/>
  <c r="G217" i="20"/>
  <c r="F217" i="20"/>
  <c r="E217" i="20"/>
  <c r="D217" i="20"/>
  <c r="C217" i="20"/>
  <c r="B217" i="20"/>
  <c r="Q216" i="20"/>
  <c r="P216" i="20"/>
  <c r="O216" i="20"/>
  <c r="N216" i="20"/>
  <c r="M216" i="20"/>
  <c r="L216" i="20"/>
  <c r="K216" i="20"/>
  <c r="H216" i="20"/>
  <c r="G216" i="20"/>
  <c r="F216" i="20"/>
  <c r="E216" i="20"/>
  <c r="D216" i="20"/>
  <c r="C216" i="20"/>
  <c r="B216" i="20"/>
  <c r="R215" i="20"/>
  <c r="Q215" i="20"/>
  <c r="P215" i="20"/>
  <c r="O215" i="20"/>
  <c r="N215" i="20"/>
  <c r="M215" i="20"/>
  <c r="L215" i="20"/>
  <c r="K215" i="20"/>
  <c r="I215" i="20"/>
  <c r="H215" i="20"/>
  <c r="G215" i="20"/>
  <c r="F215" i="20"/>
  <c r="E215" i="20"/>
  <c r="D215" i="20"/>
  <c r="C215" i="20"/>
  <c r="B215" i="20"/>
  <c r="Q214" i="20"/>
  <c r="P214" i="20"/>
  <c r="O214" i="20"/>
  <c r="N214" i="20"/>
  <c r="M214" i="20"/>
  <c r="L214" i="20"/>
  <c r="K214" i="20"/>
  <c r="H214" i="20"/>
  <c r="G214" i="20"/>
  <c r="F214" i="20"/>
  <c r="E214" i="20"/>
  <c r="D214" i="20"/>
  <c r="C214" i="20"/>
  <c r="B214" i="20"/>
  <c r="Q213" i="20"/>
  <c r="P213" i="20"/>
  <c r="O213" i="20"/>
  <c r="N213" i="20"/>
  <c r="M213" i="20"/>
  <c r="L213" i="20"/>
  <c r="K213" i="20"/>
  <c r="H213" i="20"/>
  <c r="G213" i="20"/>
  <c r="F213" i="20"/>
  <c r="E213" i="20"/>
  <c r="D213" i="20"/>
  <c r="C213" i="20"/>
  <c r="B213" i="20"/>
  <c r="Q212" i="20"/>
  <c r="P212" i="20"/>
  <c r="O212" i="20"/>
  <c r="N212" i="20"/>
  <c r="M212" i="20"/>
  <c r="L212" i="20"/>
  <c r="K212" i="20"/>
  <c r="H212" i="20"/>
  <c r="G212" i="20"/>
  <c r="F212" i="20"/>
  <c r="E212" i="20"/>
  <c r="D212" i="20"/>
  <c r="C212" i="20"/>
  <c r="B212" i="20"/>
  <c r="Q211" i="20"/>
  <c r="P211" i="20"/>
  <c r="O211" i="20"/>
  <c r="M211" i="20"/>
  <c r="L211" i="20"/>
  <c r="K211" i="20"/>
  <c r="H211" i="20"/>
  <c r="G211" i="20"/>
  <c r="F211" i="20"/>
  <c r="E211" i="20"/>
  <c r="D211" i="20"/>
  <c r="C211" i="20"/>
  <c r="B211" i="20"/>
  <c r="Q210" i="20"/>
  <c r="P210" i="20"/>
  <c r="O210" i="20"/>
  <c r="N210" i="20"/>
  <c r="M210" i="20"/>
  <c r="L210" i="20"/>
  <c r="K210" i="20"/>
  <c r="H210" i="20"/>
  <c r="G210" i="20"/>
  <c r="F210" i="20"/>
  <c r="D210" i="20"/>
  <c r="C210" i="20"/>
  <c r="B210" i="20"/>
  <c r="Q209" i="20"/>
  <c r="P209" i="20"/>
  <c r="O209" i="20"/>
  <c r="N209" i="20"/>
  <c r="M209" i="20"/>
  <c r="L209" i="20"/>
  <c r="K209" i="20"/>
  <c r="H209" i="20"/>
  <c r="G209" i="20"/>
  <c r="F209" i="20"/>
  <c r="E209" i="20"/>
  <c r="D209" i="20"/>
  <c r="C209" i="20"/>
  <c r="B209" i="20"/>
  <c r="Q208" i="20"/>
  <c r="P208" i="20"/>
  <c r="O208" i="20"/>
  <c r="N208" i="20"/>
  <c r="M208" i="20"/>
  <c r="L208" i="20"/>
  <c r="K208" i="20"/>
  <c r="H208" i="20"/>
  <c r="G208" i="20"/>
  <c r="F208" i="20"/>
  <c r="E208" i="20"/>
  <c r="D208" i="20"/>
  <c r="C208" i="20"/>
  <c r="B208" i="20"/>
  <c r="Q207" i="20"/>
  <c r="P207" i="20"/>
  <c r="O207" i="20"/>
  <c r="N207" i="20"/>
  <c r="M207" i="20"/>
  <c r="L207" i="20"/>
  <c r="K207" i="20"/>
  <c r="H207" i="20"/>
  <c r="G207" i="20"/>
  <c r="F207" i="20"/>
  <c r="E207" i="20"/>
  <c r="D207" i="20"/>
  <c r="C207" i="20"/>
  <c r="B207" i="20"/>
  <c r="Q206" i="20"/>
  <c r="P206" i="20"/>
  <c r="O206" i="20"/>
  <c r="N206" i="20"/>
  <c r="M206" i="20"/>
  <c r="L206" i="20"/>
  <c r="K206" i="20"/>
  <c r="H206" i="20"/>
  <c r="G206" i="20"/>
  <c r="E206" i="20"/>
  <c r="D206" i="20"/>
  <c r="C206" i="20"/>
  <c r="B206" i="20"/>
  <c r="Q205" i="20"/>
  <c r="P205" i="20"/>
  <c r="O205" i="20"/>
  <c r="N205" i="20"/>
  <c r="M205" i="20"/>
  <c r="L205" i="20"/>
  <c r="K205" i="20"/>
  <c r="H205" i="20"/>
  <c r="G205" i="20"/>
  <c r="F205" i="20"/>
  <c r="E205" i="20"/>
  <c r="D205" i="20"/>
  <c r="C205" i="20"/>
  <c r="Q204" i="20"/>
  <c r="P204" i="20"/>
  <c r="O204" i="20"/>
  <c r="N204" i="20"/>
  <c r="M204" i="20"/>
  <c r="L204" i="20"/>
  <c r="K204" i="20"/>
  <c r="H204" i="20"/>
  <c r="G204" i="20"/>
  <c r="F204" i="20"/>
  <c r="E204" i="20"/>
  <c r="D204" i="20"/>
  <c r="C204" i="20"/>
  <c r="B204" i="20"/>
  <c r="P203" i="20"/>
  <c r="O203" i="20"/>
  <c r="N203" i="20"/>
  <c r="M203" i="20"/>
  <c r="L203" i="20"/>
  <c r="K203" i="20"/>
  <c r="G203" i="20"/>
  <c r="F203" i="20"/>
  <c r="E203" i="20"/>
  <c r="D203" i="20"/>
  <c r="C203" i="20"/>
  <c r="B203" i="20"/>
  <c r="Q202" i="20"/>
  <c r="P202" i="20"/>
  <c r="N202" i="20"/>
  <c r="M202" i="20"/>
  <c r="L202" i="20"/>
  <c r="H202" i="20"/>
  <c r="G202" i="20"/>
  <c r="E202" i="20"/>
  <c r="D202" i="20"/>
  <c r="C202" i="20"/>
  <c r="Q201" i="20"/>
  <c r="P201" i="20"/>
  <c r="O201" i="20"/>
  <c r="N201" i="20"/>
  <c r="M201" i="20"/>
  <c r="L201" i="20"/>
  <c r="K201" i="20"/>
  <c r="H201" i="20"/>
  <c r="G201" i="20"/>
  <c r="E201" i="20"/>
  <c r="D201" i="20"/>
  <c r="C201" i="20"/>
  <c r="B201" i="20"/>
  <c r="Q200" i="20"/>
  <c r="P200" i="20"/>
  <c r="O200" i="20"/>
  <c r="N200" i="20"/>
  <c r="M200" i="20"/>
  <c r="L200" i="20"/>
  <c r="K200" i="20"/>
  <c r="H200" i="20"/>
  <c r="G200" i="20"/>
  <c r="F200" i="20"/>
  <c r="E200" i="20"/>
  <c r="D200" i="20"/>
  <c r="C200" i="20"/>
  <c r="B200" i="20"/>
  <c r="P199" i="20"/>
  <c r="O199" i="20"/>
  <c r="N199" i="20"/>
  <c r="M199" i="20"/>
  <c r="L199" i="20"/>
  <c r="G199" i="20"/>
  <c r="F199" i="20"/>
  <c r="E199" i="20"/>
  <c r="D199" i="20"/>
  <c r="C199" i="20"/>
  <c r="Q198" i="20"/>
  <c r="P198" i="20"/>
  <c r="O198" i="20"/>
  <c r="N198" i="20"/>
  <c r="M198" i="20"/>
  <c r="L198" i="20"/>
  <c r="K198" i="20"/>
  <c r="H198" i="20"/>
  <c r="G198" i="20"/>
  <c r="F198" i="20"/>
  <c r="E198" i="20"/>
  <c r="D198" i="20"/>
  <c r="C198" i="20"/>
  <c r="B198" i="20"/>
  <c r="Q197" i="20"/>
  <c r="P197" i="20"/>
  <c r="O197" i="20"/>
  <c r="N197" i="20"/>
  <c r="M197" i="20"/>
  <c r="L197" i="20"/>
  <c r="H197" i="20"/>
  <c r="G197" i="20"/>
  <c r="F197" i="20"/>
  <c r="E197" i="20"/>
  <c r="D197" i="20"/>
  <c r="B197" i="20"/>
  <c r="T194" i="20"/>
  <c r="R194" i="20"/>
  <c r="I194" i="20"/>
  <c r="T190" i="20"/>
  <c r="R190" i="20"/>
  <c r="R94" i="30" s="1"/>
  <c r="I190" i="20"/>
  <c r="T189" i="20"/>
  <c r="R189" i="20"/>
  <c r="I189" i="20"/>
  <c r="T188" i="20"/>
  <c r="R188" i="20"/>
  <c r="R335" i="20" s="1"/>
  <c r="I188" i="20"/>
  <c r="T187" i="20"/>
  <c r="R187" i="20"/>
  <c r="R334" i="20" s="1"/>
  <c r="I187" i="20"/>
  <c r="I334" i="20" s="1"/>
  <c r="T186" i="20"/>
  <c r="R186" i="20"/>
  <c r="I186" i="20"/>
  <c r="I333" i="20" s="1"/>
  <c r="T185" i="20"/>
  <c r="R185" i="20"/>
  <c r="I185" i="20"/>
  <c r="R184" i="20"/>
  <c r="R331" i="20" s="1"/>
  <c r="I184" i="20"/>
  <c r="I331" i="20" s="1"/>
  <c r="R183" i="20"/>
  <c r="I183" i="20"/>
  <c r="R182" i="20"/>
  <c r="I182" i="20"/>
  <c r="R181" i="20"/>
  <c r="I181" i="20"/>
  <c r="R180" i="20"/>
  <c r="I180" i="20"/>
  <c r="R179" i="20"/>
  <c r="I179" i="20"/>
  <c r="R178" i="20"/>
  <c r="I178" i="20"/>
  <c r="R177" i="20"/>
  <c r="I177" i="20"/>
  <c r="R176" i="20"/>
  <c r="I176" i="20"/>
  <c r="R175" i="20"/>
  <c r="I175" i="20"/>
  <c r="R174" i="20"/>
  <c r="I174" i="20"/>
  <c r="R173" i="20"/>
  <c r="I173" i="20"/>
  <c r="R172" i="20"/>
  <c r="I172" i="20"/>
  <c r="R171" i="20"/>
  <c r="I171" i="20"/>
  <c r="R170" i="20"/>
  <c r="I170" i="20"/>
  <c r="R169" i="20"/>
  <c r="I169" i="20"/>
  <c r="R168" i="20"/>
  <c r="I168" i="20"/>
  <c r="R166" i="20"/>
  <c r="I166" i="20"/>
  <c r="R165" i="20"/>
  <c r="I165" i="20"/>
  <c r="R164" i="20"/>
  <c r="I164" i="20"/>
  <c r="R163" i="20"/>
  <c r="I163" i="20"/>
  <c r="R162" i="20"/>
  <c r="I162" i="20"/>
  <c r="R161" i="20"/>
  <c r="I161" i="20"/>
  <c r="R160" i="20"/>
  <c r="I160" i="20"/>
  <c r="R159" i="20"/>
  <c r="I159" i="20"/>
  <c r="R158" i="20"/>
  <c r="I158" i="20"/>
  <c r="R157" i="20"/>
  <c r="I157" i="20"/>
  <c r="R156" i="20"/>
  <c r="I156" i="20"/>
  <c r="Q155" i="20"/>
  <c r="Q59" i="30" s="1"/>
  <c r="H155" i="20"/>
  <c r="H59" i="30" s="1"/>
  <c r="O154" i="20"/>
  <c r="O58" i="30" s="1"/>
  <c r="F154" i="20"/>
  <c r="F58" i="30" s="1"/>
  <c r="R153" i="20"/>
  <c r="I153" i="20"/>
  <c r="R152" i="20"/>
  <c r="I152" i="20"/>
  <c r="R151" i="20"/>
  <c r="I151" i="20"/>
  <c r="R150" i="20"/>
  <c r="I150" i="20"/>
  <c r="R149" i="20"/>
  <c r="I149" i="20"/>
  <c r="T146" i="20"/>
  <c r="R146" i="20"/>
  <c r="R322" i="20" s="1"/>
  <c r="I146" i="20"/>
  <c r="I322" i="20" s="1"/>
  <c r="T142" i="20"/>
  <c r="R142" i="20"/>
  <c r="R318" i="20" s="1"/>
  <c r="I142" i="20"/>
  <c r="I318" i="20" s="1"/>
  <c r="T141" i="20"/>
  <c r="R141" i="20"/>
  <c r="R317" i="20" s="1"/>
  <c r="I141" i="20"/>
  <c r="I317" i="20" s="1"/>
  <c r="T140" i="20"/>
  <c r="R140" i="20"/>
  <c r="R316" i="20" s="1"/>
  <c r="I140" i="20"/>
  <c r="I316" i="20" s="1"/>
  <c r="T139" i="20"/>
  <c r="R139" i="20"/>
  <c r="R315" i="20" s="1"/>
  <c r="I139" i="20"/>
  <c r="I315" i="20" s="1"/>
  <c r="T138" i="20"/>
  <c r="R138" i="20"/>
  <c r="R314" i="20" s="1"/>
  <c r="I138" i="20"/>
  <c r="I314" i="20" s="1"/>
  <c r="R137" i="20"/>
  <c r="R313" i="20" s="1"/>
  <c r="I137" i="20"/>
  <c r="I313" i="20" s="1"/>
  <c r="R136" i="20"/>
  <c r="R312" i="20" s="1"/>
  <c r="I136" i="20"/>
  <c r="I312" i="20" s="1"/>
  <c r="R135" i="20"/>
  <c r="I135" i="20"/>
  <c r="R134" i="20"/>
  <c r="I134" i="20"/>
  <c r="R133" i="20"/>
  <c r="I133" i="20"/>
  <c r="R132" i="20"/>
  <c r="I132" i="20"/>
  <c r="R131" i="20"/>
  <c r="I131" i="20"/>
  <c r="R130" i="20"/>
  <c r="I130" i="20"/>
  <c r="R129" i="20"/>
  <c r="R128" i="20"/>
  <c r="I128" i="20"/>
  <c r="R127" i="20"/>
  <c r="I127" i="20"/>
  <c r="R126" i="20"/>
  <c r="I126" i="20"/>
  <c r="R125" i="20"/>
  <c r="I125" i="20"/>
  <c r="R124" i="20"/>
  <c r="I124" i="20"/>
  <c r="R123" i="20"/>
  <c r="I123" i="20"/>
  <c r="R122" i="20"/>
  <c r="I122" i="20"/>
  <c r="R121" i="20"/>
  <c r="I121" i="20"/>
  <c r="R120" i="20"/>
  <c r="I120" i="20"/>
  <c r="R118" i="20"/>
  <c r="I118" i="20"/>
  <c r="R117" i="20"/>
  <c r="I117" i="20"/>
  <c r="R116" i="20"/>
  <c r="I116" i="20"/>
  <c r="R115" i="20"/>
  <c r="I115" i="20"/>
  <c r="R114" i="20"/>
  <c r="I114" i="20"/>
  <c r="R113" i="20"/>
  <c r="I113" i="20"/>
  <c r="R112" i="20"/>
  <c r="I112" i="20"/>
  <c r="R111" i="20"/>
  <c r="I111" i="20"/>
  <c r="R110" i="20"/>
  <c r="I110" i="20"/>
  <c r="R109" i="20"/>
  <c r="I109" i="20"/>
  <c r="R108" i="20"/>
  <c r="I108" i="20"/>
  <c r="R107" i="20"/>
  <c r="I107" i="20"/>
  <c r="R106" i="20"/>
  <c r="I106" i="20"/>
  <c r="R105" i="20"/>
  <c r="I105" i="20"/>
  <c r="R104" i="20"/>
  <c r="I104" i="20"/>
  <c r="R103" i="20"/>
  <c r="I103" i="20"/>
  <c r="R102" i="20"/>
  <c r="I102" i="20"/>
  <c r="R101" i="20"/>
  <c r="I101" i="20"/>
  <c r="R98" i="20"/>
  <c r="R300" i="20" s="1"/>
  <c r="I98" i="20"/>
  <c r="I300" i="20" s="1"/>
  <c r="R94" i="20"/>
  <c r="R296" i="20" s="1"/>
  <c r="I94" i="20"/>
  <c r="I296" i="20" s="1"/>
  <c r="R93" i="20"/>
  <c r="R295" i="20" s="1"/>
  <c r="I93" i="20"/>
  <c r="I295" i="20" s="1"/>
  <c r="R92" i="20"/>
  <c r="R294" i="20" s="1"/>
  <c r="I92" i="20"/>
  <c r="I294" i="20" s="1"/>
  <c r="R91" i="20"/>
  <c r="R293" i="20" s="1"/>
  <c r="I91" i="20"/>
  <c r="I293" i="20" s="1"/>
  <c r="R90" i="20"/>
  <c r="R292" i="20" s="1"/>
  <c r="I90" i="20"/>
  <c r="I292" i="20" s="1"/>
  <c r="R89" i="20"/>
  <c r="R291" i="20" s="1"/>
  <c r="I89" i="20"/>
  <c r="I291" i="20" s="1"/>
  <c r="R88" i="20"/>
  <c r="R290" i="20" s="1"/>
  <c r="I88" i="20"/>
  <c r="I290" i="20" s="1"/>
  <c r="R87" i="20"/>
  <c r="I87" i="20"/>
  <c r="R86" i="20"/>
  <c r="I86" i="20"/>
  <c r="R85" i="20"/>
  <c r="I85" i="20"/>
  <c r="R84" i="20"/>
  <c r="I84" i="20"/>
  <c r="R83" i="20"/>
  <c r="I83" i="20"/>
  <c r="R82" i="20"/>
  <c r="I82" i="20"/>
  <c r="R81" i="20"/>
  <c r="I81" i="20"/>
  <c r="R80" i="20"/>
  <c r="I80" i="20"/>
  <c r="R79" i="20"/>
  <c r="I79" i="20"/>
  <c r="R78" i="20"/>
  <c r="I78" i="20"/>
  <c r="R77" i="20"/>
  <c r="I77" i="20"/>
  <c r="R76" i="20"/>
  <c r="I76" i="20"/>
  <c r="R75" i="20"/>
  <c r="I75" i="20"/>
  <c r="R74" i="20"/>
  <c r="I74" i="20"/>
  <c r="R73" i="20"/>
  <c r="I73" i="20"/>
  <c r="R72" i="20"/>
  <c r="I72" i="20"/>
  <c r="R70" i="20"/>
  <c r="I70" i="20"/>
  <c r="R69" i="20"/>
  <c r="I69" i="20"/>
  <c r="R68" i="20"/>
  <c r="I68" i="20"/>
  <c r="R67" i="20"/>
  <c r="I67" i="20"/>
  <c r="R66" i="20"/>
  <c r="I66" i="20"/>
  <c r="R65" i="20"/>
  <c r="I65" i="20"/>
  <c r="R64" i="20"/>
  <c r="I64" i="20"/>
  <c r="R63" i="20"/>
  <c r="I63" i="20"/>
  <c r="R62" i="20"/>
  <c r="I62" i="20"/>
  <c r="R61" i="20"/>
  <c r="I61" i="20"/>
  <c r="R60" i="20"/>
  <c r="I60" i="20"/>
  <c r="R59" i="20"/>
  <c r="I59" i="20"/>
  <c r="R58" i="20"/>
  <c r="I58" i="20"/>
  <c r="R57" i="20"/>
  <c r="I57" i="20"/>
  <c r="R56" i="20"/>
  <c r="I56" i="20"/>
  <c r="R55" i="20"/>
  <c r="I55" i="20"/>
  <c r="R54" i="20"/>
  <c r="I54" i="20"/>
  <c r="R53" i="20"/>
  <c r="I53" i="20"/>
  <c r="R50" i="20"/>
  <c r="I50" i="20"/>
  <c r="I281" i="20" s="1"/>
  <c r="R46" i="20"/>
  <c r="I46" i="20"/>
  <c r="R45" i="20"/>
  <c r="R276" i="20" s="1"/>
  <c r="I45" i="20"/>
  <c r="I276" i="20" s="1"/>
  <c r="R44" i="20"/>
  <c r="I44" i="20"/>
  <c r="R43" i="20"/>
  <c r="I43" i="20"/>
  <c r="I274" i="20" s="1"/>
  <c r="R42" i="20"/>
  <c r="I42" i="20"/>
  <c r="R41" i="20"/>
  <c r="R272" i="20" s="1"/>
  <c r="I41" i="20"/>
  <c r="I272" i="20" s="1"/>
  <c r="R40" i="20"/>
  <c r="I40" i="20"/>
  <c r="I271" i="20" s="1"/>
  <c r="R39" i="20"/>
  <c r="I39" i="20"/>
  <c r="R38" i="20"/>
  <c r="I38" i="20"/>
  <c r="R37" i="20"/>
  <c r="I37" i="20"/>
  <c r="R36" i="20"/>
  <c r="I36" i="20"/>
  <c r="R35" i="20"/>
  <c r="I35" i="20"/>
  <c r="R34" i="20"/>
  <c r="I34" i="20"/>
  <c r="R33" i="20"/>
  <c r="I33" i="20"/>
  <c r="R32" i="20"/>
  <c r="I32" i="20"/>
  <c r="R31" i="20"/>
  <c r="R31" i="30" s="1"/>
  <c r="I31" i="20"/>
  <c r="R30" i="20"/>
  <c r="I30" i="20"/>
  <c r="R29" i="20"/>
  <c r="I29" i="20"/>
  <c r="R28" i="20"/>
  <c r="R27" i="20"/>
  <c r="I27" i="20"/>
  <c r="R26" i="20"/>
  <c r="I26" i="20"/>
  <c r="R25" i="20"/>
  <c r="I25" i="20"/>
  <c r="R24" i="20"/>
  <c r="I24" i="20"/>
  <c r="R22" i="20"/>
  <c r="I22" i="20"/>
  <c r="R21" i="20"/>
  <c r="I21" i="20"/>
  <c r="R20" i="20"/>
  <c r="I20" i="20"/>
  <c r="N19" i="20"/>
  <c r="I19" i="20"/>
  <c r="R18" i="20"/>
  <c r="E18" i="20"/>
  <c r="R17" i="20"/>
  <c r="I17" i="20"/>
  <c r="R16" i="20"/>
  <c r="I16" i="20"/>
  <c r="R15" i="20"/>
  <c r="I15" i="20"/>
  <c r="R14" i="20"/>
  <c r="F14" i="20"/>
  <c r="F14" i="30" s="1"/>
  <c r="R13" i="20"/>
  <c r="B13" i="20"/>
  <c r="B205" i="20" s="1"/>
  <c r="R12" i="20"/>
  <c r="I12" i="20"/>
  <c r="R11" i="20"/>
  <c r="I11" i="20"/>
  <c r="K10" i="20"/>
  <c r="K10" i="30" s="1"/>
  <c r="F10" i="20"/>
  <c r="F10" i="30" s="1"/>
  <c r="B10" i="20"/>
  <c r="B10" i="30" s="1"/>
  <c r="R9" i="20"/>
  <c r="F9" i="20"/>
  <c r="R8" i="20"/>
  <c r="I8" i="20"/>
  <c r="Q7" i="20"/>
  <c r="K7" i="20"/>
  <c r="K7" i="30" s="1"/>
  <c r="H7" i="20"/>
  <c r="H7" i="30" s="1"/>
  <c r="B7" i="20"/>
  <c r="R6" i="20"/>
  <c r="I6" i="20"/>
  <c r="K5" i="20"/>
  <c r="K197" i="20" s="1"/>
  <c r="C5" i="20"/>
  <c r="C5" i="30" s="1"/>
  <c r="A365" i="19"/>
  <c r="A364" i="19"/>
  <c r="A363" i="19"/>
  <c r="H341" i="19"/>
  <c r="G341" i="19"/>
  <c r="F341" i="19"/>
  <c r="E341" i="19"/>
  <c r="D341" i="19"/>
  <c r="C341" i="19"/>
  <c r="B341" i="19"/>
  <c r="H337" i="19"/>
  <c r="G337" i="19"/>
  <c r="F337" i="19"/>
  <c r="E337" i="19"/>
  <c r="D337" i="19"/>
  <c r="C337" i="19"/>
  <c r="B337" i="19"/>
  <c r="H336" i="19"/>
  <c r="G336" i="19"/>
  <c r="F336" i="19"/>
  <c r="E336" i="19"/>
  <c r="D336" i="19"/>
  <c r="C336" i="19"/>
  <c r="B336" i="19"/>
  <c r="H335" i="19"/>
  <c r="G335" i="19"/>
  <c r="F335" i="19"/>
  <c r="E335" i="19"/>
  <c r="D335" i="19"/>
  <c r="C335" i="19"/>
  <c r="B335" i="19"/>
  <c r="H334" i="19"/>
  <c r="G334" i="19"/>
  <c r="F334" i="19"/>
  <c r="E334" i="19"/>
  <c r="D334" i="19"/>
  <c r="C334" i="19"/>
  <c r="B334" i="19"/>
  <c r="H333" i="19"/>
  <c r="G333" i="19"/>
  <c r="F333" i="19"/>
  <c r="E333" i="19"/>
  <c r="D333" i="19"/>
  <c r="C333" i="19"/>
  <c r="B333" i="19"/>
  <c r="H332" i="19"/>
  <c r="G332" i="19"/>
  <c r="F332" i="19"/>
  <c r="E332" i="19"/>
  <c r="D332" i="19"/>
  <c r="C332" i="19"/>
  <c r="B332" i="19"/>
  <c r="H331" i="19"/>
  <c r="G331" i="19"/>
  <c r="F331" i="19"/>
  <c r="E331" i="19"/>
  <c r="D331" i="19"/>
  <c r="C331" i="19"/>
  <c r="B331" i="19"/>
  <c r="G329" i="19"/>
  <c r="F329" i="19"/>
  <c r="E329" i="19"/>
  <c r="D329" i="19"/>
  <c r="C329" i="19"/>
  <c r="G328" i="19"/>
  <c r="F328" i="19"/>
  <c r="E328" i="19"/>
  <c r="G327" i="19"/>
  <c r="F327" i="19"/>
  <c r="E327" i="19"/>
  <c r="D327" i="19"/>
  <c r="G326" i="19"/>
  <c r="F326" i="19"/>
  <c r="E326" i="19"/>
  <c r="D326" i="19"/>
  <c r="C326" i="19"/>
  <c r="G325" i="19"/>
  <c r="E325" i="19"/>
  <c r="D325" i="19"/>
  <c r="C325" i="19"/>
  <c r="H322" i="19"/>
  <c r="G322" i="19"/>
  <c r="F322" i="19"/>
  <c r="E322" i="19"/>
  <c r="D322" i="19"/>
  <c r="C322" i="19"/>
  <c r="B322" i="19"/>
  <c r="H318" i="19"/>
  <c r="G318" i="19"/>
  <c r="F318" i="19"/>
  <c r="E318" i="19"/>
  <c r="D318" i="19"/>
  <c r="C318" i="19"/>
  <c r="B318" i="19"/>
  <c r="H317" i="19"/>
  <c r="G317" i="19"/>
  <c r="F317" i="19"/>
  <c r="E317" i="19"/>
  <c r="D317" i="19"/>
  <c r="C317" i="19"/>
  <c r="B317" i="19"/>
  <c r="H316" i="19"/>
  <c r="G316" i="19"/>
  <c r="F316" i="19"/>
  <c r="E316" i="19"/>
  <c r="D316" i="19"/>
  <c r="C316" i="19"/>
  <c r="B316" i="19"/>
  <c r="H315" i="19"/>
  <c r="G315" i="19"/>
  <c r="F315" i="19"/>
  <c r="E315" i="19"/>
  <c r="D315" i="19"/>
  <c r="C315" i="19"/>
  <c r="B315" i="19"/>
  <c r="H314" i="19"/>
  <c r="G314" i="19"/>
  <c r="F314" i="19"/>
  <c r="E314" i="19"/>
  <c r="D314" i="19"/>
  <c r="C314" i="19"/>
  <c r="B314" i="19"/>
  <c r="H313" i="19"/>
  <c r="G313" i="19"/>
  <c r="F313" i="19"/>
  <c r="E313" i="19"/>
  <c r="D313" i="19"/>
  <c r="C313" i="19"/>
  <c r="B313" i="19"/>
  <c r="H312" i="19"/>
  <c r="G312" i="19"/>
  <c r="F312" i="19"/>
  <c r="E312" i="19"/>
  <c r="D312" i="19"/>
  <c r="C312" i="19"/>
  <c r="B312" i="19"/>
  <c r="H310" i="19"/>
  <c r="G310" i="19"/>
  <c r="F310" i="19"/>
  <c r="E310" i="19"/>
  <c r="D310" i="19"/>
  <c r="C310" i="19"/>
  <c r="B310" i="19"/>
  <c r="G309" i="19"/>
  <c r="F309" i="19"/>
  <c r="E309" i="19"/>
  <c r="H308" i="19"/>
  <c r="G308" i="19"/>
  <c r="F308" i="19"/>
  <c r="E308" i="19"/>
  <c r="D308" i="19"/>
  <c r="H307" i="19"/>
  <c r="G307" i="19"/>
  <c r="F307" i="19"/>
  <c r="E307" i="19"/>
  <c r="D307" i="19"/>
  <c r="C307" i="19"/>
  <c r="H306" i="19"/>
  <c r="G306" i="19"/>
  <c r="F306" i="19"/>
  <c r="E306" i="19"/>
  <c r="D306" i="19"/>
  <c r="C306" i="19"/>
  <c r="H300" i="19"/>
  <c r="G300" i="19"/>
  <c r="F300" i="19"/>
  <c r="E300" i="19"/>
  <c r="D300" i="19"/>
  <c r="C300" i="19"/>
  <c r="B300" i="19"/>
  <c r="H296" i="19"/>
  <c r="G296" i="19"/>
  <c r="F296" i="19"/>
  <c r="E296" i="19"/>
  <c r="D296" i="19"/>
  <c r="C296" i="19"/>
  <c r="B296" i="19"/>
  <c r="H295" i="19"/>
  <c r="G295" i="19"/>
  <c r="F295" i="19"/>
  <c r="E295" i="19"/>
  <c r="D295" i="19"/>
  <c r="C295" i="19"/>
  <c r="B295" i="19"/>
  <c r="H294" i="19"/>
  <c r="G294" i="19"/>
  <c r="F294" i="19"/>
  <c r="E294" i="19"/>
  <c r="D294" i="19"/>
  <c r="C294" i="19"/>
  <c r="B294" i="19"/>
  <c r="H293" i="19"/>
  <c r="G293" i="19"/>
  <c r="F293" i="19"/>
  <c r="E293" i="19"/>
  <c r="D293" i="19"/>
  <c r="C293" i="19"/>
  <c r="B293" i="19"/>
  <c r="H292" i="19"/>
  <c r="G292" i="19"/>
  <c r="F292" i="19"/>
  <c r="E292" i="19"/>
  <c r="D292" i="19"/>
  <c r="C292" i="19"/>
  <c r="B292" i="19"/>
  <c r="H291" i="19"/>
  <c r="G291" i="19"/>
  <c r="F291" i="19"/>
  <c r="E291" i="19"/>
  <c r="D291" i="19"/>
  <c r="C291" i="19"/>
  <c r="B291" i="19"/>
  <c r="H290" i="19"/>
  <c r="G290" i="19"/>
  <c r="F290" i="19"/>
  <c r="E290" i="19"/>
  <c r="D290" i="19"/>
  <c r="C290" i="19"/>
  <c r="B290" i="19"/>
  <c r="H288" i="19"/>
  <c r="G288" i="19"/>
  <c r="F288" i="19"/>
  <c r="E288" i="19"/>
  <c r="D288" i="19"/>
  <c r="C288" i="19"/>
  <c r="B288" i="19"/>
  <c r="G287" i="19"/>
  <c r="F287" i="19"/>
  <c r="E287" i="19"/>
  <c r="H286" i="19"/>
  <c r="F286" i="19"/>
  <c r="E286" i="19"/>
  <c r="H285" i="19"/>
  <c r="G285" i="19"/>
  <c r="F285" i="19"/>
  <c r="E285" i="19"/>
  <c r="D285" i="19"/>
  <c r="C285" i="19"/>
  <c r="H284" i="19"/>
  <c r="G284" i="19"/>
  <c r="F284" i="19"/>
  <c r="E284" i="19"/>
  <c r="D284" i="19"/>
  <c r="C284" i="19"/>
  <c r="H281" i="19"/>
  <c r="G281" i="19"/>
  <c r="F281" i="19"/>
  <c r="E281" i="19"/>
  <c r="D281" i="19"/>
  <c r="C281" i="19"/>
  <c r="B281" i="19"/>
  <c r="H277" i="19"/>
  <c r="G277" i="19"/>
  <c r="F277" i="19"/>
  <c r="E277" i="19"/>
  <c r="D277" i="19"/>
  <c r="C277" i="19"/>
  <c r="B277" i="19"/>
  <c r="H276" i="19"/>
  <c r="G276" i="19"/>
  <c r="F276" i="19"/>
  <c r="E276" i="19"/>
  <c r="D276" i="19"/>
  <c r="C276" i="19"/>
  <c r="B276" i="19"/>
  <c r="H275" i="19"/>
  <c r="G275" i="19"/>
  <c r="F275" i="19"/>
  <c r="E275" i="19"/>
  <c r="D275" i="19"/>
  <c r="C275" i="19"/>
  <c r="B275" i="19"/>
  <c r="H274" i="19"/>
  <c r="G274" i="19"/>
  <c r="F274" i="19"/>
  <c r="E274" i="19"/>
  <c r="D274" i="19"/>
  <c r="C274" i="19"/>
  <c r="B274" i="19"/>
  <c r="H273" i="19"/>
  <c r="G273" i="19"/>
  <c r="F273" i="19"/>
  <c r="E273" i="19"/>
  <c r="D273" i="19"/>
  <c r="C273" i="19"/>
  <c r="B273" i="19"/>
  <c r="H272" i="19"/>
  <c r="G272" i="19"/>
  <c r="F272" i="19"/>
  <c r="E272" i="19"/>
  <c r="D272" i="19"/>
  <c r="C272" i="19"/>
  <c r="B272" i="19"/>
  <c r="H271" i="19"/>
  <c r="G271" i="19"/>
  <c r="F271" i="19"/>
  <c r="E271" i="19"/>
  <c r="D271" i="19"/>
  <c r="C271" i="19"/>
  <c r="B271" i="19"/>
  <c r="H269" i="19"/>
  <c r="G269" i="19"/>
  <c r="F269" i="19"/>
  <c r="E269" i="19"/>
  <c r="D269" i="19"/>
  <c r="C269" i="19"/>
  <c r="B269" i="19"/>
  <c r="F268" i="19"/>
  <c r="E268" i="19"/>
  <c r="G267" i="19"/>
  <c r="F267" i="19"/>
  <c r="E267" i="19"/>
  <c r="D267" i="19"/>
  <c r="C267" i="19"/>
  <c r="G266" i="19"/>
  <c r="F266" i="19"/>
  <c r="E266" i="19"/>
  <c r="D266" i="19"/>
  <c r="C266" i="19"/>
  <c r="H265" i="19"/>
  <c r="G265" i="19"/>
  <c r="F265" i="19"/>
  <c r="E265" i="19"/>
  <c r="D265" i="19"/>
  <c r="C265" i="19"/>
  <c r="H241" i="19"/>
  <c r="H362" i="19" s="1"/>
  <c r="G241" i="19"/>
  <c r="G362" i="19" s="1"/>
  <c r="F241" i="19"/>
  <c r="F362" i="19" s="1"/>
  <c r="E241" i="19"/>
  <c r="E362" i="19" s="1"/>
  <c r="D241" i="19"/>
  <c r="D362" i="19" s="1"/>
  <c r="C241" i="19"/>
  <c r="C362" i="19" s="1"/>
  <c r="B241" i="19"/>
  <c r="B362" i="19" s="1"/>
  <c r="H237" i="19"/>
  <c r="H358" i="19" s="1"/>
  <c r="G237" i="19"/>
  <c r="G358" i="19" s="1"/>
  <c r="F237" i="19"/>
  <c r="F358" i="19" s="1"/>
  <c r="E237" i="19"/>
  <c r="E358" i="19" s="1"/>
  <c r="D237" i="19"/>
  <c r="D358" i="19" s="1"/>
  <c r="C237" i="19"/>
  <c r="C358" i="19" s="1"/>
  <c r="B237" i="19"/>
  <c r="B358" i="19" s="1"/>
  <c r="H236" i="19"/>
  <c r="H357" i="19" s="1"/>
  <c r="G236" i="19"/>
  <c r="G357" i="19" s="1"/>
  <c r="F236" i="19"/>
  <c r="F357" i="19" s="1"/>
  <c r="E236" i="19"/>
  <c r="E357" i="19" s="1"/>
  <c r="D236" i="19"/>
  <c r="D357" i="19" s="1"/>
  <c r="C236" i="19"/>
  <c r="C357" i="19" s="1"/>
  <c r="B236" i="19"/>
  <c r="B357" i="19" s="1"/>
  <c r="H235" i="19"/>
  <c r="H356" i="19" s="1"/>
  <c r="G235" i="19"/>
  <c r="G356" i="19" s="1"/>
  <c r="F235" i="19"/>
  <c r="F356" i="19" s="1"/>
  <c r="E235" i="19"/>
  <c r="E356" i="19" s="1"/>
  <c r="D235" i="19"/>
  <c r="D356" i="19" s="1"/>
  <c r="C235" i="19"/>
  <c r="C356" i="19" s="1"/>
  <c r="B235" i="19"/>
  <c r="B356" i="19" s="1"/>
  <c r="H234" i="19"/>
  <c r="H355" i="19" s="1"/>
  <c r="G234" i="19"/>
  <c r="G355" i="19" s="1"/>
  <c r="F234" i="19"/>
  <c r="F355" i="19" s="1"/>
  <c r="E234" i="19"/>
  <c r="E355" i="19" s="1"/>
  <c r="D234" i="19"/>
  <c r="D355" i="19" s="1"/>
  <c r="C234" i="19"/>
  <c r="C355" i="19" s="1"/>
  <c r="B234" i="19"/>
  <c r="B355" i="19" s="1"/>
  <c r="H233" i="19"/>
  <c r="H354" i="19" s="1"/>
  <c r="G233" i="19"/>
  <c r="G354" i="19" s="1"/>
  <c r="F233" i="19"/>
  <c r="F354" i="19" s="1"/>
  <c r="E233" i="19"/>
  <c r="E354" i="19" s="1"/>
  <c r="D233" i="19"/>
  <c r="D354" i="19" s="1"/>
  <c r="C233" i="19"/>
  <c r="C354" i="19" s="1"/>
  <c r="B233" i="19"/>
  <c r="B354" i="19" s="1"/>
  <c r="H232" i="19"/>
  <c r="H353" i="19" s="1"/>
  <c r="G232" i="19"/>
  <c r="G353" i="19" s="1"/>
  <c r="F232" i="19"/>
  <c r="F353" i="19" s="1"/>
  <c r="E232" i="19"/>
  <c r="E353" i="19" s="1"/>
  <c r="D232" i="19"/>
  <c r="D353" i="19" s="1"/>
  <c r="C232" i="19"/>
  <c r="C353" i="19" s="1"/>
  <c r="B232" i="19"/>
  <c r="B353" i="19" s="1"/>
  <c r="H231" i="19"/>
  <c r="H352" i="19" s="1"/>
  <c r="G231" i="19"/>
  <c r="G352" i="19" s="1"/>
  <c r="F231" i="19"/>
  <c r="F352" i="19" s="1"/>
  <c r="E231" i="19"/>
  <c r="E352" i="19" s="1"/>
  <c r="D231" i="19"/>
  <c r="D352" i="19" s="1"/>
  <c r="C231" i="19"/>
  <c r="C352" i="19" s="1"/>
  <c r="B231" i="19"/>
  <c r="B352" i="19" s="1"/>
  <c r="H230" i="19"/>
  <c r="G230" i="19"/>
  <c r="F230" i="19"/>
  <c r="E230" i="19"/>
  <c r="D230" i="19"/>
  <c r="C230" i="19"/>
  <c r="B230" i="19"/>
  <c r="H229" i="19"/>
  <c r="G229" i="19"/>
  <c r="F229" i="19"/>
  <c r="E229" i="19"/>
  <c r="D229" i="19"/>
  <c r="C229" i="19"/>
  <c r="B229" i="19"/>
  <c r="H228" i="19"/>
  <c r="G228" i="19"/>
  <c r="F228" i="19"/>
  <c r="E228" i="19"/>
  <c r="D228" i="19"/>
  <c r="C228" i="19"/>
  <c r="B228" i="19"/>
  <c r="H227" i="19"/>
  <c r="G227" i="19"/>
  <c r="F227" i="19"/>
  <c r="E227" i="19"/>
  <c r="D227" i="19"/>
  <c r="C227" i="19"/>
  <c r="B227" i="19"/>
  <c r="H226" i="19"/>
  <c r="G226" i="19"/>
  <c r="F226" i="19"/>
  <c r="E226" i="19"/>
  <c r="E351" i="19" s="1"/>
  <c r="D226" i="19"/>
  <c r="D351" i="19" s="1"/>
  <c r="C226" i="19"/>
  <c r="C351" i="19" s="1"/>
  <c r="B226" i="19"/>
  <c r="B351" i="19" s="1"/>
  <c r="H225" i="19"/>
  <c r="G225" i="19"/>
  <c r="F225" i="19"/>
  <c r="E225" i="19"/>
  <c r="D225" i="19"/>
  <c r="C225" i="19"/>
  <c r="B225" i="19"/>
  <c r="H224" i="19"/>
  <c r="G224" i="19"/>
  <c r="F224" i="19"/>
  <c r="E224" i="19"/>
  <c r="D224" i="19"/>
  <c r="C224" i="19"/>
  <c r="B224" i="19"/>
  <c r="H223" i="19"/>
  <c r="G223" i="19"/>
  <c r="F223" i="19"/>
  <c r="E223" i="19"/>
  <c r="D223" i="19"/>
  <c r="C223" i="19"/>
  <c r="B223" i="19"/>
  <c r="H222" i="19"/>
  <c r="G222" i="19"/>
  <c r="F222" i="19"/>
  <c r="E222" i="19"/>
  <c r="D222" i="19"/>
  <c r="C222" i="19"/>
  <c r="B222" i="19"/>
  <c r="H221" i="19"/>
  <c r="G221" i="19"/>
  <c r="F221" i="19"/>
  <c r="E221" i="19"/>
  <c r="D221" i="19"/>
  <c r="C221" i="19"/>
  <c r="B221" i="19"/>
  <c r="B350" i="19" s="1"/>
  <c r="H220" i="19"/>
  <c r="G220" i="19"/>
  <c r="F220" i="19"/>
  <c r="E220" i="19"/>
  <c r="D220" i="19"/>
  <c r="C220" i="19"/>
  <c r="B220" i="19"/>
  <c r="H219" i="19"/>
  <c r="F219" i="19"/>
  <c r="E219" i="19"/>
  <c r="D219" i="19"/>
  <c r="C219" i="19"/>
  <c r="B219" i="19"/>
  <c r="H218" i="19"/>
  <c r="G218" i="19"/>
  <c r="F218" i="19"/>
  <c r="E218" i="19"/>
  <c r="D218" i="19"/>
  <c r="C218" i="19"/>
  <c r="B218" i="19"/>
  <c r="H217" i="19"/>
  <c r="G217" i="19"/>
  <c r="F217" i="19"/>
  <c r="E217" i="19"/>
  <c r="D217" i="19"/>
  <c r="C217" i="19"/>
  <c r="B217" i="19"/>
  <c r="H216" i="19"/>
  <c r="G216" i="19"/>
  <c r="F216" i="19"/>
  <c r="E216" i="19"/>
  <c r="D216" i="19"/>
  <c r="C216" i="19"/>
  <c r="B216" i="19"/>
  <c r="H215" i="19"/>
  <c r="G215" i="19"/>
  <c r="F215" i="19"/>
  <c r="E215" i="19"/>
  <c r="D215" i="19"/>
  <c r="C215" i="19"/>
  <c r="B215" i="19"/>
  <c r="H214" i="19"/>
  <c r="G214" i="19"/>
  <c r="F214" i="19"/>
  <c r="E214" i="19"/>
  <c r="D214" i="19"/>
  <c r="C214" i="19"/>
  <c r="B214" i="19"/>
  <c r="H213" i="19"/>
  <c r="F213" i="19"/>
  <c r="E213" i="19"/>
  <c r="D213" i="19"/>
  <c r="C213" i="19"/>
  <c r="B213" i="19"/>
  <c r="H212" i="19"/>
  <c r="G212" i="19"/>
  <c r="F212" i="19"/>
  <c r="E212" i="19"/>
  <c r="D212" i="19"/>
  <c r="C212" i="19"/>
  <c r="B212" i="19"/>
  <c r="H211" i="19"/>
  <c r="G211" i="19"/>
  <c r="F211" i="19"/>
  <c r="E211" i="19"/>
  <c r="D211" i="19"/>
  <c r="C211" i="19"/>
  <c r="B211" i="19"/>
  <c r="H210" i="19"/>
  <c r="G210" i="19"/>
  <c r="F210" i="19"/>
  <c r="E210" i="19"/>
  <c r="D210" i="19"/>
  <c r="C210" i="19"/>
  <c r="B210" i="19"/>
  <c r="H209" i="19"/>
  <c r="G209" i="19"/>
  <c r="F209" i="19"/>
  <c r="E209" i="19"/>
  <c r="D209" i="19"/>
  <c r="C209" i="19"/>
  <c r="B209" i="19"/>
  <c r="H208" i="19"/>
  <c r="G208" i="19"/>
  <c r="F208" i="19"/>
  <c r="E208" i="19"/>
  <c r="D208" i="19"/>
  <c r="C208" i="19"/>
  <c r="B208" i="19"/>
  <c r="H207" i="19"/>
  <c r="G207" i="19"/>
  <c r="F207" i="19"/>
  <c r="E207" i="19"/>
  <c r="D207" i="19"/>
  <c r="C207" i="19"/>
  <c r="B207" i="19"/>
  <c r="H206" i="19"/>
  <c r="G206" i="19"/>
  <c r="F206" i="19"/>
  <c r="E206" i="19"/>
  <c r="D206" i="19"/>
  <c r="C206" i="19"/>
  <c r="B206" i="19"/>
  <c r="H205" i="19"/>
  <c r="G205" i="19"/>
  <c r="F205" i="19"/>
  <c r="E205" i="19"/>
  <c r="D205" i="19"/>
  <c r="C205" i="19"/>
  <c r="B205" i="19"/>
  <c r="H204" i="19"/>
  <c r="G204" i="19"/>
  <c r="F204" i="19"/>
  <c r="E204" i="19"/>
  <c r="D204" i="19"/>
  <c r="C204" i="19"/>
  <c r="H203" i="19"/>
  <c r="G203" i="19"/>
  <c r="F203" i="19"/>
  <c r="E203" i="19"/>
  <c r="D203" i="19"/>
  <c r="C203" i="19"/>
  <c r="B203" i="19"/>
  <c r="G202" i="19"/>
  <c r="F202" i="19"/>
  <c r="E202" i="19"/>
  <c r="D202" i="19"/>
  <c r="C202" i="19"/>
  <c r="B202" i="19"/>
  <c r="H201" i="19"/>
  <c r="G201" i="19"/>
  <c r="G346" i="19" s="1"/>
  <c r="E201" i="19"/>
  <c r="D201" i="19"/>
  <c r="D346" i="19" s="1"/>
  <c r="C201" i="19"/>
  <c r="H200" i="19"/>
  <c r="G200" i="19"/>
  <c r="F200" i="19"/>
  <c r="E200" i="19"/>
  <c r="D200" i="19"/>
  <c r="C200" i="19"/>
  <c r="B200" i="19"/>
  <c r="H199" i="19"/>
  <c r="G199" i="19"/>
  <c r="F199" i="19"/>
  <c r="E199" i="19"/>
  <c r="D199" i="19"/>
  <c r="C199" i="19"/>
  <c r="B199" i="19"/>
  <c r="G198" i="19"/>
  <c r="F198" i="19"/>
  <c r="E198" i="19"/>
  <c r="D198" i="19"/>
  <c r="C198" i="19"/>
  <c r="H197" i="19"/>
  <c r="G197" i="19"/>
  <c r="F197" i="19"/>
  <c r="E197" i="19"/>
  <c r="D197" i="19"/>
  <c r="C197" i="19"/>
  <c r="B197" i="19"/>
  <c r="H196" i="19"/>
  <c r="G196" i="19"/>
  <c r="F196" i="19"/>
  <c r="E196" i="19"/>
  <c r="D196" i="19"/>
  <c r="C196" i="19"/>
  <c r="I193" i="19"/>
  <c r="I341" i="19" s="1"/>
  <c r="I189" i="19"/>
  <c r="I337" i="19" s="1"/>
  <c r="I188" i="19"/>
  <c r="I336" i="19" s="1"/>
  <c r="I187" i="19"/>
  <c r="I335" i="19" s="1"/>
  <c r="I186" i="19"/>
  <c r="I334" i="19" s="1"/>
  <c r="I185" i="19"/>
  <c r="I333" i="19" s="1"/>
  <c r="I184" i="19"/>
  <c r="I332" i="19" s="1"/>
  <c r="I183" i="19"/>
  <c r="I331" i="19" s="1"/>
  <c r="I182" i="19"/>
  <c r="I181" i="19"/>
  <c r="I180" i="19"/>
  <c r="I179" i="19"/>
  <c r="I178" i="19"/>
  <c r="I177" i="19"/>
  <c r="I176" i="19"/>
  <c r="I175" i="19"/>
  <c r="I174" i="19"/>
  <c r="I173" i="19"/>
  <c r="I172" i="19"/>
  <c r="I171" i="19"/>
  <c r="I170" i="19"/>
  <c r="I169" i="19"/>
  <c r="I168" i="19"/>
  <c r="I167" i="19"/>
  <c r="I165" i="19"/>
  <c r="I164" i="19"/>
  <c r="I163" i="19"/>
  <c r="I162" i="19"/>
  <c r="I161" i="19"/>
  <c r="I160" i="19"/>
  <c r="I159" i="19"/>
  <c r="I158" i="19"/>
  <c r="I157" i="19"/>
  <c r="I156" i="19"/>
  <c r="I155" i="19"/>
  <c r="H154" i="19"/>
  <c r="H58" i="29" s="1"/>
  <c r="F153" i="19"/>
  <c r="F57" i="29" s="1"/>
  <c r="I152" i="19"/>
  <c r="I151" i="19"/>
  <c r="I150" i="19"/>
  <c r="I149" i="19"/>
  <c r="I148" i="19"/>
  <c r="I145" i="19"/>
  <c r="I322" i="19" s="1"/>
  <c r="I141" i="19"/>
  <c r="I318" i="19" s="1"/>
  <c r="I140" i="19"/>
  <c r="I317" i="19" s="1"/>
  <c r="I139" i="19"/>
  <c r="I316" i="19" s="1"/>
  <c r="I138" i="19"/>
  <c r="I315" i="19" s="1"/>
  <c r="I137" i="19"/>
  <c r="I314" i="19" s="1"/>
  <c r="I136" i="19"/>
  <c r="I313" i="19" s="1"/>
  <c r="I135" i="19"/>
  <c r="I312" i="19" s="1"/>
  <c r="I134" i="19"/>
  <c r="I133" i="19"/>
  <c r="I132" i="19"/>
  <c r="I131" i="19"/>
  <c r="I130" i="19"/>
  <c r="I129" i="19"/>
  <c r="I128" i="19"/>
  <c r="I127" i="19"/>
  <c r="I126" i="19"/>
  <c r="I125" i="19"/>
  <c r="I124" i="19"/>
  <c r="I123" i="19"/>
  <c r="I122" i="19"/>
  <c r="I121" i="19"/>
  <c r="I120" i="19"/>
  <c r="I119" i="19"/>
  <c r="I117" i="19"/>
  <c r="I116" i="19"/>
  <c r="I115" i="19"/>
  <c r="I114" i="19"/>
  <c r="I113" i="19"/>
  <c r="I112" i="19"/>
  <c r="I111" i="19"/>
  <c r="I110" i="19"/>
  <c r="I109" i="19"/>
  <c r="I108" i="19"/>
  <c r="I107" i="19"/>
  <c r="I106" i="19"/>
  <c r="I105" i="19"/>
  <c r="I104" i="19"/>
  <c r="I103" i="19"/>
  <c r="I102" i="19"/>
  <c r="I101" i="19"/>
  <c r="I100" i="19"/>
  <c r="I97" i="19"/>
  <c r="I300" i="19" s="1"/>
  <c r="I93" i="19"/>
  <c r="I296" i="19" s="1"/>
  <c r="I92" i="19"/>
  <c r="I295" i="19" s="1"/>
  <c r="I91" i="19"/>
  <c r="I294" i="19" s="1"/>
  <c r="I90" i="19"/>
  <c r="I293" i="19" s="1"/>
  <c r="I89" i="19"/>
  <c r="I292" i="19" s="1"/>
  <c r="I88" i="19"/>
  <c r="I291" i="19" s="1"/>
  <c r="I87" i="19"/>
  <c r="I290" i="19" s="1"/>
  <c r="I86" i="19"/>
  <c r="I85" i="19"/>
  <c r="I84" i="19"/>
  <c r="I83" i="19"/>
  <c r="I82" i="19"/>
  <c r="I81" i="19"/>
  <c r="I80" i="19"/>
  <c r="I79" i="19"/>
  <c r="I78" i="19"/>
  <c r="I77" i="19"/>
  <c r="I76" i="19"/>
  <c r="I75" i="19"/>
  <c r="I74" i="19"/>
  <c r="I73" i="19"/>
  <c r="I72" i="19"/>
  <c r="I71" i="19"/>
  <c r="G69" i="19"/>
  <c r="I68" i="19"/>
  <c r="I67" i="19"/>
  <c r="I66" i="19"/>
  <c r="I65" i="19"/>
  <c r="I64" i="19"/>
  <c r="I63" i="19"/>
  <c r="I62" i="19"/>
  <c r="I61" i="19"/>
  <c r="I60" i="19"/>
  <c r="I59" i="19"/>
  <c r="I58" i="19"/>
  <c r="I57" i="19"/>
  <c r="I56" i="19"/>
  <c r="I55" i="19"/>
  <c r="I54" i="19"/>
  <c r="I53" i="19"/>
  <c r="I52" i="19"/>
  <c r="I49" i="19"/>
  <c r="I45" i="19"/>
  <c r="I44" i="19"/>
  <c r="I43" i="19"/>
  <c r="I42" i="19"/>
  <c r="I41" i="19"/>
  <c r="I40" i="19"/>
  <c r="I39" i="19"/>
  <c r="I38" i="19"/>
  <c r="I37" i="19"/>
  <c r="I36" i="19"/>
  <c r="I35" i="19"/>
  <c r="I34" i="19"/>
  <c r="I33" i="19"/>
  <c r="I32" i="19"/>
  <c r="I31" i="19"/>
  <c r="I30" i="19"/>
  <c r="I29" i="19"/>
  <c r="I28" i="19"/>
  <c r="G27" i="19"/>
  <c r="G268" i="19" s="1"/>
  <c r="I26" i="19"/>
  <c r="I25" i="19"/>
  <c r="I24" i="19"/>
  <c r="I23" i="19"/>
  <c r="I21" i="19"/>
  <c r="I20" i="19"/>
  <c r="I19" i="19"/>
  <c r="I18" i="19"/>
  <c r="I17" i="19"/>
  <c r="I16" i="19"/>
  <c r="I15" i="19"/>
  <c r="I14" i="19"/>
  <c r="I13" i="19"/>
  <c r="B12" i="19"/>
  <c r="B12" i="29" s="1"/>
  <c r="I11" i="19"/>
  <c r="I10" i="19"/>
  <c r="B9" i="19"/>
  <c r="B9" i="29" s="1"/>
  <c r="B168" i="29" s="1"/>
  <c r="I8" i="19"/>
  <c r="I7" i="19"/>
  <c r="H6" i="19"/>
  <c r="H6" i="29" s="1"/>
  <c r="B6" i="19"/>
  <c r="B6" i="29" s="1"/>
  <c r="I5" i="19"/>
  <c r="B4" i="19"/>
  <c r="B4" i="29" s="1"/>
  <c r="E281" i="28"/>
  <c r="E277" i="28"/>
  <c r="C277" i="28"/>
  <c r="G276" i="28"/>
  <c r="C276" i="28"/>
  <c r="C275" i="28"/>
  <c r="G274" i="28"/>
  <c r="E274" i="28"/>
  <c r="G166" i="28"/>
  <c r="G273" i="28"/>
  <c r="B273" i="28"/>
  <c r="F161" i="28"/>
  <c r="E161" i="28"/>
  <c r="D155" i="28"/>
  <c r="H48" i="28"/>
  <c r="H46" i="28"/>
  <c r="H44" i="28"/>
  <c r="H42" i="28"/>
  <c r="H40" i="28"/>
  <c r="H38" i="28"/>
  <c r="H63" i="28" s="1"/>
  <c r="H36" i="28"/>
  <c r="H61" i="28" s="1"/>
  <c r="H34" i="28"/>
  <c r="H59" i="28" s="1"/>
  <c r="H32" i="28"/>
  <c r="H30" i="28"/>
  <c r="H55" i="28" s="1"/>
  <c r="O290" i="27"/>
  <c r="M290" i="27"/>
  <c r="L290" i="27"/>
  <c r="K290" i="27"/>
  <c r="G290" i="27"/>
  <c r="F290" i="27"/>
  <c r="E290" i="27"/>
  <c r="C290" i="27"/>
  <c r="B290" i="27"/>
  <c r="O286" i="27"/>
  <c r="M286" i="27"/>
  <c r="L286" i="27"/>
  <c r="K286" i="27"/>
  <c r="G286" i="27"/>
  <c r="F286" i="27"/>
  <c r="E286" i="27"/>
  <c r="C286" i="27"/>
  <c r="B286" i="27"/>
  <c r="O285" i="27"/>
  <c r="M285" i="27"/>
  <c r="L285" i="27"/>
  <c r="K285" i="27"/>
  <c r="G285" i="27"/>
  <c r="F285" i="27"/>
  <c r="E285" i="27"/>
  <c r="C285" i="27"/>
  <c r="B285" i="27"/>
  <c r="O284" i="27"/>
  <c r="M284" i="27"/>
  <c r="L284" i="27"/>
  <c r="K284" i="27"/>
  <c r="G284" i="27"/>
  <c r="F284" i="27"/>
  <c r="E284" i="27"/>
  <c r="C284" i="27"/>
  <c r="B284" i="27"/>
  <c r="O283" i="27"/>
  <c r="M283" i="27"/>
  <c r="L283" i="27"/>
  <c r="K283" i="27"/>
  <c r="G283" i="27"/>
  <c r="F283" i="27"/>
  <c r="E283" i="27"/>
  <c r="C283" i="27"/>
  <c r="B283" i="27"/>
  <c r="O282" i="27"/>
  <c r="M282" i="27"/>
  <c r="L282" i="27"/>
  <c r="K282" i="27"/>
  <c r="G282" i="27"/>
  <c r="F282" i="27"/>
  <c r="E282" i="27"/>
  <c r="C282" i="27"/>
  <c r="B282" i="27"/>
  <c r="O281" i="27"/>
  <c r="M281" i="27"/>
  <c r="L281" i="27"/>
  <c r="K281" i="27"/>
  <c r="G281" i="27"/>
  <c r="F281" i="27"/>
  <c r="E281" i="27"/>
  <c r="C281" i="27"/>
  <c r="B281" i="27"/>
  <c r="O280" i="27"/>
  <c r="M280" i="27"/>
  <c r="L280" i="27"/>
  <c r="K280" i="27"/>
  <c r="G280" i="27"/>
  <c r="F280" i="27"/>
  <c r="E280" i="27"/>
  <c r="C280" i="27"/>
  <c r="B280" i="27"/>
  <c r="O279" i="27"/>
  <c r="M279" i="27"/>
  <c r="L279" i="27"/>
  <c r="K279" i="27"/>
  <c r="G279" i="27"/>
  <c r="F279" i="27"/>
  <c r="E279" i="27"/>
  <c r="C279" i="27"/>
  <c r="B279" i="27"/>
  <c r="O278" i="27"/>
  <c r="M278" i="27"/>
  <c r="L278" i="27"/>
  <c r="K278" i="27"/>
  <c r="G278" i="27"/>
  <c r="F278" i="27"/>
  <c r="E278" i="27"/>
  <c r="C278" i="27"/>
  <c r="B278" i="27"/>
  <c r="O277" i="27"/>
  <c r="M277" i="27"/>
  <c r="L277" i="27"/>
  <c r="K277" i="27"/>
  <c r="G277" i="27"/>
  <c r="F277" i="27"/>
  <c r="E277" i="27"/>
  <c r="C277" i="27"/>
  <c r="B277" i="27"/>
  <c r="O276" i="27"/>
  <c r="M276" i="27"/>
  <c r="L276" i="27"/>
  <c r="K276" i="27"/>
  <c r="G276" i="27"/>
  <c r="F276" i="27"/>
  <c r="E276" i="27"/>
  <c r="C276" i="27"/>
  <c r="B276" i="27"/>
  <c r="O275" i="27"/>
  <c r="O459" i="27" s="1"/>
  <c r="M275" i="27"/>
  <c r="M459" i="27" s="1"/>
  <c r="L275" i="27"/>
  <c r="K275" i="27"/>
  <c r="K459" i="27" s="1"/>
  <c r="G275" i="27"/>
  <c r="F275" i="27"/>
  <c r="E275" i="27"/>
  <c r="C275" i="27"/>
  <c r="B275" i="27"/>
  <c r="B459" i="27" s="1"/>
  <c r="O274" i="27"/>
  <c r="N274" i="27"/>
  <c r="M274" i="27"/>
  <c r="L274" i="27"/>
  <c r="K274" i="27"/>
  <c r="J274" i="27"/>
  <c r="G274" i="27"/>
  <c r="F274" i="27"/>
  <c r="E274" i="27"/>
  <c r="D274" i="27"/>
  <c r="C274" i="27"/>
  <c r="B274" i="27"/>
  <c r="O273" i="27"/>
  <c r="N273" i="27"/>
  <c r="M273" i="27"/>
  <c r="L273" i="27"/>
  <c r="K273" i="27"/>
  <c r="J273" i="27"/>
  <c r="G273" i="27"/>
  <c r="F273" i="27"/>
  <c r="E273" i="27"/>
  <c r="D273" i="27"/>
  <c r="C273" i="27"/>
  <c r="B273" i="27"/>
  <c r="O272" i="27"/>
  <c r="N272" i="27"/>
  <c r="M272" i="27"/>
  <c r="L272" i="27"/>
  <c r="K272" i="27"/>
  <c r="J272" i="27"/>
  <c r="J320" i="27" s="1"/>
  <c r="G272" i="27"/>
  <c r="F272" i="27"/>
  <c r="E272" i="27"/>
  <c r="D272" i="27"/>
  <c r="C272" i="27"/>
  <c r="B272" i="27"/>
  <c r="O271" i="27"/>
  <c r="N271" i="27"/>
  <c r="M271" i="27"/>
  <c r="L271" i="27"/>
  <c r="K271" i="27"/>
  <c r="J271" i="27"/>
  <c r="J319" i="27" s="1"/>
  <c r="G271" i="27"/>
  <c r="F271" i="27"/>
  <c r="E271" i="27"/>
  <c r="D271" i="27"/>
  <c r="C271" i="27"/>
  <c r="B271" i="27"/>
  <c r="O270" i="27"/>
  <c r="M270" i="27"/>
  <c r="L270" i="27"/>
  <c r="K270" i="27"/>
  <c r="G270" i="27"/>
  <c r="F270" i="27"/>
  <c r="E270" i="27"/>
  <c r="C270" i="27"/>
  <c r="B270" i="27"/>
  <c r="O269" i="27"/>
  <c r="N269" i="27"/>
  <c r="M269" i="27"/>
  <c r="L269" i="27"/>
  <c r="K269" i="27"/>
  <c r="J269" i="27"/>
  <c r="G269" i="27"/>
  <c r="F269" i="27"/>
  <c r="E269" i="27"/>
  <c r="D269" i="27"/>
  <c r="C269" i="27"/>
  <c r="B269" i="27"/>
  <c r="O268" i="27"/>
  <c r="N268" i="27"/>
  <c r="M268" i="27"/>
  <c r="L268" i="27"/>
  <c r="K268" i="27"/>
  <c r="J268" i="27"/>
  <c r="G268" i="27"/>
  <c r="F268" i="27"/>
  <c r="E268" i="27"/>
  <c r="D268" i="27"/>
  <c r="C268" i="27"/>
  <c r="B268" i="27"/>
  <c r="O267" i="27"/>
  <c r="N267" i="27"/>
  <c r="M267" i="27"/>
  <c r="L267" i="27"/>
  <c r="K267" i="27"/>
  <c r="J267" i="27"/>
  <c r="G267" i="27"/>
  <c r="F267" i="27"/>
  <c r="E267" i="27"/>
  <c r="D267" i="27"/>
  <c r="C267" i="27"/>
  <c r="B267" i="27"/>
  <c r="O266" i="27"/>
  <c r="N266" i="27"/>
  <c r="M266" i="27"/>
  <c r="L266" i="27"/>
  <c r="K266" i="27"/>
  <c r="J266" i="27"/>
  <c r="G266" i="27"/>
  <c r="F266" i="27"/>
  <c r="E266" i="27"/>
  <c r="D266" i="27"/>
  <c r="C266" i="27"/>
  <c r="B266" i="27"/>
  <c r="O265" i="27"/>
  <c r="M265" i="27"/>
  <c r="L265" i="27"/>
  <c r="K265" i="27"/>
  <c r="G265" i="27"/>
  <c r="F265" i="27"/>
  <c r="E265" i="27"/>
  <c r="C265" i="27"/>
  <c r="B265" i="27"/>
  <c r="O264" i="27"/>
  <c r="N264" i="27"/>
  <c r="M264" i="27"/>
  <c r="L264" i="27"/>
  <c r="K264" i="27"/>
  <c r="J264" i="27"/>
  <c r="J312" i="27" s="1"/>
  <c r="G264" i="27"/>
  <c r="F264" i="27"/>
  <c r="E264" i="27"/>
  <c r="D264" i="27"/>
  <c r="C264" i="27"/>
  <c r="B264" i="27"/>
  <c r="O263" i="27"/>
  <c r="N263" i="27"/>
  <c r="M263" i="27"/>
  <c r="L263" i="27"/>
  <c r="K263" i="27"/>
  <c r="J263" i="27"/>
  <c r="G263" i="27"/>
  <c r="F263" i="27"/>
  <c r="E263" i="27"/>
  <c r="D263" i="27"/>
  <c r="C263" i="27"/>
  <c r="B263" i="27"/>
  <c r="O262" i="27"/>
  <c r="N262" i="27"/>
  <c r="M262" i="27"/>
  <c r="L262" i="27"/>
  <c r="K262" i="27"/>
  <c r="J262" i="27"/>
  <c r="G262" i="27"/>
  <c r="F262" i="27"/>
  <c r="E262" i="27"/>
  <c r="D262" i="27"/>
  <c r="C262" i="27"/>
  <c r="B262" i="27"/>
  <c r="O261" i="27"/>
  <c r="N261" i="27"/>
  <c r="M261" i="27"/>
  <c r="L261" i="27"/>
  <c r="K261" i="27"/>
  <c r="J261" i="27"/>
  <c r="G261" i="27"/>
  <c r="F261" i="27"/>
  <c r="E261" i="27"/>
  <c r="D261" i="27"/>
  <c r="C261" i="27"/>
  <c r="B261" i="27"/>
  <c r="O260" i="27"/>
  <c r="M260" i="27"/>
  <c r="L260" i="27"/>
  <c r="K260" i="27"/>
  <c r="G260" i="27"/>
  <c r="F260" i="27"/>
  <c r="E260" i="27"/>
  <c r="C260" i="27"/>
  <c r="B260" i="27"/>
  <c r="O259" i="27"/>
  <c r="N259" i="27"/>
  <c r="M259" i="27"/>
  <c r="L259" i="27"/>
  <c r="K259" i="27"/>
  <c r="J259" i="27"/>
  <c r="G259" i="27"/>
  <c r="F259" i="27"/>
  <c r="E259" i="27"/>
  <c r="D259" i="27"/>
  <c r="C259" i="27"/>
  <c r="B259" i="27"/>
  <c r="O258" i="27"/>
  <c r="N258" i="27"/>
  <c r="M258" i="27"/>
  <c r="L258" i="27"/>
  <c r="K258" i="27"/>
  <c r="J258" i="27"/>
  <c r="G258" i="27"/>
  <c r="F258" i="27"/>
  <c r="E258" i="27"/>
  <c r="D258" i="27"/>
  <c r="C258" i="27"/>
  <c r="B258" i="27"/>
  <c r="O257" i="27"/>
  <c r="N257" i="27"/>
  <c r="M257" i="27"/>
  <c r="L257" i="27"/>
  <c r="K257" i="27"/>
  <c r="J257" i="27"/>
  <c r="G257" i="27"/>
  <c r="F257" i="27"/>
  <c r="E257" i="27"/>
  <c r="D257" i="27"/>
  <c r="C257" i="27"/>
  <c r="B257" i="27"/>
  <c r="O256" i="27"/>
  <c r="N256" i="27"/>
  <c r="M256" i="27"/>
  <c r="L256" i="27"/>
  <c r="K256" i="27"/>
  <c r="J256" i="27"/>
  <c r="G256" i="27"/>
  <c r="F256" i="27"/>
  <c r="E256" i="27"/>
  <c r="D256" i="27"/>
  <c r="C256" i="27"/>
  <c r="B256" i="27"/>
  <c r="O255" i="27"/>
  <c r="M255" i="27"/>
  <c r="L255" i="27"/>
  <c r="K255" i="27"/>
  <c r="G255" i="27"/>
  <c r="F255" i="27"/>
  <c r="E255" i="27"/>
  <c r="C255" i="27"/>
  <c r="B255" i="27"/>
  <c r="O254" i="27"/>
  <c r="N254" i="27"/>
  <c r="M254" i="27"/>
  <c r="L254" i="27"/>
  <c r="K254" i="27"/>
  <c r="J254" i="27"/>
  <c r="G254" i="27"/>
  <c r="F254" i="27"/>
  <c r="E254" i="27"/>
  <c r="D254" i="27"/>
  <c r="C254" i="27"/>
  <c r="B254" i="27"/>
  <c r="O253" i="27"/>
  <c r="N253" i="27"/>
  <c r="M253" i="27"/>
  <c r="L253" i="27"/>
  <c r="K253" i="27"/>
  <c r="J253" i="27"/>
  <c r="G253" i="27"/>
  <c r="F253" i="27"/>
  <c r="E253" i="27"/>
  <c r="D253" i="27"/>
  <c r="C253" i="27"/>
  <c r="B253" i="27"/>
  <c r="O252" i="27"/>
  <c r="N252" i="27"/>
  <c r="M252" i="27"/>
  <c r="L252" i="27"/>
  <c r="K252" i="27"/>
  <c r="J252" i="27"/>
  <c r="J300" i="27" s="1"/>
  <c r="G252" i="27"/>
  <c r="F252" i="27"/>
  <c r="E252" i="27"/>
  <c r="D252" i="27"/>
  <c r="C252" i="27"/>
  <c r="B252" i="27"/>
  <c r="O251" i="27"/>
  <c r="N251" i="27"/>
  <c r="M251" i="27"/>
  <c r="L251" i="27"/>
  <c r="K251" i="27"/>
  <c r="J251" i="27"/>
  <c r="G251" i="27"/>
  <c r="F251" i="27"/>
  <c r="E251" i="27"/>
  <c r="D251" i="27"/>
  <c r="C251" i="27"/>
  <c r="B251" i="27"/>
  <c r="O250" i="27"/>
  <c r="M250" i="27"/>
  <c r="L250" i="27"/>
  <c r="K250" i="27"/>
  <c r="G250" i="27"/>
  <c r="F250" i="27"/>
  <c r="E250" i="27"/>
  <c r="C250" i="27"/>
  <c r="B250" i="27"/>
  <c r="O249" i="27"/>
  <c r="N249" i="27"/>
  <c r="M249" i="27"/>
  <c r="L249" i="27"/>
  <c r="K249" i="27"/>
  <c r="J249" i="27"/>
  <c r="J297" i="27" s="1"/>
  <c r="G249" i="27"/>
  <c r="F249" i="27"/>
  <c r="E249" i="27"/>
  <c r="D249" i="27"/>
  <c r="C249" i="27"/>
  <c r="B249" i="27"/>
  <c r="O248" i="27"/>
  <c r="N248" i="27"/>
  <c r="M248" i="27"/>
  <c r="L248" i="27"/>
  <c r="K248" i="27"/>
  <c r="J248" i="27"/>
  <c r="G248" i="27"/>
  <c r="F248" i="27"/>
  <c r="E248" i="27"/>
  <c r="D248" i="27"/>
  <c r="C248" i="27"/>
  <c r="B248" i="27"/>
  <c r="O247" i="27"/>
  <c r="N247" i="27"/>
  <c r="M247" i="27"/>
  <c r="L247" i="27"/>
  <c r="K247" i="27"/>
  <c r="J247" i="27"/>
  <c r="G247" i="27"/>
  <c r="F247" i="27"/>
  <c r="E247" i="27"/>
  <c r="D247" i="27"/>
  <c r="C247" i="27"/>
  <c r="B247" i="27"/>
  <c r="O246" i="27"/>
  <c r="N246" i="27"/>
  <c r="M246" i="27"/>
  <c r="L246" i="27"/>
  <c r="K246" i="27"/>
  <c r="J246" i="27"/>
  <c r="G246" i="27"/>
  <c r="F246" i="27"/>
  <c r="E246" i="27"/>
  <c r="D246" i="27"/>
  <c r="C246" i="27"/>
  <c r="B246" i="27"/>
  <c r="O245" i="27"/>
  <c r="N245" i="27"/>
  <c r="M245" i="27"/>
  <c r="L245" i="27"/>
  <c r="K245" i="27"/>
  <c r="J245" i="27"/>
  <c r="G245" i="27"/>
  <c r="F245" i="27"/>
  <c r="E245" i="27"/>
  <c r="D245" i="27"/>
  <c r="C245" i="27"/>
  <c r="B245" i="27"/>
  <c r="P274" i="27"/>
  <c r="H274" i="27"/>
  <c r="P273" i="27"/>
  <c r="H273" i="27"/>
  <c r="P272" i="27"/>
  <c r="H272" i="27"/>
  <c r="P271" i="27"/>
  <c r="H271" i="27"/>
  <c r="P269" i="27"/>
  <c r="H269" i="27"/>
  <c r="P268" i="27"/>
  <c r="H268" i="27"/>
  <c r="P267" i="27"/>
  <c r="H267" i="27"/>
  <c r="P266" i="27"/>
  <c r="H266" i="27"/>
  <c r="P265" i="27"/>
  <c r="P264" i="27"/>
  <c r="H264" i="27"/>
  <c r="P263" i="27"/>
  <c r="H263" i="27"/>
  <c r="P262" i="27"/>
  <c r="H262" i="27"/>
  <c r="P261" i="27"/>
  <c r="H261" i="27"/>
  <c r="P259" i="27"/>
  <c r="H259" i="27"/>
  <c r="P258" i="27"/>
  <c r="H258" i="27"/>
  <c r="P257" i="27"/>
  <c r="H257" i="27"/>
  <c r="P256" i="27"/>
  <c r="H256" i="27"/>
  <c r="P254" i="27"/>
  <c r="H254" i="27"/>
  <c r="P253" i="27"/>
  <c r="H253" i="27"/>
  <c r="P252" i="27"/>
  <c r="H252" i="27"/>
  <c r="P251" i="27"/>
  <c r="H251" i="27"/>
  <c r="P249" i="27"/>
  <c r="H249" i="27"/>
  <c r="P248" i="27"/>
  <c r="H248" i="27"/>
  <c r="P247" i="27"/>
  <c r="H247" i="27"/>
  <c r="P246" i="27"/>
  <c r="H246" i="27"/>
  <c r="P245" i="27"/>
  <c r="H245" i="27"/>
  <c r="P98" i="27"/>
  <c r="H98" i="27"/>
  <c r="P94" i="27"/>
  <c r="H94" i="27"/>
  <c r="P93" i="27"/>
  <c r="H93" i="27"/>
  <c r="P92" i="27"/>
  <c r="H92" i="27"/>
  <c r="P91" i="27"/>
  <c r="H91" i="27"/>
  <c r="P90" i="27"/>
  <c r="H90" i="27"/>
  <c r="P89" i="27"/>
  <c r="H89" i="27"/>
  <c r="P88" i="27"/>
  <c r="H88" i="27"/>
  <c r="P87" i="27"/>
  <c r="H87" i="27"/>
  <c r="P86" i="27"/>
  <c r="H86" i="27"/>
  <c r="P85" i="27"/>
  <c r="H85" i="27"/>
  <c r="P84" i="27"/>
  <c r="H84" i="27"/>
  <c r="P83" i="27"/>
  <c r="H83" i="27"/>
  <c r="P82" i="27"/>
  <c r="H82" i="27"/>
  <c r="P81" i="27"/>
  <c r="H81" i="27"/>
  <c r="P80" i="27"/>
  <c r="H80" i="27"/>
  <c r="P79" i="27"/>
  <c r="H79" i="27"/>
  <c r="P78" i="27"/>
  <c r="H78" i="27"/>
  <c r="P77" i="27"/>
  <c r="H77" i="27"/>
  <c r="P76" i="27"/>
  <c r="H76" i="27"/>
  <c r="P75" i="27"/>
  <c r="H75" i="27"/>
  <c r="P74" i="27"/>
  <c r="H74" i="27"/>
  <c r="P73" i="27"/>
  <c r="H73" i="27"/>
  <c r="P72" i="27"/>
  <c r="H72" i="27"/>
  <c r="P71" i="27"/>
  <c r="H71" i="27"/>
  <c r="P70" i="27"/>
  <c r="H70" i="27"/>
  <c r="P69" i="27"/>
  <c r="H69" i="27"/>
  <c r="P68" i="27"/>
  <c r="H68" i="27"/>
  <c r="P67" i="27"/>
  <c r="H67" i="27"/>
  <c r="P66" i="27"/>
  <c r="H66" i="27"/>
  <c r="P65" i="27"/>
  <c r="H65" i="27"/>
  <c r="P64" i="27"/>
  <c r="H64" i="27"/>
  <c r="P63" i="27"/>
  <c r="H63" i="27"/>
  <c r="P62" i="27"/>
  <c r="H62" i="27"/>
  <c r="P61" i="27"/>
  <c r="H61" i="27"/>
  <c r="P60" i="27"/>
  <c r="H60" i="27"/>
  <c r="P59" i="27"/>
  <c r="H59" i="27"/>
  <c r="P58" i="27"/>
  <c r="H58" i="27"/>
  <c r="P57" i="27"/>
  <c r="H57" i="27"/>
  <c r="P56" i="27"/>
  <c r="H56" i="27"/>
  <c r="P55" i="27"/>
  <c r="H55" i="27"/>
  <c r="P54" i="27"/>
  <c r="H54" i="27"/>
  <c r="P53" i="27"/>
  <c r="H53" i="27"/>
  <c r="G290" i="26"/>
  <c r="F290" i="26"/>
  <c r="E290" i="26"/>
  <c r="D290" i="26"/>
  <c r="C290" i="26"/>
  <c r="B290" i="26"/>
  <c r="G286" i="26"/>
  <c r="E286" i="26"/>
  <c r="D286" i="26"/>
  <c r="C286" i="26"/>
  <c r="G285" i="26"/>
  <c r="F285" i="26"/>
  <c r="E285" i="26"/>
  <c r="D285" i="26"/>
  <c r="C285" i="26"/>
  <c r="B285" i="26"/>
  <c r="G284" i="26"/>
  <c r="F284" i="26"/>
  <c r="E284" i="26"/>
  <c r="D284" i="26"/>
  <c r="C284" i="26"/>
  <c r="B284" i="26"/>
  <c r="G283" i="26"/>
  <c r="F283" i="26"/>
  <c r="E283" i="26"/>
  <c r="D283" i="26"/>
  <c r="C283" i="26"/>
  <c r="B283" i="26"/>
  <c r="G282" i="26"/>
  <c r="F282" i="26"/>
  <c r="E282" i="26"/>
  <c r="D282" i="26"/>
  <c r="C282" i="26"/>
  <c r="B282" i="26"/>
  <c r="G281" i="26"/>
  <c r="F281" i="26"/>
  <c r="F463" i="26" s="1"/>
  <c r="E281" i="26"/>
  <c r="C281" i="26"/>
  <c r="B281" i="26"/>
  <c r="G280" i="26"/>
  <c r="F280" i="26"/>
  <c r="E280" i="26"/>
  <c r="D280" i="26"/>
  <c r="C280" i="26"/>
  <c r="B280" i="26"/>
  <c r="G279" i="26"/>
  <c r="F279" i="26"/>
  <c r="E279" i="26"/>
  <c r="D279" i="26"/>
  <c r="C279" i="26"/>
  <c r="B279" i="26"/>
  <c r="G278" i="26"/>
  <c r="E278" i="26"/>
  <c r="D278" i="26"/>
  <c r="C278" i="26"/>
  <c r="G277" i="26"/>
  <c r="F277" i="26"/>
  <c r="E277" i="26"/>
  <c r="D277" i="26"/>
  <c r="C277" i="26"/>
  <c r="B277" i="26"/>
  <c r="G276" i="26"/>
  <c r="F276" i="26"/>
  <c r="E276" i="26"/>
  <c r="D276" i="26"/>
  <c r="C276" i="26"/>
  <c r="B276" i="26"/>
  <c r="G275" i="26"/>
  <c r="G461" i="26" s="1"/>
  <c r="F275" i="26"/>
  <c r="E275" i="26"/>
  <c r="D275" i="26"/>
  <c r="D461" i="26" s="1"/>
  <c r="C275" i="26"/>
  <c r="C461" i="26" s="1"/>
  <c r="B275" i="26"/>
  <c r="G274" i="26"/>
  <c r="F274" i="26"/>
  <c r="E274" i="26"/>
  <c r="D274" i="26"/>
  <c r="C274" i="26"/>
  <c r="B274" i="26"/>
  <c r="G273" i="26"/>
  <c r="F273" i="26"/>
  <c r="E273" i="26"/>
  <c r="D273" i="26"/>
  <c r="C273" i="26"/>
  <c r="B273" i="26"/>
  <c r="G272" i="26"/>
  <c r="F272" i="26"/>
  <c r="E272" i="26"/>
  <c r="D272" i="26"/>
  <c r="C272" i="26"/>
  <c r="B272" i="26"/>
  <c r="G271" i="26"/>
  <c r="F271" i="26"/>
  <c r="E271" i="26"/>
  <c r="D271" i="26"/>
  <c r="C271" i="26"/>
  <c r="B271" i="26"/>
  <c r="G270" i="26"/>
  <c r="E270" i="26"/>
  <c r="D270" i="26"/>
  <c r="C270" i="26"/>
  <c r="B270" i="26"/>
  <c r="G269" i="26"/>
  <c r="F269" i="26"/>
  <c r="E269" i="26"/>
  <c r="D269" i="26"/>
  <c r="C269" i="26"/>
  <c r="B269" i="26"/>
  <c r="G268" i="26"/>
  <c r="F268" i="26"/>
  <c r="E268" i="26"/>
  <c r="D268" i="26"/>
  <c r="C268" i="26"/>
  <c r="B268" i="26"/>
  <c r="G267" i="26"/>
  <c r="F267" i="26"/>
  <c r="E267" i="26"/>
  <c r="D267" i="26"/>
  <c r="C267" i="26"/>
  <c r="B267" i="26"/>
  <c r="G266" i="26"/>
  <c r="F266" i="26"/>
  <c r="E266" i="26"/>
  <c r="D266" i="26"/>
  <c r="C266" i="26"/>
  <c r="B266" i="26"/>
  <c r="G265" i="26"/>
  <c r="F265" i="26"/>
  <c r="E265" i="26"/>
  <c r="C265" i="26"/>
  <c r="B265" i="26"/>
  <c r="G264" i="26"/>
  <c r="F264" i="26"/>
  <c r="E264" i="26"/>
  <c r="D264" i="26"/>
  <c r="C264" i="26"/>
  <c r="B264" i="26"/>
  <c r="G263" i="26"/>
  <c r="F263" i="26"/>
  <c r="E263" i="26"/>
  <c r="D263" i="26"/>
  <c r="C263" i="26"/>
  <c r="B263" i="26"/>
  <c r="G262" i="26"/>
  <c r="F262" i="26"/>
  <c r="E262" i="26"/>
  <c r="D262" i="26"/>
  <c r="C262" i="26"/>
  <c r="B262" i="26"/>
  <c r="G261" i="26"/>
  <c r="F261" i="26"/>
  <c r="E261" i="26"/>
  <c r="D261" i="26"/>
  <c r="C261" i="26"/>
  <c r="B261" i="26"/>
  <c r="G260" i="26"/>
  <c r="E260" i="26"/>
  <c r="D260" i="26"/>
  <c r="C260" i="26"/>
  <c r="G259" i="26"/>
  <c r="F259" i="26"/>
  <c r="E259" i="26"/>
  <c r="D259" i="26"/>
  <c r="C259" i="26"/>
  <c r="B259" i="26"/>
  <c r="G258" i="26"/>
  <c r="F258" i="26"/>
  <c r="E258" i="26"/>
  <c r="D258" i="26"/>
  <c r="C258" i="26"/>
  <c r="B258" i="26"/>
  <c r="G257" i="26"/>
  <c r="F257" i="26"/>
  <c r="E257" i="26"/>
  <c r="D257" i="26"/>
  <c r="C257" i="26"/>
  <c r="B257" i="26"/>
  <c r="G256" i="26"/>
  <c r="F256" i="26"/>
  <c r="E256" i="26"/>
  <c r="D256" i="26"/>
  <c r="C256" i="26"/>
  <c r="B256" i="26"/>
  <c r="G255" i="26"/>
  <c r="F255" i="26"/>
  <c r="E255" i="26"/>
  <c r="C255" i="26"/>
  <c r="B255" i="26"/>
  <c r="G254" i="26"/>
  <c r="F254" i="26"/>
  <c r="E254" i="26"/>
  <c r="D254" i="26"/>
  <c r="C254" i="26"/>
  <c r="B254" i="26"/>
  <c r="G253" i="26"/>
  <c r="F253" i="26"/>
  <c r="E253" i="26"/>
  <c r="D253" i="26"/>
  <c r="C253" i="26"/>
  <c r="B253" i="26"/>
  <c r="G252" i="26"/>
  <c r="F252" i="26"/>
  <c r="E252" i="26"/>
  <c r="D252" i="26"/>
  <c r="C252" i="26"/>
  <c r="B252" i="26"/>
  <c r="G251" i="26"/>
  <c r="F251" i="26"/>
  <c r="D251" i="26"/>
  <c r="C251" i="26"/>
  <c r="B251" i="26"/>
  <c r="G250" i="26"/>
  <c r="E250" i="26"/>
  <c r="D250" i="26"/>
  <c r="C250" i="26"/>
  <c r="G249" i="26"/>
  <c r="F249" i="26"/>
  <c r="E249" i="26"/>
  <c r="D249" i="26"/>
  <c r="C249" i="26"/>
  <c r="B249" i="26"/>
  <c r="G248" i="26"/>
  <c r="F248" i="26"/>
  <c r="E248" i="26"/>
  <c r="D248" i="26"/>
  <c r="C248" i="26"/>
  <c r="B248" i="26"/>
  <c r="G247" i="26"/>
  <c r="F247" i="26"/>
  <c r="E247" i="26"/>
  <c r="D247" i="26"/>
  <c r="C247" i="26"/>
  <c r="B247" i="26"/>
  <c r="G246" i="26"/>
  <c r="F246" i="26"/>
  <c r="E246" i="26"/>
  <c r="D246" i="26"/>
  <c r="C246" i="26"/>
  <c r="B246" i="26"/>
  <c r="G245" i="26"/>
  <c r="F245" i="26"/>
  <c r="E245" i="26"/>
  <c r="D245" i="26"/>
  <c r="C245" i="26"/>
  <c r="B245" i="26"/>
  <c r="H273" i="26"/>
  <c r="H271" i="26"/>
  <c r="H269" i="26"/>
  <c r="H267" i="26"/>
  <c r="H263" i="26"/>
  <c r="H259" i="26"/>
  <c r="H257" i="26"/>
  <c r="H253" i="26"/>
  <c r="H249" i="26"/>
  <c r="H247" i="26"/>
  <c r="H245" i="26"/>
  <c r="H274" i="26"/>
  <c r="H272" i="26"/>
  <c r="H268" i="26"/>
  <c r="H266" i="26"/>
  <c r="H264" i="26"/>
  <c r="H262" i="26"/>
  <c r="H260" i="26"/>
  <c r="H258" i="26"/>
  <c r="H256" i="26"/>
  <c r="H254" i="26"/>
  <c r="H252" i="26"/>
  <c r="H250" i="26"/>
  <c r="H248" i="26"/>
  <c r="H246" i="26"/>
  <c r="H94" i="26"/>
  <c r="H92" i="26"/>
  <c r="H90" i="26"/>
  <c r="H88" i="26"/>
  <c r="H86" i="26"/>
  <c r="H84" i="26"/>
  <c r="H82" i="26"/>
  <c r="H80" i="26"/>
  <c r="H78" i="26"/>
  <c r="H76" i="26"/>
  <c r="H74" i="26"/>
  <c r="H72" i="26"/>
  <c r="H70" i="26"/>
  <c r="H68" i="26"/>
  <c r="H66" i="26"/>
  <c r="H64" i="26"/>
  <c r="H62" i="26"/>
  <c r="H60" i="26"/>
  <c r="H58" i="26"/>
  <c r="H56" i="26"/>
  <c r="H54" i="26"/>
  <c r="A362" i="32"/>
  <c r="A361" i="32"/>
  <c r="A360" i="32"/>
  <c r="A359" i="32"/>
  <c r="F83" i="13"/>
  <c r="J83" i="13" s="1"/>
  <c r="M336" i="32"/>
  <c r="L336" i="32"/>
  <c r="K336" i="32"/>
  <c r="J336" i="32"/>
  <c r="I336" i="32"/>
  <c r="F336" i="32"/>
  <c r="E336" i="32"/>
  <c r="D336" i="32"/>
  <c r="C336" i="32"/>
  <c r="B336" i="32"/>
  <c r="T332" i="32"/>
  <c r="S332" i="32"/>
  <c r="R332" i="32"/>
  <c r="Q332" i="32"/>
  <c r="P332" i="32"/>
  <c r="M332" i="32"/>
  <c r="L332" i="32"/>
  <c r="K332" i="32"/>
  <c r="J332" i="32"/>
  <c r="I332" i="32"/>
  <c r="F332" i="32"/>
  <c r="E332" i="32"/>
  <c r="D332" i="32"/>
  <c r="C332" i="32"/>
  <c r="B332" i="32"/>
  <c r="N331" i="32"/>
  <c r="M331" i="32"/>
  <c r="L331" i="32"/>
  <c r="K331" i="32"/>
  <c r="J331" i="32"/>
  <c r="I331" i="32"/>
  <c r="F331" i="32"/>
  <c r="E331" i="32"/>
  <c r="D331" i="32"/>
  <c r="C331" i="32"/>
  <c r="B331" i="32"/>
  <c r="T330" i="32"/>
  <c r="S330" i="32"/>
  <c r="R330" i="32"/>
  <c r="Q330" i="32"/>
  <c r="P330" i="32"/>
  <c r="M330" i="32"/>
  <c r="L330" i="32"/>
  <c r="K330" i="32"/>
  <c r="J330" i="32"/>
  <c r="I330" i="32"/>
  <c r="F330" i="32"/>
  <c r="E330" i="32"/>
  <c r="D330" i="32"/>
  <c r="C330" i="32"/>
  <c r="B330" i="32"/>
  <c r="M329" i="32"/>
  <c r="L329" i="32"/>
  <c r="K329" i="32"/>
  <c r="J329" i="32"/>
  <c r="I329" i="32"/>
  <c r="F329" i="32"/>
  <c r="E329" i="32"/>
  <c r="D329" i="32"/>
  <c r="C329" i="32"/>
  <c r="B329" i="32"/>
  <c r="T328" i="32"/>
  <c r="S328" i="32"/>
  <c r="R328" i="32"/>
  <c r="Q328" i="32"/>
  <c r="P328" i="32"/>
  <c r="M328" i="32"/>
  <c r="L328" i="32"/>
  <c r="K328" i="32"/>
  <c r="J328" i="32"/>
  <c r="I328" i="32"/>
  <c r="F328" i="32"/>
  <c r="E328" i="32"/>
  <c r="D328" i="32"/>
  <c r="C328" i="32"/>
  <c r="B328" i="32"/>
  <c r="M327" i="32"/>
  <c r="L327" i="32"/>
  <c r="K327" i="32"/>
  <c r="J327" i="32"/>
  <c r="I327" i="32"/>
  <c r="F327" i="32"/>
  <c r="E327" i="32"/>
  <c r="D327" i="32"/>
  <c r="C327" i="32"/>
  <c r="B327" i="32"/>
  <c r="T326" i="32"/>
  <c r="S326" i="32"/>
  <c r="R326" i="32"/>
  <c r="Q326" i="32"/>
  <c r="P326" i="32"/>
  <c r="M326" i="32"/>
  <c r="L326" i="32"/>
  <c r="K326" i="32"/>
  <c r="J326" i="32"/>
  <c r="I326" i="32"/>
  <c r="F326" i="32"/>
  <c r="E326" i="32"/>
  <c r="D326" i="32"/>
  <c r="C326" i="32"/>
  <c r="B326" i="32"/>
  <c r="T324" i="32"/>
  <c r="S324" i="32"/>
  <c r="R324" i="32"/>
  <c r="Q324" i="32"/>
  <c r="P324" i="32"/>
  <c r="M324" i="32"/>
  <c r="L324" i="32"/>
  <c r="K324" i="32"/>
  <c r="J324" i="32"/>
  <c r="I324" i="32"/>
  <c r="F324" i="32"/>
  <c r="E324" i="32"/>
  <c r="D324" i="32"/>
  <c r="C324" i="32"/>
  <c r="Q323" i="32"/>
  <c r="P323" i="32"/>
  <c r="M323" i="32"/>
  <c r="L323" i="32"/>
  <c r="F323" i="32"/>
  <c r="E323" i="32"/>
  <c r="C323" i="32"/>
  <c r="B323" i="32"/>
  <c r="T322" i="32"/>
  <c r="S322" i="32"/>
  <c r="R322" i="32"/>
  <c r="Q322" i="32"/>
  <c r="P322" i="32"/>
  <c r="M322" i="32"/>
  <c r="L322" i="32"/>
  <c r="K322" i="32"/>
  <c r="F322" i="32"/>
  <c r="E322" i="32"/>
  <c r="D322" i="32"/>
  <c r="C322" i="32"/>
  <c r="B322" i="32"/>
  <c r="T321" i="32"/>
  <c r="S321" i="32"/>
  <c r="R321" i="32"/>
  <c r="Q321" i="32"/>
  <c r="P321" i="32"/>
  <c r="L321" i="32"/>
  <c r="K321" i="32"/>
  <c r="E321" i="32"/>
  <c r="D321" i="32"/>
  <c r="C321" i="32"/>
  <c r="S320" i="32"/>
  <c r="R320" i="32"/>
  <c r="P320" i="32"/>
  <c r="M320" i="32"/>
  <c r="K320" i="32"/>
  <c r="F320" i="32"/>
  <c r="E320" i="32"/>
  <c r="D320" i="32"/>
  <c r="C320" i="32"/>
  <c r="M317" i="32"/>
  <c r="L317" i="32"/>
  <c r="K317" i="32"/>
  <c r="J317" i="32"/>
  <c r="I317" i="32"/>
  <c r="F317" i="32"/>
  <c r="E317" i="32"/>
  <c r="D317" i="32"/>
  <c r="C317" i="32"/>
  <c r="B317" i="32"/>
  <c r="T313" i="32"/>
  <c r="S313" i="32"/>
  <c r="R313" i="32"/>
  <c r="Q313" i="32"/>
  <c r="P313" i="32"/>
  <c r="M313" i="32"/>
  <c r="L313" i="32"/>
  <c r="K313" i="32"/>
  <c r="J313" i="32"/>
  <c r="I313" i="32"/>
  <c r="F313" i="32"/>
  <c r="E313" i="32"/>
  <c r="D313" i="32"/>
  <c r="C313" i="32"/>
  <c r="B313" i="32"/>
  <c r="N312" i="32"/>
  <c r="M312" i="32"/>
  <c r="L312" i="32"/>
  <c r="K312" i="32"/>
  <c r="J312" i="32"/>
  <c r="I312" i="32"/>
  <c r="F312" i="32"/>
  <c r="E312" i="32"/>
  <c r="D312" i="32"/>
  <c r="C312" i="32"/>
  <c r="B312" i="32"/>
  <c r="T311" i="32"/>
  <c r="S311" i="32"/>
  <c r="R311" i="32"/>
  <c r="Q311" i="32"/>
  <c r="P311" i="32"/>
  <c r="M311" i="32"/>
  <c r="L311" i="32"/>
  <c r="K311" i="32"/>
  <c r="J311" i="32"/>
  <c r="I311" i="32"/>
  <c r="F311" i="32"/>
  <c r="E311" i="32"/>
  <c r="D311" i="32"/>
  <c r="C311" i="32"/>
  <c r="B311" i="32"/>
  <c r="M310" i="32"/>
  <c r="L310" i="32"/>
  <c r="K310" i="32"/>
  <c r="J310" i="32"/>
  <c r="I310" i="32"/>
  <c r="F310" i="32"/>
  <c r="E310" i="32"/>
  <c r="D310" i="32"/>
  <c r="C310" i="32"/>
  <c r="B310" i="32"/>
  <c r="T309" i="32"/>
  <c r="S309" i="32"/>
  <c r="R309" i="32"/>
  <c r="Q309" i="32"/>
  <c r="P309" i="32"/>
  <c r="M309" i="32"/>
  <c r="L309" i="32"/>
  <c r="K309" i="32"/>
  <c r="J309" i="32"/>
  <c r="I309" i="32"/>
  <c r="F309" i="32"/>
  <c r="E309" i="32"/>
  <c r="D309" i="32"/>
  <c r="C309" i="32"/>
  <c r="B309" i="32"/>
  <c r="M308" i="32"/>
  <c r="L308" i="32"/>
  <c r="K308" i="32"/>
  <c r="J308" i="32"/>
  <c r="I308" i="32"/>
  <c r="F308" i="32"/>
  <c r="E308" i="32"/>
  <c r="D308" i="32"/>
  <c r="C308" i="32"/>
  <c r="B308" i="32"/>
  <c r="T307" i="32"/>
  <c r="S307" i="32"/>
  <c r="R307" i="32"/>
  <c r="Q307" i="32"/>
  <c r="P307" i="32"/>
  <c r="M307" i="32"/>
  <c r="L307" i="32"/>
  <c r="K307" i="32"/>
  <c r="J307" i="32"/>
  <c r="I307" i="32"/>
  <c r="F307" i="32"/>
  <c r="E307" i="32"/>
  <c r="D307" i="32"/>
  <c r="C307" i="32"/>
  <c r="B307" i="32"/>
  <c r="T305" i="32"/>
  <c r="S305" i="32"/>
  <c r="R305" i="32"/>
  <c r="Q305" i="32"/>
  <c r="P305" i="32"/>
  <c r="M305" i="32"/>
  <c r="K305" i="32"/>
  <c r="J305" i="32"/>
  <c r="I305" i="32"/>
  <c r="F305" i="32"/>
  <c r="D305" i="32"/>
  <c r="C305" i="32"/>
  <c r="T304" i="32"/>
  <c r="S304" i="32"/>
  <c r="R304" i="32"/>
  <c r="Q304" i="32"/>
  <c r="P304" i="32"/>
  <c r="M304" i="32"/>
  <c r="L304" i="32"/>
  <c r="K304" i="32"/>
  <c r="F304" i="32"/>
  <c r="E304" i="32"/>
  <c r="D304" i="32"/>
  <c r="C304" i="32"/>
  <c r="B304" i="32"/>
  <c r="T303" i="32"/>
  <c r="S303" i="32"/>
  <c r="R303" i="32"/>
  <c r="Q303" i="32"/>
  <c r="P303" i="32"/>
  <c r="M303" i="32"/>
  <c r="L303" i="32"/>
  <c r="K303" i="32"/>
  <c r="F303" i="32"/>
  <c r="E303" i="32"/>
  <c r="D303" i="32"/>
  <c r="C303" i="32"/>
  <c r="B303" i="32"/>
  <c r="S302" i="32"/>
  <c r="R302" i="32"/>
  <c r="Q302" i="32"/>
  <c r="P302" i="32"/>
  <c r="L302" i="32"/>
  <c r="K302" i="32"/>
  <c r="E302" i="32"/>
  <c r="D302" i="32"/>
  <c r="C302" i="32"/>
  <c r="S301" i="32"/>
  <c r="R301" i="32"/>
  <c r="Q301" i="32"/>
  <c r="L301" i="32"/>
  <c r="K301" i="32"/>
  <c r="E301" i="32"/>
  <c r="D301" i="32"/>
  <c r="C301" i="32"/>
  <c r="M295" i="32"/>
  <c r="L295" i="32"/>
  <c r="K295" i="32"/>
  <c r="J295" i="32"/>
  <c r="I295" i="32"/>
  <c r="F295" i="32"/>
  <c r="E295" i="32"/>
  <c r="D295" i="32"/>
  <c r="C295" i="32"/>
  <c r="B295" i="32"/>
  <c r="T291" i="32"/>
  <c r="S291" i="32"/>
  <c r="R291" i="32"/>
  <c r="Q291" i="32"/>
  <c r="P291" i="32"/>
  <c r="M291" i="32"/>
  <c r="L291" i="32"/>
  <c r="K291" i="32"/>
  <c r="J291" i="32"/>
  <c r="I291" i="32"/>
  <c r="F291" i="32"/>
  <c r="E291" i="32"/>
  <c r="D291" i="32"/>
  <c r="C291" i="32"/>
  <c r="B291" i="32"/>
  <c r="N290" i="32"/>
  <c r="M290" i="32"/>
  <c r="L290" i="32"/>
  <c r="K290" i="32"/>
  <c r="J290" i="32"/>
  <c r="I290" i="32"/>
  <c r="F290" i="32"/>
  <c r="E290" i="32"/>
  <c r="D290" i="32"/>
  <c r="C290" i="32"/>
  <c r="B290" i="32"/>
  <c r="T289" i="32"/>
  <c r="S289" i="32"/>
  <c r="R289" i="32"/>
  <c r="Q289" i="32"/>
  <c r="P289" i="32"/>
  <c r="M289" i="32"/>
  <c r="L289" i="32"/>
  <c r="K289" i="32"/>
  <c r="J289" i="32"/>
  <c r="I289" i="32"/>
  <c r="F289" i="32"/>
  <c r="E289" i="32"/>
  <c r="D289" i="32"/>
  <c r="C289" i="32"/>
  <c r="B289" i="32"/>
  <c r="M288" i="32"/>
  <c r="L288" i="32"/>
  <c r="K288" i="32"/>
  <c r="J288" i="32"/>
  <c r="I288" i="32"/>
  <c r="F288" i="32"/>
  <c r="E288" i="32"/>
  <c r="D288" i="32"/>
  <c r="C288" i="32"/>
  <c r="B288" i="32"/>
  <c r="T287" i="32"/>
  <c r="S287" i="32"/>
  <c r="R287" i="32"/>
  <c r="Q287" i="32"/>
  <c r="P287" i="32"/>
  <c r="M287" i="32"/>
  <c r="L287" i="32"/>
  <c r="K287" i="32"/>
  <c r="J287" i="32"/>
  <c r="I287" i="32"/>
  <c r="F287" i="32"/>
  <c r="E287" i="32"/>
  <c r="D287" i="32"/>
  <c r="C287" i="32"/>
  <c r="B287" i="32"/>
  <c r="M286" i="32"/>
  <c r="L286" i="32"/>
  <c r="K286" i="32"/>
  <c r="J286" i="32"/>
  <c r="I286" i="32"/>
  <c r="F286" i="32"/>
  <c r="E286" i="32"/>
  <c r="D286" i="32"/>
  <c r="C286" i="32"/>
  <c r="B286" i="32"/>
  <c r="T285" i="32"/>
  <c r="S285" i="32"/>
  <c r="R285" i="32"/>
  <c r="Q285" i="32"/>
  <c r="P285" i="32"/>
  <c r="M285" i="32"/>
  <c r="L285" i="32"/>
  <c r="K285" i="32"/>
  <c r="J285" i="32"/>
  <c r="I285" i="32"/>
  <c r="F285" i="32"/>
  <c r="E285" i="32"/>
  <c r="D285" i="32"/>
  <c r="C285" i="32"/>
  <c r="B285" i="32"/>
  <c r="T283" i="32"/>
  <c r="S283" i="32"/>
  <c r="R283" i="32"/>
  <c r="Q283" i="32"/>
  <c r="P283" i="32"/>
  <c r="M283" i="32"/>
  <c r="L283" i="32"/>
  <c r="K283" i="32"/>
  <c r="J283" i="32"/>
  <c r="I283" i="32"/>
  <c r="F283" i="32"/>
  <c r="E283" i="32"/>
  <c r="D283" i="32"/>
  <c r="C283" i="32"/>
  <c r="T282" i="32"/>
  <c r="S282" i="32"/>
  <c r="R282" i="32"/>
  <c r="Q282" i="32"/>
  <c r="P282" i="32"/>
  <c r="M282" i="32"/>
  <c r="L282" i="32"/>
  <c r="K282" i="32"/>
  <c r="E282" i="32"/>
  <c r="D282" i="32"/>
  <c r="C282" i="32"/>
  <c r="B282" i="32"/>
  <c r="T281" i="32"/>
  <c r="S281" i="32"/>
  <c r="R281" i="32"/>
  <c r="Q281" i="32"/>
  <c r="P281" i="32"/>
  <c r="M281" i="32"/>
  <c r="L281" i="32"/>
  <c r="K281" i="32"/>
  <c r="F281" i="32"/>
  <c r="E281" i="32"/>
  <c r="D281" i="32"/>
  <c r="C281" i="32"/>
  <c r="B281" i="32"/>
  <c r="S280" i="32"/>
  <c r="R280" i="32"/>
  <c r="P280" i="32"/>
  <c r="L280" i="32"/>
  <c r="K280" i="32"/>
  <c r="E280" i="32"/>
  <c r="D280" i="32"/>
  <c r="C280" i="32"/>
  <c r="S279" i="32"/>
  <c r="R279" i="32"/>
  <c r="P279" i="32"/>
  <c r="L279" i="32"/>
  <c r="K279" i="32"/>
  <c r="E279" i="32"/>
  <c r="D279" i="32"/>
  <c r="C279" i="32"/>
  <c r="M243" i="32"/>
  <c r="M358" i="32" s="1"/>
  <c r="L243" i="32"/>
  <c r="L358" i="32" s="1"/>
  <c r="K243" i="32"/>
  <c r="K358" i="32" s="1"/>
  <c r="J243" i="32"/>
  <c r="J358" i="32" s="1"/>
  <c r="I243" i="32"/>
  <c r="I358" i="32" s="1"/>
  <c r="F243" i="32"/>
  <c r="F358" i="32" s="1"/>
  <c r="E243" i="32"/>
  <c r="E358" i="32" s="1"/>
  <c r="D243" i="32"/>
  <c r="D358" i="32" s="1"/>
  <c r="C243" i="32"/>
  <c r="C358" i="32" s="1"/>
  <c r="B243" i="32"/>
  <c r="B358" i="32" s="1"/>
  <c r="T239" i="32"/>
  <c r="T354" i="32" s="1"/>
  <c r="S239" i="32"/>
  <c r="S354" i="32" s="1"/>
  <c r="R239" i="32"/>
  <c r="R354" i="32" s="1"/>
  <c r="Q239" i="32"/>
  <c r="Q354" i="32" s="1"/>
  <c r="P239" i="32"/>
  <c r="P354" i="32" s="1"/>
  <c r="M239" i="32"/>
  <c r="M354" i="32" s="1"/>
  <c r="L239" i="32"/>
  <c r="L354" i="32" s="1"/>
  <c r="K239" i="32"/>
  <c r="K354" i="32" s="1"/>
  <c r="J239" i="32"/>
  <c r="J354" i="32" s="1"/>
  <c r="I239" i="32"/>
  <c r="I354" i="32" s="1"/>
  <c r="F239" i="32"/>
  <c r="F354" i="32" s="1"/>
  <c r="E239" i="32"/>
  <c r="E354" i="32" s="1"/>
  <c r="D239" i="32"/>
  <c r="D354" i="32" s="1"/>
  <c r="C239" i="32"/>
  <c r="C354" i="32" s="1"/>
  <c r="B239" i="32"/>
  <c r="B354" i="32" s="1"/>
  <c r="N238" i="32"/>
  <c r="N353" i="32" s="1"/>
  <c r="M238" i="32"/>
  <c r="M353" i="32" s="1"/>
  <c r="L238" i="32"/>
  <c r="L353" i="32" s="1"/>
  <c r="K238" i="32"/>
  <c r="K353" i="32" s="1"/>
  <c r="J238" i="32"/>
  <c r="J353" i="32" s="1"/>
  <c r="I238" i="32"/>
  <c r="I353" i="32" s="1"/>
  <c r="F238" i="32"/>
  <c r="F353" i="32" s="1"/>
  <c r="E238" i="32"/>
  <c r="E353" i="32" s="1"/>
  <c r="D238" i="32"/>
  <c r="D353" i="32" s="1"/>
  <c r="C238" i="32"/>
  <c r="C353" i="32" s="1"/>
  <c r="B238" i="32"/>
  <c r="B353" i="32" s="1"/>
  <c r="T237" i="32"/>
  <c r="T352" i="32" s="1"/>
  <c r="S237" i="32"/>
  <c r="S352" i="32" s="1"/>
  <c r="R237" i="32"/>
  <c r="R352" i="32" s="1"/>
  <c r="Q237" i="32"/>
  <c r="Q352" i="32" s="1"/>
  <c r="P237" i="32"/>
  <c r="P352" i="32" s="1"/>
  <c r="M237" i="32"/>
  <c r="M352" i="32" s="1"/>
  <c r="L237" i="32"/>
  <c r="L352" i="32" s="1"/>
  <c r="K237" i="32"/>
  <c r="K352" i="32" s="1"/>
  <c r="J237" i="32"/>
  <c r="J352" i="32" s="1"/>
  <c r="I237" i="32"/>
  <c r="I352" i="32" s="1"/>
  <c r="F237" i="32"/>
  <c r="F352" i="32" s="1"/>
  <c r="E237" i="32"/>
  <c r="E352" i="32" s="1"/>
  <c r="D237" i="32"/>
  <c r="D352" i="32" s="1"/>
  <c r="C237" i="32"/>
  <c r="C352" i="32" s="1"/>
  <c r="B237" i="32"/>
  <c r="B352" i="32" s="1"/>
  <c r="M236" i="32"/>
  <c r="M351" i="32" s="1"/>
  <c r="L236" i="32"/>
  <c r="L351" i="32" s="1"/>
  <c r="K236" i="32"/>
  <c r="K351" i="32" s="1"/>
  <c r="J236" i="32"/>
  <c r="J351" i="32" s="1"/>
  <c r="I236" i="32"/>
  <c r="I351" i="32" s="1"/>
  <c r="F236" i="32"/>
  <c r="F351" i="32" s="1"/>
  <c r="E236" i="32"/>
  <c r="E351" i="32" s="1"/>
  <c r="D236" i="32"/>
  <c r="D351" i="32" s="1"/>
  <c r="C236" i="32"/>
  <c r="C351" i="32" s="1"/>
  <c r="B236" i="32"/>
  <c r="B351" i="32" s="1"/>
  <c r="T235" i="32"/>
  <c r="T350" i="32" s="1"/>
  <c r="S235" i="32"/>
  <c r="S350" i="32" s="1"/>
  <c r="R235" i="32"/>
  <c r="R350" i="32" s="1"/>
  <c r="Q235" i="32"/>
  <c r="Q350" i="32" s="1"/>
  <c r="P235" i="32"/>
  <c r="P350" i="32" s="1"/>
  <c r="M235" i="32"/>
  <c r="M350" i="32" s="1"/>
  <c r="L235" i="32"/>
  <c r="L350" i="32" s="1"/>
  <c r="K235" i="32"/>
  <c r="K350" i="32" s="1"/>
  <c r="J235" i="32"/>
  <c r="J350" i="32" s="1"/>
  <c r="I235" i="32"/>
  <c r="I350" i="32" s="1"/>
  <c r="F235" i="32"/>
  <c r="F350" i="32" s="1"/>
  <c r="E235" i="32"/>
  <c r="E350" i="32" s="1"/>
  <c r="D235" i="32"/>
  <c r="D350" i="32" s="1"/>
  <c r="C235" i="32"/>
  <c r="C350" i="32" s="1"/>
  <c r="B235" i="32"/>
  <c r="B350" i="32" s="1"/>
  <c r="M234" i="32"/>
  <c r="M349" i="32" s="1"/>
  <c r="L234" i="32"/>
  <c r="L349" i="32" s="1"/>
  <c r="K234" i="32"/>
  <c r="K349" i="32" s="1"/>
  <c r="J234" i="32"/>
  <c r="J349" i="32" s="1"/>
  <c r="I234" i="32"/>
  <c r="I349" i="32" s="1"/>
  <c r="F234" i="32"/>
  <c r="F349" i="32" s="1"/>
  <c r="E234" i="32"/>
  <c r="E349" i="32" s="1"/>
  <c r="D234" i="32"/>
  <c r="D349" i="32" s="1"/>
  <c r="C234" i="32"/>
  <c r="C349" i="32" s="1"/>
  <c r="B234" i="32"/>
  <c r="B349" i="32" s="1"/>
  <c r="T233" i="32"/>
  <c r="T348" i="32" s="1"/>
  <c r="S233" i="32"/>
  <c r="S348" i="32" s="1"/>
  <c r="R233" i="32"/>
  <c r="R348" i="32" s="1"/>
  <c r="Q233" i="32"/>
  <c r="Q348" i="32" s="1"/>
  <c r="P233" i="32"/>
  <c r="P348" i="32" s="1"/>
  <c r="M233" i="32"/>
  <c r="M348" i="32" s="1"/>
  <c r="L233" i="32"/>
  <c r="L348" i="32" s="1"/>
  <c r="K233" i="32"/>
  <c r="K348" i="32" s="1"/>
  <c r="J233" i="32"/>
  <c r="J348" i="32" s="1"/>
  <c r="I233" i="32"/>
  <c r="I348" i="32" s="1"/>
  <c r="F233" i="32"/>
  <c r="F348" i="32" s="1"/>
  <c r="E233" i="32"/>
  <c r="E348" i="32" s="1"/>
  <c r="D233" i="32"/>
  <c r="D348" i="32" s="1"/>
  <c r="C233" i="32"/>
  <c r="C348" i="32" s="1"/>
  <c r="B233" i="32"/>
  <c r="B348" i="32" s="1"/>
  <c r="M232" i="32"/>
  <c r="L232" i="32"/>
  <c r="K232" i="32"/>
  <c r="J232" i="32"/>
  <c r="I232" i="32"/>
  <c r="F232" i="32"/>
  <c r="E232" i="32"/>
  <c r="D232" i="32"/>
  <c r="C232" i="32"/>
  <c r="B232" i="32"/>
  <c r="T231" i="32"/>
  <c r="S231" i="32"/>
  <c r="R231" i="32"/>
  <c r="Q231" i="32"/>
  <c r="P231" i="32"/>
  <c r="M231" i="32"/>
  <c r="L231" i="32"/>
  <c r="K231" i="32"/>
  <c r="J231" i="32"/>
  <c r="I231" i="32"/>
  <c r="F231" i="32"/>
  <c r="E231" i="32"/>
  <c r="D231" i="32"/>
  <c r="C231" i="32"/>
  <c r="B231" i="32"/>
  <c r="M230" i="32"/>
  <c r="L230" i="32"/>
  <c r="K230" i="32"/>
  <c r="J230" i="32"/>
  <c r="I230" i="32"/>
  <c r="F230" i="32"/>
  <c r="E230" i="32"/>
  <c r="D230" i="32"/>
  <c r="C230" i="32"/>
  <c r="B230" i="32"/>
  <c r="T229" i="32"/>
  <c r="T347" i="32" s="1"/>
  <c r="S229" i="32"/>
  <c r="S347" i="32" s="1"/>
  <c r="R229" i="32"/>
  <c r="R347" i="32" s="1"/>
  <c r="Q229" i="32"/>
  <c r="Q347" i="32" s="1"/>
  <c r="P229" i="32"/>
  <c r="P347" i="32" s="1"/>
  <c r="M229" i="32"/>
  <c r="L229" i="32"/>
  <c r="K229" i="32"/>
  <c r="J229" i="32"/>
  <c r="I229" i="32"/>
  <c r="F229" i="32"/>
  <c r="E229" i="32"/>
  <c r="D229" i="32"/>
  <c r="C229" i="32"/>
  <c r="B229" i="32"/>
  <c r="M228" i="32"/>
  <c r="L228" i="32"/>
  <c r="K228" i="32"/>
  <c r="K347" i="32" s="1"/>
  <c r="J228" i="32"/>
  <c r="J347" i="32" s="1"/>
  <c r="I228" i="32"/>
  <c r="I347" i="32" s="1"/>
  <c r="F228" i="32"/>
  <c r="E228" i="32"/>
  <c r="E347" i="32" s="1"/>
  <c r="D228" i="32"/>
  <c r="C228" i="32"/>
  <c r="B228" i="32"/>
  <c r="T227" i="32"/>
  <c r="S227" i="32"/>
  <c r="R227" i="32"/>
  <c r="Q227" i="32"/>
  <c r="P227" i="32"/>
  <c r="M227" i="32"/>
  <c r="L227" i="32"/>
  <c r="K227" i="32"/>
  <c r="J227" i="32"/>
  <c r="I227" i="32"/>
  <c r="F227" i="32"/>
  <c r="E227" i="32"/>
  <c r="D227" i="32"/>
  <c r="C227" i="32"/>
  <c r="M226" i="32"/>
  <c r="L226" i="32"/>
  <c r="K226" i="32"/>
  <c r="J226" i="32"/>
  <c r="I226" i="32"/>
  <c r="F226" i="32"/>
  <c r="E226" i="32"/>
  <c r="D226" i="32"/>
  <c r="C226" i="32"/>
  <c r="B226" i="32"/>
  <c r="T225" i="32"/>
  <c r="S225" i="32"/>
  <c r="R225" i="32"/>
  <c r="Q225" i="32"/>
  <c r="P225" i="32"/>
  <c r="M225" i="32"/>
  <c r="L225" i="32"/>
  <c r="K225" i="32"/>
  <c r="J225" i="32"/>
  <c r="I225" i="32"/>
  <c r="F225" i="32"/>
  <c r="E225" i="32"/>
  <c r="D225" i="32"/>
  <c r="C225" i="32"/>
  <c r="B225" i="32"/>
  <c r="M224" i="32"/>
  <c r="L224" i="32"/>
  <c r="K224" i="32"/>
  <c r="J224" i="32"/>
  <c r="I224" i="32"/>
  <c r="F224" i="32"/>
  <c r="E224" i="32"/>
  <c r="D224" i="32"/>
  <c r="C224" i="32"/>
  <c r="B224" i="32"/>
  <c r="T223" i="32"/>
  <c r="S223" i="32"/>
  <c r="R223" i="32"/>
  <c r="Q223" i="32"/>
  <c r="P223" i="32"/>
  <c r="M223" i="32"/>
  <c r="K223" i="32"/>
  <c r="J223" i="32"/>
  <c r="J346" i="32" s="1"/>
  <c r="I223" i="32"/>
  <c r="I346" i="32" s="1"/>
  <c r="F223" i="32"/>
  <c r="D223" i="32"/>
  <c r="C223" i="32"/>
  <c r="B223" i="32"/>
  <c r="M222" i="32"/>
  <c r="L222" i="32"/>
  <c r="K222" i="32"/>
  <c r="J222" i="32"/>
  <c r="I222" i="32"/>
  <c r="F222" i="32"/>
  <c r="E222" i="32"/>
  <c r="D222" i="32"/>
  <c r="C222" i="32"/>
  <c r="B222" i="32"/>
  <c r="T221" i="32"/>
  <c r="S221" i="32"/>
  <c r="R221" i="32"/>
  <c r="Q221" i="32"/>
  <c r="P221" i="32"/>
  <c r="M221" i="32"/>
  <c r="L221" i="32"/>
  <c r="K221" i="32"/>
  <c r="J221" i="32"/>
  <c r="I221" i="32"/>
  <c r="F221" i="32"/>
  <c r="E221" i="32"/>
  <c r="D221" i="32"/>
  <c r="C221" i="32"/>
  <c r="B221" i="32"/>
  <c r="N220" i="32"/>
  <c r="M220" i="32"/>
  <c r="L220" i="32"/>
  <c r="K220" i="32"/>
  <c r="J220" i="32"/>
  <c r="I220" i="32"/>
  <c r="F220" i="32"/>
  <c r="E220" i="32"/>
  <c r="D220" i="32"/>
  <c r="C220" i="32"/>
  <c r="B220" i="32"/>
  <c r="T219" i="32"/>
  <c r="S219" i="32"/>
  <c r="R219" i="32"/>
  <c r="Q219" i="32"/>
  <c r="P219" i="32"/>
  <c r="N219" i="32"/>
  <c r="M219" i="32"/>
  <c r="L219" i="32"/>
  <c r="K219" i="32"/>
  <c r="J219" i="32"/>
  <c r="I219" i="32"/>
  <c r="F219" i="32"/>
  <c r="E219" i="32"/>
  <c r="D219" i="32"/>
  <c r="C219" i="32"/>
  <c r="B219" i="32"/>
  <c r="M218" i="32"/>
  <c r="L218" i="32"/>
  <c r="K218" i="32"/>
  <c r="J218" i="32"/>
  <c r="I218" i="32"/>
  <c r="G218" i="32"/>
  <c r="F218" i="32"/>
  <c r="E218" i="32"/>
  <c r="D218" i="32"/>
  <c r="C218" i="32"/>
  <c r="B218" i="32"/>
  <c r="T217" i="32"/>
  <c r="S217" i="32"/>
  <c r="R217" i="32"/>
  <c r="Q217" i="32"/>
  <c r="P217" i="32"/>
  <c r="M217" i="32"/>
  <c r="L217" i="32"/>
  <c r="K217" i="32"/>
  <c r="J217" i="32"/>
  <c r="I217" i="32"/>
  <c r="F217" i="32"/>
  <c r="E217" i="32"/>
  <c r="D217" i="32"/>
  <c r="C217" i="32"/>
  <c r="B217" i="32"/>
  <c r="N216" i="32"/>
  <c r="M216" i="32"/>
  <c r="L216" i="32"/>
  <c r="K216" i="32"/>
  <c r="J216" i="32"/>
  <c r="I216" i="32"/>
  <c r="G216" i="32"/>
  <c r="F216" i="32"/>
  <c r="E216" i="32"/>
  <c r="D216" i="32"/>
  <c r="C216" i="32"/>
  <c r="B216" i="32"/>
  <c r="T215" i="32"/>
  <c r="R215" i="32"/>
  <c r="Q215" i="32"/>
  <c r="P215" i="32"/>
  <c r="M215" i="32"/>
  <c r="L215" i="32"/>
  <c r="K215" i="32"/>
  <c r="J215" i="32"/>
  <c r="I215" i="32"/>
  <c r="F215" i="32"/>
  <c r="E215" i="32"/>
  <c r="D215" i="32"/>
  <c r="C215" i="32"/>
  <c r="B215" i="32"/>
  <c r="M214" i="32"/>
  <c r="L214" i="32"/>
  <c r="K214" i="32"/>
  <c r="J214" i="32"/>
  <c r="I214" i="32"/>
  <c r="F214" i="32"/>
  <c r="E214" i="32"/>
  <c r="D214" i="32"/>
  <c r="C214" i="32"/>
  <c r="B214" i="32"/>
  <c r="T213" i="32"/>
  <c r="R213" i="32"/>
  <c r="Q213" i="32"/>
  <c r="P213" i="32"/>
  <c r="M213" i="32"/>
  <c r="L213" i="32"/>
  <c r="K213" i="32"/>
  <c r="J213" i="32"/>
  <c r="I213" i="32"/>
  <c r="F213" i="32"/>
  <c r="E213" i="32"/>
  <c r="D213" i="32"/>
  <c r="B213" i="32"/>
  <c r="L212" i="32"/>
  <c r="K212" i="32"/>
  <c r="J212" i="32"/>
  <c r="I212" i="32"/>
  <c r="E212" i="32"/>
  <c r="D212" i="32"/>
  <c r="C212" i="32"/>
  <c r="T211" i="32"/>
  <c r="S211" i="32"/>
  <c r="R211" i="32"/>
  <c r="Q211" i="32"/>
  <c r="P211" i="32"/>
  <c r="M211" i="32"/>
  <c r="K211" i="32"/>
  <c r="J211" i="32"/>
  <c r="I211" i="32"/>
  <c r="F211" i="32"/>
  <c r="D211" i="32"/>
  <c r="C211" i="32"/>
  <c r="B211" i="32"/>
  <c r="M210" i="32"/>
  <c r="L210" i="32"/>
  <c r="K210" i="32"/>
  <c r="J210" i="32"/>
  <c r="I210" i="32"/>
  <c r="F210" i="32"/>
  <c r="E210" i="32"/>
  <c r="D210" i="32"/>
  <c r="C210" i="32"/>
  <c r="T209" i="32"/>
  <c r="S209" i="32"/>
  <c r="Q209" i="32"/>
  <c r="P209" i="32"/>
  <c r="M209" i="32"/>
  <c r="L209" i="32"/>
  <c r="J209" i="32"/>
  <c r="I209" i="32"/>
  <c r="F209" i="32"/>
  <c r="E209" i="32"/>
  <c r="D209" i="32"/>
  <c r="C209" i="32"/>
  <c r="M208" i="32"/>
  <c r="L208" i="32"/>
  <c r="K208" i="32"/>
  <c r="J208" i="32"/>
  <c r="I208" i="32"/>
  <c r="F208" i="32"/>
  <c r="E208" i="32"/>
  <c r="D208" i="32"/>
  <c r="C208" i="32"/>
  <c r="T207" i="32"/>
  <c r="S207" i="32"/>
  <c r="R207" i="32"/>
  <c r="Q207" i="32"/>
  <c r="M207" i="32"/>
  <c r="L207" i="32"/>
  <c r="K207" i="32"/>
  <c r="J207" i="32"/>
  <c r="I207" i="32"/>
  <c r="F207" i="32"/>
  <c r="E207" i="32"/>
  <c r="D207" i="32"/>
  <c r="C207" i="32"/>
  <c r="M206" i="32"/>
  <c r="L206" i="32"/>
  <c r="K206" i="32"/>
  <c r="J206" i="32"/>
  <c r="I206" i="32"/>
  <c r="F206" i="32"/>
  <c r="E206" i="32"/>
  <c r="D206" i="32"/>
  <c r="C206" i="32"/>
  <c r="B206" i="32"/>
  <c r="T205" i="32"/>
  <c r="S205" i="32"/>
  <c r="R205" i="32"/>
  <c r="Q205" i="32"/>
  <c r="P205" i="32"/>
  <c r="M205" i="32"/>
  <c r="K205" i="32"/>
  <c r="J205" i="32"/>
  <c r="I205" i="32"/>
  <c r="F205" i="32"/>
  <c r="E205" i="32"/>
  <c r="D205" i="32"/>
  <c r="C205" i="32"/>
  <c r="M204" i="32"/>
  <c r="L204" i="32"/>
  <c r="K204" i="32"/>
  <c r="J204" i="32"/>
  <c r="I204" i="32"/>
  <c r="F204" i="32"/>
  <c r="E204" i="32"/>
  <c r="D204" i="32"/>
  <c r="C204" i="32"/>
  <c r="T203" i="32"/>
  <c r="S203" i="32"/>
  <c r="R203" i="32"/>
  <c r="Q203" i="32"/>
  <c r="M203" i="32"/>
  <c r="K203" i="32"/>
  <c r="J203" i="32"/>
  <c r="I203" i="32"/>
  <c r="F203" i="32"/>
  <c r="E203" i="32"/>
  <c r="D203" i="32"/>
  <c r="C203" i="32"/>
  <c r="M202" i="32"/>
  <c r="L202" i="32"/>
  <c r="K202" i="32"/>
  <c r="J202" i="32"/>
  <c r="I202" i="32"/>
  <c r="F202" i="32"/>
  <c r="E202" i="32"/>
  <c r="D202" i="32"/>
  <c r="C202" i="32"/>
  <c r="S201" i="32"/>
  <c r="R201" i="32"/>
  <c r="Q201" i="32"/>
  <c r="M201" i="32"/>
  <c r="L201" i="32"/>
  <c r="J201" i="32"/>
  <c r="I201" i="32"/>
  <c r="F201" i="32"/>
  <c r="E201" i="32"/>
  <c r="D201" i="32"/>
  <c r="C201" i="32"/>
  <c r="L200" i="32"/>
  <c r="K200" i="32"/>
  <c r="J200" i="32"/>
  <c r="I200" i="32"/>
  <c r="E200" i="32"/>
  <c r="D200" i="32"/>
  <c r="C200" i="32"/>
  <c r="B200" i="32"/>
  <c r="S199" i="32"/>
  <c r="R199" i="32"/>
  <c r="Q199" i="32"/>
  <c r="P199" i="32"/>
  <c r="L199" i="32"/>
  <c r="J199" i="32"/>
  <c r="I199" i="32"/>
  <c r="E199" i="32"/>
  <c r="D199" i="32"/>
  <c r="C199" i="32"/>
  <c r="L198" i="32"/>
  <c r="K198" i="32"/>
  <c r="I198" i="32"/>
  <c r="E198" i="32"/>
  <c r="D198" i="32"/>
  <c r="C198" i="32"/>
  <c r="N195" i="32"/>
  <c r="E41" i="13"/>
  <c r="U191" i="32"/>
  <c r="N191" i="32"/>
  <c r="N332" i="32" s="1"/>
  <c r="E60" i="13" s="1"/>
  <c r="G191" i="32"/>
  <c r="G332" i="32" s="1"/>
  <c r="G190" i="32"/>
  <c r="U189" i="32"/>
  <c r="N189" i="32"/>
  <c r="G189" i="32"/>
  <c r="G330" i="32" s="1"/>
  <c r="N188" i="32"/>
  <c r="G188" i="32"/>
  <c r="U187" i="32"/>
  <c r="N187" i="32"/>
  <c r="G187" i="32"/>
  <c r="N186" i="32"/>
  <c r="G186" i="32"/>
  <c r="U185" i="32"/>
  <c r="U326" i="32" s="1"/>
  <c r="N185" i="32"/>
  <c r="G185" i="32"/>
  <c r="N184" i="32"/>
  <c r="G184" i="32"/>
  <c r="U183" i="32"/>
  <c r="N183" i="32"/>
  <c r="G183" i="32"/>
  <c r="N182" i="32"/>
  <c r="G182" i="32"/>
  <c r="U181" i="32"/>
  <c r="N181" i="32"/>
  <c r="G181" i="32"/>
  <c r="N180" i="32"/>
  <c r="G180" i="32"/>
  <c r="U179" i="32"/>
  <c r="N179" i="32"/>
  <c r="B179" i="32"/>
  <c r="B178" i="27" s="1"/>
  <c r="N178" i="32"/>
  <c r="G178" i="32"/>
  <c r="U177" i="32"/>
  <c r="N177" i="32"/>
  <c r="G177" i="32"/>
  <c r="N176" i="32"/>
  <c r="G176" i="32"/>
  <c r="U175" i="32"/>
  <c r="N175" i="32"/>
  <c r="G175" i="32"/>
  <c r="N174" i="32"/>
  <c r="G174" i="32"/>
  <c r="N173" i="32"/>
  <c r="G173" i="32"/>
  <c r="U171" i="32"/>
  <c r="G171" i="32"/>
  <c r="U167" i="32"/>
  <c r="N167" i="32"/>
  <c r="G167" i="32"/>
  <c r="N166" i="32"/>
  <c r="G166" i="32"/>
  <c r="U165" i="32"/>
  <c r="N165" i="32"/>
  <c r="G165" i="32"/>
  <c r="M164" i="32"/>
  <c r="N163" i="27" s="1"/>
  <c r="F164" i="32"/>
  <c r="F163" i="27" s="1"/>
  <c r="B164" i="32"/>
  <c r="B163" i="27" s="1"/>
  <c r="U163" i="32"/>
  <c r="N163" i="32"/>
  <c r="G163" i="32"/>
  <c r="B162" i="32"/>
  <c r="B161" i="27" s="1"/>
  <c r="U161" i="32"/>
  <c r="N161" i="32"/>
  <c r="B161" i="32"/>
  <c r="B160" i="27" s="1"/>
  <c r="N160" i="32"/>
  <c r="B160" i="32"/>
  <c r="B159" i="27" s="1"/>
  <c r="U159" i="32"/>
  <c r="N159" i="32"/>
  <c r="B159" i="32"/>
  <c r="B158" i="27" s="1"/>
  <c r="N158" i="32"/>
  <c r="G158" i="32"/>
  <c r="U157" i="32"/>
  <c r="N157" i="32"/>
  <c r="B157" i="32"/>
  <c r="N156" i="32"/>
  <c r="B156" i="32"/>
  <c r="B155" i="27" s="1"/>
  <c r="U155" i="32"/>
  <c r="L155" i="32"/>
  <c r="M154" i="27" s="1"/>
  <c r="B155" i="32"/>
  <c r="N154" i="32"/>
  <c r="B154" i="32"/>
  <c r="B153" i="27" s="1"/>
  <c r="U153" i="32"/>
  <c r="N153" i="32"/>
  <c r="B153" i="32"/>
  <c r="B152" i="27" s="1"/>
  <c r="M152" i="32"/>
  <c r="N151" i="27" s="1"/>
  <c r="F152" i="32"/>
  <c r="F151" i="27" s="1"/>
  <c r="T151" i="32"/>
  <c r="U151" i="32" s="1"/>
  <c r="M151" i="32"/>
  <c r="N150" i="27" s="1"/>
  <c r="F151" i="32"/>
  <c r="F150" i="27" s="1"/>
  <c r="B151" i="32"/>
  <c r="B150" i="27" s="1"/>
  <c r="M150" i="32"/>
  <c r="F150" i="32"/>
  <c r="F149" i="27" s="1"/>
  <c r="B150" i="32"/>
  <c r="B149" i="27" s="1"/>
  <c r="N147" i="32"/>
  <c r="N317" i="32" s="1"/>
  <c r="D64" i="13" s="1"/>
  <c r="G147" i="32"/>
  <c r="U143" i="32"/>
  <c r="U313" i="32" s="1"/>
  <c r="N143" i="32"/>
  <c r="N313" i="32" s="1"/>
  <c r="D60" i="13" s="1"/>
  <c r="G143" i="32"/>
  <c r="G313" i="32" s="1"/>
  <c r="G142" i="32"/>
  <c r="G312" i="32" s="1"/>
  <c r="U141" i="32"/>
  <c r="U311" i="32" s="1"/>
  <c r="N141" i="32"/>
  <c r="N311" i="32" s="1"/>
  <c r="D58" i="13" s="1"/>
  <c r="G141" i="32"/>
  <c r="G311" i="32" s="1"/>
  <c r="N140" i="32"/>
  <c r="N310" i="32" s="1"/>
  <c r="D57" i="13" s="1"/>
  <c r="G140" i="32"/>
  <c r="G310" i="32" s="1"/>
  <c r="U139" i="32"/>
  <c r="U309" i="32" s="1"/>
  <c r="N139" i="32"/>
  <c r="N309" i="32" s="1"/>
  <c r="D56" i="13" s="1"/>
  <c r="G139" i="32"/>
  <c r="G309" i="32" s="1"/>
  <c r="N138" i="32"/>
  <c r="N308" i="32" s="1"/>
  <c r="D55" i="13" s="1"/>
  <c r="G138" i="32"/>
  <c r="G308" i="32" s="1"/>
  <c r="U137" i="32"/>
  <c r="U307" i="32" s="1"/>
  <c r="N137" i="32"/>
  <c r="N307" i="32" s="1"/>
  <c r="G137" i="32"/>
  <c r="G307" i="32" s="1"/>
  <c r="N136" i="32"/>
  <c r="G136" i="32"/>
  <c r="U135" i="32"/>
  <c r="N135" i="32"/>
  <c r="G135" i="32"/>
  <c r="N134" i="32"/>
  <c r="G134" i="32"/>
  <c r="U133" i="32"/>
  <c r="N133" i="32"/>
  <c r="G133" i="32"/>
  <c r="N132" i="32"/>
  <c r="G132" i="32"/>
  <c r="U131" i="32"/>
  <c r="N131" i="32"/>
  <c r="B131" i="32"/>
  <c r="G131" i="32" s="1"/>
  <c r="N130" i="32"/>
  <c r="G130" i="32"/>
  <c r="U129" i="32"/>
  <c r="N129" i="32"/>
  <c r="G129" i="32"/>
  <c r="N128" i="32"/>
  <c r="P31" i="27" s="1"/>
  <c r="G128" i="32"/>
  <c r="U127" i="32"/>
  <c r="L127" i="32"/>
  <c r="E127" i="32"/>
  <c r="E30" i="27" s="1"/>
  <c r="N126" i="32"/>
  <c r="P29" i="27" s="1"/>
  <c r="G126" i="32"/>
  <c r="U125" i="32"/>
  <c r="N125" i="32"/>
  <c r="G125" i="32"/>
  <c r="G124" i="32"/>
  <c r="U123" i="32"/>
  <c r="G123" i="32"/>
  <c r="N122" i="32"/>
  <c r="U119" i="32"/>
  <c r="N119" i="32"/>
  <c r="G119" i="32"/>
  <c r="N118" i="32"/>
  <c r="G118" i="32"/>
  <c r="U117" i="32"/>
  <c r="N117" i="32"/>
  <c r="G117" i="32"/>
  <c r="N116" i="32"/>
  <c r="B116" i="32"/>
  <c r="G116" i="32" s="1"/>
  <c r="U115" i="32"/>
  <c r="N115" i="32"/>
  <c r="G115" i="32"/>
  <c r="B114" i="32"/>
  <c r="G114" i="32" s="1"/>
  <c r="U113" i="32"/>
  <c r="N113" i="32"/>
  <c r="B113" i="32"/>
  <c r="G113" i="32" s="1"/>
  <c r="N112" i="32"/>
  <c r="B112" i="32"/>
  <c r="P111" i="32"/>
  <c r="N111" i="32"/>
  <c r="B111" i="32"/>
  <c r="G111" i="32" s="1"/>
  <c r="G110" i="32"/>
  <c r="U109" i="32"/>
  <c r="N109" i="32"/>
  <c r="B109" i="32"/>
  <c r="G109" i="32" s="1"/>
  <c r="N108" i="32"/>
  <c r="B108" i="32"/>
  <c r="B11" i="27" s="1"/>
  <c r="P107" i="32"/>
  <c r="N107" i="32"/>
  <c r="B107" i="32"/>
  <c r="N106" i="32"/>
  <c r="B106" i="32"/>
  <c r="G106" i="32" s="1"/>
  <c r="U105" i="32"/>
  <c r="N105" i="32"/>
  <c r="B105" i="32"/>
  <c r="G105" i="32" s="1"/>
  <c r="M104" i="32"/>
  <c r="N104" i="32" s="1"/>
  <c r="F104" i="32"/>
  <c r="G104" i="32" s="1"/>
  <c r="T103" i="32"/>
  <c r="U103" i="32" s="1"/>
  <c r="M103" i="32"/>
  <c r="N103" i="32" s="1"/>
  <c r="F103" i="32"/>
  <c r="B103" i="32"/>
  <c r="M102" i="32"/>
  <c r="J102" i="32"/>
  <c r="J198" i="32" s="1"/>
  <c r="F102" i="32"/>
  <c r="B102" i="32"/>
  <c r="N99" i="32"/>
  <c r="N295" i="32" s="1"/>
  <c r="C64" i="13" s="1"/>
  <c r="G99" i="32"/>
  <c r="U95" i="32"/>
  <c r="U291" i="32" s="1"/>
  <c r="N95" i="32"/>
  <c r="N291" i="32" s="1"/>
  <c r="C60" i="13" s="1"/>
  <c r="G95" i="32"/>
  <c r="G291" i="32" s="1"/>
  <c r="G94" i="32"/>
  <c r="G290" i="32" s="1"/>
  <c r="U93" i="32"/>
  <c r="U289" i="32" s="1"/>
  <c r="N93" i="32"/>
  <c r="N289" i="32" s="1"/>
  <c r="C58" i="13" s="1"/>
  <c r="G93" i="32"/>
  <c r="G289" i="32" s="1"/>
  <c r="N92" i="32"/>
  <c r="N288" i="32" s="1"/>
  <c r="C57" i="13" s="1"/>
  <c r="G92" i="32"/>
  <c r="G288" i="32" s="1"/>
  <c r="U91" i="32"/>
  <c r="U287" i="32" s="1"/>
  <c r="N91" i="32"/>
  <c r="N287" i="32" s="1"/>
  <c r="C56" i="13" s="1"/>
  <c r="G91" i="32"/>
  <c r="G287" i="32" s="1"/>
  <c r="N90" i="32"/>
  <c r="N286" i="32" s="1"/>
  <c r="C55" i="13" s="1"/>
  <c r="G90" i="32"/>
  <c r="G286" i="32" s="1"/>
  <c r="U89" i="32"/>
  <c r="U285" i="32" s="1"/>
  <c r="N89" i="32"/>
  <c r="N285" i="32" s="1"/>
  <c r="G89" i="32"/>
  <c r="G285" i="32" s="1"/>
  <c r="N88" i="32"/>
  <c r="G88" i="32"/>
  <c r="U87" i="32"/>
  <c r="N87" i="32"/>
  <c r="G87" i="32"/>
  <c r="N86" i="32"/>
  <c r="G86" i="32"/>
  <c r="U85" i="32"/>
  <c r="N85" i="32"/>
  <c r="G85" i="32"/>
  <c r="N84" i="32"/>
  <c r="G84" i="32"/>
  <c r="U83" i="32"/>
  <c r="N83" i="32"/>
  <c r="B83" i="32"/>
  <c r="G83" i="32" s="1"/>
  <c r="N82" i="32"/>
  <c r="G82" i="32"/>
  <c r="U81" i="32"/>
  <c r="N81" i="32"/>
  <c r="G81" i="32"/>
  <c r="G80" i="32"/>
  <c r="U79" i="32"/>
  <c r="N79" i="32"/>
  <c r="G79" i="32"/>
  <c r="G78" i="32"/>
  <c r="U77" i="32"/>
  <c r="N77" i="32"/>
  <c r="G77" i="32"/>
  <c r="G76" i="32"/>
  <c r="U75" i="32"/>
  <c r="G75" i="32"/>
  <c r="N74" i="32"/>
  <c r="U73" i="32"/>
  <c r="N73" i="32"/>
  <c r="U71" i="32"/>
  <c r="N71" i="32"/>
  <c r="G71" i="32"/>
  <c r="N70" i="32"/>
  <c r="G70" i="32"/>
  <c r="U69" i="32"/>
  <c r="N69" i="32"/>
  <c r="G69" i="32"/>
  <c r="M68" i="32"/>
  <c r="F68" i="32"/>
  <c r="F19" i="27" s="1"/>
  <c r="B68" i="32"/>
  <c r="U67" i="32"/>
  <c r="N67" i="32"/>
  <c r="G67" i="32"/>
  <c r="G66" i="32"/>
  <c r="U65" i="32"/>
  <c r="N65" i="32"/>
  <c r="B65" i="32"/>
  <c r="G65" i="32" s="1"/>
  <c r="N64" i="32"/>
  <c r="B64" i="32"/>
  <c r="G64" i="32" s="1"/>
  <c r="U63" i="32"/>
  <c r="N63" i="32"/>
  <c r="B63" i="32"/>
  <c r="G63" i="32" s="1"/>
  <c r="G62" i="32"/>
  <c r="U61" i="32"/>
  <c r="N61" i="32"/>
  <c r="B61" i="32"/>
  <c r="G61" i="32" s="1"/>
  <c r="N60" i="32"/>
  <c r="G60" i="32"/>
  <c r="U59" i="32"/>
  <c r="N59" i="32"/>
  <c r="B59" i="32"/>
  <c r="G59" i="32" s="1"/>
  <c r="N58" i="32"/>
  <c r="B58" i="32"/>
  <c r="P57" i="32"/>
  <c r="U57" i="32" s="1"/>
  <c r="K57" i="32"/>
  <c r="B57" i="32"/>
  <c r="G57" i="32" s="1"/>
  <c r="N56" i="32"/>
  <c r="G56" i="32"/>
  <c r="U55" i="32"/>
  <c r="M55" i="32"/>
  <c r="K55" i="32"/>
  <c r="F55" i="32"/>
  <c r="B55" i="32"/>
  <c r="M54" i="32"/>
  <c r="N54" i="32" s="1"/>
  <c r="F54" i="32"/>
  <c r="B54" i="32"/>
  <c r="B64" i="13"/>
  <c r="G51" i="32"/>
  <c r="B41" i="13" s="1"/>
  <c r="U47" i="32"/>
  <c r="N47" i="32"/>
  <c r="N272" i="32" s="1"/>
  <c r="G47" i="32"/>
  <c r="G272" i="32" s="1"/>
  <c r="G46" i="32"/>
  <c r="G271" i="32" s="1"/>
  <c r="U45" i="32"/>
  <c r="N45" i="32"/>
  <c r="N270" i="32" s="1"/>
  <c r="G45" i="32"/>
  <c r="N44" i="32"/>
  <c r="N269" i="32" s="1"/>
  <c r="G44" i="32"/>
  <c r="U43" i="32"/>
  <c r="N43" i="32"/>
  <c r="N268" i="32" s="1"/>
  <c r="G43" i="32"/>
  <c r="N42" i="32"/>
  <c r="G42" i="32"/>
  <c r="G267" i="32" s="1"/>
  <c r="U41" i="32"/>
  <c r="N41" i="32"/>
  <c r="N266" i="32" s="1"/>
  <c r="G41" i="32"/>
  <c r="N40" i="32"/>
  <c r="G40" i="32"/>
  <c r="U39" i="32"/>
  <c r="N39" i="32"/>
  <c r="G39" i="32"/>
  <c r="N38" i="32"/>
  <c r="G38" i="32"/>
  <c r="U37" i="32"/>
  <c r="N37" i="32"/>
  <c r="G37" i="32"/>
  <c r="N36" i="32"/>
  <c r="G36" i="32"/>
  <c r="U35" i="32"/>
  <c r="N35" i="32"/>
  <c r="G35" i="32"/>
  <c r="N34" i="32"/>
  <c r="G34" i="32"/>
  <c r="U33" i="32"/>
  <c r="N33" i="32"/>
  <c r="G33" i="32"/>
  <c r="G32" i="32"/>
  <c r="U31" i="32"/>
  <c r="N31" i="32"/>
  <c r="G31" i="32"/>
  <c r="G30" i="32"/>
  <c r="U29" i="32"/>
  <c r="N29" i="32"/>
  <c r="G29" i="32"/>
  <c r="G28" i="32"/>
  <c r="U27" i="32"/>
  <c r="G27" i="32"/>
  <c r="N26" i="32"/>
  <c r="U25" i="32"/>
  <c r="N25" i="32"/>
  <c r="G25" i="32"/>
  <c r="S23" i="32"/>
  <c r="N23" i="32"/>
  <c r="G23" i="32"/>
  <c r="N22" i="32"/>
  <c r="G22" i="32"/>
  <c r="S21" i="32"/>
  <c r="S262" i="32" s="1"/>
  <c r="N21" i="32"/>
  <c r="C21" i="32"/>
  <c r="N20" i="32"/>
  <c r="B20" i="32"/>
  <c r="U19" i="32"/>
  <c r="L19" i="32"/>
  <c r="E19" i="32"/>
  <c r="N18" i="32"/>
  <c r="B18" i="32"/>
  <c r="R17" i="32"/>
  <c r="R261" i="32" s="1"/>
  <c r="K17" i="32"/>
  <c r="B17" i="32"/>
  <c r="N16" i="32"/>
  <c r="B16" i="32"/>
  <c r="U15" i="32"/>
  <c r="N15" i="32"/>
  <c r="B15" i="32"/>
  <c r="G15" i="32" s="1"/>
  <c r="N14" i="32"/>
  <c r="P13" i="27" s="1"/>
  <c r="P205" i="27" s="1"/>
  <c r="G14" i="32"/>
  <c r="U13" i="32"/>
  <c r="L13" i="32"/>
  <c r="L260" i="32" s="1"/>
  <c r="B13" i="32"/>
  <c r="N12" i="32"/>
  <c r="G12" i="32"/>
  <c r="U11" i="32"/>
  <c r="N11" i="32"/>
  <c r="G11" i="32"/>
  <c r="N10" i="32"/>
  <c r="B10" i="32"/>
  <c r="T9" i="32"/>
  <c r="U9" i="32" s="1"/>
  <c r="N9" i="32"/>
  <c r="B9" i="32"/>
  <c r="G9" i="32" s="1"/>
  <c r="M8" i="32"/>
  <c r="N8" i="32" s="1"/>
  <c r="F8" i="32"/>
  <c r="U7" i="32"/>
  <c r="M7" i="32"/>
  <c r="F7" i="32"/>
  <c r="B7" i="32"/>
  <c r="M6" i="32"/>
  <c r="N6" i="32" s="1"/>
  <c r="F6" i="32"/>
  <c r="B6" i="32"/>
  <c r="A366" i="14"/>
  <c r="A365" i="14"/>
  <c r="A364" i="14"/>
  <c r="A362" i="14"/>
  <c r="G342" i="14"/>
  <c r="F342" i="14"/>
  <c r="E342" i="14"/>
  <c r="D342" i="14"/>
  <c r="C342" i="14"/>
  <c r="B342" i="14"/>
  <c r="G338" i="14"/>
  <c r="F338" i="14"/>
  <c r="E338" i="14"/>
  <c r="D338" i="14"/>
  <c r="C338" i="14"/>
  <c r="B338" i="14"/>
  <c r="G337" i="14"/>
  <c r="F337" i="14"/>
  <c r="E337" i="14"/>
  <c r="D337" i="14"/>
  <c r="C337" i="14"/>
  <c r="B337" i="14"/>
  <c r="G336" i="14"/>
  <c r="F336" i="14"/>
  <c r="E336" i="14"/>
  <c r="D336" i="14"/>
  <c r="C336" i="14"/>
  <c r="B336" i="14"/>
  <c r="G335" i="14"/>
  <c r="F335" i="14"/>
  <c r="E335" i="14"/>
  <c r="D335" i="14"/>
  <c r="C335" i="14"/>
  <c r="B335" i="14"/>
  <c r="G334" i="14"/>
  <c r="F334" i="14"/>
  <c r="E334" i="14"/>
  <c r="D334" i="14"/>
  <c r="C334" i="14"/>
  <c r="B334" i="14"/>
  <c r="G333" i="14"/>
  <c r="F333" i="14"/>
  <c r="E333" i="14"/>
  <c r="D333" i="14"/>
  <c r="C333" i="14"/>
  <c r="B333" i="14"/>
  <c r="G332" i="14"/>
  <c r="F332" i="14"/>
  <c r="E332" i="14"/>
  <c r="D332" i="14"/>
  <c r="C332" i="14"/>
  <c r="B332" i="14"/>
  <c r="G330" i="14"/>
  <c r="F330" i="14"/>
  <c r="E330" i="14"/>
  <c r="D330" i="14"/>
  <c r="C330" i="14"/>
  <c r="B330" i="14"/>
  <c r="G329" i="14"/>
  <c r="F329" i="14"/>
  <c r="E329" i="14"/>
  <c r="C329" i="14"/>
  <c r="B329" i="14"/>
  <c r="G328" i="14"/>
  <c r="F328" i="14"/>
  <c r="E328" i="14"/>
  <c r="D328" i="14"/>
  <c r="C328" i="14"/>
  <c r="B328" i="14"/>
  <c r="G327" i="14"/>
  <c r="F327" i="14"/>
  <c r="E327" i="14"/>
  <c r="D327" i="14"/>
  <c r="C327" i="14"/>
  <c r="B327" i="14"/>
  <c r="G326" i="14"/>
  <c r="F326" i="14"/>
  <c r="E326" i="14"/>
  <c r="D326" i="14"/>
  <c r="C326" i="14"/>
  <c r="B326" i="14"/>
  <c r="G319" i="14"/>
  <c r="F319" i="14"/>
  <c r="E319" i="14"/>
  <c r="D319" i="14"/>
  <c r="C319" i="14"/>
  <c r="B319" i="14"/>
  <c r="G315" i="14"/>
  <c r="F315" i="14"/>
  <c r="E315" i="14"/>
  <c r="D315" i="14"/>
  <c r="C315" i="14"/>
  <c r="B315" i="14"/>
  <c r="G314" i="14"/>
  <c r="F314" i="14"/>
  <c r="E314" i="14"/>
  <c r="D314" i="14"/>
  <c r="C314" i="14"/>
  <c r="B314" i="14"/>
  <c r="G313" i="14"/>
  <c r="F313" i="14"/>
  <c r="E313" i="14"/>
  <c r="D313" i="14"/>
  <c r="C313" i="14"/>
  <c r="B313" i="14"/>
  <c r="G312" i="14"/>
  <c r="F312" i="14"/>
  <c r="E312" i="14"/>
  <c r="D312" i="14"/>
  <c r="C312" i="14"/>
  <c r="B312" i="14"/>
  <c r="G311" i="14"/>
  <c r="F311" i="14"/>
  <c r="E311" i="14"/>
  <c r="D311" i="14"/>
  <c r="C311" i="14"/>
  <c r="B311" i="14"/>
  <c r="G310" i="14"/>
  <c r="F310" i="14"/>
  <c r="E310" i="14"/>
  <c r="D310" i="14"/>
  <c r="C310" i="14"/>
  <c r="B310" i="14"/>
  <c r="G309" i="14"/>
  <c r="F309" i="14"/>
  <c r="E309" i="14"/>
  <c r="D309" i="14"/>
  <c r="C309" i="14"/>
  <c r="B309" i="14"/>
  <c r="G307" i="14"/>
  <c r="F307" i="14"/>
  <c r="D307" i="14"/>
  <c r="C307" i="14"/>
  <c r="B307" i="14"/>
  <c r="G306" i="14"/>
  <c r="F306" i="14"/>
  <c r="E306" i="14"/>
  <c r="D306" i="14"/>
  <c r="C306" i="14"/>
  <c r="B306" i="14"/>
  <c r="G305" i="14"/>
  <c r="F305" i="14"/>
  <c r="E305" i="14"/>
  <c r="D305" i="14"/>
  <c r="C305" i="14"/>
  <c r="B305" i="14"/>
  <c r="G304" i="14"/>
  <c r="F304" i="14"/>
  <c r="E304" i="14"/>
  <c r="D304" i="14"/>
  <c r="C304" i="14"/>
  <c r="B304" i="14"/>
  <c r="G303" i="14"/>
  <c r="F303" i="14"/>
  <c r="E303" i="14"/>
  <c r="D303" i="14"/>
  <c r="C303" i="14"/>
  <c r="B303" i="14"/>
  <c r="G300" i="14"/>
  <c r="F300" i="14"/>
  <c r="E300" i="14"/>
  <c r="D300" i="14"/>
  <c r="C300" i="14"/>
  <c r="B300" i="14"/>
  <c r="G296" i="14"/>
  <c r="F296" i="14"/>
  <c r="E296" i="14"/>
  <c r="D296" i="14"/>
  <c r="C296" i="14"/>
  <c r="B296" i="14"/>
  <c r="G295" i="14"/>
  <c r="F295" i="14"/>
  <c r="E295" i="14"/>
  <c r="D295" i="14"/>
  <c r="C295" i="14"/>
  <c r="B295" i="14"/>
  <c r="G294" i="14"/>
  <c r="F294" i="14"/>
  <c r="E294" i="14"/>
  <c r="D294" i="14"/>
  <c r="C294" i="14"/>
  <c r="B294" i="14"/>
  <c r="G293" i="14"/>
  <c r="F293" i="14"/>
  <c r="E293" i="14"/>
  <c r="D293" i="14"/>
  <c r="C293" i="14"/>
  <c r="B293" i="14"/>
  <c r="G292" i="14"/>
  <c r="F292" i="14"/>
  <c r="E292" i="14"/>
  <c r="D292" i="14"/>
  <c r="C292" i="14"/>
  <c r="B292" i="14"/>
  <c r="G291" i="14"/>
  <c r="F291" i="14"/>
  <c r="E291" i="14"/>
  <c r="D291" i="14"/>
  <c r="C291" i="14"/>
  <c r="B291" i="14"/>
  <c r="G290" i="14"/>
  <c r="F290" i="14"/>
  <c r="E290" i="14"/>
  <c r="D290" i="14"/>
  <c r="C290" i="14"/>
  <c r="B290" i="14"/>
  <c r="G288" i="14"/>
  <c r="F288" i="14"/>
  <c r="E288" i="14"/>
  <c r="D288" i="14"/>
  <c r="C288" i="14"/>
  <c r="B288" i="14"/>
  <c r="G287" i="14"/>
  <c r="F287" i="14"/>
  <c r="E287" i="14"/>
  <c r="D287" i="14"/>
  <c r="C287" i="14"/>
  <c r="B287" i="14"/>
  <c r="G286" i="14"/>
  <c r="F286" i="14"/>
  <c r="E286" i="14"/>
  <c r="D286" i="14"/>
  <c r="C286" i="14"/>
  <c r="B286" i="14"/>
  <c r="G285" i="14"/>
  <c r="F285" i="14"/>
  <c r="E285" i="14"/>
  <c r="D285" i="14"/>
  <c r="C285" i="14"/>
  <c r="B285" i="14"/>
  <c r="G284" i="14"/>
  <c r="F284" i="14"/>
  <c r="E284" i="14"/>
  <c r="D284" i="14"/>
  <c r="C284" i="14"/>
  <c r="B284" i="14"/>
  <c r="G281" i="14"/>
  <c r="F281" i="14"/>
  <c r="E281" i="14"/>
  <c r="D281" i="14"/>
  <c r="C281" i="14"/>
  <c r="B281" i="14"/>
  <c r="G277" i="14"/>
  <c r="F277" i="14"/>
  <c r="E277" i="14"/>
  <c r="D277" i="14"/>
  <c r="C277" i="14"/>
  <c r="B277" i="14"/>
  <c r="G276" i="14"/>
  <c r="F276" i="14"/>
  <c r="E276" i="14"/>
  <c r="D276" i="14"/>
  <c r="C276" i="14"/>
  <c r="B276" i="14"/>
  <c r="G275" i="14"/>
  <c r="F275" i="14"/>
  <c r="E275" i="14"/>
  <c r="D275" i="14"/>
  <c r="C275" i="14"/>
  <c r="B275" i="14"/>
  <c r="G274" i="14"/>
  <c r="F274" i="14"/>
  <c r="E274" i="14"/>
  <c r="D274" i="14"/>
  <c r="C274" i="14"/>
  <c r="B274" i="14"/>
  <c r="G273" i="14"/>
  <c r="F273" i="14"/>
  <c r="E273" i="14"/>
  <c r="D273" i="14"/>
  <c r="C273" i="14"/>
  <c r="B273" i="14"/>
  <c r="G272" i="14"/>
  <c r="F272" i="14"/>
  <c r="E272" i="14"/>
  <c r="D272" i="14"/>
  <c r="C272" i="14"/>
  <c r="B272" i="14"/>
  <c r="G271" i="14"/>
  <c r="F271" i="14"/>
  <c r="E271" i="14"/>
  <c r="D271" i="14"/>
  <c r="C271" i="14"/>
  <c r="B271" i="14"/>
  <c r="G269" i="14"/>
  <c r="F269" i="14"/>
  <c r="E269" i="14"/>
  <c r="D269" i="14"/>
  <c r="C269" i="14"/>
  <c r="B269" i="14"/>
  <c r="G268" i="14"/>
  <c r="E268" i="14"/>
  <c r="D268" i="14"/>
  <c r="C268" i="14"/>
  <c r="B268" i="14"/>
  <c r="G267" i="14"/>
  <c r="F267" i="14"/>
  <c r="E267" i="14"/>
  <c r="D267" i="14"/>
  <c r="C267" i="14"/>
  <c r="B267" i="14"/>
  <c r="G266" i="14"/>
  <c r="F266" i="14"/>
  <c r="E266" i="14"/>
  <c r="D266" i="14"/>
  <c r="C266" i="14"/>
  <c r="B266" i="14"/>
  <c r="G265" i="14"/>
  <c r="F265" i="14"/>
  <c r="E265" i="14"/>
  <c r="D265" i="14"/>
  <c r="C265" i="14"/>
  <c r="B265" i="14"/>
  <c r="G242" i="14"/>
  <c r="G361" i="14" s="1"/>
  <c r="F242" i="14"/>
  <c r="F361" i="14" s="1"/>
  <c r="E242" i="14"/>
  <c r="E361" i="14" s="1"/>
  <c r="D242" i="14"/>
  <c r="D361" i="14" s="1"/>
  <c r="C242" i="14"/>
  <c r="C361" i="14" s="1"/>
  <c r="B242" i="14"/>
  <c r="B361" i="14" s="1"/>
  <c r="G238" i="14"/>
  <c r="G357" i="14" s="1"/>
  <c r="F238" i="14"/>
  <c r="F357" i="14" s="1"/>
  <c r="E238" i="14"/>
  <c r="E357" i="14" s="1"/>
  <c r="D238" i="14"/>
  <c r="D357" i="14" s="1"/>
  <c r="C238" i="14"/>
  <c r="C357" i="14" s="1"/>
  <c r="B238" i="14"/>
  <c r="B357" i="14" s="1"/>
  <c r="G237" i="14"/>
  <c r="G356" i="14" s="1"/>
  <c r="F237" i="14"/>
  <c r="F356" i="14" s="1"/>
  <c r="E237" i="14"/>
  <c r="E356" i="14" s="1"/>
  <c r="D237" i="14"/>
  <c r="D356" i="14" s="1"/>
  <c r="C237" i="14"/>
  <c r="C356" i="14" s="1"/>
  <c r="B237" i="14"/>
  <c r="B356" i="14" s="1"/>
  <c r="G236" i="14"/>
  <c r="G355" i="14" s="1"/>
  <c r="F236" i="14"/>
  <c r="F355" i="14" s="1"/>
  <c r="E236" i="14"/>
  <c r="E355" i="14" s="1"/>
  <c r="D236" i="14"/>
  <c r="D355" i="14" s="1"/>
  <c r="C236" i="14"/>
  <c r="C355" i="14" s="1"/>
  <c r="B236" i="14"/>
  <c r="B355" i="14" s="1"/>
  <c r="G235" i="14"/>
  <c r="G354" i="14" s="1"/>
  <c r="F235" i="14"/>
  <c r="F354" i="14" s="1"/>
  <c r="E235" i="14"/>
  <c r="E354" i="14" s="1"/>
  <c r="D235" i="14"/>
  <c r="D354" i="14" s="1"/>
  <c r="C235" i="14"/>
  <c r="C354" i="14" s="1"/>
  <c r="B235" i="14"/>
  <c r="B354" i="14" s="1"/>
  <c r="G234" i="14"/>
  <c r="G353" i="14" s="1"/>
  <c r="F234" i="14"/>
  <c r="F353" i="14" s="1"/>
  <c r="E234" i="14"/>
  <c r="E353" i="14" s="1"/>
  <c r="D234" i="14"/>
  <c r="D353" i="14" s="1"/>
  <c r="C234" i="14"/>
  <c r="C353" i="14" s="1"/>
  <c r="B234" i="14"/>
  <c r="B353" i="14" s="1"/>
  <c r="G233" i="14"/>
  <c r="G352" i="14" s="1"/>
  <c r="F233" i="14"/>
  <c r="F352" i="14" s="1"/>
  <c r="E233" i="14"/>
  <c r="E352" i="14" s="1"/>
  <c r="D233" i="14"/>
  <c r="D352" i="14" s="1"/>
  <c r="C233" i="14"/>
  <c r="C352" i="14" s="1"/>
  <c r="B233" i="14"/>
  <c r="B352" i="14" s="1"/>
  <c r="G232" i="14"/>
  <c r="G351" i="14" s="1"/>
  <c r="F232" i="14"/>
  <c r="F351" i="14" s="1"/>
  <c r="E232" i="14"/>
  <c r="E351" i="14" s="1"/>
  <c r="D232" i="14"/>
  <c r="D351" i="14" s="1"/>
  <c r="C232" i="14"/>
  <c r="C351" i="14" s="1"/>
  <c r="B232" i="14"/>
  <c r="B351" i="14" s="1"/>
  <c r="G231" i="14"/>
  <c r="F231" i="14"/>
  <c r="E231" i="14"/>
  <c r="D231" i="14"/>
  <c r="C231" i="14"/>
  <c r="B231" i="14"/>
  <c r="G230" i="14"/>
  <c r="F230" i="14"/>
  <c r="E230" i="14"/>
  <c r="D230" i="14"/>
  <c r="C230" i="14"/>
  <c r="B230" i="14"/>
  <c r="G229" i="14"/>
  <c r="F229" i="14"/>
  <c r="E229" i="14"/>
  <c r="D229" i="14"/>
  <c r="C229" i="14"/>
  <c r="B229" i="14"/>
  <c r="G228" i="14"/>
  <c r="F228" i="14"/>
  <c r="E228" i="14"/>
  <c r="D228" i="14"/>
  <c r="C228" i="14"/>
  <c r="B228" i="14"/>
  <c r="G227" i="14"/>
  <c r="G350" i="14" s="1"/>
  <c r="F227" i="14"/>
  <c r="F350" i="14" s="1"/>
  <c r="E227" i="14"/>
  <c r="D227" i="14"/>
  <c r="D350" i="14" s="1"/>
  <c r="C227" i="14"/>
  <c r="B227" i="14"/>
  <c r="B350" i="14" s="1"/>
  <c r="G226" i="14"/>
  <c r="F226" i="14"/>
  <c r="E226" i="14"/>
  <c r="D226" i="14"/>
  <c r="C226" i="14"/>
  <c r="B226" i="14"/>
  <c r="G225" i="14"/>
  <c r="F225" i="14"/>
  <c r="E225" i="14"/>
  <c r="D225" i="14"/>
  <c r="C225" i="14"/>
  <c r="B225" i="14"/>
  <c r="G224" i="14"/>
  <c r="F224" i="14"/>
  <c r="E224" i="14"/>
  <c r="D224" i="14"/>
  <c r="C224" i="14"/>
  <c r="B224" i="14"/>
  <c r="G223" i="14"/>
  <c r="F223" i="14"/>
  <c r="E223" i="14"/>
  <c r="D223" i="14"/>
  <c r="C223" i="14"/>
  <c r="B223" i="14"/>
  <c r="G222" i="14"/>
  <c r="G349" i="14" s="1"/>
  <c r="F222" i="14"/>
  <c r="D222" i="14"/>
  <c r="C222" i="14"/>
  <c r="B222" i="14"/>
  <c r="G221" i="14"/>
  <c r="F221" i="14"/>
  <c r="E221" i="14"/>
  <c r="D221" i="14"/>
  <c r="C221" i="14"/>
  <c r="B221" i="14"/>
  <c r="G220" i="14"/>
  <c r="F220" i="14"/>
  <c r="E220" i="14"/>
  <c r="D220" i="14"/>
  <c r="C220" i="14"/>
  <c r="B220" i="14"/>
  <c r="G219" i="14"/>
  <c r="F219" i="14"/>
  <c r="E219" i="14"/>
  <c r="D219" i="14"/>
  <c r="C219" i="14"/>
  <c r="B219" i="14"/>
  <c r="G218" i="14"/>
  <c r="F218" i="14"/>
  <c r="E218" i="14"/>
  <c r="D218" i="14"/>
  <c r="C218" i="14"/>
  <c r="B218" i="14"/>
  <c r="G217" i="14"/>
  <c r="G348" i="14" s="1"/>
  <c r="F217" i="14"/>
  <c r="E217" i="14"/>
  <c r="D217" i="14"/>
  <c r="C217" i="14"/>
  <c r="B217" i="14"/>
  <c r="G216" i="14"/>
  <c r="F216" i="14"/>
  <c r="E216" i="14"/>
  <c r="D216" i="14"/>
  <c r="C216" i="14"/>
  <c r="B216" i="14"/>
  <c r="G215" i="14"/>
  <c r="F215" i="14"/>
  <c r="E215" i="14"/>
  <c r="D215" i="14"/>
  <c r="C215" i="14"/>
  <c r="B215" i="14"/>
  <c r="G214" i="14"/>
  <c r="F214" i="14"/>
  <c r="E214" i="14"/>
  <c r="D214" i="14"/>
  <c r="C214" i="14"/>
  <c r="B214" i="14"/>
  <c r="G213" i="14"/>
  <c r="F213" i="14"/>
  <c r="E213" i="14"/>
  <c r="D213" i="14"/>
  <c r="C213" i="14"/>
  <c r="B213" i="14"/>
  <c r="G212" i="14"/>
  <c r="G347" i="14" s="1"/>
  <c r="F212" i="14"/>
  <c r="E212" i="14"/>
  <c r="D212" i="14"/>
  <c r="C212" i="14"/>
  <c r="B212" i="14"/>
  <c r="G211" i="14"/>
  <c r="G346" i="14" s="1"/>
  <c r="F211" i="14"/>
  <c r="E211" i="14"/>
  <c r="D211" i="14"/>
  <c r="C211" i="14"/>
  <c r="B211" i="14"/>
  <c r="G210" i="14"/>
  <c r="G345" i="14" s="1"/>
  <c r="F210" i="14"/>
  <c r="E210" i="14"/>
  <c r="D210" i="14"/>
  <c r="C210" i="14"/>
  <c r="B210" i="14"/>
  <c r="G209" i="14"/>
  <c r="F209" i="14"/>
  <c r="E209" i="14"/>
  <c r="D209" i="14"/>
  <c r="C209" i="14"/>
  <c r="B209" i="14"/>
  <c r="G208" i="14"/>
  <c r="F208" i="14"/>
  <c r="E208" i="14"/>
  <c r="D208" i="14"/>
  <c r="C208" i="14"/>
  <c r="B208" i="14"/>
  <c r="G207" i="14"/>
  <c r="F207" i="14"/>
  <c r="E207" i="14"/>
  <c r="D207" i="14"/>
  <c r="C207" i="14"/>
  <c r="B207" i="14"/>
  <c r="G206" i="14"/>
  <c r="F206" i="14"/>
  <c r="E206" i="14"/>
  <c r="D206" i="14"/>
  <c r="C206" i="14"/>
  <c r="B206" i="14"/>
  <c r="G205" i="14"/>
  <c r="F205" i="14"/>
  <c r="E205" i="14"/>
  <c r="D205" i="14"/>
  <c r="C205" i="14"/>
  <c r="B205" i="14"/>
  <c r="G204" i="14"/>
  <c r="F204" i="14"/>
  <c r="E204" i="14"/>
  <c r="D204" i="14"/>
  <c r="C204" i="14"/>
  <c r="B204" i="14"/>
  <c r="G203" i="14"/>
  <c r="F203" i="14"/>
  <c r="E203" i="14"/>
  <c r="D203" i="14"/>
  <c r="C203" i="14"/>
  <c r="B203" i="14"/>
  <c r="G202" i="14"/>
  <c r="F202" i="14"/>
  <c r="E202" i="14"/>
  <c r="D202" i="14"/>
  <c r="C202" i="14"/>
  <c r="B202" i="14"/>
  <c r="G201" i="14"/>
  <c r="F201" i="14"/>
  <c r="E201" i="14"/>
  <c r="D201" i="14"/>
  <c r="C201" i="14"/>
  <c r="B201" i="14"/>
  <c r="G200" i="14"/>
  <c r="F200" i="14"/>
  <c r="E200" i="14"/>
  <c r="D200" i="14"/>
  <c r="C200" i="14"/>
  <c r="B200" i="14"/>
  <c r="G199" i="14"/>
  <c r="F199" i="14"/>
  <c r="E199" i="14"/>
  <c r="D199" i="14"/>
  <c r="C199" i="14"/>
  <c r="B199" i="14"/>
  <c r="G198" i="14"/>
  <c r="F198" i="14"/>
  <c r="E198" i="14"/>
  <c r="D198" i="14"/>
  <c r="C198" i="14"/>
  <c r="B198" i="14"/>
  <c r="G197" i="14"/>
  <c r="F197" i="14"/>
  <c r="E197" i="14"/>
  <c r="D197" i="14"/>
  <c r="C197" i="14"/>
  <c r="B197" i="14"/>
  <c r="H194" i="14"/>
  <c r="E22" i="13" s="1"/>
  <c r="H190" i="14"/>
  <c r="H189" i="14"/>
  <c r="H337" i="14" s="1"/>
  <c r="H188" i="14"/>
  <c r="H187" i="14"/>
  <c r="H186" i="14"/>
  <c r="H185" i="14"/>
  <c r="H333" i="14" s="1"/>
  <c r="H184" i="14"/>
  <c r="E12" i="13" s="1"/>
  <c r="H183" i="14"/>
  <c r="H182" i="14"/>
  <c r="H181" i="14"/>
  <c r="H180" i="14"/>
  <c r="H179" i="14"/>
  <c r="H178" i="14"/>
  <c r="H177" i="14"/>
  <c r="H176" i="14"/>
  <c r="H175" i="14"/>
  <c r="H174" i="14"/>
  <c r="H173" i="14"/>
  <c r="H172" i="14"/>
  <c r="H170" i="14"/>
  <c r="H166" i="14"/>
  <c r="H165" i="14"/>
  <c r="H164" i="14"/>
  <c r="H163" i="14"/>
  <c r="H162" i="14"/>
  <c r="H161" i="14"/>
  <c r="H160" i="14"/>
  <c r="H159" i="14"/>
  <c r="H158" i="14"/>
  <c r="H157" i="14"/>
  <c r="H156" i="14"/>
  <c r="H155" i="14"/>
  <c r="H154" i="14"/>
  <c r="H153" i="14"/>
  <c r="H152" i="14"/>
  <c r="H151" i="14"/>
  <c r="H150" i="14"/>
  <c r="H149" i="14"/>
  <c r="H146" i="14"/>
  <c r="H142" i="14"/>
  <c r="H315" i="14" s="1"/>
  <c r="H141" i="14"/>
  <c r="H314" i="14" s="1"/>
  <c r="H140" i="14"/>
  <c r="H313" i="14" s="1"/>
  <c r="H139" i="14"/>
  <c r="H312" i="14" s="1"/>
  <c r="H138" i="14"/>
  <c r="H311" i="14" s="1"/>
  <c r="H137" i="14"/>
  <c r="H310" i="14" s="1"/>
  <c r="H136" i="14"/>
  <c r="H309" i="14" s="1"/>
  <c r="H135" i="14"/>
  <c r="H134" i="14"/>
  <c r="H133" i="14"/>
  <c r="H132" i="14"/>
  <c r="H131" i="14"/>
  <c r="H130" i="14"/>
  <c r="H129" i="14"/>
  <c r="H128" i="14"/>
  <c r="H127" i="14"/>
  <c r="E126" i="14"/>
  <c r="H125" i="14"/>
  <c r="H124" i="14"/>
  <c r="H123" i="14"/>
  <c r="H122" i="14"/>
  <c r="H121" i="14"/>
  <c r="H118" i="14"/>
  <c r="H117" i="14"/>
  <c r="H116" i="14"/>
  <c r="H115" i="14"/>
  <c r="H114" i="14"/>
  <c r="H113" i="14"/>
  <c r="H112" i="14"/>
  <c r="H111" i="14"/>
  <c r="H110" i="14"/>
  <c r="H109" i="14"/>
  <c r="H108" i="14"/>
  <c r="H107" i="14"/>
  <c r="H106" i="14"/>
  <c r="H105" i="14"/>
  <c r="H104" i="14"/>
  <c r="H103" i="14"/>
  <c r="H102" i="14"/>
  <c r="H101" i="14"/>
  <c r="H98" i="14"/>
  <c r="H94" i="14"/>
  <c r="H296" i="14" s="1"/>
  <c r="H93" i="14"/>
  <c r="H295" i="14" s="1"/>
  <c r="H92" i="14"/>
  <c r="H294" i="14" s="1"/>
  <c r="H91" i="14"/>
  <c r="H293" i="14" s="1"/>
  <c r="H90" i="14"/>
  <c r="H292" i="14" s="1"/>
  <c r="H89" i="14"/>
  <c r="H291" i="14" s="1"/>
  <c r="H88" i="14"/>
  <c r="H290" i="14" s="1"/>
  <c r="H87" i="14"/>
  <c r="H86" i="14"/>
  <c r="H85" i="14"/>
  <c r="H84" i="14"/>
  <c r="H83" i="14"/>
  <c r="H82" i="14"/>
  <c r="H81" i="14"/>
  <c r="H80" i="14"/>
  <c r="H79" i="14"/>
  <c r="H78" i="14"/>
  <c r="H77" i="14"/>
  <c r="H76" i="14"/>
  <c r="H75" i="14"/>
  <c r="H74" i="14"/>
  <c r="H73" i="14"/>
  <c r="H72" i="14"/>
  <c r="H70" i="14"/>
  <c r="H69" i="14"/>
  <c r="H68" i="14"/>
  <c r="H67" i="14"/>
  <c r="H66" i="14"/>
  <c r="H65" i="14"/>
  <c r="H64" i="14"/>
  <c r="H63" i="14"/>
  <c r="H62" i="14"/>
  <c r="H61" i="14"/>
  <c r="H60" i="14"/>
  <c r="H59" i="14"/>
  <c r="H58" i="14"/>
  <c r="H57" i="14"/>
  <c r="H56" i="14"/>
  <c r="H55" i="14"/>
  <c r="H54" i="14"/>
  <c r="H53" i="14"/>
  <c r="H50" i="14"/>
  <c r="H46" i="14"/>
  <c r="H277" i="14" s="1"/>
  <c r="H45" i="14"/>
  <c r="H44" i="14"/>
  <c r="H43" i="14"/>
  <c r="H274" i="14" s="1"/>
  <c r="H42" i="14"/>
  <c r="H273" i="14" s="1"/>
  <c r="H41" i="14"/>
  <c r="H40" i="14"/>
  <c r="H39" i="14"/>
  <c r="H38" i="14"/>
  <c r="H37" i="14"/>
  <c r="H36" i="14"/>
  <c r="H35" i="14"/>
  <c r="H34" i="14"/>
  <c r="H33" i="14"/>
  <c r="H32" i="14"/>
  <c r="H31" i="14"/>
  <c r="H30" i="14"/>
  <c r="H29" i="14"/>
  <c r="H28" i="14"/>
  <c r="H27" i="14"/>
  <c r="H26" i="14"/>
  <c r="H25" i="14"/>
  <c r="H24" i="14"/>
  <c r="H22" i="14"/>
  <c r="H21" i="14"/>
  <c r="H20" i="14"/>
  <c r="H19" i="14"/>
  <c r="H18" i="14"/>
  <c r="H17" i="14"/>
  <c r="H16" i="14"/>
  <c r="H15" i="14"/>
  <c r="H14" i="14"/>
  <c r="H13" i="14"/>
  <c r="H12" i="14"/>
  <c r="H11" i="14"/>
  <c r="H10" i="14"/>
  <c r="H9" i="14"/>
  <c r="H8" i="14"/>
  <c r="H7" i="14"/>
  <c r="H6" i="14"/>
  <c r="H5" i="14"/>
  <c r="F78" i="13"/>
  <c r="J78" i="13" s="1"/>
  <c r="F76" i="13"/>
  <c r="J76" i="13" s="1"/>
  <c r="F74" i="13"/>
  <c r="J74" i="13" s="1"/>
  <c r="G52" i="13"/>
  <c r="G51" i="13"/>
  <c r="G29" i="13"/>
  <c r="G28" i="13"/>
  <c r="G10" i="13"/>
  <c r="G9" i="13"/>
  <c r="X50" i="25"/>
  <c r="X221" i="25" s="1"/>
  <c r="X46" i="25"/>
  <c r="X217" i="25" s="1"/>
  <c r="L46" i="25"/>
  <c r="L217" i="25" s="1"/>
  <c r="L44" i="25"/>
  <c r="L215" i="25" s="1"/>
  <c r="X42" i="25"/>
  <c r="X213" i="25" s="1"/>
  <c r="L42" i="25"/>
  <c r="L213" i="25" s="1"/>
  <c r="L40" i="25"/>
  <c r="L211" i="25" s="1"/>
  <c r="X39" i="25"/>
  <c r="X38" i="25"/>
  <c r="L38" i="25"/>
  <c r="L36" i="25"/>
  <c r="X34" i="25"/>
  <c r="L34" i="25"/>
  <c r="X33" i="25"/>
  <c r="X32" i="25"/>
  <c r="L32" i="25"/>
  <c r="X31" i="25"/>
  <c r="X30" i="25"/>
  <c r="L30" i="25"/>
  <c r="X29" i="25"/>
  <c r="X28" i="25"/>
  <c r="L28" i="25"/>
  <c r="X27" i="25"/>
  <c r="X26" i="25"/>
  <c r="L26" i="25"/>
  <c r="X24" i="25"/>
  <c r="L24" i="25"/>
  <c r="L23" i="25"/>
  <c r="X21" i="25"/>
  <c r="L21" i="25"/>
  <c r="X19" i="25"/>
  <c r="L19" i="25"/>
  <c r="X17" i="25"/>
  <c r="L17" i="25"/>
  <c r="X15" i="25"/>
  <c r="X13" i="25"/>
  <c r="L13" i="25"/>
  <c r="X11" i="25"/>
  <c r="L11" i="25"/>
  <c r="X9" i="25"/>
  <c r="L9" i="25"/>
  <c r="X7" i="25"/>
  <c r="L7" i="25"/>
  <c r="X5" i="25"/>
  <c r="L5" i="25"/>
  <c r="F37" i="24"/>
  <c r="L30" i="24"/>
  <c r="L26" i="24"/>
  <c r="L22" i="24"/>
  <c r="L18" i="24"/>
  <c r="L10" i="24"/>
  <c r="L6" i="24"/>
  <c r="C53" i="8"/>
  <c r="B53" i="8"/>
  <c r="B30" i="8"/>
  <c r="B49" i="8"/>
  <c r="G57" i="8"/>
  <c r="K57" i="8" s="1"/>
  <c r="G53" i="8"/>
  <c r="L98" i="23"/>
  <c r="L240" i="23" s="1"/>
  <c r="L94" i="23"/>
  <c r="L236" i="23" s="1"/>
  <c r="I87" i="23"/>
  <c r="F87" i="23"/>
  <c r="L83" i="23"/>
  <c r="L72" i="23"/>
  <c r="L71" i="23"/>
  <c r="F50" i="8"/>
  <c r="F27" i="8"/>
  <c r="L62" i="23"/>
  <c r="D34" i="23"/>
  <c r="E30" i="8"/>
  <c r="E29" i="8"/>
  <c r="E52" i="8"/>
  <c r="E50" i="8"/>
  <c r="D35" i="8"/>
  <c r="D33" i="8"/>
  <c r="D30" i="8"/>
  <c r="D29" i="8"/>
  <c r="D51" i="8"/>
  <c r="D28" i="8"/>
  <c r="D26" i="8"/>
  <c r="D49" i="8"/>
  <c r="L38" i="23"/>
  <c r="H38" i="23"/>
  <c r="L36" i="23"/>
  <c r="L32" i="23"/>
  <c r="L30" i="23"/>
  <c r="L28" i="23"/>
  <c r="L21" i="23"/>
  <c r="L19" i="23"/>
  <c r="L17" i="23"/>
  <c r="C50" i="8"/>
  <c r="L15" i="23"/>
  <c r="C49" i="8"/>
  <c r="B65" i="8"/>
  <c r="B37" i="8"/>
  <c r="B33" i="8"/>
  <c r="N183" i="27"/>
  <c r="D183" i="27"/>
  <c r="C183" i="27"/>
  <c r="B183" i="27"/>
  <c r="F182" i="27"/>
  <c r="C15" i="8"/>
  <c r="F16" i="8"/>
  <c r="F83" i="22"/>
  <c r="L68" i="22"/>
  <c r="L58" i="22"/>
  <c r="E18" i="8"/>
  <c r="E17" i="8"/>
  <c r="E16" i="8"/>
  <c r="E14" i="8"/>
  <c r="E13" i="8"/>
  <c r="E12" i="8"/>
  <c r="D32" i="22"/>
  <c r="E8" i="8"/>
  <c r="D18" i="8"/>
  <c r="D17" i="8"/>
  <c r="D16" i="8"/>
  <c r="D14" i="8"/>
  <c r="D13" i="8"/>
  <c r="D12" i="8"/>
  <c r="G37" i="22"/>
  <c r="D8" i="8"/>
  <c r="C22" i="8"/>
  <c r="I37" i="22"/>
  <c r="L28" i="22"/>
  <c r="L25" i="22"/>
  <c r="L21" i="22"/>
  <c r="L17" i="22"/>
  <c r="L12" i="22"/>
  <c r="L5" i="22"/>
  <c r="B18" i="8"/>
  <c r="B14" i="8"/>
  <c r="D183" i="26"/>
  <c r="B9" i="8"/>
  <c r="F65" i="8"/>
  <c r="E65" i="8"/>
  <c r="D65" i="8"/>
  <c r="C65" i="8"/>
  <c r="F61" i="8"/>
  <c r="E61" i="8"/>
  <c r="D61" i="8"/>
  <c r="C61" i="8"/>
  <c r="B61" i="8"/>
  <c r="G60" i="8"/>
  <c r="K60" i="8" s="1"/>
  <c r="F60" i="8"/>
  <c r="E60" i="8"/>
  <c r="D60" i="8"/>
  <c r="C60" i="8"/>
  <c r="B60" i="8"/>
  <c r="F59" i="8"/>
  <c r="E59" i="8"/>
  <c r="D59" i="8"/>
  <c r="C59" i="8"/>
  <c r="B59" i="8"/>
  <c r="F58" i="8"/>
  <c r="E58" i="8"/>
  <c r="D58" i="8"/>
  <c r="C58" i="8"/>
  <c r="B58" i="8"/>
  <c r="F57" i="8"/>
  <c r="E57" i="8"/>
  <c r="D57" i="8"/>
  <c r="C57" i="8"/>
  <c r="B57" i="8"/>
  <c r="F56" i="8"/>
  <c r="E56" i="8"/>
  <c r="D56" i="8"/>
  <c r="C56" i="8"/>
  <c r="B56" i="8"/>
  <c r="F55" i="8"/>
  <c r="E55" i="8"/>
  <c r="D55" i="8"/>
  <c r="C55" i="8"/>
  <c r="B55" i="8"/>
  <c r="I53" i="8"/>
  <c r="F53" i="8"/>
  <c r="E53" i="8"/>
  <c r="D53" i="8"/>
  <c r="I52" i="8"/>
  <c r="F52" i="8"/>
  <c r="D52" i="8"/>
  <c r="C52" i="8"/>
  <c r="J51" i="8"/>
  <c r="I51" i="8"/>
  <c r="F51" i="8"/>
  <c r="C51" i="8"/>
  <c r="D50" i="8"/>
  <c r="B50" i="8"/>
  <c r="E49" i="8"/>
  <c r="G48" i="8"/>
  <c r="K48" i="8" s="1"/>
  <c r="F48" i="8"/>
  <c r="E48" i="8"/>
  <c r="D48" i="8"/>
  <c r="C48" i="8"/>
  <c r="B48" i="8"/>
  <c r="F42" i="8"/>
  <c r="E42" i="8"/>
  <c r="D42" i="8"/>
  <c r="C42" i="8"/>
  <c r="B42" i="8"/>
  <c r="F38" i="8"/>
  <c r="E38" i="8"/>
  <c r="D38" i="8"/>
  <c r="B38" i="8"/>
  <c r="E37" i="8"/>
  <c r="D37" i="8"/>
  <c r="F36" i="8"/>
  <c r="D36" i="8"/>
  <c r="C36" i="8"/>
  <c r="B36" i="8"/>
  <c r="F35" i="8"/>
  <c r="E35" i="8"/>
  <c r="C35" i="8"/>
  <c r="B35" i="8"/>
  <c r="F34" i="8"/>
  <c r="E34" i="8"/>
  <c r="D34" i="8"/>
  <c r="B34" i="8"/>
  <c r="E33" i="8"/>
  <c r="C33" i="8"/>
  <c r="D32" i="8"/>
  <c r="C32" i="8"/>
  <c r="B32" i="8"/>
  <c r="J30" i="8"/>
  <c r="I30" i="8"/>
  <c r="J29" i="8"/>
  <c r="I29" i="8"/>
  <c r="J28" i="8"/>
  <c r="I28" i="8"/>
  <c r="B28" i="8"/>
  <c r="E27" i="8"/>
  <c r="G25" i="8"/>
  <c r="K25" i="8" s="1"/>
  <c r="F25" i="8"/>
  <c r="E25" i="8"/>
  <c r="D25" i="8"/>
  <c r="C25" i="8"/>
  <c r="B25" i="8"/>
  <c r="D22" i="8"/>
  <c r="F15" i="8"/>
  <c r="D15" i="8"/>
  <c r="F13" i="8"/>
  <c r="B13" i="8"/>
  <c r="J10" i="8"/>
  <c r="I10" i="8"/>
  <c r="J9" i="8"/>
  <c r="I9" i="8"/>
  <c r="J8" i="8"/>
  <c r="I8" i="8"/>
  <c r="G5" i="8"/>
  <c r="K5" i="8" s="1"/>
  <c r="F5" i="8"/>
  <c r="E5" i="8"/>
  <c r="D5" i="8"/>
  <c r="C5" i="8"/>
  <c r="B5" i="8"/>
  <c r="A400" i="7"/>
  <c r="W398" i="7"/>
  <c r="V398" i="7"/>
  <c r="U398" i="7"/>
  <c r="T398" i="7"/>
  <c r="S398" i="7"/>
  <c r="R398" i="7"/>
  <c r="Q398" i="7"/>
  <c r="P398" i="7"/>
  <c r="O398" i="7"/>
  <c r="N398" i="7"/>
  <c r="K398" i="7"/>
  <c r="J398" i="7"/>
  <c r="I398" i="7"/>
  <c r="H398" i="7"/>
  <c r="G398" i="7"/>
  <c r="F398" i="7"/>
  <c r="E398" i="7"/>
  <c r="D398" i="7"/>
  <c r="C398" i="7"/>
  <c r="B398" i="7"/>
  <c r="W394" i="7"/>
  <c r="V394" i="7"/>
  <c r="U394" i="7"/>
  <c r="T394" i="7"/>
  <c r="S394" i="7"/>
  <c r="R394" i="7"/>
  <c r="Q394" i="7"/>
  <c r="P394" i="7"/>
  <c r="O394" i="7"/>
  <c r="N394" i="7"/>
  <c r="K394" i="7"/>
  <c r="J394" i="7"/>
  <c r="I394" i="7"/>
  <c r="H394" i="7"/>
  <c r="G394" i="7"/>
  <c r="F394" i="7"/>
  <c r="E394" i="7"/>
  <c r="D394" i="7"/>
  <c r="C394" i="7"/>
  <c r="B394" i="7"/>
  <c r="X393" i="7"/>
  <c r="W393" i="7"/>
  <c r="V393" i="7"/>
  <c r="U393" i="7"/>
  <c r="T393" i="7"/>
  <c r="S393" i="7"/>
  <c r="R393" i="7"/>
  <c r="Q393" i="7"/>
  <c r="P393" i="7"/>
  <c r="O393" i="7"/>
  <c r="N393" i="7"/>
  <c r="K393" i="7"/>
  <c r="J393" i="7"/>
  <c r="I393" i="7"/>
  <c r="H393" i="7"/>
  <c r="G393" i="7"/>
  <c r="F393" i="7"/>
  <c r="E393" i="7"/>
  <c r="D393" i="7"/>
  <c r="C393" i="7"/>
  <c r="B393" i="7"/>
  <c r="X392" i="7"/>
  <c r="W392" i="7"/>
  <c r="V392" i="7"/>
  <c r="U392" i="7"/>
  <c r="T392" i="7"/>
  <c r="S392" i="7"/>
  <c r="R392" i="7"/>
  <c r="Q392" i="7"/>
  <c r="P392" i="7"/>
  <c r="O392" i="7"/>
  <c r="N392" i="7"/>
  <c r="K392" i="7"/>
  <c r="J392" i="7"/>
  <c r="I392" i="7"/>
  <c r="H392" i="7"/>
  <c r="G392" i="7"/>
  <c r="F392" i="7"/>
  <c r="E392" i="7"/>
  <c r="D392" i="7"/>
  <c r="C392" i="7"/>
  <c r="B392" i="7"/>
  <c r="W391" i="7"/>
  <c r="V391" i="7"/>
  <c r="U391" i="7"/>
  <c r="T391" i="7"/>
  <c r="S391" i="7"/>
  <c r="R391" i="7"/>
  <c r="Q391" i="7"/>
  <c r="P391" i="7"/>
  <c r="O391" i="7"/>
  <c r="N391" i="7"/>
  <c r="K391" i="7"/>
  <c r="J391" i="7"/>
  <c r="I391" i="7"/>
  <c r="H391" i="7"/>
  <c r="G391" i="7"/>
  <c r="F391" i="7"/>
  <c r="E391" i="7"/>
  <c r="D391" i="7"/>
  <c r="C391" i="7"/>
  <c r="B391" i="7"/>
  <c r="W390" i="7"/>
  <c r="V390" i="7"/>
  <c r="U390" i="7"/>
  <c r="T390" i="7"/>
  <c r="S390" i="7"/>
  <c r="R390" i="7"/>
  <c r="Q390" i="7"/>
  <c r="P390" i="7"/>
  <c r="O390" i="7"/>
  <c r="N390" i="7"/>
  <c r="K390" i="7"/>
  <c r="J390" i="7"/>
  <c r="I390" i="7"/>
  <c r="H390" i="7"/>
  <c r="G390" i="7"/>
  <c r="F390" i="7"/>
  <c r="E390" i="7"/>
  <c r="D390" i="7"/>
  <c r="C390" i="7"/>
  <c r="B390" i="7"/>
  <c r="W389" i="7"/>
  <c r="V389" i="7"/>
  <c r="U389" i="7"/>
  <c r="T389" i="7"/>
  <c r="S389" i="7"/>
  <c r="R389" i="7"/>
  <c r="Q389" i="7"/>
  <c r="P389" i="7"/>
  <c r="O389" i="7"/>
  <c r="N389" i="7"/>
  <c r="K389" i="7"/>
  <c r="J389" i="7"/>
  <c r="I389" i="7"/>
  <c r="H389" i="7"/>
  <c r="G389" i="7"/>
  <c r="F389" i="7"/>
  <c r="E389" i="7"/>
  <c r="D389" i="7"/>
  <c r="C389" i="7"/>
  <c r="B389" i="7"/>
  <c r="W388" i="7"/>
  <c r="V388" i="7"/>
  <c r="U388" i="7"/>
  <c r="T388" i="7"/>
  <c r="S388" i="7"/>
  <c r="R388" i="7"/>
  <c r="Q388" i="7"/>
  <c r="P388" i="7"/>
  <c r="O388" i="7"/>
  <c r="N388" i="7"/>
  <c r="K388" i="7"/>
  <c r="J388" i="7"/>
  <c r="I388" i="7"/>
  <c r="H388" i="7"/>
  <c r="G388" i="7"/>
  <c r="F388" i="7"/>
  <c r="E388" i="7"/>
  <c r="D388" i="7"/>
  <c r="C388" i="7"/>
  <c r="B388" i="7"/>
  <c r="W386" i="7"/>
  <c r="V386" i="7"/>
  <c r="U386" i="7"/>
  <c r="T386" i="7"/>
  <c r="S386" i="7"/>
  <c r="R386" i="7"/>
  <c r="Q386" i="7"/>
  <c r="P386" i="7"/>
  <c r="O386" i="7"/>
  <c r="N386" i="7"/>
  <c r="I386" i="7"/>
  <c r="H386" i="7"/>
  <c r="G386" i="7"/>
  <c r="F386" i="7"/>
  <c r="E386" i="7"/>
  <c r="D386" i="7"/>
  <c r="C386" i="7"/>
  <c r="B386" i="7"/>
  <c r="T385" i="7"/>
  <c r="S385" i="7"/>
  <c r="R385" i="7"/>
  <c r="I385" i="7"/>
  <c r="H385" i="7"/>
  <c r="G385" i="7"/>
  <c r="F385" i="7"/>
  <c r="E385" i="7"/>
  <c r="D385" i="7"/>
  <c r="C385" i="7"/>
  <c r="W384" i="7"/>
  <c r="V384" i="7"/>
  <c r="U384" i="7"/>
  <c r="T384" i="7"/>
  <c r="S384" i="7"/>
  <c r="R384" i="7"/>
  <c r="Q384" i="7"/>
  <c r="P384" i="7"/>
  <c r="O384" i="7"/>
  <c r="N384" i="7"/>
  <c r="K384" i="7"/>
  <c r="J384" i="7"/>
  <c r="I384" i="7"/>
  <c r="H384" i="7"/>
  <c r="G384" i="7"/>
  <c r="F384" i="7"/>
  <c r="E384" i="7"/>
  <c r="D384" i="7"/>
  <c r="C384" i="7"/>
  <c r="B384" i="7"/>
  <c r="W383" i="7"/>
  <c r="V383" i="7"/>
  <c r="U383" i="7"/>
  <c r="T383" i="7"/>
  <c r="S383" i="7"/>
  <c r="R383" i="7"/>
  <c r="Q383" i="7"/>
  <c r="P383" i="7"/>
  <c r="O383" i="7"/>
  <c r="N383" i="7"/>
  <c r="K383" i="7"/>
  <c r="J383" i="7"/>
  <c r="I383" i="7"/>
  <c r="H383" i="7"/>
  <c r="G383" i="7"/>
  <c r="F383" i="7"/>
  <c r="E383" i="7"/>
  <c r="D383" i="7"/>
  <c r="C383" i="7"/>
  <c r="B383" i="7"/>
  <c r="A382" i="7"/>
  <c r="W377" i="7"/>
  <c r="V377" i="7"/>
  <c r="U377" i="7"/>
  <c r="T377" i="7"/>
  <c r="S377" i="7"/>
  <c r="R377" i="7"/>
  <c r="Q377" i="7"/>
  <c r="P377" i="7"/>
  <c r="O377" i="7"/>
  <c r="N377" i="7"/>
  <c r="K377" i="7"/>
  <c r="J377" i="7"/>
  <c r="I377" i="7"/>
  <c r="H377" i="7"/>
  <c r="G377" i="7"/>
  <c r="F377" i="7"/>
  <c r="E377" i="7"/>
  <c r="D377" i="7"/>
  <c r="C377" i="7"/>
  <c r="B377" i="7"/>
  <c r="W373" i="7"/>
  <c r="V373" i="7"/>
  <c r="U373" i="7"/>
  <c r="T373" i="7"/>
  <c r="S373" i="7"/>
  <c r="R373" i="7"/>
  <c r="Q373" i="7"/>
  <c r="P373" i="7"/>
  <c r="O373" i="7"/>
  <c r="N373" i="7"/>
  <c r="K373" i="7"/>
  <c r="J373" i="7"/>
  <c r="I373" i="7"/>
  <c r="H373" i="7"/>
  <c r="G373" i="7"/>
  <c r="F373" i="7"/>
  <c r="E373" i="7"/>
  <c r="D373" i="7"/>
  <c r="C373" i="7"/>
  <c r="B373" i="7"/>
  <c r="W372" i="7"/>
  <c r="V372" i="7"/>
  <c r="U372" i="7"/>
  <c r="T372" i="7"/>
  <c r="S372" i="7"/>
  <c r="R372" i="7"/>
  <c r="Q372" i="7"/>
  <c r="P372" i="7"/>
  <c r="O372" i="7"/>
  <c r="N372" i="7"/>
  <c r="K372" i="7"/>
  <c r="J372" i="7"/>
  <c r="I372" i="7"/>
  <c r="H372" i="7"/>
  <c r="G372" i="7"/>
  <c r="F372" i="7"/>
  <c r="E372" i="7"/>
  <c r="D372" i="7"/>
  <c r="C372" i="7"/>
  <c r="B372" i="7"/>
  <c r="W371" i="7"/>
  <c r="V371" i="7"/>
  <c r="U371" i="7"/>
  <c r="T371" i="7"/>
  <c r="S371" i="7"/>
  <c r="R371" i="7"/>
  <c r="Q371" i="7"/>
  <c r="P371" i="7"/>
  <c r="O371" i="7"/>
  <c r="N371" i="7"/>
  <c r="K371" i="7"/>
  <c r="J371" i="7"/>
  <c r="I371" i="7"/>
  <c r="H371" i="7"/>
  <c r="G371" i="7"/>
  <c r="F371" i="7"/>
  <c r="E371" i="7"/>
  <c r="D371" i="7"/>
  <c r="C371" i="7"/>
  <c r="B371" i="7"/>
  <c r="W370" i="7"/>
  <c r="V370" i="7"/>
  <c r="U370" i="7"/>
  <c r="T370" i="7"/>
  <c r="S370" i="7"/>
  <c r="R370" i="7"/>
  <c r="Q370" i="7"/>
  <c r="P370" i="7"/>
  <c r="O370" i="7"/>
  <c r="N370" i="7"/>
  <c r="K370" i="7"/>
  <c r="J370" i="7"/>
  <c r="I370" i="7"/>
  <c r="H370" i="7"/>
  <c r="G370" i="7"/>
  <c r="F370" i="7"/>
  <c r="E370" i="7"/>
  <c r="D370" i="7"/>
  <c r="C370" i="7"/>
  <c r="B370" i="7"/>
  <c r="W369" i="7"/>
  <c r="V369" i="7"/>
  <c r="U369" i="7"/>
  <c r="T369" i="7"/>
  <c r="S369" i="7"/>
  <c r="R369" i="7"/>
  <c r="Q369" i="7"/>
  <c r="P369" i="7"/>
  <c r="O369" i="7"/>
  <c r="N369" i="7"/>
  <c r="K369" i="7"/>
  <c r="J369" i="7"/>
  <c r="I369" i="7"/>
  <c r="H369" i="7"/>
  <c r="G369" i="7"/>
  <c r="F369" i="7"/>
  <c r="E369" i="7"/>
  <c r="D369" i="7"/>
  <c r="C369" i="7"/>
  <c r="B369" i="7"/>
  <c r="W368" i="7"/>
  <c r="V368" i="7"/>
  <c r="U368" i="7"/>
  <c r="T368" i="7"/>
  <c r="S368" i="7"/>
  <c r="R368" i="7"/>
  <c r="Q368" i="7"/>
  <c r="P368" i="7"/>
  <c r="O368" i="7"/>
  <c r="N368" i="7"/>
  <c r="K368" i="7"/>
  <c r="J368" i="7"/>
  <c r="I368" i="7"/>
  <c r="H368" i="7"/>
  <c r="G368" i="7"/>
  <c r="F368" i="7"/>
  <c r="E368" i="7"/>
  <c r="D368" i="7"/>
  <c r="C368" i="7"/>
  <c r="B368" i="7"/>
  <c r="W367" i="7"/>
  <c r="V367" i="7"/>
  <c r="U367" i="7"/>
  <c r="T367" i="7"/>
  <c r="S367" i="7"/>
  <c r="R367" i="7"/>
  <c r="Q367" i="7"/>
  <c r="P367" i="7"/>
  <c r="O367" i="7"/>
  <c r="N367" i="7"/>
  <c r="K367" i="7"/>
  <c r="J367" i="7"/>
  <c r="I367" i="7"/>
  <c r="H367" i="7"/>
  <c r="G367" i="7"/>
  <c r="F367" i="7"/>
  <c r="E367" i="7"/>
  <c r="D367" i="7"/>
  <c r="C367" i="7"/>
  <c r="B367" i="7"/>
  <c r="W365" i="7"/>
  <c r="V365" i="7"/>
  <c r="U365" i="7"/>
  <c r="T365" i="7"/>
  <c r="S365" i="7"/>
  <c r="R365" i="7"/>
  <c r="Q365" i="7"/>
  <c r="P365" i="7"/>
  <c r="O365" i="7"/>
  <c r="N365" i="7"/>
  <c r="K365" i="7"/>
  <c r="J365" i="7"/>
  <c r="I365" i="7"/>
  <c r="H365" i="7"/>
  <c r="G365" i="7"/>
  <c r="F365" i="7"/>
  <c r="E365" i="7"/>
  <c r="D365" i="7"/>
  <c r="C365" i="7"/>
  <c r="B365" i="7"/>
  <c r="V364" i="7"/>
  <c r="U364" i="7"/>
  <c r="T364" i="7"/>
  <c r="S364" i="7"/>
  <c r="R364" i="7"/>
  <c r="Q364" i="7"/>
  <c r="K364" i="7"/>
  <c r="J364" i="7"/>
  <c r="I364" i="7"/>
  <c r="H364" i="7"/>
  <c r="G364" i="7"/>
  <c r="F364" i="7"/>
  <c r="E364" i="7"/>
  <c r="D364" i="7"/>
  <c r="C364" i="7"/>
  <c r="W363" i="7"/>
  <c r="V363" i="7"/>
  <c r="U363" i="7"/>
  <c r="T363" i="7"/>
  <c r="S363" i="7"/>
  <c r="R363" i="7"/>
  <c r="Q363" i="7"/>
  <c r="P363" i="7"/>
  <c r="O363" i="7"/>
  <c r="N363" i="7"/>
  <c r="K363" i="7"/>
  <c r="J363" i="7"/>
  <c r="I363" i="7"/>
  <c r="H363" i="7"/>
  <c r="G363" i="7"/>
  <c r="F363" i="7"/>
  <c r="E363" i="7"/>
  <c r="D363" i="7"/>
  <c r="C363" i="7"/>
  <c r="B363" i="7"/>
  <c r="W362" i="7"/>
  <c r="V362" i="7"/>
  <c r="U362" i="7"/>
  <c r="T362" i="7"/>
  <c r="S362" i="7"/>
  <c r="R362" i="7"/>
  <c r="Q362" i="7"/>
  <c r="P362" i="7"/>
  <c r="O362" i="7"/>
  <c r="N362" i="7"/>
  <c r="K362" i="7"/>
  <c r="J362" i="7"/>
  <c r="I362" i="7"/>
  <c r="H362" i="7"/>
  <c r="G362" i="7"/>
  <c r="F362" i="7"/>
  <c r="E362" i="7"/>
  <c r="D362" i="7"/>
  <c r="C362" i="7"/>
  <c r="B362" i="7"/>
  <c r="A361" i="7"/>
  <c r="W359" i="7"/>
  <c r="V359" i="7"/>
  <c r="U359" i="7"/>
  <c r="T359" i="7"/>
  <c r="S359" i="7"/>
  <c r="R359" i="7"/>
  <c r="Q359" i="7"/>
  <c r="P359" i="7"/>
  <c r="O359" i="7"/>
  <c r="N359" i="7"/>
  <c r="K359" i="7"/>
  <c r="J359" i="7"/>
  <c r="I359" i="7"/>
  <c r="H359" i="7"/>
  <c r="G359" i="7"/>
  <c r="F359" i="7"/>
  <c r="E359" i="7"/>
  <c r="D359" i="7"/>
  <c r="C359" i="7"/>
  <c r="B359" i="7"/>
  <c r="W355" i="7"/>
  <c r="V355" i="7"/>
  <c r="U355" i="7"/>
  <c r="T355" i="7"/>
  <c r="S355" i="7"/>
  <c r="R355" i="7"/>
  <c r="Q355" i="7"/>
  <c r="P355" i="7"/>
  <c r="O355" i="7"/>
  <c r="N355" i="7"/>
  <c r="K355" i="7"/>
  <c r="J355" i="7"/>
  <c r="I355" i="7"/>
  <c r="H355" i="7"/>
  <c r="G355" i="7"/>
  <c r="F355" i="7"/>
  <c r="E355" i="7"/>
  <c r="D355" i="7"/>
  <c r="C355" i="7"/>
  <c r="B355" i="7"/>
  <c r="W354" i="7"/>
  <c r="V354" i="7"/>
  <c r="U354" i="7"/>
  <c r="T354" i="7"/>
  <c r="S354" i="7"/>
  <c r="R354" i="7"/>
  <c r="Q354" i="7"/>
  <c r="P354" i="7"/>
  <c r="O354" i="7"/>
  <c r="N354" i="7"/>
  <c r="K354" i="7"/>
  <c r="J354" i="7"/>
  <c r="I354" i="7"/>
  <c r="H354" i="7"/>
  <c r="G354" i="7"/>
  <c r="F354" i="7"/>
  <c r="E354" i="7"/>
  <c r="D354" i="7"/>
  <c r="C354" i="7"/>
  <c r="B354" i="7"/>
  <c r="W353" i="7"/>
  <c r="V353" i="7"/>
  <c r="U353" i="7"/>
  <c r="T353" i="7"/>
  <c r="S353" i="7"/>
  <c r="R353" i="7"/>
  <c r="Q353" i="7"/>
  <c r="P353" i="7"/>
  <c r="O353" i="7"/>
  <c r="N353" i="7"/>
  <c r="K353" i="7"/>
  <c r="J353" i="7"/>
  <c r="I353" i="7"/>
  <c r="H353" i="7"/>
  <c r="G353" i="7"/>
  <c r="F353" i="7"/>
  <c r="E353" i="7"/>
  <c r="D353" i="7"/>
  <c r="C353" i="7"/>
  <c r="B353" i="7"/>
  <c r="W352" i="7"/>
  <c r="V352" i="7"/>
  <c r="U352" i="7"/>
  <c r="T352" i="7"/>
  <c r="S352" i="7"/>
  <c r="R352" i="7"/>
  <c r="Q352" i="7"/>
  <c r="P352" i="7"/>
  <c r="O352" i="7"/>
  <c r="N352" i="7"/>
  <c r="K352" i="7"/>
  <c r="J352" i="7"/>
  <c r="I352" i="7"/>
  <c r="H352" i="7"/>
  <c r="G352" i="7"/>
  <c r="F352" i="7"/>
  <c r="E352" i="7"/>
  <c r="D352" i="7"/>
  <c r="C352" i="7"/>
  <c r="B352" i="7"/>
  <c r="W351" i="7"/>
  <c r="V351" i="7"/>
  <c r="U351" i="7"/>
  <c r="T351" i="7"/>
  <c r="S351" i="7"/>
  <c r="R351" i="7"/>
  <c r="Q351" i="7"/>
  <c r="P351" i="7"/>
  <c r="O351" i="7"/>
  <c r="N351" i="7"/>
  <c r="K351" i="7"/>
  <c r="J351" i="7"/>
  <c r="I351" i="7"/>
  <c r="H351" i="7"/>
  <c r="G351" i="7"/>
  <c r="F351" i="7"/>
  <c r="E351" i="7"/>
  <c r="D351" i="7"/>
  <c r="C351" i="7"/>
  <c r="B351" i="7"/>
  <c r="W350" i="7"/>
  <c r="V350" i="7"/>
  <c r="U350" i="7"/>
  <c r="T350" i="7"/>
  <c r="S350" i="7"/>
  <c r="R350" i="7"/>
  <c r="Q350" i="7"/>
  <c r="P350" i="7"/>
  <c r="O350" i="7"/>
  <c r="N350" i="7"/>
  <c r="K350" i="7"/>
  <c r="J350" i="7"/>
  <c r="I350" i="7"/>
  <c r="H350" i="7"/>
  <c r="G350" i="7"/>
  <c r="F350" i="7"/>
  <c r="E350" i="7"/>
  <c r="D350" i="7"/>
  <c r="C350" i="7"/>
  <c r="B350" i="7"/>
  <c r="W349" i="7"/>
  <c r="V349" i="7"/>
  <c r="U349" i="7"/>
  <c r="T349" i="7"/>
  <c r="S349" i="7"/>
  <c r="R349" i="7"/>
  <c r="Q349" i="7"/>
  <c r="P349" i="7"/>
  <c r="O349" i="7"/>
  <c r="N349" i="7"/>
  <c r="K349" i="7"/>
  <c r="J349" i="7"/>
  <c r="I349" i="7"/>
  <c r="H349" i="7"/>
  <c r="G349" i="7"/>
  <c r="F349" i="7"/>
  <c r="E349" i="7"/>
  <c r="D349" i="7"/>
  <c r="C349" i="7"/>
  <c r="B349" i="7"/>
  <c r="W347" i="7"/>
  <c r="V347" i="7"/>
  <c r="U347" i="7"/>
  <c r="T347" i="7"/>
  <c r="S347" i="7"/>
  <c r="R347" i="7"/>
  <c r="Q347" i="7"/>
  <c r="P347" i="7"/>
  <c r="O347" i="7"/>
  <c r="N347" i="7"/>
  <c r="K347" i="7"/>
  <c r="J347" i="7"/>
  <c r="I347" i="7"/>
  <c r="H347" i="7"/>
  <c r="G347" i="7"/>
  <c r="F347" i="7"/>
  <c r="E347" i="7"/>
  <c r="D347" i="7"/>
  <c r="C347" i="7"/>
  <c r="B347" i="7"/>
  <c r="U346" i="7"/>
  <c r="T346" i="7"/>
  <c r="S346" i="7"/>
  <c r="R346" i="7"/>
  <c r="Q346" i="7"/>
  <c r="P346" i="7"/>
  <c r="J346" i="7"/>
  <c r="I346" i="7"/>
  <c r="H346" i="7"/>
  <c r="G346" i="7"/>
  <c r="F346" i="7"/>
  <c r="E346" i="7"/>
  <c r="D346" i="7"/>
  <c r="C346" i="7"/>
  <c r="B346" i="7"/>
  <c r="W345" i="7"/>
  <c r="V345" i="7"/>
  <c r="U345" i="7"/>
  <c r="T345" i="7"/>
  <c r="S345" i="7"/>
  <c r="R345" i="7"/>
  <c r="Q345" i="7"/>
  <c r="P345" i="7"/>
  <c r="O345" i="7"/>
  <c r="N345" i="7"/>
  <c r="K345" i="7"/>
  <c r="J345" i="7"/>
  <c r="I345" i="7"/>
  <c r="H345" i="7"/>
  <c r="G345" i="7"/>
  <c r="F345" i="7"/>
  <c r="E345" i="7"/>
  <c r="D345" i="7"/>
  <c r="C345" i="7"/>
  <c r="B345" i="7"/>
  <c r="W344" i="7"/>
  <c r="V344" i="7"/>
  <c r="U344" i="7"/>
  <c r="T344" i="7"/>
  <c r="S344" i="7"/>
  <c r="R344" i="7"/>
  <c r="Q344" i="7"/>
  <c r="P344" i="7"/>
  <c r="O344" i="7"/>
  <c r="N344" i="7"/>
  <c r="K344" i="7"/>
  <c r="J344" i="7"/>
  <c r="I344" i="7"/>
  <c r="H344" i="7"/>
  <c r="G344" i="7"/>
  <c r="F344" i="7"/>
  <c r="E344" i="7"/>
  <c r="D344" i="7"/>
  <c r="C344" i="7"/>
  <c r="B344" i="7"/>
  <c r="A343" i="7"/>
  <c r="X338" i="7"/>
  <c r="W338" i="7"/>
  <c r="V338" i="7"/>
  <c r="U338" i="7"/>
  <c r="T338" i="7"/>
  <c r="S338" i="7"/>
  <c r="R338" i="7"/>
  <c r="Q338" i="7"/>
  <c r="P338" i="7"/>
  <c r="O338" i="7"/>
  <c r="N338" i="7"/>
  <c r="L338" i="7"/>
  <c r="K338" i="7"/>
  <c r="J338" i="7"/>
  <c r="I338" i="7"/>
  <c r="H338" i="7"/>
  <c r="G338" i="7"/>
  <c r="F338" i="7"/>
  <c r="E338" i="7"/>
  <c r="D338" i="7"/>
  <c r="C338" i="7"/>
  <c r="B338" i="7"/>
  <c r="X334" i="7"/>
  <c r="W334" i="7"/>
  <c r="V334" i="7"/>
  <c r="U334" i="7"/>
  <c r="T334" i="7"/>
  <c r="S334" i="7"/>
  <c r="R334" i="7"/>
  <c r="Q334" i="7"/>
  <c r="P334" i="7"/>
  <c r="O334" i="7"/>
  <c r="N334" i="7"/>
  <c r="L334" i="7"/>
  <c r="K334" i="7"/>
  <c r="J334" i="7"/>
  <c r="I334" i="7"/>
  <c r="H334" i="7"/>
  <c r="G334" i="7"/>
  <c r="F334" i="7"/>
  <c r="E334" i="7"/>
  <c r="D334" i="7"/>
  <c r="C334" i="7"/>
  <c r="B334" i="7"/>
  <c r="W333" i="7"/>
  <c r="V333" i="7"/>
  <c r="U333" i="7"/>
  <c r="T333" i="7"/>
  <c r="S333" i="7"/>
  <c r="R333" i="7"/>
  <c r="Q333" i="7"/>
  <c r="P333" i="7"/>
  <c r="O333" i="7"/>
  <c r="N333" i="7"/>
  <c r="K333" i="7"/>
  <c r="J333" i="7"/>
  <c r="I333" i="7"/>
  <c r="H333" i="7"/>
  <c r="G333" i="7"/>
  <c r="F333" i="7"/>
  <c r="E333" i="7"/>
  <c r="D333" i="7"/>
  <c r="C333" i="7"/>
  <c r="B333" i="7"/>
  <c r="W332" i="7"/>
  <c r="V332" i="7"/>
  <c r="U332" i="7"/>
  <c r="T332" i="7"/>
  <c r="S332" i="7"/>
  <c r="R332" i="7"/>
  <c r="Q332" i="7"/>
  <c r="P332" i="7"/>
  <c r="O332" i="7"/>
  <c r="N332" i="7"/>
  <c r="K332" i="7"/>
  <c r="J332" i="7"/>
  <c r="I332" i="7"/>
  <c r="H332" i="7"/>
  <c r="G332" i="7"/>
  <c r="F332" i="7"/>
  <c r="E332" i="7"/>
  <c r="D332" i="7"/>
  <c r="C332" i="7"/>
  <c r="B332" i="7"/>
  <c r="W331" i="7"/>
  <c r="V331" i="7"/>
  <c r="U331" i="7"/>
  <c r="T331" i="7"/>
  <c r="S331" i="7"/>
  <c r="R331" i="7"/>
  <c r="Q331" i="7"/>
  <c r="P331" i="7"/>
  <c r="O331" i="7"/>
  <c r="N331" i="7"/>
  <c r="K331" i="7"/>
  <c r="J331" i="7"/>
  <c r="I331" i="7"/>
  <c r="H331" i="7"/>
  <c r="G331" i="7"/>
  <c r="F331" i="7"/>
  <c r="E331" i="7"/>
  <c r="D331" i="7"/>
  <c r="C331" i="7"/>
  <c r="B331" i="7"/>
  <c r="W330" i="7"/>
  <c r="V330" i="7"/>
  <c r="U330" i="7"/>
  <c r="T330" i="7"/>
  <c r="S330" i="7"/>
  <c r="R330" i="7"/>
  <c r="Q330" i="7"/>
  <c r="P330" i="7"/>
  <c r="O330" i="7"/>
  <c r="N330" i="7"/>
  <c r="K330" i="7"/>
  <c r="J330" i="7"/>
  <c r="I330" i="7"/>
  <c r="H330" i="7"/>
  <c r="G330" i="7"/>
  <c r="F330" i="7"/>
  <c r="E330" i="7"/>
  <c r="D330" i="7"/>
  <c r="C330" i="7"/>
  <c r="B330" i="7"/>
  <c r="W329" i="7"/>
  <c r="V329" i="7"/>
  <c r="U329" i="7"/>
  <c r="T329" i="7"/>
  <c r="S329" i="7"/>
  <c r="R329" i="7"/>
  <c r="Q329" i="7"/>
  <c r="P329" i="7"/>
  <c r="O329" i="7"/>
  <c r="N329" i="7"/>
  <c r="K329" i="7"/>
  <c r="J329" i="7"/>
  <c r="I329" i="7"/>
  <c r="H329" i="7"/>
  <c r="G329" i="7"/>
  <c r="F329" i="7"/>
  <c r="E329" i="7"/>
  <c r="D329" i="7"/>
  <c r="C329" i="7"/>
  <c r="B329" i="7"/>
  <c r="W328" i="7"/>
  <c r="V328" i="7"/>
  <c r="U328" i="7"/>
  <c r="T328" i="7"/>
  <c r="S328" i="7"/>
  <c r="R328" i="7"/>
  <c r="Q328" i="7"/>
  <c r="P328" i="7"/>
  <c r="O328" i="7"/>
  <c r="N328" i="7"/>
  <c r="K328" i="7"/>
  <c r="J328" i="7"/>
  <c r="I328" i="7"/>
  <c r="H328" i="7"/>
  <c r="G328" i="7"/>
  <c r="F328" i="7"/>
  <c r="E328" i="7"/>
  <c r="D328" i="7"/>
  <c r="C328" i="7"/>
  <c r="B328" i="7"/>
  <c r="W326" i="7"/>
  <c r="V326" i="7"/>
  <c r="U326" i="7"/>
  <c r="T326" i="7"/>
  <c r="S326" i="7"/>
  <c r="R326" i="7"/>
  <c r="Q326" i="7"/>
  <c r="P326" i="7"/>
  <c r="O326" i="7"/>
  <c r="N326" i="7"/>
  <c r="K326" i="7"/>
  <c r="J326" i="7"/>
  <c r="I326" i="7"/>
  <c r="H326" i="7"/>
  <c r="G326" i="7"/>
  <c r="F326" i="7"/>
  <c r="E326" i="7"/>
  <c r="D326" i="7"/>
  <c r="C326" i="7"/>
  <c r="B326" i="7"/>
  <c r="U325" i="7"/>
  <c r="T325" i="7"/>
  <c r="S325" i="7"/>
  <c r="R325" i="7"/>
  <c r="Q325" i="7"/>
  <c r="I325" i="7"/>
  <c r="H325" i="7"/>
  <c r="G325" i="7"/>
  <c r="F325" i="7"/>
  <c r="E325" i="7"/>
  <c r="V324" i="7"/>
  <c r="U324" i="7"/>
  <c r="T324" i="7"/>
  <c r="S324" i="7"/>
  <c r="R324" i="7"/>
  <c r="Q324" i="7"/>
  <c r="J324" i="7"/>
  <c r="I324" i="7"/>
  <c r="H324" i="7"/>
  <c r="G324" i="7"/>
  <c r="F324" i="7"/>
  <c r="E324" i="7"/>
  <c r="V323" i="7"/>
  <c r="U323" i="7"/>
  <c r="T323" i="7"/>
  <c r="S323" i="7"/>
  <c r="R323" i="7"/>
  <c r="Q323" i="7"/>
  <c r="J323" i="7"/>
  <c r="I323" i="7"/>
  <c r="H323" i="7"/>
  <c r="G323" i="7"/>
  <c r="F323" i="7"/>
  <c r="E323" i="7"/>
  <c r="A322" i="7"/>
  <c r="X320" i="7"/>
  <c r="W320" i="7"/>
  <c r="V320" i="7"/>
  <c r="U320" i="7"/>
  <c r="T320" i="7"/>
  <c r="S320" i="7"/>
  <c r="R320" i="7"/>
  <c r="Q320" i="7"/>
  <c r="P320" i="7"/>
  <c r="O320" i="7"/>
  <c r="N320" i="7"/>
  <c r="L320" i="7"/>
  <c r="K320" i="7"/>
  <c r="J320" i="7"/>
  <c r="I320" i="7"/>
  <c r="H320" i="7"/>
  <c r="G320" i="7"/>
  <c r="F320" i="7"/>
  <c r="E320" i="7"/>
  <c r="D320" i="7"/>
  <c r="C320" i="7"/>
  <c r="B320" i="7"/>
  <c r="X316" i="7"/>
  <c r="W316" i="7"/>
  <c r="V316" i="7"/>
  <c r="U316" i="7"/>
  <c r="T316" i="7"/>
  <c r="S316" i="7"/>
  <c r="R316" i="7"/>
  <c r="Q316" i="7"/>
  <c r="P316" i="7"/>
  <c r="O316" i="7"/>
  <c r="N316" i="7"/>
  <c r="L316" i="7"/>
  <c r="K316" i="7"/>
  <c r="J316" i="7"/>
  <c r="I316" i="7"/>
  <c r="H316" i="7"/>
  <c r="G316" i="7"/>
  <c r="F316" i="7"/>
  <c r="E316" i="7"/>
  <c r="D316" i="7"/>
  <c r="C316" i="7"/>
  <c r="B316" i="7"/>
  <c r="X315" i="7"/>
  <c r="W315" i="7"/>
  <c r="V315" i="7"/>
  <c r="U315" i="7"/>
  <c r="T315" i="7"/>
  <c r="S315" i="7"/>
  <c r="R315" i="7"/>
  <c r="Q315" i="7"/>
  <c r="P315" i="7"/>
  <c r="O315" i="7"/>
  <c r="N315" i="7"/>
  <c r="K315" i="7"/>
  <c r="J315" i="7"/>
  <c r="I315" i="7"/>
  <c r="H315" i="7"/>
  <c r="G315" i="7"/>
  <c r="F315" i="7"/>
  <c r="E315" i="7"/>
  <c r="D315" i="7"/>
  <c r="C315" i="7"/>
  <c r="B315" i="7"/>
  <c r="X314" i="7"/>
  <c r="W314" i="7"/>
  <c r="V314" i="7"/>
  <c r="U314" i="7"/>
  <c r="T314" i="7"/>
  <c r="S314" i="7"/>
  <c r="R314" i="7"/>
  <c r="Q314" i="7"/>
  <c r="P314" i="7"/>
  <c r="O314" i="7"/>
  <c r="N314" i="7"/>
  <c r="K314" i="7"/>
  <c r="J314" i="7"/>
  <c r="I314" i="7"/>
  <c r="H314" i="7"/>
  <c r="G314" i="7"/>
  <c r="F314" i="7"/>
  <c r="E314" i="7"/>
  <c r="D314" i="7"/>
  <c r="C314" i="7"/>
  <c r="B314" i="7"/>
  <c r="W313" i="7"/>
  <c r="V313" i="7"/>
  <c r="U313" i="7"/>
  <c r="T313" i="7"/>
  <c r="S313" i="7"/>
  <c r="R313" i="7"/>
  <c r="Q313" i="7"/>
  <c r="P313" i="7"/>
  <c r="O313" i="7"/>
  <c r="N313" i="7"/>
  <c r="K313" i="7"/>
  <c r="J313" i="7"/>
  <c r="I313" i="7"/>
  <c r="H313" i="7"/>
  <c r="G313" i="7"/>
  <c r="F313" i="7"/>
  <c r="E313" i="7"/>
  <c r="D313" i="7"/>
  <c r="C313" i="7"/>
  <c r="B313" i="7"/>
  <c r="W312" i="7"/>
  <c r="V312" i="7"/>
  <c r="U312" i="7"/>
  <c r="T312" i="7"/>
  <c r="S312" i="7"/>
  <c r="R312" i="7"/>
  <c r="Q312" i="7"/>
  <c r="P312" i="7"/>
  <c r="O312" i="7"/>
  <c r="N312" i="7"/>
  <c r="K312" i="7"/>
  <c r="J312" i="7"/>
  <c r="I312" i="7"/>
  <c r="H312" i="7"/>
  <c r="G312" i="7"/>
  <c r="F312" i="7"/>
  <c r="E312" i="7"/>
  <c r="D312" i="7"/>
  <c r="C312" i="7"/>
  <c r="B312" i="7"/>
  <c r="W311" i="7"/>
  <c r="V311" i="7"/>
  <c r="U311" i="7"/>
  <c r="T311" i="7"/>
  <c r="S311" i="7"/>
  <c r="R311" i="7"/>
  <c r="Q311" i="7"/>
  <c r="P311" i="7"/>
  <c r="O311" i="7"/>
  <c r="N311" i="7"/>
  <c r="K311" i="7"/>
  <c r="J311" i="7"/>
  <c r="I311" i="7"/>
  <c r="H311" i="7"/>
  <c r="G311" i="7"/>
  <c r="F311" i="7"/>
  <c r="E311" i="7"/>
  <c r="D311" i="7"/>
  <c r="C311" i="7"/>
  <c r="B311" i="7"/>
  <c r="X310" i="7"/>
  <c r="W310" i="7"/>
  <c r="V310" i="7"/>
  <c r="U310" i="7"/>
  <c r="T310" i="7"/>
  <c r="S310" i="7"/>
  <c r="R310" i="7"/>
  <c r="Q310" i="7"/>
  <c r="P310" i="7"/>
  <c r="O310" i="7"/>
  <c r="N310" i="7"/>
  <c r="K310" i="7"/>
  <c r="J310" i="7"/>
  <c r="I310" i="7"/>
  <c r="H310" i="7"/>
  <c r="G310" i="7"/>
  <c r="F310" i="7"/>
  <c r="E310" i="7"/>
  <c r="D310" i="7"/>
  <c r="C310" i="7"/>
  <c r="B310" i="7"/>
  <c r="W308" i="7"/>
  <c r="V308" i="7"/>
  <c r="U308" i="7"/>
  <c r="T308" i="7"/>
  <c r="S308" i="7"/>
  <c r="R308" i="7"/>
  <c r="Q308" i="7"/>
  <c r="P308" i="7"/>
  <c r="O308" i="7"/>
  <c r="N308" i="7"/>
  <c r="K308" i="7"/>
  <c r="J308" i="7"/>
  <c r="I308" i="7"/>
  <c r="H308" i="7"/>
  <c r="G308" i="7"/>
  <c r="F308" i="7"/>
  <c r="E308" i="7"/>
  <c r="D308" i="7"/>
  <c r="C308" i="7"/>
  <c r="B308" i="7"/>
  <c r="U307" i="7"/>
  <c r="T307" i="7"/>
  <c r="S307" i="7"/>
  <c r="R307" i="7"/>
  <c r="Q307" i="7"/>
  <c r="I307" i="7"/>
  <c r="H307" i="7"/>
  <c r="G307" i="7"/>
  <c r="F307" i="7"/>
  <c r="E307" i="7"/>
  <c r="U306" i="7"/>
  <c r="T306" i="7"/>
  <c r="S306" i="7"/>
  <c r="R306" i="7"/>
  <c r="Q306" i="7"/>
  <c r="I306" i="7"/>
  <c r="H306" i="7"/>
  <c r="G306" i="7"/>
  <c r="F306" i="7"/>
  <c r="E306" i="7"/>
  <c r="U305" i="7"/>
  <c r="T305" i="7"/>
  <c r="S305" i="7"/>
  <c r="R305" i="7"/>
  <c r="Q305" i="7"/>
  <c r="I305" i="7"/>
  <c r="H305" i="7"/>
  <c r="G305" i="7"/>
  <c r="F305" i="7"/>
  <c r="E305" i="7"/>
  <c r="W290" i="7"/>
  <c r="W416" i="7" s="1"/>
  <c r="V290" i="7"/>
  <c r="V416" i="7" s="1"/>
  <c r="U290" i="7"/>
  <c r="U416" i="7" s="1"/>
  <c r="T290" i="7"/>
  <c r="T416" i="7" s="1"/>
  <c r="S290" i="7"/>
  <c r="S416" i="7" s="1"/>
  <c r="R290" i="7"/>
  <c r="R416" i="7" s="1"/>
  <c r="Q290" i="7"/>
  <c r="Q416" i="7" s="1"/>
  <c r="P290" i="7"/>
  <c r="P416" i="7" s="1"/>
  <c r="O290" i="7"/>
  <c r="O416" i="7" s="1"/>
  <c r="N290" i="7"/>
  <c r="N416" i="7" s="1"/>
  <c r="K290" i="7"/>
  <c r="K416" i="7" s="1"/>
  <c r="J290" i="7"/>
  <c r="J416" i="7" s="1"/>
  <c r="I290" i="7"/>
  <c r="I416" i="7" s="1"/>
  <c r="H290" i="7"/>
  <c r="H416" i="7" s="1"/>
  <c r="G416" i="7"/>
  <c r="D290" i="7"/>
  <c r="D416" i="7" s="1"/>
  <c r="C290" i="7"/>
  <c r="C416" i="7" s="1"/>
  <c r="B290" i="7"/>
  <c r="B416" i="7" s="1"/>
  <c r="W286" i="7"/>
  <c r="W412" i="7" s="1"/>
  <c r="V286" i="7"/>
  <c r="V412" i="7" s="1"/>
  <c r="U286" i="7"/>
  <c r="U412" i="7" s="1"/>
  <c r="T286" i="7"/>
  <c r="T412" i="7" s="1"/>
  <c r="S286" i="7"/>
  <c r="S412" i="7" s="1"/>
  <c r="R286" i="7"/>
  <c r="R412" i="7" s="1"/>
  <c r="Q286" i="7"/>
  <c r="Q412" i="7" s="1"/>
  <c r="P286" i="7"/>
  <c r="P412" i="7" s="1"/>
  <c r="O286" i="7"/>
  <c r="O412" i="7" s="1"/>
  <c r="N286" i="7"/>
  <c r="N412" i="7" s="1"/>
  <c r="K286" i="7"/>
  <c r="K412" i="7" s="1"/>
  <c r="J286" i="7"/>
  <c r="J412" i="7" s="1"/>
  <c r="I286" i="7"/>
  <c r="I412" i="7" s="1"/>
  <c r="H286" i="7"/>
  <c r="H412" i="7" s="1"/>
  <c r="G286" i="7"/>
  <c r="G412" i="7" s="1"/>
  <c r="F286" i="7"/>
  <c r="F412" i="7" s="1"/>
  <c r="E286" i="7"/>
  <c r="E412" i="7" s="1"/>
  <c r="D286" i="7"/>
  <c r="D412" i="7" s="1"/>
  <c r="C286" i="7"/>
  <c r="C412" i="7" s="1"/>
  <c r="B286" i="7"/>
  <c r="B412" i="7" s="1"/>
  <c r="W285" i="7"/>
  <c r="W411" i="7" s="1"/>
  <c r="V285" i="7"/>
  <c r="V411" i="7" s="1"/>
  <c r="U285" i="7"/>
  <c r="U411" i="7" s="1"/>
  <c r="T285" i="7"/>
  <c r="T411" i="7" s="1"/>
  <c r="S285" i="7"/>
  <c r="S411" i="7" s="1"/>
  <c r="R285" i="7"/>
  <c r="R411" i="7" s="1"/>
  <c r="Q285" i="7"/>
  <c r="Q411" i="7" s="1"/>
  <c r="P285" i="7"/>
  <c r="P411" i="7" s="1"/>
  <c r="O285" i="7"/>
  <c r="O411" i="7" s="1"/>
  <c r="N285" i="7"/>
  <c r="N411" i="7" s="1"/>
  <c r="K285" i="7"/>
  <c r="K411" i="7" s="1"/>
  <c r="J285" i="7"/>
  <c r="J411" i="7" s="1"/>
  <c r="I285" i="7"/>
  <c r="I411" i="7" s="1"/>
  <c r="H285" i="7"/>
  <c r="H411" i="7" s="1"/>
  <c r="G285" i="7"/>
  <c r="G411" i="7" s="1"/>
  <c r="F285" i="7"/>
  <c r="F411" i="7" s="1"/>
  <c r="E285" i="7"/>
  <c r="E411" i="7" s="1"/>
  <c r="D285" i="7"/>
  <c r="D411" i="7" s="1"/>
  <c r="C285" i="7"/>
  <c r="C411" i="7" s="1"/>
  <c r="B285" i="7"/>
  <c r="B411" i="7" s="1"/>
  <c r="W284" i="7"/>
  <c r="W410" i="7" s="1"/>
  <c r="V284" i="7"/>
  <c r="V410" i="7" s="1"/>
  <c r="U284" i="7"/>
  <c r="U410" i="7" s="1"/>
  <c r="T284" i="7"/>
  <c r="T410" i="7" s="1"/>
  <c r="S284" i="7"/>
  <c r="S410" i="7" s="1"/>
  <c r="R284" i="7"/>
  <c r="R410" i="7" s="1"/>
  <c r="Q284" i="7"/>
  <c r="Q410" i="7" s="1"/>
  <c r="P284" i="7"/>
  <c r="P410" i="7" s="1"/>
  <c r="O284" i="7"/>
  <c r="O410" i="7" s="1"/>
  <c r="N284" i="7"/>
  <c r="N410" i="7" s="1"/>
  <c r="K284" i="7"/>
  <c r="K410" i="7" s="1"/>
  <c r="J284" i="7"/>
  <c r="J410" i="7" s="1"/>
  <c r="I284" i="7"/>
  <c r="I410" i="7" s="1"/>
  <c r="H284" i="7"/>
  <c r="H410" i="7" s="1"/>
  <c r="G284" i="7"/>
  <c r="G410" i="7" s="1"/>
  <c r="F284" i="7"/>
  <c r="F410" i="7" s="1"/>
  <c r="E284" i="7"/>
  <c r="E410" i="7" s="1"/>
  <c r="D284" i="7"/>
  <c r="D410" i="7" s="1"/>
  <c r="C284" i="7"/>
  <c r="C410" i="7" s="1"/>
  <c r="B284" i="7"/>
  <c r="B410" i="7" s="1"/>
  <c r="W283" i="7"/>
  <c r="W409" i="7" s="1"/>
  <c r="V283" i="7"/>
  <c r="V409" i="7" s="1"/>
  <c r="U283" i="7"/>
  <c r="U409" i="7" s="1"/>
  <c r="T283" i="7"/>
  <c r="T409" i="7" s="1"/>
  <c r="S283" i="7"/>
  <c r="S409" i="7" s="1"/>
  <c r="R283" i="7"/>
  <c r="R409" i="7" s="1"/>
  <c r="Q283" i="7"/>
  <c r="Q409" i="7" s="1"/>
  <c r="P283" i="7"/>
  <c r="P409" i="7" s="1"/>
  <c r="O283" i="7"/>
  <c r="O409" i="7" s="1"/>
  <c r="N283" i="7"/>
  <c r="N409" i="7" s="1"/>
  <c r="K283" i="7"/>
  <c r="K409" i="7" s="1"/>
  <c r="J283" i="7"/>
  <c r="J409" i="7" s="1"/>
  <c r="I283" i="7"/>
  <c r="I409" i="7" s="1"/>
  <c r="H283" i="7"/>
  <c r="H409" i="7" s="1"/>
  <c r="G283" i="7"/>
  <c r="G409" i="7" s="1"/>
  <c r="F283" i="7"/>
  <c r="F409" i="7" s="1"/>
  <c r="E283" i="7"/>
  <c r="E409" i="7" s="1"/>
  <c r="D283" i="7"/>
  <c r="D409" i="7" s="1"/>
  <c r="C283" i="7"/>
  <c r="C409" i="7" s="1"/>
  <c r="B283" i="7"/>
  <c r="B409" i="7" s="1"/>
  <c r="W282" i="7"/>
  <c r="W408" i="7" s="1"/>
  <c r="V282" i="7"/>
  <c r="V408" i="7" s="1"/>
  <c r="U282" i="7"/>
  <c r="U408" i="7" s="1"/>
  <c r="T282" i="7"/>
  <c r="T408" i="7" s="1"/>
  <c r="S282" i="7"/>
  <c r="S408" i="7" s="1"/>
  <c r="R282" i="7"/>
  <c r="R408" i="7" s="1"/>
  <c r="Q282" i="7"/>
  <c r="Q408" i="7" s="1"/>
  <c r="P282" i="7"/>
  <c r="P408" i="7" s="1"/>
  <c r="O282" i="7"/>
  <c r="O408" i="7" s="1"/>
  <c r="N282" i="7"/>
  <c r="N408" i="7" s="1"/>
  <c r="K282" i="7"/>
  <c r="K408" i="7" s="1"/>
  <c r="J282" i="7"/>
  <c r="J408" i="7" s="1"/>
  <c r="I282" i="7"/>
  <c r="I408" i="7" s="1"/>
  <c r="H282" i="7"/>
  <c r="H408" i="7" s="1"/>
  <c r="G282" i="7"/>
  <c r="G408" i="7" s="1"/>
  <c r="F282" i="7"/>
  <c r="F408" i="7" s="1"/>
  <c r="E282" i="7"/>
  <c r="E408" i="7" s="1"/>
  <c r="D282" i="7"/>
  <c r="D408" i="7" s="1"/>
  <c r="C282" i="7"/>
  <c r="C408" i="7" s="1"/>
  <c r="B282" i="7"/>
  <c r="B408" i="7" s="1"/>
  <c r="W281" i="7"/>
  <c r="W407" i="7" s="1"/>
  <c r="V281" i="7"/>
  <c r="V407" i="7" s="1"/>
  <c r="U281" i="7"/>
  <c r="U407" i="7" s="1"/>
  <c r="T281" i="7"/>
  <c r="T407" i="7" s="1"/>
  <c r="S281" i="7"/>
  <c r="S407" i="7" s="1"/>
  <c r="R281" i="7"/>
  <c r="R407" i="7" s="1"/>
  <c r="Q281" i="7"/>
  <c r="Q407" i="7" s="1"/>
  <c r="P281" i="7"/>
  <c r="P407" i="7" s="1"/>
  <c r="O281" i="7"/>
  <c r="O407" i="7" s="1"/>
  <c r="N281" i="7"/>
  <c r="N407" i="7" s="1"/>
  <c r="K281" i="7"/>
  <c r="K407" i="7" s="1"/>
  <c r="J281" i="7"/>
  <c r="J407" i="7" s="1"/>
  <c r="I281" i="7"/>
  <c r="I407" i="7" s="1"/>
  <c r="H281" i="7"/>
  <c r="H407" i="7" s="1"/>
  <c r="G281" i="7"/>
  <c r="G407" i="7" s="1"/>
  <c r="F281" i="7"/>
  <c r="F407" i="7" s="1"/>
  <c r="E281" i="7"/>
  <c r="E407" i="7" s="1"/>
  <c r="D281" i="7"/>
  <c r="D407" i="7" s="1"/>
  <c r="C281" i="7"/>
  <c r="C407" i="7" s="1"/>
  <c r="B281" i="7"/>
  <c r="B407" i="7" s="1"/>
  <c r="W280" i="7"/>
  <c r="W406" i="7" s="1"/>
  <c r="V280" i="7"/>
  <c r="V406" i="7" s="1"/>
  <c r="U280" i="7"/>
  <c r="U406" i="7" s="1"/>
  <c r="T280" i="7"/>
  <c r="T406" i="7" s="1"/>
  <c r="S280" i="7"/>
  <c r="S406" i="7" s="1"/>
  <c r="R280" i="7"/>
  <c r="R406" i="7" s="1"/>
  <c r="Q280" i="7"/>
  <c r="Q406" i="7" s="1"/>
  <c r="P280" i="7"/>
  <c r="P406" i="7" s="1"/>
  <c r="O280" i="7"/>
  <c r="O406" i="7" s="1"/>
  <c r="N280" i="7"/>
  <c r="N406" i="7" s="1"/>
  <c r="K280" i="7"/>
  <c r="K406" i="7" s="1"/>
  <c r="J280" i="7"/>
  <c r="J406" i="7" s="1"/>
  <c r="I280" i="7"/>
  <c r="I406" i="7" s="1"/>
  <c r="H280" i="7"/>
  <c r="H406" i="7" s="1"/>
  <c r="G280" i="7"/>
  <c r="G406" i="7" s="1"/>
  <c r="F280" i="7"/>
  <c r="F406" i="7" s="1"/>
  <c r="E280" i="7"/>
  <c r="E406" i="7" s="1"/>
  <c r="D280" i="7"/>
  <c r="D406" i="7" s="1"/>
  <c r="C280" i="7"/>
  <c r="C406" i="7" s="1"/>
  <c r="B280" i="7"/>
  <c r="B406" i="7" s="1"/>
  <c r="W279" i="7"/>
  <c r="V279" i="7"/>
  <c r="U279" i="7"/>
  <c r="T279" i="7"/>
  <c r="S279" i="7"/>
  <c r="R279" i="7"/>
  <c r="Q279" i="7"/>
  <c r="P279" i="7"/>
  <c r="O279" i="7"/>
  <c r="N279" i="7"/>
  <c r="K279" i="7"/>
  <c r="J279" i="7"/>
  <c r="I279" i="7"/>
  <c r="H279" i="7"/>
  <c r="G279" i="7"/>
  <c r="F279" i="7"/>
  <c r="E279" i="7"/>
  <c r="D279" i="7"/>
  <c r="C279" i="7"/>
  <c r="B279" i="7"/>
  <c r="W278" i="7"/>
  <c r="V278" i="7"/>
  <c r="U278" i="7"/>
  <c r="T278" i="7"/>
  <c r="S278" i="7"/>
  <c r="R278" i="7"/>
  <c r="Q278" i="7"/>
  <c r="P278" i="7"/>
  <c r="O278" i="7"/>
  <c r="N278" i="7"/>
  <c r="K278" i="7"/>
  <c r="J278" i="7"/>
  <c r="I278" i="7"/>
  <c r="H278" i="7"/>
  <c r="G278" i="7"/>
  <c r="F278" i="7"/>
  <c r="E278" i="7"/>
  <c r="D278" i="7"/>
  <c r="C278" i="7"/>
  <c r="B278" i="7"/>
  <c r="X277" i="7"/>
  <c r="W277" i="7"/>
  <c r="V277" i="7"/>
  <c r="U277" i="7"/>
  <c r="T277" i="7"/>
  <c r="S277" i="7"/>
  <c r="R277" i="7"/>
  <c r="Q277" i="7"/>
  <c r="P277" i="7"/>
  <c r="O277" i="7"/>
  <c r="N277" i="7"/>
  <c r="K277" i="7"/>
  <c r="J277" i="7"/>
  <c r="I277" i="7"/>
  <c r="H277" i="7"/>
  <c r="G277" i="7"/>
  <c r="F277" i="7"/>
  <c r="E277" i="7"/>
  <c r="D277" i="7"/>
  <c r="C277" i="7"/>
  <c r="B277" i="7"/>
  <c r="W276" i="7"/>
  <c r="V276" i="7"/>
  <c r="U276" i="7"/>
  <c r="T276" i="7"/>
  <c r="S276" i="7"/>
  <c r="R276" i="7"/>
  <c r="Q276" i="7"/>
  <c r="P276" i="7"/>
  <c r="O276" i="7"/>
  <c r="N276" i="7"/>
  <c r="K276" i="7"/>
  <c r="J276" i="7"/>
  <c r="I276" i="7"/>
  <c r="H276" i="7"/>
  <c r="G276" i="7"/>
  <c r="F276" i="7"/>
  <c r="E276" i="7"/>
  <c r="D276" i="7"/>
  <c r="C276" i="7"/>
  <c r="B276" i="7"/>
  <c r="W275" i="7"/>
  <c r="W405" i="7" s="1"/>
  <c r="V275" i="7"/>
  <c r="V405" i="7" s="1"/>
  <c r="U275" i="7"/>
  <c r="T275" i="7"/>
  <c r="S275" i="7"/>
  <c r="R275" i="7"/>
  <c r="Q275" i="7"/>
  <c r="P275" i="7"/>
  <c r="O275" i="7"/>
  <c r="O405" i="7" s="1"/>
  <c r="N275" i="7"/>
  <c r="N405" i="7" s="1"/>
  <c r="K275" i="7"/>
  <c r="J275" i="7"/>
  <c r="I275" i="7"/>
  <c r="H275" i="7"/>
  <c r="G275" i="7"/>
  <c r="F275" i="7"/>
  <c r="E275" i="7"/>
  <c r="E405" i="7" s="1"/>
  <c r="D275" i="7"/>
  <c r="C275" i="7"/>
  <c r="B275" i="7"/>
  <c r="W274" i="7"/>
  <c r="V274" i="7"/>
  <c r="U274" i="7"/>
  <c r="T274" i="7"/>
  <c r="S274" i="7"/>
  <c r="R274" i="7"/>
  <c r="Q274" i="7"/>
  <c r="P274" i="7"/>
  <c r="O274" i="7"/>
  <c r="N274" i="7"/>
  <c r="K274" i="7"/>
  <c r="J274" i="7"/>
  <c r="I274" i="7"/>
  <c r="H274" i="7"/>
  <c r="G274" i="7"/>
  <c r="F274" i="7"/>
  <c r="E274" i="7"/>
  <c r="D274" i="7"/>
  <c r="C274" i="7"/>
  <c r="B274" i="7"/>
  <c r="W273" i="7"/>
  <c r="V273" i="7"/>
  <c r="U273" i="7"/>
  <c r="T273" i="7"/>
  <c r="S273" i="7"/>
  <c r="R273" i="7"/>
  <c r="Q273" i="7"/>
  <c r="P273" i="7"/>
  <c r="O273" i="7"/>
  <c r="N273" i="7"/>
  <c r="K273" i="7"/>
  <c r="J273" i="7"/>
  <c r="I273" i="7"/>
  <c r="H273" i="7"/>
  <c r="G273" i="7"/>
  <c r="F273" i="7"/>
  <c r="E273" i="7"/>
  <c r="D273" i="7"/>
  <c r="C273" i="7"/>
  <c r="B273" i="7"/>
  <c r="W272" i="7"/>
  <c r="V272" i="7"/>
  <c r="U272" i="7"/>
  <c r="T272" i="7"/>
  <c r="S272" i="7"/>
  <c r="R272" i="7"/>
  <c r="Q272" i="7"/>
  <c r="P272" i="7"/>
  <c r="O272" i="7"/>
  <c r="N272" i="7"/>
  <c r="K272" i="7"/>
  <c r="J272" i="7"/>
  <c r="I272" i="7"/>
  <c r="H272" i="7"/>
  <c r="G272" i="7"/>
  <c r="F272" i="7"/>
  <c r="E272" i="7"/>
  <c r="D272" i="7"/>
  <c r="C272" i="7"/>
  <c r="B272" i="7"/>
  <c r="W271" i="7"/>
  <c r="V271" i="7"/>
  <c r="U271" i="7"/>
  <c r="T271" i="7"/>
  <c r="S271" i="7"/>
  <c r="R271" i="7"/>
  <c r="Q271" i="7"/>
  <c r="P271" i="7"/>
  <c r="O271" i="7"/>
  <c r="N271" i="7"/>
  <c r="K271" i="7"/>
  <c r="J271" i="7"/>
  <c r="I271" i="7"/>
  <c r="H271" i="7"/>
  <c r="G271" i="7"/>
  <c r="F271" i="7"/>
  <c r="E271" i="7"/>
  <c r="D271" i="7"/>
  <c r="C271" i="7"/>
  <c r="B271" i="7"/>
  <c r="W270" i="7"/>
  <c r="W404" i="7" s="1"/>
  <c r="V270" i="7"/>
  <c r="V404" i="7" s="1"/>
  <c r="U270" i="7"/>
  <c r="T270" i="7"/>
  <c r="S270" i="7"/>
  <c r="R270" i="7"/>
  <c r="Q270" i="7"/>
  <c r="P270" i="7"/>
  <c r="O270" i="7"/>
  <c r="O404" i="7" s="1"/>
  <c r="N270" i="7"/>
  <c r="N404" i="7" s="1"/>
  <c r="K270" i="7"/>
  <c r="J270" i="7"/>
  <c r="I270" i="7"/>
  <c r="H270" i="7"/>
  <c r="G270" i="7"/>
  <c r="F270" i="7"/>
  <c r="E270" i="7"/>
  <c r="D270" i="7"/>
  <c r="C270" i="7"/>
  <c r="W269" i="7"/>
  <c r="V269" i="7"/>
  <c r="U269" i="7"/>
  <c r="T269" i="7"/>
  <c r="S269" i="7"/>
  <c r="R269" i="7"/>
  <c r="Q269" i="7"/>
  <c r="P269" i="7"/>
  <c r="O269" i="7"/>
  <c r="N269" i="7"/>
  <c r="K269" i="7"/>
  <c r="J269" i="7"/>
  <c r="I269" i="7"/>
  <c r="H269" i="7"/>
  <c r="G269" i="7"/>
  <c r="F269" i="7"/>
  <c r="E269" i="7"/>
  <c r="D269" i="7"/>
  <c r="W268" i="7"/>
  <c r="V268" i="7"/>
  <c r="U268" i="7"/>
  <c r="T268" i="7"/>
  <c r="S268" i="7"/>
  <c r="R268" i="7"/>
  <c r="Q268" i="7"/>
  <c r="P268" i="7"/>
  <c r="O268" i="7"/>
  <c r="N268" i="7"/>
  <c r="J268" i="7"/>
  <c r="I268" i="7"/>
  <c r="H268" i="7"/>
  <c r="G268" i="7"/>
  <c r="F268" i="7"/>
  <c r="E268" i="7"/>
  <c r="D268" i="7"/>
  <c r="C268" i="7"/>
  <c r="B268" i="7"/>
  <c r="W267" i="7"/>
  <c r="V267" i="7"/>
  <c r="U267" i="7"/>
  <c r="T267" i="7"/>
  <c r="S267" i="7"/>
  <c r="R267" i="7"/>
  <c r="Q267" i="7"/>
  <c r="P267" i="7"/>
  <c r="O267" i="7"/>
  <c r="N267" i="7"/>
  <c r="J267" i="7"/>
  <c r="I267" i="7"/>
  <c r="H267" i="7"/>
  <c r="G267" i="7"/>
  <c r="F267" i="7"/>
  <c r="E267" i="7"/>
  <c r="D267" i="7"/>
  <c r="C267" i="7"/>
  <c r="W266" i="7"/>
  <c r="V266" i="7"/>
  <c r="U266" i="7"/>
  <c r="T266" i="7"/>
  <c r="S266" i="7"/>
  <c r="R266" i="7"/>
  <c r="Q266" i="7"/>
  <c r="P266" i="7"/>
  <c r="O266" i="7"/>
  <c r="N266" i="7"/>
  <c r="K266" i="7"/>
  <c r="J266" i="7"/>
  <c r="I266" i="7"/>
  <c r="H266" i="7"/>
  <c r="G266" i="7"/>
  <c r="F266" i="7"/>
  <c r="E266" i="7"/>
  <c r="D266" i="7"/>
  <c r="C266" i="7"/>
  <c r="W265" i="7"/>
  <c r="V265" i="7"/>
  <c r="U265" i="7"/>
  <c r="T265" i="7"/>
  <c r="S265" i="7"/>
  <c r="R265" i="7"/>
  <c r="Q265" i="7"/>
  <c r="P265" i="7"/>
  <c r="O265" i="7"/>
  <c r="N265" i="7"/>
  <c r="J265" i="7"/>
  <c r="I265" i="7"/>
  <c r="H265" i="7"/>
  <c r="G265" i="7"/>
  <c r="F265" i="7"/>
  <c r="E265" i="7"/>
  <c r="D265" i="7"/>
  <c r="C265" i="7"/>
  <c r="B265" i="7"/>
  <c r="B403" i="7" s="1"/>
  <c r="W264" i="7"/>
  <c r="V264" i="7"/>
  <c r="U264" i="7"/>
  <c r="T264" i="7"/>
  <c r="S264" i="7"/>
  <c r="R264" i="7"/>
  <c r="Q264" i="7"/>
  <c r="P264" i="7"/>
  <c r="O264" i="7"/>
  <c r="N264" i="7"/>
  <c r="J264" i="7"/>
  <c r="I264" i="7"/>
  <c r="H264" i="7"/>
  <c r="G264" i="7"/>
  <c r="F264" i="7"/>
  <c r="E264" i="7"/>
  <c r="D264" i="7"/>
  <c r="C264" i="7"/>
  <c r="B264" i="7"/>
  <c r="W263" i="7"/>
  <c r="V263" i="7"/>
  <c r="U263" i="7"/>
  <c r="T263" i="7"/>
  <c r="S263" i="7"/>
  <c r="R263" i="7"/>
  <c r="Q263" i="7"/>
  <c r="P263" i="7"/>
  <c r="O263" i="7"/>
  <c r="N263" i="7"/>
  <c r="J263" i="7"/>
  <c r="I263" i="7"/>
  <c r="H263" i="7"/>
  <c r="G263" i="7"/>
  <c r="F263" i="7"/>
  <c r="E263" i="7"/>
  <c r="D263" i="7"/>
  <c r="C263" i="7"/>
  <c r="B263" i="7"/>
  <c r="W262" i="7"/>
  <c r="V262" i="7"/>
  <c r="U262" i="7"/>
  <c r="T262" i="7"/>
  <c r="S262" i="7"/>
  <c r="R262" i="7"/>
  <c r="Q262" i="7"/>
  <c r="P262" i="7"/>
  <c r="O262" i="7"/>
  <c r="N262" i="7"/>
  <c r="J262" i="7"/>
  <c r="I262" i="7"/>
  <c r="H262" i="7"/>
  <c r="G262" i="7"/>
  <c r="F262" i="7"/>
  <c r="E262" i="7"/>
  <c r="D262" i="7"/>
  <c r="C262" i="7"/>
  <c r="B262" i="7"/>
  <c r="W261" i="7"/>
  <c r="V261" i="7"/>
  <c r="U261" i="7"/>
  <c r="T261" i="7"/>
  <c r="S261" i="7"/>
  <c r="R261" i="7"/>
  <c r="Q261" i="7"/>
  <c r="P261" i="7"/>
  <c r="O261" i="7"/>
  <c r="N261" i="7"/>
  <c r="K261" i="7"/>
  <c r="J261" i="7"/>
  <c r="I261" i="7"/>
  <c r="H261" i="7"/>
  <c r="G261" i="7"/>
  <c r="F261" i="7"/>
  <c r="E261" i="7"/>
  <c r="D261" i="7"/>
  <c r="C261" i="7"/>
  <c r="B261" i="7"/>
  <c r="W260" i="7"/>
  <c r="V260" i="7"/>
  <c r="U260" i="7"/>
  <c r="T260" i="7"/>
  <c r="S260" i="7"/>
  <c r="R260" i="7"/>
  <c r="Q260" i="7"/>
  <c r="P260" i="7"/>
  <c r="O260" i="7"/>
  <c r="N260" i="7"/>
  <c r="K260" i="7"/>
  <c r="J260" i="7"/>
  <c r="I260" i="7"/>
  <c r="H260" i="7"/>
  <c r="G260" i="7"/>
  <c r="F260" i="7"/>
  <c r="E260" i="7"/>
  <c r="D260" i="7"/>
  <c r="C260" i="7"/>
  <c r="B260" i="7"/>
  <c r="W259" i="7"/>
  <c r="V259" i="7"/>
  <c r="U259" i="7"/>
  <c r="T259" i="7"/>
  <c r="S259" i="7"/>
  <c r="R259" i="7"/>
  <c r="Q259" i="7"/>
  <c r="P259" i="7"/>
  <c r="O259" i="7"/>
  <c r="N259" i="7"/>
  <c r="K259" i="7"/>
  <c r="J259" i="7"/>
  <c r="I259" i="7"/>
  <c r="H259" i="7"/>
  <c r="G259" i="7"/>
  <c r="F259" i="7"/>
  <c r="E259" i="7"/>
  <c r="D259" i="7"/>
  <c r="C259" i="7"/>
  <c r="B259" i="7"/>
  <c r="W258" i="7"/>
  <c r="V258" i="7"/>
  <c r="U258" i="7"/>
  <c r="T258" i="7"/>
  <c r="S258" i="7"/>
  <c r="R258" i="7"/>
  <c r="Q258" i="7"/>
  <c r="P258" i="7"/>
  <c r="O258" i="7"/>
  <c r="N258" i="7"/>
  <c r="K258" i="7"/>
  <c r="J258" i="7"/>
  <c r="I258" i="7"/>
  <c r="H258" i="7"/>
  <c r="G258" i="7"/>
  <c r="F258" i="7"/>
  <c r="E258" i="7"/>
  <c r="D258" i="7"/>
  <c r="C258" i="7"/>
  <c r="B258" i="7"/>
  <c r="W257" i="7"/>
  <c r="V257" i="7"/>
  <c r="U257" i="7"/>
  <c r="T257" i="7"/>
  <c r="S257" i="7"/>
  <c r="R257" i="7"/>
  <c r="Q257" i="7"/>
  <c r="P257" i="7"/>
  <c r="O257" i="7"/>
  <c r="N257" i="7"/>
  <c r="K257" i="7"/>
  <c r="J257" i="7"/>
  <c r="I257" i="7"/>
  <c r="H257" i="7"/>
  <c r="G257" i="7"/>
  <c r="F257" i="7"/>
  <c r="E257" i="7"/>
  <c r="D257" i="7"/>
  <c r="C257" i="7"/>
  <c r="B257" i="7"/>
  <c r="W256" i="7"/>
  <c r="V256" i="7"/>
  <c r="U256" i="7"/>
  <c r="T256" i="7"/>
  <c r="S256" i="7"/>
  <c r="R256" i="7"/>
  <c r="Q256" i="7"/>
  <c r="P256" i="7"/>
  <c r="O256" i="7"/>
  <c r="N256" i="7"/>
  <c r="K256" i="7"/>
  <c r="J256" i="7"/>
  <c r="I256" i="7"/>
  <c r="H256" i="7"/>
  <c r="G256" i="7"/>
  <c r="F256" i="7"/>
  <c r="E256" i="7"/>
  <c r="D256" i="7"/>
  <c r="C256" i="7"/>
  <c r="B256" i="7"/>
  <c r="W255" i="7"/>
  <c r="V255" i="7"/>
  <c r="U255" i="7"/>
  <c r="T255" i="7"/>
  <c r="S255" i="7"/>
  <c r="R255" i="7"/>
  <c r="Q255" i="7"/>
  <c r="P255" i="7"/>
  <c r="O255" i="7"/>
  <c r="N255" i="7"/>
  <c r="K255" i="7"/>
  <c r="J255" i="7"/>
  <c r="I255" i="7"/>
  <c r="H255" i="7"/>
  <c r="G255" i="7"/>
  <c r="F255" i="7"/>
  <c r="E255" i="7"/>
  <c r="D255" i="7"/>
  <c r="C255" i="7"/>
  <c r="B255" i="7"/>
  <c r="W254" i="7"/>
  <c r="V254" i="7"/>
  <c r="U254" i="7"/>
  <c r="T254" i="7"/>
  <c r="S254" i="7"/>
  <c r="R254" i="7"/>
  <c r="Q254" i="7"/>
  <c r="P254" i="7"/>
  <c r="O254" i="7"/>
  <c r="N254" i="7"/>
  <c r="K254" i="7"/>
  <c r="J254" i="7"/>
  <c r="I254" i="7"/>
  <c r="H254" i="7"/>
  <c r="G254" i="7"/>
  <c r="F254" i="7"/>
  <c r="E254" i="7"/>
  <c r="D254" i="7"/>
  <c r="C254" i="7"/>
  <c r="B254" i="7"/>
  <c r="W253" i="7"/>
  <c r="V253" i="7"/>
  <c r="U253" i="7"/>
  <c r="T253" i="7"/>
  <c r="S253" i="7"/>
  <c r="R253" i="7"/>
  <c r="Q253" i="7"/>
  <c r="P253" i="7"/>
  <c r="O253" i="7"/>
  <c r="N253" i="7"/>
  <c r="K253" i="7"/>
  <c r="J253" i="7"/>
  <c r="I253" i="7"/>
  <c r="H253" i="7"/>
  <c r="G253" i="7"/>
  <c r="F253" i="7"/>
  <c r="E253" i="7"/>
  <c r="D253" i="7"/>
  <c r="C253" i="7"/>
  <c r="B253" i="7"/>
  <c r="W252" i="7"/>
  <c r="V252" i="7"/>
  <c r="U252" i="7"/>
  <c r="T252" i="7"/>
  <c r="S252" i="7"/>
  <c r="R252" i="7"/>
  <c r="Q252" i="7"/>
  <c r="P252" i="7"/>
  <c r="O252" i="7"/>
  <c r="N252" i="7"/>
  <c r="K252" i="7"/>
  <c r="J252" i="7"/>
  <c r="I252" i="7"/>
  <c r="H252" i="7"/>
  <c r="G252" i="7"/>
  <c r="F252" i="7"/>
  <c r="E252" i="7"/>
  <c r="D252" i="7"/>
  <c r="C252" i="7"/>
  <c r="B252" i="7"/>
  <c r="W251" i="7"/>
  <c r="V251" i="7"/>
  <c r="U251" i="7"/>
  <c r="T251" i="7"/>
  <c r="S251" i="7"/>
  <c r="R251" i="7"/>
  <c r="Q251" i="7"/>
  <c r="P251" i="7"/>
  <c r="O251" i="7"/>
  <c r="N251" i="7"/>
  <c r="K251" i="7"/>
  <c r="J251" i="7"/>
  <c r="I251" i="7"/>
  <c r="H251" i="7"/>
  <c r="G251" i="7"/>
  <c r="F251" i="7"/>
  <c r="E251" i="7"/>
  <c r="D251" i="7"/>
  <c r="C251" i="7"/>
  <c r="B251" i="7"/>
  <c r="W250" i="7"/>
  <c r="V250" i="7"/>
  <c r="U250" i="7"/>
  <c r="T250" i="7"/>
  <c r="S250" i="7"/>
  <c r="R250" i="7"/>
  <c r="Q250" i="7"/>
  <c r="P250" i="7"/>
  <c r="O250" i="7"/>
  <c r="N250" i="7"/>
  <c r="K250" i="7"/>
  <c r="J250" i="7"/>
  <c r="I250" i="7"/>
  <c r="H250" i="7"/>
  <c r="G250" i="7"/>
  <c r="F250" i="7"/>
  <c r="E250" i="7"/>
  <c r="D250" i="7"/>
  <c r="C250" i="7"/>
  <c r="B250" i="7"/>
  <c r="W249" i="7"/>
  <c r="V249" i="7"/>
  <c r="U249" i="7"/>
  <c r="T249" i="7"/>
  <c r="S249" i="7"/>
  <c r="R249" i="7"/>
  <c r="Q249" i="7"/>
  <c r="P249" i="7"/>
  <c r="O249" i="7"/>
  <c r="N249" i="7"/>
  <c r="K249" i="7"/>
  <c r="J249" i="7"/>
  <c r="I249" i="7"/>
  <c r="H249" i="7"/>
  <c r="G249" i="7"/>
  <c r="F249" i="7"/>
  <c r="E249" i="7"/>
  <c r="D249" i="7"/>
  <c r="C249" i="7"/>
  <c r="B249" i="7"/>
  <c r="W248" i="7"/>
  <c r="V248" i="7"/>
  <c r="U248" i="7"/>
  <c r="T248" i="7"/>
  <c r="S248" i="7"/>
  <c r="R248" i="7"/>
  <c r="Q248" i="7"/>
  <c r="P248" i="7"/>
  <c r="O248" i="7"/>
  <c r="N248" i="7"/>
  <c r="K248" i="7"/>
  <c r="J248" i="7"/>
  <c r="I248" i="7"/>
  <c r="H248" i="7"/>
  <c r="G248" i="7"/>
  <c r="F248" i="7"/>
  <c r="E248" i="7"/>
  <c r="D248" i="7"/>
  <c r="C248" i="7"/>
  <c r="B248" i="7"/>
  <c r="W247" i="7"/>
  <c r="V247" i="7"/>
  <c r="U247" i="7"/>
  <c r="T247" i="7"/>
  <c r="S247" i="7"/>
  <c r="R247" i="7"/>
  <c r="Q247" i="7"/>
  <c r="P247" i="7"/>
  <c r="O247" i="7"/>
  <c r="N247" i="7"/>
  <c r="K247" i="7"/>
  <c r="J247" i="7"/>
  <c r="I247" i="7"/>
  <c r="H247" i="7"/>
  <c r="G247" i="7"/>
  <c r="F247" i="7"/>
  <c r="E247" i="7"/>
  <c r="D247" i="7"/>
  <c r="C247" i="7"/>
  <c r="B247" i="7"/>
  <c r="W246" i="7"/>
  <c r="V246" i="7"/>
  <c r="U246" i="7"/>
  <c r="T246" i="7"/>
  <c r="S246" i="7"/>
  <c r="R246" i="7"/>
  <c r="Q246" i="7"/>
  <c r="P246" i="7"/>
  <c r="O246" i="7"/>
  <c r="N246" i="7"/>
  <c r="K246" i="7"/>
  <c r="J246" i="7"/>
  <c r="I246" i="7"/>
  <c r="H246" i="7"/>
  <c r="G246" i="7"/>
  <c r="F246" i="7"/>
  <c r="E246" i="7"/>
  <c r="D246" i="7"/>
  <c r="C246" i="7"/>
  <c r="B246" i="7"/>
  <c r="W245" i="7"/>
  <c r="V245" i="7"/>
  <c r="U245" i="7"/>
  <c r="T245" i="7"/>
  <c r="S245" i="7"/>
  <c r="R245" i="7"/>
  <c r="Q245" i="7"/>
  <c r="P245" i="7"/>
  <c r="O245" i="7"/>
  <c r="N245" i="7"/>
  <c r="K245" i="7"/>
  <c r="J245" i="7"/>
  <c r="I245" i="7"/>
  <c r="H245" i="7"/>
  <c r="G245" i="7"/>
  <c r="F245" i="7"/>
  <c r="E245" i="7"/>
  <c r="D245" i="7"/>
  <c r="C245" i="7"/>
  <c r="B245" i="7"/>
  <c r="X398" i="7"/>
  <c r="L242" i="7"/>
  <c r="L398" i="7" s="1"/>
  <c r="X238" i="7"/>
  <c r="L238" i="7"/>
  <c r="L394" i="7" s="1"/>
  <c r="L237" i="7"/>
  <c r="L393" i="7" s="1"/>
  <c r="L236" i="7"/>
  <c r="X235" i="7"/>
  <c r="X391" i="7" s="1"/>
  <c r="L235" i="7"/>
  <c r="L391" i="7" s="1"/>
  <c r="X234" i="7"/>
  <c r="L234" i="7"/>
  <c r="L390" i="7" s="1"/>
  <c r="X233" i="7"/>
  <c r="X389" i="7" s="1"/>
  <c r="L233" i="7"/>
  <c r="L389" i="7" s="1"/>
  <c r="X232" i="7"/>
  <c r="L232" i="7"/>
  <c r="L388" i="7" s="1"/>
  <c r="X231" i="7"/>
  <c r="L231" i="7"/>
  <c r="X228" i="7"/>
  <c r="X387" i="7" s="1"/>
  <c r="L228" i="7"/>
  <c r="L227" i="7"/>
  <c r="X226" i="7"/>
  <c r="L226" i="7"/>
  <c r="X225" i="7"/>
  <c r="L225" i="7"/>
  <c r="X224" i="7"/>
  <c r="L224" i="7"/>
  <c r="X223" i="7"/>
  <c r="L223" i="7"/>
  <c r="X222" i="7"/>
  <c r="L222" i="7"/>
  <c r="X221" i="7"/>
  <c r="L221" i="7"/>
  <c r="X220" i="7"/>
  <c r="L220" i="7"/>
  <c r="X219" i="7"/>
  <c r="L219" i="7"/>
  <c r="X218" i="7"/>
  <c r="L218" i="7"/>
  <c r="X217" i="7"/>
  <c r="L217" i="7"/>
  <c r="X216" i="7"/>
  <c r="L216" i="7"/>
  <c r="X215" i="7"/>
  <c r="L215" i="7"/>
  <c r="X214" i="7"/>
  <c r="L214" i="7"/>
  <c r="X213" i="7"/>
  <c r="L213" i="7"/>
  <c r="X212" i="7"/>
  <c r="L212" i="7"/>
  <c r="X211" i="7"/>
  <c r="L211" i="7"/>
  <c r="X210" i="7"/>
  <c r="L210" i="7"/>
  <c r="X209" i="7"/>
  <c r="L209" i="7"/>
  <c r="X208" i="7"/>
  <c r="L208" i="7"/>
  <c r="X207" i="7"/>
  <c r="L207" i="7"/>
  <c r="X206" i="7"/>
  <c r="L206" i="7"/>
  <c r="X205" i="7"/>
  <c r="L205" i="7"/>
  <c r="X204" i="7"/>
  <c r="L204" i="7"/>
  <c r="X203" i="7"/>
  <c r="L203" i="7"/>
  <c r="X202" i="7"/>
  <c r="L202" i="7"/>
  <c r="X201" i="7"/>
  <c r="L201" i="7"/>
  <c r="X200" i="7"/>
  <c r="L200" i="7"/>
  <c r="X199" i="7"/>
  <c r="L199" i="7"/>
  <c r="X198" i="7"/>
  <c r="L198" i="7"/>
  <c r="X197" i="7"/>
  <c r="L197" i="7"/>
  <c r="X194" i="7"/>
  <c r="X377" i="7" s="1"/>
  <c r="L194" i="7"/>
  <c r="L377" i="7" s="1"/>
  <c r="X190" i="7"/>
  <c r="X373" i="7" s="1"/>
  <c r="L190" i="7"/>
  <c r="X189" i="7"/>
  <c r="X372" i="7" s="1"/>
  <c r="L189" i="7"/>
  <c r="L372" i="7" s="1"/>
  <c r="X188" i="7"/>
  <c r="X371" i="7" s="1"/>
  <c r="L188" i="7"/>
  <c r="L371" i="7" s="1"/>
  <c r="X187" i="7"/>
  <c r="X370" i="7" s="1"/>
  <c r="L187" i="7"/>
  <c r="L370" i="7" s="1"/>
  <c r="X186" i="7"/>
  <c r="X369" i="7" s="1"/>
  <c r="L186" i="7"/>
  <c r="L369" i="7" s="1"/>
  <c r="X185" i="7"/>
  <c r="X368" i="7" s="1"/>
  <c r="L185" i="7"/>
  <c r="L368" i="7" s="1"/>
  <c r="X184" i="7"/>
  <c r="X367" i="7" s="1"/>
  <c r="L184" i="7"/>
  <c r="X183" i="7"/>
  <c r="L183" i="7"/>
  <c r="X180" i="7"/>
  <c r="L180" i="7"/>
  <c r="X179" i="7"/>
  <c r="L179" i="7"/>
  <c r="L366" i="7" s="1"/>
  <c r="X178" i="7"/>
  <c r="L178" i="7"/>
  <c r="X177" i="7"/>
  <c r="L177" i="7"/>
  <c r="X176" i="7"/>
  <c r="L176" i="7"/>
  <c r="X175" i="7"/>
  <c r="L175" i="7"/>
  <c r="X174" i="7"/>
  <c r="L174" i="7"/>
  <c r="X173" i="7"/>
  <c r="L173" i="7"/>
  <c r="X172" i="7"/>
  <c r="L172" i="7"/>
  <c r="X171" i="7"/>
  <c r="L171" i="7"/>
  <c r="X170" i="7"/>
  <c r="L170" i="7"/>
  <c r="X169" i="7"/>
  <c r="L169" i="7"/>
  <c r="X168" i="7"/>
  <c r="L168" i="7"/>
  <c r="X167" i="7"/>
  <c r="L167" i="7"/>
  <c r="X166" i="7"/>
  <c r="L166" i="7"/>
  <c r="X165" i="7"/>
  <c r="L165" i="7"/>
  <c r="X164" i="7"/>
  <c r="L164" i="7"/>
  <c r="X163" i="7"/>
  <c r="L163" i="7"/>
  <c r="X162" i="7"/>
  <c r="L162" i="7"/>
  <c r="X161" i="7"/>
  <c r="L161" i="7"/>
  <c r="X160" i="7"/>
  <c r="L160" i="7"/>
  <c r="X159" i="7"/>
  <c r="L159" i="7"/>
  <c r="X158" i="7"/>
  <c r="L158" i="7"/>
  <c r="X157" i="7"/>
  <c r="L157" i="7"/>
  <c r="X156" i="7"/>
  <c r="L156" i="7"/>
  <c r="X155" i="7"/>
  <c r="L155" i="7"/>
  <c r="X154" i="7"/>
  <c r="L154" i="7"/>
  <c r="X153" i="7"/>
  <c r="L153" i="7"/>
  <c r="X152" i="7"/>
  <c r="L152" i="7"/>
  <c r="X151" i="7"/>
  <c r="L151" i="7"/>
  <c r="X150" i="7"/>
  <c r="L150" i="7"/>
  <c r="X149" i="7"/>
  <c r="L149" i="7"/>
  <c r="X146" i="7"/>
  <c r="X359" i="7" s="1"/>
  <c r="L146" i="7"/>
  <c r="X142" i="7"/>
  <c r="X355" i="7" s="1"/>
  <c r="L142" i="7"/>
  <c r="X141" i="7"/>
  <c r="X354" i="7" s="1"/>
  <c r="L141" i="7"/>
  <c r="X140" i="7"/>
  <c r="X353" i="7" s="1"/>
  <c r="L140" i="7"/>
  <c r="X139" i="7"/>
  <c r="L139" i="7"/>
  <c r="X138" i="7"/>
  <c r="X351" i="7" s="1"/>
  <c r="L138" i="7"/>
  <c r="X137" i="7"/>
  <c r="X350" i="7" s="1"/>
  <c r="L137" i="7"/>
  <c r="X136" i="7"/>
  <c r="X349" i="7" s="1"/>
  <c r="L136" i="7"/>
  <c r="X135" i="7"/>
  <c r="L135" i="7"/>
  <c r="L133" i="7"/>
  <c r="L133" i="25" s="1"/>
  <c r="X132" i="7"/>
  <c r="L132" i="7"/>
  <c r="X131" i="7"/>
  <c r="L131" i="7"/>
  <c r="X130" i="7"/>
  <c r="L130" i="7"/>
  <c r="X129" i="7"/>
  <c r="L129" i="7"/>
  <c r="X128" i="7"/>
  <c r="L128" i="7"/>
  <c r="X127" i="7"/>
  <c r="L127" i="7"/>
  <c r="X126" i="7"/>
  <c r="L126" i="7"/>
  <c r="X125" i="7"/>
  <c r="L125" i="7"/>
  <c r="X124" i="7"/>
  <c r="L124" i="7"/>
  <c r="X123" i="7"/>
  <c r="L123" i="7"/>
  <c r="X122" i="7"/>
  <c r="L122" i="7"/>
  <c r="X121" i="7"/>
  <c r="L121" i="7"/>
  <c r="X120" i="7"/>
  <c r="L120" i="7"/>
  <c r="X119" i="7"/>
  <c r="L119" i="7"/>
  <c r="X118" i="7"/>
  <c r="L118" i="7"/>
  <c r="X117" i="7"/>
  <c r="L117" i="7"/>
  <c r="X116" i="7"/>
  <c r="L116" i="7"/>
  <c r="X115" i="7"/>
  <c r="L115" i="7"/>
  <c r="X114" i="7"/>
  <c r="L114" i="7"/>
  <c r="X113" i="7"/>
  <c r="L113" i="7"/>
  <c r="X112" i="7"/>
  <c r="L112" i="7"/>
  <c r="X111" i="7"/>
  <c r="L111" i="7"/>
  <c r="X110" i="7"/>
  <c r="L110" i="7"/>
  <c r="X109" i="7"/>
  <c r="L109" i="7"/>
  <c r="X108" i="7"/>
  <c r="L108" i="7"/>
  <c r="X107" i="7"/>
  <c r="L107" i="7"/>
  <c r="X106" i="7"/>
  <c r="L106" i="7"/>
  <c r="X105" i="7"/>
  <c r="L105" i="7"/>
  <c r="X104" i="7"/>
  <c r="L104" i="7"/>
  <c r="X103" i="7"/>
  <c r="L103" i="7"/>
  <c r="X102" i="7"/>
  <c r="L102" i="7"/>
  <c r="X101" i="7"/>
  <c r="L101" i="7"/>
  <c r="X93" i="7"/>
  <c r="X333" i="7" s="1"/>
  <c r="L93" i="7"/>
  <c r="L333" i="7" s="1"/>
  <c r="X92" i="7"/>
  <c r="X332" i="7" s="1"/>
  <c r="L92" i="7"/>
  <c r="L332" i="7" s="1"/>
  <c r="X91" i="7"/>
  <c r="X331" i="7" s="1"/>
  <c r="L91" i="7"/>
  <c r="L331" i="7" s="1"/>
  <c r="X90" i="7"/>
  <c r="X330" i="7" s="1"/>
  <c r="L90" i="7"/>
  <c r="L330" i="7" s="1"/>
  <c r="X89" i="7"/>
  <c r="X329" i="7" s="1"/>
  <c r="L89" i="7"/>
  <c r="L329" i="7" s="1"/>
  <c r="X88" i="7"/>
  <c r="X328" i="7" s="1"/>
  <c r="L88" i="7"/>
  <c r="L328" i="7" s="1"/>
  <c r="X87" i="7"/>
  <c r="L87" i="7"/>
  <c r="X86" i="7"/>
  <c r="L86" i="7"/>
  <c r="X84" i="7"/>
  <c r="L84" i="7"/>
  <c r="X83" i="7"/>
  <c r="L83" i="7"/>
  <c r="X82" i="7"/>
  <c r="L82" i="7"/>
  <c r="X81" i="7"/>
  <c r="L81" i="7"/>
  <c r="X80" i="7"/>
  <c r="L80" i="7"/>
  <c r="X79" i="7"/>
  <c r="L79" i="7"/>
  <c r="X78" i="7"/>
  <c r="L78" i="7"/>
  <c r="X77" i="7"/>
  <c r="L77" i="7"/>
  <c r="X76" i="7"/>
  <c r="L76" i="7"/>
  <c r="X75" i="7"/>
  <c r="L75" i="7"/>
  <c r="X74" i="7"/>
  <c r="L74" i="7"/>
  <c r="X73" i="7"/>
  <c r="L73" i="7"/>
  <c r="X72" i="7"/>
  <c r="L72" i="7"/>
  <c r="X71" i="7"/>
  <c r="L71" i="7"/>
  <c r="X70" i="7"/>
  <c r="L70" i="7"/>
  <c r="X69" i="7"/>
  <c r="L69" i="7"/>
  <c r="X68" i="7"/>
  <c r="L68" i="7"/>
  <c r="X67" i="7"/>
  <c r="L67" i="7"/>
  <c r="X66" i="7"/>
  <c r="L66" i="7"/>
  <c r="X65" i="7"/>
  <c r="L65" i="7"/>
  <c r="X64" i="7"/>
  <c r="L64" i="7"/>
  <c r="X63" i="7"/>
  <c r="L63" i="7"/>
  <c r="X62" i="7"/>
  <c r="L62" i="7"/>
  <c r="X61" i="7"/>
  <c r="L61" i="7"/>
  <c r="X60" i="7"/>
  <c r="L60" i="7"/>
  <c r="X59" i="7"/>
  <c r="L59" i="7"/>
  <c r="X58" i="7"/>
  <c r="L58" i="7"/>
  <c r="X57" i="7"/>
  <c r="L57" i="7"/>
  <c r="X56" i="7"/>
  <c r="L56" i="7"/>
  <c r="X55" i="7"/>
  <c r="L55" i="7"/>
  <c r="X54" i="7"/>
  <c r="L54" i="7"/>
  <c r="X53" i="7"/>
  <c r="L53" i="7"/>
  <c r="L45" i="7"/>
  <c r="L315" i="7" s="1"/>
  <c r="L44" i="7"/>
  <c r="L314" i="7" s="1"/>
  <c r="X43" i="7"/>
  <c r="X313" i="7" s="1"/>
  <c r="L43" i="7"/>
  <c r="L313" i="7" s="1"/>
  <c r="X42" i="7"/>
  <c r="X312" i="7" s="1"/>
  <c r="L42" i="7"/>
  <c r="L312" i="7" s="1"/>
  <c r="X41" i="7"/>
  <c r="X311" i="7" s="1"/>
  <c r="L41" i="7"/>
  <c r="L311" i="7" s="1"/>
  <c r="L40" i="7"/>
  <c r="L310" i="7" s="1"/>
  <c r="L39" i="7"/>
  <c r="X38" i="7"/>
  <c r="L38" i="7"/>
  <c r="X36" i="7"/>
  <c r="L36" i="7"/>
  <c r="X35" i="7"/>
  <c r="L35" i="7"/>
  <c r="X34" i="7"/>
  <c r="L34" i="7"/>
  <c r="X33" i="7"/>
  <c r="L33" i="7"/>
  <c r="X32" i="7"/>
  <c r="L32" i="7"/>
  <c r="X31" i="7"/>
  <c r="L31" i="7"/>
  <c r="X30" i="7"/>
  <c r="L30" i="7"/>
  <c r="X29" i="7"/>
  <c r="L29" i="7"/>
  <c r="X28" i="7"/>
  <c r="L28" i="7"/>
  <c r="X27" i="7"/>
  <c r="L27" i="7"/>
  <c r="X26" i="7"/>
  <c r="L26" i="7"/>
  <c r="X25" i="7"/>
  <c r="L25" i="7"/>
  <c r="X24" i="7"/>
  <c r="L24" i="7"/>
  <c r="X23" i="7"/>
  <c r="L23" i="7"/>
  <c r="X22" i="7"/>
  <c r="L22" i="7"/>
  <c r="X21" i="7"/>
  <c r="L21" i="7"/>
  <c r="X20" i="7"/>
  <c r="L20" i="7"/>
  <c r="X19" i="7"/>
  <c r="L19" i="7"/>
  <c r="X18" i="7"/>
  <c r="L18" i="7"/>
  <c r="X17" i="7"/>
  <c r="L17" i="7"/>
  <c r="X16" i="7"/>
  <c r="L16" i="7"/>
  <c r="X15" i="7"/>
  <c r="L15" i="7"/>
  <c r="X14" i="7"/>
  <c r="L14" i="7"/>
  <c r="X13" i="7"/>
  <c r="L13" i="7"/>
  <c r="X12" i="7"/>
  <c r="L12" i="7"/>
  <c r="X11" i="7"/>
  <c r="L11" i="7"/>
  <c r="X10" i="7"/>
  <c r="L10" i="7"/>
  <c r="X9" i="7"/>
  <c r="L9" i="7"/>
  <c r="X8" i="7"/>
  <c r="L8" i="7"/>
  <c r="X7" i="7"/>
  <c r="L7" i="7"/>
  <c r="X6" i="7"/>
  <c r="L6" i="7"/>
  <c r="X5" i="7"/>
  <c r="L5" i="7"/>
  <c r="A397" i="6"/>
  <c r="K395" i="6"/>
  <c r="J395" i="6"/>
  <c r="I395" i="6"/>
  <c r="H395" i="6"/>
  <c r="G395" i="6"/>
  <c r="F395" i="6"/>
  <c r="E395" i="6"/>
  <c r="D395" i="6"/>
  <c r="C395" i="6"/>
  <c r="B395" i="6"/>
  <c r="K391" i="6"/>
  <c r="J391" i="6"/>
  <c r="I391" i="6"/>
  <c r="H391" i="6"/>
  <c r="G391" i="6"/>
  <c r="F391" i="6"/>
  <c r="E391" i="6"/>
  <c r="D391" i="6"/>
  <c r="C391" i="6"/>
  <c r="B391" i="6"/>
  <c r="K390" i="6"/>
  <c r="J390" i="6"/>
  <c r="I390" i="6"/>
  <c r="H390" i="6"/>
  <c r="G390" i="6"/>
  <c r="F390" i="6"/>
  <c r="E390" i="6"/>
  <c r="D390" i="6"/>
  <c r="C390" i="6"/>
  <c r="B390" i="6"/>
  <c r="K389" i="6"/>
  <c r="J389" i="6"/>
  <c r="I389" i="6"/>
  <c r="H389" i="6"/>
  <c r="G389" i="6"/>
  <c r="F389" i="6"/>
  <c r="E389" i="6"/>
  <c r="D389" i="6"/>
  <c r="C389" i="6"/>
  <c r="B389" i="6"/>
  <c r="K388" i="6"/>
  <c r="J388" i="6"/>
  <c r="I388" i="6"/>
  <c r="H388" i="6"/>
  <c r="G388" i="6"/>
  <c r="F388" i="6"/>
  <c r="E388" i="6"/>
  <c r="D388" i="6"/>
  <c r="C388" i="6"/>
  <c r="B388" i="6"/>
  <c r="K387" i="6"/>
  <c r="J387" i="6"/>
  <c r="I387" i="6"/>
  <c r="H387" i="6"/>
  <c r="G387" i="6"/>
  <c r="F387" i="6"/>
  <c r="E387" i="6"/>
  <c r="D387" i="6"/>
  <c r="C387" i="6"/>
  <c r="B387" i="6"/>
  <c r="K386" i="6"/>
  <c r="J386" i="6"/>
  <c r="I386" i="6"/>
  <c r="H386" i="6"/>
  <c r="G386" i="6"/>
  <c r="F386" i="6"/>
  <c r="E386" i="6"/>
  <c r="D386" i="6"/>
  <c r="C386" i="6"/>
  <c r="B386" i="6"/>
  <c r="K385" i="6"/>
  <c r="J385" i="6"/>
  <c r="I385" i="6"/>
  <c r="H385" i="6"/>
  <c r="G385" i="6"/>
  <c r="F385" i="6"/>
  <c r="E385" i="6"/>
  <c r="D385" i="6"/>
  <c r="C385" i="6"/>
  <c r="B385" i="6"/>
  <c r="I383" i="6"/>
  <c r="H383" i="6"/>
  <c r="G383" i="6"/>
  <c r="F383" i="6"/>
  <c r="E383" i="6"/>
  <c r="D383" i="6"/>
  <c r="C383" i="6"/>
  <c r="B383" i="6"/>
  <c r="I382" i="6"/>
  <c r="H382" i="6"/>
  <c r="G382" i="6"/>
  <c r="F382" i="6"/>
  <c r="E382" i="6"/>
  <c r="D382" i="6"/>
  <c r="C382" i="6"/>
  <c r="K381" i="6"/>
  <c r="J381" i="6"/>
  <c r="I381" i="6"/>
  <c r="H381" i="6"/>
  <c r="G381" i="6"/>
  <c r="F381" i="6"/>
  <c r="E381" i="6"/>
  <c r="D381" i="6"/>
  <c r="C381" i="6"/>
  <c r="B381" i="6"/>
  <c r="K380" i="6"/>
  <c r="J380" i="6"/>
  <c r="I380" i="6"/>
  <c r="H380" i="6"/>
  <c r="G380" i="6"/>
  <c r="F380" i="6"/>
  <c r="E380" i="6"/>
  <c r="D380" i="6"/>
  <c r="C380" i="6"/>
  <c r="B380" i="6"/>
  <c r="A379" i="6"/>
  <c r="K375" i="6"/>
  <c r="J375" i="6"/>
  <c r="I375" i="6"/>
  <c r="H375" i="6"/>
  <c r="G375" i="6"/>
  <c r="F375" i="6"/>
  <c r="E375" i="6"/>
  <c r="D375" i="6"/>
  <c r="C375" i="6"/>
  <c r="B375" i="6"/>
  <c r="K371" i="6"/>
  <c r="J371" i="6"/>
  <c r="I371" i="6"/>
  <c r="H371" i="6"/>
  <c r="G371" i="6"/>
  <c r="F371" i="6"/>
  <c r="E371" i="6"/>
  <c r="D371" i="6"/>
  <c r="C371" i="6"/>
  <c r="B371" i="6"/>
  <c r="K370" i="6"/>
  <c r="J370" i="6"/>
  <c r="I370" i="6"/>
  <c r="H370" i="6"/>
  <c r="G370" i="6"/>
  <c r="F370" i="6"/>
  <c r="E370" i="6"/>
  <c r="D370" i="6"/>
  <c r="C370" i="6"/>
  <c r="B370" i="6"/>
  <c r="K369" i="6"/>
  <c r="J369" i="6"/>
  <c r="I369" i="6"/>
  <c r="H369" i="6"/>
  <c r="G369" i="6"/>
  <c r="F369" i="6"/>
  <c r="E369" i="6"/>
  <c r="D369" i="6"/>
  <c r="C369" i="6"/>
  <c r="B369" i="6"/>
  <c r="K368" i="6"/>
  <c r="J368" i="6"/>
  <c r="I368" i="6"/>
  <c r="H368" i="6"/>
  <c r="G368" i="6"/>
  <c r="F368" i="6"/>
  <c r="E368" i="6"/>
  <c r="D368" i="6"/>
  <c r="C368" i="6"/>
  <c r="B368" i="6"/>
  <c r="K367" i="6"/>
  <c r="J367" i="6"/>
  <c r="I367" i="6"/>
  <c r="H367" i="6"/>
  <c r="G367" i="6"/>
  <c r="F367" i="6"/>
  <c r="E367" i="6"/>
  <c r="D367" i="6"/>
  <c r="C367" i="6"/>
  <c r="B367" i="6"/>
  <c r="K366" i="6"/>
  <c r="J366" i="6"/>
  <c r="I366" i="6"/>
  <c r="H366" i="6"/>
  <c r="G366" i="6"/>
  <c r="F366" i="6"/>
  <c r="E366" i="6"/>
  <c r="D366" i="6"/>
  <c r="C366" i="6"/>
  <c r="B366" i="6"/>
  <c r="K365" i="6"/>
  <c r="J365" i="6"/>
  <c r="I365" i="6"/>
  <c r="H365" i="6"/>
  <c r="G365" i="6"/>
  <c r="F365" i="6"/>
  <c r="E365" i="6"/>
  <c r="D365" i="6"/>
  <c r="C365" i="6"/>
  <c r="B365" i="6"/>
  <c r="K363" i="6"/>
  <c r="J363" i="6"/>
  <c r="I363" i="6"/>
  <c r="H363" i="6"/>
  <c r="G363" i="6"/>
  <c r="F363" i="6"/>
  <c r="E363" i="6"/>
  <c r="D363" i="6"/>
  <c r="C363" i="6"/>
  <c r="B363" i="6"/>
  <c r="K362" i="6"/>
  <c r="J362" i="6"/>
  <c r="I362" i="6"/>
  <c r="H362" i="6"/>
  <c r="G362" i="6"/>
  <c r="F362" i="6"/>
  <c r="E362" i="6"/>
  <c r="D362" i="6"/>
  <c r="C362" i="6"/>
  <c r="K361" i="6"/>
  <c r="J361" i="6"/>
  <c r="I361" i="6"/>
  <c r="H361" i="6"/>
  <c r="G361" i="6"/>
  <c r="F361" i="6"/>
  <c r="E361" i="6"/>
  <c r="D361" i="6"/>
  <c r="C361" i="6"/>
  <c r="B361" i="6"/>
  <c r="K360" i="6"/>
  <c r="J360" i="6"/>
  <c r="I360" i="6"/>
  <c r="H360" i="6"/>
  <c r="G360" i="6"/>
  <c r="F360" i="6"/>
  <c r="E360" i="6"/>
  <c r="D360" i="6"/>
  <c r="C360" i="6"/>
  <c r="B360" i="6"/>
  <c r="A359" i="6"/>
  <c r="K357" i="6"/>
  <c r="J357" i="6"/>
  <c r="I357" i="6"/>
  <c r="H357" i="6"/>
  <c r="G357" i="6"/>
  <c r="F357" i="6"/>
  <c r="E357" i="6"/>
  <c r="D357" i="6"/>
  <c r="C357" i="6"/>
  <c r="B357" i="6"/>
  <c r="K353" i="6"/>
  <c r="J353" i="6"/>
  <c r="I353" i="6"/>
  <c r="H353" i="6"/>
  <c r="G353" i="6"/>
  <c r="F353" i="6"/>
  <c r="E353" i="6"/>
  <c r="D353" i="6"/>
  <c r="C353" i="6"/>
  <c r="B353" i="6"/>
  <c r="K352" i="6"/>
  <c r="J352" i="6"/>
  <c r="I352" i="6"/>
  <c r="H352" i="6"/>
  <c r="G352" i="6"/>
  <c r="F352" i="6"/>
  <c r="E352" i="6"/>
  <c r="D352" i="6"/>
  <c r="C352" i="6"/>
  <c r="B352" i="6"/>
  <c r="K351" i="6"/>
  <c r="J351" i="6"/>
  <c r="I351" i="6"/>
  <c r="H351" i="6"/>
  <c r="G351" i="6"/>
  <c r="F351" i="6"/>
  <c r="E351" i="6"/>
  <c r="D351" i="6"/>
  <c r="C351" i="6"/>
  <c r="B351" i="6"/>
  <c r="K350" i="6"/>
  <c r="J350" i="6"/>
  <c r="I350" i="6"/>
  <c r="H350" i="6"/>
  <c r="G350" i="6"/>
  <c r="F350" i="6"/>
  <c r="E350" i="6"/>
  <c r="D350" i="6"/>
  <c r="C350" i="6"/>
  <c r="B350" i="6"/>
  <c r="K349" i="6"/>
  <c r="J349" i="6"/>
  <c r="I349" i="6"/>
  <c r="H349" i="6"/>
  <c r="G349" i="6"/>
  <c r="F349" i="6"/>
  <c r="E349" i="6"/>
  <c r="D349" i="6"/>
  <c r="C349" i="6"/>
  <c r="B349" i="6"/>
  <c r="K348" i="6"/>
  <c r="J348" i="6"/>
  <c r="I348" i="6"/>
  <c r="H348" i="6"/>
  <c r="G348" i="6"/>
  <c r="F348" i="6"/>
  <c r="E348" i="6"/>
  <c r="D348" i="6"/>
  <c r="C348" i="6"/>
  <c r="B348" i="6"/>
  <c r="K347" i="6"/>
  <c r="J347" i="6"/>
  <c r="I347" i="6"/>
  <c r="H347" i="6"/>
  <c r="G347" i="6"/>
  <c r="F347" i="6"/>
  <c r="E347" i="6"/>
  <c r="D347" i="6"/>
  <c r="C347" i="6"/>
  <c r="B347" i="6"/>
  <c r="K345" i="6"/>
  <c r="J345" i="6"/>
  <c r="I345" i="6"/>
  <c r="H345" i="6"/>
  <c r="G345" i="6"/>
  <c r="F345" i="6"/>
  <c r="E345" i="6"/>
  <c r="D345" i="6"/>
  <c r="C345" i="6"/>
  <c r="B345" i="6"/>
  <c r="K344" i="6"/>
  <c r="J344" i="6"/>
  <c r="I344" i="6"/>
  <c r="H344" i="6"/>
  <c r="G344" i="6"/>
  <c r="F344" i="6"/>
  <c r="E344" i="6"/>
  <c r="D344" i="6"/>
  <c r="C344" i="6"/>
  <c r="B344" i="6"/>
  <c r="K343" i="6"/>
  <c r="J343" i="6"/>
  <c r="I343" i="6"/>
  <c r="H343" i="6"/>
  <c r="G343" i="6"/>
  <c r="F343" i="6"/>
  <c r="E343" i="6"/>
  <c r="D343" i="6"/>
  <c r="C343" i="6"/>
  <c r="B343" i="6"/>
  <c r="K342" i="6"/>
  <c r="J342" i="6"/>
  <c r="I342" i="6"/>
  <c r="H342" i="6"/>
  <c r="G342" i="6"/>
  <c r="F342" i="6"/>
  <c r="E342" i="6"/>
  <c r="D342" i="6"/>
  <c r="C342" i="6"/>
  <c r="B342" i="6"/>
  <c r="A341" i="6"/>
  <c r="L337" i="6"/>
  <c r="K337" i="6"/>
  <c r="J337" i="6"/>
  <c r="I337" i="6"/>
  <c r="H337" i="6"/>
  <c r="G337" i="6"/>
  <c r="F337" i="6"/>
  <c r="E337" i="6"/>
  <c r="D337" i="6"/>
  <c r="C337" i="6"/>
  <c r="B337" i="6"/>
  <c r="L333" i="6"/>
  <c r="K333" i="6"/>
  <c r="J333" i="6"/>
  <c r="I333" i="6"/>
  <c r="H333" i="6"/>
  <c r="G333" i="6"/>
  <c r="F333" i="6"/>
  <c r="E333" i="6"/>
  <c r="D333" i="6"/>
  <c r="C333" i="6"/>
  <c r="B333" i="6"/>
  <c r="K332" i="6"/>
  <c r="J332" i="6"/>
  <c r="I332" i="6"/>
  <c r="H332" i="6"/>
  <c r="G332" i="6"/>
  <c r="F332" i="6"/>
  <c r="E332" i="6"/>
  <c r="D332" i="6"/>
  <c r="C332" i="6"/>
  <c r="B332" i="6"/>
  <c r="K331" i="6"/>
  <c r="J331" i="6"/>
  <c r="I331" i="6"/>
  <c r="H331" i="6"/>
  <c r="G331" i="6"/>
  <c r="F331" i="6"/>
  <c r="E331" i="6"/>
  <c r="D331" i="6"/>
  <c r="C331" i="6"/>
  <c r="B331" i="6"/>
  <c r="K330" i="6"/>
  <c r="J330" i="6"/>
  <c r="I330" i="6"/>
  <c r="H330" i="6"/>
  <c r="G330" i="6"/>
  <c r="F330" i="6"/>
  <c r="E330" i="6"/>
  <c r="D330" i="6"/>
  <c r="C330" i="6"/>
  <c r="B330" i="6"/>
  <c r="K329" i="6"/>
  <c r="J329" i="6"/>
  <c r="I329" i="6"/>
  <c r="H329" i="6"/>
  <c r="G329" i="6"/>
  <c r="F329" i="6"/>
  <c r="E329" i="6"/>
  <c r="D329" i="6"/>
  <c r="C329" i="6"/>
  <c r="B329" i="6"/>
  <c r="K328" i="6"/>
  <c r="J328" i="6"/>
  <c r="I328" i="6"/>
  <c r="H328" i="6"/>
  <c r="G328" i="6"/>
  <c r="F328" i="6"/>
  <c r="E328" i="6"/>
  <c r="D328" i="6"/>
  <c r="C328" i="6"/>
  <c r="B328" i="6"/>
  <c r="K327" i="6"/>
  <c r="J327" i="6"/>
  <c r="I327" i="6"/>
  <c r="H327" i="6"/>
  <c r="G327" i="6"/>
  <c r="F327" i="6"/>
  <c r="E327" i="6"/>
  <c r="D327" i="6"/>
  <c r="C327" i="6"/>
  <c r="B327" i="6"/>
  <c r="K325" i="6"/>
  <c r="J325" i="6"/>
  <c r="I325" i="6"/>
  <c r="H325" i="6"/>
  <c r="G325" i="6"/>
  <c r="F325" i="6"/>
  <c r="E325" i="6"/>
  <c r="D325" i="6"/>
  <c r="C325" i="6"/>
  <c r="B325" i="6"/>
  <c r="I324" i="6"/>
  <c r="H324" i="6"/>
  <c r="G324" i="6"/>
  <c r="F324" i="6"/>
  <c r="E324" i="6"/>
  <c r="J323" i="6"/>
  <c r="I323" i="6"/>
  <c r="H323" i="6"/>
  <c r="G323" i="6"/>
  <c r="F323" i="6"/>
  <c r="E323" i="6"/>
  <c r="J322" i="6"/>
  <c r="I322" i="6"/>
  <c r="H322" i="6"/>
  <c r="G322" i="6"/>
  <c r="F322" i="6"/>
  <c r="E322" i="6"/>
  <c r="A321" i="6"/>
  <c r="L319" i="6"/>
  <c r="K319" i="6"/>
  <c r="J319" i="6"/>
  <c r="I319" i="6"/>
  <c r="H319" i="6"/>
  <c r="G319" i="6"/>
  <c r="F319" i="6"/>
  <c r="E319" i="6"/>
  <c r="D319" i="6"/>
  <c r="C319" i="6"/>
  <c r="B319" i="6"/>
  <c r="L315" i="6"/>
  <c r="K315" i="6"/>
  <c r="J315" i="6"/>
  <c r="I315" i="6"/>
  <c r="H315" i="6"/>
  <c r="G315" i="6"/>
  <c r="F315" i="6"/>
  <c r="E315" i="6"/>
  <c r="D315" i="6"/>
  <c r="C315" i="6"/>
  <c r="B315" i="6"/>
  <c r="K314" i="6"/>
  <c r="J314" i="6"/>
  <c r="I314" i="6"/>
  <c r="H314" i="6"/>
  <c r="G314" i="6"/>
  <c r="F314" i="6"/>
  <c r="E314" i="6"/>
  <c r="D314" i="6"/>
  <c r="C314" i="6"/>
  <c r="B314" i="6"/>
  <c r="K313" i="6"/>
  <c r="J313" i="6"/>
  <c r="I313" i="6"/>
  <c r="H313" i="6"/>
  <c r="G313" i="6"/>
  <c r="F313" i="6"/>
  <c r="E313" i="6"/>
  <c r="D313" i="6"/>
  <c r="C313" i="6"/>
  <c r="B313" i="6"/>
  <c r="K312" i="6"/>
  <c r="J312" i="6"/>
  <c r="I312" i="6"/>
  <c r="H312" i="6"/>
  <c r="G312" i="6"/>
  <c r="F312" i="6"/>
  <c r="E312" i="6"/>
  <c r="D312" i="6"/>
  <c r="C312" i="6"/>
  <c r="B312" i="6"/>
  <c r="K311" i="6"/>
  <c r="J311" i="6"/>
  <c r="I311" i="6"/>
  <c r="H311" i="6"/>
  <c r="G311" i="6"/>
  <c r="F311" i="6"/>
  <c r="E311" i="6"/>
  <c r="D311" i="6"/>
  <c r="C311" i="6"/>
  <c r="B311" i="6"/>
  <c r="K310" i="6"/>
  <c r="J310" i="6"/>
  <c r="I310" i="6"/>
  <c r="H310" i="6"/>
  <c r="G310" i="6"/>
  <c r="F310" i="6"/>
  <c r="E310" i="6"/>
  <c r="D310" i="6"/>
  <c r="C310" i="6"/>
  <c r="B310" i="6"/>
  <c r="K309" i="6"/>
  <c r="J309" i="6"/>
  <c r="I309" i="6"/>
  <c r="H309" i="6"/>
  <c r="G309" i="6"/>
  <c r="F309" i="6"/>
  <c r="E309" i="6"/>
  <c r="D309" i="6"/>
  <c r="C309" i="6"/>
  <c r="B309" i="6"/>
  <c r="K307" i="6"/>
  <c r="J307" i="6"/>
  <c r="I307" i="6"/>
  <c r="H307" i="6"/>
  <c r="G307" i="6"/>
  <c r="F307" i="6"/>
  <c r="E307" i="6"/>
  <c r="D307" i="6"/>
  <c r="C307" i="6"/>
  <c r="B307" i="6"/>
  <c r="I306" i="6"/>
  <c r="H306" i="6"/>
  <c r="G306" i="6"/>
  <c r="F306" i="6"/>
  <c r="E306" i="6"/>
  <c r="I305" i="6"/>
  <c r="H305" i="6"/>
  <c r="G305" i="6"/>
  <c r="F305" i="6"/>
  <c r="E305" i="6"/>
  <c r="I304" i="6"/>
  <c r="H304" i="6"/>
  <c r="G304" i="6"/>
  <c r="F304" i="6"/>
  <c r="E304" i="6"/>
  <c r="K290" i="6"/>
  <c r="K413" i="6" s="1"/>
  <c r="J290" i="6"/>
  <c r="J413" i="6" s="1"/>
  <c r="I290" i="6"/>
  <c r="I413" i="6" s="1"/>
  <c r="H290" i="6"/>
  <c r="H413" i="6" s="1"/>
  <c r="G290" i="6"/>
  <c r="G413" i="6" s="1"/>
  <c r="F413" i="6"/>
  <c r="E413" i="6"/>
  <c r="D290" i="6"/>
  <c r="D413" i="6" s="1"/>
  <c r="C290" i="6"/>
  <c r="C413" i="6" s="1"/>
  <c r="B290" i="6"/>
  <c r="B413" i="6" s="1"/>
  <c r="K286" i="6"/>
  <c r="K409" i="6" s="1"/>
  <c r="J286" i="6"/>
  <c r="J409" i="6" s="1"/>
  <c r="I286" i="6"/>
  <c r="I409" i="6" s="1"/>
  <c r="H286" i="6"/>
  <c r="H409" i="6" s="1"/>
  <c r="G286" i="6"/>
  <c r="G409" i="6" s="1"/>
  <c r="F286" i="6"/>
  <c r="F409" i="6" s="1"/>
  <c r="E286" i="6"/>
  <c r="E409" i="6" s="1"/>
  <c r="D286" i="6"/>
  <c r="D409" i="6" s="1"/>
  <c r="C286" i="6"/>
  <c r="C409" i="6" s="1"/>
  <c r="B286" i="6"/>
  <c r="B409" i="6" s="1"/>
  <c r="K285" i="6"/>
  <c r="K408" i="6" s="1"/>
  <c r="J285" i="6"/>
  <c r="J408" i="6" s="1"/>
  <c r="I285" i="6"/>
  <c r="I408" i="6" s="1"/>
  <c r="H285" i="6"/>
  <c r="H408" i="6" s="1"/>
  <c r="G285" i="6"/>
  <c r="G408" i="6" s="1"/>
  <c r="F285" i="6"/>
  <c r="F408" i="6" s="1"/>
  <c r="E285" i="6"/>
  <c r="E408" i="6" s="1"/>
  <c r="D285" i="6"/>
  <c r="D408" i="6" s="1"/>
  <c r="C285" i="6"/>
  <c r="C408" i="6" s="1"/>
  <c r="B285" i="6"/>
  <c r="B408" i="6" s="1"/>
  <c r="K284" i="6"/>
  <c r="K407" i="6" s="1"/>
  <c r="J284" i="6"/>
  <c r="J407" i="6" s="1"/>
  <c r="I284" i="6"/>
  <c r="I407" i="6" s="1"/>
  <c r="H284" i="6"/>
  <c r="H407" i="6" s="1"/>
  <c r="G284" i="6"/>
  <c r="G407" i="6" s="1"/>
  <c r="F284" i="6"/>
  <c r="F407" i="6" s="1"/>
  <c r="E284" i="6"/>
  <c r="E407" i="6" s="1"/>
  <c r="D284" i="6"/>
  <c r="D407" i="6" s="1"/>
  <c r="C284" i="6"/>
  <c r="C407" i="6" s="1"/>
  <c r="B284" i="6"/>
  <c r="B407" i="6" s="1"/>
  <c r="K283" i="6"/>
  <c r="K406" i="6" s="1"/>
  <c r="J283" i="6"/>
  <c r="J406" i="6" s="1"/>
  <c r="I283" i="6"/>
  <c r="I406" i="6" s="1"/>
  <c r="H283" i="6"/>
  <c r="H406" i="6" s="1"/>
  <c r="G283" i="6"/>
  <c r="G406" i="6" s="1"/>
  <c r="F283" i="6"/>
  <c r="F406" i="6" s="1"/>
  <c r="E283" i="6"/>
  <c r="E406" i="6" s="1"/>
  <c r="D283" i="6"/>
  <c r="D406" i="6" s="1"/>
  <c r="C283" i="6"/>
  <c r="C406" i="6" s="1"/>
  <c r="B283" i="6"/>
  <c r="B406" i="6" s="1"/>
  <c r="K282" i="6"/>
  <c r="K405" i="6" s="1"/>
  <c r="J282" i="6"/>
  <c r="J405" i="6" s="1"/>
  <c r="I282" i="6"/>
  <c r="I405" i="6" s="1"/>
  <c r="H282" i="6"/>
  <c r="H405" i="6" s="1"/>
  <c r="G282" i="6"/>
  <c r="G405" i="6" s="1"/>
  <c r="F282" i="6"/>
  <c r="F405" i="6" s="1"/>
  <c r="E282" i="6"/>
  <c r="E405" i="6" s="1"/>
  <c r="D282" i="6"/>
  <c r="D405" i="6" s="1"/>
  <c r="C282" i="6"/>
  <c r="C405" i="6" s="1"/>
  <c r="B282" i="6"/>
  <c r="B405" i="6" s="1"/>
  <c r="K281" i="6"/>
  <c r="K404" i="6" s="1"/>
  <c r="J281" i="6"/>
  <c r="J404" i="6" s="1"/>
  <c r="I281" i="6"/>
  <c r="I404" i="6" s="1"/>
  <c r="H281" i="6"/>
  <c r="H404" i="6" s="1"/>
  <c r="G281" i="6"/>
  <c r="G404" i="6" s="1"/>
  <c r="F281" i="6"/>
  <c r="F404" i="6" s="1"/>
  <c r="E281" i="6"/>
  <c r="E404" i="6" s="1"/>
  <c r="D281" i="6"/>
  <c r="D404" i="6" s="1"/>
  <c r="C281" i="6"/>
  <c r="C404" i="6" s="1"/>
  <c r="B281" i="6"/>
  <c r="B404" i="6" s="1"/>
  <c r="K280" i="6"/>
  <c r="K403" i="6" s="1"/>
  <c r="J280" i="6"/>
  <c r="J403" i="6" s="1"/>
  <c r="I280" i="6"/>
  <c r="I403" i="6" s="1"/>
  <c r="H280" i="6"/>
  <c r="H403" i="6" s="1"/>
  <c r="G280" i="6"/>
  <c r="G403" i="6" s="1"/>
  <c r="F280" i="6"/>
  <c r="F403" i="6" s="1"/>
  <c r="E280" i="6"/>
  <c r="E403" i="6" s="1"/>
  <c r="D280" i="6"/>
  <c r="D403" i="6" s="1"/>
  <c r="C280" i="6"/>
  <c r="C403" i="6" s="1"/>
  <c r="B280" i="6"/>
  <c r="B403" i="6" s="1"/>
  <c r="K279" i="6"/>
  <c r="J279" i="6"/>
  <c r="I279" i="6"/>
  <c r="H279" i="6"/>
  <c r="G279" i="6"/>
  <c r="F279" i="6"/>
  <c r="E279" i="6"/>
  <c r="D279" i="6"/>
  <c r="C279" i="6"/>
  <c r="B279" i="6"/>
  <c r="K278" i="6"/>
  <c r="J278" i="6"/>
  <c r="I278" i="6"/>
  <c r="H278" i="6"/>
  <c r="G278" i="6"/>
  <c r="F278" i="6"/>
  <c r="E278" i="6"/>
  <c r="D278" i="6"/>
  <c r="C278" i="6"/>
  <c r="B278" i="6"/>
  <c r="K277" i="6"/>
  <c r="J277" i="6"/>
  <c r="I277" i="6"/>
  <c r="H277" i="6"/>
  <c r="G277" i="6"/>
  <c r="F277" i="6"/>
  <c r="E277" i="6"/>
  <c r="D277" i="6"/>
  <c r="C277" i="6"/>
  <c r="B277" i="6"/>
  <c r="K276" i="6"/>
  <c r="J276" i="6"/>
  <c r="I276" i="6"/>
  <c r="H276" i="6"/>
  <c r="G276" i="6"/>
  <c r="F276" i="6"/>
  <c r="E276" i="6"/>
  <c r="D276" i="6"/>
  <c r="C276" i="6"/>
  <c r="B276" i="6"/>
  <c r="L275" i="6"/>
  <c r="K275" i="6"/>
  <c r="J275" i="6"/>
  <c r="I275" i="6"/>
  <c r="H275" i="6"/>
  <c r="G275" i="6"/>
  <c r="G402" i="6" s="1"/>
  <c r="F275" i="6"/>
  <c r="E275" i="6"/>
  <c r="D275" i="6"/>
  <c r="C275" i="6"/>
  <c r="B275" i="6"/>
  <c r="K274" i="6"/>
  <c r="J274" i="6"/>
  <c r="I274" i="6"/>
  <c r="H274" i="6"/>
  <c r="G274" i="6"/>
  <c r="F274" i="6"/>
  <c r="E274" i="6"/>
  <c r="D274" i="6"/>
  <c r="C274" i="6"/>
  <c r="B274" i="6"/>
  <c r="K273" i="6"/>
  <c r="J273" i="6"/>
  <c r="I273" i="6"/>
  <c r="H273" i="6"/>
  <c r="G273" i="6"/>
  <c r="F273" i="6"/>
  <c r="E273" i="6"/>
  <c r="D273" i="6"/>
  <c r="C273" i="6"/>
  <c r="B273" i="6"/>
  <c r="K272" i="6"/>
  <c r="J272" i="6"/>
  <c r="I272" i="6"/>
  <c r="H272" i="6"/>
  <c r="G272" i="6"/>
  <c r="F272" i="6"/>
  <c r="E272" i="6"/>
  <c r="D272" i="6"/>
  <c r="C272" i="6"/>
  <c r="B272" i="6"/>
  <c r="K271" i="6"/>
  <c r="J271" i="6"/>
  <c r="I271" i="6"/>
  <c r="H271" i="6"/>
  <c r="G271" i="6"/>
  <c r="F271" i="6"/>
  <c r="E271" i="6"/>
  <c r="D271" i="6"/>
  <c r="C271" i="6"/>
  <c r="B271" i="6"/>
  <c r="K270" i="6"/>
  <c r="J270" i="6"/>
  <c r="I270" i="6"/>
  <c r="H270" i="6"/>
  <c r="G270" i="6"/>
  <c r="F270" i="6"/>
  <c r="E270" i="6"/>
  <c r="D270" i="6"/>
  <c r="C270" i="6"/>
  <c r="K269" i="6"/>
  <c r="J269" i="6"/>
  <c r="I269" i="6"/>
  <c r="H269" i="6"/>
  <c r="G269" i="6"/>
  <c r="F269" i="6"/>
  <c r="E269" i="6"/>
  <c r="D269" i="6"/>
  <c r="J268" i="6"/>
  <c r="I268" i="6"/>
  <c r="H268" i="6"/>
  <c r="G268" i="6"/>
  <c r="F268" i="6"/>
  <c r="E268" i="6"/>
  <c r="D268" i="6"/>
  <c r="C268" i="6"/>
  <c r="B268" i="6"/>
  <c r="J267" i="6"/>
  <c r="I267" i="6"/>
  <c r="H267" i="6"/>
  <c r="G267" i="6"/>
  <c r="F267" i="6"/>
  <c r="E267" i="6"/>
  <c r="D267" i="6"/>
  <c r="C267" i="6"/>
  <c r="K266" i="6"/>
  <c r="J266" i="6"/>
  <c r="I266" i="6"/>
  <c r="H266" i="6"/>
  <c r="G266" i="6"/>
  <c r="F266" i="6"/>
  <c r="E266" i="6"/>
  <c r="D266" i="6"/>
  <c r="C266" i="6"/>
  <c r="J265" i="6"/>
  <c r="I265" i="6"/>
  <c r="H265" i="6"/>
  <c r="G265" i="6"/>
  <c r="F265" i="6"/>
  <c r="E265" i="6"/>
  <c r="D265" i="6"/>
  <c r="C265" i="6"/>
  <c r="B265" i="6"/>
  <c r="J264" i="6"/>
  <c r="I264" i="6"/>
  <c r="H264" i="6"/>
  <c r="G264" i="6"/>
  <c r="F264" i="6"/>
  <c r="E264" i="6"/>
  <c r="D264" i="6"/>
  <c r="C264" i="6"/>
  <c r="B264" i="6"/>
  <c r="J263" i="6"/>
  <c r="I263" i="6"/>
  <c r="H263" i="6"/>
  <c r="G263" i="6"/>
  <c r="F263" i="6"/>
  <c r="E263" i="6"/>
  <c r="D263" i="6"/>
  <c r="C263" i="6"/>
  <c r="B263" i="6"/>
  <c r="K262" i="6"/>
  <c r="J262" i="6"/>
  <c r="I262" i="6"/>
  <c r="H262" i="6"/>
  <c r="G262" i="6"/>
  <c r="F262" i="6"/>
  <c r="E262" i="6"/>
  <c r="D262" i="6"/>
  <c r="C262" i="6"/>
  <c r="B262" i="6"/>
  <c r="K261" i="6"/>
  <c r="J261" i="6"/>
  <c r="I261" i="6"/>
  <c r="H261" i="6"/>
  <c r="G261" i="6"/>
  <c r="F261" i="6"/>
  <c r="E261" i="6"/>
  <c r="D261" i="6"/>
  <c r="C261" i="6"/>
  <c r="B261" i="6"/>
  <c r="K260" i="6"/>
  <c r="J260" i="6"/>
  <c r="I260" i="6"/>
  <c r="H260" i="6"/>
  <c r="G260" i="6"/>
  <c r="F260" i="6"/>
  <c r="E260" i="6"/>
  <c r="D260" i="6"/>
  <c r="C260" i="6"/>
  <c r="B260" i="6"/>
  <c r="K259" i="6"/>
  <c r="J259" i="6"/>
  <c r="I259" i="6"/>
  <c r="H259" i="6"/>
  <c r="G259" i="6"/>
  <c r="F259" i="6"/>
  <c r="E259" i="6"/>
  <c r="D259" i="6"/>
  <c r="C259" i="6"/>
  <c r="B259" i="6"/>
  <c r="K258" i="6"/>
  <c r="J258" i="6"/>
  <c r="I258" i="6"/>
  <c r="H258" i="6"/>
  <c r="G258" i="6"/>
  <c r="F258" i="6"/>
  <c r="E258" i="6"/>
  <c r="D258" i="6"/>
  <c r="C258" i="6"/>
  <c r="B258" i="6"/>
  <c r="K257" i="6"/>
  <c r="J257" i="6"/>
  <c r="I257" i="6"/>
  <c r="H257" i="6"/>
  <c r="G257" i="6"/>
  <c r="F257" i="6"/>
  <c r="E257" i="6"/>
  <c r="D257" i="6"/>
  <c r="C257" i="6"/>
  <c r="B257" i="6"/>
  <c r="K256" i="6"/>
  <c r="J256" i="6"/>
  <c r="I256" i="6"/>
  <c r="H256" i="6"/>
  <c r="G256" i="6"/>
  <c r="F256" i="6"/>
  <c r="E256" i="6"/>
  <c r="D256" i="6"/>
  <c r="C256" i="6"/>
  <c r="B256" i="6"/>
  <c r="K255" i="6"/>
  <c r="J255" i="6"/>
  <c r="I255" i="6"/>
  <c r="H255" i="6"/>
  <c r="G255" i="6"/>
  <c r="F255" i="6"/>
  <c r="E255" i="6"/>
  <c r="D255" i="6"/>
  <c r="C255" i="6"/>
  <c r="B255" i="6"/>
  <c r="K254" i="6"/>
  <c r="J254" i="6"/>
  <c r="I254" i="6"/>
  <c r="H254" i="6"/>
  <c r="G254" i="6"/>
  <c r="F254" i="6"/>
  <c r="E254" i="6"/>
  <c r="D254" i="6"/>
  <c r="C254" i="6"/>
  <c r="B254" i="6"/>
  <c r="K253" i="6"/>
  <c r="J253" i="6"/>
  <c r="I253" i="6"/>
  <c r="H253" i="6"/>
  <c r="G253" i="6"/>
  <c r="F253" i="6"/>
  <c r="E253" i="6"/>
  <c r="D253" i="6"/>
  <c r="C253" i="6"/>
  <c r="B253" i="6"/>
  <c r="K252" i="6"/>
  <c r="J252" i="6"/>
  <c r="I252" i="6"/>
  <c r="H252" i="6"/>
  <c r="G252" i="6"/>
  <c r="F252" i="6"/>
  <c r="E252" i="6"/>
  <c r="D252" i="6"/>
  <c r="C252" i="6"/>
  <c r="B252" i="6"/>
  <c r="K251" i="6"/>
  <c r="J251" i="6"/>
  <c r="I251" i="6"/>
  <c r="H251" i="6"/>
  <c r="G251" i="6"/>
  <c r="F251" i="6"/>
  <c r="E251" i="6"/>
  <c r="D251" i="6"/>
  <c r="C251" i="6"/>
  <c r="B251" i="6"/>
  <c r="K250" i="6"/>
  <c r="J250" i="6"/>
  <c r="I250" i="6"/>
  <c r="H250" i="6"/>
  <c r="G250" i="6"/>
  <c r="F250" i="6"/>
  <c r="E250" i="6"/>
  <c r="D250" i="6"/>
  <c r="C250" i="6"/>
  <c r="B250" i="6"/>
  <c r="K249" i="6"/>
  <c r="J249" i="6"/>
  <c r="I249" i="6"/>
  <c r="H249" i="6"/>
  <c r="G249" i="6"/>
  <c r="F249" i="6"/>
  <c r="E249" i="6"/>
  <c r="D249" i="6"/>
  <c r="C249" i="6"/>
  <c r="B249" i="6"/>
  <c r="K248" i="6"/>
  <c r="J248" i="6"/>
  <c r="I248" i="6"/>
  <c r="H248" i="6"/>
  <c r="G248" i="6"/>
  <c r="F248" i="6"/>
  <c r="E248" i="6"/>
  <c r="D248" i="6"/>
  <c r="C248" i="6"/>
  <c r="B248" i="6"/>
  <c r="K247" i="6"/>
  <c r="J247" i="6"/>
  <c r="I247" i="6"/>
  <c r="H247" i="6"/>
  <c r="G247" i="6"/>
  <c r="F247" i="6"/>
  <c r="E247" i="6"/>
  <c r="D247" i="6"/>
  <c r="C247" i="6"/>
  <c r="B247" i="6"/>
  <c r="K246" i="6"/>
  <c r="J246" i="6"/>
  <c r="I246" i="6"/>
  <c r="H246" i="6"/>
  <c r="G246" i="6"/>
  <c r="F246" i="6"/>
  <c r="E246" i="6"/>
  <c r="D246" i="6"/>
  <c r="C246" i="6"/>
  <c r="B246" i="6"/>
  <c r="K245" i="6"/>
  <c r="J245" i="6"/>
  <c r="I245" i="6"/>
  <c r="H245" i="6"/>
  <c r="G245" i="6"/>
  <c r="F245" i="6"/>
  <c r="E245" i="6"/>
  <c r="D245" i="6"/>
  <c r="C245" i="6"/>
  <c r="B245" i="6"/>
  <c r="L242" i="6"/>
  <c r="L395" i="6" s="1"/>
  <c r="L238" i="6"/>
  <c r="L391" i="6" s="1"/>
  <c r="L237" i="6"/>
  <c r="L390" i="6" s="1"/>
  <c r="L236" i="6"/>
  <c r="L389" i="6" s="1"/>
  <c r="L235" i="6"/>
  <c r="L234" i="6"/>
  <c r="L387" i="6" s="1"/>
  <c r="L233" i="6"/>
  <c r="L386" i="6" s="1"/>
  <c r="L232" i="6"/>
  <c r="L385" i="6" s="1"/>
  <c r="L231" i="6"/>
  <c r="L228" i="6"/>
  <c r="L226" i="6"/>
  <c r="L225" i="6"/>
  <c r="L224" i="6"/>
  <c r="L223" i="6"/>
  <c r="L222" i="6"/>
  <c r="L221" i="6"/>
  <c r="L220" i="6"/>
  <c r="L219" i="6"/>
  <c r="L218" i="6"/>
  <c r="L217" i="6"/>
  <c r="L216" i="6"/>
  <c r="L215" i="6"/>
  <c r="L214" i="6"/>
  <c r="L213" i="6"/>
  <c r="L212" i="6"/>
  <c r="L211" i="6"/>
  <c r="L210" i="6"/>
  <c r="L209" i="6"/>
  <c r="L208" i="6"/>
  <c r="L207" i="6"/>
  <c r="L206" i="6"/>
  <c r="L205" i="6"/>
  <c r="L204" i="6"/>
  <c r="L203" i="6"/>
  <c r="L202" i="6"/>
  <c r="L201" i="6"/>
  <c r="L200" i="6"/>
  <c r="L199" i="6"/>
  <c r="L198" i="6"/>
  <c r="L197" i="6"/>
  <c r="L194" i="6"/>
  <c r="L375" i="6" s="1"/>
  <c r="L190" i="6"/>
  <c r="L371" i="6" s="1"/>
  <c r="L189" i="6"/>
  <c r="L370" i="6" s="1"/>
  <c r="L188" i="6"/>
  <c r="L369" i="6" s="1"/>
  <c r="L187" i="6"/>
  <c r="L368" i="6" s="1"/>
  <c r="L186" i="6"/>
  <c r="L367" i="6" s="1"/>
  <c r="L185" i="6"/>
  <c r="L366" i="6" s="1"/>
  <c r="L184" i="6"/>
  <c r="L365" i="6" s="1"/>
  <c r="L183" i="6"/>
  <c r="L180" i="6"/>
  <c r="L178" i="6"/>
  <c r="L177" i="6"/>
  <c r="L176" i="6"/>
  <c r="L175" i="6"/>
  <c r="L174" i="6"/>
  <c r="L173" i="6"/>
  <c r="L172" i="6"/>
  <c r="L171" i="6"/>
  <c r="L170" i="6"/>
  <c r="L169" i="6"/>
  <c r="L168" i="6"/>
  <c r="L167" i="6"/>
  <c r="L166" i="6"/>
  <c r="L165" i="6"/>
  <c r="L164" i="6"/>
  <c r="L163" i="6"/>
  <c r="L162" i="6"/>
  <c r="L161" i="6"/>
  <c r="L160" i="6"/>
  <c r="L159" i="6"/>
  <c r="L158" i="6"/>
  <c r="L157" i="6"/>
  <c r="L156" i="6"/>
  <c r="L155" i="6"/>
  <c r="L154" i="6"/>
  <c r="L153" i="6"/>
  <c r="L152" i="6"/>
  <c r="L151" i="6"/>
  <c r="L150" i="6"/>
  <c r="L149" i="6"/>
  <c r="L145" i="24"/>
  <c r="L140" i="6"/>
  <c r="L139" i="6"/>
  <c r="L138" i="6"/>
  <c r="L137" i="6"/>
  <c r="L136" i="6"/>
  <c r="L135" i="6"/>
  <c r="L133" i="6"/>
  <c r="L132" i="24" s="1"/>
  <c r="L132"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93" i="6"/>
  <c r="L332" i="6" s="1"/>
  <c r="L92" i="6"/>
  <c r="L331" i="6" s="1"/>
  <c r="L91" i="6"/>
  <c r="L330" i="6" s="1"/>
  <c r="L90" i="6"/>
  <c r="L329" i="6" s="1"/>
  <c r="L89" i="6"/>
  <c r="L328" i="6" s="1"/>
  <c r="L88" i="6"/>
  <c r="L327" i="6" s="1"/>
  <c r="L87" i="6"/>
  <c r="L86" i="6"/>
  <c r="L84" i="6"/>
  <c r="L82" i="6"/>
  <c r="L81" i="6"/>
  <c r="L80" i="6"/>
  <c r="L79" i="6"/>
  <c r="L78" i="6"/>
  <c r="L77" i="6"/>
  <c r="L76" i="6"/>
  <c r="L75" i="6"/>
  <c r="L74" i="6"/>
  <c r="L73" i="6"/>
  <c r="L72" i="6"/>
  <c r="L71" i="6"/>
  <c r="L70" i="6"/>
  <c r="L69" i="6"/>
  <c r="L68" i="6"/>
  <c r="L67" i="6"/>
  <c r="L66" i="6"/>
  <c r="L65" i="6"/>
  <c r="L64" i="6"/>
  <c r="L63" i="6"/>
  <c r="L62" i="6"/>
  <c r="L61" i="6"/>
  <c r="L60" i="6"/>
  <c r="L59" i="6"/>
  <c r="L58" i="6"/>
  <c r="L57" i="6"/>
  <c r="L56" i="6"/>
  <c r="L55" i="6"/>
  <c r="L54" i="6"/>
  <c r="L53" i="6"/>
  <c r="L45" i="6"/>
  <c r="L314" i="6" s="1"/>
  <c r="L44" i="6"/>
  <c r="L313" i="6" s="1"/>
  <c r="L43" i="6"/>
  <c r="L312" i="6" s="1"/>
  <c r="L42" i="6"/>
  <c r="L41" i="6"/>
  <c r="L310" i="6" s="1"/>
  <c r="L40" i="6"/>
  <c r="L309" i="6" s="1"/>
  <c r="L39" i="6"/>
  <c r="L38" i="6"/>
  <c r="L36" i="6"/>
  <c r="L34" i="6"/>
  <c r="L33" i="6"/>
  <c r="L32" i="6"/>
  <c r="L31" i="6"/>
  <c r="L30" i="6"/>
  <c r="L29" i="6"/>
  <c r="L28" i="6"/>
  <c r="L27" i="6"/>
  <c r="L26" i="6"/>
  <c r="L25" i="6"/>
  <c r="L24" i="6"/>
  <c r="L23" i="6"/>
  <c r="L22" i="6"/>
  <c r="L21" i="6"/>
  <c r="L20" i="6"/>
  <c r="L19" i="6"/>
  <c r="L18" i="6"/>
  <c r="L17" i="6"/>
  <c r="L16" i="6"/>
  <c r="L15" i="6"/>
  <c r="L14" i="6"/>
  <c r="L13" i="6"/>
  <c r="L12" i="6"/>
  <c r="L11" i="6"/>
  <c r="L10" i="6"/>
  <c r="L9" i="6"/>
  <c r="L8" i="6"/>
  <c r="L7" i="6"/>
  <c r="L6" i="6"/>
  <c r="L5" i="6"/>
  <c r="A429" i="5"/>
  <c r="A428" i="5"/>
  <c r="A427" i="5"/>
  <c r="R408" i="5"/>
  <c r="Q408" i="5"/>
  <c r="P408" i="5"/>
  <c r="O408" i="5"/>
  <c r="N408" i="5"/>
  <c r="M408" i="5"/>
  <c r="L408" i="5"/>
  <c r="K408" i="5"/>
  <c r="H408" i="5"/>
  <c r="G408" i="5"/>
  <c r="F408" i="5"/>
  <c r="E408" i="5"/>
  <c r="D408" i="5"/>
  <c r="C408" i="5"/>
  <c r="B408" i="5"/>
  <c r="R404" i="5"/>
  <c r="Q404" i="5"/>
  <c r="P404" i="5"/>
  <c r="O404" i="5"/>
  <c r="N404" i="5"/>
  <c r="M404" i="5"/>
  <c r="L404" i="5"/>
  <c r="K404" i="5"/>
  <c r="H404" i="5"/>
  <c r="G404" i="5"/>
  <c r="F404" i="5"/>
  <c r="E404" i="5"/>
  <c r="D404" i="5"/>
  <c r="C404" i="5"/>
  <c r="B404" i="5"/>
  <c r="R403" i="5"/>
  <c r="Q403" i="5"/>
  <c r="P403" i="5"/>
  <c r="O403" i="5"/>
  <c r="N403" i="5"/>
  <c r="M403" i="5"/>
  <c r="L403" i="5"/>
  <c r="K403" i="5"/>
  <c r="H403" i="5"/>
  <c r="G403" i="5"/>
  <c r="F403" i="5"/>
  <c r="E403" i="5"/>
  <c r="D403" i="5"/>
  <c r="C403" i="5"/>
  <c r="B403" i="5"/>
  <c r="R402" i="5"/>
  <c r="Q402" i="5"/>
  <c r="P402" i="5"/>
  <c r="O402" i="5"/>
  <c r="N402" i="5"/>
  <c r="M402" i="5"/>
  <c r="L402" i="5"/>
  <c r="K402" i="5"/>
  <c r="H402" i="5"/>
  <c r="G402" i="5"/>
  <c r="F402" i="5"/>
  <c r="E402" i="5"/>
  <c r="D402" i="5"/>
  <c r="C402" i="5"/>
  <c r="B402" i="5"/>
  <c r="R401" i="5"/>
  <c r="Q401" i="5"/>
  <c r="P401" i="5"/>
  <c r="O401" i="5"/>
  <c r="N401" i="5"/>
  <c r="M401" i="5"/>
  <c r="L401" i="5"/>
  <c r="K401" i="5"/>
  <c r="H401" i="5"/>
  <c r="G401" i="5"/>
  <c r="F401" i="5"/>
  <c r="E401" i="5"/>
  <c r="D401" i="5"/>
  <c r="C401" i="5"/>
  <c r="B401" i="5"/>
  <c r="R400" i="5"/>
  <c r="Q400" i="5"/>
  <c r="P400" i="5"/>
  <c r="O400" i="5"/>
  <c r="N400" i="5"/>
  <c r="M400" i="5"/>
  <c r="L400" i="5"/>
  <c r="K400" i="5"/>
  <c r="H400" i="5"/>
  <c r="G400" i="5"/>
  <c r="F400" i="5"/>
  <c r="E400" i="5"/>
  <c r="D400" i="5"/>
  <c r="C400" i="5"/>
  <c r="B400" i="5"/>
  <c r="R399" i="5"/>
  <c r="Q399" i="5"/>
  <c r="P399" i="5"/>
  <c r="O399" i="5"/>
  <c r="N399" i="5"/>
  <c r="M399" i="5"/>
  <c r="L399" i="5"/>
  <c r="K399" i="5"/>
  <c r="H399" i="5"/>
  <c r="G399" i="5"/>
  <c r="F399" i="5"/>
  <c r="E399" i="5"/>
  <c r="D399" i="5"/>
  <c r="C399" i="5"/>
  <c r="B399" i="5"/>
  <c r="R398" i="5"/>
  <c r="Q398" i="5"/>
  <c r="P398" i="5"/>
  <c r="O398" i="5"/>
  <c r="N398" i="5"/>
  <c r="M398" i="5"/>
  <c r="L398" i="5"/>
  <c r="K398" i="5"/>
  <c r="H398" i="5"/>
  <c r="G398" i="5"/>
  <c r="F398" i="5"/>
  <c r="E398" i="5"/>
  <c r="D398" i="5"/>
  <c r="C398" i="5"/>
  <c r="B398" i="5"/>
  <c r="R396" i="5"/>
  <c r="Q396" i="5"/>
  <c r="P396" i="5"/>
  <c r="O396" i="5"/>
  <c r="N396" i="5"/>
  <c r="M396" i="5"/>
  <c r="L396" i="5"/>
  <c r="K396" i="5"/>
  <c r="H396" i="5"/>
  <c r="G396" i="5"/>
  <c r="F396" i="5"/>
  <c r="E396" i="5"/>
  <c r="D396" i="5"/>
  <c r="C396" i="5"/>
  <c r="B396" i="5"/>
  <c r="G395" i="5"/>
  <c r="F395" i="5"/>
  <c r="E395" i="5"/>
  <c r="D395" i="5"/>
  <c r="C395" i="5"/>
  <c r="B395" i="5"/>
  <c r="O394" i="5"/>
  <c r="N394" i="5"/>
  <c r="M394" i="5"/>
  <c r="G394" i="5"/>
  <c r="F394" i="5"/>
  <c r="E394" i="5"/>
  <c r="D394" i="5"/>
  <c r="C394" i="5"/>
  <c r="P393" i="5"/>
  <c r="O393" i="5"/>
  <c r="N393" i="5"/>
  <c r="M393" i="5"/>
  <c r="G393" i="5"/>
  <c r="F393" i="5"/>
  <c r="E393" i="5"/>
  <c r="D393" i="5"/>
  <c r="C393" i="5"/>
  <c r="A392" i="5"/>
  <c r="R387" i="5"/>
  <c r="Q387" i="5"/>
  <c r="P387" i="5"/>
  <c r="O387" i="5"/>
  <c r="N387" i="5"/>
  <c r="M387" i="5"/>
  <c r="L387" i="5"/>
  <c r="K387" i="5"/>
  <c r="H387" i="5"/>
  <c r="G387" i="5"/>
  <c r="F387" i="5"/>
  <c r="E387" i="5"/>
  <c r="D387" i="5"/>
  <c r="C387" i="5"/>
  <c r="B387" i="5"/>
  <c r="R383" i="5"/>
  <c r="Q383" i="5"/>
  <c r="P383" i="5"/>
  <c r="O383" i="5"/>
  <c r="N383" i="5"/>
  <c r="M383" i="5"/>
  <c r="L383" i="5"/>
  <c r="K383" i="5"/>
  <c r="H383" i="5"/>
  <c r="G383" i="5"/>
  <c r="F383" i="5"/>
  <c r="E383" i="5"/>
  <c r="D383" i="5"/>
  <c r="C383" i="5"/>
  <c r="B383" i="5"/>
  <c r="R382" i="5"/>
  <c r="Q382" i="5"/>
  <c r="P382" i="5"/>
  <c r="O382" i="5"/>
  <c r="N382" i="5"/>
  <c r="M382" i="5"/>
  <c r="L382" i="5"/>
  <c r="K382" i="5"/>
  <c r="H382" i="5"/>
  <c r="G382" i="5"/>
  <c r="F382" i="5"/>
  <c r="E382" i="5"/>
  <c r="D382" i="5"/>
  <c r="C382" i="5"/>
  <c r="B382" i="5"/>
  <c r="R381" i="5"/>
  <c r="Q381" i="5"/>
  <c r="P381" i="5"/>
  <c r="O381" i="5"/>
  <c r="N381" i="5"/>
  <c r="M381" i="5"/>
  <c r="L381" i="5"/>
  <c r="K381" i="5"/>
  <c r="H381" i="5"/>
  <c r="G381" i="5"/>
  <c r="F381" i="5"/>
  <c r="E381" i="5"/>
  <c r="D381" i="5"/>
  <c r="C381" i="5"/>
  <c r="B381" i="5"/>
  <c r="R380" i="5"/>
  <c r="Q380" i="5"/>
  <c r="P380" i="5"/>
  <c r="O380" i="5"/>
  <c r="N380" i="5"/>
  <c r="M380" i="5"/>
  <c r="L380" i="5"/>
  <c r="K380" i="5"/>
  <c r="H380" i="5"/>
  <c r="G380" i="5"/>
  <c r="F380" i="5"/>
  <c r="E380" i="5"/>
  <c r="D380" i="5"/>
  <c r="C380" i="5"/>
  <c r="B380" i="5"/>
  <c r="R379" i="5"/>
  <c r="Q379" i="5"/>
  <c r="P379" i="5"/>
  <c r="O379" i="5"/>
  <c r="N379" i="5"/>
  <c r="M379" i="5"/>
  <c r="L379" i="5"/>
  <c r="K379" i="5"/>
  <c r="H379" i="5"/>
  <c r="G379" i="5"/>
  <c r="F379" i="5"/>
  <c r="E379" i="5"/>
  <c r="D379" i="5"/>
  <c r="C379" i="5"/>
  <c r="B379" i="5"/>
  <c r="R378" i="5"/>
  <c r="Q378" i="5"/>
  <c r="P378" i="5"/>
  <c r="O378" i="5"/>
  <c r="N378" i="5"/>
  <c r="M378" i="5"/>
  <c r="L378" i="5"/>
  <c r="K378" i="5"/>
  <c r="H378" i="5"/>
  <c r="G378" i="5"/>
  <c r="F378" i="5"/>
  <c r="E378" i="5"/>
  <c r="D378" i="5"/>
  <c r="C378" i="5"/>
  <c r="B378" i="5"/>
  <c r="R377" i="5"/>
  <c r="Q377" i="5"/>
  <c r="P377" i="5"/>
  <c r="O377" i="5"/>
  <c r="N377" i="5"/>
  <c r="M377" i="5"/>
  <c r="L377" i="5"/>
  <c r="K377" i="5"/>
  <c r="H377" i="5"/>
  <c r="G377" i="5"/>
  <c r="F377" i="5"/>
  <c r="E377" i="5"/>
  <c r="D377" i="5"/>
  <c r="C377" i="5"/>
  <c r="B377" i="5"/>
  <c r="R375" i="5"/>
  <c r="Q375" i="5"/>
  <c r="P375" i="5"/>
  <c r="O375" i="5"/>
  <c r="N375" i="5"/>
  <c r="M375" i="5"/>
  <c r="L375" i="5"/>
  <c r="K375" i="5"/>
  <c r="H375" i="5"/>
  <c r="G375" i="5"/>
  <c r="F375" i="5"/>
  <c r="E375" i="5"/>
  <c r="D375" i="5"/>
  <c r="C375" i="5"/>
  <c r="B375" i="5"/>
  <c r="G374" i="5"/>
  <c r="F374" i="5"/>
  <c r="E374" i="5"/>
  <c r="D374" i="5"/>
  <c r="C374" i="5"/>
  <c r="B374" i="5"/>
  <c r="O373" i="5"/>
  <c r="N373" i="5"/>
  <c r="M373" i="5"/>
  <c r="G373" i="5"/>
  <c r="F373" i="5"/>
  <c r="E373" i="5"/>
  <c r="D373" i="5"/>
  <c r="C373" i="5"/>
  <c r="P372" i="5"/>
  <c r="O372" i="5"/>
  <c r="N372" i="5"/>
  <c r="M372" i="5"/>
  <c r="G372" i="5"/>
  <c r="F372" i="5"/>
  <c r="E372" i="5"/>
  <c r="D372" i="5"/>
  <c r="C372" i="5"/>
  <c r="A371" i="5"/>
  <c r="R369" i="5"/>
  <c r="Q369" i="5"/>
  <c r="P369" i="5"/>
  <c r="O369" i="5"/>
  <c r="N369" i="5"/>
  <c r="M369" i="5"/>
  <c r="L369" i="5"/>
  <c r="K369" i="5"/>
  <c r="H369" i="5"/>
  <c r="G369" i="5"/>
  <c r="F369" i="5"/>
  <c r="E369" i="5"/>
  <c r="D369" i="5"/>
  <c r="C369" i="5"/>
  <c r="B369" i="5"/>
  <c r="R365" i="5"/>
  <c r="Q365" i="5"/>
  <c r="P365" i="5"/>
  <c r="O365" i="5"/>
  <c r="N365" i="5"/>
  <c r="M365" i="5"/>
  <c r="L365" i="5"/>
  <c r="K365" i="5"/>
  <c r="H365" i="5"/>
  <c r="G365" i="5"/>
  <c r="F365" i="5"/>
  <c r="E365" i="5"/>
  <c r="D365" i="5"/>
  <c r="C365" i="5"/>
  <c r="B365" i="5"/>
  <c r="R364" i="5"/>
  <c r="Q364" i="5"/>
  <c r="P364" i="5"/>
  <c r="O364" i="5"/>
  <c r="N364" i="5"/>
  <c r="M364" i="5"/>
  <c r="L364" i="5"/>
  <c r="K364" i="5"/>
  <c r="H364" i="5"/>
  <c r="G364" i="5"/>
  <c r="F364" i="5"/>
  <c r="E364" i="5"/>
  <c r="D364" i="5"/>
  <c r="C364" i="5"/>
  <c r="B364" i="5"/>
  <c r="R363" i="5"/>
  <c r="Q363" i="5"/>
  <c r="P363" i="5"/>
  <c r="O363" i="5"/>
  <c r="N363" i="5"/>
  <c r="M363" i="5"/>
  <c r="L363" i="5"/>
  <c r="K363" i="5"/>
  <c r="H363" i="5"/>
  <c r="G363" i="5"/>
  <c r="F363" i="5"/>
  <c r="E363" i="5"/>
  <c r="D363" i="5"/>
  <c r="C363" i="5"/>
  <c r="B363" i="5"/>
  <c r="R362" i="5"/>
  <c r="Q362" i="5"/>
  <c r="P362" i="5"/>
  <c r="O362" i="5"/>
  <c r="N362" i="5"/>
  <c r="M362" i="5"/>
  <c r="L362" i="5"/>
  <c r="K362" i="5"/>
  <c r="H362" i="5"/>
  <c r="G362" i="5"/>
  <c r="F362" i="5"/>
  <c r="E362" i="5"/>
  <c r="D362" i="5"/>
  <c r="C362" i="5"/>
  <c r="B362" i="5"/>
  <c r="R361" i="5"/>
  <c r="Q361" i="5"/>
  <c r="P361" i="5"/>
  <c r="O361" i="5"/>
  <c r="N361" i="5"/>
  <c r="M361" i="5"/>
  <c r="L361" i="5"/>
  <c r="K361" i="5"/>
  <c r="H361" i="5"/>
  <c r="G361" i="5"/>
  <c r="F361" i="5"/>
  <c r="E361" i="5"/>
  <c r="D361" i="5"/>
  <c r="C361" i="5"/>
  <c r="B361" i="5"/>
  <c r="R360" i="5"/>
  <c r="Q360" i="5"/>
  <c r="P360" i="5"/>
  <c r="O360" i="5"/>
  <c r="N360" i="5"/>
  <c r="M360" i="5"/>
  <c r="L360" i="5"/>
  <c r="K360" i="5"/>
  <c r="H360" i="5"/>
  <c r="G360" i="5"/>
  <c r="F360" i="5"/>
  <c r="E360" i="5"/>
  <c r="D360" i="5"/>
  <c r="C360" i="5"/>
  <c r="B360" i="5"/>
  <c r="R359" i="5"/>
  <c r="Q359" i="5"/>
  <c r="P359" i="5"/>
  <c r="O359" i="5"/>
  <c r="N359" i="5"/>
  <c r="M359" i="5"/>
  <c r="L359" i="5"/>
  <c r="K359" i="5"/>
  <c r="H359" i="5"/>
  <c r="G359" i="5"/>
  <c r="F359" i="5"/>
  <c r="E359" i="5"/>
  <c r="D359" i="5"/>
  <c r="C359" i="5"/>
  <c r="B359" i="5"/>
  <c r="R357" i="5"/>
  <c r="Q357" i="5"/>
  <c r="P357" i="5"/>
  <c r="O357" i="5"/>
  <c r="N357" i="5"/>
  <c r="M357" i="5"/>
  <c r="L357" i="5"/>
  <c r="K357" i="5"/>
  <c r="H357" i="5"/>
  <c r="G357" i="5"/>
  <c r="F357" i="5"/>
  <c r="E357" i="5"/>
  <c r="D357" i="5"/>
  <c r="C357" i="5"/>
  <c r="B357" i="5"/>
  <c r="G356" i="5"/>
  <c r="F356" i="5"/>
  <c r="R355" i="5"/>
  <c r="D41" i="3" s="1"/>
  <c r="O355" i="5"/>
  <c r="G355" i="5"/>
  <c r="F355" i="5"/>
  <c r="C355" i="5"/>
  <c r="R354" i="5"/>
  <c r="D40" i="3" s="1"/>
  <c r="P354" i="5"/>
  <c r="O354" i="5"/>
  <c r="N354" i="5"/>
  <c r="M354" i="5"/>
  <c r="G354" i="5"/>
  <c r="F354" i="5"/>
  <c r="E354" i="5"/>
  <c r="D354" i="5"/>
  <c r="C354" i="5"/>
  <c r="A353" i="5"/>
  <c r="R348" i="5"/>
  <c r="Q348" i="5"/>
  <c r="P348" i="5"/>
  <c r="O348" i="5"/>
  <c r="N348" i="5"/>
  <c r="M348" i="5"/>
  <c r="L348" i="5"/>
  <c r="K348" i="5"/>
  <c r="I348" i="5"/>
  <c r="H348" i="5"/>
  <c r="G348" i="5"/>
  <c r="F348" i="5"/>
  <c r="E348" i="5"/>
  <c r="D348" i="5"/>
  <c r="C348" i="5"/>
  <c r="B348" i="5"/>
  <c r="R344" i="5"/>
  <c r="Q344" i="5"/>
  <c r="P344" i="5"/>
  <c r="O344" i="5"/>
  <c r="N344" i="5"/>
  <c r="M344" i="5"/>
  <c r="L344" i="5"/>
  <c r="K344" i="5"/>
  <c r="I344" i="5"/>
  <c r="H344" i="5"/>
  <c r="G344" i="5"/>
  <c r="F344" i="5"/>
  <c r="E344" i="5"/>
  <c r="D344" i="5"/>
  <c r="C344" i="5"/>
  <c r="B344" i="5"/>
  <c r="R343" i="5"/>
  <c r="Q343" i="5"/>
  <c r="P343" i="5"/>
  <c r="O343" i="5"/>
  <c r="N343" i="5"/>
  <c r="M343" i="5"/>
  <c r="L343" i="5"/>
  <c r="K343" i="5"/>
  <c r="H343" i="5"/>
  <c r="G343" i="5"/>
  <c r="F343" i="5"/>
  <c r="E343" i="5"/>
  <c r="D343" i="5"/>
  <c r="C343" i="5"/>
  <c r="B343" i="5"/>
  <c r="R342" i="5"/>
  <c r="Q342" i="5"/>
  <c r="P342" i="5"/>
  <c r="O342" i="5"/>
  <c r="N342" i="5"/>
  <c r="M342" i="5"/>
  <c r="L342" i="5"/>
  <c r="K342" i="5"/>
  <c r="H342" i="5"/>
  <c r="G342" i="5"/>
  <c r="F342" i="5"/>
  <c r="E342" i="5"/>
  <c r="D342" i="5"/>
  <c r="C342" i="5"/>
  <c r="B342" i="5"/>
  <c r="R341" i="5"/>
  <c r="Q341" i="5"/>
  <c r="P341" i="5"/>
  <c r="O341" i="5"/>
  <c r="N341" i="5"/>
  <c r="M341" i="5"/>
  <c r="L341" i="5"/>
  <c r="K341" i="5"/>
  <c r="H341" i="5"/>
  <c r="G341" i="5"/>
  <c r="F341" i="5"/>
  <c r="E341" i="5"/>
  <c r="D341" i="5"/>
  <c r="C341" i="5"/>
  <c r="B341" i="5"/>
  <c r="R340" i="5"/>
  <c r="Q340" i="5"/>
  <c r="P340" i="5"/>
  <c r="O340" i="5"/>
  <c r="N340" i="5"/>
  <c r="M340" i="5"/>
  <c r="L340" i="5"/>
  <c r="K340" i="5"/>
  <c r="H340" i="5"/>
  <c r="G340" i="5"/>
  <c r="F340" i="5"/>
  <c r="E340" i="5"/>
  <c r="D340" i="5"/>
  <c r="C340" i="5"/>
  <c r="B340" i="5"/>
  <c r="R339" i="5"/>
  <c r="Q339" i="5"/>
  <c r="P339" i="5"/>
  <c r="O339" i="5"/>
  <c r="N339" i="5"/>
  <c r="M339" i="5"/>
  <c r="L339" i="5"/>
  <c r="K339" i="5"/>
  <c r="H339" i="5"/>
  <c r="G339" i="5"/>
  <c r="F339" i="5"/>
  <c r="E339" i="5"/>
  <c r="D339" i="5"/>
  <c r="C339" i="5"/>
  <c r="B339" i="5"/>
  <c r="R338" i="5"/>
  <c r="Q338" i="5"/>
  <c r="P338" i="5"/>
  <c r="O338" i="5"/>
  <c r="N338" i="5"/>
  <c r="M338" i="5"/>
  <c r="L338" i="5"/>
  <c r="K338" i="5"/>
  <c r="H338" i="5"/>
  <c r="G338" i="5"/>
  <c r="F338" i="5"/>
  <c r="E338" i="5"/>
  <c r="D338" i="5"/>
  <c r="C338" i="5"/>
  <c r="B338" i="5"/>
  <c r="R336" i="5"/>
  <c r="Q336" i="5"/>
  <c r="P336" i="5"/>
  <c r="O336" i="5"/>
  <c r="N336" i="5"/>
  <c r="M336" i="5"/>
  <c r="L336" i="5"/>
  <c r="K336" i="5"/>
  <c r="H336" i="5"/>
  <c r="G336" i="5"/>
  <c r="F336" i="5"/>
  <c r="E336" i="5"/>
  <c r="D336" i="5"/>
  <c r="C336" i="5"/>
  <c r="B336" i="5"/>
  <c r="G335" i="5"/>
  <c r="Q334" i="5"/>
  <c r="P334" i="5"/>
  <c r="H334" i="5"/>
  <c r="G334" i="5"/>
  <c r="Q333" i="5"/>
  <c r="P333" i="5"/>
  <c r="O333" i="5"/>
  <c r="N333" i="5"/>
  <c r="M333" i="5"/>
  <c r="H333" i="5"/>
  <c r="G333" i="5"/>
  <c r="F333" i="5"/>
  <c r="E333" i="5"/>
  <c r="D333" i="5"/>
  <c r="A332" i="5"/>
  <c r="R330" i="5"/>
  <c r="Q330" i="5"/>
  <c r="P330" i="5"/>
  <c r="O330" i="5"/>
  <c r="N330" i="5"/>
  <c r="M330" i="5"/>
  <c r="L330" i="5"/>
  <c r="K330" i="5"/>
  <c r="I330" i="5"/>
  <c r="H330" i="5"/>
  <c r="G330" i="5"/>
  <c r="F330" i="5"/>
  <c r="E330" i="5"/>
  <c r="D330" i="5"/>
  <c r="C330" i="5"/>
  <c r="B330" i="5"/>
  <c r="R326" i="5"/>
  <c r="Q326" i="5"/>
  <c r="P326" i="5"/>
  <c r="O326" i="5"/>
  <c r="N326" i="5"/>
  <c r="M326" i="5"/>
  <c r="L326" i="5"/>
  <c r="K326" i="5"/>
  <c r="I326" i="5"/>
  <c r="H326" i="5"/>
  <c r="G326" i="5"/>
  <c r="F326" i="5"/>
  <c r="E326" i="5"/>
  <c r="D326" i="5"/>
  <c r="C326" i="5"/>
  <c r="B326" i="5"/>
  <c r="R325" i="5"/>
  <c r="Q325" i="5"/>
  <c r="P325" i="5"/>
  <c r="O325" i="5"/>
  <c r="N325" i="5"/>
  <c r="M325" i="5"/>
  <c r="L325" i="5"/>
  <c r="K325" i="5"/>
  <c r="H325" i="5"/>
  <c r="G325" i="5"/>
  <c r="F325" i="5"/>
  <c r="E325" i="5"/>
  <c r="D325" i="5"/>
  <c r="C325" i="5"/>
  <c r="B325" i="5"/>
  <c r="R324" i="5"/>
  <c r="Q324" i="5"/>
  <c r="P324" i="5"/>
  <c r="O324" i="5"/>
  <c r="N324" i="5"/>
  <c r="M324" i="5"/>
  <c r="L324" i="5"/>
  <c r="K324" i="5"/>
  <c r="H324" i="5"/>
  <c r="G324" i="5"/>
  <c r="F324" i="5"/>
  <c r="E324" i="5"/>
  <c r="D324" i="5"/>
  <c r="C324" i="5"/>
  <c r="B324" i="5"/>
  <c r="R323" i="5"/>
  <c r="Q323" i="5"/>
  <c r="P323" i="5"/>
  <c r="O323" i="5"/>
  <c r="N323" i="5"/>
  <c r="M323" i="5"/>
  <c r="L323" i="5"/>
  <c r="K323" i="5"/>
  <c r="H323" i="5"/>
  <c r="G323" i="5"/>
  <c r="F323" i="5"/>
  <c r="E323" i="5"/>
  <c r="D323" i="5"/>
  <c r="C323" i="5"/>
  <c r="B323" i="5"/>
  <c r="R322" i="5"/>
  <c r="Q322" i="5"/>
  <c r="P322" i="5"/>
  <c r="O322" i="5"/>
  <c r="N322" i="5"/>
  <c r="M322" i="5"/>
  <c r="L322" i="5"/>
  <c r="K322" i="5"/>
  <c r="H322" i="5"/>
  <c r="G322" i="5"/>
  <c r="F322" i="5"/>
  <c r="E322" i="5"/>
  <c r="D322" i="5"/>
  <c r="C322" i="5"/>
  <c r="B322" i="5"/>
  <c r="R321" i="5"/>
  <c r="Q321" i="5"/>
  <c r="P321" i="5"/>
  <c r="O321" i="5"/>
  <c r="N321" i="5"/>
  <c r="M321" i="5"/>
  <c r="L321" i="5"/>
  <c r="K321" i="5"/>
  <c r="H321" i="5"/>
  <c r="G321" i="5"/>
  <c r="F321" i="5"/>
  <c r="E321" i="5"/>
  <c r="D321" i="5"/>
  <c r="C321" i="5"/>
  <c r="B321" i="5"/>
  <c r="R320" i="5"/>
  <c r="Q320" i="5"/>
  <c r="P320" i="5"/>
  <c r="O320" i="5"/>
  <c r="N320" i="5"/>
  <c r="M320" i="5"/>
  <c r="L320" i="5"/>
  <c r="K320" i="5"/>
  <c r="H320" i="5"/>
  <c r="G320" i="5"/>
  <c r="F320" i="5"/>
  <c r="E320" i="5"/>
  <c r="D320" i="5"/>
  <c r="C320" i="5"/>
  <c r="B320" i="5"/>
  <c r="R318" i="5"/>
  <c r="Q318" i="5"/>
  <c r="P318" i="5"/>
  <c r="O318" i="5"/>
  <c r="N318" i="5"/>
  <c r="M318" i="5"/>
  <c r="L318" i="5"/>
  <c r="K318" i="5"/>
  <c r="H318" i="5"/>
  <c r="G318" i="5"/>
  <c r="F318" i="5"/>
  <c r="E318" i="5"/>
  <c r="D318" i="5"/>
  <c r="C318" i="5"/>
  <c r="B318" i="5"/>
  <c r="G317" i="5"/>
  <c r="F317" i="5"/>
  <c r="P315" i="5"/>
  <c r="O315" i="5"/>
  <c r="N315" i="5"/>
  <c r="M315" i="5"/>
  <c r="G315" i="5"/>
  <c r="F315" i="5"/>
  <c r="E315" i="5"/>
  <c r="D315" i="5"/>
  <c r="C315" i="5"/>
  <c r="R290" i="5"/>
  <c r="Q290" i="5"/>
  <c r="Q426" i="5" s="1"/>
  <c r="P290" i="5"/>
  <c r="P426" i="5" s="1"/>
  <c r="O290" i="5"/>
  <c r="O426" i="5" s="1"/>
  <c r="N290" i="5"/>
  <c r="N426" i="5" s="1"/>
  <c r="M290" i="5"/>
  <c r="M426" i="5" s="1"/>
  <c r="L290" i="5"/>
  <c r="L426" i="5" s="1"/>
  <c r="K290" i="5"/>
  <c r="K426" i="5" s="1"/>
  <c r="H290" i="5"/>
  <c r="H426" i="5" s="1"/>
  <c r="G290" i="5"/>
  <c r="G426" i="5" s="1"/>
  <c r="F290" i="5"/>
  <c r="F426" i="5" s="1"/>
  <c r="E290" i="5"/>
  <c r="E426" i="5" s="1"/>
  <c r="D290" i="5"/>
  <c r="D426" i="5" s="1"/>
  <c r="C290" i="5"/>
  <c r="C426" i="5" s="1"/>
  <c r="B290" i="5"/>
  <c r="B426" i="5" s="1"/>
  <c r="R286" i="5"/>
  <c r="R422" i="5" s="1"/>
  <c r="Q286" i="5"/>
  <c r="Q422" i="5" s="1"/>
  <c r="P286" i="5"/>
  <c r="P422" i="5" s="1"/>
  <c r="O286" i="5"/>
  <c r="O422" i="5" s="1"/>
  <c r="N286" i="5"/>
  <c r="N422" i="5" s="1"/>
  <c r="M286" i="5"/>
  <c r="M422" i="5" s="1"/>
  <c r="L286" i="5"/>
  <c r="L422" i="5" s="1"/>
  <c r="K286" i="5"/>
  <c r="K422" i="5" s="1"/>
  <c r="H286" i="5"/>
  <c r="H422" i="5" s="1"/>
  <c r="G286" i="5"/>
  <c r="G422" i="5" s="1"/>
  <c r="F286" i="5"/>
  <c r="F422" i="5" s="1"/>
  <c r="E286" i="5"/>
  <c r="E422" i="5" s="1"/>
  <c r="D286" i="5"/>
  <c r="D422" i="5" s="1"/>
  <c r="C286" i="5"/>
  <c r="C422" i="5" s="1"/>
  <c r="B286" i="5"/>
  <c r="B422" i="5" s="1"/>
  <c r="R285" i="5"/>
  <c r="R421" i="5" s="1"/>
  <c r="Q285" i="5"/>
  <c r="Q421" i="5" s="1"/>
  <c r="P285" i="5"/>
  <c r="P421" i="5" s="1"/>
  <c r="O285" i="5"/>
  <c r="O421" i="5" s="1"/>
  <c r="N285" i="5"/>
  <c r="N421" i="5" s="1"/>
  <c r="M285" i="5"/>
  <c r="M421" i="5" s="1"/>
  <c r="L285" i="5"/>
  <c r="L421" i="5" s="1"/>
  <c r="K285" i="5"/>
  <c r="K421" i="5" s="1"/>
  <c r="H285" i="5"/>
  <c r="H421" i="5" s="1"/>
  <c r="G285" i="5"/>
  <c r="G421" i="5" s="1"/>
  <c r="F285" i="5"/>
  <c r="F421" i="5" s="1"/>
  <c r="E285" i="5"/>
  <c r="E421" i="5" s="1"/>
  <c r="D285" i="5"/>
  <c r="D421" i="5" s="1"/>
  <c r="C285" i="5"/>
  <c r="C421" i="5" s="1"/>
  <c r="B285" i="5"/>
  <c r="B421" i="5" s="1"/>
  <c r="R284" i="5"/>
  <c r="R420" i="5" s="1"/>
  <c r="Q284" i="5"/>
  <c r="Q420" i="5" s="1"/>
  <c r="P284" i="5"/>
  <c r="P420" i="5" s="1"/>
  <c r="O284" i="5"/>
  <c r="O420" i="5" s="1"/>
  <c r="N284" i="5"/>
  <c r="N420" i="5" s="1"/>
  <c r="M284" i="5"/>
  <c r="M420" i="5" s="1"/>
  <c r="L284" i="5"/>
  <c r="L420" i="5" s="1"/>
  <c r="K284" i="5"/>
  <c r="K420" i="5" s="1"/>
  <c r="H284" i="5"/>
  <c r="H420" i="5" s="1"/>
  <c r="G284" i="5"/>
  <c r="G420" i="5" s="1"/>
  <c r="F284" i="5"/>
  <c r="F420" i="5" s="1"/>
  <c r="E284" i="5"/>
  <c r="E420" i="5" s="1"/>
  <c r="D284" i="5"/>
  <c r="D420" i="5" s="1"/>
  <c r="C284" i="5"/>
  <c r="C420" i="5" s="1"/>
  <c r="B284" i="5"/>
  <c r="B420" i="5" s="1"/>
  <c r="R283" i="5"/>
  <c r="R419" i="5" s="1"/>
  <c r="Q283" i="5"/>
  <c r="Q419" i="5" s="1"/>
  <c r="P283" i="5"/>
  <c r="P419" i="5" s="1"/>
  <c r="O283" i="5"/>
  <c r="O419" i="5" s="1"/>
  <c r="N283" i="5"/>
  <c r="N419" i="5" s="1"/>
  <c r="M283" i="5"/>
  <c r="M419" i="5" s="1"/>
  <c r="L283" i="5"/>
  <c r="L419" i="5" s="1"/>
  <c r="K283" i="5"/>
  <c r="K419" i="5" s="1"/>
  <c r="H283" i="5"/>
  <c r="H419" i="5" s="1"/>
  <c r="G283" i="5"/>
  <c r="G419" i="5" s="1"/>
  <c r="F283" i="5"/>
  <c r="F419" i="5" s="1"/>
  <c r="E283" i="5"/>
  <c r="E419" i="5" s="1"/>
  <c r="D283" i="5"/>
  <c r="D419" i="5" s="1"/>
  <c r="C283" i="5"/>
  <c r="C419" i="5" s="1"/>
  <c r="B283" i="5"/>
  <c r="B419" i="5" s="1"/>
  <c r="R282" i="5"/>
  <c r="Q282" i="5"/>
  <c r="Q418" i="5" s="1"/>
  <c r="P282" i="5"/>
  <c r="P418" i="5" s="1"/>
  <c r="O282" i="5"/>
  <c r="O418" i="5" s="1"/>
  <c r="N282" i="5"/>
  <c r="N418" i="5" s="1"/>
  <c r="M282" i="5"/>
  <c r="M418" i="5" s="1"/>
  <c r="L282" i="5"/>
  <c r="L418" i="5" s="1"/>
  <c r="K282" i="5"/>
  <c r="K418" i="5" s="1"/>
  <c r="H282" i="5"/>
  <c r="H418" i="5" s="1"/>
  <c r="G282" i="5"/>
  <c r="G418" i="5" s="1"/>
  <c r="F282" i="5"/>
  <c r="F418" i="5" s="1"/>
  <c r="E282" i="5"/>
  <c r="E418" i="5" s="1"/>
  <c r="D282" i="5"/>
  <c r="D418" i="5" s="1"/>
  <c r="C282" i="5"/>
  <c r="C418" i="5" s="1"/>
  <c r="B282" i="5"/>
  <c r="B418" i="5" s="1"/>
  <c r="R281" i="5"/>
  <c r="Q281" i="5"/>
  <c r="Q417" i="5" s="1"/>
  <c r="P281" i="5"/>
  <c r="P417" i="5" s="1"/>
  <c r="O281" i="5"/>
  <c r="O417" i="5" s="1"/>
  <c r="N281" i="5"/>
  <c r="N417" i="5" s="1"/>
  <c r="M281" i="5"/>
  <c r="M417" i="5" s="1"/>
  <c r="L281" i="5"/>
  <c r="L417" i="5" s="1"/>
  <c r="K281" i="5"/>
  <c r="K417" i="5" s="1"/>
  <c r="H281" i="5"/>
  <c r="H417" i="5" s="1"/>
  <c r="G281" i="5"/>
  <c r="G417" i="5" s="1"/>
  <c r="F281" i="5"/>
  <c r="F417" i="5" s="1"/>
  <c r="E281" i="5"/>
  <c r="E417" i="5" s="1"/>
  <c r="D281" i="5"/>
  <c r="D417" i="5" s="1"/>
  <c r="C281" i="5"/>
  <c r="C417" i="5" s="1"/>
  <c r="B281" i="5"/>
  <c r="B417" i="5" s="1"/>
  <c r="R280" i="5"/>
  <c r="Q280" i="5"/>
  <c r="Q416" i="5" s="1"/>
  <c r="P280" i="5"/>
  <c r="P416" i="5" s="1"/>
  <c r="O280" i="5"/>
  <c r="O416" i="5" s="1"/>
  <c r="N280" i="5"/>
  <c r="N416" i="5" s="1"/>
  <c r="M280" i="5"/>
  <c r="M416" i="5" s="1"/>
  <c r="L280" i="5"/>
  <c r="L416" i="5" s="1"/>
  <c r="K280" i="5"/>
  <c r="K416" i="5" s="1"/>
  <c r="H280" i="5"/>
  <c r="H416" i="5" s="1"/>
  <c r="G280" i="5"/>
  <c r="G416" i="5" s="1"/>
  <c r="F280" i="5"/>
  <c r="F416" i="5" s="1"/>
  <c r="E280" i="5"/>
  <c r="E416" i="5" s="1"/>
  <c r="D280" i="5"/>
  <c r="D416" i="5" s="1"/>
  <c r="C280" i="5"/>
  <c r="C416" i="5" s="1"/>
  <c r="B280" i="5"/>
  <c r="B416" i="5" s="1"/>
  <c r="R279" i="5"/>
  <c r="Q279" i="5"/>
  <c r="P279" i="5"/>
  <c r="O279" i="5"/>
  <c r="N279" i="5"/>
  <c r="M279" i="5"/>
  <c r="L279" i="5"/>
  <c r="K279" i="5"/>
  <c r="H279" i="5"/>
  <c r="G279" i="5"/>
  <c r="F279" i="5"/>
  <c r="E279" i="5"/>
  <c r="D279" i="5"/>
  <c r="C279" i="5"/>
  <c r="B279" i="5"/>
  <c r="R278" i="5"/>
  <c r="Q278" i="5"/>
  <c r="P278" i="5"/>
  <c r="O278" i="5"/>
  <c r="N278" i="5"/>
  <c r="M278" i="5"/>
  <c r="L278" i="5"/>
  <c r="K278" i="5"/>
  <c r="I278" i="5"/>
  <c r="H278" i="5"/>
  <c r="G278" i="5"/>
  <c r="F278" i="5"/>
  <c r="E278" i="5"/>
  <c r="D278" i="5"/>
  <c r="C278" i="5"/>
  <c r="B278" i="5"/>
  <c r="R277" i="5"/>
  <c r="Q277" i="5"/>
  <c r="P277" i="5"/>
  <c r="O277" i="5"/>
  <c r="N277" i="5"/>
  <c r="M277" i="5"/>
  <c r="L277" i="5"/>
  <c r="K277" i="5"/>
  <c r="I277" i="5"/>
  <c r="H277" i="5"/>
  <c r="G277" i="5"/>
  <c r="F277" i="5"/>
  <c r="E277" i="5"/>
  <c r="D277" i="5"/>
  <c r="C277" i="5"/>
  <c r="B277" i="5"/>
  <c r="R276" i="5"/>
  <c r="Q276" i="5"/>
  <c r="P276" i="5"/>
  <c r="O276" i="5"/>
  <c r="N276" i="5"/>
  <c r="M276" i="5"/>
  <c r="L276" i="5"/>
  <c r="K276" i="5"/>
  <c r="H276" i="5"/>
  <c r="G276" i="5"/>
  <c r="F276" i="5"/>
  <c r="E276" i="5"/>
  <c r="D276" i="5"/>
  <c r="C276" i="5"/>
  <c r="B276" i="5"/>
  <c r="R275" i="5"/>
  <c r="R415" i="5" s="1"/>
  <c r="Q275" i="5"/>
  <c r="Q415" i="5" s="1"/>
  <c r="P275" i="5"/>
  <c r="P415" i="5" s="1"/>
  <c r="O275" i="5"/>
  <c r="O415" i="5" s="1"/>
  <c r="N275" i="5"/>
  <c r="N415" i="5" s="1"/>
  <c r="M275" i="5"/>
  <c r="M415" i="5" s="1"/>
  <c r="L275" i="5"/>
  <c r="L415" i="5" s="1"/>
  <c r="K275" i="5"/>
  <c r="K415" i="5" s="1"/>
  <c r="H275" i="5"/>
  <c r="H415" i="5" s="1"/>
  <c r="G275" i="5"/>
  <c r="F275" i="5"/>
  <c r="E275" i="5"/>
  <c r="E415" i="5" s="1"/>
  <c r="D275" i="5"/>
  <c r="D415" i="5" s="1"/>
  <c r="C275" i="5"/>
  <c r="C415" i="5" s="1"/>
  <c r="B275" i="5"/>
  <c r="B415" i="5" s="1"/>
  <c r="R274" i="5"/>
  <c r="Q274" i="5"/>
  <c r="P274" i="5"/>
  <c r="O274" i="5"/>
  <c r="N274" i="5"/>
  <c r="M274" i="5"/>
  <c r="L274" i="5"/>
  <c r="K274" i="5"/>
  <c r="H274" i="5"/>
  <c r="G274" i="5"/>
  <c r="F274" i="5"/>
  <c r="E274" i="5"/>
  <c r="D274" i="5"/>
  <c r="C274" i="5"/>
  <c r="B274" i="5"/>
  <c r="R273" i="5"/>
  <c r="Q273" i="5"/>
  <c r="P273" i="5"/>
  <c r="O273" i="5"/>
  <c r="N273" i="5"/>
  <c r="M273" i="5"/>
  <c r="L273" i="5"/>
  <c r="K273" i="5"/>
  <c r="H273" i="5"/>
  <c r="G273" i="5"/>
  <c r="F273" i="5"/>
  <c r="E273" i="5"/>
  <c r="D273" i="5"/>
  <c r="C273" i="5"/>
  <c r="B273" i="5"/>
  <c r="R272" i="5"/>
  <c r="Q272" i="5"/>
  <c r="P272" i="5"/>
  <c r="O272" i="5"/>
  <c r="N272" i="5"/>
  <c r="M272" i="5"/>
  <c r="L272" i="5"/>
  <c r="K272" i="5"/>
  <c r="H272" i="5"/>
  <c r="G272" i="5"/>
  <c r="F272" i="5"/>
  <c r="E272" i="5"/>
  <c r="D272" i="5"/>
  <c r="C272" i="5"/>
  <c r="B272" i="5"/>
  <c r="R271" i="5"/>
  <c r="Q271" i="5"/>
  <c r="P271" i="5"/>
  <c r="O271" i="5"/>
  <c r="N271" i="5"/>
  <c r="M271" i="5"/>
  <c r="L271" i="5"/>
  <c r="K271" i="5"/>
  <c r="H271" i="5"/>
  <c r="G271" i="5"/>
  <c r="F271" i="5"/>
  <c r="E271" i="5"/>
  <c r="D271" i="5"/>
  <c r="C271" i="5"/>
  <c r="B271" i="5"/>
  <c r="R270" i="5"/>
  <c r="Q270" i="5"/>
  <c r="Q414" i="5" s="1"/>
  <c r="P270" i="5"/>
  <c r="P414" i="5" s="1"/>
  <c r="O270" i="5"/>
  <c r="O414" i="5" s="1"/>
  <c r="N270" i="5"/>
  <c r="N414" i="5" s="1"/>
  <c r="M270" i="5"/>
  <c r="M414" i="5" s="1"/>
  <c r="L270" i="5"/>
  <c r="L414" i="5" s="1"/>
  <c r="K270" i="5"/>
  <c r="K414" i="5" s="1"/>
  <c r="H270" i="5"/>
  <c r="G270" i="5"/>
  <c r="F270" i="5"/>
  <c r="E270" i="5"/>
  <c r="D270" i="5"/>
  <c r="C270" i="5"/>
  <c r="B270" i="5"/>
  <c r="R269" i="5"/>
  <c r="Q269" i="5"/>
  <c r="P269" i="5"/>
  <c r="O269" i="5"/>
  <c r="N269" i="5"/>
  <c r="M269" i="5"/>
  <c r="L269" i="5"/>
  <c r="K269" i="5"/>
  <c r="H269" i="5"/>
  <c r="G269" i="5"/>
  <c r="F269" i="5"/>
  <c r="E269" i="5"/>
  <c r="D269" i="5"/>
  <c r="C269" i="5"/>
  <c r="B269" i="5"/>
  <c r="R268" i="5"/>
  <c r="Q268" i="5"/>
  <c r="P268" i="5"/>
  <c r="O268" i="5"/>
  <c r="N268" i="5"/>
  <c r="M268" i="5"/>
  <c r="L268" i="5"/>
  <c r="K268" i="5"/>
  <c r="H268" i="5"/>
  <c r="G268" i="5"/>
  <c r="F268" i="5"/>
  <c r="E268" i="5"/>
  <c r="D268" i="5"/>
  <c r="C268" i="5"/>
  <c r="B268" i="5"/>
  <c r="R267" i="5"/>
  <c r="Q267" i="5"/>
  <c r="P267" i="5"/>
  <c r="O267" i="5"/>
  <c r="N267" i="5"/>
  <c r="M267" i="5"/>
  <c r="L267" i="5"/>
  <c r="K267" i="5"/>
  <c r="H267" i="5"/>
  <c r="G267" i="5"/>
  <c r="F267" i="5"/>
  <c r="E267" i="5"/>
  <c r="D267" i="5"/>
  <c r="C267" i="5"/>
  <c r="B267" i="5"/>
  <c r="R266" i="5"/>
  <c r="Q266" i="5"/>
  <c r="P266" i="5"/>
  <c r="O266" i="5"/>
  <c r="N266" i="5"/>
  <c r="M266" i="5"/>
  <c r="L266" i="5"/>
  <c r="K266" i="5"/>
  <c r="H266" i="5"/>
  <c r="G266" i="5"/>
  <c r="F266" i="5"/>
  <c r="E266" i="5"/>
  <c r="D266" i="5"/>
  <c r="C266" i="5"/>
  <c r="B266" i="5"/>
  <c r="R265" i="5"/>
  <c r="Q265" i="5"/>
  <c r="P265" i="5"/>
  <c r="O265" i="5"/>
  <c r="N265" i="5"/>
  <c r="M265" i="5"/>
  <c r="L265" i="5"/>
  <c r="K265" i="5"/>
  <c r="H265" i="5"/>
  <c r="G265" i="5"/>
  <c r="F265" i="5"/>
  <c r="E265" i="5"/>
  <c r="D265" i="5"/>
  <c r="C265" i="5"/>
  <c r="B265" i="5"/>
  <c r="R264" i="5"/>
  <c r="Q264" i="5"/>
  <c r="P264" i="5"/>
  <c r="O264" i="5"/>
  <c r="N264" i="5"/>
  <c r="M264" i="5"/>
  <c r="L264" i="5"/>
  <c r="K264" i="5"/>
  <c r="H264" i="5"/>
  <c r="G264" i="5"/>
  <c r="F264" i="5"/>
  <c r="E264" i="5"/>
  <c r="D264" i="5"/>
  <c r="C264" i="5"/>
  <c r="B264" i="5"/>
  <c r="R263" i="5"/>
  <c r="Q263" i="5"/>
  <c r="P263" i="5"/>
  <c r="O263" i="5"/>
  <c r="N263" i="5"/>
  <c r="M263" i="5"/>
  <c r="L263" i="5"/>
  <c r="K263" i="5"/>
  <c r="H263" i="5"/>
  <c r="G263" i="5"/>
  <c r="F263" i="5"/>
  <c r="E263" i="5"/>
  <c r="D263" i="5"/>
  <c r="C263" i="5"/>
  <c r="B263" i="5"/>
  <c r="R262" i="5"/>
  <c r="Q262" i="5"/>
  <c r="P262" i="5"/>
  <c r="O262" i="5"/>
  <c r="N262" i="5"/>
  <c r="M262" i="5"/>
  <c r="L262" i="5"/>
  <c r="K262" i="5"/>
  <c r="H262" i="5"/>
  <c r="G262" i="5"/>
  <c r="F262" i="5"/>
  <c r="E262" i="5"/>
  <c r="D262" i="5"/>
  <c r="C262" i="5"/>
  <c r="B262" i="5"/>
  <c r="Q261" i="5"/>
  <c r="P261" i="5"/>
  <c r="O261" i="5"/>
  <c r="N261" i="5"/>
  <c r="M261" i="5"/>
  <c r="L261" i="5"/>
  <c r="K261" i="5"/>
  <c r="H261" i="5"/>
  <c r="G261" i="5"/>
  <c r="F261" i="5"/>
  <c r="E261" i="5"/>
  <c r="D261" i="5"/>
  <c r="C261" i="5"/>
  <c r="B261" i="5"/>
  <c r="Q260" i="5"/>
  <c r="P260" i="5"/>
  <c r="O260" i="5"/>
  <c r="N260" i="5"/>
  <c r="M260" i="5"/>
  <c r="L260" i="5"/>
  <c r="K260" i="5"/>
  <c r="H260" i="5"/>
  <c r="G260" i="5"/>
  <c r="F260" i="5"/>
  <c r="E260" i="5"/>
  <c r="D260" i="5"/>
  <c r="C260" i="5"/>
  <c r="B260" i="5"/>
  <c r="Q259" i="5"/>
  <c r="P259" i="5"/>
  <c r="O259" i="5"/>
  <c r="N259" i="5"/>
  <c r="M259" i="5"/>
  <c r="L259" i="5"/>
  <c r="K259" i="5"/>
  <c r="H259" i="5"/>
  <c r="G259" i="5"/>
  <c r="F259" i="5"/>
  <c r="E259" i="5"/>
  <c r="D259" i="5"/>
  <c r="C259" i="5"/>
  <c r="B259" i="5"/>
  <c r="Q258" i="5"/>
  <c r="P258" i="5"/>
  <c r="O258" i="5"/>
  <c r="N258" i="5"/>
  <c r="M258" i="5"/>
  <c r="L258" i="5"/>
  <c r="K258" i="5"/>
  <c r="H258" i="5"/>
  <c r="G258" i="5"/>
  <c r="F258" i="5"/>
  <c r="E258" i="5"/>
  <c r="D258" i="5"/>
  <c r="C258" i="5"/>
  <c r="B258" i="5"/>
  <c r="Q257" i="5"/>
  <c r="P257" i="5"/>
  <c r="O257" i="5"/>
  <c r="N257" i="5"/>
  <c r="M257" i="5"/>
  <c r="L257" i="5"/>
  <c r="K257" i="5"/>
  <c r="H257" i="5"/>
  <c r="G257" i="5"/>
  <c r="F257" i="5"/>
  <c r="E257" i="5"/>
  <c r="D257" i="5"/>
  <c r="C257" i="5"/>
  <c r="B257" i="5"/>
  <c r="Q256" i="5"/>
  <c r="P256" i="5"/>
  <c r="O256" i="5"/>
  <c r="N256" i="5"/>
  <c r="M256" i="5"/>
  <c r="L256" i="5"/>
  <c r="K256" i="5"/>
  <c r="H256" i="5"/>
  <c r="G256" i="5"/>
  <c r="F256" i="5"/>
  <c r="E256" i="5"/>
  <c r="D256" i="5"/>
  <c r="C256" i="5"/>
  <c r="B256" i="5"/>
  <c r="Q255" i="5"/>
  <c r="P255" i="5"/>
  <c r="O255" i="5"/>
  <c r="N255" i="5"/>
  <c r="M255" i="5"/>
  <c r="L255" i="5"/>
  <c r="K255" i="5"/>
  <c r="H255" i="5"/>
  <c r="G255" i="5"/>
  <c r="F255" i="5"/>
  <c r="E255" i="5"/>
  <c r="D255" i="5"/>
  <c r="C255" i="5"/>
  <c r="B255" i="5"/>
  <c r="Q254" i="5"/>
  <c r="P254" i="5"/>
  <c r="O254" i="5"/>
  <c r="N254" i="5"/>
  <c r="M254" i="5"/>
  <c r="L254" i="5"/>
  <c r="K254" i="5"/>
  <c r="H254" i="5"/>
  <c r="G254" i="5"/>
  <c r="F254" i="5"/>
  <c r="E254" i="5"/>
  <c r="D254" i="5"/>
  <c r="C254" i="5"/>
  <c r="B254" i="5"/>
  <c r="Q253" i="5"/>
  <c r="P253" i="5"/>
  <c r="O253" i="5"/>
  <c r="N253" i="5"/>
  <c r="M253" i="5"/>
  <c r="L253" i="5"/>
  <c r="K253" i="5"/>
  <c r="H253" i="5"/>
  <c r="G253" i="5"/>
  <c r="F253" i="5"/>
  <c r="E253" i="5"/>
  <c r="D253" i="5"/>
  <c r="C253" i="5"/>
  <c r="B253" i="5"/>
  <c r="Q252" i="5"/>
  <c r="P252" i="5"/>
  <c r="O252" i="5"/>
  <c r="N252" i="5"/>
  <c r="M252" i="5"/>
  <c r="L252" i="5"/>
  <c r="K252" i="5"/>
  <c r="H252" i="5"/>
  <c r="G252" i="5"/>
  <c r="F252" i="5"/>
  <c r="E252" i="5"/>
  <c r="D252" i="5"/>
  <c r="C252" i="5"/>
  <c r="B252" i="5"/>
  <c r="Q251" i="5"/>
  <c r="P251" i="5"/>
  <c r="O251" i="5"/>
  <c r="N251" i="5"/>
  <c r="M251" i="5"/>
  <c r="L251" i="5"/>
  <c r="K251" i="5"/>
  <c r="H251" i="5"/>
  <c r="G251" i="5"/>
  <c r="F251" i="5"/>
  <c r="E251" i="5"/>
  <c r="D251" i="5"/>
  <c r="C251" i="5"/>
  <c r="Q250" i="5"/>
  <c r="P250" i="5"/>
  <c r="O250" i="5"/>
  <c r="N250" i="5"/>
  <c r="M250" i="5"/>
  <c r="L250" i="5"/>
  <c r="K250" i="5"/>
  <c r="H250" i="5"/>
  <c r="G250" i="5"/>
  <c r="F250" i="5"/>
  <c r="E250" i="5"/>
  <c r="D250" i="5"/>
  <c r="C250" i="5"/>
  <c r="B250" i="5"/>
  <c r="Q249" i="5"/>
  <c r="P249" i="5"/>
  <c r="O249" i="5"/>
  <c r="N249" i="5"/>
  <c r="M249" i="5"/>
  <c r="L249" i="5"/>
  <c r="K249" i="5"/>
  <c r="H249" i="5"/>
  <c r="G249" i="5"/>
  <c r="F249" i="5"/>
  <c r="E249" i="5"/>
  <c r="D249" i="5"/>
  <c r="C249" i="5"/>
  <c r="B249" i="5"/>
  <c r="Q248" i="5"/>
  <c r="P248" i="5"/>
  <c r="O248" i="5"/>
  <c r="N248" i="5"/>
  <c r="M248" i="5"/>
  <c r="L248" i="5"/>
  <c r="K248" i="5"/>
  <c r="H248" i="5"/>
  <c r="G248" i="5"/>
  <c r="F248" i="5"/>
  <c r="E248" i="5"/>
  <c r="D248" i="5"/>
  <c r="C248" i="5"/>
  <c r="B248" i="5"/>
  <c r="Q247" i="5"/>
  <c r="P247" i="5"/>
  <c r="O247" i="5"/>
  <c r="N247" i="5"/>
  <c r="M247" i="5"/>
  <c r="L247" i="5"/>
  <c r="K247" i="5"/>
  <c r="H247" i="5"/>
  <c r="G247" i="5"/>
  <c r="F247" i="5"/>
  <c r="E247" i="5"/>
  <c r="D247" i="5"/>
  <c r="C247" i="5"/>
  <c r="B247" i="5"/>
  <c r="Q246" i="5"/>
  <c r="P246" i="5"/>
  <c r="O246" i="5"/>
  <c r="N246" i="5"/>
  <c r="M246" i="5"/>
  <c r="L246" i="5"/>
  <c r="K246" i="5"/>
  <c r="H246" i="5"/>
  <c r="G246" i="5"/>
  <c r="F246" i="5"/>
  <c r="E246" i="5"/>
  <c r="D246" i="5"/>
  <c r="C246" i="5"/>
  <c r="B246" i="5"/>
  <c r="Q245" i="5"/>
  <c r="P245" i="5"/>
  <c r="O245" i="5"/>
  <c r="N245" i="5"/>
  <c r="M245" i="5"/>
  <c r="L245" i="5"/>
  <c r="K245" i="5"/>
  <c r="H245" i="5"/>
  <c r="G245" i="5"/>
  <c r="F245" i="5"/>
  <c r="E245" i="5"/>
  <c r="D245" i="5"/>
  <c r="C245" i="5"/>
  <c r="B245" i="5"/>
  <c r="I242" i="5"/>
  <c r="F37" i="3" s="1"/>
  <c r="I238" i="5"/>
  <c r="F33" i="3" s="1"/>
  <c r="I237" i="5"/>
  <c r="F32" i="3" s="1"/>
  <c r="I236" i="5"/>
  <c r="I235" i="5"/>
  <c r="F30" i="3" s="1"/>
  <c r="I234" i="5"/>
  <c r="I400" i="5" s="1"/>
  <c r="I233" i="5"/>
  <c r="F28" i="3" s="1"/>
  <c r="I232" i="5"/>
  <c r="I231" i="5"/>
  <c r="I228" i="5"/>
  <c r="I227" i="5"/>
  <c r="I226" i="5"/>
  <c r="I225" i="5"/>
  <c r="I224" i="5"/>
  <c r="I223" i="5"/>
  <c r="I222" i="5"/>
  <c r="I221" i="5"/>
  <c r="I220" i="5"/>
  <c r="I219" i="5"/>
  <c r="I218" i="5"/>
  <c r="I217" i="5"/>
  <c r="I216" i="5"/>
  <c r="I215" i="5"/>
  <c r="I214" i="5"/>
  <c r="R213" i="5"/>
  <c r="I213" i="5"/>
  <c r="R212" i="5"/>
  <c r="I212" i="5"/>
  <c r="R211" i="5"/>
  <c r="I211" i="5"/>
  <c r="R210" i="5"/>
  <c r="I210" i="5"/>
  <c r="R209" i="5"/>
  <c r="I209" i="5"/>
  <c r="R208" i="5"/>
  <c r="I208" i="5"/>
  <c r="R207" i="5"/>
  <c r="I207" i="5"/>
  <c r="R206" i="5"/>
  <c r="I206" i="5"/>
  <c r="R205" i="5"/>
  <c r="I205" i="5"/>
  <c r="R204" i="5"/>
  <c r="I204" i="5"/>
  <c r="R203" i="5"/>
  <c r="I203" i="5"/>
  <c r="R202" i="5"/>
  <c r="I202" i="5"/>
  <c r="R201" i="5"/>
  <c r="I201" i="5"/>
  <c r="R200" i="5"/>
  <c r="I200" i="5"/>
  <c r="R199" i="5"/>
  <c r="I199" i="5"/>
  <c r="R198" i="5"/>
  <c r="I198" i="5"/>
  <c r="R197" i="5"/>
  <c r="I197" i="5"/>
  <c r="I194" i="5"/>
  <c r="I387" i="5" s="1"/>
  <c r="I190" i="5"/>
  <c r="I383" i="5" s="1"/>
  <c r="I189" i="5"/>
  <c r="I382" i="5" s="1"/>
  <c r="I188" i="5"/>
  <c r="E31" i="3" s="1"/>
  <c r="I187" i="5"/>
  <c r="I380" i="5" s="1"/>
  <c r="I186" i="5"/>
  <c r="I379" i="5" s="1"/>
  <c r="I185" i="5"/>
  <c r="I378" i="5" s="1"/>
  <c r="I184" i="5"/>
  <c r="E27" i="3" s="1"/>
  <c r="I183" i="5"/>
  <c r="I180" i="5"/>
  <c r="I179" i="5"/>
  <c r="I178" i="5"/>
  <c r="I177" i="5"/>
  <c r="I176" i="5"/>
  <c r="I175" i="5"/>
  <c r="I174" i="5"/>
  <c r="I173" i="5"/>
  <c r="I172" i="5"/>
  <c r="I171" i="5"/>
  <c r="I170" i="5"/>
  <c r="I169" i="5"/>
  <c r="I168" i="5"/>
  <c r="I167" i="5"/>
  <c r="I166" i="5"/>
  <c r="R165" i="5"/>
  <c r="I165" i="5"/>
  <c r="R164" i="5"/>
  <c r="I164" i="5"/>
  <c r="R163" i="5"/>
  <c r="I163" i="5"/>
  <c r="R162" i="5"/>
  <c r="I162" i="5"/>
  <c r="R161" i="5"/>
  <c r="I161" i="5"/>
  <c r="R160" i="5"/>
  <c r="I160" i="5"/>
  <c r="R159" i="5"/>
  <c r="I159" i="5"/>
  <c r="R158" i="5"/>
  <c r="I158" i="5"/>
  <c r="R157" i="5"/>
  <c r="I157" i="5"/>
  <c r="R156" i="5"/>
  <c r="I156" i="5"/>
  <c r="R155" i="5"/>
  <c r="B155" i="5"/>
  <c r="R154" i="5"/>
  <c r="I154" i="5"/>
  <c r="R153" i="5"/>
  <c r="I153" i="5"/>
  <c r="R152" i="5"/>
  <c r="I152" i="5"/>
  <c r="R151" i="5"/>
  <c r="I151" i="5"/>
  <c r="R150" i="5"/>
  <c r="I150" i="5"/>
  <c r="R149" i="5"/>
  <c r="I149" i="5"/>
  <c r="I146" i="5"/>
  <c r="I369" i="5" s="1"/>
  <c r="I142" i="5"/>
  <c r="I141" i="5"/>
  <c r="I364" i="5" s="1"/>
  <c r="I140" i="5"/>
  <c r="I363" i="5" s="1"/>
  <c r="I139" i="5"/>
  <c r="D30" i="3" s="1"/>
  <c r="I138" i="5"/>
  <c r="I137" i="5"/>
  <c r="I360" i="5" s="1"/>
  <c r="I136" i="5"/>
  <c r="I359" i="5" s="1"/>
  <c r="I135" i="5"/>
  <c r="I132" i="5"/>
  <c r="I131" i="5"/>
  <c r="I130" i="5"/>
  <c r="I129" i="5"/>
  <c r="I128" i="5"/>
  <c r="I127" i="5"/>
  <c r="I126" i="5"/>
  <c r="I125" i="5"/>
  <c r="I124" i="5"/>
  <c r="I123" i="5"/>
  <c r="I122" i="5"/>
  <c r="I121" i="5"/>
  <c r="I120" i="5"/>
  <c r="I119" i="5"/>
  <c r="I118" i="5"/>
  <c r="I116" i="5"/>
  <c r="I115" i="5"/>
  <c r="I114" i="5"/>
  <c r="I113" i="5"/>
  <c r="I112" i="5"/>
  <c r="I111" i="5"/>
  <c r="R110" i="5"/>
  <c r="I110" i="5"/>
  <c r="R109" i="5"/>
  <c r="I109" i="5"/>
  <c r="R108" i="5"/>
  <c r="I108" i="5"/>
  <c r="R107" i="5"/>
  <c r="I107" i="5"/>
  <c r="R106" i="5"/>
  <c r="I106" i="5"/>
  <c r="R105" i="5"/>
  <c r="I105" i="5"/>
  <c r="R104" i="5"/>
  <c r="I104" i="5"/>
  <c r="R103" i="5"/>
  <c r="I103" i="5"/>
  <c r="I102" i="5"/>
  <c r="I101" i="5"/>
  <c r="I93" i="5"/>
  <c r="I92" i="5"/>
  <c r="I342" i="5" s="1"/>
  <c r="I91" i="5"/>
  <c r="I341" i="5" s="1"/>
  <c r="I90" i="5"/>
  <c r="I89" i="5"/>
  <c r="I88" i="5"/>
  <c r="C27" i="3" s="1"/>
  <c r="I84" i="5"/>
  <c r="I337" i="5" s="1"/>
  <c r="I82" i="5"/>
  <c r="I81" i="5"/>
  <c r="I80" i="5"/>
  <c r="I79" i="5"/>
  <c r="I78" i="5"/>
  <c r="I77" i="5"/>
  <c r="I76" i="5"/>
  <c r="I75" i="5"/>
  <c r="I74" i="5"/>
  <c r="I73" i="5"/>
  <c r="R68" i="5"/>
  <c r="R334" i="5" s="1"/>
  <c r="C41" i="3" s="1"/>
  <c r="I68" i="5"/>
  <c r="I334" i="5" s="1"/>
  <c r="C23" i="3" s="1"/>
  <c r="R67" i="5"/>
  <c r="I67" i="5"/>
  <c r="R66" i="5"/>
  <c r="I66" i="5"/>
  <c r="R65" i="5"/>
  <c r="I65" i="5"/>
  <c r="R64" i="5"/>
  <c r="I64" i="5"/>
  <c r="R63" i="5"/>
  <c r="I63" i="5"/>
  <c r="R61" i="5"/>
  <c r="I61" i="5"/>
  <c r="R60" i="5"/>
  <c r="I60" i="5"/>
  <c r="R59" i="5"/>
  <c r="I59" i="5"/>
  <c r="R58" i="5"/>
  <c r="I58" i="5"/>
  <c r="R57" i="5"/>
  <c r="I57" i="5"/>
  <c r="R56" i="5"/>
  <c r="I56" i="5"/>
  <c r="R55" i="5"/>
  <c r="I55" i="5"/>
  <c r="R54" i="5"/>
  <c r="I54" i="5"/>
  <c r="R53" i="5"/>
  <c r="I53" i="5"/>
  <c r="I45" i="5"/>
  <c r="B32" i="3" s="1"/>
  <c r="I44" i="5"/>
  <c r="I324" i="5" s="1"/>
  <c r="I43" i="5"/>
  <c r="B30" i="3" s="1"/>
  <c r="I42" i="5"/>
  <c r="I322" i="5" s="1"/>
  <c r="I41" i="5"/>
  <c r="B28" i="3" s="1"/>
  <c r="I40" i="5"/>
  <c r="I320" i="5" s="1"/>
  <c r="I36" i="5"/>
  <c r="I34" i="5"/>
  <c r="AB33" i="5"/>
  <c r="I33" i="5"/>
  <c r="AB32" i="5"/>
  <c r="I32" i="5"/>
  <c r="AB31" i="5"/>
  <c r="I31" i="5"/>
  <c r="AB30" i="5"/>
  <c r="I30" i="5"/>
  <c r="AB29" i="5"/>
  <c r="I29" i="5"/>
  <c r="AB28" i="5"/>
  <c r="I28" i="5"/>
  <c r="AB27" i="5"/>
  <c r="I27" i="5"/>
  <c r="AB26" i="5"/>
  <c r="I26" i="5"/>
  <c r="AB25" i="5"/>
  <c r="I25" i="5"/>
  <c r="AL19" i="5"/>
  <c r="AB19" i="5"/>
  <c r="R19" i="5"/>
  <c r="I19" i="5"/>
  <c r="AL18" i="5"/>
  <c r="AB18" i="5"/>
  <c r="R18" i="5"/>
  <c r="I18" i="5"/>
  <c r="AL17" i="5"/>
  <c r="AB17" i="5"/>
  <c r="R17" i="5"/>
  <c r="I17" i="5"/>
  <c r="AL16" i="5"/>
  <c r="AB16" i="5"/>
  <c r="R16" i="5"/>
  <c r="I16" i="5"/>
  <c r="AL15" i="5"/>
  <c r="AB15" i="5"/>
  <c r="R15" i="5"/>
  <c r="I15" i="5"/>
  <c r="AL14" i="5"/>
  <c r="AB14" i="5"/>
  <c r="AL13" i="5"/>
  <c r="AB13" i="5"/>
  <c r="R13" i="5"/>
  <c r="I13" i="5"/>
  <c r="AL12" i="5"/>
  <c r="AB12" i="5"/>
  <c r="R12" i="5"/>
  <c r="I12" i="5"/>
  <c r="AL11" i="5"/>
  <c r="AB11" i="5"/>
  <c r="R11" i="5"/>
  <c r="I11" i="5"/>
  <c r="AL10" i="5"/>
  <c r="AB10" i="5"/>
  <c r="R10" i="5"/>
  <c r="I10" i="5"/>
  <c r="AL9" i="5"/>
  <c r="AB9" i="5"/>
  <c r="R9" i="5"/>
  <c r="I9" i="5"/>
  <c r="AL8" i="5"/>
  <c r="AB8" i="5"/>
  <c r="R8" i="5"/>
  <c r="I8" i="5"/>
  <c r="AL7" i="5"/>
  <c r="AB7" i="5"/>
  <c r="R7" i="5"/>
  <c r="I7" i="5"/>
  <c r="AL6" i="5"/>
  <c r="AB6" i="5"/>
  <c r="R6" i="5"/>
  <c r="I6" i="5"/>
  <c r="AL5" i="5"/>
  <c r="AB5" i="5"/>
  <c r="R5" i="5"/>
  <c r="I5" i="5"/>
  <c r="A418" i="4"/>
  <c r="A415" i="4"/>
  <c r="H396" i="4"/>
  <c r="G396" i="4"/>
  <c r="F396" i="4"/>
  <c r="E396" i="4"/>
  <c r="D396" i="4"/>
  <c r="C396" i="4"/>
  <c r="B396" i="4"/>
  <c r="H392" i="4"/>
  <c r="G392" i="4"/>
  <c r="F392" i="4"/>
  <c r="E392" i="4"/>
  <c r="D392" i="4"/>
  <c r="C392" i="4"/>
  <c r="B392" i="4"/>
  <c r="H391" i="4"/>
  <c r="G391" i="4"/>
  <c r="F391" i="4"/>
  <c r="E391" i="4"/>
  <c r="D391" i="4"/>
  <c r="C391" i="4"/>
  <c r="B391" i="4"/>
  <c r="H390" i="4"/>
  <c r="G390" i="4"/>
  <c r="F390" i="4"/>
  <c r="E390" i="4"/>
  <c r="D390" i="4"/>
  <c r="C390" i="4"/>
  <c r="B390" i="4"/>
  <c r="H389" i="4"/>
  <c r="G389" i="4"/>
  <c r="F389" i="4"/>
  <c r="E389" i="4"/>
  <c r="D389" i="4"/>
  <c r="C389" i="4"/>
  <c r="B389" i="4"/>
  <c r="H388" i="4"/>
  <c r="G388" i="4"/>
  <c r="F388" i="4"/>
  <c r="E388" i="4"/>
  <c r="D388" i="4"/>
  <c r="C388" i="4"/>
  <c r="B388" i="4"/>
  <c r="H387" i="4"/>
  <c r="G387" i="4"/>
  <c r="F387" i="4"/>
  <c r="E387" i="4"/>
  <c r="D387" i="4"/>
  <c r="C387" i="4"/>
  <c r="B387" i="4"/>
  <c r="H386" i="4"/>
  <c r="G386" i="4"/>
  <c r="F386" i="4"/>
  <c r="E386" i="4"/>
  <c r="D386" i="4"/>
  <c r="C386" i="4"/>
  <c r="B386" i="4"/>
  <c r="H384" i="4"/>
  <c r="G384" i="4"/>
  <c r="F384" i="4"/>
  <c r="E384" i="4"/>
  <c r="D384" i="4"/>
  <c r="C384" i="4"/>
  <c r="B384" i="4"/>
  <c r="G383" i="4"/>
  <c r="F383" i="4"/>
  <c r="E383" i="4"/>
  <c r="D383" i="4"/>
  <c r="C383" i="4"/>
  <c r="B383" i="4"/>
  <c r="G382" i="4"/>
  <c r="F382" i="4"/>
  <c r="E382" i="4"/>
  <c r="D382" i="4"/>
  <c r="C382" i="4"/>
  <c r="G381" i="4"/>
  <c r="F381" i="4"/>
  <c r="E381" i="4"/>
  <c r="D381" i="4"/>
  <c r="C381" i="4"/>
  <c r="A380" i="4"/>
  <c r="H378" i="4"/>
  <c r="G378" i="4"/>
  <c r="F378" i="4"/>
  <c r="E378" i="4"/>
  <c r="D378" i="4"/>
  <c r="C378" i="4"/>
  <c r="B378" i="4"/>
  <c r="H374" i="4"/>
  <c r="G374" i="4"/>
  <c r="F374" i="4"/>
  <c r="E374" i="4"/>
  <c r="D374" i="4"/>
  <c r="C374" i="4"/>
  <c r="B374" i="4"/>
  <c r="H373" i="4"/>
  <c r="G373" i="4"/>
  <c r="F373" i="4"/>
  <c r="E373" i="4"/>
  <c r="D373" i="4"/>
  <c r="C373" i="4"/>
  <c r="B373" i="4"/>
  <c r="H372" i="4"/>
  <c r="G372" i="4"/>
  <c r="F372" i="4"/>
  <c r="E372" i="4"/>
  <c r="D372" i="4"/>
  <c r="C372" i="4"/>
  <c r="B372" i="4"/>
  <c r="H371" i="4"/>
  <c r="G371" i="4"/>
  <c r="F371" i="4"/>
  <c r="E371" i="4"/>
  <c r="D371" i="4"/>
  <c r="C371" i="4"/>
  <c r="B371" i="4"/>
  <c r="H370" i="4"/>
  <c r="G370" i="4"/>
  <c r="F370" i="4"/>
  <c r="E370" i="4"/>
  <c r="D370" i="4"/>
  <c r="C370" i="4"/>
  <c r="B370" i="4"/>
  <c r="H369" i="4"/>
  <c r="G369" i="4"/>
  <c r="F369" i="4"/>
  <c r="E369" i="4"/>
  <c r="D369" i="4"/>
  <c r="C369" i="4"/>
  <c r="B369" i="4"/>
  <c r="H368" i="4"/>
  <c r="G368" i="4"/>
  <c r="F368" i="4"/>
  <c r="E368" i="4"/>
  <c r="D368" i="4"/>
  <c r="C368" i="4"/>
  <c r="B368" i="4"/>
  <c r="H366" i="4"/>
  <c r="G366" i="4"/>
  <c r="F366" i="4"/>
  <c r="E366" i="4"/>
  <c r="D366" i="4"/>
  <c r="C366" i="4"/>
  <c r="B366" i="4"/>
  <c r="G365" i="4"/>
  <c r="F365" i="4"/>
  <c r="E365" i="4"/>
  <c r="D365" i="4"/>
  <c r="C365" i="4"/>
  <c r="B365" i="4"/>
  <c r="G364" i="4"/>
  <c r="F364" i="4"/>
  <c r="E364" i="4"/>
  <c r="D364" i="4"/>
  <c r="C364" i="4"/>
  <c r="G363" i="4"/>
  <c r="F363" i="4"/>
  <c r="E363" i="4"/>
  <c r="D363" i="4"/>
  <c r="C363" i="4"/>
  <c r="A362" i="4"/>
  <c r="H358" i="4"/>
  <c r="G358" i="4"/>
  <c r="F358" i="4"/>
  <c r="E358" i="4"/>
  <c r="D358" i="4"/>
  <c r="C358" i="4"/>
  <c r="B358" i="4"/>
  <c r="H354" i="4"/>
  <c r="G354" i="4"/>
  <c r="F354" i="4"/>
  <c r="E354" i="4"/>
  <c r="D354" i="4"/>
  <c r="C354" i="4"/>
  <c r="B354" i="4"/>
  <c r="H353" i="4"/>
  <c r="G353" i="4"/>
  <c r="F353" i="4"/>
  <c r="E353" i="4"/>
  <c r="D353" i="4"/>
  <c r="C353" i="4"/>
  <c r="B353" i="4"/>
  <c r="H352" i="4"/>
  <c r="G352" i="4"/>
  <c r="F352" i="4"/>
  <c r="E352" i="4"/>
  <c r="D352" i="4"/>
  <c r="C352" i="4"/>
  <c r="B352" i="4"/>
  <c r="H351" i="4"/>
  <c r="G351" i="4"/>
  <c r="F351" i="4"/>
  <c r="E351" i="4"/>
  <c r="D351" i="4"/>
  <c r="C351" i="4"/>
  <c r="B351" i="4"/>
  <c r="H350" i="4"/>
  <c r="G350" i="4"/>
  <c r="F350" i="4"/>
  <c r="E350" i="4"/>
  <c r="D350" i="4"/>
  <c r="C350" i="4"/>
  <c r="B350" i="4"/>
  <c r="H349" i="4"/>
  <c r="G349" i="4"/>
  <c r="F349" i="4"/>
  <c r="E349" i="4"/>
  <c r="D349" i="4"/>
  <c r="C349" i="4"/>
  <c r="B349" i="4"/>
  <c r="H348" i="4"/>
  <c r="G348" i="4"/>
  <c r="F348" i="4"/>
  <c r="E348" i="4"/>
  <c r="D348" i="4"/>
  <c r="C348" i="4"/>
  <c r="B348" i="4"/>
  <c r="H346" i="4"/>
  <c r="G346" i="4"/>
  <c r="F346" i="4"/>
  <c r="E346" i="4"/>
  <c r="D346" i="4"/>
  <c r="C346" i="4"/>
  <c r="B346" i="4"/>
  <c r="G345" i="4"/>
  <c r="F345" i="4"/>
  <c r="G344" i="4"/>
  <c r="F344" i="4"/>
  <c r="C344" i="4"/>
  <c r="G343" i="4"/>
  <c r="F343" i="4"/>
  <c r="E343" i="4"/>
  <c r="D343" i="4"/>
  <c r="C343" i="4"/>
  <c r="A342" i="4"/>
  <c r="I340" i="4"/>
  <c r="H340" i="4"/>
  <c r="G340" i="4"/>
  <c r="F340" i="4"/>
  <c r="E340" i="4"/>
  <c r="D340" i="4"/>
  <c r="C340" i="4"/>
  <c r="B340" i="4"/>
  <c r="I336" i="4"/>
  <c r="H336" i="4"/>
  <c r="G336" i="4"/>
  <c r="F336" i="4"/>
  <c r="E336" i="4"/>
  <c r="D336" i="4"/>
  <c r="C336" i="4"/>
  <c r="B336" i="4"/>
  <c r="H335" i="4"/>
  <c r="G335" i="4"/>
  <c r="F335" i="4"/>
  <c r="E335" i="4"/>
  <c r="D335" i="4"/>
  <c r="C335" i="4"/>
  <c r="B335" i="4"/>
  <c r="H334" i="4"/>
  <c r="G334" i="4"/>
  <c r="F334" i="4"/>
  <c r="E334" i="4"/>
  <c r="D334" i="4"/>
  <c r="C334" i="4"/>
  <c r="B334" i="4"/>
  <c r="H333" i="4"/>
  <c r="G333" i="4"/>
  <c r="F333" i="4"/>
  <c r="E333" i="4"/>
  <c r="D333" i="4"/>
  <c r="C333" i="4"/>
  <c r="B333" i="4"/>
  <c r="H332" i="4"/>
  <c r="G332" i="4"/>
  <c r="F332" i="4"/>
  <c r="E332" i="4"/>
  <c r="D332" i="4"/>
  <c r="C332" i="4"/>
  <c r="B332" i="4"/>
  <c r="H331" i="4"/>
  <c r="G331" i="4"/>
  <c r="F331" i="4"/>
  <c r="E331" i="4"/>
  <c r="D331" i="4"/>
  <c r="C331" i="4"/>
  <c r="B331" i="4"/>
  <c r="H330" i="4"/>
  <c r="G330" i="4"/>
  <c r="F330" i="4"/>
  <c r="E330" i="4"/>
  <c r="D330" i="4"/>
  <c r="C330" i="4"/>
  <c r="B330" i="4"/>
  <c r="H328" i="4"/>
  <c r="G328" i="4"/>
  <c r="F328" i="4"/>
  <c r="E328" i="4"/>
  <c r="D328" i="4"/>
  <c r="C328" i="4"/>
  <c r="B328" i="4"/>
  <c r="G327" i="4"/>
  <c r="F327" i="4"/>
  <c r="H326" i="4"/>
  <c r="G326" i="4"/>
  <c r="H325" i="4"/>
  <c r="G325" i="4"/>
  <c r="F325" i="4"/>
  <c r="E325" i="4"/>
  <c r="D325" i="4"/>
  <c r="A324" i="4"/>
  <c r="I322" i="4"/>
  <c r="H322" i="4"/>
  <c r="G322" i="4"/>
  <c r="F322" i="4"/>
  <c r="E322" i="4"/>
  <c r="D322" i="4"/>
  <c r="C322" i="4"/>
  <c r="B322" i="4"/>
  <c r="I318" i="4"/>
  <c r="H318" i="4"/>
  <c r="G318" i="4"/>
  <c r="F318" i="4"/>
  <c r="E318" i="4"/>
  <c r="D318" i="4"/>
  <c r="C318" i="4"/>
  <c r="B318" i="4"/>
  <c r="H317" i="4"/>
  <c r="G317" i="4"/>
  <c r="F317" i="4"/>
  <c r="E317" i="4"/>
  <c r="D317" i="4"/>
  <c r="C317" i="4"/>
  <c r="B317" i="4"/>
  <c r="H316" i="4"/>
  <c r="G316" i="4"/>
  <c r="F316" i="4"/>
  <c r="E316" i="4"/>
  <c r="D316" i="4"/>
  <c r="C316" i="4"/>
  <c r="B316" i="4"/>
  <c r="H315" i="4"/>
  <c r="G315" i="4"/>
  <c r="F315" i="4"/>
  <c r="E315" i="4"/>
  <c r="D315" i="4"/>
  <c r="C315" i="4"/>
  <c r="B315" i="4"/>
  <c r="H314" i="4"/>
  <c r="G314" i="4"/>
  <c r="F314" i="4"/>
  <c r="E314" i="4"/>
  <c r="D314" i="4"/>
  <c r="C314" i="4"/>
  <c r="B314" i="4"/>
  <c r="H313" i="4"/>
  <c r="G313" i="4"/>
  <c r="F313" i="4"/>
  <c r="E313" i="4"/>
  <c r="D313" i="4"/>
  <c r="C313" i="4"/>
  <c r="B313" i="4"/>
  <c r="H312" i="4"/>
  <c r="G312" i="4"/>
  <c r="F312" i="4"/>
  <c r="E312" i="4"/>
  <c r="D312" i="4"/>
  <c r="C312" i="4"/>
  <c r="B312" i="4"/>
  <c r="H310" i="4"/>
  <c r="G310" i="4"/>
  <c r="F310" i="4"/>
  <c r="E310" i="4"/>
  <c r="D310" i="4"/>
  <c r="C310" i="4"/>
  <c r="G309" i="4"/>
  <c r="F309" i="4"/>
  <c r="I308" i="4"/>
  <c r="B5" i="3" s="1"/>
  <c r="G307" i="4"/>
  <c r="F307" i="4"/>
  <c r="E307" i="4"/>
  <c r="D307" i="4"/>
  <c r="C307" i="4"/>
  <c r="H277" i="4"/>
  <c r="H414" i="4" s="1"/>
  <c r="G277" i="4"/>
  <c r="G414" i="4" s="1"/>
  <c r="F277" i="4"/>
  <c r="F414" i="4" s="1"/>
  <c r="E277" i="4"/>
  <c r="E414" i="4" s="1"/>
  <c r="D414" i="4"/>
  <c r="C414" i="4"/>
  <c r="B414" i="4"/>
  <c r="H273" i="4"/>
  <c r="H410" i="4" s="1"/>
  <c r="G273" i="4"/>
  <c r="G410" i="4" s="1"/>
  <c r="F273" i="4"/>
  <c r="F410" i="4" s="1"/>
  <c r="E273" i="4"/>
  <c r="E410" i="4" s="1"/>
  <c r="D273" i="4"/>
  <c r="D410" i="4" s="1"/>
  <c r="C273" i="4"/>
  <c r="C410" i="4" s="1"/>
  <c r="B273" i="4"/>
  <c r="B410" i="4" s="1"/>
  <c r="H272" i="4"/>
  <c r="H409" i="4" s="1"/>
  <c r="G272" i="4"/>
  <c r="G409" i="4" s="1"/>
  <c r="F272" i="4"/>
  <c r="F409" i="4" s="1"/>
  <c r="E272" i="4"/>
  <c r="E409" i="4" s="1"/>
  <c r="D272" i="4"/>
  <c r="D409" i="4" s="1"/>
  <c r="C272" i="4"/>
  <c r="C409" i="4" s="1"/>
  <c r="B272" i="4"/>
  <c r="B409" i="4" s="1"/>
  <c r="H271" i="4"/>
  <c r="H408" i="4" s="1"/>
  <c r="G271" i="4"/>
  <c r="G408" i="4" s="1"/>
  <c r="F271" i="4"/>
  <c r="F408" i="4" s="1"/>
  <c r="E271" i="4"/>
  <c r="E408" i="4" s="1"/>
  <c r="D271" i="4"/>
  <c r="D408" i="4" s="1"/>
  <c r="C271" i="4"/>
  <c r="C408" i="4" s="1"/>
  <c r="B271" i="4"/>
  <c r="B408" i="4" s="1"/>
  <c r="H270" i="4"/>
  <c r="H407" i="4" s="1"/>
  <c r="G270" i="4"/>
  <c r="G407" i="4" s="1"/>
  <c r="F270" i="4"/>
  <c r="F407" i="4" s="1"/>
  <c r="E270" i="4"/>
  <c r="E407" i="4" s="1"/>
  <c r="D270" i="4"/>
  <c r="D407" i="4" s="1"/>
  <c r="C270" i="4"/>
  <c r="C407" i="4" s="1"/>
  <c r="B270" i="4"/>
  <c r="B407" i="4" s="1"/>
  <c r="H269" i="4"/>
  <c r="H406" i="4" s="1"/>
  <c r="G269" i="4"/>
  <c r="G406" i="4" s="1"/>
  <c r="F269" i="4"/>
  <c r="F406" i="4" s="1"/>
  <c r="E269" i="4"/>
  <c r="E406" i="4" s="1"/>
  <c r="D269" i="4"/>
  <c r="D406" i="4" s="1"/>
  <c r="C269" i="4"/>
  <c r="C406" i="4" s="1"/>
  <c r="B269" i="4"/>
  <c r="B406" i="4" s="1"/>
  <c r="H268" i="4"/>
  <c r="H405" i="4" s="1"/>
  <c r="G268" i="4"/>
  <c r="G405" i="4" s="1"/>
  <c r="F268" i="4"/>
  <c r="F405" i="4" s="1"/>
  <c r="E268" i="4"/>
  <c r="E405" i="4" s="1"/>
  <c r="D268" i="4"/>
  <c r="D405" i="4" s="1"/>
  <c r="C268" i="4"/>
  <c r="C405" i="4" s="1"/>
  <c r="B268" i="4"/>
  <c r="B405" i="4" s="1"/>
  <c r="H267" i="4"/>
  <c r="H404" i="4" s="1"/>
  <c r="G267" i="4"/>
  <c r="G404" i="4" s="1"/>
  <c r="F267" i="4"/>
  <c r="F404" i="4" s="1"/>
  <c r="E267" i="4"/>
  <c r="E404" i="4" s="1"/>
  <c r="D267" i="4"/>
  <c r="D404" i="4" s="1"/>
  <c r="C267" i="4"/>
  <c r="C404" i="4" s="1"/>
  <c r="B267" i="4"/>
  <c r="B404" i="4" s="1"/>
  <c r="H266" i="4"/>
  <c r="G266" i="4"/>
  <c r="F266" i="4"/>
  <c r="E266" i="4"/>
  <c r="D266" i="4"/>
  <c r="C266" i="4"/>
  <c r="B266" i="4"/>
  <c r="I265" i="4"/>
  <c r="H265" i="4"/>
  <c r="G265" i="4"/>
  <c r="F265" i="4"/>
  <c r="E265" i="4"/>
  <c r="D265" i="4"/>
  <c r="C265" i="4"/>
  <c r="B265" i="4"/>
  <c r="I264" i="4"/>
  <c r="H264" i="4"/>
  <c r="G264" i="4"/>
  <c r="F264" i="4"/>
  <c r="E264" i="4"/>
  <c r="D264" i="4"/>
  <c r="C264" i="4"/>
  <c r="B264" i="4"/>
  <c r="H263" i="4"/>
  <c r="G263" i="4"/>
  <c r="F263" i="4"/>
  <c r="E263" i="4"/>
  <c r="D263" i="4"/>
  <c r="C263" i="4"/>
  <c r="B263" i="4"/>
  <c r="H262" i="4"/>
  <c r="H403" i="4" s="1"/>
  <c r="G262" i="4"/>
  <c r="F262" i="4"/>
  <c r="E262" i="4"/>
  <c r="E403" i="4" s="1"/>
  <c r="D262" i="4"/>
  <c r="D403" i="4" s="1"/>
  <c r="C262" i="4"/>
  <c r="C403" i="4" s="1"/>
  <c r="B262" i="4"/>
  <c r="B403" i="4" s="1"/>
  <c r="H261" i="4"/>
  <c r="G261" i="4"/>
  <c r="F261" i="4"/>
  <c r="E261" i="4"/>
  <c r="D261" i="4"/>
  <c r="C261" i="4"/>
  <c r="B261" i="4"/>
  <c r="H260" i="4"/>
  <c r="G260" i="4"/>
  <c r="F260" i="4"/>
  <c r="E260" i="4"/>
  <c r="D260" i="4"/>
  <c r="C260" i="4"/>
  <c r="B260" i="4"/>
  <c r="H259" i="4"/>
  <c r="G259" i="4"/>
  <c r="F259" i="4"/>
  <c r="E259" i="4"/>
  <c r="D259" i="4"/>
  <c r="C259" i="4"/>
  <c r="B259" i="4"/>
  <c r="H258" i="4"/>
  <c r="G258" i="4"/>
  <c r="F258" i="4"/>
  <c r="E258" i="4"/>
  <c r="D258" i="4"/>
  <c r="C258" i="4"/>
  <c r="B258" i="4"/>
  <c r="H257" i="4"/>
  <c r="G257" i="4"/>
  <c r="F257" i="4"/>
  <c r="E257" i="4"/>
  <c r="D257" i="4"/>
  <c r="C257" i="4"/>
  <c r="B257" i="4"/>
  <c r="H256" i="4"/>
  <c r="G256" i="4"/>
  <c r="F256" i="4"/>
  <c r="E256" i="4"/>
  <c r="D256" i="4"/>
  <c r="C256" i="4"/>
  <c r="B256" i="4"/>
  <c r="H255" i="4"/>
  <c r="G255" i="4"/>
  <c r="F255" i="4"/>
  <c r="E255" i="4"/>
  <c r="D255" i="4"/>
  <c r="C255" i="4"/>
  <c r="B255" i="4"/>
  <c r="H254" i="4"/>
  <c r="G254" i="4"/>
  <c r="F254" i="4"/>
  <c r="E254" i="4"/>
  <c r="D254" i="4"/>
  <c r="C254" i="4"/>
  <c r="B254" i="4"/>
  <c r="H253" i="4"/>
  <c r="G253" i="4"/>
  <c r="F253" i="4"/>
  <c r="E253" i="4"/>
  <c r="D253" i="4"/>
  <c r="C253" i="4"/>
  <c r="B253" i="4"/>
  <c r="H252" i="4"/>
  <c r="G252" i="4"/>
  <c r="F252" i="4"/>
  <c r="E252" i="4"/>
  <c r="D252" i="4"/>
  <c r="C252" i="4"/>
  <c r="B252" i="4"/>
  <c r="H251" i="4"/>
  <c r="G251" i="4"/>
  <c r="F251" i="4"/>
  <c r="E251" i="4"/>
  <c r="D251" i="4"/>
  <c r="C251" i="4"/>
  <c r="B251" i="4"/>
  <c r="H250" i="4"/>
  <c r="G250" i="4"/>
  <c r="F250" i="4"/>
  <c r="E250" i="4"/>
  <c r="D250" i="4"/>
  <c r="C250" i="4"/>
  <c r="B250" i="4"/>
  <c r="H249" i="4"/>
  <c r="G249" i="4"/>
  <c r="F249" i="4"/>
  <c r="E249" i="4"/>
  <c r="D249" i="4"/>
  <c r="C249" i="4"/>
  <c r="B249" i="4"/>
  <c r="H248" i="4"/>
  <c r="G248" i="4"/>
  <c r="F248" i="4"/>
  <c r="E248" i="4"/>
  <c r="D248" i="4"/>
  <c r="C248" i="4"/>
  <c r="B248" i="4"/>
  <c r="H247" i="4"/>
  <c r="G247" i="4"/>
  <c r="F247" i="4"/>
  <c r="E247" i="4"/>
  <c r="D247" i="4"/>
  <c r="C247" i="4"/>
  <c r="B247" i="4"/>
  <c r="H246" i="4"/>
  <c r="G246" i="4"/>
  <c r="F246" i="4"/>
  <c r="E246" i="4"/>
  <c r="D246" i="4"/>
  <c r="C246" i="4"/>
  <c r="B246" i="4"/>
  <c r="H245" i="4"/>
  <c r="G245" i="4"/>
  <c r="F245" i="4"/>
  <c r="E245" i="4"/>
  <c r="D245" i="4"/>
  <c r="C245" i="4"/>
  <c r="B245" i="4"/>
  <c r="H244" i="4"/>
  <c r="G244" i="4"/>
  <c r="F244" i="4"/>
  <c r="E244" i="4"/>
  <c r="D244" i="4"/>
  <c r="C244" i="4"/>
  <c r="B244" i="4"/>
  <c r="H243" i="4"/>
  <c r="G243" i="4"/>
  <c r="F243" i="4"/>
  <c r="E243" i="4"/>
  <c r="D243" i="4"/>
  <c r="C243" i="4"/>
  <c r="B243" i="4"/>
  <c r="H242" i="4"/>
  <c r="G242" i="4"/>
  <c r="F242" i="4"/>
  <c r="E242" i="4"/>
  <c r="D242" i="4"/>
  <c r="C242" i="4"/>
  <c r="B242" i="4"/>
  <c r="H241" i="4"/>
  <c r="G241" i="4"/>
  <c r="F241" i="4"/>
  <c r="E241" i="4"/>
  <c r="D241" i="4"/>
  <c r="C241" i="4"/>
  <c r="B241" i="4"/>
  <c r="H240" i="4"/>
  <c r="G240" i="4"/>
  <c r="F240" i="4"/>
  <c r="E240" i="4"/>
  <c r="D240" i="4"/>
  <c r="C240" i="4"/>
  <c r="B240" i="4"/>
  <c r="H239" i="4"/>
  <c r="G239" i="4"/>
  <c r="F239" i="4"/>
  <c r="E239" i="4"/>
  <c r="D239" i="4"/>
  <c r="C239" i="4"/>
  <c r="B239" i="4"/>
  <c r="H238" i="4"/>
  <c r="G238" i="4"/>
  <c r="F238" i="4"/>
  <c r="E238" i="4"/>
  <c r="D238" i="4"/>
  <c r="C238" i="4"/>
  <c r="H237" i="4"/>
  <c r="G237" i="4"/>
  <c r="F237" i="4"/>
  <c r="E237" i="4"/>
  <c r="D237" i="4"/>
  <c r="C237" i="4"/>
  <c r="B237" i="4"/>
  <c r="H236" i="4"/>
  <c r="G236" i="4"/>
  <c r="F236" i="4"/>
  <c r="E236" i="4"/>
  <c r="D236" i="4"/>
  <c r="C236" i="4"/>
  <c r="B236" i="4"/>
  <c r="H235" i="4"/>
  <c r="G235" i="4"/>
  <c r="F235" i="4"/>
  <c r="E235" i="4"/>
  <c r="D235" i="4"/>
  <c r="C235" i="4"/>
  <c r="B235" i="4"/>
  <c r="H234" i="4"/>
  <c r="G234" i="4"/>
  <c r="F234" i="4"/>
  <c r="E234" i="4"/>
  <c r="D234" i="4"/>
  <c r="C234" i="4"/>
  <c r="B234" i="4"/>
  <c r="I231" i="4"/>
  <c r="I396" i="4" s="1"/>
  <c r="I227" i="4"/>
  <c r="I226" i="4"/>
  <c r="I391" i="4" s="1"/>
  <c r="I225" i="4"/>
  <c r="F13" i="3" s="1"/>
  <c r="I224" i="4"/>
  <c r="I389" i="4" s="1"/>
  <c r="I223" i="4"/>
  <c r="I388" i="4" s="1"/>
  <c r="I222" i="4"/>
  <c r="I387" i="4" s="1"/>
  <c r="I221" i="4"/>
  <c r="I220" i="4"/>
  <c r="I217" i="4"/>
  <c r="I216" i="4"/>
  <c r="I215" i="4"/>
  <c r="I214" i="4"/>
  <c r="I213" i="4"/>
  <c r="I212" i="4"/>
  <c r="I211" i="4"/>
  <c r="I210" i="4"/>
  <c r="I209" i="4"/>
  <c r="I208" i="4"/>
  <c r="I207" i="4"/>
  <c r="I206" i="4"/>
  <c r="I205" i="4"/>
  <c r="I204" i="4"/>
  <c r="I203" i="4"/>
  <c r="I202" i="4"/>
  <c r="I201" i="4"/>
  <c r="I200" i="4"/>
  <c r="I199" i="4"/>
  <c r="I198" i="4"/>
  <c r="I197" i="4"/>
  <c r="I196" i="4"/>
  <c r="I195" i="4"/>
  <c r="I194" i="4"/>
  <c r="I193" i="4"/>
  <c r="I192" i="4"/>
  <c r="I191" i="4"/>
  <c r="I190" i="4"/>
  <c r="I189" i="4"/>
  <c r="I188" i="4"/>
  <c r="I185" i="4"/>
  <c r="E19" i="3" s="1"/>
  <c r="I181" i="4"/>
  <c r="I374" i="4" s="1"/>
  <c r="I180" i="4"/>
  <c r="I179" i="4"/>
  <c r="I372" i="4" s="1"/>
  <c r="I178" i="4"/>
  <c r="E12" i="3" s="1"/>
  <c r="I177" i="4"/>
  <c r="I370" i="4" s="1"/>
  <c r="I176" i="4"/>
  <c r="E10" i="3" s="1"/>
  <c r="I175" i="4"/>
  <c r="I368" i="4" s="1"/>
  <c r="I174" i="4"/>
  <c r="I171" i="4"/>
  <c r="I170" i="4"/>
  <c r="I169" i="4"/>
  <c r="I168" i="4"/>
  <c r="I167" i="4"/>
  <c r="I166" i="4"/>
  <c r="I165" i="4"/>
  <c r="I164" i="4"/>
  <c r="I163" i="4"/>
  <c r="I162" i="4"/>
  <c r="I161" i="4"/>
  <c r="I160" i="4"/>
  <c r="I159" i="4"/>
  <c r="I158" i="4"/>
  <c r="I157" i="4"/>
  <c r="I156" i="4"/>
  <c r="I155" i="4"/>
  <c r="I154" i="4"/>
  <c r="I153" i="4"/>
  <c r="I152" i="4"/>
  <c r="I151" i="4"/>
  <c r="I150" i="4"/>
  <c r="I149" i="4"/>
  <c r="I148" i="4"/>
  <c r="I147" i="4"/>
  <c r="B146" i="4"/>
  <c r="C101" i="22" s="1"/>
  <c r="I145" i="4"/>
  <c r="I144" i="4"/>
  <c r="I143" i="4"/>
  <c r="I142" i="4"/>
  <c r="I358" i="4"/>
  <c r="I135" i="4"/>
  <c r="I354" i="4" s="1"/>
  <c r="I134" i="4"/>
  <c r="I353" i="4" s="1"/>
  <c r="I133" i="4"/>
  <c r="I352" i="4" s="1"/>
  <c r="I132" i="4"/>
  <c r="I351" i="4" s="1"/>
  <c r="I131" i="4"/>
  <c r="I350" i="4" s="1"/>
  <c r="I130" i="4"/>
  <c r="I349" i="4" s="1"/>
  <c r="I129" i="4"/>
  <c r="I348" i="4" s="1"/>
  <c r="I128" i="4"/>
  <c r="I125" i="4"/>
  <c r="I124" i="4"/>
  <c r="I123" i="4"/>
  <c r="I122" i="4"/>
  <c r="I121" i="4"/>
  <c r="I120" i="4"/>
  <c r="I119" i="4"/>
  <c r="I118" i="4"/>
  <c r="I117" i="4"/>
  <c r="I116" i="4"/>
  <c r="I115" i="4"/>
  <c r="I114" i="4"/>
  <c r="I113" i="4"/>
  <c r="I112" i="4"/>
  <c r="I111" i="4"/>
  <c r="I109" i="4"/>
  <c r="I108" i="4"/>
  <c r="I107" i="4"/>
  <c r="I106" i="4"/>
  <c r="I105" i="4"/>
  <c r="I104" i="4"/>
  <c r="I103" i="4"/>
  <c r="I102" i="4"/>
  <c r="I101" i="4"/>
  <c r="I100" i="4"/>
  <c r="I99" i="4"/>
  <c r="I98" i="4"/>
  <c r="I97" i="4"/>
  <c r="I96" i="4"/>
  <c r="I88" i="4"/>
  <c r="I335" i="4" s="1"/>
  <c r="I87" i="4"/>
  <c r="C13" i="3" s="1"/>
  <c r="I86" i="4"/>
  <c r="I333" i="4" s="1"/>
  <c r="I85" i="4"/>
  <c r="I332" i="4" s="1"/>
  <c r="I84" i="4"/>
  <c r="I331" i="4" s="1"/>
  <c r="I83" i="4"/>
  <c r="C9" i="3" s="1"/>
  <c r="I79" i="4"/>
  <c r="I77" i="4"/>
  <c r="I76" i="4"/>
  <c r="I75" i="4"/>
  <c r="I74" i="4"/>
  <c r="I73" i="4"/>
  <c r="I72" i="4"/>
  <c r="I71" i="4"/>
  <c r="I70" i="4"/>
  <c r="I69" i="4"/>
  <c r="I68" i="4"/>
  <c r="I63" i="4"/>
  <c r="I326" i="4" s="1"/>
  <c r="C5" i="3" s="1"/>
  <c r="I62" i="4"/>
  <c r="I61" i="4"/>
  <c r="I60" i="4"/>
  <c r="I59" i="4"/>
  <c r="I58" i="4"/>
  <c r="I56" i="4"/>
  <c r="I55" i="4"/>
  <c r="I54" i="4"/>
  <c r="I53" i="4"/>
  <c r="I52" i="4"/>
  <c r="I51" i="4"/>
  <c r="I50" i="4"/>
  <c r="I42" i="4"/>
  <c r="I317" i="4" s="1"/>
  <c r="I41" i="4"/>
  <c r="I316" i="4" s="1"/>
  <c r="I40" i="4"/>
  <c r="I315" i="4" s="1"/>
  <c r="I39" i="4"/>
  <c r="I314" i="4" s="1"/>
  <c r="I38" i="4"/>
  <c r="I313" i="4" s="1"/>
  <c r="I37" i="4"/>
  <c r="I312" i="4" s="1"/>
  <c r="I33" i="4"/>
  <c r="I311" i="4" s="1"/>
  <c r="I31" i="4"/>
  <c r="T30" i="4"/>
  <c r="I30" i="4"/>
  <c r="T29" i="4"/>
  <c r="I29" i="4"/>
  <c r="T28" i="4"/>
  <c r="I28" i="4"/>
  <c r="T27" i="4"/>
  <c r="I27" i="4"/>
  <c r="T26" i="4"/>
  <c r="I26" i="4"/>
  <c r="T25" i="4"/>
  <c r="I25" i="4"/>
  <c r="T24" i="4"/>
  <c r="I24" i="4"/>
  <c r="T23" i="4"/>
  <c r="I23" i="4"/>
  <c r="T22" i="4"/>
  <c r="I22" i="4"/>
  <c r="T21" i="4"/>
  <c r="T20" i="4"/>
  <c r="T19" i="4"/>
  <c r="T18" i="4"/>
  <c r="T17" i="4"/>
  <c r="T16" i="4"/>
  <c r="I16" i="4"/>
  <c r="T15" i="4"/>
  <c r="I15" i="4"/>
  <c r="T14" i="4"/>
  <c r="I14" i="4"/>
  <c r="T13" i="4"/>
  <c r="I13" i="4"/>
  <c r="T12" i="4"/>
  <c r="I12" i="4"/>
  <c r="T11" i="4"/>
  <c r="T10" i="4"/>
  <c r="I10" i="4"/>
  <c r="T9" i="4"/>
  <c r="I9" i="4"/>
  <c r="T8" i="4"/>
  <c r="I8" i="4"/>
  <c r="T7" i="4"/>
  <c r="I7" i="4"/>
  <c r="T6" i="4"/>
  <c r="I6" i="4"/>
  <c r="T5" i="4"/>
  <c r="I5" i="4"/>
  <c r="T4" i="4"/>
  <c r="I4" i="4"/>
  <c r="F55" i="3"/>
  <c r="E55" i="3"/>
  <c r="D55" i="3"/>
  <c r="C55" i="3"/>
  <c r="B55" i="3"/>
  <c r="F51" i="3"/>
  <c r="E51" i="3"/>
  <c r="D51" i="3"/>
  <c r="C51" i="3"/>
  <c r="B51" i="3"/>
  <c r="F50" i="3"/>
  <c r="E50" i="3"/>
  <c r="D50" i="3"/>
  <c r="C50" i="3"/>
  <c r="B50" i="3"/>
  <c r="F49" i="3"/>
  <c r="E49" i="3"/>
  <c r="D49" i="3"/>
  <c r="C49" i="3"/>
  <c r="B49" i="3"/>
  <c r="F48" i="3"/>
  <c r="E48" i="3"/>
  <c r="D48" i="3"/>
  <c r="C48" i="3"/>
  <c r="B48" i="3"/>
  <c r="F47" i="3"/>
  <c r="E47" i="3"/>
  <c r="D47" i="3"/>
  <c r="C47" i="3"/>
  <c r="B47" i="3"/>
  <c r="F46" i="3"/>
  <c r="E46" i="3"/>
  <c r="D46" i="3"/>
  <c r="C46" i="3"/>
  <c r="B46" i="3"/>
  <c r="F45" i="3"/>
  <c r="E45" i="3"/>
  <c r="D45" i="3"/>
  <c r="C45" i="3"/>
  <c r="B45" i="3"/>
  <c r="F43" i="3"/>
  <c r="E43" i="3"/>
  <c r="D43" i="3"/>
  <c r="C43" i="3"/>
  <c r="B43" i="3"/>
  <c r="E42" i="3"/>
  <c r="D42" i="3"/>
  <c r="C42" i="3"/>
  <c r="B42" i="3"/>
  <c r="B41" i="3"/>
  <c r="C37" i="3"/>
  <c r="B37" i="3"/>
  <c r="C33" i="3"/>
  <c r="B33" i="3"/>
  <c r="B23" i="3"/>
  <c r="C19" i="3"/>
  <c r="B19" i="3"/>
  <c r="C15" i="3"/>
  <c r="B15" i="3"/>
  <c r="J214" i="24" l="1"/>
  <c r="F405" i="7"/>
  <c r="P405" i="7"/>
  <c r="H405" i="7"/>
  <c r="R405" i="7"/>
  <c r="I405" i="7"/>
  <c r="S405" i="7"/>
  <c r="L387" i="7"/>
  <c r="B405" i="7"/>
  <c r="J405" i="7"/>
  <c r="T405" i="7"/>
  <c r="E402" i="6"/>
  <c r="G233" i="24"/>
  <c r="L364" i="6"/>
  <c r="F402" i="6"/>
  <c r="I255" i="24"/>
  <c r="C255" i="24"/>
  <c r="K255" i="24"/>
  <c r="I402" i="6"/>
  <c r="B402" i="6"/>
  <c r="J402" i="6"/>
  <c r="H402" i="6"/>
  <c r="C402" i="6"/>
  <c r="K402" i="6"/>
  <c r="F255" i="24"/>
  <c r="D402" i="6"/>
  <c r="G255" i="24"/>
  <c r="G317" i="32"/>
  <c r="D41" i="13"/>
  <c r="G295" i="32"/>
  <c r="C41" i="13"/>
  <c r="H319" i="14"/>
  <c r="D22" i="13"/>
  <c r="H300" i="14"/>
  <c r="C22" i="13"/>
  <c r="H281" i="14"/>
  <c r="B22" i="13"/>
  <c r="D183" i="30"/>
  <c r="N183" i="30"/>
  <c r="D202" i="30"/>
  <c r="F183" i="30"/>
  <c r="F202" i="30"/>
  <c r="P202" i="30"/>
  <c r="C202" i="30"/>
  <c r="M202" i="30"/>
  <c r="N202" i="30"/>
  <c r="E202" i="30"/>
  <c r="O202" i="30"/>
  <c r="G202" i="30"/>
  <c r="M183" i="30"/>
  <c r="E183" i="30"/>
  <c r="O183" i="30"/>
  <c r="P183" i="30"/>
  <c r="G183" i="30"/>
  <c r="Q183" i="30"/>
  <c r="N132" i="30"/>
  <c r="E192" i="29"/>
  <c r="F192" i="29"/>
  <c r="G192" i="29"/>
  <c r="D173" i="29"/>
  <c r="E173" i="29"/>
  <c r="F173" i="29"/>
  <c r="G173" i="29"/>
  <c r="C173" i="29"/>
  <c r="C192" i="29"/>
  <c r="B173" i="29"/>
  <c r="H126" i="29"/>
  <c r="C274" i="28"/>
  <c r="G275" i="28"/>
  <c r="C260" i="28"/>
  <c r="D260" i="28"/>
  <c r="E275" i="28"/>
  <c r="F273" i="28"/>
  <c r="D259" i="28"/>
  <c r="F214" i="28"/>
  <c r="F259" i="28"/>
  <c r="B260" i="28"/>
  <c r="B261" i="28"/>
  <c r="C216" i="28"/>
  <c r="E260" i="28"/>
  <c r="C261" i="28"/>
  <c r="F216" i="28"/>
  <c r="H117" i="28"/>
  <c r="H167" i="28" s="1"/>
  <c r="H243" i="28"/>
  <c r="H120" i="28"/>
  <c r="H244" i="28"/>
  <c r="H115" i="28"/>
  <c r="H259" i="28" s="1"/>
  <c r="H242" i="28"/>
  <c r="B214" i="28"/>
  <c r="B67" i="28"/>
  <c r="B215" i="28"/>
  <c r="G65" i="28"/>
  <c r="G228" i="28" s="1"/>
  <c r="G214" i="28"/>
  <c r="C67" i="28"/>
  <c r="C215" i="28"/>
  <c r="H67" i="28"/>
  <c r="D67" i="28"/>
  <c r="D215" i="28"/>
  <c r="E67" i="28"/>
  <c r="E215" i="28"/>
  <c r="F67" i="28"/>
  <c r="F215" i="28"/>
  <c r="D70" i="28"/>
  <c r="D216" i="28"/>
  <c r="C65" i="28"/>
  <c r="C228" i="28" s="1"/>
  <c r="C214" i="28"/>
  <c r="G67" i="28"/>
  <c r="G215" i="28"/>
  <c r="D65" i="28"/>
  <c r="D228" i="28" s="1"/>
  <c r="D214" i="28"/>
  <c r="G155" i="28"/>
  <c r="G167" i="28"/>
  <c r="C166" i="28"/>
  <c r="E155" i="28"/>
  <c r="C159" i="28"/>
  <c r="B166" i="28"/>
  <c r="B161" i="28"/>
  <c r="J377" i="27"/>
  <c r="L459" i="27"/>
  <c r="C459" i="27"/>
  <c r="H377" i="27"/>
  <c r="E459" i="27"/>
  <c r="F459" i="27"/>
  <c r="F377" i="27"/>
  <c r="G459" i="27"/>
  <c r="G377" i="27"/>
  <c r="B377" i="27"/>
  <c r="L377" i="27"/>
  <c r="L418" i="27"/>
  <c r="J305" i="27"/>
  <c r="B418" i="27"/>
  <c r="M418" i="27"/>
  <c r="C418" i="27"/>
  <c r="N418" i="27"/>
  <c r="J374" i="27"/>
  <c r="J376" i="27"/>
  <c r="D377" i="27"/>
  <c r="N377" i="27"/>
  <c r="D418" i="27"/>
  <c r="P377" i="27"/>
  <c r="F418" i="27"/>
  <c r="K377" i="27"/>
  <c r="J302" i="27"/>
  <c r="E374" i="27"/>
  <c r="E376" i="27"/>
  <c r="C122" i="27"/>
  <c r="C375" i="27"/>
  <c r="J322" i="27"/>
  <c r="E461" i="26"/>
  <c r="B423" i="26"/>
  <c r="D423" i="26"/>
  <c r="E423" i="26"/>
  <c r="E359" i="26"/>
  <c r="E358" i="26"/>
  <c r="F358" i="26"/>
  <c r="D382" i="26"/>
  <c r="G359" i="26"/>
  <c r="G358" i="26"/>
  <c r="E382" i="26"/>
  <c r="G382" i="26"/>
  <c r="B358" i="26"/>
  <c r="C359" i="26"/>
  <c r="C358" i="26"/>
  <c r="D359" i="26"/>
  <c r="D358" i="26"/>
  <c r="B382" i="26"/>
  <c r="H229" i="25"/>
  <c r="E251" i="25"/>
  <c r="S229" i="25"/>
  <c r="J210" i="25"/>
  <c r="F229" i="25"/>
  <c r="C251" i="25"/>
  <c r="K251" i="25"/>
  <c r="U251" i="25"/>
  <c r="C210" i="25"/>
  <c r="G229" i="25"/>
  <c r="Q229" i="25"/>
  <c r="D251" i="25"/>
  <c r="F210" i="25"/>
  <c r="J229" i="25"/>
  <c r="G251" i="25"/>
  <c r="Q251" i="25"/>
  <c r="T210" i="25"/>
  <c r="U229" i="25"/>
  <c r="H251" i="25"/>
  <c r="R251" i="25"/>
  <c r="Q247" i="25"/>
  <c r="I251" i="25"/>
  <c r="S251" i="25"/>
  <c r="R210" i="25"/>
  <c r="V210" i="25"/>
  <c r="B251" i="25"/>
  <c r="J251" i="25"/>
  <c r="T251" i="25"/>
  <c r="R229" i="25"/>
  <c r="I229" i="25"/>
  <c r="T229" i="25"/>
  <c r="H210" i="25"/>
  <c r="V229" i="25"/>
  <c r="E229" i="25"/>
  <c r="V246" i="25"/>
  <c r="D210" i="25"/>
  <c r="Q210" i="25"/>
  <c r="E210" i="25"/>
  <c r="S210" i="25"/>
  <c r="G210" i="25"/>
  <c r="U210" i="25"/>
  <c r="I210" i="25"/>
  <c r="R250" i="25"/>
  <c r="E255" i="24"/>
  <c r="H255" i="24"/>
  <c r="B255" i="24"/>
  <c r="J255" i="24"/>
  <c r="D255" i="24"/>
  <c r="I214" i="24"/>
  <c r="C214" i="24"/>
  <c r="K214" i="24"/>
  <c r="F233" i="24"/>
  <c r="H233" i="24"/>
  <c r="I233" i="24"/>
  <c r="J233" i="24"/>
  <c r="D214" i="24"/>
  <c r="E233" i="24"/>
  <c r="H214" i="24"/>
  <c r="E214" i="24"/>
  <c r="F214" i="24"/>
  <c r="H251" i="23"/>
  <c r="I251" i="23"/>
  <c r="C251" i="23"/>
  <c r="G229" i="23"/>
  <c r="I229" i="23"/>
  <c r="J229" i="23"/>
  <c r="C229" i="23"/>
  <c r="T210" i="23"/>
  <c r="D229" i="23"/>
  <c r="B209" i="23"/>
  <c r="E229" i="23"/>
  <c r="F229" i="23"/>
  <c r="J210" i="23"/>
  <c r="C210" i="23"/>
  <c r="K210" i="23"/>
  <c r="K169" i="23"/>
  <c r="S210" i="23"/>
  <c r="H210" i="23"/>
  <c r="K194" i="23"/>
  <c r="K281" i="23" s="1"/>
  <c r="E229" i="22"/>
  <c r="H210" i="22"/>
  <c r="G229" i="22"/>
  <c r="J229" i="22"/>
  <c r="D229" i="22"/>
  <c r="F229" i="22"/>
  <c r="J210" i="22"/>
  <c r="C210" i="22"/>
  <c r="K210" i="22"/>
  <c r="D210" i="22"/>
  <c r="H252" i="22"/>
  <c r="E210" i="22"/>
  <c r="I252" i="22"/>
  <c r="G210" i="22"/>
  <c r="F252" i="22"/>
  <c r="G252" i="22"/>
  <c r="E352" i="20"/>
  <c r="O352" i="20"/>
  <c r="G352" i="20"/>
  <c r="Q352" i="20"/>
  <c r="I330" i="20"/>
  <c r="R330" i="20"/>
  <c r="R289" i="20"/>
  <c r="R310" i="20"/>
  <c r="I311" i="20"/>
  <c r="R311" i="20"/>
  <c r="I289" i="20"/>
  <c r="I30" i="30"/>
  <c r="I42" i="30"/>
  <c r="I186" i="30" s="1"/>
  <c r="I46" i="30"/>
  <c r="I190" i="30" s="1"/>
  <c r="I28" i="30"/>
  <c r="I270" i="20"/>
  <c r="R270" i="20"/>
  <c r="I29" i="30"/>
  <c r="I33" i="30"/>
  <c r="I32" i="30"/>
  <c r="R29" i="30"/>
  <c r="I31" i="30"/>
  <c r="R32" i="30"/>
  <c r="P351" i="20"/>
  <c r="F351" i="19"/>
  <c r="G351" i="19"/>
  <c r="C346" i="19"/>
  <c r="E346" i="19"/>
  <c r="I311" i="19"/>
  <c r="R154" i="20"/>
  <c r="R58" i="30" s="1"/>
  <c r="I329" i="20"/>
  <c r="B202" i="20"/>
  <c r="B347" i="20" s="1"/>
  <c r="H351" i="19"/>
  <c r="I330" i="19"/>
  <c r="I310" i="19"/>
  <c r="I289" i="19"/>
  <c r="I270" i="19"/>
  <c r="F325" i="19"/>
  <c r="B201" i="19"/>
  <c r="F201" i="19"/>
  <c r="F346" i="19" s="1"/>
  <c r="B204" i="19"/>
  <c r="M115" i="27"/>
  <c r="N376" i="27"/>
  <c r="L375" i="27"/>
  <c r="F128" i="27"/>
  <c r="N325" i="32"/>
  <c r="B347" i="32"/>
  <c r="L347" i="32"/>
  <c r="C347" i="32"/>
  <c r="M347" i="32"/>
  <c r="D347" i="32"/>
  <c r="F347" i="32"/>
  <c r="U325" i="32"/>
  <c r="G325" i="32"/>
  <c r="G306" i="32"/>
  <c r="N306" i="32"/>
  <c r="U306" i="32"/>
  <c r="G284" i="32"/>
  <c r="N284" i="32"/>
  <c r="U284" i="32"/>
  <c r="G265" i="32"/>
  <c r="N265" i="32"/>
  <c r="U265" i="32"/>
  <c r="Q343" i="32"/>
  <c r="F7" i="27"/>
  <c r="F199" i="27" s="1"/>
  <c r="F295" i="27" s="1"/>
  <c r="U282" i="32"/>
  <c r="C70" i="13" s="1"/>
  <c r="N263" i="32"/>
  <c r="G55" i="32"/>
  <c r="U304" i="32"/>
  <c r="D70" i="13" s="1"/>
  <c r="U264" i="32"/>
  <c r="B71" i="13" s="1"/>
  <c r="U260" i="32"/>
  <c r="B67" i="13" s="1"/>
  <c r="N262" i="32"/>
  <c r="U268" i="32"/>
  <c r="E18" i="27"/>
  <c r="E354" i="27" s="1"/>
  <c r="E261" i="32"/>
  <c r="G264" i="32"/>
  <c r="B29" i="13" s="1"/>
  <c r="G266" i="32"/>
  <c r="G269" i="32"/>
  <c r="U272" i="32"/>
  <c r="G156" i="32"/>
  <c r="B260" i="32"/>
  <c r="G16" i="32"/>
  <c r="B261" i="32"/>
  <c r="M18" i="27"/>
  <c r="M114" i="27" s="1"/>
  <c r="L261" i="32"/>
  <c r="G263" i="32"/>
  <c r="N264" i="32"/>
  <c r="B52" i="13" s="1"/>
  <c r="G276" i="32"/>
  <c r="U263" i="32"/>
  <c r="B70" i="13" s="1"/>
  <c r="U266" i="32"/>
  <c r="G270" i="32"/>
  <c r="U280" i="32"/>
  <c r="C68" i="13" s="1"/>
  <c r="K209" i="32"/>
  <c r="K343" i="32" s="1"/>
  <c r="K261" i="32"/>
  <c r="N267" i="32"/>
  <c r="B55" i="13" s="1"/>
  <c r="U270" i="32"/>
  <c r="C20" i="27"/>
  <c r="C355" i="27" s="1"/>
  <c r="C262" i="32"/>
  <c r="G268" i="32"/>
  <c r="C350" i="14"/>
  <c r="E350" i="14"/>
  <c r="H331" i="14"/>
  <c r="H308" i="14"/>
  <c r="H270" i="14"/>
  <c r="H289" i="14"/>
  <c r="E198" i="26"/>
  <c r="E202" i="26"/>
  <c r="E298" i="26" s="1"/>
  <c r="E206" i="26"/>
  <c r="E210" i="26"/>
  <c r="F348" i="14"/>
  <c r="B348" i="14"/>
  <c r="D104" i="30"/>
  <c r="N140" i="30"/>
  <c r="N229" i="30" s="1"/>
  <c r="H127" i="29"/>
  <c r="H124" i="29"/>
  <c r="D128" i="29"/>
  <c r="D126" i="29"/>
  <c r="H129" i="29"/>
  <c r="D124" i="29"/>
  <c r="H128" i="29"/>
  <c r="H123" i="29"/>
  <c r="J307" i="27"/>
  <c r="J317" i="27"/>
  <c r="J299" i="27"/>
  <c r="J301" i="27"/>
  <c r="J309" i="27"/>
  <c r="J293" i="27"/>
  <c r="X366" i="7"/>
  <c r="C405" i="7"/>
  <c r="K405" i="7"/>
  <c r="U405" i="7"/>
  <c r="D405" i="7"/>
  <c r="G405" i="7"/>
  <c r="Q405" i="7"/>
  <c r="X309" i="7"/>
  <c r="I401" i="7"/>
  <c r="R404" i="7"/>
  <c r="L348" i="7"/>
  <c r="X348" i="7"/>
  <c r="L327" i="7"/>
  <c r="X327" i="7"/>
  <c r="L309" i="7"/>
  <c r="J404" i="7"/>
  <c r="W246" i="25"/>
  <c r="D401" i="7"/>
  <c r="K402" i="7"/>
  <c r="F404" i="7"/>
  <c r="E404" i="7"/>
  <c r="D247" i="25"/>
  <c r="S404" i="7"/>
  <c r="K404" i="7"/>
  <c r="B404" i="7"/>
  <c r="S246" i="25"/>
  <c r="B246" i="25"/>
  <c r="U247" i="25"/>
  <c r="J401" i="7"/>
  <c r="H401" i="7"/>
  <c r="L384" i="6"/>
  <c r="L346" i="6"/>
  <c r="L325" i="6"/>
  <c r="L326" i="6"/>
  <c r="L308" i="6"/>
  <c r="J266" i="24"/>
  <c r="J193" i="24"/>
  <c r="J285" i="24" s="1"/>
  <c r="K266" i="24"/>
  <c r="K193" i="24"/>
  <c r="K285" i="24" s="1"/>
  <c r="F415" i="5"/>
  <c r="G415" i="5"/>
  <c r="I397" i="5"/>
  <c r="I376" i="5"/>
  <c r="I358" i="5"/>
  <c r="R315" i="5"/>
  <c r="B40" i="3" s="1"/>
  <c r="I319" i="5"/>
  <c r="L61" i="23"/>
  <c r="G22" i="3"/>
  <c r="I315" i="5"/>
  <c r="B22" i="3" s="1"/>
  <c r="G40" i="3"/>
  <c r="T247" i="23"/>
  <c r="F403" i="4"/>
  <c r="G403" i="4"/>
  <c r="I385" i="4"/>
  <c r="I367" i="4"/>
  <c r="I347" i="4"/>
  <c r="I329" i="4"/>
  <c r="N374" i="27"/>
  <c r="I11" i="30"/>
  <c r="I12" i="30"/>
  <c r="D129" i="29"/>
  <c r="J150" i="25"/>
  <c r="J158" i="25"/>
  <c r="P194" i="27"/>
  <c r="P429" i="27" s="1"/>
  <c r="P180" i="27"/>
  <c r="P185" i="27"/>
  <c r="P420" i="27" s="1"/>
  <c r="K223" i="27"/>
  <c r="K319" i="27" s="1"/>
  <c r="P175" i="27"/>
  <c r="P223" i="27" s="1"/>
  <c r="P319" i="27" s="1"/>
  <c r="K226" i="27"/>
  <c r="K322" i="27" s="1"/>
  <c r="P178" i="27"/>
  <c r="K419" i="27"/>
  <c r="P184" i="27"/>
  <c r="P419" i="27" s="1"/>
  <c r="K423" i="27"/>
  <c r="P188" i="27"/>
  <c r="P423" i="27" s="1"/>
  <c r="H194" i="27"/>
  <c r="K417" i="27"/>
  <c r="P174" i="27"/>
  <c r="P181" i="27"/>
  <c r="P187" i="27"/>
  <c r="P422" i="27" s="1"/>
  <c r="K221" i="27"/>
  <c r="K317" i="27" s="1"/>
  <c r="P173" i="27"/>
  <c r="P221" i="27" s="1"/>
  <c r="P317" i="27" s="1"/>
  <c r="K225" i="27"/>
  <c r="K321" i="27" s="1"/>
  <c r="P177" i="27"/>
  <c r="P183" i="27"/>
  <c r="K421" i="27"/>
  <c r="P186" i="27"/>
  <c r="P421" i="27" s="1"/>
  <c r="K220" i="27"/>
  <c r="K316" i="27" s="1"/>
  <c r="P172" i="27"/>
  <c r="K224" i="27"/>
  <c r="K320" i="27" s="1"/>
  <c r="P176" i="27"/>
  <c r="P179" i="27"/>
  <c r="P182" i="27"/>
  <c r="K425" i="27"/>
  <c r="P190" i="27"/>
  <c r="P425" i="27" s="1"/>
  <c r="S162" i="25"/>
  <c r="R417" i="5"/>
  <c r="R418" i="5"/>
  <c r="H46" i="3"/>
  <c r="R414" i="5"/>
  <c r="R416" i="5"/>
  <c r="L115" i="24"/>
  <c r="L103" i="24"/>
  <c r="L107" i="24"/>
  <c r="L111" i="24"/>
  <c r="L119" i="24"/>
  <c r="L123" i="24"/>
  <c r="L127" i="24"/>
  <c r="C401" i="6"/>
  <c r="K401" i="6"/>
  <c r="H50" i="3"/>
  <c r="C411" i="5"/>
  <c r="G411" i="5"/>
  <c r="M411" i="5"/>
  <c r="Q411" i="5"/>
  <c r="F29" i="3"/>
  <c r="E32" i="3"/>
  <c r="C10" i="3"/>
  <c r="C14" i="3"/>
  <c r="F12" i="3"/>
  <c r="E15" i="3"/>
  <c r="B265" i="20"/>
  <c r="E399" i="6"/>
  <c r="I399" i="6"/>
  <c r="R155" i="20"/>
  <c r="R59" i="30" s="1"/>
  <c r="D398" i="6"/>
  <c r="D399" i="6"/>
  <c r="B400" i="6"/>
  <c r="B201" i="32"/>
  <c r="I306" i="20"/>
  <c r="I308" i="20"/>
  <c r="I309" i="20"/>
  <c r="F325" i="20"/>
  <c r="B27" i="3"/>
  <c r="H287" i="14"/>
  <c r="G151" i="32"/>
  <c r="I9" i="19"/>
  <c r="I12" i="19"/>
  <c r="I153" i="19"/>
  <c r="I57" i="29" s="1"/>
  <c r="I14" i="20"/>
  <c r="I206" i="20" s="1"/>
  <c r="H203" i="20"/>
  <c r="H347" i="20" s="1"/>
  <c r="X226" i="23"/>
  <c r="K199" i="20"/>
  <c r="K202" i="20"/>
  <c r="K347" i="20" s="1"/>
  <c r="O202" i="20"/>
  <c r="Q203" i="20"/>
  <c r="Q347" i="20" s="1"/>
  <c r="K265" i="20"/>
  <c r="H202" i="19"/>
  <c r="H346" i="19" s="1"/>
  <c r="D350" i="19"/>
  <c r="F202" i="20"/>
  <c r="F206" i="20"/>
  <c r="F265" i="20"/>
  <c r="I4" i="19"/>
  <c r="H198" i="19"/>
  <c r="H350" i="19"/>
  <c r="E11" i="3"/>
  <c r="B238" i="4"/>
  <c r="C402" i="7"/>
  <c r="G402" i="7"/>
  <c r="F403" i="7"/>
  <c r="J403" i="7"/>
  <c r="N19" i="32"/>
  <c r="P18" i="27" s="1"/>
  <c r="P210" i="27" s="1"/>
  <c r="P306" i="27" s="1"/>
  <c r="G103" i="32"/>
  <c r="N152" i="32"/>
  <c r="N200" i="32" s="1"/>
  <c r="B305" i="32"/>
  <c r="I154" i="19"/>
  <c r="B196" i="19"/>
  <c r="G219" i="19"/>
  <c r="G349" i="19" s="1"/>
  <c r="C351" i="20"/>
  <c r="G351" i="20"/>
  <c r="E257" i="28"/>
  <c r="B12" i="3"/>
  <c r="F19" i="3"/>
  <c r="I307" i="4"/>
  <c r="B4" i="3" s="1"/>
  <c r="G6" i="3"/>
  <c r="C399" i="4"/>
  <c r="H399" i="4"/>
  <c r="E399" i="4"/>
  <c r="H400" i="4"/>
  <c r="E401" i="4"/>
  <c r="B402" i="4"/>
  <c r="G402" i="4"/>
  <c r="D402" i="7"/>
  <c r="S402" i="7"/>
  <c r="W402" i="7"/>
  <c r="P301" i="32"/>
  <c r="I154" i="20"/>
  <c r="I58" i="30" s="1"/>
  <c r="I155" i="20"/>
  <c r="H199" i="20"/>
  <c r="L349" i="20"/>
  <c r="J296" i="27"/>
  <c r="J316" i="27"/>
  <c r="J304" i="27"/>
  <c r="H222" i="28"/>
  <c r="H107" i="30"/>
  <c r="H247" i="28"/>
  <c r="B158" i="28"/>
  <c r="F158" i="28"/>
  <c r="E164" i="28"/>
  <c r="B257" i="28"/>
  <c r="F257" i="28"/>
  <c r="F258" i="28"/>
  <c r="C163" i="28"/>
  <c r="C257" i="28"/>
  <c r="G311" i="27"/>
  <c r="O320" i="27"/>
  <c r="J306" i="27"/>
  <c r="G293" i="27"/>
  <c r="G294" i="27"/>
  <c r="G297" i="27"/>
  <c r="O307" i="27"/>
  <c r="J310" i="27"/>
  <c r="J311" i="27"/>
  <c r="J294" i="27"/>
  <c r="J295" i="27"/>
  <c r="J314" i="27"/>
  <c r="J315" i="27"/>
  <c r="O246" i="25"/>
  <c r="F246" i="25"/>
  <c r="J246" i="25"/>
  <c r="H247" i="25"/>
  <c r="R50" i="30"/>
  <c r="R194" i="30" s="1"/>
  <c r="I341" i="20"/>
  <c r="I98" i="30"/>
  <c r="I337" i="20"/>
  <c r="I94" i="30"/>
  <c r="R341" i="20"/>
  <c r="R98" i="30"/>
  <c r="R267" i="20"/>
  <c r="O188" i="30"/>
  <c r="O179" i="30"/>
  <c r="E180" i="30"/>
  <c r="E181" i="30"/>
  <c r="O181" i="30"/>
  <c r="G182" i="30"/>
  <c r="Q182" i="30"/>
  <c r="E107" i="30"/>
  <c r="M111" i="30"/>
  <c r="M113" i="30"/>
  <c r="M115" i="30"/>
  <c r="D106" i="30"/>
  <c r="D110" i="30"/>
  <c r="I284" i="20"/>
  <c r="I286" i="20"/>
  <c r="I287" i="20"/>
  <c r="I220" i="20"/>
  <c r="O184" i="30"/>
  <c r="O180" i="30"/>
  <c r="G101" i="30"/>
  <c r="M103" i="30"/>
  <c r="H178" i="30"/>
  <c r="G105" i="30"/>
  <c r="Q105" i="30"/>
  <c r="P107" i="30"/>
  <c r="K178" i="30"/>
  <c r="L347" i="20"/>
  <c r="P347" i="20"/>
  <c r="D349" i="20"/>
  <c r="H349" i="20"/>
  <c r="F349" i="20"/>
  <c r="N350" i="20"/>
  <c r="F351" i="20"/>
  <c r="L351" i="20"/>
  <c r="I277" i="20"/>
  <c r="G114" i="30"/>
  <c r="M114" i="30"/>
  <c r="Q114" i="30"/>
  <c r="M121" i="30"/>
  <c r="M123" i="30"/>
  <c r="M125" i="30"/>
  <c r="D102" i="30"/>
  <c r="I273" i="20"/>
  <c r="C103" i="30"/>
  <c r="G103" i="30"/>
  <c r="M105" i="30"/>
  <c r="E110" i="30"/>
  <c r="F178" i="30"/>
  <c r="Q107" i="30"/>
  <c r="I207" i="20"/>
  <c r="I209" i="20"/>
  <c r="I211" i="20"/>
  <c r="I224" i="20"/>
  <c r="I226" i="20"/>
  <c r="E347" i="20"/>
  <c r="O347" i="20"/>
  <c r="C348" i="20"/>
  <c r="G348" i="20"/>
  <c r="M348" i="20"/>
  <c r="Q348" i="20"/>
  <c r="C349" i="20"/>
  <c r="G349" i="20"/>
  <c r="M349" i="20"/>
  <c r="Q349" i="20"/>
  <c r="G350" i="20"/>
  <c r="O350" i="20"/>
  <c r="E351" i="20"/>
  <c r="P179" i="30"/>
  <c r="F180" i="30"/>
  <c r="F181" i="30"/>
  <c r="P181" i="30"/>
  <c r="H182" i="30"/>
  <c r="N182" i="30"/>
  <c r="N103" i="30"/>
  <c r="P104" i="30"/>
  <c r="D113" i="30"/>
  <c r="I24" i="29"/>
  <c r="B103" i="29"/>
  <c r="F103" i="29"/>
  <c r="C104" i="29"/>
  <c r="G104" i="29"/>
  <c r="B106" i="29"/>
  <c r="F106" i="29"/>
  <c r="E108" i="29"/>
  <c r="B109" i="29"/>
  <c r="F109" i="29"/>
  <c r="C110" i="29"/>
  <c r="E112" i="29"/>
  <c r="B113" i="29"/>
  <c r="F113" i="29"/>
  <c r="C114" i="29"/>
  <c r="G114" i="29"/>
  <c r="E116" i="29"/>
  <c r="B117" i="29"/>
  <c r="F117" i="29"/>
  <c r="C118" i="29"/>
  <c r="G118" i="29"/>
  <c r="C119" i="29"/>
  <c r="C208" i="29" s="1"/>
  <c r="G119" i="29"/>
  <c r="D120" i="29"/>
  <c r="E121" i="29"/>
  <c r="B122" i="29"/>
  <c r="F122" i="29"/>
  <c r="C123" i="29"/>
  <c r="I8" i="29"/>
  <c r="I307" i="19"/>
  <c r="I308" i="19"/>
  <c r="I309" i="19"/>
  <c r="I18" i="29"/>
  <c r="I23" i="29"/>
  <c r="I287" i="19"/>
  <c r="I288" i="19"/>
  <c r="E172" i="29"/>
  <c r="I217" i="19"/>
  <c r="F349" i="19"/>
  <c r="F168" i="29"/>
  <c r="F169" i="29"/>
  <c r="E170" i="29"/>
  <c r="F171" i="29"/>
  <c r="D102" i="29"/>
  <c r="E103" i="29"/>
  <c r="B104" i="29"/>
  <c r="F104" i="29"/>
  <c r="C107" i="29"/>
  <c r="G107" i="29"/>
  <c r="D108" i="29"/>
  <c r="H108" i="29"/>
  <c r="E109" i="29"/>
  <c r="B110" i="29"/>
  <c r="B207" i="29" s="1"/>
  <c r="C111" i="29"/>
  <c r="G111" i="29"/>
  <c r="D112" i="29"/>
  <c r="E113" i="29"/>
  <c r="B114" i="29"/>
  <c r="F114" i="29"/>
  <c r="C115" i="29"/>
  <c r="D116" i="29"/>
  <c r="E117" i="29"/>
  <c r="B118" i="29"/>
  <c r="F118" i="29"/>
  <c r="B119" i="29"/>
  <c r="F119" i="29"/>
  <c r="C120" i="29"/>
  <c r="E122" i="29"/>
  <c r="B123" i="29"/>
  <c r="F123" i="29"/>
  <c r="I218" i="19"/>
  <c r="I215" i="19"/>
  <c r="E347" i="19"/>
  <c r="E350" i="19"/>
  <c r="D100" i="29"/>
  <c r="D127" i="29"/>
  <c r="I216" i="19"/>
  <c r="G102" i="29"/>
  <c r="F73" i="28"/>
  <c r="F232" i="28" s="1"/>
  <c r="F212" i="28"/>
  <c r="C69" i="28"/>
  <c r="G73" i="28"/>
  <c r="G232" i="28" s="1"/>
  <c r="C226" i="28"/>
  <c r="C227" i="28"/>
  <c r="G69" i="28"/>
  <c r="F110" i="27"/>
  <c r="B114" i="27"/>
  <c r="L114" i="27"/>
  <c r="F120" i="27"/>
  <c r="L124" i="27"/>
  <c r="F130" i="27"/>
  <c r="O142" i="27"/>
  <c r="O406" i="27" s="1"/>
  <c r="F114" i="27"/>
  <c r="L118" i="27"/>
  <c r="B124" i="27"/>
  <c r="F124" i="27"/>
  <c r="B126" i="27"/>
  <c r="G136" i="27"/>
  <c r="G400" i="27" s="1"/>
  <c r="M109" i="27"/>
  <c r="M121" i="27"/>
  <c r="M127" i="27"/>
  <c r="M117" i="27"/>
  <c r="C124" i="27"/>
  <c r="G132" i="27"/>
  <c r="G140" i="27"/>
  <c r="G404" i="27" s="1"/>
  <c r="M105" i="27"/>
  <c r="C118" i="27"/>
  <c r="G138" i="27"/>
  <c r="G402" i="27" s="1"/>
  <c r="C114" i="27"/>
  <c r="M119" i="27"/>
  <c r="C120" i="27"/>
  <c r="M125" i="27"/>
  <c r="C130" i="27"/>
  <c r="G134" i="27"/>
  <c r="G142" i="27"/>
  <c r="G406" i="27" s="1"/>
  <c r="D107" i="26"/>
  <c r="D115" i="26"/>
  <c r="D119" i="26"/>
  <c r="D127" i="26"/>
  <c r="F380" i="26"/>
  <c r="D103" i="26"/>
  <c r="E120" i="26"/>
  <c r="E124" i="26"/>
  <c r="D378" i="26"/>
  <c r="D355" i="27"/>
  <c r="H14" i="27"/>
  <c r="H110" i="27" s="1"/>
  <c r="P32" i="27"/>
  <c r="H33" i="27"/>
  <c r="H129" i="27" s="1"/>
  <c r="E103" i="27"/>
  <c r="E104" i="27"/>
  <c r="E108" i="27"/>
  <c r="E112" i="27"/>
  <c r="E118" i="27"/>
  <c r="E124" i="27"/>
  <c r="G239" i="32"/>
  <c r="H8" i="26"/>
  <c r="H104" i="26" s="1"/>
  <c r="H12" i="26"/>
  <c r="H108" i="26" s="1"/>
  <c r="H16" i="26"/>
  <c r="H112" i="26" s="1"/>
  <c r="H20" i="26"/>
  <c r="H116" i="26" s="1"/>
  <c r="H329" i="14"/>
  <c r="H228" i="14"/>
  <c r="H25" i="26"/>
  <c r="H217" i="26" s="1"/>
  <c r="H29" i="26"/>
  <c r="H304" i="14"/>
  <c r="H305" i="14"/>
  <c r="H306" i="14"/>
  <c r="H285" i="14"/>
  <c r="H203" i="14"/>
  <c r="H207" i="14"/>
  <c r="H209" i="14"/>
  <c r="H216" i="14"/>
  <c r="H284" i="14"/>
  <c r="C6" i="13" s="1"/>
  <c r="H199" i="14"/>
  <c r="H211" i="14"/>
  <c r="F207" i="26"/>
  <c r="F303" i="26" s="1"/>
  <c r="D347" i="14"/>
  <c r="H197" i="14"/>
  <c r="H201" i="14"/>
  <c r="H205" i="14"/>
  <c r="H213" i="14"/>
  <c r="B345" i="14"/>
  <c r="E348" i="14"/>
  <c r="E116" i="26"/>
  <c r="E197" i="26"/>
  <c r="E293" i="26" s="1"/>
  <c r="C198" i="26"/>
  <c r="C294" i="26" s="1"/>
  <c r="G198" i="26"/>
  <c r="G294" i="26" s="1"/>
  <c r="G200" i="26"/>
  <c r="G296" i="26" s="1"/>
  <c r="C212" i="26"/>
  <c r="C308" i="26" s="1"/>
  <c r="E213" i="26"/>
  <c r="E309" i="26" s="1"/>
  <c r="C214" i="26"/>
  <c r="C310" i="26" s="1"/>
  <c r="G214" i="26"/>
  <c r="G310" i="26" s="1"/>
  <c r="B219" i="26"/>
  <c r="B315" i="26" s="1"/>
  <c r="D109" i="30"/>
  <c r="E197" i="30"/>
  <c r="E200" i="30"/>
  <c r="M201" i="30"/>
  <c r="G208" i="25"/>
  <c r="K167" i="25"/>
  <c r="K208" i="25"/>
  <c r="T205" i="25"/>
  <c r="E207" i="25"/>
  <c r="I207" i="25"/>
  <c r="S207" i="25"/>
  <c r="T208" i="25"/>
  <c r="G209" i="25"/>
  <c r="S154" i="25"/>
  <c r="K172" i="25"/>
  <c r="D106" i="29"/>
  <c r="D109" i="29"/>
  <c r="D113" i="29"/>
  <c r="H113" i="29"/>
  <c r="D117" i="29"/>
  <c r="H117" i="29"/>
  <c r="D122" i="29"/>
  <c r="H122" i="29"/>
  <c r="J211" i="24"/>
  <c r="D168" i="24"/>
  <c r="G209" i="24"/>
  <c r="F209" i="24"/>
  <c r="F212" i="24"/>
  <c r="J212" i="24"/>
  <c r="O293" i="27"/>
  <c r="G305" i="27"/>
  <c r="G307" i="27"/>
  <c r="G301" i="27"/>
  <c r="K311" i="27"/>
  <c r="O311" i="27"/>
  <c r="O299" i="27"/>
  <c r="G310" i="27"/>
  <c r="O295" i="27"/>
  <c r="O297" i="27"/>
  <c r="G313" i="27"/>
  <c r="G315" i="27"/>
  <c r="O301" i="27"/>
  <c r="G309" i="27"/>
  <c r="K171" i="23"/>
  <c r="K175" i="23"/>
  <c r="G295" i="27"/>
  <c r="O305" i="27"/>
  <c r="E209" i="23"/>
  <c r="I209" i="23"/>
  <c r="G300" i="27"/>
  <c r="G321" i="27"/>
  <c r="B157" i="23"/>
  <c r="J157" i="23"/>
  <c r="K170" i="23"/>
  <c r="S165" i="23"/>
  <c r="G299" i="27"/>
  <c r="G319" i="27"/>
  <c r="G322" i="27"/>
  <c r="X5" i="23"/>
  <c r="X8" i="23"/>
  <c r="S205" i="23"/>
  <c r="X12" i="23"/>
  <c r="G206" i="23"/>
  <c r="T206" i="23"/>
  <c r="D207" i="23"/>
  <c r="H207" i="23"/>
  <c r="E208" i="23"/>
  <c r="I208" i="23"/>
  <c r="K153" i="23"/>
  <c r="B156" i="23"/>
  <c r="J156" i="23"/>
  <c r="B159" i="23"/>
  <c r="K160" i="23"/>
  <c r="B163" i="23"/>
  <c r="J163" i="23"/>
  <c r="K165" i="23"/>
  <c r="K172" i="23"/>
  <c r="K176" i="23"/>
  <c r="R162" i="23"/>
  <c r="K149" i="23"/>
  <c r="K161" i="23"/>
  <c r="B168" i="23"/>
  <c r="J168" i="23"/>
  <c r="B176" i="23"/>
  <c r="J176" i="23"/>
  <c r="G306" i="27"/>
  <c r="O316" i="27"/>
  <c r="K155" i="23"/>
  <c r="K157" i="23"/>
  <c r="T179" i="23"/>
  <c r="M199" i="27"/>
  <c r="M295" i="27" s="1"/>
  <c r="D223" i="27"/>
  <c r="D319" i="27" s="1"/>
  <c r="M225" i="27"/>
  <c r="M321" i="27" s="1"/>
  <c r="O414" i="27"/>
  <c r="G423" i="27"/>
  <c r="K173" i="23"/>
  <c r="K177" i="23"/>
  <c r="G413" i="27"/>
  <c r="E218" i="26"/>
  <c r="E314" i="26" s="1"/>
  <c r="D225" i="26"/>
  <c r="D321" i="26" s="1"/>
  <c r="D229" i="26"/>
  <c r="J164" i="22"/>
  <c r="E419" i="26"/>
  <c r="D422" i="26"/>
  <c r="K157" i="22"/>
  <c r="F231" i="26"/>
  <c r="L362" i="7"/>
  <c r="L363" i="7"/>
  <c r="X132" i="25"/>
  <c r="L136" i="25"/>
  <c r="L252" i="25" s="1"/>
  <c r="L138" i="25"/>
  <c r="L254" i="25" s="1"/>
  <c r="L140" i="25"/>
  <c r="L256" i="25" s="1"/>
  <c r="L364" i="7"/>
  <c r="L325" i="7"/>
  <c r="L344" i="7"/>
  <c r="X362" i="7"/>
  <c r="X365" i="7"/>
  <c r="X324" i="7"/>
  <c r="X326" i="7"/>
  <c r="U160" i="25"/>
  <c r="J159" i="25"/>
  <c r="W149" i="25"/>
  <c r="W166" i="25"/>
  <c r="W157" i="25"/>
  <c r="W165" i="25"/>
  <c r="X306" i="7"/>
  <c r="X308" i="7"/>
  <c r="L246" i="7"/>
  <c r="L248" i="7"/>
  <c r="L250" i="7"/>
  <c r="L252" i="7"/>
  <c r="L254" i="7"/>
  <c r="L256" i="7"/>
  <c r="L258" i="7"/>
  <c r="L260" i="7"/>
  <c r="L262" i="7"/>
  <c r="L264" i="7"/>
  <c r="L266" i="7"/>
  <c r="L268" i="7"/>
  <c r="L270" i="7"/>
  <c r="L272" i="7"/>
  <c r="L274" i="7"/>
  <c r="O160" i="25"/>
  <c r="W164" i="25"/>
  <c r="K249" i="25"/>
  <c r="B181" i="25"/>
  <c r="L305" i="7"/>
  <c r="X249" i="7"/>
  <c r="K403" i="7"/>
  <c r="P172" i="25"/>
  <c r="N240" i="25"/>
  <c r="X98" i="25"/>
  <c r="X240" i="25" s="1"/>
  <c r="N152" i="25"/>
  <c r="N156" i="25"/>
  <c r="N160" i="25"/>
  <c r="R248" i="25"/>
  <c r="P171" i="25"/>
  <c r="O173" i="25"/>
  <c r="P178" i="25"/>
  <c r="W190" i="25"/>
  <c r="W277" i="25" s="1"/>
  <c r="L136" i="24"/>
  <c r="L257" i="24" s="1"/>
  <c r="L140" i="24"/>
  <c r="L261" i="24" s="1"/>
  <c r="K166" i="24"/>
  <c r="L138" i="24"/>
  <c r="L259" i="24" s="1"/>
  <c r="L134" i="24"/>
  <c r="L360" i="6"/>
  <c r="L363" i="6"/>
  <c r="L348" i="6"/>
  <c r="L135" i="24"/>
  <c r="L256" i="24" s="1"/>
  <c r="L139" i="24"/>
  <c r="L260" i="24" s="1"/>
  <c r="B177" i="24"/>
  <c r="G155" i="24"/>
  <c r="K159" i="24"/>
  <c r="G230" i="24"/>
  <c r="L322" i="6"/>
  <c r="G169" i="24"/>
  <c r="F401" i="6"/>
  <c r="E149" i="24"/>
  <c r="I149" i="24"/>
  <c r="D152" i="24"/>
  <c r="H152" i="24"/>
  <c r="F154" i="24"/>
  <c r="D156" i="24"/>
  <c r="H156" i="24"/>
  <c r="E157" i="24"/>
  <c r="I157" i="24"/>
  <c r="E165" i="24"/>
  <c r="B150" i="24"/>
  <c r="B228" i="24"/>
  <c r="B158" i="24"/>
  <c r="J162" i="24"/>
  <c r="B149" i="24"/>
  <c r="B151" i="24"/>
  <c r="B157" i="24"/>
  <c r="B161" i="24"/>
  <c r="F252" i="24"/>
  <c r="B165" i="24"/>
  <c r="B253" i="24"/>
  <c r="F253" i="24"/>
  <c r="J253" i="24"/>
  <c r="H168" i="24"/>
  <c r="C169" i="24"/>
  <c r="K169" i="24"/>
  <c r="L259" i="6"/>
  <c r="F400" i="6"/>
  <c r="J400" i="6"/>
  <c r="B401" i="6"/>
  <c r="J401" i="6"/>
  <c r="L307" i="6"/>
  <c r="G400" i="6"/>
  <c r="E161" i="24"/>
  <c r="I161" i="24"/>
  <c r="K152" i="24"/>
  <c r="K156" i="24"/>
  <c r="K160" i="24"/>
  <c r="I165" i="24"/>
  <c r="K253" i="24"/>
  <c r="B173" i="24"/>
  <c r="U224" i="23"/>
  <c r="I166" i="23"/>
  <c r="E28" i="3"/>
  <c r="R373" i="5"/>
  <c r="E41" i="3" s="1"/>
  <c r="I377" i="5"/>
  <c r="D28" i="3"/>
  <c r="D32" i="3"/>
  <c r="K159" i="23"/>
  <c r="C163" i="23"/>
  <c r="G163" i="23"/>
  <c r="K163" i="23"/>
  <c r="Q246" i="23"/>
  <c r="P155" i="23"/>
  <c r="E158" i="23"/>
  <c r="G161" i="23"/>
  <c r="G248" i="23"/>
  <c r="K183" i="23"/>
  <c r="C30" i="3"/>
  <c r="I333" i="5"/>
  <c r="C22" i="3" s="1"/>
  <c r="R245" i="5"/>
  <c r="T153" i="23"/>
  <c r="P153" i="23"/>
  <c r="P157" i="23"/>
  <c r="F246" i="23"/>
  <c r="S248" i="23"/>
  <c r="G249" i="23"/>
  <c r="C31" i="3"/>
  <c r="D227" i="23"/>
  <c r="H227" i="23"/>
  <c r="I164" i="23"/>
  <c r="I158" i="23"/>
  <c r="P156" i="23"/>
  <c r="I317" i="5"/>
  <c r="B24" i="3" s="1"/>
  <c r="I318" i="5"/>
  <c r="F411" i="5"/>
  <c r="D412" i="5"/>
  <c r="H412" i="5"/>
  <c r="K167" i="23"/>
  <c r="K179" i="23"/>
  <c r="P411" i="5"/>
  <c r="N412" i="5"/>
  <c r="G413" i="5"/>
  <c r="B29" i="3"/>
  <c r="E412" i="5"/>
  <c r="O412" i="5"/>
  <c r="G412" i="5"/>
  <c r="D413" i="5"/>
  <c r="E414" i="5"/>
  <c r="B414" i="5"/>
  <c r="C185" i="23"/>
  <c r="C272" i="23" s="1"/>
  <c r="P151" i="23"/>
  <c r="D11" i="3"/>
  <c r="B13" i="3"/>
  <c r="D9" i="3"/>
  <c r="I369" i="4"/>
  <c r="D10" i="3"/>
  <c r="D14" i="3"/>
  <c r="I366" i="4"/>
  <c r="E7" i="3" s="1"/>
  <c r="I325" i="4"/>
  <c r="C4" i="3" s="1"/>
  <c r="I327" i="4"/>
  <c r="C6" i="3" s="1"/>
  <c r="I328" i="4"/>
  <c r="C7" i="3" s="1"/>
  <c r="I344" i="4"/>
  <c r="D5" i="3" s="1"/>
  <c r="I345" i="4"/>
  <c r="D6" i="3" s="1"/>
  <c r="I250" i="4"/>
  <c r="I262" i="4"/>
  <c r="D15" i="3"/>
  <c r="G4" i="3"/>
  <c r="I310" i="4"/>
  <c r="I251" i="4"/>
  <c r="I273" i="4"/>
  <c r="B9" i="3"/>
  <c r="C11" i="3"/>
  <c r="E400" i="4"/>
  <c r="G247" i="22"/>
  <c r="F247" i="22"/>
  <c r="E248" i="22"/>
  <c r="F249" i="22"/>
  <c r="G250" i="22"/>
  <c r="G5" i="3"/>
  <c r="K53" i="8"/>
  <c r="G21" i="32"/>
  <c r="U107" i="32"/>
  <c r="U203" i="32" s="1"/>
  <c r="B302" i="32"/>
  <c r="G161" i="32"/>
  <c r="G162" i="32"/>
  <c r="N164" i="32"/>
  <c r="N321" i="32" s="1"/>
  <c r="E49" i="13" s="1"/>
  <c r="T199" i="32"/>
  <c r="P201" i="32"/>
  <c r="B208" i="32"/>
  <c r="B283" i="32"/>
  <c r="M321" i="32"/>
  <c r="K315" i="27"/>
  <c r="O315" i="27"/>
  <c r="J321" i="27"/>
  <c r="D215" i="27"/>
  <c r="D311" i="27" s="1"/>
  <c r="F5" i="27"/>
  <c r="F197" i="27" s="1"/>
  <c r="F293" i="27" s="1"/>
  <c r="F6" i="27"/>
  <c r="F102" i="27" s="1"/>
  <c r="G8" i="32"/>
  <c r="G19" i="32"/>
  <c r="G211" i="32" s="1"/>
  <c r="N151" i="32"/>
  <c r="G152" i="32"/>
  <c r="G153" i="32"/>
  <c r="G201" i="32" s="1"/>
  <c r="G154" i="32"/>
  <c r="F200" i="32"/>
  <c r="P203" i="32"/>
  <c r="B212" i="32"/>
  <c r="F212" i="32"/>
  <c r="F343" i="32" s="1"/>
  <c r="P119" i="27"/>
  <c r="P311" i="27"/>
  <c r="K299" i="27"/>
  <c r="O319" i="27"/>
  <c r="N7" i="27"/>
  <c r="N199" i="27" s="1"/>
  <c r="N295" i="27" s="1"/>
  <c r="G54" i="32"/>
  <c r="B279" i="32"/>
  <c r="M198" i="32"/>
  <c r="G108" i="32"/>
  <c r="H11" i="27" s="1"/>
  <c r="H107" i="27" s="1"/>
  <c r="G164" i="32"/>
  <c r="G179" i="32"/>
  <c r="G227" i="32" s="1"/>
  <c r="M200" i="32"/>
  <c r="B204" i="32"/>
  <c r="K305" i="27"/>
  <c r="K307" i="27"/>
  <c r="G314" i="27"/>
  <c r="G317" i="27"/>
  <c r="M135" i="27"/>
  <c r="K262" i="25"/>
  <c r="L290" i="6"/>
  <c r="D156" i="28"/>
  <c r="F164" i="28"/>
  <c r="D68" i="28"/>
  <c r="D72" i="28"/>
  <c r="D231" i="28" s="1"/>
  <c r="H118" i="28"/>
  <c r="D158" i="28"/>
  <c r="E68" i="28"/>
  <c r="C73" i="28"/>
  <c r="C232" i="28" s="1"/>
  <c r="D219" i="28"/>
  <c r="H119" i="28"/>
  <c r="F236" i="26"/>
  <c r="F447" i="26" s="1"/>
  <c r="D101" i="26"/>
  <c r="B112" i="26"/>
  <c r="F112" i="26"/>
  <c r="D117" i="26"/>
  <c r="F122" i="26"/>
  <c r="D123" i="26"/>
  <c r="B128" i="26"/>
  <c r="F128" i="26"/>
  <c r="D141" i="26"/>
  <c r="D407" i="26" s="1"/>
  <c r="E214" i="26"/>
  <c r="E310" i="26" s="1"/>
  <c r="D221" i="26"/>
  <c r="D317" i="26" s="1"/>
  <c r="D139" i="26"/>
  <c r="D405" i="26" s="1"/>
  <c r="E235" i="26"/>
  <c r="E446" i="26" s="1"/>
  <c r="E242" i="26"/>
  <c r="E453" i="26" s="1"/>
  <c r="E104" i="26"/>
  <c r="E108" i="26"/>
  <c r="C354" i="26"/>
  <c r="E112" i="26"/>
  <c r="B121" i="26"/>
  <c r="B125" i="26"/>
  <c r="F125" i="26"/>
  <c r="E128" i="26"/>
  <c r="G102" i="26"/>
  <c r="E105" i="26"/>
  <c r="C114" i="26"/>
  <c r="G118" i="26"/>
  <c r="C381" i="26"/>
  <c r="C130" i="26"/>
  <c r="C136" i="26"/>
  <c r="C402" i="26" s="1"/>
  <c r="G136" i="26"/>
  <c r="G402" i="26" s="1"/>
  <c r="E137" i="26"/>
  <c r="E403" i="26" s="1"/>
  <c r="E139" i="26"/>
  <c r="E405" i="26" s="1"/>
  <c r="B137" i="26"/>
  <c r="B403" i="26" s="1"/>
  <c r="D203" i="26"/>
  <c r="D299" i="26" s="1"/>
  <c r="D205" i="26"/>
  <c r="D301" i="26" s="1"/>
  <c r="E236" i="26"/>
  <c r="E447" i="26" s="1"/>
  <c r="C237" i="26"/>
  <c r="C448" i="26" s="1"/>
  <c r="F60" i="28"/>
  <c r="F226" i="28" s="1"/>
  <c r="B68" i="28"/>
  <c r="F70" i="28"/>
  <c r="B72" i="28"/>
  <c r="B231" i="28" s="1"/>
  <c r="F74" i="28"/>
  <c r="F233" i="28" s="1"/>
  <c r="F217" i="28"/>
  <c r="G70" i="28"/>
  <c r="E218" i="28"/>
  <c r="D77" i="28"/>
  <c r="D236" i="28" s="1"/>
  <c r="B212" i="28"/>
  <c r="E65" i="28"/>
  <c r="E228" i="28" s="1"/>
  <c r="B70" i="28"/>
  <c r="D71" i="28"/>
  <c r="G213" i="28"/>
  <c r="F68" i="28"/>
  <c r="B73" i="28"/>
  <c r="B232" i="28" s="1"/>
  <c r="J137" i="27"/>
  <c r="J401" i="27" s="1"/>
  <c r="J139" i="27"/>
  <c r="J403" i="27" s="1"/>
  <c r="D141" i="27"/>
  <c r="D405" i="27" s="1"/>
  <c r="K132" i="27"/>
  <c r="K134" i="27"/>
  <c r="J141" i="27"/>
  <c r="J405" i="27" s="1"/>
  <c r="J146" i="27"/>
  <c r="J410" i="27" s="1"/>
  <c r="N117" i="27"/>
  <c r="E123" i="27"/>
  <c r="O132" i="27"/>
  <c r="O134" i="27"/>
  <c r="K136" i="27"/>
  <c r="K400" i="27" s="1"/>
  <c r="K138" i="27"/>
  <c r="K402" i="27" s="1"/>
  <c r="K140" i="27"/>
  <c r="K404" i="27" s="1"/>
  <c r="F108" i="27"/>
  <c r="F112" i="27"/>
  <c r="D113" i="27"/>
  <c r="F116" i="27"/>
  <c r="B118" i="27"/>
  <c r="F118" i="27"/>
  <c r="N119" i="27"/>
  <c r="L122" i="27"/>
  <c r="E125" i="27"/>
  <c r="L128" i="27"/>
  <c r="J131" i="27"/>
  <c r="J133" i="27"/>
  <c r="J135" i="27"/>
  <c r="O136" i="27"/>
  <c r="O400" i="27" s="1"/>
  <c r="O138" i="27"/>
  <c r="O402" i="27" s="1"/>
  <c r="O140" i="27"/>
  <c r="O404" i="27" s="1"/>
  <c r="K142" i="27"/>
  <c r="K406" i="27" s="1"/>
  <c r="G126" i="26"/>
  <c r="G400" i="26" s="1"/>
  <c r="C102" i="26"/>
  <c r="G106" i="26"/>
  <c r="C110" i="26"/>
  <c r="G110" i="26"/>
  <c r="G114" i="26"/>
  <c r="C118" i="26"/>
  <c r="G130" i="26"/>
  <c r="D131" i="26"/>
  <c r="B101" i="26"/>
  <c r="F101" i="26"/>
  <c r="B105" i="26"/>
  <c r="F105" i="26"/>
  <c r="B109" i="26"/>
  <c r="F109" i="26"/>
  <c r="B113" i="26"/>
  <c r="F113" i="26"/>
  <c r="B117" i="26"/>
  <c r="F117" i="26"/>
  <c r="C122" i="26"/>
  <c r="G122" i="26"/>
  <c r="B129" i="26"/>
  <c r="F129" i="26"/>
  <c r="G134" i="26"/>
  <c r="K209" i="25"/>
  <c r="J205" i="25"/>
  <c r="I206" i="25"/>
  <c r="T206" i="25"/>
  <c r="H208" i="25"/>
  <c r="J170" i="25"/>
  <c r="F149" i="25"/>
  <c r="F157" i="25"/>
  <c r="Q158" i="25"/>
  <c r="F165" i="25"/>
  <c r="V167" i="25"/>
  <c r="T173" i="25"/>
  <c r="C151" i="25"/>
  <c r="G151" i="25"/>
  <c r="K151" i="25"/>
  <c r="U151" i="25"/>
  <c r="U152" i="25"/>
  <c r="I172" i="25"/>
  <c r="H201" i="30"/>
  <c r="D141" i="30"/>
  <c r="D230" i="30" s="1"/>
  <c r="J151" i="25"/>
  <c r="D133" i="30"/>
  <c r="F205" i="25"/>
  <c r="E206" i="25"/>
  <c r="C209" i="25"/>
  <c r="P103" i="30"/>
  <c r="O137" i="30"/>
  <c r="O226" i="30" s="1"/>
  <c r="H161" i="25"/>
  <c r="R207" i="25"/>
  <c r="L53" i="25"/>
  <c r="X54" i="25"/>
  <c r="X56" i="25"/>
  <c r="L57" i="25"/>
  <c r="X58" i="25"/>
  <c r="R224" i="25"/>
  <c r="F156" i="25"/>
  <c r="X60" i="25"/>
  <c r="L61" i="25"/>
  <c r="X62" i="25"/>
  <c r="X64" i="25"/>
  <c r="L65" i="25"/>
  <c r="X66" i="25"/>
  <c r="X68" i="25"/>
  <c r="L69" i="25"/>
  <c r="X70" i="25"/>
  <c r="X72" i="25"/>
  <c r="X74" i="25"/>
  <c r="R228" i="25"/>
  <c r="V228" i="25"/>
  <c r="X80" i="25"/>
  <c r="L81" i="25"/>
  <c r="X82" i="25"/>
  <c r="D149" i="25"/>
  <c r="H149" i="25"/>
  <c r="D152" i="25"/>
  <c r="H152" i="25"/>
  <c r="R152" i="25"/>
  <c r="V152" i="25"/>
  <c r="D153" i="25"/>
  <c r="H153" i="25"/>
  <c r="R156" i="25"/>
  <c r="D157" i="25"/>
  <c r="H157" i="25"/>
  <c r="D160" i="25"/>
  <c r="H160" i="25"/>
  <c r="R160" i="25"/>
  <c r="V160" i="25"/>
  <c r="D161" i="25"/>
  <c r="D164" i="25"/>
  <c r="H164" i="25"/>
  <c r="D165" i="25"/>
  <c r="H165" i="25"/>
  <c r="E168" i="25"/>
  <c r="I168" i="25"/>
  <c r="Q169" i="25"/>
  <c r="T171" i="25"/>
  <c r="Q172" i="25"/>
  <c r="U172" i="25"/>
  <c r="F175" i="25"/>
  <c r="E210" i="24"/>
  <c r="I210" i="24"/>
  <c r="E211" i="24"/>
  <c r="I211" i="24"/>
  <c r="E168" i="24"/>
  <c r="I168" i="24"/>
  <c r="D149" i="24"/>
  <c r="H149" i="24"/>
  <c r="D228" i="24"/>
  <c r="H228" i="24"/>
  <c r="F228" i="24"/>
  <c r="J228" i="24"/>
  <c r="D157" i="24"/>
  <c r="H157" i="24"/>
  <c r="D161" i="24"/>
  <c r="H161" i="24"/>
  <c r="J170" i="24"/>
  <c r="F172" i="24"/>
  <c r="J172" i="24"/>
  <c r="H175" i="24"/>
  <c r="F176" i="24"/>
  <c r="J176" i="24"/>
  <c r="D177" i="24"/>
  <c r="H177" i="24"/>
  <c r="F149" i="24"/>
  <c r="J149" i="24"/>
  <c r="F155" i="24"/>
  <c r="F157" i="24"/>
  <c r="J157" i="24"/>
  <c r="F159" i="24"/>
  <c r="F161" i="24"/>
  <c r="J161" i="24"/>
  <c r="D162" i="24"/>
  <c r="H162" i="24"/>
  <c r="J163" i="24"/>
  <c r="D164" i="24"/>
  <c r="H164" i="24"/>
  <c r="F165" i="24"/>
  <c r="J165" i="24"/>
  <c r="C167" i="24"/>
  <c r="C171" i="24"/>
  <c r="C174" i="24"/>
  <c r="G174" i="24"/>
  <c r="K174" i="24"/>
  <c r="E177" i="24"/>
  <c r="I177" i="24"/>
  <c r="E193" i="24"/>
  <c r="E285" i="24" s="1"/>
  <c r="D118" i="29"/>
  <c r="H118" i="29"/>
  <c r="D119" i="29"/>
  <c r="D208" i="29" s="1"/>
  <c r="H119" i="29"/>
  <c r="H208" i="29" s="1"/>
  <c r="D123" i="29"/>
  <c r="G130" i="29"/>
  <c r="F210" i="24"/>
  <c r="C159" i="24"/>
  <c r="G159" i="24"/>
  <c r="K167" i="24"/>
  <c r="E172" i="24"/>
  <c r="E176" i="24"/>
  <c r="I176" i="24"/>
  <c r="I180" i="24"/>
  <c r="C148" i="24"/>
  <c r="K148" i="24"/>
  <c r="C152" i="24"/>
  <c r="G152" i="24"/>
  <c r="E228" i="24"/>
  <c r="I228" i="24"/>
  <c r="G156" i="24"/>
  <c r="C160" i="24"/>
  <c r="G160" i="24"/>
  <c r="C164" i="24"/>
  <c r="G164" i="24"/>
  <c r="K164" i="24"/>
  <c r="G231" i="24"/>
  <c r="E148" i="24"/>
  <c r="I148" i="24"/>
  <c r="K151" i="24"/>
  <c r="I154" i="24"/>
  <c r="C155" i="24"/>
  <c r="K155" i="24"/>
  <c r="E156" i="24"/>
  <c r="I156" i="24"/>
  <c r="E160" i="24"/>
  <c r="I160" i="24"/>
  <c r="I162" i="24"/>
  <c r="F169" i="24"/>
  <c r="J169" i="24"/>
  <c r="E170" i="24"/>
  <c r="H184" i="24"/>
  <c r="H276" i="24" s="1"/>
  <c r="E212" i="24"/>
  <c r="D114" i="29"/>
  <c r="H114" i="29"/>
  <c r="F188" i="29"/>
  <c r="D191" i="29"/>
  <c r="H191" i="29"/>
  <c r="K212" i="24"/>
  <c r="I172" i="24"/>
  <c r="B154" i="23"/>
  <c r="B158" i="23"/>
  <c r="J158" i="23"/>
  <c r="K178" i="23"/>
  <c r="O234" i="27"/>
  <c r="O443" i="27" s="1"/>
  <c r="O294" i="27"/>
  <c r="G296" i="27"/>
  <c r="O296" i="27"/>
  <c r="O300" i="27"/>
  <c r="G302" i="27"/>
  <c r="O302" i="27"/>
  <c r="G304" i="27"/>
  <c r="O304" i="27"/>
  <c r="G205" i="23"/>
  <c r="T205" i="23"/>
  <c r="X16" i="23"/>
  <c r="X19" i="23"/>
  <c r="E207" i="23"/>
  <c r="I207" i="23"/>
  <c r="R207" i="23"/>
  <c r="C209" i="23"/>
  <c r="G209" i="23"/>
  <c r="K209" i="23"/>
  <c r="U149" i="23"/>
  <c r="J150" i="23"/>
  <c r="R150" i="23"/>
  <c r="K156" i="23"/>
  <c r="C157" i="23"/>
  <c r="K158" i="23"/>
  <c r="B162" i="23"/>
  <c r="J162" i="23"/>
  <c r="K164" i="23"/>
  <c r="B167" i="23"/>
  <c r="J167" i="23"/>
  <c r="B169" i="23"/>
  <c r="J169" i="23"/>
  <c r="B171" i="23"/>
  <c r="J171" i="23"/>
  <c r="B173" i="23"/>
  <c r="J173" i="23"/>
  <c r="B177" i="23"/>
  <c r="J177" i="23"/>
  <c r="E150" i="23"/>
  <c r="I150" i="23"/>
  <c r="T151" i="23"/>
  <c r="C153" i="23"/>
  <c r="S162" i="23"/>
  <c r="I186" i="23"/>
  <c r="I273" i="23" s="1"/>
  <c r="I190" i="23"/>
  <c r="I277" i="23" s="1"/>
  <c r="R182" i="23"/>
  <c r="R186" i="23"/>
  <c r="R273" i="23" s="1"/>
  <c r="K187" i="23"/>
  <c r="K274" i="23" s="1"/>
  <c r="T189" i="23"/>
  <c r="T276" i="23" s="1"/>
  <c r="C231" i="23"/>
  <c r="O232" i="27"/>
  <c r="O441" i="27" s="1"/>
  <c r="O238" i="27"/>
  <c r="O447" i="27" s="1"/>
  <c r="J194" i="23"/>
  <c r="J281" i="23" s="1"/>
  <c r="T155" i="23"/>
  <c r="R156" i="23"/>
  <c r="R190" i="23"/>
  <c r="R277" i="23" s="1"/>
  <c r="O306" i="27"/>
  <c r="O309" i="27"/>
  <c r="O310" i="27"/>
  <c r="G312" i="27"/>
  <c r="O312" i="27"/>
  <c r="O313" i="27"/>
  <c r="O314" i="27"/>
  <c r="G316" i="27"/>
  <c r="O317" i="27"/>
  <c r="G320" i="27"/>
  <c r="X7" i="23"/>
  <c r="D205" i="23"/>
  <c r="H205" i="23"/>
  <c r="X10" i="23"/>
  <c r="X11" i="23"/>
  <c r="E206" i="23"/>
  <c r="I206" i="23"/>
  <c r="R206" i="23"/>
  <c r="F207" i="23"/>
  <c r="J207" i="23"/>
  <c r="H209" i="23"/>
  <c r="J149" i="23"/>
  <c r="G151" i="23"/>
  <c r="K151" i="23"/>
  <c r="B152" i="23"/>
  <c r="J152" i="23"/>
  <c r="D225" i="23"/>
  <c r="H225" i="23"/>
  <c r="U225" i="23"/>
  <c r="B161" i="23"/>
  <c r="J161" i="23"/>
  <c r="K162" i="23"/>
  <c r="D226" i="23"/>
  <c r="H226" i="23"/>
  <c r="B166" i="23"/>
  <c r="J166" i="23"/>
  <c r="E168" i="23"/>
  <c r="G227" i="23"/>
  <c r="E170" i="23"/>
  <c r="C171" i="23"/>
  <c r="E172" i="23"/>
  <c r="C175" i="23"/>
  <c r="E176" i="23"/>
  <c r="E178" i="23"/>
  <c r="J190" i="23"/>
  <c r="J277" i="23" s="1"/>
  <c r="C149" i="23"/>
  <c r="G149" i="23"/>
  <c r="P149" i="23"/>
  <c r="S150" i="23"/>
  <c r="D151" i="23"/>
  <c r="H151" i="23"/>
  <c r="F152" i="23"/>
  <c r="S152" i="23"/>
  <c r="D153" i="23"/>
  <c r="H153" i="23"/>
  <c r="Q153" i="23"/>
  <c r="U153" i="23"/>
  <c r="E155" i="23"/>
  <c r="I155" i="23"/>
  <c r="C156" i="23"/>
  <c r="G156" i="23"/>
  <c r="T156" i="23"/>
  <c r="E157" i="23"/>
  <c r="I157" i="23"/>
  <c r="R157" i="23"/>
  <c r="C158" i="23"/>
  <c r="G158" i="23"/>
  <c r="E159" i="23"/>
  <c r="I159" i="23"/>
  <c r="T160" i="23"/>
  <c r="T161" i="23"/>
  <c r="E162" i="23"/>
  <c r="I162" i="23"/>
  <c r="F163" i="23"/>
  <c r="E167" i="23"/>
  <c r="I167" i="23"/>
  <c r="F168" i="23"/>
  <c r="D170" i="23"/>
  <c r="H170" i="23"/>
  <c r="E171" i="23"/>
  <c r="I171" i="23"/>
  <c r="D174" i="23"/>
  <c r="E175" i="23"/>
  <c r="I175" i="23"/>
  <c r="H178" i="23"/>
  <c r="E179" i="23"/>
  <c r="C183" i="23"/>
  <c r="E185" i="23"/>
  <c r="E272" i="23" s="1"/>
  <c r="I185" i="23"/>
  <c r="I272" i="23" s="1"/>
  <c r="C187" i="23"/>
  <c r="C274" i="23" s="1"/>
  <c r="D188" i="23"/>
  <c r="D275" i="23" s="1"/>
  <c r="E189" i="23"/>
  <c r="E276" i="23" s="1"/>
  <c r="I189" i="23"/>
  <c r="I276" i="23" s="1"/>
  <c r="K181" i="23"/>
  <c r="T181" i="23"/>
  <c r="R184" i="23"/>
  <c r="R271" i="23" s="1"/>
  <c r="R188" i="23"/>
  <c r="R275" i="23" s="1"/>
  <c r="T214" i="23"/>
  <c r="T221" i="23"/>
  <c r="J236" i="23"/>
  <c r="J240" i="23"/>
  <c r="G414" i="27"/>
  <c r="G242" i="27"/>
  <c r="G451" i="27" s="1"/>
  <c r="O321" i="27"/>
  <c r="O322" i="27"/>
  <c r="E205" i="23"/>
  <c r="I205" i="23"/>
  <c r="R205" i="23"/>
  <c r="X14" i="23"/>
  <c r="S206" i="23"/>
  <c r="X17" i="23"/>
  <c r="X21" i="23"/>
  <c r="X22" i="23"/>
  <c r="X166" i="23" s="1"/>
  <c r="D208" i="23"/>
  <c r="H208" i="23"/>
  <c r="K152" i="23"/>
  <c r="R152" i="23"/>
  <c r="B153" i="23"/>
  <c r="J153" i="23"/>
  <c r="X59" i="23"/>
  <c r="B165" i="23"/>
  <c r="J165" i="23"/>
  <c r="K166" i="23"/>
  <c r="B178" i="23"/>
  <c r="J178" i="23"/>
  <c r="F162" i="23"/>
  <c r="C165" i="23"/>
  <c r="G165" i="23"/>
  <c r="R165" i="23"/>
  <c r="E166" i="23"/>
  <c r="F167" i="23"/>
  <c r="C168" i="23"/>
  <c r="G168" i="23"/>
  <c r="F171" i="23"/>
  <c r="C172" i="23"/>
  <c r="G172" i="23"/>
  <c r="F175" i="23"/>
  <c r="C176" i="23"/>
  <c r="G176" i="23"/>
  <c r="C180" i="23"/>
  <c r="D182" i="23"/>
  <c r="I188" i="23"/>
  <c r="I275" i="23" s="1"/>
  <c r="R180" i="23"/>
  <c r="K185" i="23"/>
  <c r="K272" i="23" s="1"/>
  <c r="R209" i="23"/>
  <c r="B168" i="22"/>
  <c r="E230" i="26"/>
  <c r="F206" i="22"/>
  <c r="J206" i="22"/>
  <c r="D208" i="22"/>
  <c r="H208" i="22"/>
  <c r="F209" i="22"/>
  <c r="B146" i="22"/>
  <c r="J146" i="22"/>
  <c r="J148" i="22"/>
  <c r="B150" i="22"/>
  <c r="J150" i="22"/>
  <c r="B154" i="22"/>
  <c r="J154" i="22"/>
  <c r="K175" i="22"/>
  <c r="K179" i="22"/>
  <c r="K275" i="22" s="1"/>
  <c r="K186" i="22"/>
  <c r="K282" i="22" s="1"/>
  <c r="B199" i="26"/>
  <c r="B295" i="26" s="1"/>
  <c r="F199" i="26"/>
  <c r="F295" i="26" s="1"/>
  <c r="F203" i="26"/>
  <c r="F299" i="26" s="1"/>
  <c r="B207" i="26"/>
  <c r="B303" i="26" s="1"/>
  <c r="B211" i="26"/>
  <c r="B307" i="26" s="1"/>
  <c r="F211" i="26"/>
  <c r="F307" i="26" s="1"/>
  <c r="B215" i="26"/>
  <c r="B311" i="26" s="1"/>
  <c r="F215" i="26"/>
  <c r="F311" i="26" s="1"/>
  <c r="C216" i="26"/>
  <c r="C312" i="26" s="1"/>
  <c r="G216" i="26"/>
  <c r="G312" i="26" s="1"/>
  <c r="K145" i="22"/>
  <c r="E205" i="22"/>
  <c r="I205" i="22"/>
  <c r="K149" i="22"/>
  <c r="G206" i="22"/>
  <c r="K153" i="22"/>
  <c r="K144" i="22"/>
  <c r="K146" i="22"/>
  <c r="K148" i="22"/>
  <c r="K150" i="22"/>
  <c r="K152" i="22"/>
  <c r="K154" i="22"/>
  <c r="K156" i="22"/>
  <c r="B158" i="22"/>
  <c r="J158" i="22"/>
  <c r="B178" i="22"/>
  <c r="B274" i="22" s="1"/>
  <c r="J178" i="22"/>
  <c r="J274" i="22" s="1"/>
  <c r="B182" i="22"/>
  <c r="B278" i="22" s="1"/>
  <c r="J182" i="22"/>
  <c r="J278" i="22" s="1"/>
  <c r="F219" i="26"/>
  <c r="F315" i="26" s="1"/>
  <c r="E226" i="26"/>
  <c r="E322" i="26" s="1"/>
  <c r="C422" i="26"/>
  <c r="D7" i="8"/>
  <c r="H207" i="22"/>
  <c r="B159" i="22"/>
  <c r="J159" i="22"/>
  <c r="B161" i="22"/>
  <c r="J161" i="22"/>
  <c r="B167" i="22"/>
  <c r="J167" i="22"/>
  <c r="B173" i="22"/>
  <c r="J173" i="22"/>
  <c r="K231" i="22"/>
  <c r="K177" i="22"/>
  <c r="K273" i="22" s="1"/>
  <c r="L33" i="22"/>
  <c r="L40" i="22"/>
  <c r="L213" i="22" s="1"/>
  <c r="L44" i="22"/>
  <c r="L217" i="22" s="1"/>
  <c r="E10" i="8"/>
  <c r="D9" i="8"/>
  <c r="E9" i="8"/>
  <c r="D206" i="22"/>
  <c r="B163" i="22"/>
  <c r="J163" i="22"/>
  <c r="B165" i="22"/>
  <c r="J165" i="22"/>
  <c r="B169" i="22"/>
  <c r="J169" i="22"/>
  <c r="L6" i="22"/>
  <c r="L10" i="22"/>
  <c r="L14" i="22"/>
  <c r="L18" i="22"/>
  <c r="L22" i="22"/>
  <c r="L26" i="22"/>
  <c r="L30" i="22"/>
  <c r="L94" i="22"/>
  <c r="F22" i="8"/>
  <c r="K159" i="22"/>
  <c r="K163" i="22"/>
  <c r="K167" i="22"/>
  <c r="K171" i="22"/>
  <c r="K271" i="22" s="1"/>
  <c r="F146" i="22"/>
  <c r="D147" i="22"/>
  <c r="H147" i="22"/>
  <c r="D151" i="22"/>
  <c r="H151" i="22"/>
  <c r="D155" i="22"/>
  <c r="H155" i="22"/>
  <c r="F165" i="22"/>
  <c r="F169" i="22"/>
  <c r="K173" i="22"/>
  <c r="C228" i="26"/>
  <c r="B144" i="22"/>
  <c r="J144" i="22"/>
  <c r="B148" i="22"/>
  <c r="H206" i="22"/>
  <c r="J176" i="22"/>
  <c r="J272" i="22" s="1"/>
  <c r="E306" i="26"/>
  <c r="E143" i="22"/>
  <c r="I143" i="22"/>
  <c r="G205" i="22"/>
  <c r="I147" i="22"/>
  <c r="B152" i="22"/>
  <c r="J152" i="22"/>
  <c r="B156" i="22"/>
  <c r="B209" i="22"/>
  <c r="J209" i="22"/>
  <c r="B143" i="22"/>
  <c r="J143" i="22"/>
  <c r="B145" i="22"/>
  <c r="J145" i="22"/>
  <c r="B147" i="22"/>
  <c r="F224" i="22"/>
  <c r="J147" i="22"/>
  <c r="B149" i="22"/>
  <c r="J149" i="22"/>
  <c r="B151" i="22"/>
  <c r="J151" i="22"/>
  <c r="B153" i="22"/>
  <c r="J153" i="22"/>
  <c r="B155" i="22"/>
  <c r="J155" i="22"/>
  <c r="D226" i="22"/>
  <c r="H226" i="22"/>
  <c r="B157" i="22"/>
  <c r="J157" i="22"/>
  <c r="K158" i="22"/>
  <c r="D227" i="22"/>
  <c r="H227" i="22"/>
  <c r="B162" i="22"/>
  <c r="J162" i="22"/>
  <c r="B166" i="22"/>
  <c r="J166" i="22"/>
  <c r="B170" i="22"/>
  <c r="J170" i="22"/>
  <c r="B174" i="22"/>
  <c r="J174" i="22"/>
  <c r="K178" i="22"/>
  <c r="K274" i="22" s="1"/>
  <c r="K182" i="22"/>
  <c r="K278" i="22" s="1"/>
  <c r="D143" i="22"/>
  <c r="H143" i="22"/>
  <c r="E144" i="22"/>
  <c r="I144" i="22"/>
  <c r="E147" i="22"/>
  <c r="G149" i="22"/>
  <c r="F152" i="22"/>
  <c r="C153" i="22"/>
  <c r="H154" i="22"/>
  <c r="E155" i="22"/>
  <c r="G157" i="22"/>
  <c r="H158" i="22"/>
  <c r="F160" i="22"/>
  <c r="D162" i="22"/>
  <c r="H162" i="22"/>
  <c r="E163" i="22"/>
  <c r="I163" i="22"/>
  <c r="G165" i="22"/>
  <c r="F168" i="22"/>
  <c r="C169" i="22"/>
  <c r="D170" i="22"/>
  <c r="H170" i="22"/>
  <c r="G173" i="22"/>
  <c r="D205" i="22"/>
  <c r="I206" i="22"/>
  <c r="G207" i="22"/>
  <c r="E208" i="22"/>
  <c r="I208" i="22"/>
  <c r="K143" i="22"/>
  <c r="K147" i="22"/>
  <c r="G225" i="22"/>
  <c r="K151" i="22"/>
  <c r="K155" i="22"/>
  <c r="K160" i="22"/>
  <c r="K162" i="22"/>
  <c r="K164" i="22"/>
  <c r="C228" i="22"/>
  <c r="K166" i="22"/>
  <c r="K168" i="22"/>
  <c r="K170" i="22"/>
  <c r="K174" i="22"/>
  <c r="B177" i="22"/>
  <c r="B273" i="22" s="1"/>
  <c r="J177" i="22"/>
  <c r="J273" i="22" s="1"/>
  <c r="B181" i="22"/>
  <c r="B277" i="22" s="1"/>
  <c r="J181" i="22"/>
  <c r="J277" i="22" s="1"/>
  <c r="F144" i="22"/>
  <c r="D149" i="22"/>
  <c r="H149" i="22"/>
  <c r="D153" i="22"/>
  <c r="H153" i="22"/>
  <c r="D157" i="22"/>
  <c r="H157" i="22"/>
  <c r="E158" i="22"/>
  <c r="I158" i="22"/>
  <c r="F159" i="22"/>
  <c r="F163" i="22"/>
  <c r="B172" i="22"/>
  <c r="K228" i="22"/>
  <c r="B231" i="22"/>
  <c r="C220" i="26"/>
  <c r="C316" i="26" s="1"/>
  <c r="G220" i="26"/>
  <c r="G316" i="26" s="1"/>
  <c r="B223" i="26"/>
  <c r="B319" i="26" s="1"/>
  <c r="B227" i="26"/>
  <c r="I16" i="30"/>
  <c r="I25" i="30"/>
  <c r="I27" i="30"/>
  <c r="R33" i="30"/>
  <c r="R37" i="30"/>
  <c r="R45" i="30"/>
  <c r="R189" i="30" s="1"/>
  <c r="D348" i="20"/>
  <c r="E102" i="30"/>
  <c r="E104" i="30"/>
  <c r="C105" i="30"/>
  <c r="E108" i="30"/>
  <c r="O127" i="30"/>
  <c r="O133" i="30"/>
  <c r="O135" i="30"/>
  <c r="O208" i="30"/>
  <c r="O141" i="30"/>
  <c r="O230" i="30" s="1"/>
  <c r="O139" i="30"/>
  <c r="O228" i="30" s="1"/>
  <c r="I269" i="20"/>
  <c r="I6" i="30"/>
  <c r="I20" i="30"/>
  <c r="I22" i="30"/>
  <c r="N349" i="20"/>
  <c r="R18" i="30"/>
  <c r="I44" i="30"/>
  <c r="I188" i="30" s="1"/>
  <c r="I275" i="20"/>
  <c r="I285" i="20"/>
  <c r="I288" i="20"/>
  <c r="I307" i="20"/>
  <c r="C347" i="20"/>
  <c r="G347" i="20"/>
  <c r="M347" i="20"/>
  <c r="E349" i="20"/>
  <c r="E350" i="20"/>
  <c r="M351" i="20"/>
  <c r="Q351" i="20"/>
  <c r="D178" i="30"/>
  <c r="P102" i="30"/>
  <c r="D103" i="30"/>
  <c r="D105" i="30"/>
  <c r="N105" i="30"/>
  <c r="P108" i="30"/>
  <c r="N109" i="30"/>
  <c r="M119" i="30"/>
  <c r="O131" i="30"/>
  <c r="R35" i="30"/>
  <c r="R39" i="30"/>
  <c r="R41" i="30"/>
  <c r="R185" i="30" s="1"/>
  <c r="R43" i="30"/>
  <c r="R187" i="30" s="1"/>
  <c r="R274" i="20"/>
  <c r="P349" i="20"/>
  <c r="R281" i="20"/>
  <c r="I326" i="20"/>
  <c r="O146" i="30"/>
  <c r="O235" i="30" s="1"/>
  <c r="M178" i="30"/>
  <c r="D115" i="30"/>
  <c r="I8" i="30"/>
  <c r="I15" i="30"/>
  <c r="I17" i="30"/>
  <c r="I19" i="30"/>
  <c r="I21" i="30"/>
  <c r="I24" i="30"/>
  <c r="R34" i="30"/>
  <c r="R284" i="20"/>
  <c r="R285" i="20"/>
  <c r="R288" i="20"/>
  <c r="R307" i="20"/>
  <c r="R308" i="20"/>
  <c r="R309" i="20"/>
  <c r="D347" i="20"/>
  <c r="N347" i="20"/>
  <c r="L348" i="20"/>
  <c r="P348" i="20"/>
  <c r="F350" i="20"/>
  <c r="P350" i="20"/>
  <c r="D351" i="20"/>
  <c r="H351" i="20"/>
  <c r="N351" i="20"/>
  <c r="N178" i="30"/>
  <c r="P110" i="30"/>
  <c r="N180" i="30"/>
  <c r="N181" i="30"/>
  <c r="L101" i="30"/>
  <c r="P101" i="30"/>
  <c r="N102" i="30"/>
  <c r="N104" i="30"/>
  <c r="P105" i="30"/>
  <c r="D107" i="30"/>
  <c r="D108" i="30"/>
  <c r="N108" i="30"/>
  <c r="P109" i="30"/>
  <c r="N110" i="30"/>
  <c r="D112" i="30"/>
  <c r="D114" i="30"/>
  <c r="D199" i="30"/>
  <c r="N127" i="30"/>
  <c r="N129" i="30"/>
  <c r="E178" i="30"/>
  <c r="Q178" i="30"/>
  <c r="E182" i="30"/>
  <c r="E103" i="30"/>
  <c r="E105" i="30"/>
  <c r="N197" i="30"/>
  <c r="N107" i="30"/>
  <c r="E109" i="30"/>
  <c r="C110" i="30"/>
  <c r="G110" i="30"/>
  <c r="M110" i="30"/>
  <c r="Q110" i="30"/>
  <c r="C112" i="30"/>
  <c r="G112" i="30"/>
  <c r="M112" i="30"/>
  <c r="Q112" i="30"/>
  <c r="C114" i="30"/>
  <c r="C116" i="30"/>
  <c r="M199" i="30"/>
  <c r="Q116" i="30"/>
  <c r="C118" i="30"/>
  <c r="G118" i="30"/>
  <c r="Q118" i="30"/>
  <c r="C121" i="30"/>
  <c r="Q121" i="30"/>
  <c r="C123" i="30"/>
  <c r="G123" i="30"/>
  <c r="Q123" i="30"/>
  <c r="C125" i="30"/>
  <c r="G125" i="30"/>
  <c r="Q125" i="30"/>
  <c r="C127" i="30"/>
  <c r="G127" i="30"/>
  <c r="O128" i="30"/>
  <c r="C129" i="30"/>
  <c r="G129" i="30"/>
  <c r="O130" i="30"/>
  <c r="C348" i="19"/>
  <c r="F100" i="29"/>
  <c r="C124" i="29"/>
  <c r="G124" i="29"/>
  <c r="E126" i="29"/>
  <c r="B127" i="29"/>
  <c r="F127" i="29"/>
  <c r="C128" i="29"/>
  <c r="G128" i="29"/>
  <c r="G132" i="29"/>
  <c r="G198" i="29"/>
  <c r="G140" i="29"/>
  <c r="G217" i="29" s="1"/>
  <c r="I284" i="19"/>
  <c r="G168" i="29"/>
  <c r="D121" i="29"/>
  <c r="H121" i="29"/>
  <c r="D101" i="29"/>
  <c r="E102" i="29"/>
  <c r="H107" i="29"/>
  <c r="D189" i="29"/>
  <c r="B126" i="29"/>
  <c r="F126" i="29"/>
  <c r="G127" i="29"/>
  <c r="C131" i="29"/>
  <c r="C135" i="29"/>
  <c r="C212" i="29" s="1"/>
  <c r="C139" i="29"/>
  <c r="C216" i="29" s="1"/>
  <c r="C197" i="29"/>
  <c r="C193" i="29"/>
  <c r="I16" i="29"/>
  <c r="I20" i="29"/>
  <c r="I329" i="19"/>
  <c r="C347" i="19"/>
  <c r="G347" i="19"/>
  <c r="D348" i="19"/>
  <c r="H348" i="19"/>
  <c r="E349" i="19"/>
  <c r="C350" i="19"/>
  <c r="G350" i="19"/>
  <c r="J267" i="19"/>
  <c r="F172" i="29"/>
  <c r="G103" i="29"/>
  <c r="D104" i="29"/>
  <c r="C168" i="29"/>
  <c r="E169" i="29"/>
  <c r="F170" i="29"/>
  <c r="H101" i="29"/>
  <c r="D107" i="29"/>
  <c r="C127" i="29"/>
  <c r="E129" i="29"/>
  <c r="I4" i="29"/>
  <c r="I203" i="19"/>
  <c r="I207" i="19"/>
  <c r="I197" i="19"/>
  <c r="I306" i="19"/>
  <c r="H106" i="29"/>
  <c r="F189" i="29"/>
  <c r="H112" i="29"/>
  <c r="C170" i="29"/>
  <c r="H116" i="29"/>
  <c r="H120" i="29"/>
  <c r="H100" i="29"/>
  <c r="F102" i="29"/>
  <c r="C103" i="29"/>
  <c r="C106" i="29"/>
  <c r="G106" i="29"/>
  <c r="F108" i="29"/>
  <c r="C109" i="29"/>
  <c r="G109" i="29"/>
  <c r="D188" i="29"/>
  <c r="E111" i="29"/>
  <c r="B112" i="29"/>
  <c r="F112" i="29"/>
  <c r="C113" i="29"/>
  <c r="G113" i="29"/>
  <c r="B116" i="29"/>
  <c r="F116" i="29"/>
  <c r="C117" i="29"/>
  <c r="B121" i="29"/>
  <c r="F121" i="29"/>
  <c r="C122" i="29"/>
  <c r="G122" i="29"/>
  <c r="E124" i="29"/>
  <c r="F191" i="29"/>
  <c r="C126" i="29"/>
  <c r="G126" i="29"/>
  <c r="E128" i="29"/>
  <c r="B129" i="29"/>
  <c r="F129" i="29"/>
  <c r="F350" i="19"/>
  <c r="J266" i="19"/>
  <c r="E168" i="29"/>
  <c r="C169" i="29"/>
  <c r="G169" i="29"/>
  <c r="D111" i="29"/>
  <c r="H111" i="29"/>
  <c r="E171" i="29"/>
  <c r="C172" i="29"/>
  <c r="G172" i="29"/>
  <c r="E100" i="29"/>
  <c r="B101" i="29"/>
  <c r="F101" i="29"/>
  <c r="C102" i="29"/>
  <c r="D103" i="29"/>
  <c r="H103" i="29"/>
  <c r="E104" i="29"/>
  <c r="G187" i="29"/>
  <c r="B107" i="29"/>
  <c r="F107" i="29"/>
  <c r="C108" i="29"/>
  <c r="G108" i="29"/>
  <c r="H109" i="29"/>
  <c r="B111" i="29"/>
  <c r="F111" i="29"/>
  <c r="C112" i="29"/>
  <c r="G112" i="29"/>
  <c r="E114" i="29"/>
  <c r="B115" i="29"/>
  <c r="F115" i="29"/>
  <c r="C116" i="29"/>
  <c r="G116" i="29"/>
  <c r="E118" i="29"/>
  <c r="I118" i="29"/>
  <c r="E119" i="29"/>
  <c r="B120" i="29"/>
  <c r="F120" i="29"/>
  <c r="C121" i="29"/>
  <c r="G121" i="29"/>
  <c r="E123" i="29"/>
  <c r="B124" i="29"/>
  <c r="F124" i="29"/>
  <c r="C125" i="29"/>
  <c r="C210" i="29" s="1"/>
  <c r="E127" i="29"/>
  <c r="B128" i="29"/>
  <c r="F128" i="29"/>
  <c r="C129" i="29"/>
  <c r="G129" i="29"/>
  <c r="C133" i="29"/>
  <c r="C137" i="29"/>
  <c r="C214" i="29" s="1"/>
  <c r="C141" i="29"/>
  <c r="C218" i="29" s="1"/>
  <c r="F190" i="29"/>
  <c r="H8" i="27"/>
  <c r="H104" i="27" s="1"/>
  <c r="P9" i="27"/>
  <c r="P201" i="27" s="1"/>
  <c r="P297" i="27" s="1"/>
  <c r="U279" i="32"/>
  <c r="C67" i="13" s="1"/>
  <c r="G281" i="32"/>
  <c r="C27" i="13" s="1"/>
  <c r="N231" i="32"/>
  <c r="U237" i="32"/>
  <c r="U239" i="32"/>
  <c r="T342" i="32"/>
  <c r="C343" i="32"/>
  <c r="S343" i="32"/>
  <c r="F344" i="32"/>
  <c r="L344" i="32"/>
  <c r="R344" i="32"/>
  <c r="L345" i="32"/>
  <c r="Q345" i="32"/>
  <c r="H27" i="27"/>
  <c r="H123" i="27" s="1"/>
  <c r="H29" i="27"/>
  <c r="H125" i="27" s="1"/>
  <c r="T343" i="32"/>
  <c r="Q344" i="32"/>
  <c r="R345" i="32"/>
  <c r="Q346" i="32"/>
  <c r="K236" i="27"/>
  <c r="K445" i="27" s="1"/>
  <c r="H38" i="26"/>
  <c r="H362" i="26" s="1"/>
  <c r="C348" i="14"/>
  <c r="D349" i="14"/>
  <c r="F361" i="26"/>
  <c r="F133" i="26"/>
  <c r="E221" i="26"/>
  <c r="E317" i="26" s="1"/>
  <c r="G237" i="26"/>
  <c r="G448" i="26" s="1"/>
  <c r="G429" i="26"/>
  <c r="F345" i="14"/>
  <c r="C346" i="14"/>
  <c r="C347" i="14"/>
  <c r="F349" i="14"/>
  <c r="H332" i="14"/>
  <c r="D357" i="26"/>
  <c r="E360" i="26"/>
  <c r="E132" i="26"/>
  <c r="E234" i="26"/>
  <c r="E445" i="26" s="1"/>
  <c r="F141" i="26"/>
  <c r="F407" i="26" s="1"/>
  <c r="D220" i="26"/>
  <c r="D316" i="26" s="1"/>
  <c r="F223" i="26"/>
  <c r="F319" i="26" s="1"/>
  <c r="H177" i="26"/>
  <c r="D237" i="26"/>
  <c r="D448" i="26" s="1"/>
  <c r="E366" i="26"/>
  <c r="H218" i="14"/>
  <c r="H220" i="14"/>
  <c r="H224" i="14"/>
  <c r="H236" i="14"/>
  <c r="F227" i="26"/>
  <c r="F359" i="26"/>
  <c r="F365" i="26"/>
  <c r="F137" i="26"/>
  <c r="F403" i="26" s="1"/>
  <c r="B242" i="26"/>
  <c r="B453" i="26" s="1"/>
  <c r="B374" i="26"/>
  <c r="F419" i="26"/>
  <c r="H7" i="26"/>
  <c r="H11" i="26"/>
  <c r="H15" i="26"/>
  <c r="H19" i="26"/>
  <c r="H24" i="26"/>
  <c r="H120" i="26" s="1"/>
  <c r="H32" i="26"/>
  <c r="H128" i="26" s="1"/>
  <c r="H36" i="26"/>
  <c r="H360" i="26" s="1"/>
  <c r="H40" i="26"/>
  <c r="H364" i="26" s="1"/>
  <c r="H44" i="26"/>
  <c r="H368" i="26" s="1"/>
  <c r="H288" i="14"/>
  <c r="H217" i="14"/>
  <c r="H198" i="14"/>
  <c r="H206" i="14"/>
  <c r="H210" i="14"/>
  <c r="H214" i="14"/>
  <c r="H226" i="14"/>
  <c r="C345" i="14"/>
  <c r="D346" i="14"/>
  <c r="E346" i="14"/>
  <c r="B347" i="14"/>
  <c r="F347" i="14"/>
  <c r="E294" i="26"/>
  <c r="D197" i="26"/>
  <c r="D293" i="26" s="1"/>
  <c r="D201" i="26"/>
  <c r="D297" i="26" s="1"/>
  <c r="D209" i="26"/>
  <c r="D305" i="26" s="1"/>
  <c r="D213" i="26"/>
  <c r="D309" i="26" s="1"/>
  <c r="C356" i="26"/>
  <c r="B103" i="26"/>
  <c r="F103" i="26"/>
  <c r="D104" i="26"/>
  <c r="B203" i="26"/>
  <c r="B299" i="26" s="1"/>
  <c r="F242" i="26"/>
  <c r="F453" i="26" s="1"/>
  <c r="B119" i="26"/>
  <c r="F119" i="26"/>
  <c r="D120" i="26"/>
  <c r="B131" i="26"/>
  <c r="F131" i="26"/>
  <c r="D132" i="26"/>
  <c r="H153" i="26"/>
  <c r="H161" i="26"/>
  <c r="F209" i="26"/>
  <c r="F305" i="26" s="1"/>
  <c r="E422" i="26"/>
  <c r="G229" i="26"/>
  <c r="G232" i="26"/>
  <c r="G443" i="26" s="1"/>
  <c r="D345" i="14"/>
  <c r="B349" i="14"/>
  <c r="E302" i="26"/>
  <c r="C200" i="26"/>
  <c r="C296" i="26" s="1"/>
  <c r="E353" i="26"/>
  <c r="C204" i="26"/>
  <c r="C300" i="26" s="1"/>
  <c r="G204" i="26"/>
  <c r="G300" i="26" s="1"/>
  <c r="C208" i="26"/>
  <c r="C304" i="26" s="1"/>
  <c r="G208" i="26"/>
  <c r="G304" i="26" s="1"/>
  <c r="G212" i="26"/>
  <c r="G308" i="26" s="1"/>
  <c r="C224" i="26"/>
  <c r="C320" i="26" s="1"/>
  <c r="G224" i="26"/>
  <c r="G320" i="26" s="1"/>
  <c r="C232" i="26"/>
  <c r="C443" i="26" s="1"/>
  <c r="E102" i="26"/>
  <c r="E118" i="26"/>
  <c r="C123" i="26"/>
  <c r="G123" i="26"/>
  <c r="E130" i="26"/>
  <c r="C138" i="26"/>
  <c r="C404" i="26" s="1"/>
  <c r="E208" i="26"/>
  <c r="E304" i="26" s="1"/>
  <c r="E421" i="26"/>
  <c r="F226" i="26"/>
  <c r="F322" i="26" s="1"/>
  <c r="D227" i="26"/>
  <c r="B228" i="26"/>
  <c r="F228" i="26"/>
  <c r="H189" i="26"/>
  <c r="B235" i="26"/>
  <c r="B446" i="26" s="1"/>
  <c r="E427" i="26"/>
  <c r="G228" i="32"/>
  <c r="N234" i="32"/>
  <c r="N327" i="32"/>
  <c r="E55" i="13" s="1"/>
  <c r="E197" i="27"/>
  <c r="E293" i="27" s="1"/>
  <c r="C215" i="27"/>
  <c r="C311" i="27" s="1"/>
  <c r="M218" i="27"/>
  <c r="M314" i="27" s="1"/>
  <c r="G304" i="32"/>
  <c r="D28" i="13" s="1"/>
  <c r="U225" i="32"/>
  <c r="D342" i="32"/>
  <c r="Q342" i="32"/>
  <c r="K306" i="27"/>
  <c r="D199" i="27"/>
  <c r="D295" i="27" s="1"/>
  <c r="E140" i="27"/>
  <c r="E404" i="27" s="1"/>
  <c r="E342" i="32"/>
  <c r="C345" i="32"/>
  <c r="S345" i="32"/>
  <c r="H119" i="27"/>
  <c r="M197" i="27"/>
  <c r="M293" i="27" s="1"/>
  <c r="M207" i="27"/>
  <c r="M303" i="27" s="1"/>
  <c r="F104" i="27"/>
  <c r="C197" i="27"/>
  <c r="C293" i="27" s="1"/>
  <c r="C198" i="27"/>
  <c r="C294" i="27" s="1"/>
  <c r="F200" i="27"/>
  <c r="F296" i="27" s="1"/>
  <c r="M200" i="27"/>
  <c r="M296" i="27" s="1"/>
  <c r="D201" i="27"/>
  <c r="D297" i="27" s="1"/>
  <c r="F206" i="27"/>
  <c r="F302" i="27" s="1"/>
  <c r="M206" i="27"/>
  <c r="M302" i="27" s="1"/>
  <c r="F208" i="27"/>
  <c r="F304" i="27" s="1"/>
  <c r="M208" i="27"/>
  <c r="M304" i="27" s="1"/>
  <c r="D209" i="27"/>
  <c r="D305" i="27" s="1"/>
  <c r="C211" i="27"/>
  <c r="C307" i="27" s="1"/>
  <c r="C213" i="27"/>
  <c r="C309" i="27" s="1"/>
  <c r="M216" i="27"/>
  <c r="M312" i="27" s="1"/>
  <c r="M220" i="27"/>
  <c r="M316" i="27" s="1"/>
  <c r="C221" i="27"/>
  <c r="C317" i="27" s="1"/>
  <c r="F224" i="27"/>
  <c r="F320" i="27" s="1"/>
  <c r="M224" i="27"/>
  <c r="M320" i="27" s="1"/>
  <c r="C225" i="27"/>
  <c r="C321" i="27" s="1"/>
  <c r="E226" i="27"/>
  <c r="E322" i="27" s="1"/>
  <c r="B234" i="27"/>
  <c r="B443" i="27" s="1"/>
  <c r="M235" i="27"/>
  <c r="M444" i="27" s="1"/>
  <c r="L242" i="27"/>
  <c r="L451" i="27" s="1"/>
  <c r="C219" i="27"/>
  <c r="C315" i="27" s="1"/>
  <c r="N301" i="32"/>
  <c r="D48" i="13" s="1"/>
  <c r="N303" i="32"/>
  <c r="D50" i="13" s="1"/>
  <c r="E357" i="27"/>
  <c r="N202" i="32"/>
  <c r="N222" i="32"/>
  <c r="B344" i="32"/>
  <c r="T344" i="32"/>
  <c r="C346" i="32"/>
  <c r="K312" i="27"/>
  <c r="B356" i="27"/>
  <c r="E110" i="27"/>
  <c r="E120" i="27"/>
  <c r="E130" i="27"/>
  <c r="F216" i="27"/>
  <c r="F312" i="27" s="1"/>
  <c r="H26" i="27"/>
  <c r="H122" i="27" s="1"/>
  <c r="P28" i="27"/>
  <c r="P35" i="27"/>
  <c r="H37" i="27"/>
  <c r="P40" i="27"/>
  <c r="P43" i="27"/>
  <c r="P362" i="27" s="1"/>
  <c r="E344" i="32"/>
  <c r="S346" i="32"/>
  <c r="M209" i="27"/>
  <c r="M305" i="27" s="1"/>
  <c r="D226" i="27"/>
  <c r="D322" i="27" s="1"/>
  <c r="C103" i="27"/>
  <c r="M103" i="27"/>
  <c r="M112" i="27"/>
  <c r="C117" i="27"/>
  <c r="C119" i="27"/>
  <c r="M122" i="27"/>
  <c r="C123" i="27"/>
  <c r="M128" i="27"/>
  <c r="B134" i="27"/>
  <c r="L197" i="27"/>
  <c r="L293" i="27" s="1"/>
  <c r="C199" i="27"/>
  <c r="C295" i="27" s="1"/>
  <c r="C200" i="27"/>
  <c r="C296" i="27" s="1"/>
  <c r="N200" i="27"/>
  <c r="N296" i="27" s="1"/>
  <c r="D204" i="27"/>
  <c r="D300" i="27" s="1"/>
  <c r="E205" i="27"/>
  <c r="E301" i="27" s="1"/>
  <c r="L205" i="27"/>
  <c r="L301" i="27" s="1"/>
  <c r="E414" i="27"/>
  <c r="H162" i="27"/>
  <c r="F210" i="27"/>
  <c r="F306" i="27" s="1"/>
  <c r="E214" i="27"/>
  <c r="E310" i="27" s="1"/>
  <c r="M215" i="27"/>
  <c r="M311" i="27" s="1"/>
  <c r="D217" i="27"/>
  <c r="E218" i="27"/>
  <c r="E314" i="27" s="1"/>
  <c r="L417" i="27"/>
  <c r="D225" i="27"/>
  <c r="D321" i="27" s="1"/>
  <c r="M226" i="27"/>
  <c r="M322" i="27" s="1"/>
  <c r="K228" i="27"/>
  <c r="F419" i="27"/>
  <c r="F232" i="27"/>
  <c r="F441" i="27" s="1"/>
  <c r="C127" i="28"/>
  <c r="C267" i="28" s="1"/>
  <c r="H22" i="27"/>
  <c r="P42" i="27"/>
  <c r="P361" i="27" s="1"/>
  <c r="B56" i="13"/>
  <c r="N217" i="32"/>
  <c r="U302" i="32"/>
  <c r="D68" i="13" s="1"/>
  <c r="N304" i="32"/>
  <c r="D51" i="13" s="1"/>
  <c r="N214" i="32"/>
  <c r="U223" i="32"/>
  <c r="N225" i="32"/>
  <c r="U229" i="32"/>
  <c r="G233" i="32"/>
  <c r="G326" i="32"/>
  <c r="G236" i="32"/>
  <c r="G329" i="32"/>
  <c r="C342" i="32"/>
  <c r="E345" i="32"/>
  <c r="P346" i="32"/>
  <c r="T346" i="32"/>
  <c r="N324" i="32"/>
  <c r="E52" i="13" s="1"/>
  <c r="K309" i="27"/>
  <c r="K310" i="27"/>
  <c r="K314" i="27"/>
  <c r="D213" i="27"/>
  <c r="D309" i="27" s="1"/>
  <c r="D117" i="27"/>
  <c r="B216" i="27"/>
  <c r="B312" i="27" s="1"/>
  <c r="F132" i="27"/>
  <c r="F363" i="27"/>
  <c r="F140" i="27"/>
  <c r="F404" i="27" s="1"/>
  <c r="E102" i="27"/>
  <c r="E109" i="27"/>
  <c r="E122" i="27"/>
  <c r="E128" i="27"/>
  <c r="N279" i="32"/>
  <c r="C48" i="13" s="1"/>
  <c r="U211" i="32"/>
  <c r="G215" i="32"/>
  <c r="U330" i="32"/>
  <c r="N413" i="27"/>
  <c r="D414" i="27"/>
  <c r="N416" i="27"/>
  <c r="D417" i="27"/>
  <c r="M227" i="27"/>
  <c r="P7" i="27"/>
  <c r="P199" i="27" s="1"/>
  <c r="P295" i="27" s="1"/>
  <c r="H21" i="27"/>
  <c r="H117" i="27" s="1"/>
  <c r="G279" i="32"/>
  <c r="C25" i="13" s="1"/>
  <c r="U281" i="32"/>
  <c r="C69" i="13" s="1"/>
  <c r="N281" i="32"/>
  <c r="C50" i="13" s="1"/>
  <c r="N282" i="32"/>
  <c r="C51" i="13" s="1"/>
  <c r="G283" i="32"/>
  <c r="C29" i="13" s="1"/>
  <c r="U303" i="32"/>
  <c r="D69" i="13" s="1"/>
  <c r="U221" i="32"/>
  <c r="G204" i="32"/>
  <c r="U322" i="32"/>
  <c r="E69" i="13" s="1"/>
  <c r="N227" i="32"/>
  <c r="G229" i="32"/>
  <c r="N230" i="32"/>
  <c r="G232" i="32"/>
  <c r="U233" i="32"/>
  <c r="N235" i="32"/>
  <c r="G237" i="32"/>
  <c r="N243" i="32"/>
  <c r="K342" i="32"/>
  <c r="S342" i="32"/>
  <c r="P343" i="32"/>
  <c r="H311" i="27"/>
  <c r="D221" i="27"/>
  <c r="D317" i="27" s="1"/>
  <c r="B224" i="27"/>
  <c r="B320" i="27" s="1"/>
  <c r="B119" i="27"/>
  <c r="F119" i="27"/>
  <c r="L119" i="27"/>
  <c r="B127" i="27"/>
  <c r="F127" i="27"/>
  <c r="L127" i="27"/>
  <c r="L135" i="27"/>
  <c r="D125" i="27"/>
  <c r="D133" i="27"/>
  <c r="E198" i="27"/>
  <c r="E294" i="27" s="1"/>
  <c r="M198" i="27"/>
  <c r="M294" i="27" s="1"/>
  <c r="L199" i="27"/>
  <c r="L295" i="27" s="1"/>
  <c r="D413" i="27"/>
  <c r="C203" i="27"/>
  <c r="C299" i="27" s="1"/>
  <c r="N203" i="27"/>
  <c r="N299" i="27" s="1"/>
  <c r="E204" i="27"/>
  <c r="E300" i="27" s="1"/>
  <c r="M414" i="27"/>
  <c r="D208" i="27"/>
  <c r="D304" i="27" s="1"/>
  <c r="M211" i="27"/>
  <c r="M307" i="27" s="1"/>
  <c r="H166" i="27"/>
  <c r="F214" i="27"/>
  <c r="F310" i="27" s="1"/>
  <c r="M214" i="27"/>
  <c r="M310" i="27" s="1"/>
  <c r="H170" i="27"/>
  <c r="H174" i="27"/>
  <c r="F417" i="27"/>
  <c r="M417" i="27"/>
  <c r="C223" i="27"/>
  <c r="C319" i="27" s="1"/>
  <c r="B218" i="27"/>
  <c r="B314" i="27" s="1"/>
  <c r="D233" i="27"/>
  <c r="D442" i="27" s="1"/>
  <c r="H45" i="27"/>
  <c r="H364" i="27" s="1"/>
  <c r="H50" i="27"/>
  <c r="H369" i="27" s="1"/>
  <c r="U305" i="32"/>
  <c r="D71" i="13" s="1"/>
  <c r="M342" i="32"/>
  <c r="K344" i="32"/>
  <c r="D345" i="32"/>
  <c r="M345" i="32"/>
  <c r="P345" i="32"/>
  <c r="T345" i="32"/>
  <c r="F346" i="32"/>
  <c r="M346" i="32"/>
  <c r="N328" i="32"/>
  <c r="E56" i="13" s="1"/>
  <c r="N336" i="32"/>
  <c r="E64" i="13" s="1"/>
  <c r="D197" i="27"/>
  <c r="D293" i="27" s="1"/>
  <c r="L356" i="27"/>
  <c r="C101" i="27"/>
  <c r="M101" i="27"/>
  <c r="M102" i="27"/>
  <c r="C104" i="27"/>
  <c r="M104" i="27"/>
  <c r="C105" i="27"/>
  <c r="C107" i="27"/>
  <c r="C109" i="27"/>
  <c r="M110" i="27"/>
  <c r="C113" i="27"/>
  <c r="C115" i="27"/>
  <c r="M118" i="27"/>
  <c r="M120" i="27"/>
  <c r="M124" i="27"/>
  <c r="C125" i="27"/>
  <c r="C127" i="27"/>
  <c r="C129" i="27"/>
  <c r="M130" i="27"/>
  <c r="C131" i="27"/>
  <c r="P122" i="27"/>
  <c r="P123" i="27"/>
  <c r="P314" i="27"/>
  <c r="P315" i="27"/>
  <c r="K293" i="27"/>
  <c r="K294" i="27"/>
  <c r="K295" i="27"/>
  <c r="K296" i="27"/>
  <c r="K297" i="27"/>
  <c r="K300" i="27"/>
  <c r="K301" i="27"/>
  <c r="K302" i="27"/>
  <c r="K304" i="27"/>
  <c r="M201" i="27"/>
  <c r="M297" i="27" s="1"/>
  <c r="N353" i="27"/>
  <c r="D205" i="27"/>
  <c r="D301" i="27" s="1"/>
  <c r="F220" i="27"/>
  <c r="F316" i="27" s="1"/>
  <c r="M223" i="27"/>
  <c r="M319" i="27" s="1"/>
  <c r="D101" i="27"/>
  <c r="D105" i="27"/>
  <c r="D110" i="27"/>
  <c r="N114" i="27"/>
  <c r="D124" i="27"/>
  <c r="N130" i="27"/>
  <c r="D109" i="27"/>
  <c r="E199" i="27"/>
  <c r="E295" i="27" s="1"/>
  <c r="E200" i="27"/>
  <c r="E296" i="27" s="1"/>
  <c r="C201" i="27"/>
  <c r="C297" i="27" s="1"/>
  <c r="E413" i="27"/>
  <c r="F204" i="27"/>
  <c r="F300" i="27" s="1"/>
  <c r="C205" i="27"/>
  <c r="C301" i="27" s="1"/>
  <c r="E206" i="27"/>
  <c r="E302" i="27" s="1"/>
  <c r="C414" i="27"/>
  <c r="E208" i="27"/>
  <c r="E304" i="27" s="1"/>
  <c r="C209" i="27"/>
  <c r="C305" i="27" s="1"/>
  <c r="F213" i="27"/>
  <c r="F309" i="27" s="1"/>
  <c r="C214" i="27"/>
  <c r="C310" i="27" s="1"/>
  <c r="N214" i="27"/>
  <c r="N310" i="27" s="1"/>
  <c r="E216" i="27"/>
  <c r="E312" i="27" s="1"/>
  <c r="L216" i="27"/>
  <c r="L312" i="27" s="1"/>
  <c r="M416" i="27"/>
  <c r="C218" i="27"/>
  <c r="C314" i="27" s="1"/>
  <c r="E220" i="27"/>
  <c r="E316" i="27" s="1"/>
  <c r="L220" i="27"/>
  <c r="L316" i="27" s="1"/>
  <c r="B221" i="27"/>
  <c r="B317" i="27" s="1"/>
  <c r="F221" i="27"/>
  <c r="F317" i="27" s="1"/>
  <c r="C417" i="27"/>
  <c r="N417" i="27"/>
  <c r="E224" i="27"/>
  <c r="E320" i="27" s="1"/>
  <c r="L224" i="27"/>
  <c r="L320" i="27" s="1"/>
  <c r="B225" i="27"/>
  <c r="B321" i="27" s="1"/>
  <c r="F225" i="27"/>
  <c r="F321" i="27" s="1"/>
  <c r="L277" i="7"/>
  <c r="L278" i="7"/>
  <c r="X275" i="7"/>
  <c r="O401" i="7"/>
  <c r="S401" i="7"/>
  <c r="W401" i="7"/>
  <c r="X323" i="7"/>
  <c r="X325" i="7"/>
  <c r="X101" i="25"/>
  <c r="X103" i="25"/>
  <c r="X105" i="25"/>
  <c r="X107" i="25"/>
  <c r="X109" i="25"/>
  <c r="X255" i="7"/>
  <c r="X113" i="25"/>
  <c r="X115" i="25"/>
  <c r="X117" i="25"/>
  <c r="X119" i="25"/>
  <c r="X121" i="25"/>
  <c r="X123" i="25"/>
  <c r="X125" i="25"/>
  <c r="X127" i="25"/>
  <c r="X129" i="25"/>
  <c r="X131" i="25"/>
  <c r="L365" i="7"/>
  <c r="L280" i="7"/>
  <c r="L367" i="7"/>
  <c r="L286" i="7"/>
  <c r="L245" i="7"/>
  <c r="L247" i="7"/>
  <c r="L249" i="7"/>
  <c r="L253" i="7"/>
  <c r="L383" i="7"/>
  <c r="L257" i="7"/>
  <c r="L261" i="7"/>
  <c r="L385" i="7"/>
  <c r="L267" i="7"/>
  <c r="L271" i="7"/>
  <c r="L273" i="7"/>
  <c r="I404" i="7"/>
  <c r="L306" i="7"/>
  <c r="L307" i="7"/>
  <c r="L308" i="7"/>
  <c r="L323" i="7"/>
  <c r="L324" i="7"/>
  <c r="L326" i="7"/>
  <c r="L345" i="7"/>
  <c r="X141" i="25"/>
  <c r="X257" i="25" s="1"/>
  <c r="X246" i="7"/>
  <c r="X254" i="7"/>
  <c r="X363" i="7"/>
  <c r="X262" i="7"/>
  <c r="X364" i="7"/>
  <c r="X251" i="7"/>
  <c r="X383" i="7"/>
  <c r="X257" i="7"/>
  <c r="X259" i="7"/>
  <c r="X384" i="7"/>
  <c r="X263" i="7"/>
  <c r="X385" i="7"/>
  <c r="X265" i="7"/>
  <c r="X269" i="7"/>
  <c r="X386" i="7"/>
  <c r="L284" i="7"/>
  <c r="L392" i="7"/>
  <c r="Q401" i="7"/>
  <c r="Q403" i="7"/>
  <c r="U403" i="7"/>
  <c r="E403" i="7"/>
  <c r="I403" i="7"/>
  <c r="Q149" i="25"/>
  <c r="X102" i="25"/>
  <c r="X104" i="25"/>
  <c r="X106" i="25"/>
  <c r="X108" i="25"/>
  <c r="X110" i="25"/>
  <c r="X112" i="25"/>
  <c r="X114" i="25"/>
  <c r="X116" i="25"/>
  <c r="X118" i="25"/>
  <c r="X120" i="25"/>
  <c r="X122" i="25"/>
  <c r="X124" i="25"/>
  <c r="X126" i="25"/>
  <c r="X128" i="25"/>
  <c r="X130" i="25"/>
  <c r="L142" i="25"/>
  <c r="L258" i="25" s="1"/>
  <c r="L251" i="7"/>
  <c r="L259" i="7"/>
  <c r="X280" i="7"/>
  <c r="N401" i="7"/>
  <c r="R401" i="7"/>
  <c r="V401" i="7"/>
  <c r="H402" i="7"/>
  <c r="R403" i="7"/>
  <c r="V403" i="7"/>
  <c r="L77" i="25"/>
  <c r="C173" i="25"/>
  <c r="I179" i="25"/>
  <c r="D150" i="25"/>
  <c r="H150" i="25"/>
  <c r="V150" i="25"/>
  <c r="D154" i="25"/>
  <c r="H154" i="25"/>
  <c r="N154" i="25"/>
  <c r="D158" i="25"/>
  <c r="H158" i="25"/>
  <c r="D162" i="25"/>
  <c r="H162" i="25"/>
  <c r="N162" i="25"/>
  <c r="D166" i="25"/>
  <c r="H166" i="25"/>
  <c r="P168" i="25"/>
  <c r="T168" i="25"/>
  <c r="D170" i="25"/>
  <c r="H170" i="25"/>
  <c r="E171" i="25"/>
  <c r="I171" i="25"/>
  <c r="P176" i="25"/>
  <c r="T176" i="25"/>
  <c r="I181" i="25"/>
  <c r="V182" i="25"/>
  <c r="K187" i="25"/>
  <c r="K274" i="25" s="1"/>
  <c r="K255" i="25"/>
  <c r="K189" i="25"/>
  <c r="K276" i="25" s="1"/>
  <c r="K257" i="25"/>
  <c r="U185" i="25"/>
  <c r="U272" i="25" s="1"/>
  <c r="S163" i="25"/>
  <c r="D151" i="25"/>
  <c r="X55" i="25"/>
  <c r="L58" i="25"/>
  <c r="L59" i="25"/>
  <c r="X59" i="25"/>
  <c r="D159" i="25"/>
  <c r="X63" i="25"/>
  <c r="L66" i="25"/>
  <c r="X67" i="25"/>
  <c r="E226" i="25"/>
  <c r="I226" i="25"/>
  <c r="L71" i="25"/>
  <c r="X71" i="25"/>
  <c r="F227" i="25"/>
  <c r="J227" i="25"/>
  <c r="L74" i="25"/>
  <c r="L75" i="25"/>
  <c r="X75" i="25"/>
  <c r="L79" i="25"/>
  <c r="X79" i="25"/>
  <c r="L82" i="25"/>
  <c r="K149" i="25"/>
  <c r="U149" i="25"/>
  <c r="Q150" i="25"/>
  <c r="U150" i="25"/>
  <c r="Q152" i="25"/>
  <c r="C153" i="25"/>
  <c r="G153" i="25"/>
  <c r="K153" i="25"/>
  <c r="Q153" i="25"/>
  <c r="U153" i="25"/>
  <c r="Q154" i="25"/>
  <c r="U154" i="25"/>
  <c r="K155" i="25"/>
  <c r="Q155" i="25"/>
  <c r="U155" i="25"/>
  <c r="Q156" i="25"/>
  <c r="U156" i="25"/>
  <c r="C157" i="25"/>
  <c r="G157" i="25"/>
  <c r="K157" i="25"/>
  <c r="Q157" i="25"/>
  <c r="U157" i="25"/>
  <c r="U158" i="25"/>
  <c r="C161" i="25"/>
  <c r="G161" i="25"/>
  <c r="K161" i="25"/>
  <c r="Q161" i="25"/>
  <c r="U161" i="25"/>
  <c r="Q162" i="25"/>
  <c r="U162" i="25"/>
  <c r="C163" i="25"/>
  <c r="G163" i="25"/>
  <c r="K163" i="25"/>
  <c r="Q163" i="25"/>
  <c r="U163" i="25"/>
  <c r="U164" i="25"/>
  <c r="C165" i="25"/>
  <c r="G165" i="25"/>
  <c r="K165" i="25"/>
  <c r="Q165" i="25"/>
  <c r="U165" i="25"/>
  <c r="C167" i="25"/>
  <c r="G167" i="25"/>
  <c r="N167" i="25"/>
  <c r="R167" i="25"/>
  <c r="O168" i="25"/>
  <c r="W168" i="25"/>
  <c r="I249" i="25"/>
  <c r="C170" i="25"/>
  <c r="G170" i="25"/>
  <c r="Q170" i="25"/>
  <c r="U170" i="25"/>
  <c r="H171" i="25"/>
  <c r="O171" i="25"/>
  <c r="S171" i="25"/>
  <c r="W171" i="25"/>
  <c r="E172" i="25"/>
  <c r="D173" i="25"/>
  <c r="H173" i="25"/>
  <c r="N173" i="25"/>
  <c r="R173" i="25"/>
  <c r="V173" i="25"/>
  <c r="E175" i="25"/>
  <c r="I175" i="25"/>
  <c r="E177" i="25"/>
  <c r="I177" i="25"/>
  <c r="B256" i="25"/>
  <c r="B188" i="25"/>
  <c r="B275" i="25" s="1"/>
  <c r="F258" i="25"/>
  <c r="F190" i="25"/>
  <c r="F277" i="25" s="1"/>
  <c r="D169" i="25"/>
  <c r="D185" i="25"/>
  <c r="D272" i="25" s="1"/>
  <c r="X286" i="7"/>
  <c r="X412" i="7" s="1"/>
  <c r="B401" i="7"/>
  <c r="F401" i="7"/>
  <c r="E401" i="7"/>
  <c r="O402" i="7"/>
  <c r="H403" i="7"/>
  <c r="S403" i="7"/>
  <c r="P404" i="7"/>
  <c r="T404" i="7"/>
  <c r="I173" i="25"/>
  <c r="L56" i="25"/>
  <c r="L60" i="25"/>
  <c r="L64" i="25"/>
  <c r="G225" i="25"/>
  <c r="G226" i="25"/>
  <c r="Q226" i="25"/>
  <c r="U226" i="25"/>
  <c r="L72" i="25"/>
  <c r="L76" i="25"/>
  <c r="E228" i="25"/>
  <c r="I228" i="25"/>
  <c r="L80" i="25"/>
  <c r="O152" i="25"/>
  <c r="S155" i="25"/>
  <c r="W156" i="25"/>
  <c r="E167" i="25"/>
  <c r="J168" i="25"/>
  <c r="V169" i="25"/>
  <c r="K176" i="25"/>
  <c r="U401" i="7"/>
  <c r="B402" i="7"/>
  <c r="F402" i="7"/>
  <c r="J402" i="7"/>
  <c r="P402" i="7"/>
  <c r="T402" i="7"/>
  <c r="Q402" i="7"/>
  <c r="U402" i="7"/>
  <c r="P403" i="7"/>
  <c r="T403" i="7"/>
  <c r="D403" i="7"/>
  <c r="C404" i="7"/>
  <c r="G404" i="7"/>
  <c r="X53" i="25"/>
  <c r="X61" i="25"/>
  <c r="C225" i="25"/>
  <c r="X65" i="25"/>
  <c r="X69" i="25"/>
  <c r="X73" i="25"/>
  <c r="S227" i="25"/>
  <c r="X77" i="25"/>
  <c r="X81" i="25"/>
  <c r="N182" i="25"/>
  <c r="R182" i="25"/>
  <c r="T153" i="25"/>
  <c r="P159" i="25"/>
  <c r="V168" i="25"/>
  <c r="V171" i="25"/>
  <c r="D172" i="25"/>
  <c r="J149" i="25"/>
  <c r="P149" i="25"/>
  <c r="T149" i="25"/>
  <c r="F151" i="25"/>
  <c r="P151" i="25"/>
  <c r="T151" i="25"/>
  <c r="F152" i="25"/>
  <c r="J152" i="25"/>
  <c r="P153" i="25"/>
  <c r="F155" i="25"/>
  <c r="J155" i="25"/>
  <c r="P155" i="25"/>
  <c r="T155" i="25"/>
  <c r="J156" i="25"/>
  <c r="J157" i="25"/>
  <c r="P157" i="25"/>
  <c r="T157" i="25"/>
  <c r="F160" i="25"/>
  <c r="J160" i="25"/>
  <c r="P161" i="25"/>
  <c r="T161" i="25"/>
  <c r="F162" i="25"/>
  <c r="J162" i="25"/>
  <c r="J163" i="25"/>
  <c r="P163" i="25"/>
  <c r="T163" i="25"/>
  <c r="J165" i="25"/>
  <c r="P165" i="25"/>
  <c r="T165" i="25"/>
  <c r="P166" i="25"/>
  <c r="T166" i="25"/>
  <c r="Q167" i="25"/>
  <c r="N168" i="25"/>
  <c r="R168" i="25"/>
  <c r="H169" i="25"/>
  <c r="T170" i="25"/>
  <c r="N171" i="25"/>
  <c r="R171" i="25"/>
  <c r="H172" i="25"/>
  <c r="G173" i="25"/>
  <c r="K173" i="25"/>
  <c r="N175" i="25"/>
  <c r="R175" i="25"/>
  <c r="V175" i="25"/>
  <c r="N177" i="25"/>
  <c r="R177" i="25"/>
  <c r="V177" i="25"/>
  <c r="E184" i="25"/>
  <c r="E271" i="25" s="1"/>
  <c r="I184" i="25"/>
  <c r="I271" i="25" s="1"/>
  <c r="B154" i="25"/>
  <c r="B265" i="25" s="1"/>
  <c r="P247" i="25"/>
  <c r="E150" i="25"/>
  <c r="I150" i="25"/>
  <c r="O150" i="25"/>
  <c r="S150" i="25"/>
  <c r="W150" i="25"/>
  <c r="O151" i="25"/>
  <c r="S151" i="25"/>
  <c r="W151" i="25"/>
  <c r="S152" i="25"/>
  <c r="W152" i="25"/>
  <c r="O155" i="25"/>
  <c r="W155" i="25"/>
  <c r="E156" i="25"/>
  <c r="I156" i="25"/>
  <c r="O156" i="25"/>
  <c r="S156" i="25"/>
  <c r="E158" i="25"/>
  <c r="I158" i="25"/>
  <c r="O158" i="25"/>
  <c r="S158" i="25"/>
  <c r="W158" i="25"/>
  <c r="S159" i="25"/>
  <c r="W159" i="25"/>
  <c r="E160" i="25"/>
  <c r="I160" i="25"/>
  <c r="S160" i="25"/>
  <c r="W160" i="25"/>
  <c r="O162" i="25"/>
  <c r="W162" i="25"/>
  <c r="O163" i="25"/>
  <c r="W163" i="25"/>
  <c r="I164" i="25"/>
  <c r="E166" i="25"/>
  <c r="I166" i="25"/>
  <c r="O166" i="25"/>
  <c r="S166" i="25"/>
  <c r="I167" i="25"/>
  <c r="P167" i="25"/>
  <c r="F168" i="25"/>
  <c r="N169" i="25"/>
  <c r="R169" i="25"/>
  <c r="O170" i="25"/>
  <c r="W170" i="25"/>
  <c r="N172" i="25"/>
  <c r="P173" i="25"/>
  <c r="C178" i="25"/>
  <c r="G178" i="25"/>
  <c r="K178" i="25"/>
  <c r="N184" i="25"/>
  <c r="N271" i="25" s="1"/>
  <c r="R184" i="25"/>
  <c r="R271" i="25" s="1"/>
  <c r="V184" i="25"/>
  <c r="V271" i="25" s="1"/>
  <c r="N252" i="25"/>
  <c r="L247" i="6"/>
  <c r="L263" i="6"/>
  <c r="E400" i="6"/>
  <c r="I193" i="24"/>
  <c r="I285" i="24" s="1"/>
  <c r="I266" i="24"/>
  <c r="B186" i="24"/>
  <c r="B278" i="24" s="1"/>
  <c r="L350" i="6"/>
  <c r="D160" i="24"/>
  <c r="H160" i="24"/>
  <c r="G167" i="24"/>
  <c r="C172" i="24"/>
  <c r="G172" i="24"/>
  <c r="K172" i="24"/>
  <c r="E175" i="24"/>
  <c r="I175" i="24"/>
  <c r="C176" i="24"/>
  <c r="G176" i="24"/>
  <c r="K176" i="24"/>
  <c r="K252" i="24"/>
  <c r="D185" i="24"/>
  <c r="D277" i="24" s="1"/>
  <c r="H185" i="24"/>
  <c r="H277" i="24" s="1"/>
  <c r="H258" i="24"/>
  <c r="F266" i="24"/>
  <c r="F193" i="24"/>
  <c r="F285" i="24" s="1"/>
  <c r="B154" i="24"/>
  <c r="K178" i="24"/>
  <c r="D258" i="24"/>
  <c r="L255" i="6"/>
  <c r="L267" i="6"/>
  <c r="I400" i="6"/>
  <c r="G401" i="6"/>
  <c r="C178" i="24"/>
  <c r="H179" i="24"/>
  <c r="G260" i="24"/>
  <c r="G187" i="24"/>
  <c r="G279" i="24" s="1"/>
  <c r="L283" i="6"/>
  <c r="L388" i="6"/>
  <c r="L256" i="6"/>
  <c r="L305" i="6"/>
  <c r="L282" i="6"/>
  <c r="L323" i="6"/>
  <c r="L324" i="6"/>
  <c r="L279" i="6"/>
  <c r="L101" i="24"/>
  <c r="L109" i="24"/>
  <c r="L113" i="24"/>
  <c r="L117" i="24"/>
  <c r="L121" i="24"/>
  <c r="L129" i="24"/>
  <c r="L361" i="6"/>
  <c r="L362" i="6"/>
  <c r="L245" i="6"/>
  <c r="L249" i="6"/>
  <c r="L253" i="6"/>
  <c r="L257" i="6"/>
  <c r="L261" i="6"/>
  <c r="L382" i="6"/>
  <c r="L273" i="6"/>
  <c r="H398" i="6"/>
  <c r="C400" i="6"/>
  <c r="K400" i="6"/>
  <c r="E401" i="6"/>
  <c r="I401" i="6"/>
  <c r="L352" i="6"/>
  <c r="F232" i="24"/>
  <c r="H153" i="24"/>
  <c r="J154" i="24"/>
  <c r="F158" i="24"/>
  <c r="J158" i="24"/>
  <c r="B162" i="24"/>
  <c r="F162" i="24"/>
  <c r="B166" i="24"/>
  <c r="F170" i="24"/>
  <c r="D179" i="24"/>
  <c r="L271" i="6"/>
  <c r="L285" i="6"/>
  <c r="G178" i="24"/>
  <c r="C256" i="24"/>
  <c r="C183" i="24"/>
  <c r="C275" i="24" s="1"/>
  <c r="L260" i="6"/>
  <c r="C398" i="6"/>
  <c r="G398" i="6"/>
  <c r="K398" i="6"/>
  <c r="E398" i="6"/>
  <c r="I398" i="6"/>
  <c r="H399" i="6"/>
  <c r="B399" i="6"/>
  <c r="F399" i="6"/>
  <c r="J399" i="6"/>
  <c r="D401" i="6"/>
  <c r="H401" i="6"/>
  <c r="L357" i="6"/>
  <c r="G148" i="24"/>
  <c r="C156" i="24"/>
  <c r="D175" i="24"/>
  <c r="E266" i="24"/>
  <c r="D148" i="24"/>
  <c r="H148" i="24"/>
  <c r="F150" i="24"/>
  <c r="J150" i="24"/>
  <c r="C163" i="24"/>
  <c r="D167" i="24"/>
  <c r="H167" i="24"/>
  <c r="G171" i="24"/>
  <c r="L54" i="24"/>
  <c r="F151" i="24"/>
  <c r="J151" i="24"/>
  <c r="L58" i="24"/>
  <c r="J155" i="24"/>
  <c r="L62" i="24"/>
  <c r="H229" i="24"/>
  <c r="B159" i="24"/>
  <c r="F229" i="24"/>
  <c r="J159" i="24"/>
  <c r="L66" i="24"/>
  <c r="L67" i="24"/>
  <c r="F230" i="24"/>
  <c r="J230" i="24"/>
  <c r="L70" i="24"/>
  <c r="L74" i="24"/>
  <c r="L75" i="24"/>
  <c r="D174" i="24"/>
  <c r="H174" i="24"/>
  <c r="D151" i="24"/>
  <c r="H151" i="24"/>
  <c r="D155" i="24"/>
  <c r="H155" i="24"/>
  <c r="D253" i="24"/>
  <c r="H253" i="24"/>
  <c r="C254" i="24"/>
  <c r="G254" i="24"/>
  <c r="K254" i="24"/>
  <c r="B181" i="24"/>
  <c r="J181" i="24"/>
  <c r="C151" i="24"/>
  <c r="G151" i="24"/>
  <c r="F166" i="24"/>
  <c r="D171" i="24"/>
  <c r="H171" i="24"/>
  <c r="J173" i="24"/>
  <c r="F177" i="24"/>
  <c r="J177" i="24"/>
  <c r="L53" i="24"/>
  <c r="E150" i="24"/>
  <c r="I150" i="24"/>
  <c r="L57" i="24"/>
  <c r="E154" i="24"/>
  <c r="L61" i="24"/>
  <c r="E158" i="24"/>
  <c r="L65" i="24"/>
  <c r="E162" i="24"/>
  <c r="L69" i="24"/>
  <c r="E231" i="24"/>
  <c r="I231" i="24"/>
  <c r="L81" i="24"/>
  <c r="K150" i="24"/>
  <c r="C154" i="24"/>
  <c r="G154" i="24"/>
  <c r="K154" i="24"/>
  <c r="K162" i="24"/>
  <c r="C166" i="24"/>
  <c r="G166" i="24"/>
  <c r="I253" i="24"/>
  <c r="B174" i="24"/>
  <c r="F174" i="24"/>
  <c r="J174" i="24"/>
  <c r="I340" i="5"/>
  <c r="C29" i="3"/>
  <c r="I398" i="5"/>
  <c r="F27" i="3"/>
  <c r="E228" i="23"/>
  <c r="E174" i="23"/>
  <c r="E160" i="23"/>
  <c r="I160" i="23"/>
  <c r="C173" i="23"/>
  <c r="G177" i="23"/>
  <c r="G181" i="23"/>
  <c r="G187" i="23"/>
  <c r="G274" i="23" s="1"/>
  <c r="I253" i="23"/>
  <c r="I257" i="23"/>
  <c r="E33" i="3"/>
  <c r="O411" i="5"/>
  <c r="I335" i="5"/>
  <c r="C24" i="3" s="1"/>
  <c r="I339" i="5"/>
  <c r="C28" i="3"/>
  <c r="I343" i="5"/>
  <c r="C32" i="3"/>
  <c r="I355" i="5"/>
  <c r="D23" i="3" s="1"/>
  <c r="R247" i="5"/>
  <c r="R249" i="5"/>
  <c r="I395" i="5"/>
  <c r="F24" i="3" s="1"/>
  <c r="C413" i="5"/>
  <c r="D414" i="5"/>
  <c r="H414" i="5"/>
  <c r="C255" i="23"/>
  <c r="D256" i="23"/>
  <c r="I402" i="5"/>
  <c r="F31" i="3"/>
  <c r="R426" i="5"/>
  <c r="H55" i="3"/>
  <c r="I228" i="23"/>
  <c r="C179" i="23"/>
  <c r="P158" i="23"/>
  <c r="G173" i="23"/>
  <c r="C177" i="23"/>
  <c r="I179" i="23"/>
  <c r="C181" i="23"/>
  <c r="E29" i="3"/>
  <c r="H48" i="3"/>
  <c r="B413" i="5"/>
  <c r="F413" i="5"/>
  <c r="G414" i="5"/>
  <c r="E224" i="23"/>
  <c r="E154" i="23"/>
  <c r="I224" i="23"/>
  <c r="I154" i="23"/>
  <c r="R251" i="5"/>
  <c r="R253" i="5"/>
  <c r="R372" i="5"/>
  <c r="E40" i="3" s="1"/>
  <c r="R257" i="5"/>
  <c r="R259" i="5"/>
  <c r="R261" i="5"/>
  <c r="I265" i="5"/>
  <c r="I269" i="5"/>
  <c r="I375" i="5"/>
  <c r="E25" i="3" s="1"/>
  <c r="R246" i="5"/>
  <c r="R248" i="5"/>
  <c r="R252" i="5"/>
  <c r="R254" i="5"/>
  <c r="R256" i="5"/>
  <c r="R258" i="5"/>
  <c r="R394" i="5"/>
  <c r="F41" i="3" s="1"/>
  <c r="I263" i="5"/>
  <c r="I267" i="5"/>
  <c r="I396" i="5"/>
  <c r="F25" i="3" s="1"/>
  <c r="D411" i="5"/>
  <c r="H411" i="5"/>
  <c r="N411" i="5"/>
  <c r="F412" i="5"/>
  <c r="P412" i="5"/>
  <c r="E413" i="5"/>
  <c r="F414" i="5"/>
  <c r="E156" i="23"/>
  <c r="I156" i="23"/>
  <c r="C194" i="23"/>
  <c r="C281" i="23" s="1"/>
  <c r="G194" i="23"/>
  <c r="G281" i="23" s="1"/>
  <c r="X57" i="23"/>
  <c r="S225" i="23"/>
  <c r="G155" i="23"/>
  <c r="R158" i="23"/>
  <c r="R160" i="23"/>
  <c r="G167" i="23"/>
  <c r="G171" i="23"/>
  <c r="G175" i="23"/>
  <c r="E37" i="3"/>
  <c r="R333" i="5"/>
  <c r="C40" i="3" s="1"/>
  <c r="I336" i="5"/>
  <c r="C25" i="3" s="1"/>
  <c r="L103" i="23"/>
  <c r="L105" i="23"/>
  <c r="L109" i="23"/>
  <c r="L111" i="23"/>
  <c r="L115" i="23"/>
  <c r="L120" i="23"/>
  <c r="L124" i="23"/>
  <c r="L128" i="23"/>
  <c r="L132" i="23"/>
  <c r="I246" i="5"/>
  <c r="I248" i="5"/>
  <c r="I250" i="5"/>
  <c r="I252" i="5"/>
  <c r="I254" i="5"/>
  <c r="I256" i="5"/>
  <c r="I258" i="5"/>
  <c r="I373" i="5"/>
  <c r="E23" i="3" s="1"/>
  <c r="I262" i="5"/>
  <c r="I266" i="5"/>
  <c r="I270" i="5"/>
  <c r="I274" i="5"/>
  <c r="I284" i="5"/>
  <c r="I381" i="5"/>
  <c r="I245" i="5"/>
  <c r="I247" i="5"/>
  <c r="I249" i="5"/>
  <c r="I253" i="5"/>
  <c r="I255" i="5"/>
  <c r="I257" i="5"/>
  <c r="I259" i="5"/>
  <c r="I394" i="5"/>
  <c r="F23" i="3" s="1"/>
  <c r="I264" i="5"/>
  <c r="I268" i="5"/>
  <c r="I272" i="5"/>
  <c r="E411" i="5"/>
  <c r="C412" i="5"/>
  <c r="I354" i="5"/>
  <c r="D22" i="3" s="1"/>
  <c r="T149" i="23"/>
  <c r="T157" i="23"/>
  <c r="C169" i="23"/>
  <c r="E182" i="23"/>
  <c r="P224" i="23"/>
  <c r="T224" i="23"/>
  <c r="X60" i="23"/>
  <c r="S224" i="23"/>
  <c r="G225" i="23"/>
  <c r="T225" i="23"/>
  <c r="X64" i="23"/>
  <c r="E152" i="23"/>
  <c r="I168" i="23"/>
  <c r="I172" i="23"/>
  <c r="I176" i="23"/>
  <c r="G159" i="23"/>
  <c r="M412" i="5"/>
  <c r="Q412" i="5"/>
  <c r="C414" i="5"/>
  <c r="C167" i="23"/>
  <c r="R224" i="23"/>
  <c r="E225" i="23"/>
  <c r="I225" i="23"/>
  <c r="X67" i="23"/>
  <c r="I226" i="23"/>
  <c r="G226" i="23"/>
  <c r="D149" i="23"/>
  <c r="H149" i="23"/>
  <c r="Q149" i="23"/>
  <c r="E151" i="23"/>
  <c r="I151" i="23"/>
  <c r="C152" i="23"/>
  <c r="G152" i="23"/>
  <c r="P152" i="23"/>
  <c r="T152" i="23"/>
  <c r="E153" i="23"/>
  <c r="I153" i="23"/>
  <c r="R153" i="23"/>
  <c r="P154" i="23"/>
  <c r="T246" i="23"/>
  <c r="S155" i="23"/>
  <c r="D156" i="23"/>
  <c r="H156" i="23"/>
  <c r="F157" i="23"/>
  <c r="D158" i="23"/>
  <c r="H158" i="23"/>
  <c r="F247" i="23"/>
  <c r="U159" i="23"/>
  <c r="Q160" i="23"/>
  <c r="U160" i="23"/>
  <c r="R163" i="23"/>
  <c r="E248" i="23"/>
  <c r="E164" i="23"/>
  <c r="H169" i="23"/>
  <c r="I170" i="23"/>
  <c r="D173" i="23"/>
  <c r="H173" i="23"/>
  <c r="E250" i="23"/>
  <c r="I250" i="23"/>
  <c r="I174" i="23"/>
  <c r="D177" i="23"/>
  <c r="H177" i="23"/>
  <c r="I178" i="23"/>
  <c r="C190" i="23"/>
  <c r="C277" i="23" s="1"/>
  <c r="X65" i="23"/>
  <c r="D228" i="23"/>
  <c r="H228" i="23"/>
  <c r="F149" i="23"/>
  <c r="S149" i="23"/>
  <c r="C151" i="23"/>
  <c r="G153" i="23"/>
  <c r="E246" i="23"/>
  <c r="R246" i="23"/>
  <c r="D155" i="23"/>
  <c r="H155" i="23"/>
  <c r="Q155" i="23"/>
  <c r="U155" i="23"/>
  <c r="F156" i="23"/>
  <c r="S156" i="23"/>
  <c r="Q157" i="23"/>
  <c r="U157" i="23"/>
  <c r="F158" i="23"/>
  <c r="S158" i="23"/>
  <c r="S159" i="23"/>
  <c r="D160" i="23"/>
  <c r="H160" i="23"/>
  <c r="S160" i="23"/>
  <c r="D161" i="23"/>
  <c r="H161" i="23"/>
  <c r="S161" i="23"/>
  <c r="D162" i="23"/>
  <c r="H162" i="23"/>
  <c r="E163" i="23"/>
  <c r="I163" i="23"/>
  <c r="C164" i="23"/>
  <c r="G164" i="23"/>
  <c r="E165" i="23"/>
  <c r="I165" i="23"/>
  <c r="C166" i="23"/>
  <c r="G166" i="23"/>
  <c r="D167" i="23"/>
  <c r="H167" i="23"/>
  <c r="F249" i="23"/>
  <c r="C170" i="23"/>
  <c r="G170" i="23"/>
  <c r="D171" i="23"/>
  <c r="H171" i="23"/>
  <c r="F173" i="23"/>
  <c r="C174" i="23"/>
  <c r="G250" i="23"/>
  <c r="H175" i="23"/>
  <c r="F177" i="23"/>
  <c r="C178" i="23"/>
  <c r="G178" i="23"/>
  <c r="C184" i="23"/>
  <c r="C271" i="23" s="1"/>
  <c r="C188" i="23"/>
  <c r="C275" i="23" s="1"/>
  <c r="R154" i="23"/>
  <c r="I180" i="23"/>
  <c r="F226" i="23"/>
  <c r="C228" i="23"/>
  <c r="G228" i="23"/>
  <c r="E149" i="23"/>
  <c r="I149" i="23"/>
  <c r="D150" i="23"/>
  <c r="H150" i="23"/>
  <c r="Q150" i="23"/>
  <c r="U150" i="23"/>
  <c r="S151" i="23"/>
  <c r="D152" i="23"/>
  <c r="H152" i="23"/>
  <c r="F153" i="23"/>
  <c r="D246" i="23"/>
  <c r="H246" i="23"/>
  <c r="U246" i="23"/>
  <c r="G157" i="23"/>
  <c r="C159" i="23"/>
  <c r="G247" i="23"/>
  <c r="C161" i="23"/>
  <c r="C162" i="23"/>
  <c r="G162" i="23"/>
  <c r="Q248" i="23"/>
  <c r="D165" i="23"/>
  <c r="H165" i="23"/>
  <c r="F166" i="23"/>
  <c r="D168" i="23"/>
  <c r="H168" i="23"/>
  <c r="E249" i="23"/>
  <c r="I169" i="23"/>
  <c r="D172" i="23"/>
  <c r="H172" i="23"/>
  <c r="E173" i="23"/>
  <c r="I173" i="23"/>
  <c r="F250" i="23"/>
  <c r="D176" i="23"/>
  <c r="H176" i="23"/>
  <c r="E177" i="23"/>
  <c r="I177" i="23"/>
  <c r="D180" i="23"/>
  <c r="E187" i="23"/>
  <c r="E274" i="23" s="1"/>
  <c r="I187" i="23"/>
  <c r="I274" i="23" s="1"/>
  <c r="D190" i="23"/>
  <c r="D277" i="23" s="1"/>
  <c r="E194" i="23"/>
  <c r="E281" i="23" s="1"/>
  <c r="I194" i="23"/>
  <c r="I281" i="23" s="1"/>
  <c r="G179" i="23"/>
  <c r="G185" i="23"/>
  <c r="G272" i="23" s="1"/>
  <c r="E186" i="23"/>
  <c r="E273" i="23" s="1"/>
  <c r="E190" i="23"/>
  <c r="E277" i="23" s="1"/>
  <c r="D154" i="22"/>
  <c r="D182" i="22"/>
  <c r="D278" i="22" s="1"/>
  <c r="I186" i="22"/>
  <c r="I282" i="22" s="1"/>
  <c r="I346" i="4"/>
  <c r="D7" i="3" s="1"/>
  <c r="E14" i="3"/>
  <c r="I373" i="4"/>
  <c r="D399" i="4"/>
  <c r="L84" i="22"/>
  <c r="L230" i="22" s="1"/>
  <c r="D150" i="22"/>
  <c r="E159" i="22"/>
  <c r="I167" i="22"/>
  <c r="G227" i="22"/>
  <c r="G228" i="22"/>
  <c r="L99" i="22"/>
  <c r="I263" i="22"/>
  <c r="E9" i="3"/>
  <c r="B11" i="3"/>
  <c r="F11" i="3"/>
  <c r="E13" i="3"/>
  <c r="F14" i="3"/>
  <c r="I236" i="4"/>
  <c r="I240" i="4"/>
  <c r="I244" i="4"/>
  <c r="I248" i="4"/>
  <c r="I252" i="4"/>
  <c r="I256" i="4"/>
  <c r="I260" i="4"/>
  <c r="I266" i="4"/>
  <c r="I270" i="4"/>
  <c r="I277" i="4"/>
  <c r="F400" i="4"/>
  <c r="D400" i="4"/>
  <c r="C401" i="4"/>
  <c r="G401" i="4"/>
  <c r="F401" i="4"/>
  <c r="D402" i="4"/>
  <c r="H402" i="4"/>
  <c r="I330" i="4"/>
  <c r="C181" i="22"/>
  <c r="C277" i="22" s="1"/>
  <c r="F225" i="22"/>
  <c r="F145" i="22"/>
  <c r="E171" i="22"/>
  <c r="L130" i="22"/>
  <c r="L253" i="22" s="1"/>
  <c r="F176" i="22"/>
  <c r="F272" i="22" s="1"/>
  <c r="H255" i="22"/>
  <c r="H178" i="22"/>
  <c r="H274" i="22" s="1"/>
  <c r="E179" i="22"/>
  <c r="E275" i="22" s="1"/>
  <c r="E256" i="22"/>
  <c r="F10" i="3"/>
  <c r="C402" i="4"/>
  <c r="I334" i="4"/>
  <c r="I155" i="22"/>
  <c r="I159" i="22"/>
  <c r="E167" i="22"/>
  <c r="F15" i="3"/>
  <c r="I309" i="4"/>
  <c r="B6" i="3" s="1"/>
  <c r="I343" i="4"/>
  <c r="D4" i="3" s="1"/>
  <c r="I363" i="4"/>
  <c r="E4" i="3" s="1"/>
  <c r="I364" i="4"/>
  <c r="E5" i="3" s="1"/>
  <c r="I365" i="4"/>
  <c r="E6" i="3" s="1"/>
  <c r="I241" i="4"/>
  <c r="I245" i="4"/>
  <c r="I249" i="4"/>
  <c r="I253" i="4"/>
  <c r="I257" i="4"/>
  <c r="I261" i="4"/>
  <c r="I267" i="4"/>
  <c r="I271" i="4"/>
  <c r="G399" i="4"/>
  <c r="D401" i="4"/>
  <c r="B401" i="4"/>
  <c r="E402" i="4"/>
  <c r="F402" i="4"/>
  <c r="I383" i="4"/>
  <c r="F6" i="3" s="1"/>
  <c r="I384" i="4"/>
  <c r="F7" i="3" s="1"/>
  <c r="I386" i="4"/>
  <c r="I390" i="4"/>
  <c r="I392" i="4"/>
  <c r="F148" i="22"/>
  <c r="G153" i="22"/>
  <c r="C157" i="22"/>
  <c r="C161" i="22"/>
  <c r="C165" i="22"/>
  <c r="G169" i="22"/>
  <c r="G224" i="22"/>
  <c r="E225" i="22"/>
  <c r="I225" i="22"/>
  <c r="C143" i="22"/>
  <c r="G143" i="22"/>
  <c r="D144" i="22"/>
  <c r="H144" i="22"/>
  <c r="E145" i="22"/>
  <c r="I145" i="22"/>
  <c r="E148" i="22"/>
  <c r="I148" i="22"/>
  <c r="F149" i="22"/>
  <c r="L104" i="22"/>
  <c r="L150" i="22" s="1"/>
  <c r="G150" i="22"/>
  <c r="E152" i="22"/>
  <c r="I152" i="22"/>
  <c r="F153" i="22"/>
  <c r="L108" i="22"/>
  <c r="G154" i="22"/>
  <c r="E249" i="22"/>
  <c r="I156" i="22"/>
  <c r="F157" i="22"/>
  <c r="L112" i="22"/>
  <c r="G158" i="22"/>
  <c r="D159" i="22"/>
  <c r="H159" i="22"/>
  <c r="E160" i="22"/>
  <c r="I160" i="22"/>
  <c r="F250" i="22"/>
  <c r="L116" i="22"/>
  <c r="G162" i="22"/>
  <c r="D163" i="22"/>
  <c r="H163" i="22"/>
  <c r="E164" i="22"/>
  <c r="I164" i="22"/>
  <c r="L120" i="22"/>
  <c r="G251" i="22"/>
  <c r="D167" i="22"/>
  <c r="H167" i="22"/>
  <c r="E168" i="22"/>
  <c r="I168" i="22"/>
  <c r="L124" i="22"/>
  <c r="G170" i="22"/>
  <c r="G181" i="22"/>
  <c r="G277" i="22" s="1"/>
  <c r="F147" i="22"/>
  <c r="L102" i="22"/>
  <c r="G148" i="22"/>
  <c r="E150" i="22"/>
  <c r="I150" i="22"/>
  <c r="F248" i="22"/>
  <c r="L106" i="22"/>
  <c r="G152" i="22"/>
  <c r="E154" i="22"/>
  <c r="I154" i="22"/>
  <c r="L110" i="22"/>
  <c r="G249" i="22"/>
  <c r="L114" i="22"/>
  <c r="G160" i="22"/>
  <c r="L118" i="22"/>
  <c r="G164" i="22"/>
  <c r="D165" i="22"/>
  <c r="H165" i="22"/>
  <c r="E251" i="22"/>
  <c r="I251" i="22"/>
  <c r="L122" i="22"/>
  <c r="G168" i="22"/>
  <c r="D169" i="22"/>
  <c r="H169" i="22"/>
  <c r="E170" i="22"/>
  <c r="I170" i="22"/>
  <c r="L126" i="22"/>
  <c r="C145" i="22"/>
  <c r="G145" i="22"/>
  <c r="C149" i="22"/>
  <c r="D158" i="22"/>
  <c r="D225" i="22"/>
  <c r="H225" i="22"/>
  <c r="D228" i="22"/>
  <c r="H228" i="22"/>
  <c r="D145" i="22"/>
  <c r="H145" i="22"/>
  <c r="E146" i="22"/>
  <c r="I146" i="22"/>
  <c r="G147" i="22"/>
  <c r="D148" i="22"/>
  <c r="H148" i="22"/>
  <c r="E149" i="22"/>
  <c r="I149" i="22"/>
  <c r="F150" i="22"/>
  <c r="C151" i="22"/>
  <c r="G151" i="22"/>
  <c r="D152" i="22"/>
  <c r="H152" i="22"/>
  <c r="E153" i="22"/>
  <c r="I153" i="22"/>
  <c r="F154" i="22"/>
  <c r="C155" i="22"/>
  <c r="G155" i="22"/>
  <c r="E157" i="22"/>
  <c r="I157" i="22"/>
  <c r="F158" i="22"/>
  <c r="C159" i="22"/>
  <c r="G159" i="22"/>
  <c r="D160" i="22"/>
  <c r="H160" i="22"/>
  <c r="E161" i="22"/>
  <c r="I161" i="22"/>
  <c r="F162" i="22"/>
  <c r="C163" i="22"/>
  <c r="G163" i="22"/>
  <c r="D164" i="22"/>
  <c r="H164" i="22"/>
  <c r="E165" i="22"/>
  <c r="I165" i="22"/>
  <c r="F251" i="22"/>
  <c r="C167" i="22"/>
  <c r="G167" i="22"/>
  <c r="D168" i="22"/>
  <c r="H168" i="22"/>
  <c r="E169" i="22"/>
  <c r="I169" i="22"/>
  <c r="F170" i="22"/>
  <c r="I374" i="5"/>
  <c r="E24" i="3" s="1"/>
  <c r="X282" i="7"/>
  <c r="X260" i="7"/>
  <c r="X345" i="7"/>
  <c r="X346" i="7"/>
  <c r="L349" i="7"/>
  <c r="L386" i="7"/>
  <c r="E183" i="27"/>
  <c r="H183" i="27" s="1"/>
  <c r="E51" i="8"/>
  <c r="J283" i="27"/>
  <c r="E30" i="3"/>
  <c r="G400" i="4"/>
  <c r="I382" i="4"/>
  <c r="F5" i="3" s="1"/>
  <c r="L142" i="23"/>
  <c r="D33" i="3"/>
  <c r="R255" i="5"/>
  <c r="I260" i="5"/>
  <c r="R260" i="5"/>
  <c r="I261" i="5"/>
  <c r="I271" i="5"/>
  <c r="I273" i="5"/>
  <c r="I275" i="5"/>
  <c r="I415" i="5" s="1"/>
  <c r="I276" i="5"/>
  <c r="I279" i="5"/>
  <c r="I280" i="5"/>
  <c r="I281" i="5"/>
  <c r="I282" i="5"/>
  <c r="I283" i="5"/>
  <c r="I285" i="5"/>
  <c r="I286" i="5"/>
  <c r="I422" i="5" s="1"/>
  <c r="I290" i="5"/>
  <c r="I338" i="5"/>
  <c r="I393" i="5"/>
  <c r="F22" i="3" s="1"/>
  <c r="L306" i="6"/>
  <c r="L246" i="6"/>
  <c r="L250" i="6"/>
  <c r="L254" i="6"/>
  <c r="L258" i="6"/>
  <c r="L262" i="6"/>
  <c r="L266" i="6"/>
  <c r="L383" i="6"/>
  <c r="L252" i="6"/>
  <c r="L265" i="6"/>
  <c r="L268" i="6"/>
  <c r="L278" i="6"/>
  <c r="L281" i="6"/>
  <c r="L311" i="6"/>
  <c r="L344" i="6"/>
  <c r="L347" i="6"/>
  <c r="X264" i="7"/>
  <c r="X270" i="7"/>
  <c r="X272" i="7"/>
  <c r="X274" i="7"/>
  <c r="X247" i="7"/>
  <c r="X250" i="7"/>
  <c r="C401" i="7"/>
  <c r="G401" i="7"/>
  <c r="K401" i="7"/>
  <c r="P401" i="7"/>
  <c r="T401" i="7"/>
  <c r="X258" i="7"/>
  <c r="C403" i="7"/>
  <c r="G403" i="7"/>
  <c r="L265" i="7"/>
  <c r="X266" i="7"/>
  <c r="X267" i="7"/>
  <c r="X268" i="7"/>
  <c r="X273" i="7"/>
  <c r="L275" i="7"/>
  <c r="X281" i="7"/>
  <c r="L283" i="7"/>
  <c r="L355" i="7"/>
  <c r="L373" i="7"/>
  <c r="X388" i="7"/>
  <c r="B6" i="8"/>
  <c r="B15" i="8"/>
  <c r="B22" i="8"/>
  <c r="L9" i="22"/>
  <c r="C6" i="8"/>
  <c r="L13" i="22"/>
  <c r="C7" i="8"/>
  <c r="L29" i="22"/>
  <c r="C10" i="8"/>
  <c r="F37" i="22"/>
  <c r="F210" i="22" s="1"/>
  <c r="L39" i="22"/>
  <c r="L212" i="22" s="1"/>
  <c r="C13" i="8"/>
  <c r="L43" i="22"/>
  <c r="L216" i="22" s="1"/>
  <c r="C17" i="8"/>
  <c r="E15" i="8"/>
  <c r="E22" i="8"/>
  <c r="L51" i="22"/>
  <c r="L55" i="22"/>
  <c r="F6" i="8"/>
  <c r="L59" i="22"/>
  <c r="F7" i="8"/>
  <c r="L63" i="22"/>
  <c r="L69" i="22"/>
  <c r="L73" i="22"/>
  <c r="L77" i="22"/>
  <c r="L81" i="22"/>
  <c r="B51" i="8"/>
  <c r="L42" i="23"/>
  <c r="L213" i="23" s="1"/>
  <c r="C34" i="8"/>
  <c r="L45" i="23"/>
  <c r="L216" i="23" s="1"/>
  <c r="G49" i="8"/>
  <c r="K49" i="8" s="1"/>
  <c r="G52" i="8"/>
  <c r="K52" i="8" s="1"/>
  <c r="B26" i="8"/>
  <c r="C30" i="8"/>
  <c r="H326" i="14"/>
  <c r="E6" i="13" s="1"/>
  <c r="H202" i="14"/>
  <c r="H330" i="14"/>
  <c r="H230" i="14"/>
  <c r="H234" i="14"/>
  <c r="H334" i="14"/>
  <c r="H338" i="14"/>
  <c r="H238" i="14"/>
  <c r="N6" i="27"/>
  <c r="N198" i="27" s="1"/>
  <c r="N294" i="27" s="1"/>
  <c r="N7" i="32"/>
  <c r="M199" i="32"/>
  <c r="B17" i="27"/>
  <c r="B113" i="27" s="1"/>
  <c r="B210" i="32"/>
  <c r="G18" i="32"/>
  <c r="H17" i="27" s="1"/>
  <c r="H113" i="27" s="1"/>
  <c r="S213" i="32"/>
  <c r="U21" i="32"/>
  <c r="H31" i="27"/>
  <c r="H127" i="27" s="1"/>
  <c r="P36" i="27"/>
  <c r="P132" i="27" s="1"/>
  <c r="H38" i="27"/>
  <c r="P39" i="27"/>
  <c r="P135" i="27" s="1"/>
  <c r="H41" i="27"/>
  <c r="H360" i="27" s="1"/>
  <c r="P44" i="27"/>
  <c r="P140" i="27" s="1"/>
  <c r="P404" i="27" s="1"/>
  <c r="B58" i="13"/>
  <c r="P46" i="27"/>
  <c r="P142" i="27" s="1"/>
  <c r="P406" i="27" s="1"/>
  <c r="B60" i="13"/>
  <c r="L8" i="27"/>
  <c r="L200" i="27" s="1"/>
  <c r="L296" i="27" s="1"/>
  <c r="N57" i="32"/>
  <c r="N201" i="32" s="1"/>
  <c r="K201" i="32"/>
  <c r="U217" i="32"/>
  <c r="N208" i="32"/>
  <c r="U321" i="32"/>
  <c r="E68" i="13" s="1"/>
  <c r="N322" i="32"/>
  <c r="E50" i="13" s="1"/>
  <c r="N213" i="32"/>
  <c r="U219" i="32"/>
  <c r="U323" i="32"/>
  <c r="E70" i="13" s="1"/>
  <c r="G324" i="32"/>
  <c r="E29" i="13" s="1"/>
  <c r="G224" i="32"/>
  <c r="N228" i="32"/>
  <c r="G230" i="32"/>
  <c r="U231" i="32"/>
  <c r="N233" i="32"/>
  <c r="N326" i="32"/>
  <c r="G235" i="32"/>
  <c r="G328" i="32"/>
  <c r="N236" i="32"/>
  <c r="N329" i="32"/>
  <c r="E57" i="13" s="1"/>
  <c r="G238" i="32"/>
  <c r="G331" i="32"/>
  <c r="G243" i="32"/>
  <c r="G336" i="32"/>
  <c r="D265" i="26"/>
  <c r="B286" i="26"/>
  <c r="F286" i="26"/>
  <c r="J255" i="27"/>
  <c r="N255" i="27"/>
  <c r="D277" i="27"/>
  <c r="J290" i="27"/>
  <c r="N290" i="27"/>
  <c r="H205" i="22"/>
  <c r="H150" i="22"/>
  <c r="E206" i="22"/>
  <c r="E151" i="22"/>
  <c r="K172" i="22"/>
  <c r="I151" i="22"/>
  <c r="L105" i="24"/>
  <c r="L381" i="6"/>
  <c r="X276" i="7"/>
  <c r="L282" i="7"/>
  <c r="X283" i="7"/>
  <c r="L285" i="7"/>
  <c r="X390" i="7"/>
  <c r="F278" i="26"/>
  <c r="F461" i="26" s="1"/>
  <c r="N283" i="27"/>
  <c r="C400" i="4"/>
  <c r="L138" i="23"/>
  <c r="D29" i="3"/>
  <c r="F9" i="3"/>
  <c r="C12" i="3"/>
  <c r="I258" i="4"/>
  <c r="L121" i="23"/>
  <c r="L129" i="23"/>
  <c r="L139" i="23"/>
  <c r="I403" i="5"/>
  <c r="I408" i="5"/>
  <c r="L137" i="24"/>
  <c r="L349" i="6"/>
  <c r="L276" i="6"/>
  <c r="L251" i="6"/>
  <c r="G399" i="6"/>
  <c r="H400" i="6"/>
  <c r="L343" i="6"/>
  <c r="X305" i="7"/>
  <c r="X307" i="7"/>
  <c r="X278" i="7"/>
  <c r="X111" i="25"/>
  <c r="X344" i="7"/>
  <c r="L135" i="25"/>
  <c r="L137" i="25"/>
  <c r="L350" i="7"/>
  <c r="L139" i="25"/>
  <c r="L352" i="7"/>
  <c r="L141" i="25"/>
  <c r="L354" i="7"/>
  <c r="L146" i="25"/>
  <c r="L359" i="7"/>
  <c r="L263" i="7"/>
  <c r="L269" i="7"/>
  <c r="X245" i="7"/>
  <c r="X248" i="7"/>
  <c r="X253" i="7"/>
  <c r="L255" i="7"/>
  <c r="X256" i="7"/>
  <c r="N402" i="7"/>
  <c r="R402" i="7"/>
  <c r="V402" i="7"/>
  <c r="X261" i="7"/>
  <c r="D404" i="7"/>
  <c r="H404" i="7"/>
  <c r="Q404" i="7"/>
  <c r="U404" i="7"/>
  <c r="X271" i="7"/>
  <c r="X279" i="7"/>
  <c r="L281" i="7"/>
  <c r="X290" i="7"/>
  <c r="X347" i="7"/>
  <c r="L353" i="7"/>
  <c r="X394" i="7"/>
  <c r="B7" i="8"/>
  <c r="B10" i="8"/>
  <c r="G12" i="8"/>
  <c r="K12" i="8" s="1"/>
  <c r="D6" i="8"/>
  <c r="D10" i="8"/>
  <c r="E6" i="8"/>
  <c r="L86" i="22"/>
  <c r="L232" i="22" s="1"/>
  <c r="F14" i="8"/>
  <c r="L90" i="22"/>
  <c r="F18" i="8"/>
  <c r="F9" i="8"/>
  <c r="B29" i="8"/>
  <c r="L14" i="23"/>
  <c r="L16" i="23"/>
  <c r="L18" i="23"/>
  <c r="L20" i="23"/>
  <c r="C28" i="8"/>
  <c r="L22" i="23"/>
  <c r="L26" i="23"/>
  <c r="C29" i="8"/>
  <c r="L34" i="23"/>
  <c r="L37" i="23"/>
  <c r="D39" i="23"/>
  <c r="D210" i="23" s="1"/>
  <c r="I39" i="23"/>
  <c r="I210" i="23" s="1"/>
  <c r="E26" i="8"/>
  <c r="L88" i="23"/>
  <c r="L230" i="23" s="1"/>
  <c r="L92" i="23"/>
  <c r="L234" i="23" s="1"/>
  <c r="F49" i="8"/>
  <c r="D265" i="27"/>
  <c r="J275" i="27"/>
  <c r="N275" i="27"/>
  <c r="D281" i="27"/>
  <c r="D163" i="28"/>
  <c r="B7" i="30"/>
  <c r="B103" i="30" s="1"/>
  <c r="I7" i="20"/>
  <c r="I7" i="30" s="1"/>
  <c r="B199" i="20"/>
  <c r="I26" i="30"/>
  <c r="I268" i="20"/>
  <c r="R28" i="30"/>
  <c r="R268" i="20"/>
  <c r="R30" i="30"/>
  <c r="R269" i="20"/>
  <c r="R36" i="30"/>
  <c r="R38" i="30"/>
  <c r="R40" i="30"/>
  <c r="R184" i="30" s="1"/>
  <c r="R271" i="20"/>
  <c r="R42" i="30"/>
  <c r="R186" i="30" s="1"/>
  <c r="R273" i="20"/>
  <c r="R44" i="30"/>
  <c r="R188" i="30" s="1"/>
  <c r="R275" i="20"/>
  <c r="R46" i="30"/>
  <c r="R190" i="30" s="1"/>
  <c r="R277" i="20"/>
  <c r="R54" i="30"/>
  <c r="R198" i="20"/>
  <c r="R56" i="30"/>
  <c r="R200" i="20"/>
  <c r="R60" i="30"/>
  <c r="R204" i="20"/>
  <c r="R62" i="30"/>
  <c r="R206" i="20"/>
  <c r="R64" i="30"/>
  <c r="R208" i="20"/>
  <c r="R66" i="30"/>
  <c r="R210" i="20"/>
  <c r="R68" i="30"/>
  <c r="R327" i="20"/>
  <c r="R212" i="20"/>
  <c r="R70" i="30"/>
  <c r="R214" i="20"/>
  <c r="R73" i="30"/>
  <c r="R328" i="20"/>
  <c r="R217" i="20"/>
  <c r="R75" i="30"/>
  <c r="R219" i="20"/>
  <c r="R77" i="30"/>
  <c r="R125" i="30" s="1"/>
  <c r="R221" i="20"/>
  <c r="R79" i="30"/>
  <c r="R127" i="30" s="1"/>
  <c r="R223" i="20"/>
  <c r="R81" i="30"/>
  <c r="R225" i="20"/>
  <c r="R83" i="30"/>
  <c r="R227" i="20"/>
  <c r="R85" i="30"/>
  <c r="R229" i="20"/>
  <c r="R87" i="30"/>
  <c r="R231" i="20"/>
  <c r="R89" i="30"/>
  <c r="R332" i="20"/>
  <c r="R233" i="20"/>
  <c r="R354" i="20" s="1"/>
  <c r="I92" i="30"/>
  <c r="I335" i="20"/>
  <c r="I236" i="20"/>
  <c r="I357" i="20" s="1"/>
  <c r="R93" i="30"/>
  <c r="R336" i="20"/>
  <c r="R237" i="20"/>
  <c r="R358" i="20" s="1"/>
  <c r="S215" i="23"/>
  <c r="S188" i="23"/>
  <c r="S275" i="23" s="1"/>
  <c r="C189" i="23"/>
  <c r="C276" i="23" s="1"/>
  <c r="C216" i="23"/>
  <c r="G189" i="23"/>
  <c r="G276" i="23" s="1"/>
  <c r="G216" i="23"/>
  <c r="K216" i="23"/>
  <c r="K189" i="23"/>
  <c r="K276" i="23" s="1"/>
  <c r="C157" i="24"/>
  <c r="G157" i="24"/>
  <c r="K157" i="24"/>
  <c r="L125" i="24"/>
  <c r="L345" i="6"/>
  <c r="L269" i="6"/>
  <c r="L280" i="6"/>
  <c r="L284" i="6"/>
  <c r="L351" i="6"/>
  <c r="X252" i="7"/>
  <c r="L384" i="7"/>
  <c r="L88" i="22"/>
  <c r="L234" i="22" s="1"/>
  <c r="F12" i="8"/>
  <c r="E28" i="8"/>
  <c r="B278" i="26"/>
  <c r="B461" i="26" s="1"/>
  <c r="I237" i="4"/>
  <c r="F399" i="4"/>
  <c r="B14" i="3"/>
  <c r="D19" i="3"/>
  <c r="C147" i="22"/>
  <c r="L101" i="22"/>
  <c r="I234" i="4"/>
  <c r="I381" i="4"/>
  <c r="F4" i="3" s="1"/>
  <c r="I242" i="4"/>
  <c r="I246" i="4"/>
  <c r="I254" i="4"/>
  <c r="I268" i="4"/>
  <c r="I272" i="4"/>
  <c r="I371" i="4"/>
  <c r="I378" i="4"/>
  <c r="L112" i="23"/>
  <c r="L116" i="23"/>
  <c r="L125" i="23"/>
  <c r="L135" i="23"/>
  <c r="L146" i="23"/>
  <c r="R393" i="5"/>
  <c r="F40" i="3" s="1"/>
  <c r="R250" i="5"/>
  <c r="I356" i="5"/>
  <c r="D24" i="3" s="1"/>
  <c r="I357" i="5"/>
  <c r="D25" i="3" s="1"/>
  <c r="I361" i="5"/>
  <c r="I362" i="5"/>
  <c r="I365" i="5"/>
  <c r="I399" i="5"/>
  <c r="I401" i="5"/>
  <c r="I404" i="5"/>
  <c r="L141" i="24"/>
  <c r="L353" i="6"/>
  <c r="L380" i="6"/>
  <c r="L248" i="6"/>
  <c r="C399" i="6"/>
  <c r="K399" i="6"/>
  <c r="D400" i="6"/>
  <c r="L274" i="6"/>
  <c r="L277" i="6"/>
  <c r="B10" i="3"/>
  <c r="D12" i="3"/>
  <c r="D13" i="3"/>
  <c r="B31" i="3"/>
  <c r="D37" i="3"/>
  <c r="H43" i="3"/>
  <c r="H45" i="3"/>
  <c r="H47" i="3"/>
  <c r="H49" i="3"/>
  <c r="H51" i="3"/>
  <c r="I146" i="4"/>
  <c r="I238" i="4" s="1"/>
  <c r="I235" i="4"/>
  <c r="I239" i="4"/>
  <c r="I243" i="4"/>
  <c r="I247" i="4"/>
  <c r="I255" i="4"/>
  <c r="I259" i="4"/>
  <c r="I263" i="4"/>
  <c r="I269" i="4"/>
  <c r="L101" i="23"/>
  <c r="L104" i="23"/>
  <c r="L106" i="23"/>
  <c r="L108" i="23"/>
  <c r="L110" i="23"/>
  <c r="L113" i="23"/>
  <c r="L118" i="23"/>
  <c r="L122" i="23"/>
  <c r="L126" i="23"/>
  <c r="L130" i="23"/>
  <c r="L136" i="23"/>
  <c r="D27" i="3"/>
  <c r="L140" i="23"/>
  <c r="D31" i="3"/>
  <c r="C107" i="23"/>
  <c r="C155" i="23" s="1"/>
  <c r="B251" i="5"/>
  <c r="I155" i="5"/>
  <c r="I251" i="5" s="1"/>
  <c r="I372" i="5"/>
  <c r="E22" i="3" s="1"/>
  <c r="I321" i="5"/>
  <c r="I323" i="5"/>
  <c r="I325" i="5"/>
  <c r="L304" i="6"/>
  <c r="L100" i="24"/>
  <c r="L104" i="24"/>
  <c r="L108" i="24"/>
  <c r="L112" i="24"/>
  <c r="L116" i="24"/>
  <c r="L120" i="24"/>
  <c r="L124" i="24"/>
  <c r="L128" i="24"/>
  <c r="L266" i="24"/>
  <c r="L264" i="6"/>
  <c r="L272" i="6"/>
  <c r="B398" i="6"/>
  <c r="F398" i="6"/>
  <c r="J398" i="6"/>
  <c r="L270" i="6"/>
  <c r="L286" i="6"/>
  <c r="L342" i="6"/>
  <c r="L102" i="25"/>
  <c r="L104" i="25"/>
  <c r="L106" i="25"/>
  <c r="L108" i="25"/>
  <c r="L110" i="25"/>
  <c r="L112" i="25"/>
  <c r="L114" i="25"/>
  <c r="L116" i="25"/>
  <c r="L118" i="25"/>
  <c r="L120" i="25"/>
  <c r="L122" i="25"/>
  <c r="L124" i="25"/>
  <c r="L126" i="25"/>
  <c r="L128" i="25"/>
  <c r="L130" i="25"/>
  <c r="L132" i="25"/>
  <c r="X135" i="25"/>
  <c r="X137" i="25"/>
  <c r="X139" i="25"/>
  <c r="X146" i="25"/>
  <c r="X284" i="7"/>
  <c r="E402" i="7"/>
  <c r="I402" i="7"/>
  <c r="L276" i="7"/>
  <c r="L279" i="7"/>
  <c r="X285" i="7"/>
  <c r="L290" i="7"/>
  <c r="L347" i="7"/>
  <c r="L351" i="7"/>
  <c r="X352" i="7"/>
  <c r="F32" i="8"/>
  <c r="C37" i="8"/>
  <c r="B8" i="8"/>
  <c r="C183" i="26"/>
  <c r="C423" i="26" s="1"/>
  <c r="L7" i="22"/>
  <c r="L11" i="22"/>
  <c r="L15" i="22"/>
  <c r="L19" i="22"/>
  <c r="L23" i="22"/>
  <c r="C9" i="8"/>
  <c r="L27" i="22"/>
  <c r="L31" i="22"/>
  <c r="L35" i="22"/>
  <c r="L41" i="22"/>
  <c r="L214" i="22" s="1"/>
  <c r="L48" i="22"/>
  <c r="E7" i="8"/>
  <c r="L53" i="22"/>
  <c r="L57" i="22"/>
  <c r="L61" i="22"/>
  <c r="L67" i="22"/>
  <c r="L71" i="22"/>
  <c r="L75" i="22"/>
  <c r="L79" i="22"/>
  <c r="I83" i="22"/>
  <c r="I229" i="22" s="1"/>
  <c r="B17" i="8"/>
  <c r="B27" i="8"/>
  <c r="D27" i="8"/>
  <c r="E32" i="8"/>
  <c r="L63" i="23"/>
  <c r="L65" i="23"/>
  <c r="L67" i="23"/>
  <c r="L73" i="23"/>
  <c r="F29" i="8"/>
  <c r="L77" i="23"/>
  <c r="L81" i="23"/>
  <c r="L85" i="23"/>
  <c r="L14" i="24"/>
  <c r="L34" i="24"/>
  <c r="L37" i="24"/>
  <c r="L41" i="24"/>
  <c r="L217" i="24" s="1"/>
  <c r="L45" i="24"/>
  <c r="L221" i="24" s="1"/>
  <c r="L15" i="25"/>
  <c r="X25" i="25"/>
  <c r="X208" i="25" s="1"/>
  <c r="X35" i="25"/>
  <c r="X37" i="25"/>
  <c r="X41" i="25"/>
  <c r="X212" i="25" s="1"/>
  <c r="X43" i="25"/>
  <c r="X214" i="25" s="1"/>
  <c r="X45" i="25"/>
  <c r="X216" i="25" s="1"/>
  <c r="B460" i="26"/>
  <c r="F270" i="26"/>
  <c r="D281" i="26"/>
  <c r="J279" i="27"/>
  <c r="N279" i="27"/>
  <c r="D285" i="27"/>
  <c r="F271" i="28"/>
  <c r="L34" i="22"/>
  <c r="L52" i="22"/>
  <c r="L56" i="22"/>
  <c r="L60" i="22"/>
  <c r="L64" i="22"/>
  <c r="L70" i="22"/>
  <c r="L74" i="22"/>
  <c r="L78" i="22"/>
  <c r="L89" i="22"/>
  <c r="B12" i="8"/>
  <c r="B16" i="8"/>
  <c r="C14" i="8"/>
  <c r="C18" i="8"/>
  <c r="B231" i="27"/>
  <c r="L6" i="23"/>
  <c r="L8" i="23"/>
  <c r="L10" i="23"/>
  <c r="L12" i="23"/>
  <c r="L23" i="23"/>
  <c r="L27" i="23"/>
  <c r="L31" i="23"/>
  <c r="L35" i="23"/>
  <c r="E39" i="23"/>
  <c r="E210" i="23" s="1"/>
  <c r="L43" i="23"/>
  <c r="L214" i="23" s="1"/>
  <c r="L46" i="23"/>
  <c r="L217" i="23" s="1"/>
  <c r="O53" i="23"/>
  <c r="X53" i="23" s="1"/>
  <c r="L53" i="23"/>
  <c r="L55" i="23"/>
  <c r="L57" i="23"/>
  <c r="L59" i="23"/>
  <c r="L68" i="23"/>
  <c r="L74" i="23"/>
  <c r="L78" i="23"/>
  <c r="L82" i="23"/>
  <c r="L89" i="23"/>
  <c r="L231" i="23" s="1"/>
  <c r="L93" i="23"/>
  <c r="L235" i="23" s="1"/>
  <c r="F26" i="8"/>
  <c r="F28" i="8"/>
  <c r="F30" i="8"/>
  <c r="L7" i="24"/>
  <c r="L11" i="24"/>
  <c r="L15" i="24"/>
  <c r="L19" i="24"/>
  <c r="L23" i="24"/>
  <c r="L27" i="24"/>
  <c r="L31" i="24"/>
  <c r="L35" i="24"/>
  <c r="L38" i="24"/>
  <c r="L42" i="24"/>
  <c r="L218" i="24" s="1"/>
  <c r="L49" i="24"/>
  <c r="L225" i="24" s="1"/>
  <c r="H33" i="26"/>
  <c r="H37" i="26"/>
  <c r="H361" i="26" s="1"/>
  <c r="H41" i="26"/>
  <c r="H365" i="26" s="1"/>
  <c r="H45" i="26"/>
  <c r="H369" i="26" s="1"/>
  <c r="E30" i="26"/>
  <c r="E126" i="26" s="1"/>
  <c r="H126" i="14"/>
  <c r="H307" i="14" s="1"/>
  <c r="E222" i="14"/>
  <c r="E349" i="14" s="1"/>
  <c r="H223" i="14"/>
  <c r="H227" i="14"/>
  <c r="H231" i="14"/>
  <c r="H235" i="14"/>
  <c r="H242" i="14"/>
  <c r="F22" i="13" s="1"/>
  <c r="C349" i="14"/>
  <c r="H268" i="14"/>
  <c r="H272" i="14"/>
  <c r="B5" i="27"/>
  <c r="B197" i="27" s="1"/>
  <c r="B293" i="27" s="1"/>
  <c r="P10" i="27"/>
  <c r="P106" i="27" s="1"/>
  <c r="B12" i="27"/>
  <c r="B108" i="27" s="1"/>
  <c r="G13" i="32"/>
  <c r="H12" i="27" s="1"/>
  <c r="H108" i="27" s="1"/>
  <c r="B16" i="27"/>
  <c r="B112" i="27" s="1"/>
  <c r="G17" i="32"/>
  <c r="H16" i="27" s="1"/>
  <c r="H112" i="27" s="1"/>
  <c r="P17" i="27"/>
  <c r="P209" i="27" s="1"/>
  <c r="P305" i="27" s="1"/>
  <c r="N210" i="32"/>
  <c r="S215" i="32"/>
  <c r="U23" i="32"/>
  <c r="U215" i="32" s="1"/>
  <c r="B198" i="32"/>
  <c r="G102" i="32"/>
  <c r="P207" i="32"/>
  <c r="U111" i="32"/>
  <c r="U207" i="32" s="1"/>
  <c r="M30" i="27"/>
  <c r="M357" i="27" s="1"/>
  <c r="L223" i="32"/>
  <c r="L346" i="32" s="1"/>
  <c r="L305" i="32"/>
  <c r="N127" i="32"/>
  <c r="N305" i="32" s="1"/>
  <c r="D52" i="13" s="1"/>
  <c r="U199" i="32"/>
  <c r="U201" i="32"/>
  <c r="B154" i="27"/>
  <c r="B203" i="32"/>
  <c r="G155" i="32"/>
  <c r="U205" i="32"/>
  <c r="N207" i="32"/>
  <c r="N215" i="32"/>
  <c r="G221" i="32"/>
  <c r="N224" i="32"/>
  <c r="G226" i="32"/>
  <c r="T201" i="32"/>
  <c r="R342" i="32"/>
  <c r="D343" i="32"/>
  <c r="B209" i="32"/>
  <c r="B320" i="32"/>
  <c r="H270" i="26"/>
  <c r="H276" i="26"/>
  <c r="H278" i="26"/>
  <c r="H280" i="26"/>
  <c r="H282" i="26"/>
  <c r="H284" i="26"/>
  <c r="H286" i="26"/>
  <c r="B462" i="26"/>
  <c r="F462" i="26"/>
  <c r="D465" i="26"/>
  <c r="H275" i="27"/>
  <c r="H276" i="27"/>
  <c r="H277" i="27"/>
  <c r="H278" i="27"/>
  <c r="H279" i="27"/>
  <c r="H280" i="27"/>
  <c r="H281" i="27"/>
  <c r="H282" i="27"/>
  <c r="H283" i="27"/>
  <c r="H284" i="27"/>
  <c r="H285" i="27"/>
  <c r="H286" i="27"/>
  <c r="H290" i="27"/>
  <c r="D250" i="27"/>
  <c r="J260" i="27"/>
  <c r="N260" i="27"/>
  <c r="D270" i="27"/>
  <c r="J276" i="27"/>
  <c r="N276" i="27"/>
  <c r="D278" i="27"/>
  <c r="J280" i="27"/>
  <c r="N280" i="27"/>
  <c r="D282" i="27"/>
  <c r="J284" i="27"/>
  <c r="N284" i="27"/>
  <c r="D286" i="27"/>
  <c r="D270" i="28"/>
  <c r="B272" i="28"/>
  <c r="C281" i="28"/>
  <c r="G281" i="28"/>
  <c r="D209" i="22"/>
  <c r="H209" i="22"/>
  <c r="H166" i="22"/>
  <c r="B215" i="22"/>
  <c r="B180" i="22"/>
  <c r="B276" i="22" s="1"/>
  <c r="B186" i="22"/>
  <c r="B282" i="22" s="1"/>
  <c r="J186" i="22"/>
  <c r="J282" i="22" s="1"/>
  <c r="D247" i="22"/>
  <c r="D146" i="22"/>
  <c r="H247" i="22"/>
  <c r="H146" i="22"/>
  <c r="F155" i="22"/>
  <c r="D161" i="22"/>
  <c r="D250" i="22"/>
  <c r="H161" i="22"/>
  <c r="H250" i="22"/>
  <c r="E162" i="22"/>
  <c r="I162" i="22"/>
  <c r="F167" i="22"/>
  <c r="D173" i="22"/>
  <c r="H173" i="22"/>
  <c r="E174" i="22"/>
  <c r="I174" i="22"/>
  <c r="L129" i="22"/>
  <c r="F254" i="22"/>
  <c r="F177" i="22"/>
  <c r="F273" i="22" s="1"/>
  <c r="L131" i="22"/>
  <c r="F255" i="22"/>
  <c r="F178" i="22"/>
  <c r="F274" i="22" s="1"/>
  <c r="L132" i="22"/>
  <c r="F256" i="22"/>
  <c r="F179" i="22"/>
  <c r="F275" i="22" s="1"/>
  <c r="L133" i="22"/>
  <c r="F180" i="22"/>
  <c r="F276" i="22" s="1"/>
  <c r="L134" i="22"/>
  <c r="F258" i="22"/>
  <c r="F181" i="22"/>
  <c r="F277" i="22" s="1"/>
  <c r="L135" i="22"/>
  <c r="F259" i="22"/>
  <c r="F182" i="22"/>
  <c r="F278" i="22" s="1"/>
  <c r="L136" i="22"/>
  <c r="F263" i="22"/>
  <c r="F186" i="22"/>
  <c r="F282" i="22" s="1"/>
  <c r="L140" i="22"/>
  <c r="D166" i="22"/>
  <c r="J180" i="22"/>
  <c r="J276" i="22" s="1"/>
  <c r="F257" i="22"/>
  <c r="Q207" i="23"/>
  <c r="U207" i="23"/>
  <c r="B235" i="23"/>
  <c r="B189" i="23"/>
  <c r="B276" i="23" s="1"/>
  <c r="J235" i="23"/>
  <c r="J189" i="23"/>
  <c r="J276" i="23" s="1"/>
  <c r="H249" i="23"/>
  <c r="C240" i="24"/>
  <c r="L93" i="24"/>
  <c r="L240" i="24" s="1"/>
  <c r="C8" i="8"/>
  <c r="F10" i="8"/>
  <c r="F230" i="27"/>
  <c r="C231" i="27"/>
  <c r="N231" i="27"/>
  <c r="L24" i="23"/>
  <c r="F39" i="23"/>
  <c r="F210" i="23" s="1"/>
  <c r="L40" i="23"/>
  <c r="L211" i="23" s="1"/>
  <c r="L50" i="23"/>
  <c r="L221" i="23" s="1"/>
  <c r="L64" i="23"/>
  <c r="L66" i="23"/>
  <c r="L75" i="23"/>
  <c r="L79" i="23"/>
  <c r="L90" i="23"/>
  <c r="L232" i="23" s="1"/>
  <c r="B52" i="8"/>
  <c r="C26" i="8"/>
  <c r="C27" i="8"/>
  <c r="L4" i="24"/>
  <c r="L8" i="24"/>
  <c r="L12" i="24"/>
  <c r="L16" i="24"/>
  <c r="L20" i="24"/>
  <c r="L24" i="24"/>
  <c r="L28" i="24"/>
  <c r="L32" i="24"/>
  <c r="L36" i="24"/>
  <c r="L39" i="24"/>
  <c r="L215" i="24" s="1"/>
  <c r="L43" i="24"/>
  <c r="L219" i="24" s="1"/>
  <c r="L6" i="25"/>
  <c r="L8" i="25"/>
  <c r="L10" i="25"/>
  <c r="L12" i="25"/>
  <c r="L14" i="25"/>
  <c r="L16" i="25"/>
  <c r="L18" i="25"/>
  <c r="L20" i="25"/>
  <c r="L22" i="25"/>
  <c r="X209" i="25"/>
  <c r="X36" i="25"/>
  <c r="X40" i="25"/>
  <c r="X211" i="25" s="1"/>
  <c r="X44" i="25"/>
  <c r="X215" i="25" s="1"/>
  <c r="H269" i="14"/>
  <c r="H219" i="14"/>
  <c r="H200" i="14"/>
  <c r="H204" i="14"/>
  <c r="H208" i="14"/>
  <c r="H212" i="14"/>
  <c r="H328" i="14"/>
  <c r="E345" i="14"/>
  <c r="D348" i="14"/>
  <c r="H232" i="14"/>
  <c r="H265" i="14"/>
  <c r="H336" i="14"/>
  <c r="B9" i="27"/>
  <c r="B201" i="27" s="1"/>
  <c r="B297" i="27" s="1"/>
  <c r="G10" i="32"/>
  <c r="M12" i="27"/>
  <c r="M204" i="27" s="1"/>
  <c r="M300" i="27" s="1"/>
  <c r="N13" i="32"/>
  <c r="P12" i="27" s="1"/>
  <c r="P204" i="27" s="1"/>
  <c r="P300" i="27" s="1"/>
  <c r="L205" i="32"/>
  <c r="L16" i="27"/>
  <c r="L208" i="27" s="1"/>
  <c r="L304" i="27" s="1"/>
  <c r="N17" i="32"/>
  <c r="P16" i="27" s="1"/>
  <c r="P208" i="27" s="1"/>
  <c r="P304" i="27" s="1"/>
  <c r="H24" i="27"/>
  <c r="H216" i="27" s="1"/>
  <c r="H312" i="27" s="1"/>
  <c r="G217" i="32"/>
  <c r="L6" i="27"/>
  <c r="L102" i="27" s="1"/>
  <c r="K199" i="32"/>
  <c r="N55" i="32"/>
  <c r="B202" i="32"/>
  <c r="G58" i="32"/>
  <c r="N19" i="27"/>
  <c r="N115" i="27" s="1"/>
  <c r="M212" i="32"/>
  <c r="M343" i="32" s="1"/>
  <c r="M280" i="32"/>
  <c r="N68" i="32"/>
  <c r="P19" i="27" s="1"/>
  <c r="G282" i="32"/>
  <c r="C28" i="13" s="1"/>
  <c r="N283" i="32"/>
  <c r="C52" i="13" s="1"/>
  <c r="G220" i="32"/>
  <c r="N149" i="27"/>
  <c r="N150" i="32"/>
  <c r="N204" i="32"/>
  <c r="G206" i="32"/>
  <c r="G214" i="32"/>
  <c r="N221" i="32"/>
  <c r="G225" i="32"/>
  <c r="N226" i="32"/>
  <c r="U227" i="32"/>
  <c r="N229" i="32"/>
  <c r="G231" i="32"/>
  <c r="N232" i="32"/>
  <c r="G234" i="32"/>
  <c r="U235" i="32"/>
  <c r="N237" i="32"/>
  <c r="N239" i="32"/>
  <c r="F342" i="32"/>
  <c r="B205" i="32"/>
  <c r="M344" i="32"/>
  <c r="B345" i="32"/>
  <c r="F345" i="32"/>
  <c r="K345" i="32"/>
  <c r="B28" i="13"/>
  <c r="B250" i="26"/>
  <c r="F250" i="26"/>
  <c r="B464" i="26"/>
  <c r="F464" i="26"/>
  <c r="D467" i="26"/>
  <c r="D255" i="27"/>
  <c r="J265" i="27"/>
  <c r="N265" i="27"/>
  <c r="D275" i="27"/>
  <c r="J277" i="27"/>
  <c r="N277" i="27"/>
  <c r="D279" i="27"/>
  <c r="J281" i="27"/>
  <c r="N281" i="27"/>
  <c r="D283" i="27"/>
  <c r="J285" i="27"/>
  <c r="N285" i="27"/>
  <c r="D290" i="27"/>
  <c r="E278" i="28"/>
  <c r="H278" i="28"/>
  <c r="I30" i="29"/>
  <c r="I222" i="19"/>
  <c r="I34" i="29"/>
  <c r="I226" i="19"/>
  <c r="I38" i="29"/>
  <c r="I230" i="19"/>
  <c r="I42" i="29"/>
  <c r="I177" i="29" s="1"/>
  <c r="I234" i="19"/>
  <c r="I274" i="19"/>
  <c r="I49" i="29"/>
  <c r="I184" i="29" s="1"/>
  <c r="I241" i="19"/>
  <c r="I281" i="19"/>
  <c r="I211" i="19"/>
  <c r="G208" i="22"/>
  <c r="G161" i="22"/>
  <c r="L85" i="22"/>
  <c r="L231" i="22" s="1"/>
  <c r="I182" i="23"/>
  <c r="X66" i="23"/>
  <c r="Q225" i="23"/>
  <c r="E180" i="23"/>
  <c r="E230" i="23"/>
  <c r="E184" i="23"/>
  <c r="E271" i="23" s="1"/>
  <c r="O156" i="23"/>
  <c r="X108" i="23"/>
  <c r="D157" i="23"/>
  <c r="H157" i="23"/>
  <c r="O158" i="23"/>
  <c r="X110" i="23"/>
  <c r="R248" i="23"/>
  <c r="R164" i="23"/>
  <c r="D175" i="23"/>
  <c r="D250" i="23"/>
  <c r="D179" i="23"/>
  <c r="H179" i="23"/>
  <c r="D253" i="23"/>
  <c r="D185" i="23"/>
  <c r="D272" i="23" s="1"/>
  <c r="H253" i="23"/>
  <c r="H185" i="23"/>
  <c r="H272" i="23" s="1"/>
  <c r="D257" i="23"/>
  <c r="D189" i="23"/>
  <c r="D276" i="23" s="1"/>
  <c r="H257" i="23"/>
  <c r="H189" i="23"/>
  <c r="H276" i="23" s="1"/>
  <c r="B178" i="24"/>
  <c r="F178" i="24"/>
  <c r="J178" i="24"/>
  <c r="C179" i="24"/>
  <c r="G179" i="24"/>
  <c r="K179" i="24"/>
  <c r="X91" i="25"/>
  <c r="X233" i="25" s="1"/>
  <c r="C250" i="25"/>
  <c r="C174" i="25"/>
  <c r="G250" i="25"/>
  <c r="G174" i="25"/>
  <c r="K250" i="25"/>
  <c r="K174" i="25"/>
  <c r="L102" i="23"/>
  <c r="L114" i="23"/>
  <c r="L119" i="23"/>
  <c r="L123" i="23"/>
  <c r="L127" i="23"/>
  <c r="L131" i="23"/>
  <c r="L251" i="23" s="1"/>
  <c r="L137" i="23"/>
  <c r="L141" i="23"/>
  <c r="L117" i="23"/>
  <c r="L165" i="23" s="1"/>
  <c r="L102" i="24"/>
  <c r="L106" i="24"/>
  <c r="L110" i="24"/>
  <c r="L114" i="24"/>
  <c r="L118" i="24"/>
  <c r="L122" i="24"/>
  <c r="L126" i="24"/>
  <c r="L131" i="24"/>
  <c r="L101" i="25"/>
  <c r="L103" i="25"/>
  <c r="L105" i="25"/>
  <c r="L107" i="25"/>
  <c r="L109" i="25"/>
  <c r="L111" i="25"/>
  <c r="L113" i="25"/>
  <c r="L115" i="25"/>
  <c r="L117" i="25"/>
  <c r="L119" i="25"/>
  <c r="L121" i="25"/>
  <c r="L123" i="25"/>
  <c r="L125" i="25"/>
  <c r="L127" i="25"/>
  <c r="L129" i="25"/>
  <c r="L131" i="25"/>
  <c r="X136" i="25"/>
  <c r="X138" i="25"/>
  <c r="X140" i="25"/>
  <c r="X142" i="25"/>
  <c r="L346" i="7"/>
  <c r="F33" i="8"/>
  <c r="E36" i="8"/>
  <c r="F37" i="8"/>
  <c r="C38" i="8"/>
  <c r="D231" i="26"/>
  <c r="L8" i="22"/>
  <c r="L16" i="22"/>
  <c r="L20" i="22"/>
  <c r="L24" i="22"/>
  <c r="L32" i="22"/>
  <c r="L36" i="22"/>
  <c r="L38" i="22"/>
  <c r="L211" i="22" s="1"/>
  <c r="L42" i="22"/>
  <c r="L215" i="22" s="1"/>
  <c r="L54" i="22"/>
  <c r="L62" i="22"/>
  <c r="L72" i="22"/>
  <c r="L76" i="22"/>
  <c r="L80" i="22"/>
  <c r="L87" i="22"/>
  <c r="L233" i="22" s="1"/>
  <c r="C12" i="8"/>
  <c r="C16" i="8"/>
  <c r="F8" i="8"/>
  <c r="F17" i="8"/>
  <c r="D231" i="27"/>
  <c r="L5" i="23"/>
  <c r="L7" i="23"/>
  <c r="L9" i="23"/>
  <c r="L11" i="23"/>
  <c r="L13" i="23"/>
  <c r="L25" i="23"/>
  <c r="L29" i="23"/>
  <c r="L33" i="23"/>
  <c r="G39" i="23"/>
  <c r="G210" i="23" s="1"/>
  <c r="L41" i="23"/>
  <c r="L212" i="23" s="1"/>
  <c r="L44" i="23"/>
  <c r="L215" i="23" s="1"/>
  <c r="L54" i="23"/>
  <c r="O54" i="23"/>
  <c r="X54" i="23" s="1"/>
  <c r="L56" i="23"/>
  <c r="L58" i="23"/>
  <c r="L60" i="23"/>
  <c r="L76" i="23"/>
  <c r="L80" i="23"/>
  <c r="L84" i="23"/>
  <c r="L91" i="23"/>
  <c r="L233" i="23" s="1"/>
  <c r="L5" i="24"/>
  <c r="L9" i="24"/>
  <c r="L13" i="24"/>
  <c r="L17" i="24"/>
  <c r="L21" i="24"/>
  <c r="L25" i="24"/>
  <c r="L29" i="24"/>
  <c r="L33" i="24"/>
  <c r="L40" i="24"/>
  <c r="L216" i="24" s="1"/>
  <c r="L44" i="24"/>
  <c r="L220" i="24" s="1"/>
  <c r="X6" i="25"/>
  <c r="X8" i="25"/>
  <c r="X10" i="25"/>
  <c r="X12" i="25"/>
  <c r="X14" i="25"/>
  <c r="X16" i="25"/>
  <c r="X18" i="25"/>
  <c r="X20" i="25"/>
  <c r="X22" i="25"/>
  <c r="L25" i="25"/>
  <c r="L27" i="25"/>
  <c r="L29" i="25"/>
  <c r="L31" i="25"/>
  <c r="L33" i="25"/>
  <c r="L35" i="25"/>
  <c r="L37" i="25"/>
  <c r="L39" i="25"/>
  <c r="L41" i="25"/>
  <c r="L212" i="25" s="1"/>
  <c r="L43" i="25"/>
  <c r="L214" i="25" s="1"/>
  <c r="L45" i="25"/>
  <c r="L216" i="25" s="1"/>
  <c r="L50" i="25"/>
  <c r="L221" i="25" s="1"/>
  <c r="H6" i="26"/>
  <c r="H102" i="26" s="1"/>
  <c r="H10" i="26"/>
  <c r="H106" i="26" s="1"/>
  <c r="H14" i="26"/>
  <c r="H110" i="26" s="1"/>
  <c r="H18" i="26"/>
  <c r="H114" i="26" s="1"/>
  <c r="H22" i="26"/>
  <c r="H118" i="26" s="1"/>
  <c r="H27" i="26"/>
  <c r="H31" i="26"/>
  <c r="H35" i="26"/>
  <c r="H39" i="26"/>
  <c r="H363" i="26" s="1"/>
  <c r="H43" i="26"/>
  <c r="H367" i="26" s="1"/>
  <c r="H50" i="26"/>
  <c r="H374" i="26" s="1"/>
  <c r="H286" i="14"/>
  <c r="H303" i="14"/>
  <c r="H221" i="14"/>
  <c r="H225" i="14"/>
  <c r="B346" i="14"/>
  <c r="F346" i="14"/>
  <c r="E347" i="14"/>
  <c r="H267" i="14"/>
  <c r="H276" i="14"/>
  <c r="E307" i="14"/>
  <c r="H327" i="14"/>
  <c r="G6" i="32"/>
  <c r="U17" i="32"/>
  <c r="R209" i="32"/>
  <c r="R343" i="32" s="1"/>
  <c r="B19" i="27"/>
  <c r="B211" i="27" s="1"/>
  <c r="B307" i="27" s="1"/>
  <c r="G20" i="32"/>
  <c r="U283" i="32"/>
  <c r="C71" i="13" s="1"/>
  <c r="B301" i="32"/>
  <c r="G107" i="32"/>
  <c r="G301" i="32" s="1"/>
  <c r="D25" i="13" s="1"/>
  <c r="N302" i="32"/>
  <c r="D49" i="13" s="1"/>
  <c r="G303" i="32"/>
  <c r="D27" i="13" s="1"/>
  <c r="U320" i="32"/>
  <c r="E67" i="13" s="1"/>
  <c r="B156" i="27"/>
  <c r="G157" i="32"/>
  <c r="N206" i="32"/>
  <c r="G322" i="32"/>
  <c r="E27" i="13" s="1"/>
  <c r="G219" i="32"/>
  <c r="G222" i="32"/>
  <c r="D344" i="32"/>
  <c r="P344" i="32"/>
  <c r="D346" i="32"/>
  <c r="K346" i="32"/>
  <c r="R346" i="32"/>
  <c r="D255" i="26"/>
  <c r="B260" i="26"/>
  <c r="F260" i="26"/>
  <c r="B466" i="26"/>
  <c r="F466" i="26"/>
  <c r="D472" i="26"/>
  <c r="P250" i="27"/>
  <c r="P301" i="27"/>
  <c r="P255" i="27"/>
  <c r="P260" i="27"/>
  <c r="P457" i="27"/>
  <c r="P270" i="27"/>
  <c r="P275" i="27"/>
  <c r="P276" i="27"/>
  <c r="P277" i="27"/>
  <c r="P278" i="27"/>
  <c r="P279" i="27"/>
  <c r="P280" i="27"/>
  <c r="P281" i="27"/>
  <c r="P282" i="27"/>
  <c r="P283" i="27"/>
  <c r="P284" i="27"/>
  <c r="P285" i="27"/>
  <c r="P286" i="27"/>
  <c r="P290" i="27"/>
  <c r="J250" i="27"/>
  <c r="N250" i="27"/>
  <c r="D260" i="27"/>
  <c r="J270" i="27"/>
  <c r="N270" i="27"/>
  <c r="D276" i="27"/>
  <c r="J278" i="27"/>
  <c r="N278" i="27"/>
  <c r="D280" i="27"/>
  <c r="J282" i="27"/>
  <c r="N282" i="27"/>
  <c r="D284" i="27"/>
  <c r="J286" i="27"/>
  <c r="N286" i="27"/>
  <c r="F347" i="19"/>
  <c r="F207" i="22"/>
  <c r="F156" i="22"/>
  <c r="J207" i="22"/>
  <c r="J156" i="22"/>
  <c r="F172" i="22"/>
  <c r="J172" i="22"/>
  <c r="D251" i="22"/>
  <c r="G208" i="23"/>
  <c r="G169" i="23"/>
  <c r="D209" i="23"/>
  <c r="B151" i="23"/>
  <c r="J151" i="23"/>
  <c r="K228" i="23"/>
  <c r="K174" i="23"/>
  <c r="F150" i="23"/>
  <c r="X102" i="23"/>
  <c r="Q151" i="23"/>
  <c r="U151" i="23"/>
  <c r="O152" i="23"/>
  <c r="X104" i="23"/>
  <c r="O246" i="23"/>
  <c r="O154" i="23"/>
  <c r="X106" i="23"/>
  <c r="S246" i="23"/>
  <c r="S154" i="23"/>
  <c r="I184" i="23"/>
  <c r="I271" i="23" s="1"/>
  <c r="O194" i="25"/>
  <c r="O281" i="25" s="1"/>
  <c r="O262" i="25"/>
  <c r="S194" i="25"/>
  <c r="S281" i="25" s="1"/>
  <c r="S262" i="25"/>
  <c r="W194" i="25"/>
  <c r="W281" i="25" s="1"/>
  <c r="W262" i="25"/>
  <c r="H28" i="26"/>
  <c r="H124" i="26" s="1"/>
  <c r="H229" i="14"/>
  <c r="H233" i="14"/>
  <c r="H237" i="14"/>
  <c r="H266" i="14"/>
  <c r="H335" i="14"/>
  <c r="H342" i="14"/>
  <c r="B6" i="27"/>
  <c r="B198" i="27" s="1"/>
  <c r="B294" i="27" s="1"/>
  <c r="H13" i="27"/>
  <c r="H109" i="27" s="1"/>
  <c r="P14" i="27"/>
  <c r="P206" i="27" s="1"/>
  <c r="P302" i="27" s="1"/>
  <c r="P15" i="27"/>
  <c r="P111" i="27" s="1"/>
  <c r="P20" i="27"/>
  <c r="P116" i="27" s="1"/>
  <c r="P21" i="27"/>
  <c r="P213" i="27" s="1"/>
  <c r="P309" i="27" s="1"/>
  <c r="P25" i="27"/>
  <c r="P121" i="27" s="1"/>
  <c r="H28" i="27"/>
  <c r="H124" i="27" s="1"/>
  <c r="H32" i="27"/>
  <c r="H128" i="27" s="1"/>
  <c r="P33" i="27"/>
  <c r="H35" i="27"/>
  <c r="P38" i="27"/>
  <c r="P134" i="27" s="1"/>
  <c r="H40" i="27"/>
  <c r="H359" i="27" s="1"/>
  <c r="P41" i="27"/>
  <c r="P137" i="27" s="1"/>
  <c r="P401" i="27" s="1"/>
  <c r="H43" i="27"/>
  <c r="H362" i="27" s="1"/>
  <c r="B34" i="27"/>
  <c r="B130" i="27" s="1"/>
  <c r="N102" i="32"/>
  <c r="P5" i="27" s="1"/>
  <c r="P197" i="27" s="1"/>
  <c r="H149" i="27"/>
  <c r="H152" i="27"/>
  <c r="H153" i="27"/>
  <c r="B203" i="27"/>
  <c r="B299" i="27" s="1"/>
  <c r="H155" i="27"/>
  <c r="H160" i="27"/>
  <c r="H161" i="27"/>
  <c r="E211" i="32"/>
  <c r="E343" i="32" s="1"/>
  <c r="C213" i="32"/>
  <c r="C344" i="32" s="1"/>
  <c r="N218" i="32"/>
  <c r="E223" i="32"/>
  <c r="E346" i="32" s="1"/>
  <c r="B50" i="13"/>
  <c r="B280" i="32"/>
  <c r="F280" i="32"/>
  <c r="N323" i="32"/>
  <c r="E51" i="13" s="1"/>
  <c r="B324" i="32"/>
  <c r="H53" i="26"/>
  <c r="H55" i="26"/>
  <c r="H57" i="26"/>
  <c r="H59" i="26"/>
  <c r="H61" i="26"/>
  <c r="H63" i="26"/>
  <c r="H65" i="26"/>
  <c r="H67" i="26"/>
  <c r="H69" i="26"/>
  <c r="H71" i="26"/>
  <c r="H119" i="26" s="1"/>
  <c r="H73" i="26"/>
  <c r="H75" i="26"/>
  <c r="H77" i="26"/>
  <c r="H79" i="26"/>
  <c r="H81" i="26"/>
  <c r="H83" i="26"/>
  <c r="H85" i="26"/>
  <c r="H87" i="26"/>
  <c r="H89" i="26"/>
  <c r="H91" i="26"/>
  <c r="H93" i="26"/>
  <c r="H98" i="26"/>
  <c r="C456" i="26"/>
  <c r="G456" i="26"/>
  <c r="E457" i="26"/>
  <c r="C458" i="26"/>
  <c r="G458" i="26"/>
  <c r="H261" i="26"/>
  <c r="E459" i="26"/>
  <c r="C460" i="26"/>
  <c r="G460" i="26"/>
  <c r="C462" i="26"/>
  <c r="G462" i="26"/>
  <c r="E463" i="26"/>
  <c r="C464" i="26"/>
  <c r="G464" i="26"/>
  <c r="E465" i="26"/>
  <c r="C466" i="26"/>
  <c r="G466" i="26"/>
  <c r="E467" i="26"/>
  <c r="C468" i="26"/>
  <c r="G468" i="26"/>
  <c r="E472" i="26"/>
  <c r="H372" i="27"/>
  <c r="H373" i="27"/>
  <c r="H374" i="27"/>
  <c r="H375" i="27"/>
  <c r="H121" i="27"/>
  <c r="H376" i="27"/>
  <c r="H378" i="27"/>
  <c r="H379" i="27"/>
  <c r="H380" i="27"/>
  <c r="H381" i="27"/>
  <c r="H382" i="27"/>
  <c r="H383" i="27"/>
  <c r="H384" i="27"/>
  <c r="H388" i="27"/>
  <c r="E454" i="27"/>
  <c r="K454" i="27"/>
  <c r="K298" i="27"/>
  <c r="O454" i="27"/>
  <c r="O298" i="27"/>
  <c r="E455" i="27"/>
  <c r="K455" i="27"/>
  <c r="K303" i="27"/>
  <c r="O455" i="27"/>
  <c r="E456" i="27"/>
  <c r="K456" i="27"/>
  <c r="K308" i="27"/>
  <c r="O456" i="27"/>
  <c r="O308" i="27"/>
  <c r="E457" i="27"/>
  <c r="K457" i="27"/>
  <c r="K313" i="27"/>
  <c r="E458" i="27"/>
  <c r="K458" i="27"/>
  <c r="O458" i="27"/>
  <c r="E460" i="27"/>
  <c r="K460" i="27"/>
  <c r="O460" i="27"/>
  <c r="E461" i="27"/>
  <c r="K461" i="27"/>
  <c r="O461" i="27"/>
  <c r="E462" i="27"/>
  <c r="K462" i="27"/>
  <c r="O462" i="27"/>
  <c r="E463" i="27"/>
  <c r="K463" i="27"/>
  <c r="O463" i="27"/>
  <c r="E464" i="27"/>
  <c r="K464" i="27"/>
  <c r="O464" i="27"/>
  <c r="E465" i="27"/>
  <c r="K465" i="27"/>
  <c r="O465" i="27"/>
  <c r="E466" i="27"/>
  <c r="K466" i="27"/>
  <c r="O466" i="27"/>
  <c r="E470" i="27"/>
  <c r="K470" i="27"/>
  <c r="O470" i="27"/>
  <c r="H57" i="28"/>
  <c r="H65" i="28"/>
  <c r="H69" i="28"/>
  <c r="H71" i="28"/>
  <c r="H218" i="28"/>
  <c r="H73" i="28"/>
  <c r="H232" i="28" s="1"/>
  <c r="E270" i="28"/>
  <c r="C271" i="28"/>
  <c r="G271" i="28"/>
  <c r="E273" i="28"/>
  <c r="E276" i="28"/>
  <c r="E172" i="28"/>
  <c r="E290" i="28" s="1"/>
  <c r="G277" i="28"/>
  <c r="G173" i="28"/>
  <c r="G291" i="28" s="1"/>
  <c r="B278" i="28"/>
  <c r="D281" i="28"/>
  <c r="I11" i="29"/>
  <c r="I14" i="29"/>
  <c r="I266" i="19"/>
  <c r="G27" i="29"/>
  <c r="G171" i="29" s="1"/>
  <c r="I27" i="19"/>
  <c r="I27" i="29" s="1"/>
  <c r="I52" i="29"/>
  <c r="I196" i="19"/>
  <c r="I56" i="29"/>
  <c r="I200" i="19"/>
  <c r="I58" i="29"/>
  <c r="I202" i="19"/>
  <c r="I62" i="29"/>
  <c r="I326" i="19"/>
  <c r="I206" i="19"/>
  <c r="I66" i="29"/>
  <c r="I210" i="19"/>
  <c r="I71" i="29"/>
  <c r="I75" i="29"/>
  <c r="I79" i="29"/>
  <c r="I223" i="19"/>
  <c r="I83" i="29"/>
  <c r="I227" i="19"/>
  <c r="I87" i="29"/>
  <c r="I231" i="19"/>
  <c r="I91" i="29"/>
  <c r="I235" i="19"/>
  <c r="D347" i="19"/>
  <c r="H347" i="19"/>
  <c r="E348" i="19"/>
  <c r="I267" i="19"/>
  <c r="K5" i="30"/>
  <c r="S5" i="30" s="1"/>
  <c r="R5" i="20"/>
  <c r="R5" i="30" s="1"/>
  <c r="N19" i="30"/>
  <c r="N179" i="30" s="1"/>
  <c r="R19" i="20"/>
  <c r="R19" i="30" s="1"/>
  <c r="N266" i="20"/>
  <c r="N211" i="20"/>
  <c r="N348" i="20" s="1"/>
  <c r="I213" i="20"/>
  <c r="I216" i="20"/>
  <c r="I218" i="20"/>
  <c r="O348" i="20"/>
  <c r="O349" i="20"/>
  <c r="F205" i="22"/>
  <c r="J205" i="22"/>
  <c r="E209" i="22"/>
  <c r="I209" i="22"/>
  <c r="I226" i="22"/>
  <c r="I227" i="22"/>
  <c r="E228" i="22"/>
  <c r="I228" i="22"/>
  <c r="B171" i="22"/>
  <c r="B271" i="22" s="1"/>
  <c r="J171" i="22"/>
  <c r="K230" i="22"/>
  <c r="K176" i="22"/>
  <c r="K272" i="22" s="1"/>
  <c r="F143" i="22"/>
  <c r="L98" i="22"/>
  <c r="G144" i="22"/>
  <c r="D249" i="22"/>
  <c r="D156" i="22"/>
  <c r="H249" i="22"/>
  <c r="H156" i="22"/>
  <c r="D172" i="22"/>
  <c r="H172" i="22"/>
  <c r="E175" i="22"/>
  <c r="D178" i="22"/>
  <c r="D274" i="22" s="1"/>
  <c r="I179" i="22"/>
  <c r="I275" i="22" s="1"/>
  <c r="H182" i="22"/>
  <c r="H278" i="22" s="1"/>
  <c r="D207" i="22"/>
  <c r="J224" i="22"/>
  <c r="H251" i="22"/>
  <c r="F206" i="23"/>
  <c r="J206" i="23"/>
  <c r="X20" i="23"/>
  <c r="Q268" i="23"/>
  <c r="X268" i="23" s="1"/>
  <c r="Q181" i="23"/>
  <c r="U181" i="23"/>
  <c r="S221" i="23"/>
  <c r="S194" i="23"/>
  <c r="S281" i="23" s="1"/>
  <c r="K150" i="23"/>
  <c r="F224" i="23"/>
  <c r="J154" i="23"/>
  <c r="J224" i="23"/>
  <c r="B155" i="23"/>
  <c r="J155" i="23"/>
  <c r="X62" i="23"/>
  <c r="B175" i="23"/>
  <c r="J175" i="23"/>
  <c r="C150" i="23"/>
  <c r="G150" i="23"/>
  <c r="P150" i="23"/>
  <c r="T150" i="23"/>
  <c r="R151" i="23"/>
  <c r="C154" i="23"/>
  <c r="G154" i="23"/>
  <c r="R155" i="23"/>
  <c r="T158" i="23"/>
  <c r="E161" i="23"/>
  <c r="I161" i="23"/>
  <c r="T162" i="23"/>
  <c r="X115" i="23"/>
  <c r="D248" i="23"/>
  <c r="D164" i="23"/>
  <c r="H248" i="23"/>
  <c r="H164" i="23"/>
  <c r="F165" i="23"/>
  <c r="X117" i="23"/>
  <c r="D166" i="23"/>
  <c r="H166" i="23"/>
  <c r="F172" i="23"/>
  <c r="H250" i="23"/>
  <c r="H174" i="23"/>
  <c r="F176" i="23"/>
  <c r="D178" i="23"/>
  <c r="C182" i="23"/>
  <c r="D184" i="23"/>
  <c r="D271" i="23" s="1"/>
  <c r="H252" i="23"/>
  <c r="H184" i="23"/>
  <c r="H271" i="23" s="1"/>
  <c r="H256" i="23"/>
  <c r="H188" i="23"/>
  <c r="H275" i="23" s="1"/>
  <c r="T159" i="23"/>
  <c r="E188" i="23"/>
  <c r="E275" i="23" s="1"/>
  <c r="T212" i="23"/>
  <c r="G221" i="23"/>
  <c r="G246" i="23"/>
  <c r="U247" i="23"/>
  <c r="L78" i="24"/>
  <c r="D172" i="24"/>
  <c r="H172" i="24"/>
  <c r="E173" i="24"/>
  <c r="E254" i="24"/>
  <c r="I173" i="24"/>
  <c r="I254" i="24"/>
  <c r="G181" i="24"/>
  <c r="J213" i="24"/>
  <c r="N228" i="25"/>
  <c r="X78" i="25"/>
  <c r="I152" i="25"/>
  <c r="V158" i="25"/>
  <c r="I169" i="25"/>
  <c r="H187" i="25"/>
  <c r="H274" i="25" s="1"/>
  <c r="C236" i="26"/>
  <c r="C447" i="26" s="1"/>
  <c r="C368" i="26"/>
  <c r="G236" i="26"/>
  <c r="G447" i="26" s="1"/>
  <c r="G368" i="26"/>
  <c r="H178" i="26"/>
  <c r="B226" i="26"/>
  <c r="B322" i="26" s="1"/>
  <c r="C361" i="27"/>
  <c r="C138" i="27"/>
  <c r="C402" i="27" s="1"/>
  <c r="H42" i="27"/>
  <c r="H361" i="27" s="1"/>
  <c r="E362" i="27"/>
  <c r="E139" i="27"/>
  <c r="E403" i="27" s="1"/>
  <c r="N362" i="27"/>
  <c r="N235" i="27"/>
  <c r="N444" i="27" s="1"/>
  <c r="N139" i="27"/>
  <c r="N403" i="27" s="1"/>
  <c r="D369" i="27"/>
  <c r="D146" i="27"/>
  <c r="D410" i="27" s="1"/>
  <c r="M369" i="27"/>
  <c r="M242" i="27"/>
  <c r="M451" i="27" s="1"/>
  <c r="M146" i="27"/>
  <c r="M410" i="27" s="1"/>
  <c r="H34" i="27"/>
  <c r="H130" i="27" s="1"/>
  <c r="H150" i="27"/>
  <c r="M413" i="27"/>
  <c r="M202" i="27"/>
  <c r="M298" i="27" s="1"/>
  <c r="H158" i="27"/>
  <c r="B414" i="27"/>
  <c r="H159" i="27"/>
  <c r="H163" i="27"/>
  <c r="F198" i="32"/>
  <c r="B199" i="32"/>
  <c r="F199" i="32"/>
  <c r="B207" i="32"/>
  <c r="B227" i="32"/>
  <c r="B346" i="32" s="1"/>
  <c r="B57" i="13"/>
  <c r="B321" i="32"/>
  <c r="F321" i="32"/>
  <c r="G323" i="32"/>
  <c r="E28" i="13" s="1"/>
  <c r="U324" i="32"/>
  <c r="E71" i="13" s="1"/>
  <c r="G327" i="32"/>
  <c r="U328" i="32"/>
  <c r="N330" i="32"/>
  <c r="E58" i="13" s="1"/>
  <c r="U332" i="32"/>
  <c r="D456" i="26"/>
  <c r="B457" i="26"/>
  <c r="F457" i="26"/>
  <c r="D458" i="26"/>
  <c r="B459" i="26"/>
  <c r="F459" i="26"/>
  <c r="D460" i="26"/>
  <c r="D462" i="26"/>
  <c r="B463" i="26"/>
  <c r="D464" i="26"/>
  <c r="B465" i="26"/>
  <c r="F465" i="26"/>
  <c r="D466" i="26"/>
  <c r="B467" i="26"/>
  <c r="F467" i="26"/>
  <c r="D468" i="26"/>
  <c r="B472" i="26"/>
  <c r="F472" i="26"/>
  <c r="B454" i="27"/>
  <c r="F454" i="27"/>
  <c r="L454" i="27"/>
  <c r="B455" i="27"/>
  <c r="F455" i="27"/>
  <c r="L455" i="27"/>
  <c r="B456" i="27"/>
  <c r="F456" i="27"/>
  <c r="L456" i="27"/>
  <c r="B457" i="27"/>
  <c r="F457" i="27"/>
  <c r="L457" i="27"/>
  <c r="B458" i="27"/>
  <c r="F458" i="27"/>
  <c r="L458" i="27"/>
  <c r="B460" i="27"/>
  <c r="F460" i="27"/>
  <c r="L460" i="27"/>
  <c r="B461" i="27"/>
  <c r="F461" i="27"/>
  <c r="L461" i="27"/>
  <c r="B462" i="27"/>
  <c r="F462" i="27"/>
  <c r="L462" i="27"/>
  <c r="B463" i="27"/>
  <c r="F463" i="27"/>
  <c r="L463" i="27"/>
  <c r="B464" i="27"/>
  <c r="F464" i="27"/>
  <c r="L464" i="27"/>
  <c r="B465" i="27"/>
  <c r="F465" i="27"/>
  <c r="L465" i="27"/>
  <c r="B466" i="27"/>
  <c r="F466" i="27"/>
  <c r="L466" i="27"/>
  <c r="B470" i="27"/>
  <c r="F470" i="27"/>
  <c r="L470" i="27"/>
  <c r="B270" i="28"/>
  <c r="F270" i="28"/>
  <c r="D160" i="28"/>
  <c r="D271" i="28"/>
  <c r="B165" i="28"/>
  <c r="B287" i="28" s="1"/>
  <c r="F165" i="28"/>
  <c r="B274" i="28"/>
  <c r="F274" i="28"/>
  <c r="B276" i="28"/>
  <c r="F276" i="28"/>
  <c r="D277" i="28"/>
  <c r="I28" i="29"/>
  <c r="I220" i="19"/>
  <c r="I32" i="29"/>
  <c r="I224" i="19"/>
  <c r="I36" i="29"/>
  <c r="I228" i="19"/>
  <c r="I40" i="29"/>
  <c r="I175" i="29" s="1"/>
  <c r="I232" i="19"/>
  <c r="I272" i="19"/>
  <c r="I44" i="29"/>
  <c r="I179" i="29" s="1"/>
  <c r="I236" i="19"/>
  <c r="I276" i="19"/>
  <c r="G21" i="29"/>
  <c r="G170" i="29" s="1"/>
  <c r="G286" i="19"/>
  <c r="G213" i="19"/>
  <c r="G348" i="19" s="1"/>
  <c r="I69" i="19"/>
  <c r="I286" i="19" s="1"/>
  <c r="F348" i="19"/>
  <c r="F9" i="30"/>
  <c r="F105" i="30" s="1"/>
  <c r="I9" i="20"/>
  <c r="I9" i="30" s="1"/>
  <c r="E18" i="30"/>
  <c r="E179" i="30" s="1"/>
  <c r="E266" i="20"/>
  <c r="I18" i="20"/>
  <c r="I18" i="30" s="1"/>
  <c r="E210" i="20"/>
  <c r="E348" i="20" s="1"/>
  <c r="R286" i="20"/>
  <c r="R287" i="20"/>
  <c r="R306" i="20"/>
  <c r="R201" i="20"/>
  <c r="R205" i="20"/>
  <c r="R326" i="20"/>
  <c r="R209" i="20"/>
  <c r="R213" i="20"/>
  <c r="R216" i="20"/>
  <c r="R218" i="20"/>
  <c r="R220" i="20"/>
  <c r="R329" i="20"/>
  <c r="R224" i="20"/>
  <c r="R226" i="20"/>
  <c r="F201" i="20"/>
  <c r="F348" i="20"/>
  <c r="D224" i="22"/>
  <c r="H224" i="22"/>
  <c r="F228" i="22"/>
  <c r="J175" i="22"/>
  <c r="K234" i="22"/>
  <c r="K180" i="22"/>
  <c r="K276" i="22" s="1"/>
  <c r="D171" i="22"/>
  <c r="H171" i="22"/>
  <c r="D174" i="22"/>
  <c r="C177" i="22"/>
  <c r="C273" i="22" s="1"/>
  <c r="D248" i="22"/>
  <c r="F209" i="23"/>
  <c r="J209" i="23"/>
  <c r="X36" i="23"/>
  <c r="T211" i="23"/>
  <c r="T184" i="23"/>
  <c r="T271" i="23" s="1"/>
  <c r="T213" i="23"/>
  <c r="T186" i="23"/>
  <c r="T273" i="23" s="1"/>
  <c r="S217" i="23"/>
  <c r="S190" i="23"/>
  <c r="S277" i="23" s="1"/>
  <c r="X55" i="23"/>
  <c r="K154" i="23"/>
  <c r="X61" i="23"/>
  <c r="B164" i="23"/>
  <c r="J164" i="23"/>
  <c r="B170" i="23"/>
  <c r="J170" i="23"/>
  <c r="K182" i="23"/>
  <c r="K232" i="23"/>
  <c r="K186" i="23"/>
  <c r="K273" i="23" s="1"/>
  <c r="R149" i="23"/>
  <c r="F151" i="23"/>
  <c r="O151" i="23"/>
  <c r="X103" i="23"/>
  <c r="Q152" i="23"/>
  <c r="U152" i="23"/>
  <c r="O153" i="23"/>
  <c r="X105" i="23"/>
  <c r="S153" i="23"/>
  <c r="Q154" i="23"/>
  <c r="F155" i="23"/>
  <c r="O155" i="23"/>
  <c r="X107" i="23"/>
  <c r="Q156" i="23"/>
  <c r="U156" i="23"/>
  <c r="O157" i="23"/>
  <c r="X109" i="23"/>
  <c r="S157" i="23"/>
  <c r="Q158" i="23"/>
  <c r="U158" i="23"/>
  <c r="Q247" i="23"/>
  <c r="Q159" i="23"/>
  <c r="X111" i="23"/>
  <c r="F160" i="23"/>
  <c r="F161" i="23"/>
  <c r="Q161" i="23"/>
  <c r="X113" i="23"/>
  <c r="U161" i="23"/>
  <c r="X114" i="23"/>
  <c r="D249" i="23"/>
  <c r="D169" i="23"/>
  <c r="D181" i="23"/>
  <c r="H181" i="23"/>
  <c r="H182" i="23"/>
  <c r="H183" i="23"/>
  <c r="C186" i="23"/>
  <c r="C273" i="23" s="1"/>
  <c r="D255" i="23"/>
  <c r="D187" i="23"/>
  <c r="D274" i="23" s="1"/>
  <c r="H255" i="23"/>
  <c r="H187" i="23"/>
  <c r="H274" i="23" s="1"/>
  <c r="D262" i="23"/>
  <c r="D194" i="23"/>
  <c r="D281" i="23" s="1"/>
  <c r="H262" i="23"/>
  <c r="H194" i="23"/>
  <c r="H281" i="23" s="1"/>
  <c r="K221" i="23"/>
  <c r="F173" i="24"/>
  <c r="F213" i="24"/>
  <c r="D165" i="24"/>
  <c r="H165" i="24"/>
  <c r="C232" i="24"/>
  <c r="C173" i="24"/>
  <c r="L77" i="24"/>
  <c r="G232" i="24"/>
  <c r="G173" i="24"/>
  <c r="K232" i="24"/>
  <c r="K173" i="24"/>
  <c r="L86" i="24"/>
  <c r="H250" i="24"/>
  <c r="E167" i="24"/>
  <c r="I167" i="24"/>
  <c r="F259" i="24"/>
  <c r="F186" i="24"/>
  <c r="F278" i="24" s="1"/>
  <c r="J259" i="24"/>
  <c r="J186" i="24"/>
  <c r="J278" i="24" s="1"/>
  <c r="C226" i="25"/>
  <c r="L68" i="25"/>
  <c r="L84" i="25"/>
  <c r="C180" i="25"/>
  <c r="R166" i="25"/>
  <c r="E249" i="25"/>
  <c r="E169" i="25"/>
  <c r="D249" i="25"/>
  <c r="D171" i="25"/>
  <c r="N179" i="25"/>
  <c r="N270" i="25" s="1"/>
  <c r="R179" i="25"/>
  <c r="V179" i="25"/>
  <c r="D180" i="25"/>
  <c r="H180" i="25"/>
  <c r="Q180" i="25"/>
  <c r="U180" i="25"/>
  <c r="D255" i="25"/>
  <c r="D187" i="25"/>
  <c r="D274" i="25" s="1"/>
  <c r="Q255" i="25"/>
  <c r="Q187" i="25"/>
  <c r="Q274" i="25" s="1"/>
  <c r="U255" i="25"/>
  <c r="U187" i="25"/>
  <c r="U274" i="25" s="1"/>
  <c r="C256" i="25"/>
  <c r="C188" i="25"/>
  <c r="C275" i="25" s="1"/>
  <c r="G256" i="25"/>
  <c r="G188" i="25"/>
  <c r="G275" i="25" s="1"/>
  <c r="K256" i="25"/>
  <c r="K188" i="25"/>
  <c r="K275" i="25" s="1"/>
  <c r="O161" i="25"/>
  <c r="J184" i="25"/>
  <c r="J271" i="25" s="1"/>
  <c r="H5" i="26"/>
  <c r="H9" i="26"/>
  <c r="H13" i="26"/>
  <c r="H17" i="26"/>
  <c r="H21" i="26"/>
  <c r="H26" i="26"/>
  <c r="H34" i="26"/>
  <c r="H130" i="26" s="1"/>
  <c r="H42" i="26"/>
  <c r="H366" i="26" s="1"/>
  <c r="H46" i="26"/>
  <c r="H370" i="26" s="1"/>
  <c r="H271" i="14"/>
  <c r="H275" i="14"/>
  <c r="N5" i="27"/>
  <c r="N101" i="27" s="1"/>
  <c r="G7" i="32"/>
  <c r="B8" i="27"/>
  <c r="B200" i="27" s="1"/>
  <c r="B296" i="27" s="1"/>
  <c r="P11" i="27"/>
  <c r="P203" i="27" s="1"/>
  <c r="P299" i="27" s="1"/>
  <c r="B14" i="27"/>
  <c r="B110" i="27" s="1"/>
  <c r="B15" i="27"/>
  <c r="P22" i="27"/>
  <c r="P214" i="27" s="1"/>
  <c r="P310" i="27" s="1"/>
  <c r="P24" i="27"/>
  <c r="P216" i="27" s="1"/>
  <c r="P312" i="27" s="1"/>
  <c r="P34" i="27"/>
  <c r="H36" i="27"/>
  <c r="P37" i="27"/>
  <c r="P133" i="27" s="1"/>
  <c r="H39" i="27"/>
  <c r="H44" i="27"/>
  <c r="H363" i="27" s="1"/>
  <c r="H46" i="27"/>
  <c r="H365" i="27" s="1"/>
  <c r="P50" i="27"/>
  <c r="P146" i="27" s="1"/>
  <c r="P410" i="27" s="1"/>
  <c r="B10" i="27"/>
  <c r="G68" i="32"/>
  <c r="G112" i="32"/>
  <c r="G302" i="32" s="1"/>
  <c r="D26" i="13" s="1"/>
  <c r="G127" i="32"/>
  <c r="G305" i="32" s="1"/>
  <c r="D29" i="13" s="1"/>
  <c r="G150" i="32"/>
  <c r="N155" i="32"/>
  <c r="G159" i="32"/>
  <c r="G207" i="32" s="1"/>
  <c r="G160" i="32"/>
  <c r="F211" i="27"/>
  <c r="F307" i="27" s="1"/>
  <c r="H178" i="27"/>
  <c r="L203" i="32"/>
  <c r="L342" i="32" s="1"/>
  <c r="L211" i="32"/>
  <c r="L343" i="32" s="1"/>
  <c r="B51" i="13"/>
  <c r="E305" i="32"/>
  <c r="L320" i="32"/>
  <c r="H383" i="26"/>
  <c r="H385" i="26"/>
  <c r="H387" i="26"/>
  <c r="H389" i="26"/>
  <c r="E456" i="26"/>
  <c r="C457" i="26"/>
  <c r="G457" i="26"/>
  <c r="E458" i="26"/>
  <c r="C459" i="26"/>
  <c r="E460" i="26"/>
  <c r="E462" i="26"/>
  <c r="C463" i="26"/>
  <c r="G463" i="26"/>
  <c r="E464" i="26"/>
  <c r="C465" i="26"/>
  <c r="G465" i="26"/>
  <c r="E466" i="26"/>
  <c r="C467" i="26"/>
  <c r="G467" i="26"/>
  <c r="E468" i="26"/>
  <c r="C472" i="26"/>
  <c r="G472" i="26"/>
  <c r="P372" i="27"/>
  <c r="P109" i="27"/>
  <c r="P373" i="27"/>
  <c r="P374" i="27"/>
  <c r="P375" i="27"/>
  <c r="P125" i="27"/>
  <c r="P376" i="27"/>
  <c r="P127" i="27"/>
  <c r="P378" i="27"/>
  <c r="P379" i="27"/>
  <c r="P380" i="27"/>
  <c r="P381" i="27"/>
  <c r="P382" i="27"/>
  <c r="P383" i="27"/>
  <c r="P141" i="27"/>
  <c r="P405" i="27" s="1"/>
  <c r="P384" i="27"/>
  <c r="P388" i="27"/>
  <c r="C454" i="27"/>
  <c r="G454" i="27"/>
  <c r="M454" i="27"/>
  <c r="C455" i="27"/>
  <c r="G455" i="27"/>
  <c r="M455" i="27"/>
  <c r="C456" i="27"/>
  <c r="G456" i="27"/>
  <c r="G308" i="27"/>
  <c r="M456" i="27"/>
  <c r="C457" i="27"/>
  <c r="M457" i="27"/>
  <c r="C458" i="27"/>
  <c r="G458" i="27"/>
  <c r="G318" i="27"/>
  <c r="G480" i="27" s="1"/>
  <c r="M458" i="27"/>
  <c r="G324" i="27"/>
  <c r="C460" i="27"/>
  <c r="G460" i="27"/>
  <c r="M460" i="27"/>
  <c r="C461" i="27"/>
  <c r="G461" i="27"/>
  <c r="M461" i="27"/>
  <c r="C462" i="27"/>
  <c r="G462" i="27"/>
  <c r="M462" i="27"/>
  <c r="C463" i="27"/>
  <c r="G463" i="27"/>
  <c r="M463" i="27"/>
  <c r="C464" i="27"/>
  <c r="G464" i="27"/>
  <c r="G332" i="27"/>
  <c r="G486" i="27" s="1"/>
  <c r="M464" i="27"/>
  <c r="C465" i="27"/>
  <c r="G465" i="27"/>
  <c r="M465" i="27"/>
  <c r="C466" i="27"/>
  <c r="G466" i="27"/>
  <c r="M466" i="27"/>
  <c r="C470" i="27"/>
  <c r="G470" i="27"/>
  <c r="M470" i="27"/>
  <c r="H31" i="28"/>
  <c r="H56" i="28" s="1"/>
  <c r="H33" i="28"/>
  <c r="H58" i="28" s="1"/>
  <c r="H35" i="28"/>
  <c r="H37" i="28"/>
  <c r="H39" i="28"/>
  <c r="H64" i="28" s="1"/>
  <c r="H41" i="28"/>
  <c r="H66" i="28" s="1"/>
  <c r="H43" i="28"/>
  <c r="H215" i="28" s="1"/>
  <c r="H45" i="28"/>
  <c r="H216" i="28" s="1"/>
  <c r="H47" i="28"/>
  <c r="H49" i="28"/>
  <c r="C270" i="28"/>
  <c r="G270" i="28"/>
  <c r="E272" i="28"/>
  <c r="G163" i="28"/>
  <c r="C273" i="28"/>
  <c r="E168" i="28"/>
  <c r="C169" i="28"/>
  <c r="G169" i="28"/>
  <c r="B281" i="28"/>
  <c r="F281" i="28"/>
  <c r="I6" i="19"/>
  <c r="I6" i="29" s="1"/>
  <c r="I9" i="29"/>
  <c r="I25" i="29"/>
  <c r="I285" i="19"/>
  <c r="I54" i="29"/>
  <c r="I60" i="29"/>
  <c r="I64" i="29"/>
  <c r="I208" i="19"/>
  <c r="I68" i="29"/>
  <c r="I327" i="19"/>
  <c r="I212" i="19"/>
  <c r="I73" i="29"/>
  <c r="I328" i="19"/>
  <c r="I77" i="29"/>
  <c r="I221" i="19"/>
  <c r="I81" i="29"/>
  <c r="I225" i="19"/>
  <c r="I85" i="29"/>
  <c r="I229" i="19"/>
  <c r="I89" i="29"/>
  <c r="I233" i="19"/>
  <c r="I93" i="29"/>
  <c r="I237" i="19"/>
  <c r="B198" i="19"/>
  <c r="Q7" i="30"/>
  <c r="Q103" i="30" s="1"/>
  <c r="Q199" i="20"/>
  <c r="B13" i="30"/>
  <c r="B178" i="30" s="1"/>
  <c r="I13" i="20"/>
  <c r="I13" i="30" s="1"/>
  <c r="O351" i="20"/>
  <c r="E207" i="22"/>
  <c r="I207" i="22"/>
  <c r="F208" i="22"/>
  <c r="J208" i="22"/>
  <c r="C209" i="22"/>
  <c r="G209" i="22"/>
  <c r="K209" i="22"/>
  <c r="E224" i="22"/>
  <c r="I224" i="22"/>
  <c r="G226" i="22"/>
  <c r="B175" i="22"/>
  <c r="B233" i="22"/>
  <c r="B179" i="22"/>
  <c r="B275" i="22" s="1"/>
  <c r="J233" i="22"/>
  <c r="J179" i="22"/>
  <c r="J275" i="22" s="1"/>
  <c r="L100" i="22"/>
  <c r="L103" i="22"/>
  <c r="L107" i="22"/>
  <c r="L111" i="22"/>
  <c r="L115" i="22"/>
  <c r="L119" i="22"/>
  <c r="L123" i="22"/>
  <c r="J168" i="22"/>
  <c r="I171" i="22"/>
  <c r="C173" i="22"/>
  <c r="H174" i="22"/>
  <c r="B176" i="22"/>
  <c r="B272" i="22" s="1"/>
  <c r="G177" i="22"/>
  <c r="G273" i="22" s="1"/>
  <c r="K181" i="22"/>
  <c r="K277" i="22" s="1"/>
  <c r="E186" i="22"/>
  <c r="E282" i="22" s="1"/>
  <c r="J225" i="22"/>
  <c r="H248" i="22"/>
  <c r="X6" i="23"/>
  <c r="X9" i="23"/>
  <c r="F205" i="23"/>
  <c r="J205" i="23"/>
  <c r="D206" i="23"/>
  <c r="H206" i="23"/>
  <c r="Q206" i="23"/>
  <c r="X18" i="23"/>
  <c r="G207" i="23"/>
  <c r="T267" i="23"/>
  <c r="F208" i="23"/>
  <c r="J208" i="23"/>
  <c r="R179" i="23"/>
  <c r="R270" i="23" s="1"/>
  <c r="X38" i="23"/>
  <c r="Q182" i="23"/>
  <c r="U182" i="23"/>
  <c r="S216" i="23"/>
  <c r="S189" i="23"/>
  <c r="S276" i="23" s="1"/>
  <c r="X56" i="23"/>
  <c r="D224" i="23"/>
  <c r="H224" i="23"/>
  <c r="F225" i="23"/>
  <c r="J225" i="23"/>
  <c r="X63" i="23"/>
  <c r="B160" i="23"/>
  <c r="J160" i="23"/>
  <c r="K168" i="23"/>
  <c r="I227" i="23"/>
  <c r="B172" i="23"/>
  <c r="J172" i="23"/>
  <c r="B228" i="23"/>
  <c r="F228" i="23"/>
  <c r="J228" i="23"/>
  <c r="B181" i="23"/>
  <c r="J181" i="23"/>
  <c r="B231" i="23"/>
  <c r="B185" i="23"/>
  <c r="B272" i="23" s="1"/>
  <c r="J231" i="23"/>
  <c r="J185" i="23"/>
  <c r="J272" i="23" s="1"/>
  <c r="K190" i="23"/>
  <c r="K277" i="23" s="1"/>
  <c r="K236" i="23"/>
  <c r="R247" i="23"/>
  <c r="C160" i="23"/>
  <c r="G160" i="23"/>
  <c r="R161" i="23"/>
  <c r="D163" i="23"/>
  <c r="H163" i="23"/>
  <c r="S163" i="23"/>
  <c r="F164" i="23"/>
  <c r="F170" i="23"/>
  <c r="F178" i="23"/>
  <c r="H180" i="23"/>
  <c r="E181" i="23"/>
  <c r="I181" i="23"/>
  <c r="D186" i="23"/>
  <c r="D273" i="23" s="1"/>
  <c r="H254" i="23"/>
  <c r="H186" i="23"/>
  <c r="H273" i="23" s="1"/>
  <c r="H258" i="23"/>
  <c r="H190" i="23"/>
  <c r="H277" i="23" s="1"/>
  <c r="S207" i="23"/>
  <c r="G210" i="24"/>
  <c r="L85" i="24"/>
  <c r="C181" i="24"/>
  <c r="L97" i="24"/>
  <c r="L244" i="24" s="1"/>
  <c r="C149" i="24"/>
  <c r="G149" i="24"/>
  <c r="K149" i="24"/>
  <c r="F181" i="24"/>
  <c r="C184" i="24"/>
  <c r="C276" i="24" s="1"/>
  <c r="G184" i="24"/>
  <c r="G276" i="24" s="1"/>
  <c r="K184" i="24"/>
  <c r="K276" i="24" s="1"/>
  <c r="Q183" i="25"/>
  <c r="X57" i="25"/>
  <c r="O153" i="25"/>
  <c r="X87" i="25"/>
  <c r="C155" i="25"/>
  <c r="G155" i="25"/>
  <c r="I15" i="29"/>
  <c r="I19" i="29"/>
  <c r="I31" i="29"/>
  <c r="I35" i="29"/>
  <c r="I39" i="29"/>
  <c r="I174" i="29" s="1"/>
  <c r="I43" i="29"/>
  <c r="I178" i="29" s="1"/>
  <c r="I55" i="29"/>
  <c r="I61" i="29"/>
  <c r="I65" i="29"/>
  <c r="I69" i="29"/>
  <c r="I74" i="29"/>
  <c r="I78" i="29"/>
  <c r="I82" i="29"/>
  <c r="I86" i="29"/>
  <c r="I90" i="29"/>
  <c r="I97" i="29"/>
  <c r="I199" i="19"/>
  <c r="I205" i="19"/>
  <c r="I209" i="19"/>
  <c r="B265" i="19"/>
  <c r="J265" i="19" s="1"/>
  <c r="I5" i="20"/>
  <c r="I5" i="30" s="1"/>
  <c r="R6" i="30"/>
  <c r="R8" i="30"/>
  <c r="R10" i="20"/>
  <c r="R202" i="20" s="1"/>
  <c r="R12" i="30"/>
  <c r="R15" i="30"/>
  <c r="R17" i="30"/>
  <c r="R20" i="30"/>
  <c r="R22" i="30"/>
  <c r="R25" i="30"/>
  <c r="R27" i="30"/>
  <c r="I34" i="30"/>
  <c r="I36" i="30"/>
  <c r="I38" i="30"/>
  <c r="I40" i="30"/>
  <c r="I184" i="30" s="1"/>
  <c r="I54" i="30"/>
  <c r="I56" i="30"/>
  <c r="F197" i="30"/>
  <c r="F106" i="30"/>
  <c r="I60" i="30"/>
  <c r="I62" i="30"/>
  <c r="I64" i="30"/>
  <c r="I66" i="30"/>
  <c r="I68" i="30"/>
  <c r="I70" i="30"/>
  <c r="I73" i="30"/>
  <c r="I75" i="30"/>
  <c r="I77" i="30"/>
  <c r="I79" i="30"/>
  <c r="I81" i="30"/>
  <c r="I83" i="30"/>
  <c r="I85" i="30"/>
  <c r="I87" i="30"/>
  <c r="I89" i="30"/>
  <c r="R90" i="30"/>
  <c r="I93" i="30"/>
  <c r="I198" i="20"/>
  <c r="I200" i="20"/>
  <c r="I204" i="20"/>
  <c r="R207" i="20"/>
  <c r="I208" i="20"/>
  <c r="I212" i="20"/>
  <c r="I214" i="20"/>
  <c r="I217" i="20"/>
  <c r="I219" i="20"/>
  <c r="I221" i="20"/>
  <c r="I222" i="20"/>
  <c r="R222" i="20"/>
  <c r="I223" i="20"/>
  <c r="I225" i="20"/>
  <c r="I227" i="20"/>
  <c r="I228" i="20"/>
  <c r="R228" i="20"/>
  <c r="I229" i="20"/>
  <c r="I230" i="20"/>
  <c r="R230" i="20"/>
  <c r="I231" i="20"/>
  <c r="I232" i="20"/>
  <c r="I353" i="20" s="1"/>
  <c r="R232" i="20"/>
  <c r="R353" i="20" s="1"/>
  <c r="I233" i="20"/>
  <c r="I354" i="20" s="1"/>
  <c r="I234" i="20"/>
  <c r="I355" i="20" s="1"/>
  <c r="R234" i="20"/>
  <c r="R355" i="20" s="1"/>
  <c r="I235" i="20"/>
  <c r="I356" i="20" s="1"/>
  <c r="R235" i="20"/>
  <c r="R356" i="20" s="1"/>
  <c r="R236" i="20"/>
  <c r="R357" i="20" s="1"/>
  <c r="I237" i="20"/>
  <c r="I358" i="20" s="1"/>
  <c r="I238" i="20"/>
  <c r="I359" i="20" s="1"/>
  <c r="R238" i="20"/>
  <c r="R359" i="20" s="1"/>
  <c r="I242" i="20"/>
  <c r="I363" i="20" s="1"/>
  <c r="R242" i="20"/>
  <c r="R363" i="20" s="1"/>
  <c r="I267" i="20"/>
  <c r="O325" i="20"/>
  <c r="I328" i="20"/>
  <c r="I332" i="20"/>
  <c r="R333" i="20"/>
  <c r="I336" i="20"/>
  <c r="R337" i="20"/>
  <c r="C146" i="22"/>
  <c r="G146" i="22"/>
  <c r="C150" i="22"/>
  <c r="C154" i="22"/>
  <c r="E156" i="22"/>
  <c r="C158" i="22"/>
  <c r="F161" i="22"/>
  <c r="C162" i="22"/>
  <c r="C166" i="22"/>
  <c r="G166" i="22"/>
  <c r="C170" i="22"/>
  <c r="E172" i="22"/>
  <c r="I172" i="22"/>
  <c r="F173" i="22"/>
  <c r="C174" i="22"/>
  <c r="G174" i="22"/>
  <c r="D175" i="22"/>
  <c r="H175" i="22"/>
  <c r="E176" i="22"/>
  <c r="E272" i="22" s="1"/>
  <c r="I176" i="22"/>
  <c r="I272" i="22" s="1"/>
  <c r="C178" i="22"/>
  <c r="C274" i="22" s="1"/>
  <c r="G178" i="22"/>
  <c r="G274" i="22" s="1"/>
  <c r="D179" i="22"/>
  <c r="D275" i="22" s="1"/>
  <c r="H179" i="22"/>
  <c r="H275" i="22" s="1"/>
  <c r="E180" i="22"/>
  <c r="E276" i="22" s="1"/>
  <c r="I180" i="22"/>
  <c r="I276" i="22" s="1"/>
  <c r="C182" i="22"/>
  <c r="C278" i="22" s="1"/>
  <c r="G182" i="22"/>
  <c r="G278" i="22" s="1"/>
  <c r="D186" i="22"/>
  <c r="H186" i="22"/>
  <c r="H282" i="22" s="1"/>
  <c r="J228" i="22"/>
  <c r="B232" i="22"/>
  <c r="J232" i="22"/>
  <c r="K233" i="22"/>
  <c r="E247" i="22"/>
  <c r="G248" i="22"/>
  <c r="C251" i="22"/>
  <c r="X15" i="23"/>
  <c r="X25" i="23"/>
  <c r="X169" i="23" s="1"/>
  <c r="X101" i="23"/>
  <c r="X112" i="23"/>
  <c r="D154" i="23"/>
  <c r="H154" i="23"/>
  <c r="U154" i="23"/>
  <c r="F159" i="23"/>
  <c r="J159" i="23"/>
  <c r="Q162" i="23"/>
  <c r="Q164" i="23"/>
  <c r="U164" i="23"/>
  <c r="U267" i="23" s="1"/>
  <c r="F169" i="23"/>
  <c r="Q174" i="23"/>
  <c r="Q269" i="23" s="1"/>
  <c r="U174" i="23"/>
  <c r="U269" i="23" s="1"/>
  <c r="B179" i="23"/>
  <c r="B270" i="23" s="1"/>
  <c r="F179" i="23"/>
  <c r="J179" i="23"/>
  <c r="S179" i="23"/>
  <c r="Q180" i="23"/>
  <c r="U180" i="23"/>
  <c r="F181" i="23"/>
  <c r="S181" i="23"/>
  <c r="L182" i="23"/>
  <c r="B183" i="23"/>
  <c r="J183" i="23"/>
  <c r="S183" i="23"/>
  <c r="Q184" i="23"/>
  <c r="Q271" i="23" s="1"/>
  <c r="U184" i="23"/>
  <c r="U271" i="23" s="1"/>
  <c r="F185" i="23"/>
  <c r="F272" i="23" s="1"/>
  <c r="S185" i="23"/>
  <c r="S272" i="23" s="1"/>
  <c r="Q186" i="23"/>
  <c r="Q273" i="23" s="1"/>
  <c r="U186" i="23"/>
  <c r="U273" i="23" s="1"/>
  <c r="B187" i="23"/>
  <c r="B274" i="23" s="1"/>
  <c r="F187" i="23"/>
  <c r="F274" i="23" s="1"/>
  <c r="J187" i="23"/>
  <c r="J274" i="23" s="1"/>
  <c r="S187" i="23"/>
  <c r="S274" i="23" s="1"/>
  <c r="Q188" i="23"/>
  <c r="Q275" i="23" s="1"/>
  <c r="U188" i="23"/>
  <c r="U275" i="23" s="1"/>
  <c r="F189" i="23"/>
  <c r="F276" i="23" s="1"/>
  <c r="Q190" i="23"/>
  <c r="Q277" i="23" s="1"/>
  <c r="U190" i="23"/>
  <c r="U277" i="23" s="1"/>
  <c r="B194" i="23"/>
  <c r="B281" i="23" s="1"/>
  <c r="F194" i="23"/>
  <c r="F281" i="23" s="1"/>
  <c r="Q208" i="23"/>
  <c r="X208" i="23" s="1"/>
  <c r="P246" i="23"/>
  <c r="F248" i="23"/>
  <c r="C250" i="23"/>
  <c r="C252" i="23"/>
  <c r="C254" i="23"/>
  <c r="C256" i="23"/>
  <c r="C258" i="23"/>
  <c r="E209" i="24"/>
  <c r="E153" i="24"/>
  <c r="I209" i="24"/>
  <c r="I153" i="24"/>
  <c r="H211" i="24"/>
  <c r="E213" i="24"/>
  <c r="I213" i="24"/>
  <c r="L56" i="24"/>
  <c r="L59" i="24"/>
  <c r="L64" i="24"/>
  <c r="B168" i="24"/>
  <c r="L72" i="24"/>
  <c r="F231" i="24"/>
  <c r="F168" i="24"/>
  <c r="J231" i="24"/>
  <c r="J168" i="24"/>
  <c r="D169" i="24"/>
  <c r="H169" i="24"/>
  <c r="L73" i="24"/>
  <c r="L80" i="24"/>
  <c r="B176" i="24"/>
  <c r="E178" i="24"/>
  <c r="I178" i="24"/>
  <c r="L83" i="24"/>
  <c r="B179" i="24"/>
  <c r="F179" i="24"/>
  <c r="J179" i="24"/>
  <c r="L88" i="24"/>
  <c r="L235" i="24" s="1"/>
  <c r="B235" i="24"/>
  <c r="L89" i="24"/>
  <c r="L236" i="24" s="1"/>
  <c r="L91" i="24"/>
  <c r="L238" i="24" s="1"/>
  <c r="B238" i="24"/>
  <c r="D150" i="24"/>
  <c r="H150" i="24"/>
  <c r="E151" i="24"/>
  <c r="I151" i="24"/>
  <c r="B152" i="24"/>
  <c r="F152" i="24"/>
  <c r="J152" i="24"/>
  <c r="D251" i="24"/>
  <c r="D158" i="24"/>
  <c r="H251" i="24"/>
  <c r="H158" i="24"/>
  <c r="C162" i="24"/>
  <c r="G162" i="24"/>
  <c r="E252" i="24"/>
  <c r="I252" i="24"/>
  <c r="B164" i="24"/>
  <c r="F164" i="24"/>
  <c r="J164" i="24"/>
  <c r="C168" i="24"/>
  <c r="G168" i="24"/>
  <c r="D180" i="24"/>
  <c r="H180" i="24"/>
  <c r="E181" i="24"/>
  <c r="I181" i="24"/>
  <c r="B182" i="24"/>
  <c r="F182" i="24"/>
  <c r="J182" i="24"/>
  <c r="E186" i="24"/>
  <c r="E278" i="24" s="1"/>
  <c r="I186" i="24"/>
  <c r="I278" i="24" s="1"/>
  <c r="D153" i="24"/>
  <c r="F163" i="24"/>
  <c r="J166" i="24"/>
  <c r="I182" i="24"/>
  <c r="D184" i="24"/>
  <c r="D276" i="24" s="1"/>
  <c r="I185" i="24"/>
  <c r="I277" i="24" s="1"/>
  <c r="C187" i="24"/>
  <c r="C279" i="24" s="1"/>
  <c r="H188" i="24"/>
  <c r="H280" i="24" s="1"/>
  <c r="B193" i="24"/>
  <c r="B285" i="24" s="1"/>
  <c r="J229" i="24"/>
  <c r="B252" i="24"/>
  <c r="G253" i="24"/>
  <c r="F207" i="25"/>
  <c r="K207" i="25"/>
  <c r="D209" i="25"/>
  <c r="H209" i="25"/>
  <c r="T209" i="25"/>
  <c r="L54" i="25"/>
  <c r="L55" i="25"/>
  <c r="E224" i="25"/>
  <c r="I224" i="25"/>
  <c r="L62" i="25"/>
  <c r="H225" i="25"/>
  <c r="L63" i="25"/>
  <c r="Q225" i="25"/>
  <c r="U225" i="25"/>
  <c r="T226" i="25"/>
  <c r="L70" i="25"/>
  <c r="X76" i="25"/>
  <c r="X84" i="25"/>
  <c r="F181" i="25"/>
  <c r="J181" i="25"/>
  <c r="X88" i="25"/>
  <c r="X230" i="25" s="1"/>
  <c r="X92" i="25"/>
  <c r="X234" i="25" s="1"/>
  <c r="O149" i="25"/>
  <c r="S149" i="25"/>
  <c r="N150" i="25"/>
  <c r="R150" i="25"/>
  <c r="H151" i="25"/>
  <c r="O157" i="25"/>
  <c r="S157" i="25"/>
  <c r="N158" i="25"/>
  <c r="R158" i="25"/>
  <c r="Q160" i="25"/>
  <c r="F163" i="25"/>
  <c r="E248" i="25"/>
  <c r="E164" i="25"/>
  <c r="O165" i="25"/>
  <c r="S165" i="25"/>
  <c r="N166" i="25"/>
  <c r="V166" i="25"/>
  <c r="D167" i="25"/>
  <c r="H167" i="25"/>
  <c r="S168" i="25"/>
  <c r="O169" i="25"/>
  <c r="S249" i="25"/>
  <c r="S169" i="25"/>
  <c r="W169" i="25"/>
  <c r="F170" i="25"/>
  <c r="R172" i="25"/>
  <c r="V172" i="25"/>
  <c r="F173" i="25"/>
  <c r="J173" i="25"/>
  <c r="S173" i="25"/>
  <c r="W173" i="25"/>
  <c r="P250" i="25"/>
  <c r="P174" i="25"/>
  <c r="T250" i="25"/>
  <c r="E181" i="25"/>
  <c r="C185" i="25"/>
  <c r="C272" i="25" s="1"/>
  <c r="G185" i="25"/>
  <c r="G272" i="25" s="1"/>
  <c r="K185" i="25"/>
  <c r="K272" i="25" s="1"/>
  <c r="P256" i="25"/>
  <c r="P188" i="25"/>
  <c r="P275" i="25" s="1"/>
  <c r="T256" i="25"/>
  <c r="T188" i="25"/>
  <c r="T275" i="25" s="1"/>
  <c r="E257" i="25"/>
  <c r="E189" i="25"/>
  <c r="E276" i="25" s="1"/>
  <c r="I257" i="25"/>
  <c r="I189" i="25"/>
  <c r="I276" i="25" s="1"/>
  <c r="F164" i="25"/>
  <c r="O186" i="25"/>
  <c r="O273" i="25" s="1"/>
  <c r="E380" i="26"/>
  <c r="E121" i="26"/>
  <c r="B135" i="27"/>
  <c r="F135" i="27"/>
  <c r="C170" i="28"/>
  <c r="G170" i="28"/>
  <c r="E171" i="28"/>
  <c r="C278" i="28"/>
  <c r="C174" i="28"/>
  <c r="C292" i="28" s="1"/>
  <c r="G278" i="28"/>
  <c r="G174" i="28"/>
  <c r="G292" i="28" s="1"/>
  <c r="I5" i="29"/>
  <c r="I7" i="29"/>
  <c r="I10" i="29"/>
  <c r="I13" i="29"/>
  <c r="I17" i="29"/>
  <c r="I26" i="29"/>
  <c r="I29" i="29"/>
  <c r="I33" i="29"/>
  <c r="I37" i="29"/>
  <c r="I41" i="29"/>
  <c r="I176" i="29" s="1"/>
  <c r="I45" i="29"/>
  <c r="I180" i="29" s="1"/>
  <c r="I53" i="29"/>
  <c r="F105" i="29"/>
  <c r="F206" i="29" s="1"/>
  <c r="F187" i="29"/>
  <c r="I59" i="29"/>
  <c r="I63" i="29"/>
  <c r="I67" i="29"/>
  <c r="I72" i="29"/>
  <c r="I76" i="29"/>
  <c r="I80" i="29"/>
  <c r="I84" i="29"/>
  <c r="I88" i="29"/>
  <c r="I92" i="29"/>
  <c r="I269" i="19"/>
  <c r="I271" i="19"/>
  <c r="I273" i="19"/>
  <c r="I275" i="19"/>
  <c r="I277" i="19"/>
  <c r="R7" i="20"/>
  <c r="R7" i="30" s="1"/>
  <c r="I10" i="20"/>
  <c r="R11" i="30"/>
  <c r="R14" i="30"/>
  <c r="R16" i="30"/>
  <c r="R21" i="30"/>
  <c r="R24" i="30"/>
  <c r="R26" i="30"/>
  <c r="I35" i="30"/>
  <c r="I37" i="30"/>
  <c r="I39" i="30"/>
  <c r="I41" i="30"/>
  <c r="I185" i="30" s="1"/>
  <c r="I43" i="30"/>
  <c r="I187" i="30" s="1"/>
  <c r="I45" i="30"/>
  <c r="I189" i="30" s="1"/>
  <c r="I50" i="30"/>
  <c r="I194" i="30" s="1"/>
  <c r="I53" i="30"/>
  <c r="I55" i="30"/>
  <c r="I57" i="30"/>
  <c r="O197" i="30"/>
  <c r="O106" i="30"/>
  <c r="I61" i="30"/>
  <c r="I63" i="30"/>
  <c r="I65" i="30"/>
  <c r="I67" i="30"/>
  <c r="I69" i="30"/>
  <c r="I72" i="30"/>
  <c r="I74" i="30"/>
  <c r="I76" i="30"/>
  <c r="I124" i="30" s="1"/>
  <c r="I78" i="30"/>
  <c r="I80" i="30"/>
  <c r="I82" i="30"/>
  <c r="I84" i="30"/>
  <c r="I86" i="30"/>
  <c r="I88" i="30"/>
  <c r="I91" i="30"/>
  <c r="R92" i="30"/>
  <c r="C197" i="20"/>
  <c r="Q325" i="20"/>
  <c r="C144" i="22"/>
  <c r="C148" i="22"/>
  <c r="F151" i="22"/>
  <c r="C152" i="22"/>
  <c r="C156" i="22"/>
  <c r="G156" i="22"/>
  <c r="C160" i="22"/>
  <c r="C164" i="22"/>
  <c r="E166" i="22"/>
  <c r="I166" i="22"/>
  <c r="C168" i="22"/>
  <c r="F171" i="22"/>
  <c r="C172" i="22"/>
  <c r="G172" i="22"/>
  <c r="C176" i="22"/>
  <c r="C272" i="22" s="1"/>
  <c r="G176" i="22"/>
  <c r="G272" i="22" s="1"/>
  <c r="D177" i="22"/>
  <c r="D273" i="22" s="1"/>
  <c r="H177" i="22"/>
  <c r="H273" i="22" s="1"/>
  <c r="E178" i="22"/>
  <c r="E274" i="22" s="1"/>
  <c r="I178" i="22"/>
  <c r="I274" i="22" s="1"/>
  <c r="C180" i="22"/>
  <c r="C276" i="22" s="1"/>
  <c r="G180" i="22"/>
  <c r="G276" i="22" s="1"/>
  <c r="D181" i="22"/>
  <c r="D277" i="22" s="1"/>
  <c r="H181" i="22"/>
  <c r="H277" i="22" s="1"/>
  <c r="E182" i="22"/>
  <c r="E278" i="22" s="1"/>
  <c r="I182" i="22"/>
  <c r="I278" i="22" s="1"/>
  <c r="C247" i="22"/>
  <c r="E250" i="22"/>
  <c r="X58" i="23"/>
  <c r="D247" i="23"/>
  <c r="H247" i="23"/>
  <c r="F154" i="23"/>
  <c r="D159" i="23"/>
  <c r="H159" i="23"/>
  <c r="Q163" i="23"/>
  <c r="S164" i="23"/>
  <c r="Q165" i="23"/>
  <c r="B174" i="23"/>
  <c r="F174" i="23"/>
  <c r="J174" i="23"/>
  <c r="S174" i="23"/>
  <c r="S269" i="23" s="1"/>
  <c r="Q179" i="23"/>
  <c r="Q270" i="23" s="1"/>
  <c r="U179" i="23"/>
  <c r="U270" i="23" s="1"/>
  <c r="B180" i="23"/>
  <c r="F180" i="23"/>
  <c r="J180" i="23"/>
  <c r="S180" i="23"/>
  <c r="B182" i="23"/>
  <c r="F182" i="23"/>
  <c r="J182" i="23"/>
  <c r="S182" i="23"/>
  <c r="Q183" i="23"/>
  <c r="U183" i="23"/>
  <c r="B184" i="23"/>
  <c r="B271" i="23" s="1"/>
  <c r="F184" i="23"/>
  <c r="F271" i="23" s="1"/>
  <c r="J184" i="23"/>
  <c r="J271" i="23" s="1"/>
  <c r="S184" i="23"/>
  <c r="S271" i="23" s="1"/>
  <c r="Q185" i="23"/>
  <c r="Q272" i="23" s="1"/>
  <c r="U185" i="23"/>
  <c r="U272" i="23" s="1"/>
  <c r="B186" i="23"/>
  <c r="B273" i="23" s="1"/>
  <c r="F186" i="23"/>
  <c r="F273" i="23" s="1"/>
  <c r="J186" i="23"/>
  <c r="J273" i="23" s="1"/>
  <c r="S186" i="23"/>
  <c r="S273" i="23" s="1"/>
  <c r="Q187" i="23"/>
  <c r="Q274" i="23" s="1"/>
  <c r="U187" i="23"/>
  <c r="U274" i="23" s="1"/>
  <c r="B188" i="23"/>
  <c r="B275" i="23" s="1"/>
  <c r="F188" i="23"/>
  <c r="F275" i="23" s="1"/>
  <c r="J188" i="23"/>
  <c r="J275" i="23" s="1"/>
  <c r="Q189" i="23"/>
  <c r="Q276" i="23" s="1"/>
  <c r="U189" i="23"/>
  <c r="U276" i="23" s="1"/>
  <c r="B190" i="23"/>
  <c r="B277" i="23" s="1"/>
  <c r="F190" i="23"/>
  <c r="F277" i="23" s="1"/>
  <c r="Q194" i="23"/>
  <c r="Q281" i="23" s="1"/>
  <c r="U194" i="23"/>
  <c r="U281" i="23" s="1"/>
  <c r="R225" i="23"/>
  <c r="E247" i="23"/>
  <c r="E253" i="23"/>
  <c r="E255" i="23"/>
  <c r="E257" i="23"/>
  <c r="E262" i="23"/>
  <c r="F211" i="24"/>
  <c r="K211" i="24"/>
  <c r="K163" i="24"/>
  <c r="G212" i="24"/>
  <c r="C213" i="24"/>
  <c r="G213" i="24"/>
  <c r="K213" i="24"/>
  <c r="L52" i="24"/>
  <c r="L55" i="24"/>
  <c r="L60" i="24"/>
  <c r="E229" i="24"/>
  <c r="I229" i="24"/>
  <c r="L63" i="24"/>
  <c r="L68" i="24"/>
  <c r="H230" i="24"/>
  <c r="L71" i="24"/>
  <c r="L76" i="24"/>
  <c r="D232" i="24"/>
  <c r="D173" i="24"/>
  <c r="H232" i="24"/>
  <c r="H173" i="24"/>
  <c r="E174" i="24"/>
  <c r="I174" i="24"/>
  <c r="L79" i="24"/>
  <c r="B175" i="24"/>
  <c r="F175" i="24"/>
  <c r="J175" i="24"/>
  <c r="L84" i="24"/>
  <c r="B180" i="24"/>
  <c r="F180" i="24"/>
  <c r="J180" i="24"/>
  <c r="D181" i="24"/>
  <c r="H181" i="24"/>
  <c r="L87" i="24"/>
  <c r="L234" i="24" s="1"/>
  <c r="B234" i="24"/>
  <c r="L92" i="24"/>
  <c r="L239" i="24" s="1"/>
  <c r="B239" i="24"/>
  <c r="B148" i="24"/>
  <c r="F148" i="24"/>
  <c r="J148" i="24"/>
  <c r="B250" i="24"/>
  <c r="B153" i="24"/>
  <c r="F250" i="24"/>
  <c r="F153" i="24"/>
  <c r="J250" i="24"/>
  <c r="J153" i="24"/>
  <c r="D154" i="24"/>
  <c r="H154" i="24"/>
  <c r="E155" i="24"/>
  <c r="E250" i="24"/>
  <c r="I155" i="24"/>
  <c r="I250" i="24"/>
  <c r="B156" i="24"/>
  <c r="F156" i="24"/>
  <c r="J156" i="24"/>
  <c r="D159" i="24"/>
  <c r="H159" i="24"/>
  <c r="C161" i="24"/>
  <c r="G161" i="24"/>
  <c r="K161" i="24"/>
  <c r="D166" i="24"/>
  <c r="H166" i="24"/>
  <c r="B167" i="24"/>
  <c r="F167" i="24"/>
  <c r="J167" i="24"/>
  <c r="E253" i="24"/>
  <c r="C170" i="24"/>
  <c r="G170" i="24"/>
  <c r="E171" i="24"/>
  <c r="I171" i="24"/>
  <c r="B254" i="24"/>
  <c r="F254" i="24"/>
  <c r="J254" i="24"/>
  <c r="D176" i="24"/>
  <c r="H176" i="24"/>
  <c r="B183" i="24"/>
  <c r="B275" i="24" s="1"/>
  <c r="F183" i="24"/>
  <c r="F275" i="24" s="1"/>
  <c r="J183" i="24"/>
  <c r="J275" i="24" s="1"/>
  <c r="C188" i="24"/>
  <c r="C280" i="24" s="1"/>
  <c r="G188" i="24"/>
  <c r="G280" i="24" s="1"/>
  <c r="K280" i="24"/>
  <c r="D189" i="24"/>
  <c r="D281" i="24" s="1"/>
  <c r="H189" i="24"/>
  <c r="H281" i="24" s="1"/>
  <c r="I158" i="24"/>
  <c r="E180" i="24"/>
  <c r="G183" i="24"/>
  <c r="G275" i="24" s="1"/>
  <c r="K187" i="24"/>
  <c r="K279" i="24" s="1"/>
  <c r="E189" i="24"/>
  <c r="E281" i="24" s="1"/>
  <c r="I212" i="24"/>
  <c r="J232" i="24"/>
  <c r="E251" i="24"/>
  <c r="J252" i="24"/>
  <c r="D254" i="24"/>
  <c r="S208" i="25"/>
  <c r="G224" i="25"/>
  <c r="K224" i="25"/>
  <c r="S225" i="25"/>
  <c r="L67" i="25"/>
  <c r="L83" i="25"/>
  <c r="X86" i="25"/>
  <c r="X90" i="25"/>
  <c r="X232" i="25" s="1"/>
  <c r="L98" i="25"/>
  <c r="L240" i="25" s="1"/>
  <c r="C149" i="25"/>
  <c r="G149" i="25"/>
  <c r="F150" i="25"/>
  <c r="E152" i="25"/>
  <c r="S153" i="25"/>
  <c r="W153" i="25"/>
  <c r="N246" i="25"/>
  <c r="R246" i="25"/>
  <c r="R154" i="25"/>
  <c r="V154" i="25"/>
  <c r="D155" i="25"/>
  <c r="H155" i="25"/>
  <c r="F158" i="25"/>
  <c r="B266" i="25"/>
  <c r="F159" i="25"/>
  <c r="T159" i="25"/>
  <c r="T247" i="25"/>
  <c r="S161" i="25"/>
  <c r="W161" i="25"/>
  <c r="R162" i="25"/>
  <c r="V162" i="25"/>
  <c r="D163" i="25"/>
  <c r="H163" i="25"/>
  <c r="F166" i="25"/>
  <c r="T167" i="25"/>
  <c r="N170" i="25"/>
  <c r="R170" i="25"/>
  <c r="V170" i="25"/>
  <c r="T172" i="25"/>
  <c r="Q173" i="25"/>
  <c r="U173" i="25"/>
  <c r="C176" i="25"/>
  <c r="G176" i="25"/>
  <c r="T178" i="25"/>
  <c r="E179" i="25"/>
  <c r="O183" i="25"/>
  <c r="S183" i="25"/>
  <c r="W183" i="25"/>
  <c r="S254" i="25"/>
  <c r="S186" i="25"/>
  <c r="S273" i="25" s="1"/>
  <c r="W254" i="25"/>
  <c r="W186" i="25"/>
  <c r="W273" i="25" s="1"/>
  <c r="B194" i="25"/>
  <c r="B281" i="25" s="1"/>
  <c r="B262" i="25"/>
  <c r="F194" i="25"/>
  <c r="F281" i="25" s="1"/>
  <c r="F262" i="25"/>
  <c r="J194" i="25"/>
  <c r="J281" i="25" s="1"/>
  <c r="J262" i="25"/>
  <c r="U159" i="25"/>
  <c r="R164" i="25"/>
  <c r="T174" i="25"/>
  <c r="D182" i="25"/>
  <c r="I248" i="25"/>
  <c r="B377" i="26"/>
  <c r="B106" i="26"/>
  <c r="F377" i="26"/>
  <c r="F106" i="26"/>
  <c r="H325" i="19"/>
  <c r="R9" i="30"/>
  <c r="R13" i="30"/>
  <c r="R53" i="30"/>
  <c r="R55" i="30"/>
  <c r="R57" i="30"/>
  <c r="R61" i="30"/>
  <c r="R63" i="30"/>
  <c r="R65" i="30"/>
  <c r="R67" i="30"/>
  <c r="R69" i="30"/>
  <c r="R117" i="30" s="1"/>
  <c r="R72" i="30"/>
  <c r="R74" i="30"/>
  <c r="R76" i="30"/>
  <c r="R78" i="30"/>
  <c r="R80" i="30"/>
  <c r="R128" i="30" s="1"/>
  <c r="R82" i="30"/>
  <c r="R84" i="30"/>
  <c r="R86" i="30"/>
  <c r="R88" i="30"/>
  <c r="I90" i="30"/>
  <c r="R91" i="30"/>
  <c r="H325" i="20"/>
  <c r="I327" i="20"/>
  <c r="L97" i="22"/>
  <c r="L105" i="22"/>
  <c r="L109" i="22"/>
  <c r="L113" i="22"/>
  <c r="L117" i="22"/>
  <c r="L121" i="22"/>
  <c r="L125" i="22"/>
  <c r="F166" i="22"/>
  <c r="C171" i="22"/>
  <c r="C271" i="22" s="1"/>
  <c r="G171" i="22"/>
  <c r="G271" i="22" s="1"/>
  <c r="E173" i="22"/>
  <c r="I173" i="22"/>
  <c r="F174" i="22"/>
  <c r="C175" i="22"/>
  <c r="G175" i="22"/>
  <c r="D176" i="22"/>
  <c r="D272" i="22" s="1"/>
  <c r="H176" i="22"/>
  <c r="H272" i="22" s="1"/>
  <c r="E177" i="22"/>
  <c r="E273" i="22" s="1"/>
  <c r="I177" i="22"/>
  <c r="I273" i="22" s="1"/>
  <c r="C179" i="22"/>
  <c r="C275" i="22" s="1"/>
  <c r="G179" i="22"/>
  <c r="G275" i="22" s="1"/>
  <c r="D180" i="22"/>
  <c r="D276" i="22" s="1"/>
  <c r="H180" i="22"/>
  <c r="H276" i="22" s="1"/>
  <c r="E181" i="22"/>
  <c r="E277" i="22" s="1"/>
  <c r="I181" i="22"/>
  <c r="I277" i="22" s="1"/>
  <c r="C186" i="22"/>
  <c r="C282" i="22" s="1"/>
  <c r="G186" i="22"/>
  <c r="G282" i="22" s="1"/>
  <c r="X43" i="23"/>
  <c r="S247" i="23"/>
  <c r="X116" i="23"/>
  <c r="T154" i="23"/>
  <c r="R159" i="23"/>
  <c r="E169" i="23"/>
  <c r="G174" i="23"/>
  <c r="T174" i="23"/>
  <c r="T269" i="23" s="1"/>
  <c r="G180" i="23"/>
  <c r="K180" i="23"/>
  <c r="T180" i="23"/>
  <c r="R181" i="23"/>
  <c r="G182" i="23"/>
  <c r="T182" i="23"/>
  <c r="R183" i="23"/>
  <c r="G184" i="23"/>
  <c r="G271" i="23" s="1"/>
  <c r="K184" i="23"/>
  <c r="K271" i="23" s="1"/>
  <c r="R185" i="23"/>
  <c r="R272" i="23" s="1"/>
  <c r="G186" i="23"/>
  <c r="G273" i="23" s="1"/>
  <c r="R187" i="23"/>
  <c r="R274" i="23" s="1"/>
  <c r="G188" i="23"/>
  <c r="G275" i="23" s="1"/>
  <c r="K188" i="23"/>
  <c r="K275" i="23" s="1"/>
  <c r="T188" i="23"/>
  <c r="T275" i="23" s="1"/>
  <c r="R189" i="23"/>
  <c r="R276" i="23" s="1"/>
  <c r="G190" i="23"/>
  <c r="G277" i="23" s="1"/>
  <c r="T190" i="23"/>
  <c r="T277" i="23" s="1"/>
  <c r="R194" i="23"/>
  <c r="R281" i="23" s="1"/>
  <c r="H209" i="24"/>
  <c r="H210" i="24"/>
  <c r="G211" i="24"/>
  <c r="G163" i="24"/>
  <c r="H212" i="24"/>
  <c r="D213" i="24"/>
  <c r="H213" i="24"/>
  <c r="C228" i="24"/>
  <c r="G228" i="24"/>
  <c r="K228" i="24"/>
  <c r="B229" i="24"/>
  <c r="C229" i="24"/>
  <c r="G229" i="24"/>
  <c r="E230" i="24"/>
  <c r="I230" i="24"/>
  <c r="E232" i="24"/>
  <c r="I232" i="24"/>
  <c r="C177" i="24"/>
  <c r="G177" i="24"/>
  <c r="K177" i="24"/>
  <c r="D178" i="24"/>
  <c r="H178" i="24"/>
  <c r="L82" i="24"/>
  <c r="E179" i="24"/>
  <c r="I179" i="24"/>
  <c r="C180" i="24"/>
  <c r="G180" i="24"/>
  <c r="L90" i="24"/>
  <c r="L237" i="24" s="1"/>
  <c r="C150" i="24"/>
  <c r="G150" i="24"/>
  <c r="E152" i="24"/>
  <c r="I152" i="24"/>
  <c r="C250" i="24"/>
  <c r="C153" i="24"/>
  <c r="G250" i="24"/>
  <c r="G153" i="24"/>
  <c r="K250" i="24"/>
  <c r="K153" i="24"/>
  <c r="C251" i="24"/>
  <c r="C158" i="24"/>
  <c r="G251" i="24"/>
  <c r="G158" i="24"/>
  <c r="K251" i="24"/>
  <c r="K158" i="24"/>
  <c r="E159" i="24"/>
  <c r="I159" i="24"/>
  <c r="B160" i="24"/>
  <c r="F160" i="24"/>
  <c r="J160" i="24"/>
  <c r="D252" i="24"/>
  <c r="D163" i="24"/>
  <c r="H252" i="24"/>
  <c r="H163" i="24"/>
  <c r="E164" i="24"/>
  <c r="I164" i="24"/>
  <c r="C165" i="24"/>
  <c r="G165" i="24"/>
  <c r="E166" i="24"/>
  <c r="I166" i="24"/>
  <c r="E169" i="24"/>
  <c r="I169" i="24"/>
  <c r="D170" i="24"/>
  <c r="H170" i="24"/>
  <c r="B171" i="24"/>
  <c r="F171" i="24"/>
  <c r="J171" i="24"/>
  <c r="C175" i="24"/>
  <c r="G175" i="24"/>
  <c r="K175" i="24"/>
  <c r="B187" i="24"/>
  <c r="B279" i="24" s="1"/>
  <c r="F187" i="24"/>
  <c r="F279" i="24" s="1"/>
  <c r="J187" i="24"/>
  <c r="J279" i="24" s="1"/>
  <c r="B155" i="24"/>
  <c r="B163" i="24"/>
  <c r="I170" i="24"/>
  <c r="K171" i="24"/>
  <c r="E182" i="24"/>
  <c r="K183" i="24"/>
  <c r="K275" i="24" s="1"/>
  <c r="E185" i="24"/>
  <c r="E277" i="24" s="1"/>
  <c r="D188" i="24"/>
  <c r="D280" i="24" s="1"/>
  <c r="I189" i="24"/>
  <c r="I281" i="24" s="1"/>
  <c r="H231" i="24"/>
  <c r="D250" i="24"/>
  <c r="I251" i="24"/>
  <c r="C253" i="24"/>
  <c r="H254" i="24"/>
  <c r="F206" i="25"/>
  <c r="F208" i="25"/>
  <c r="J208" i="25"/>
  <c r="V224" i="25"/>
  <c r="K168" i="25"/>
  <c r="G227" i="25"/>
  <c r="X85" i="25"/>
  <c r="X89" i="25"/>
  <c r="X231" i="25" s="1"/>
  <c r="X93" i="25"/>
  <c r="Q151" i="25"/>
  <c r="F153" i="25"/>
  <c r="J153" i="25"/>
  <c r="E154" i="25"/>
  <c r="I246" i="25"/>
  <c r="I154" i="25"/>
  <c r="D156" i="25"/>
  <c r="H156" i="25"/>
  <c r="V156" i="25"/>
  <c r="C159" i="25"/>
  <c r="C247" i="25"/>
  <c r="G247" i="25"/>
  <c r="G159" i="25"/>
  <c r="K247" i="25"/>
  <c r="K159" i="25"/>
  <c r="F161" i="25"/>
  <c r="J161" i="25"/>
  <c r="E162" i="25"/>
  <c r="I162" i="25"/>
  <c r="N248" i="25"/>
  <c r="N164" i="25"/>
  <c r="V248" i="25"/>
  <c r="V164" i="25"/>
  <c r="U167" i="25"/>
  <c r="C168" i="25"/>
  <c r="G168" i="25"/>
  <c r="E170" i="25"/>
  <c r="I170" i="25"/>
  <c r="S170" i="25"/>
  <c r="F171" i="25"/>
  <c r="J171" i="25"/>
  <c r="C172" i="25"/>
  <c r="G172" i="25"/>
  <c r="E173" i="25"/>
  <c r="E174" i="25"/>
  <c r="I250" i="25"/>
  <c r="N181" i="25"/>
  <c r="R181" i="25"/>
  <c r="V181" i="25"/>
  <c r="C182" i="25"/>
  <c r="G182" i="25"/>
  <c r="Q182" i="25"/>
  <c r="U182" i="25"/>
  <c r="B183" i="25"/>
  <c r="F183" i="25"/>
  <c r="J183" i="25"/>
  <c r="P185" i="25"/>
  <c r="P272" i="25" s="1"/>
  <c r="T185" i="25"/>
  <c r="T272" i="25" s="1"/>
  <c r="B254" i="25"/>
  <c r="B186" i="25"/>
  <c r="B273" i="25" s="1"/>
  <c r="F254" i="25"/>
  <c r="F186" i="25"/>
  <c r="F273" i="25" s="1"/>
  <c r="J254" i="25"/>
  <c r="J186" i="25"/>
  <c r="J273" i="25" s="1"/>
  <c r="N257" i="25"/>
  <c r="N189" i="25"/>
  <c r="N276" i="25" s="1"/>
  <c r="R257" i="25"/>
  <c r="R189" i="25"/>
  <c r="R276" i="25" s="1"/>
  <c r="V257" i="25"/>
  <c r="V189" i="25"/>
  <c r="V276" i="25" s="1"/>
  <c r="D190" i="25"/>
  <c r="D277" i="25" s="1"/>
  <c r="D258" i="25"/>
  <c r="H190" i="25"/>
  <c r="H277" i="25" s="1"/>
  <c r="H258" i="25"/>
  <c r="Q190" i="25"/>
  <c r="Q277" i="25" s="1"/>
  <c r="Q258" i="25"/>
  <c r="U190" i="25"/>
  <c r="U277" i="25" s="1"/>
  <c r="U258" i="25"/>
  <c r="T180" i="25"/>
  <c r="S188" i="25"/>
  <c r="S275" i="25" s="1"/>
  <c r="Q194" i="25"/>
  <c r="Q281" i="25" s="1"/>
  <c r="E246" i="25"/>
  <c r="B140" i="26"/>
  <c r="B406" i="26" s="1"/>
  <c r="B387" i="26"/>
  <c r="F140" i="26"/>
  <c r="F406" i="26" s="1"/>
  <c r="F387" i="26"/>
  <c r="E199" i="26"/>
  <c r="E295" i="26" s="1"/>
  <c r="D183" i="24"/>
  <c r="D275" i="24" s="1"/>
  <c r="H183" i="24"/>
  <c r="H275" i="24" s="1"/>
  <c r="E184" i="24"/>
  <c r="E276" i="24" s="1"/>
  <c r="I184" i="24"/>
  <c r="I276" i="24" s="1"/>
  <c r="B185" i="24"/>
  <c r="B277" i="24" s="1"/>
  <c r="F185" i="24"/>
  <c r="F277" i="24" s="1"/>
  <c r="J185" i="24"/>
  <c r="J277" i="24" s="1"/>
  <c r="C186" i="24"/>
  <c r="C278" i="24" s="1"/>
  <c r="G186" i="24"/>
  <c r="G278" i="24" s="1"/>
  <c r="K186" i="24"/>
  <c r="K278" i="24" s="1"/>
  <c r="D187" i="24"/>
  <c r="D279" i="24" s="1"/>
  <c r="H187" i="24"/>
  <c r="H279" i="24" s="1"/>
  <c r="E188" i="24"/>
  <c r="E280" i="24" s="1"/>
  <c r="I188" i="24"/>
  <c r="I280" i="24" s="1"/>
  <c r="B189" i="24"/>
  <c r="B281" i="24" s="1"/>
  <c r="F189" i="24"/>
  <c r="F281" i="24" s="1"/>
  <c r="J189" i="24"/>
  <c r="J281" i="24" s="1"/>
  <c r="C193" i="24"/>
  <c r="C285" i="24" s="1"/>
  <c r="G193" i="24"/>
  <c r="G285" i="24" s="1"/>
  <c r="B251" i="24"/>
  <c r="F251" i="24"/>
  <c r="J251" i="24"/>
  <c r="C252" i="24"/>
  <c r="G252" i="24"/>
  <c r="G205" i="25"/>
  <c r="Q205" i="25"/>
  <c r="U205" i="25"/>
  <c r="G206" i="25"/>
  <c r="Q206" i="25"/>
  <c r="U206" i="25"/>
  <c r="G207" i="25"/>
  <c r="T207" i="25"/>
  <c r="E209" i="25"/>
  <c r="I209" i="25"/>
  <c r="Q209" i="25"/>
  <c r="U209" i="25"/>
  <c r="F224" i="25"/>
  <c r="J224" i="25"/>
  <c r="S224" i="25"/>
  <c r="W224" i="25"/>
  <c r="E225" i="25"/>
  <c r="I225" i="25"/>
  <c r="R225" i="25"/>
  <c r="V225" i="25"/>
  <c r="H226" i="25"/>
  <c r="T227" i="25"/>
  <c r="F228" i="25"/>
  <c r="J228" i="25"/>
  <c r="S228" i="25"/>
  <c r="L85" i="25"/>
  <c r="L86" i="25"/>
  <c r="L87" i="25"/>
  <c r="L88" i="25"/>
  <c r="L230" i="25" s="1"/>
  <c r="L89" i="25"/>
  <c r="L231" i="25" s="1"/>
  <c r="L90" i="25"/>
  <c r="L232" i="25" s="1"/>
  <c r="L91" i="25"/>
  <c r="L233" i="25" s="1"/>
  <c r="L92" i="25"/>
  <c r="L234" i="25" s="1"/>
  <c r="L93" i="25"/>
  <c r="L235" i="25" s="1"/>
  <c r="L94" i="25"/>
  <c r="L236" i="25" s="1"/>
  <c r="B248" i="25"/>
  <c r="F248" i="25"/>
  <c r="J248" i="25"/>
  <c r="O248" i="25"/>
  <c r="S248" i="25"/>
  <c r="Q168" i="25"/>
  <c r="U168" i="25"/>
  <c r="B249" i="25"/>
  <c r="B169" i="25"/>
  <c r="B268" i="25" s="1"/>
  <c r="F249" i="25"/>
  <c r="F169" i="25"/>
  <c r="J249" i="25"/>
  <c r="J169" i="25"/>
  <c r="P249" i="25"/>
  <c r="P169" i="25"/>
  <c r="T249" i="25"/>
  <c r="T169" i="25"/>
  <c r="D250" i="25"/>
  <c r="H250" i="25"/>
  <c r="Q250" i="25"/>
  <c r="U250" i="25"/>
  <c r="B250" i="25"/>
  <c r="J175" i="25"/>
  <c r="O175" i="25"/>
  <c r="S175" i="25"/>
  <c r="W175" i="25"/>
  <c r="D176" i="25"/>
  <c r="H176" i="25"/>
  <c r="Q176" i="25"/>
  <c r="U176" i="25"/>
  <c r="F177" i="25"/>
  <c r="J177" i="25"/>
  <c r="O177" i="25"/>
  <c r="S177" i="25"/>
  <c r="W177" i="25"/>
  <c r="D178" i="25"/>
  <c r="H178" i="25"/>
  <c r="Q178" i="25"/>
  <c r="U178" i="25"/>
  <c r="B179" i="25"/>
  <c r="F179" i="25"/>
  <c r="J179" i="25"/>
  <c r="O179" i="25"/>
  <c r="O270" i="25" s="1"/>
  <c r="S179" i="25"/>
  <c r="W179" i="25"/>
  <c r="W270" i="25" s="1"/>
  <c r="E180" i="25"/>
  <c r="I180" i="25"/>
  <c r="N180" i="25"/>
  <c r="R180" i="25"/>
  <c r="V180" i="25"/>
  <c r="P183" i="25"/>
  <c r="T183" i="25"/>
  <c r="C254" i="25"/>
  <c r="C186" i="25"/>
  <c r="C273" i="25" s="1"/>
  <c r="G254" i="25"/>
  <c r="G186" i="25"/>
  <c r="G273" i="25" s="1"/>
  <c r="K254" i="25"/>
  <c r="K186" i="25"/>
  <c r="K273" i="25" s="1"/>
  <c r="P254" i="25"/>
  <c r="P186" i="25"/>
  <c r="P273" i="25" s="1"/>
  <c r="T254" i="25"/>
  <c r="T186" i="25"/>
  <c r="T273" i="25" s="1"/>
  <c r="E255" i="25"/>
  <c r="E187" i="25"/>
  <c r="E274" i="25" s="1"/>
  <c r="I255" i="25"/>
  <c r="I187" i="25"/>
  <c r="I274" i="25" s="1"/>
  <c r="N255" i="25"/>
  <c r="N187" i="25"/>
  <c r="N274" i="25" s="1"/>
  <c r="R255" i="25"/>
  <c r="R187" i="25"/>
  <c r="R274" i="25" s="1"/>
  <c r="V255" i="25"/>
  <c r="V187" i="25"/>
  <c r="V274" i="25" s="1"/>
  <c r="D188" i="25"/>
  <c r="D275" i="25" s="1"/>
  <c r="D256" i="25"/>
  <c r="H188" i="25"/>
  <c r="H275" i="25" s="1"/>
  <c r="H256" i="25"/>
  <c r="Q188" i="25"/>
  <c r="Q275" i="25" s="1"/>
  <c r="Q256" i="25"/>
  <c r="U188" i="25"/>
  <c r="U275" i="25" s="1"/>
  <c r="U256" i="25"/>
  <c r="B189" i="25"/>
  <c r="B276" i="25" s="1"/>
  <c r="B257" i="25"/>
  <c r="F189" i="25"/>
  <c r="F276" i="25" s="1"/>
  <c r="F257" i="25"/>
  <c r="J189" i="25"/>
  <c r="J276" i="25" s="1"/>
  <c r="J257" i="25"/>
  <c r="O189" i="25"/>
  <c r="O276" i="25" s="1"/>
  <c r="O257" i="25"/>
  <c r="S189" i="25"/>
  <c r="S276" i="25" s="1"/>
  <c r="S257" i="25"/>
  <c r="W189" i="25"/>
  <c r="W276" i="25" s="1"/>
  <c r="W257" i="25"/>
  <c r="E190" i="25"/>
  <c r="E277" i="25" s="1"/>
  <c r="I190" i="25"/>
  <c r="I277" i="25" s="1"/>
  <c r="N190" i="25"/>
  <c r="N277" i="25" s="1"/>
  <c r="R190" i="25"/>
  <c r="R277" i="25" s="1"/>
  <c r="V190" i="25"/>
  <c r="V277" i="25" s="1"/>
  <c r="C194" i="25"/>
  <c r="C281" i="25" s="1"/>
  <c r="G194" i="25"/>
  <c r="G281" i="25" s="1"/>
  <c r="P194" i="25"/>
  <c r="P281" i="25" s="1"/>
  <c r="T194" i="25"/>
  <c r="T281" i="25" s="1"/>
  <c r="O154" i="25"/>
  <c r="Q159" i="25"/>
  <c r="B164" i="25"/>
  <c r="B267" i="25" s="1"/>
  <c r="S164" i="25"/>
  <c r="K170" i="25"/>
  <c r="H174" i="25"/>
  <c r="N174" i="25"/>
  <c r="N269" i="25" s="1"/>
  <c r="U174" i="25"/>
  <c r="G180" i="25"/>
  <c r="O181" i="25"/>
  <c r="H182" i="25"/>
  <c r="C183" i="25"/>
  <c r="U183" i="25"/>
  <c r="O184" i="25"/>
  <c r="O271" i="25" s="1"/>
  <c r="H185" i="25"/>
  <c r="H272" i="25" s="1"/>
  <c r="F188" i="25"/>
  <c r="F275" i="25" s="1"/>
  <c r="W188" i="25"/>
  <c r="W275" i="25" s="1"/>
  <c r="Q189" i="25"/>
  <c r="Q276" i="25" s="1"/>
  <c r="J190" i="25"/>
  <c r="J277" i="25" s="1"/>
  <c r="D194" i="25"/>
  <c r="D281" i="25" s="1"/>
  <c r="U194" i="25"/>
  <c r="U281" i="25" s="1"/>
  <c r="C224" i="25"/>
  <c r="H249" i="25"/>
  <c r="E250" i="25"/>
  <c r="D353" i="26"/>
  <c r="E355" i="26"/>
  <c r="F367" i="26"/>
  <c r="F235" i="26"/>
  <c r="F446" i="26" s="1"/>
  <c r="D134" i="26"/>
  <c r="E135" i="26"/>
  <c r="D210" i="26"/>
  <c r="D306" i="26" s="1"/>
  <c r="D212" i="26"/>
  <c r="D420" i="26"/>
  <c r="H164" i="26"/>
  <c r="E215" i="26"/>
  <c r="E311" i="26" s="1"/>
  <c r="B216" i="26"/>
  <c r="B312" i="26" s="1"/>
  <c r="F216" i="26"/>
  <c r="F312" i="26" s="1"/>
  <c r="G217" i="26"/>
  <c r="G313" i="26" s="1"/>
  <c r="D218" i="26"/>
  <c r="D314" i="26" s="1"/>
  <c r="H172" i="26"/>
  <c r="E223" i="26"/>
  <c r="E319" i="26" s="1"/>
  <c r="N122" i="27"/>
  <c r="C182" i="24"/>
  <c r="G182" i="24"/>
  <c r="E183" i="24"/>
  <c r="E275" i="24" s="1"/>
  <c r="I183" i="24"/>
  <c r="I275" i="24" s="1"/>
  <c r="B184" i="24"/>
  <c r="B276" i="24" s="1"/>
  <c r="F184" i="24"/>
  <c r="F276" i="24" s="1"/>
  <c r="J184" i="24"/>
  <c r="J276" i="24" s="1"/>
  <c r="C185" i="24"/>
  <c r="C277" i="24" s="1"/>
  <c r="G185" i="24"/>
  <c r="G277" i="24" s="1"/>
  <c r="K185" i="24"/>
  <c r="K277" i="24" s="1"/>
  <c r="D186" i="24"/>
  <c r="D278" i="24" s="1"/>
  <c r="H186" i="24"/>
  <c r="H278" i="24" s="1"/>
  <c r="E187" i="24"/>
  <c r="E279" i="24" s="1"/>
  <c r="I187" i="24"/>
  <c r="I279" i="24" s="1"/>
  <c r="B188" i="24"/>
  <c r="B280" i="24" s="1"/>
  <c r="F188" i="24"/>
  <c r="F280" i="24" s="1"/>
  <c r="J188" i="24"/>
  <c r="J280" i="24" s="1"/>
  <c r="C189" i="24"/>
  <c r="C281" i="24" s="1"/>
  <c r="G189" i="24"/>
  <c r="G281" i="24" s="1"/>
  <c r="K281" i="24"/>
  <c r="D193" i="24"/>
  <c r="D285" i="24" s="1"/>
  <c r="H193" i="24"/>
  <c r="H285" i="24" s="1"/>
  <c r="H205" i="25"/>
  <c r="R205" i="25"/>
  <c r="H206" i="25"/>
  <c r="R206" i="25"/>
  <c r="H207" i="25"/>
  <c r="Q207" i="25"/>
  <c r="U207" i="25"/>
  <c r="U208" i="25"/>
  <c r="F209" i="25"/>
  <c r="J209" i="25"/>
  <c r="R209" i="25"/>
  <c r="V209" i="25"/>
  <c r="P224" i="25"/>
  <c r="T224" i="25"/>
  <c r="F225" i="25"/>
  <c r="J225" i="25"/>
  <c r="R226" i="25"/>
  <c r="V226" i="25"/>
  <c r="H227" i="25"/>
  <c r="L73" i="25"/>
  <c r="Q227" i="25"/>
  <c r="U227" i="25"/>
  <c r="G228" i="25"/>
  <c r="T228" i="25"/>
  <c r="E149" i="25"/>
  <c r="I149" i="25"/>
  <c r="N149" i="25"/>
  <c r="R149" i="25"/>
  <c r="V149" i="25"/>
  <c r="C150" i="25"/>
  <c r="G150" i="25"/>
  <c r="K150" i="25"/>
  <c r="P150" i="25"/>
  <c r="T150" i="25"/>
  <c r="E151" i="25"/>
  <c r="I151" i="25"/>
  <c r="N151" i="25"/>
  <c r="R151" i="25"/>
  <c r="V151" i="25"/>
  <c r="C152" i="25"/>
  <c r="G152" i="25"/>
  <c r="K152" i="25"/>
  <c r="P152" i="25"/>
  <c r="T152" i="25"/>
  <c r="E153" i="25"/>
  <c r="I153" i="25"/>
  <c r="N153" i="25"/>
  <c r="R153" i="25"/>
  <c r="V153" i="25"/>
  <c r="C246" i="25"/>
  <c r="C154" i="25"/>
  <c r="G246" i="25"/>
  <c r="G154" i="25"/>
  <c r="K246" i="25"/>
  <c r="K154" i="25"/>
  <c r="P246" i="25"/>
  <c r="P154" i="25"/>
  <c r="T246" i="25"/>
  <c r="T154" i="25"/>
  <c r="E155" i="25"/>
  <c r="I155" i="25"/>
  <c r="N155" i="25"/>
  <c r="R155" i="25"/>
  <c r="V155" i="25"/>
  <c r="C156" i="25"/>
  <c r="G156" i="25"/>
  <c r="K156" i="25"/>
  <c r="P156" i="25"/>
  <c r="T156" i="25"/>
  <c r="E157" i="25"/>
  <c r="I157" i="25"/>
  <c r="N157" i="25"/>
  <c r="R157" i="25"/>
  <c r="V157" i="25"/>
  <c r="C158" i="25"/>
  <c r="G158" i="25"/>
  <c r="K158" i="25"/>
  <c r="P158" i="25"/>
  <c r="T158" i="25"/>
  <c r="E247" i="25"/>
  <c r="E159" i="25"/>
  <c r="I247" i="25"/>
  <c r="I159" i="25"/>
  <c r="N247" i="25"/>
  <c r="N159" i="25"/>
  <c r="R247" i="25"/>
  <c r="R159" i="25"/>
  <c r="V247" i="25"/>
  <c r="V159" i="25"/>
  <c r="C160" i="25"/>
  <c r="G160" i="25"/>
  <c r="K160" i="25"/>
  <c r="P160" i="25"/>
  <c r="T160" i="25"/>
  <c r="E161" i="25"/>
  <c r="I161" i="25"/>
  <c r="N161" i="25"/>
  <c r="R161" i="25"/>
  <c r="V161" i="25"/>
  <c r="C162" i="25"/>
  <c r="G162" i="25"/>
  <c r="K162" i="25"/>
  <c r="P162" i="25"/>
  <c r="T162" i="25"/>
  <c r="E163" i="25"/>
  <c r="I163" i="25"/>
  <c r="N163" i="25"/>
  <c r="R163" i="25"/>
  <c r="V163" i="25"/>
  <c r="C248" i="25"/>
  <c r="C164" i="25"/>
  <c r="G248" i="25"/>
  <c r="G164" i="25"/>
  <c r="K248" i="25"/>
  <c r="K164" i="25"/>
  <c r="P248" i="25"/>
  <c r="P164" i="25"/>
  <c r="T248" i="25"/>
  <c r="T164" i="25"/>
  <c r="E165" i="25"/>
  <c r="I165" i="25"/>
  <c r="N165" i="25"/>
  <c r="R165" i="25"/>
  <c r="V165" i="25"/>
  <c r="C166" i="25"/>
  <c r="G166" i="25"/>
  <c r="O167" i="25"/>
  <c r="S167" i="25"/>
  <c r="W167" i="25"/>
  <c r="D168" i="25"/>
  <c r="H168" i="25"/>
  <c r="C249" i="25"/>
  <c r="G249" i="25"/>
  <c r="Q249" i="25"/>
  <c r="U249" i="25"/>
  <c r="O172" i="25"/>
  <c r="S172" i="25"/>
  <c r="W172" i="25"/>
  <c r="R174" i="25"/>
  <c r="V174" i="25"/>
  <c r="C175" i="25"/>
  <c r="G175" i="25"/>
  <c r="K175" i="25"/>
  <c r="P175" i="25"/>
  <c r="T175" i="25"/>
  <c r="E176" i="25"/>
  <c r="I176" i="25"/>
  <c r="N176" i="25"/>
  <c r="R176" i="25"/>
  <c r="V176" i="25"/>
  <c r="C177" i="25"/>
  <c r="G177" i="25"/>
  <c r="K177" i="25"/>
  <c r="P177" i="25"/>
  <c r="T177" i="25"/>
  <c r="E178" i="25"/>
  <c r="I178" i="25"/>
  <c r="N178" i="25"/>
  <c r="R178" i="25"/>
  <c r="V178" i="25"/>
  <c r="C179" i="25"/>
  <c r="G179" i="25"/>
  <c r="K179" i="25"/>
  <c r="P179" i="25"/>
  <c r="T179" i="25"/>
  <c r="B180" i="25"/>
  <c r="F180" i="25"/>
  <c r="J180" i="25"/>
  <c r="O180" i="25"/>
  <c r="S180" i="25"/>
  <c r="W180" i="25"/>
  <c r="C181" i="25"/>
  <c r="G181" i="25"/>
  <c r="P181" i="25"/>
  <c r="T181" i="25"/>
  <c r="E182" i="25"/>
  <c r="I182" i="25"/>
  <c r="O182" i="25"/>
  <c r="S182" i="25"/>
  <c r="W182" i="25"/>
  <c r="D183" i="25"/>
  <c r="H183" i="25"/>
  <c r="C252" i="25"/>
  <c r="C184" i="25"/>
  <c r="C271" i="25" s="1"/>
  <c r="G252" i="25"/>
  <c r="G184" i="25"/>
  <c r="G271" i="25" s="1"/>
  <c r="K252" i="25"/>
  <c r="K184" i="25"/>
  <c r="K271" i="25" s="1"/>
  <c r="P252" i="25"/>
  <c r="P184" i="25"/>
  <c r="P271" i="25" s="1"/>
  <c r="T252" i="25"/>
  <c r="T184" i="25"/>
  <c r="T271" i="25" s="1"/>
  <c r="E253" i="25"/>
  <c r="E185" i="25"/>
  <c r="E272" i="25" s="1"/>
  <c r="I253" i="25"/>
  <c r="I185" i="25"/>
  <c r="I272" i="25" s="1"/>
  <c r="N253" i="25"/>
  <c r="N185" i="25"/>
  <c r="N272" i="25" s="1"/>
  <c r="R253" i="25"/>
  <c r="R185" i="25"/>
  <c r="R272" i="25" s="1"/>
  <c r="V253" i="25"/>
  <c r="V185" i="25"/>
  <c r="V272" i="25" s="1"/>
  <c r="D186" i="25"/>
  <c r="D273" i="25" s="1"/>
  <c r="D254" i="25"/>
  <c r="H186" i="25"/>
  <c r="H273" i="25" s="1"/>
  <c r="H254" i="25"/>
  <c r="Q186" i="25"/>
  <c r="Q273" i="25" s="1"/>
  <c r="Q254" i="25"/>
  <c r="U186" i="25"/>
  <c r="U273" i="25" s="1"/>
  <c r="U254" i="25"/>
  <c r="B187" i="25"/>
  <c r="B274" i="25" s="1"/>
  <c r="B255" i="25"/>
  <c r="F187" i="25"/>
  <c r="F274" i="25" s="1"/>
  <c r="F255" i="25"/>
  <c r="J187" i="25"/>
  <c r="J274" i="25" s="1"/>
  <c r="J255" i="25"/>
  <c r="O187" i="25"/>
  <c r="O274" i="25" s="1"/>
  <c r="O255" i="25"/>
  <c r="S187" i="25"/>
  <c r="S274" i="25" s="1"/>
  <c r="S255" i="25"/>
  <c r="W187" i="25"/>
  <c r="W274" i="25" s="1"/>
  <c r="W255" i="25"/>
  <c r="E188" i="25"/>
  <c r="E275" i="25" s="1"/>
  <c r="I188" i="25"/>
  <c r="I275" i="25" s="1"/>
  <c r="N188" i="25"/>
  <c r="N275" i="25" s="1"/>
  <c r="R188" i="25"/>
  <c r="R275" i="25" s="1"/>
  <c r="V188" i="25"/>
  <c r="V275" i="25" s="1"/>
  <c r="C189" i="25"/>
  <c r="C276" i="25" s="1"/>
  <c r="G189" i="25"/>
  <c r="G276" i="25" s="1"/>
  <c r="P189" i="25"/>
  <c r="P276" i="25" s="1"/>
  <c r="T189" i="25"/>
  <c r="T276" i="25" s="1"/>
  <c r="J154" i="25"/>
  <c r="O164" i="25"/>
  <c r="G169" i="25"/>
  <c r="D174" i="25"/>
  <c r="I174" i="25"/>
  <c r="K180" i="25"/>
  <c r="S181" i="25"/>
  <c r="G183" i="25"/>
  <c r="B184" i="25"/>
  <c r="B271" i="25" s="1"/>
  <c r="S184" i="25"/>
  <c r="S271" i="25" s="1"/>
  <c r="J188" i="25"/>
  <c r="J275" i="25" s="1"/>
  <c r="D189" i="25"/>
  <c r="D276" i="25" s="1"/>
  <c r="U189" i="25"/>
  <c r="U276" i="25" s="1"/>
  <c r="O190" i="25"/>
  <c r="O277" i="25" s="1"/>
  <c r="H194" i="25"/>
  <c r="H281" i="25" s="1"/>
  <c r="E354" i="26"/>
  <c r="B355" i="26"/>
  <c r="F355" i="26"/>
  <c r="D114" i="26"/>
  <c r="E115" i="26"/>
  <c r="C379" i="26"/>
  <c r="C116" i="26"/>
  <c r="G379" i="26"/>
  <c r="G116" i="26"/>
  <c r="C129" i="26"/>
  <c r="G129" i="26"/>
  <c r="C205" i="26"/>
  <c r="C301" i="26" s="1"/>
  <c r="G205" i="26"/>
  <c r="G301" i="26" s="1"/>
  <c r="C419" i="26"/>
  <c r="C207" i="26"/>
  <c r="C303" i="26" s="1"/>
  <c r="H159" i="26"/>
  <c r="G419" i="26"/>
  <c r="G207" i="26"/>
  <c r="C233" i="26"/>
  <c r="C444" i="26" s="1"/>
  <c r="C427" i="26"/>
  <c r="C235" i="26"/>
  <c r="C446" i="26" s="1"/>
  <c r="H187" i="26"/>
  <c r="G427" i="26"/>
  <c r="G235" i="26"/>
  <c r="G446" i="26" s="1"/>
  <c r="D203" i="27"/>
  <c r="D299" i="27" s="1"/>
  <c r="D107" i="27"/>
  <c r="M107" i="27"/>
  <c r="M203" i="27"/>
  <c r="M299" i="27" s="1"/>
  <c r="E131" i="27"/>
  <c r="N227" i="27"/>
  <c r="N131" i="27"/>
  <c r="E163" i="24"/>
  <c r="I163" i="24"/>
  <c r="D182" i="24"/>
  <c r="H182" i="24"/>
  <c r="E205" i="25"/>
  <c r="I205" i="25"/>
  <c r="S205" i="25"/>
  <c r="S206" i="25"/>
  <c r="E208" i="25"/>
  <c r="I208" i="25"/>
  <c r="S209" i="25"/>
  <c r="D224" i="25"/>
  <c r="H224" i="25"/>
  <c r="Q224" i="25"/>
  <c r="U224" i="25"/>
  <c r="T225" i="25"/>
  <c r="F226" i="25"/>
  <c r="J226" i="25"/>
  <c r="S226" i="25"/>
  <c r="E227" i="25"/>
  <c r="I227" i="25"/>
  <c r="R227" i="25"/>
  <c r="V227" i="25"/>
  <c r="H228" i="25"/>
  <c r="L78" i="25"/>
  <c r="Q228" i="25"/>
  <c r="U228" i="25"/>
  <c r="X83" i="25"/>
  <c r="D246" i="25"/>
  <c r="H246" i="25"/>
  <c r="Q246" i="25"/>
  <c r="U246" i="25"/>
  <c r="B247" i="25"/>
  <c r="F247" i="25"/>
  <c r="J247" i="25"/>
  <c r="O247" i="25"/>
  <c r="S247" i="25"/>
  <c r="W247" i="25"/>
  <c r="D248" i="25"/>
  <c r="H248" i="25"/>
  <c r="Q248" i="25"/>
  <c r="U248" i="25"/>
  <c r="Q166" i="25"/>
  <c r="U166" i="25"/>
  <c r="F167" i="25"/>
  <c r="J167" i="25"/>
  <c r="R249" i="25"/>
  <c r="V249" i="25"/>
  <c r="C171" i="25"/>
  <c r="G171" i="25"/>
  <c r="Q171" i="25"/>
  <c r="U171" i="25"/>
  <c r="F172" i="25"/>
  <c r="J172" i="25"/>
  <c r="F250" i="25"/>
  <c r="F174" i="25"/>
  <c r="J250" i="25"/>
  <c r="J174" i="25"/>
  <c r="O250" i="25"/>
  <c r="O174" i="25"/>
  <c r="O269" i="25" s="1"/>
  <c r="S250" i="25"/>
  <c r="S174" i="25"/>
  <c r="W250" i="25"/>
  <c r="W174" i="25"/>
  <c r="W269" i="25" s="1"/>
  <c r="D175" i="25"/>
  <c r="H175" i="25"/>
  <c r="Q175" i="25"/>
  <c r="U175" i="25"/>
  <c r="F176" i="25"/>
  <c r="J176" i="25"/>
  <c r="O176" i="25"/>
  <c r="S176" i="25"/>
  <c r="W176" i="25"/>
  <c r="D177" i="25"/>
  <c r="H177" i="25"/>
  <c r="Q177" i="25"/>
  <c r="U177" i="25"/>
  <c r="F178" i="25"/>
  <c r="J178" i="25"/>
  <c r="O178" i="25"/>
  <c r="S178" i="25"/>
  <c r="W178" i="25"/>
  <c r="D179" i="25"/>
  <c r="H179" i="25"/>
  <c r="Q179" i="25"/>
  <c r="U179" i="25"/>
  <c r="D181" i="25"/>
  <c r="H181" i="25"/>
  <c r="Q181" i="25"/>
  <c r="U181" i="25"/>
  <c r="B182" i="25"/>
  <c r="F182" i="25"/>
  <c r="J182" i="25"/>
  <c r="P182" i="25"/>
  <c r="T182" i="25"/>
  <c r="E183" i="25"/>
  <c r="I183" i="25"/>
  <c r="N183" i="25"/>
  <c r="R183" i="25"/>
  <c r="V183" i="25"/>
  <c r="D184" i="25"/>
  <c r="D271" i="25" s="1"/>
  <c r="D252" i="25"/>
  <c r="H184" i="25"/>
  <c r="H271" i="25" s="1"/>
  <c r="H252" i="25"/>
  <c r="Q184" i="25"/>
  <c r="Q271" i="25" s="1"/>
  <c r="Q252" i="25"/>
  <c r="U184" i="25"/>
  <c r="U271" i="25" s="1"/>
  <c r="U252" i="25"/>
  <c r="B185" i="25"/>
  <c r="B272" i="25" s="1"/>
  <c r="B253" i="25"/>
  <c r="F185" i="25"/>
  <c r="F272" i="25" s="1"/>
  <c r="F253" i="25"/>
  <c r="J185" i="25"/>
  <c r="J272" i="25" s="1"/>
  <c r="J253" i="25"/>
  <c r="O185" i="25"/>
  <c r="O272" i="25" s="1"/>
  <c r="O253" i="25"/>
  <c r="S185" i="25"/>
  <c r="S272" i="25" s="1"/>
  <c r="S253" i="25"/>
  <c r="W185" i="25"/>
  <c r="W272" i="25" s="1"/>
  <c r="W253" i="25"/>
  <c r="E186" i="25"/>
  <c r="E273" i="25" s="1"/>
  <c r="I186" i="25"/>
  <c r="I273" i="25" s="1"/>
  <c r="N186" i="25"/>
  <c r="N273" i="25" s="1"/>
  <c r="R186" i="25"/>
  <c r="R273" i="25" s="1"/>
  <c r="V186" i="25"/>
  <c r="V273" i="25" s="1"/>
  <c r="C187" i="25"/>
  <c r="C274" i="25" s="1"/>
  <c r="G187" i="25"/>
  <c r="G274" i="25" s="1"/>
  <c r="P187" i="25"/>
  <c r="P274" i="25" s="1"/>
  <c r="T187" i="25"/>
  <c r="T274" i="25" s="1"/>
  <c r="C258" i="25"/>
  <c r="C190" i="25"/>
  <c r="C277" i="25" s="1"/>
  <c r="G258" i="25"/>
  <c r="G190" i="25"/>
  <c r="G277" i="25" s="1"/>
  <c r="K258" i="25"/>
  <c r="K190" i="25"/>
  <c r="K277" i="25" s="1"/>
  <c r="P258" i="25"/>
  <c r="P190" i="25"/>
  <c r="P277" i="25" s="1"/>
  <c r="T258" i="25"/>
  <c r="T190" i="25"/>
  <c r="T277" i="25" s="1"/>
  <c r="E262" i="25"/>
  <c r="E194" i="25"/>
  <c r="E281" i="25" s="1"/>
  <c r="I262" i="25"/>
  <c r="I194" i="25"/>
  <c r="I281" i="25" s="1"/>
  <c r="N262" i="25"/>
  <c r="N194" i="25"/>
  <c r="N281" i="25" s="1"/>
  <c r="R262" i="25"/>
  <c r="R194" i="25"/>
  <c r="R281" i="25" s="1"/>
  <c r="V262" i="25"/>
  <c r="V194" i="25"/>
  <c r="V281" i="25" s="1"/>
  <c r="F154" i="25"/>
  <c r="W154" i="25"/>
  <c r="H159" i="25"/>
  <c r="O159" i="25"/>
  <c r="J164" i="25"/>
  <c r="Q164" i="25"/>
  <c r="C169" i="25"/>
  <c r="U169" i="25"/>
  <c r="Q174" i="25"/>
  <c r="B175" i="25"/>
  <c r="B269" i="25" s="1"/>
  <c r="P180" i="25"/>
  <c r="W181" i="25"/>
  <c r="F184" i="25"/>
  <c r="F271" i="25" s="1"/>
  <c r="W184" i="25"/>
  <c r="W271" i="25" s="1"/>
  <c r="Q185" i="25"/>
  <c r="Q272" i="25" s="1"/>
  <c r="O188" i="25"/>
  <c r="O275" i="25" s="1"/>
  <c r="H189" i="25"/>
  <c r="H276" i="25" s="1"/>
  <c r="B190" i="25"/>
  <c r="B277" i="25" s="1"/>
  <c r="S190" i="25"/>
  <c r="S277" i="25" s="1"/>
  <c r="E238" i="26"/>
  <c r="E449" i="26" s="1"/>
  <c r="E370" i="26"/>
  <c r="C107" i="26"/>
  <c r="C377" i="26"/>
  <c r="G107" i="26"/>
  <c r="G377" i="26"/>
  <c r="C113" i="26"/>
  <c r="G113" i="26"/>
  <c r="B122" i="26"/>
  <c r="B380" i="26"/>
  <c r="H154" i="26"/>
  <c r="B202" i="26"/>
  <c r="B418" i="26"/>
  <c r="F418" i="26"/>
  <c r="F202" i="26"/>
  <c r="B204" i="26"/>
  <c r="B300" i="26" s="1"/>
  <c r="F204" i="26"/>
  <c r="F300" i="26" s="1"/>
  <c r="B232" i="26"/>
  <c r="B443" i="26" s="1"/>
  <c r="F232" i="26"/>
  <c r="F443" i="26" s="1"/>
  <c r="D123" i="27"/>
  <c r="D219" i="27"/>
  <c r="D315" i="27" s="1"/>
  <c r="M123" i="27"/>
  <c r="M219" i="27"/>
  <c r="M315" i="27" s="1"/>
  <c r="N221" i="27"/>
  <c r="N317" i="27" s="1"/>
  <c r="N125" i="27"/>
  <c r="F357" i="27"/>
  <c r="F222" i="27"/>
  <c r="F126" i="27"/>
  <c r="C353" i="26"/>
  <c r="D354" i="26"/>
  <c r="B356" i="26"/>
  <c r="F356" i="26"/>
  <c r="C357" i="26"/>
  <c r="C101" i="26"/>
  <c r="G101" i="26"/>
  <c r="D102" i="26"/>
  <c r="E103" i="26"/>
  <c r="C104" i="26"/>
  <c r="G104" i="26"/>
  <c r="D105" i="26"/>
  <c r="E377" i="26"/>
  <c r="E106" i="26"/>
  <c r="B107" i="26"/>
  <c r="F107" i="26"/>
  <c r="D108" i="26"/>
  <c r="E109" i="26"/>
  <c r="B110" i="26"/>
  <c r="F110" i="26"/>
  <c r="C378" i="26"/>
  <c r="C111" i="26"/>
  <c r="G378" i="26"/>
  <c r="G111" i="26"/>
  <c r="B379" i="26"/>
  <c r="B116" i="26"/>
  <c r="F379" i="26"/>
  <c r="F116" i="26"/>
  <c r="C117" i="26"/>
  <c r="G117" i="26"/>
  <c r="D118" i="26"/>
  <c r="E119" i="26"/>
  <c r="C120" i="26"/>
  <c r="G120" i="26"/>
  <c r="D380" i="26"/>
  <c r="D121" i="26"/>
  <c r="E122" i="26"/>
  <c r="B123" i="26"/>
  <c r="F123" i="26"/>
  <c r="D124" i="26"/>
  <c r="E125" i="26"/>
  <c r="B126" i="26"/>
  <c r="B381" i="26"/>
  <c r="F126" i="26"/>
  <c r="F381" i="26"/>
  <c r="C127" i="26"/>
  <c r="G127" i="26"/>
  <c r="D130" i="26"/>
  <c r="E131" i="26"/>
  <c r="C132" i="26"/>
  <c r="G132" i="26"/>
  <c r="E133" i="26"/>
  <c r="B136" i="26"/>
  <c r="B402" i="26" s="1"/>
  <c r="F136" i="26"/>
  <c r="F402" i="26" s="1"/>
  <c r="D137" i="26"/>
  <c r="D403" i="26" s="1"/>
  <c r="B138" i="26"/>
  <c r="B404" i="26" s="1"/>
  <c r="F138" i="26"/>
  <c r="F404" i="26" s="1"/>
  <c r="C139" i="26"/>
  <c r="C405" i="26" s="1"/>
  <c r="G139" i="26"/>
  <c r="G405" i="26" s="1"/>
  <c r="C388" i="26"/>
  <c r="C141" i="26"/>
  <c r="C407" i="26" s="1"/>
  <c r="G388" i="26"/>
  <c r="G141" i="26"/>
  <c r="G407" i="26" s="1"/>
  <c r="B146" i="26"/>
  <c r="B412" i="26" s="1"/>
  <c r="F146" i="26"/>
  <c r="F412" i="26" s="1"/>
  <c r="D111" i="26"/>
  <c r="C134" i="26"/>
  <c r="E136" i="26"/>
  <c r="E402" i="26" s="1"/>
  <c r="G138" i="26"/>
  <c r="G404" i="26" s="1"/>
  <c r="B141" i="26"/>
  <c r="B407" i="26" s="1"/>
  <c r="D146" i="26"/>
  <c r="D412" i="26" s="1"/>
  <c r="H150" i="26"/>
  <c r="B198" i="26"/>
  <c r="B294" i="26" s="1"/>
  <c r="F198" i="26"/>
  <c r="F294" i="26" s="1"/>
  <c r="D199" i="26"/>
  <c r="D295" i="26" s="1"/>
  <c r="B200" i="26"/>
  <c r="B296" i="26" s="1"/>
  <c r="F200" i="26"/>
  <c r="F296" i="26" s="1"/>
  <c r="C201" i="26"/>
  <c r="C297" i="26" s="1"/>
  <c r="G201" i="26"/>
  <c r="G297" i="26" s="1"/>
  <c r="E418" i="26"/>
  <c r="C203" i="26"/>
  <c r="C299" i="26" s="1"/>
  <c r="H155" i="26"/>
  <c r="G203" i="26"/>
  <c r="G299" i="26" s="1"/>
  <c r="E204" i="26"/>
  <c r="E300" i="26" s="1"/>
  <c r="H157" i="26"/>
  <c r="F205" i="26"/>
  <c r="F301" i="26" s="1"/>
  <c r="D206" i="26"/>
  <c r="D302" i="26" s="1"/>
  <c r="B419" i="26"/>
  <c r="D208" i="26"/>
  <c r="D304" i="26" s="1"/>
  <c r="H160" i="26"/>
  <c r="E209" i="26"/>
  <c r="E305" i="26" s="1"/>
  <c r="C210" i="26"/>
  <c r="C306" i="26" s="1"/>
  <c r="G210" i="26"/>
  <c r="G306" i="26" s="1"/>
  <c r="E211" i="26"/>
  <c r="E307" i="26" s="1"/>
  <c r="C420" i="26"/>
  <c r="H166" i="26"/>
  <c r="B214" i="26"/>
  <c r="B310" i="26" s="1"/>
  <c r="F214" i="26"/>
  <c r="F310" i="26" s="1"/>
  <c r="D215" i="26"/>
  <c r="D311" i="26" s="1"/>
  <c r="H215" i="26"/>
  <c r="H311" i="26" s="1"/>
  <c r="E216" i="26"/>
  <c r="E312" i="26" s="1"/>
  <c r="B421" i="26"/>
  <c r="F217" i="26"/>
  <c r="C218" i="26"/>
  <c r="C314" i="26" s="1"/>
  <c r="G218" i="26"/>
  <c r="G314" i="26" s="1"/>
  <c r="E219" i="26"/>
  <c r="E315" i="26" s="1"/>
  <c r="B422" i="26"/>
  <c r="H174" i="26"/>
  <c r="B222" i="26"/>
  <c r="F422" i="26"/>
  <c r="F222" i="26"/>
  <c r="D223" i="26"/>
  <c r="D319" i="26" s="1"/>
  <c r="B224" i="26"/>
  <c r="B320" i="26" s="1"/>
  <c r="F224" i="26"/>
  <c r="F320" i="26" s="1"/>
  <c r="C225" i="26"/>
  <c r="C321" i="26" s="1"/>
  <c r="G225" i="26"/>
  <c r="G321" i="26" s="1"/>
  <c r="C227" i="26"/>
  <c r="H179" i="26"/>
  <c r="G227" i="26"/>
  <c r="G442" i="26" s="1"/>
  <c r="H181" i="26"/>
  <c r="F229" i="26"/>
  <c r="D230" i="26"/>
  <c r="G231" i="26"/>
  <c r="E232" i="26"/>
  <c r="E443" i="26" s="1"/>
  <c r="D234" i="26"/>
  <c r="D445" i="26" s="1"/>
  <c r="D428" i="26"/>
  <c r="D236" i="26"/>
  <c r="D447" i="26" s="1"/>
  <c r="H188" i="26"/>
  <c r="E429" i="26"/>
  <c r="E237" i="26"/>
  <c r="E448" i="26" s="1"/>
  <c r="G238" i="26"/>
  <c r="G449" i="26" s="1"/>
  <c r="B359" i="26"/>
  <c r="D361" i="26"/>
  <c r="F363" i="26"/>
  <c r="B383" i="26"/>
  <c r="F353" i="27"/>
  <c r="F106" i="27"/>
  <c r="N223" i="27"/>
  <c r="N319" i="27" s="1"/>
  <c r="N127" i="27"/>
  <c r="F105" i="27"/>
  <c r="D374" i="27"/>
  <c r="D116" i="27"/>
  <c r="M374" i="27"/>
  <c r="M116" i="27"/>
  <c r="K379" i="27"/>
  <c r="K137" i="27"/>
  <c r="K401" i="27" s="1"/>
  <c r="O379" i="27"/>
  <c r="O137" i="27"/>
  <c r="O401" i="27" s="1"/>
  <c r="O394" i="27"/>
  <c r="N207" i="27"/>
  <c r="L415" i="27"/>
  <c r="L212" i="27"/>
  <c r="L308" i="27" s="1"/>
  <c r="B213" i="27"/>
  <c r="B309" i="27" s="1"/>
  <c r="H165" i="27"/>
  <c r="N218" i="27"/>
  <c r="N314" i="27" s="1"/>
  <c r="E227" i="27"/>
  <c r="K420" i="27"/>
  <c r="K233" i="27"/>
  <c r="K442" i="27" s="1"/>
  <c r="O420" i="27"/>
  <c r="O233" i="27"/>
  <c r="O442" i="27" s="1"/>
  <c r="E421" i="27"/>
  <c r="E234" i="27"/>
  <c r="E443" i="27" s="1"/>
  <c r="K424" i="27"/>
  <c r="K237" i="27"/>
  <c r="K446" i="27" s="1"/>
  <c r="O424" i="27"/>
  <c r="O237" i="27"/>
  <c r="O446" i="27" s="1"/>
  <c r="D425" i="27"/>
  <c r="D238" i="27"/>
  <c r="D447" i="27" s="1"/>
  <c r="H190" i="27"/>
  <c r="N425" i="27"/>
  <c r="N238" i="27"/>
  <c r="N447" i="27" s="1"/>
  <c r="D429" i="27"/>
  <c r="D242" i="27"/>
  <c r="D451" i="27" s="1"/>
  <c r="N429" i="27"/>
  <c r="N242" i="27"/>
  <c r="N451" i="27" s="1"/>
  <c r="B354" i="26"/>
  <c r="F354" i="26"/>
  <c r="C355" i="26"/>
  <c r="D356" i="26"/>
  <c r="E101" i="26"/>
  <c r="B102" i="26"/>
  <c r="F102" i="26"/>
  <c r="C103" i="26"/>
  <c r="G103" i="26"/>
  <c r="B108" i="26"/>
  <c r="F108" i="26"/>
  <c r="C109" i="26"/>
  <c r="G109" i="26"/>
  <c r="D110" i="26"/>
  <c r="E378" i="26"/>
  <c r="E111" i="26"/>
  <c r="C112" i="26"/>
  <c r="G112" i="26"/>
  <c r="D113" i="26"/>
  <c r="E114" i="26"/>
  <c r="B115" i="26"/>
  <c r="F115" i="26"/>
  <c r="D379" i="26"/>
  <c r="D116" i="26"/>
  <c r="E117" i="26"/>
  <c r="B118" i="26"/>
  <c r="F118" i="26"/>
  <c r="C119" i="26"/>
  <c r="G119" i="26"/>
  <c r="B124" i="26"/>
  <c r="F124" i="26"/>
  <c r="C125" i="26"/>
  <c r="G125" i="26"/>
  <c r="D126" i="26"/>
  <c r="E127" i="26"/>
  <c r="C128" i="26"/>
  <c r="G128" i="26"/>
  <c r="D129" i="26"/>
  <c r="B130" i="26"/>
  <c r="F130" i="26"/>
  <c r="C131" i="26"/>
  <c r="G131" i="26"/>
  <c r="C133" i="26"/>
  <c r="G133" i="26"/>
  <c r="E134" i="26"/>
  <c r="B135" i="26"/>
  <c r="F135" i="26"/>
  <c r="D136" i="26"/>
  <c r="D402" i="26" s="1"/>
  <c r="D138" i="26"/>
  <c r="D404" i="26" s="1"/>
  <c r="C140" i="26"/>
  <c r="C406" i="26" s="1"/>
  <c r="G140" i="26"/>
  <c r="G406" i="26" s="1"/>
  <c r="F121" i="26"/>
  <c r="C126" i="26"/>
  <c r="B133" i="26"/>
  <c r="D135" i="26"/>
  <c r="C142" i="26"/>
  <c r="C408" i="26" s="1"/>
  <c r="H149" i="26"/>
  <c r="F197" i="26"/>
  <c r="F293" i="26" s="1"/>
  <c r="D198" i="26"/>
  <c r="D294" i="26" s="1"/>
  <c r="D200" i="26"/>
  <c r="D296" i="26" s="1"/>
  <c r="H152" i="26"/>
  <c r="E201" i="26"/>
  <c r="E297" i="26" s="1"/>
  <c r="E203" i="26"/>
  <c r="H158" i="26"/>
  <c r="B206" i="26"/>
  <c r="B302" i="26" s="1"/>
  <c r="F206" i="26"/>
  <c r="F302" i="26" s="1"/>
  <c r="B208" i="26"/>
  <c r="F208" i="26"/>
  <c r="F304" i="26" s="1"/>
  <c r="C209" i="26"/>
  <c r="C305" i="26" s="1"/>
  <c r="G209" i="26"/>
  <c r="G305" i="26" s="1"/>
  <c r="C211" i="26"/>
  <c r="C307" i="26" s="1"/>
  <c r="H163" i="26"/>
  <c r="G211" i="26"/>
  <c r="G307" i="26" s="1"/>
  <c r="H165" i="26"/>
  <c r="F213" i="26"/>
  <c r="F309" i="26" s="1"/>
  <c r="D214" i="26"/>
  <c r="D310" i="26" s="1"/>
  <c r="C219" i="26"/>
  <c r="C315" i="26" s="1"/>
  <c r="H171" i="26"/>
  <c r="G219" i="26"/>
  <c r="G315" i="26" s="1"/>
  <c r="E220" i="26"/>
  <c r="E316" i="26" s="1"/>
  <c r="H173" i="26"/>
  <c r="F221" i="26"/>
  <c r="F317" i="26" s="1"/>
  <c r="D222" i="26"/>
  <c r="D224" i="26"/>
  <c r="D320" i="26" s="1"/>
  <c r="H176" i="26"/>
  <c r="E225" i="26"/>
  <c r="E321" i="26" s="1"/>
  <c r="C226" i="26"/>
  <c r="C322" i="26" s="1"/>
  <c r="G226" i="26"/>
  <c r="G322" i="26" s="1"/>
  <c r="E227" i="26"/>
  <c r="H182" i="26"/>
  <c r="B230" i="26"/>
  <c r="F230" i="26"/>
  <c r="B426" i="26"/>
  <c r="H186" i="26"/>
  <c r="B234" i="26"/>
  <c r="B445" i="26" s="1"/>
  <c r="F426" i="26"/>
  <c r="F234" i="26"/>
  <c r="F445" i="26" s="1"/>
  <c r="C434" i="26"/>
  <c r="C242" i="26"/>
  <c r="C453" i="26" s="1"/>
  <c r="H194" i="26"/>
  <c r="G434" i="26"/>
  <c r="G242" i="26"/>
  <c r="G453" i="26" s="1"/>
  <c r="D217" i="26"/>
  <c r="G228" i="26"/>
  <c r="B231" i="26"/>
  <c r="D233" i="26"/>
  <c r="D444" i="26" s="1"/>
  <c r="D381" i="26"/>
  <c r="E386" i="26"/>
  <c r="E213" i="27"/>
  <c r="E309" i="27" s="1"/>
  <c r="E117" i="27"/>
  <c r="F122" i="27"/>
  <c r="F218" i="27"/>
  <c r="F314" i="27" s="1"/>
  <c r="D103" i="27"/>
  <c r="D106" i="27"/>
  <c r="D372" i="27"/>
  <c r="M106" i="27"/>
  <c r="M372" i="27"/>
  <c r="K375" i="27"/>
  <c r="K121" i="27"/>
  <c r="K397" i="27" s="1"/>
  <c r="D132" i="27"/>
  <c r="M132" i="27"/>
  <c r="B388" i="27"/>
  <c r="B146" i="27"/>
  <c r="B410" i="27" s="1"/>
  <c r="F388" i="27"/>
  <c r="F146" i="27"/>
  <c r="F410" i="27" s="1"/>
  <c r="B142" i="27"/>
  <c r="B406" i="27" s="1"/>
  <c r="L209" i="27"/>
  <c r="L305" i="27" s="1"/>
  <c r="B353" i="26"/>
  <c r="F353" i="26"/>
  <c r="D355" i="26"/>
  <c r="E356" i="26"/>
  <c r="B357" i="26"/>
  <c r="F357" i="26"/>
  <c r="B104" i="26"/>
  <c r="F104" i="26"/>
  <c r="C105" i="26"/>
  <c r="G105" i="26"/>
  <c r="D377" i="26"/>
  <c r="D106" i="26"/>
  <c r="E107" i="26"/>
  <c r="C108" i="26"/>
  <c r="G108" i="26"/>
  <c r="D109" i="26"/>
  <c r="E110" i="26"/>
  <c r="B378" i="26"/>
  <c r="B111" i="26"/>
  <c r="F378" i="26"/>
  <c r="F111" i="26"/>
  <c r="D112" i="26"/>
  <c r="E113" i="26"/>
  <c r="B114" i="26"/>
  <c r="F114" i="26"/>
  <c r="C115" i="26"/>
  <c r="G115" i="26"/>
  <c r="B120" i="26"/>
  <c r="F120" i="26"/>
  <c r="C380" i="26"/>
  <c r="C121" i="26"/>
  <c r="G121" i="26"/>
  <c r="D122" i="26"/>
  <c r="E123" i="26"/>
  <c r="C124" i="26"/>
  <c r="G124" i="26"/>
  <c r="D125" i="26"/>
  <c r="E381" i="26"/>
  <c r="B127" i="26"/>
  <c r="F127" i="26"/>
  <c r="D128" i="26"/>
  <c r="E129" i="26"/>
  <c r="B132" i="26"/>
  <c r="F132" i="26"/>
  <c r="D133" i="26"/>
  <c r="B134" i="26"/>
  <c r="F134" i="26"/>
  <c r="C135" i="26"/>
  <c r="G135" i="26"/>
  <c r="C137" i="26"/>
  <c r="C403" i="26" s="1"/>
  <c r="G137" i="26"/>
  <c r="G403" i="26" s="1"/>
  <c r="E138" i="26"/>
  <c r="E404" i="26" s="1"/>
  <c r="B139" i="26"/>
  <c r="B405" i="26" s="1"/>
  <c r="F139" i="26"/>
  <c r="F405" i="26" s="1"/>
  <c r="D140" i="26"/>
  <c r="D406" i="26" s="1"/>
  <c r="D389" i="26"/>
  <c r="D142" i="26"/>
  <c r="D408" i="26" s="1"/>
  <c r="E393" i="26"/>
  <c r="E146" i="26"/>
  <c r="E412" i="26" s="1"/>
  <c r="C106" i="26"/>
  <c r="E140" i="26"/>
  <c r="E406" i="26" s="1"/>
  <c r="G142" i="26"/>
  <c r="G408" i="26" s="1"/>
  <c r="C197" i="26"/>
  <c r="C293" i="26" s="1"/>
  <c r="G197" i="26"/>
  <c r="G293" i="26" s="1"/>
  <c r="C199" i="26"/>
  <c r="C295" i="26" s="1"/>
  <c r="H151" i="26"/>
  <c r="G199" i="26"/>
  <c r="G295" i="26" s="1"/>
  <c r="E200" i="26"/>
  <c r="E296" i="26" s="1"/>
  <c r="F201" i="26"/>
  <c r="F297" i="26" s="1"/>
  <c r="D202" i="26"/>
  <c r="D204" i="26"/>
  <c r="D300" i="26" s="1"/>
  <c r="H156" i="26"/>
  <c r="E205" i="26"/>
  <c r="E301" i="26" s="1"/>
  <c r="C206" i="26"/>
  <c r="C302" i="26" s="1"/>
  <c r="G206" i="26"/>
  <c r="G302" i="26" s="1"/>
  <c r="H162" i="26"/>
  <c r="B210" i="26"/>
  <c r="B306" i="26" s="1"/>
  <c r="F210" i="26"/>
  <c r="F306" i="26" s="1"/>
  <c r="D211" i="26"/>
  <c r="D307" i="26" s="1"/>
  <c r="B212" i="26"/>
  <c r="F212" i="26"/>
  <c r="C213" i="26"/>
  <c r="C309" i="26" s="1"/>
  <c r="G213" i="26"/>
  <c r="G309" i="26" s="1"/>
  <c r="C215" i="26"/>
  <c r="C311" i="26" s="1"/>
  <c r="G215" i="26"/>
  <c r="G311" i="26" s="1"/>
  <c r="D216" i="26"/>
  <c r="D312" i="26" s="1"/>
  <c r="E217" i="26"/>
  <c r="H170" i="26"/>
  <c r="B218" i="26"/>
  <c r="B314" i="26" s="1"/>
  <c r="F218" i="26"/>
  <c r="F314" i="26" s="1"/>
  <c r="D219" i="26"/>
  <c r="D315" i="26" s="1"/>
  <c r="B220" i="26"/>
  <c r="B316" i="26" s="1"/>
  <c r="F220" i="26"/>
  <c r="F316" i="26" s="1"/>
  <c r="C221" i="26"/>
  <c r="C317" i="26" s="1"/>
  <c r="G221" i="26"/>
  <c r="G317" i="26" s="1"/>
  <c r="C223" i="26"/>
  <c r="C319" i="26" s="1"/>
  <c r="H175" i="26"/>
  <c r="G223" i="26"/>
  <c r="G319" i="26" s="1"/>
  <c r="E224" i="26"/>
  <c r="E320" i="26" s="1"/>
  <c r="F225" i="26"/>
  <c r="F321" i="26" s="1"/>
  <c r="D226" i="26"/>
  <c r="D322" i="26" s="1"/>
  <c r="D228" i="26"/>
  <c r="H180" i="26"/>
  <c r="E229" i="26"/>
  <c r="C230" i="26"/>
  <c r="D424" i="26"/>
  <c r="D232" i="26"/>
  <c r="D443" i="26" s="1"/>
  <c r="H184" i="26"/>
  <c r="E425" i="26"/>
  <c r="E233" i="26"/>
  <c r="E444" i="26" s="1"/>
  <c r="C234" i="26"/>
  <c r="C445" i="26" s="1"/>
  <c r="G234" i="26"/>
  <c r="G445" i="26" s="1"/>
  <c r="B430" i="26"/>
  <c r="H190" i="26"/>
  <c r="B238" i="26"/>
  <c r="B449" i="26" s="1"/>
  <c r="F430" i="26"/>
  <c r="F238" i="26"/>
  <c r="F449" i="26" s="1"/>
  <c r="D242" i="26"/>
  <c r="D453" i="26" s="1"/>
  <c r="E379" i="26"/>
  <c r="G384" i="26"/>
  <c r="C134" i="27"/>
  <c r="E135" i="27"/>
  <c r="N135" i="27"/>
  <c r="F365" i="27"/>
  <c r="F142" i="27"/>
  <c r="F406" i="27" s="1"/>
  <c r="C373" i="27"/>
  <c r="C111" i="27"/>
  <c r="G373" i="27"/>
  <c r="G111" i="27"/>
  <c r="G395" i="27" s="1"/>
  <c r="D382" i="27"/>
  <c r="D140" i="27"/>
  <c r="D404" i="27" s="1"/>
  <c r="M382" i="27"/>
  <c r="M140" i="27"/>
  <c r="M404" i="27" s="1"/>
  <c r="O398" i="27"/>
  <c r="L413" i="27"/>
  <c r="L202" i="27"/>
  <c r="B210" i="27"/>
  <c r="B306" i="27" s="1"/>
  <c r="C418" i="26"/>
  <c r="G418" i="26"/>
  <c r="D419" i="26"/>
  <c r="E420" i="26"/>
  <c r="C383" i="26"/>
  <c r="G383" i="26"/>
  <c r="D384" i="26"/>
  <c r="E385" i="26"/>
  <c r="B386" i="26"/>
  <c r="F386" i="26"/>
  <c r="C387" i="26"/>
  <c r="G387" i="26"/>
  <c r="B393" i="26"/>
  <c r="D418" i="26"/>
  <c r="F420" i="26"/>
  <c r="F421" i="26"/>
  <c r="F424" i="26"/>
  <c r="C426" i="26"/>
  <c r="E428" i="26"/>
  <c r="C429" i="26"/>
  <c r="G430" i="26"/>
  <c r="E434" i="26"/>
  <c r="C353" i="27"/>
  <c r="F354" i="27"/>
  <c r="L355" i="27"/>
  <c r="L116" i="27"/>
  <c r="D356" i="27"/>
  <c r="N219" i="27"/>
  <c r="N315" i="27" s="1"/>
  <c r="N123" i="27"/>
  <c r="D230" i="27"/>
  <c r="L134" i="27"/>
  <c r="D361" i="27"/>
  <c r="D234" i="27"/>
  <c r="D443" i="27" s="1"/>
  <c r="L361" i="27"/>
  <c r="L138" i="27"/>
  <c r="L402" i="27" s="1"/>
  <c r="C365" i="27"/>
  <c r="C142" i="27"/>
  <c r="C406" i="27" s="1"/>
  <c r="E146" i="27"/>
  <c r="E410" i="27" s="1"/>
  <c r="E369" i="27"/>
  <c r="N369" i="27"/>
  <c r="N146" i="27"/>
  <c r="N410" i="27" s="1"/>
  <c r="E101" i="27"/>
  <c r="C102" i="27"/>
  <c r="B103" i="27"/>
  <c r="D104" i="27"/>
  <c r="L105" i="27"/>
  <c r="E372" i="27"/>
  <c r="E106" i="27"/>
  <c r="J372" i="27"/>
  <c r="J106" i="27"/>
  <c r="J394" i="27" s="1"/>
  <c r="N372" i="27"/>
  <c r="N106" i="27"/>
  <c r="N107" i="27"/>
  <c r="C108" i="27"/>
  <c r="L108" i="27"/>
  <c r="B109" i="27"/>
  <c r="F109" i="27"/>
  <c r="L109" i="27"/>
  <c r="N110" i="27"/>
  <c r="C112" i="27"/>
  <c r="F113" i="27"/>
  <c r="L113" i="27"/>
  <c r="D118" i="27"/>
  <c r="B121" i="27"/>
  <c r="B375" i="27"/>
  <c r="F375" i="27"/>
  <c r="F121" i="27"/>
  <c r="N124" i="27"/>
  <c r="D376" i="27"/>
  <c r="D126" i="27"/>
  <c r="M376" i="27"/>
  <c r="B129" i="27"/>
  <c r="F129" i="27"/>
  <c r="L129" i="27"/>
  <c r="K131" i="27"/>
  <c r="O131" i="27"/>
  <c r="D134" i="27"/>
  <c r="M134" i="27"/>
  <c r="B379" i="27"/>
  <c r="B137" i="27"/>
  <c r="B401" i="27" s="1"/>
  <c r="F379" i="27"/>
  <c r="F137" i="27"/>
  <c r="F401" i="27" s="1"/>
  <c r="K381" i="27"/>
  <c r="K139" i="27"/>
  <c r="K403" i="27" s="1"/>
  <c r="O381" i="27"/>
  <c r="O139" i="27"/>
  <c r="O403" i="27" s="1"/>
  <c r="D384" i="27"/>
  <c r="D142" i="27"/>
  <c r="D406" i="27" s="1"/>
  <c r="M384" i="27"/>
  <c r="M142" i="27"/>
  <c r="M406" i="27" s="1"/>
  <c r="M111" i="27"/>
  <c r="M113" i="27"/>
  <c r="D119" i="27"/>
  <c r="B120" i="27"/>
  <c r="D127" i="27"/>
  <c r="B128" i="27"/>
  <c r="M129" i="27"/>
  <c r="F134" i="27"/>
  <c r="D135" i="27"/>
  <c r="B136" i="27"/>
  <c r="B400" i="27" s="1"/>
  <c r="M137" i="27"/>
  <c r="M401" i="27" s="1"/>
  <c r="D198" i="27"/>
  <c r="D294" i="27" s="1"/>
  <c r="B199" i="27"/>
  <c r="B295" i="27" s="1"/>
  <c r="H151" i="27"/>
  <c r="D200" i="27"/>
  <c r="D296" i="27" s="1"/>
  <c r="E201" i="27"/>
  <c r="E297" i="27" s="1"/>
  <c r="L201" i="27"/>
  <c r="L297" i="27" s="1"/>
  <c r="F413" i="27"/>
  <c r="L204" i="27"/>
  <c r="L300" i="27" s="1"/>
  <c r="B205" i="27"/>
  <c r="B301" i="27" s="1"/>
  <c r="H157" i="27"/>
  <c r="F205" i="27"/>
  <c r="F301" i="27" s="1"/>
  <c r="C206" i="27"/>
  <c r="C302" i="27" s="1"/>
  <c r="N206" i="27"/>
  <c r="N302" i="27" s="1"/>
  <c r="F209" i="27"/>
  <c r="F305" i="27" s="1"/>
  <c r="C210" i="27"/>
  <c r="C306" i="27" s="1"/>
  <c r="N210" i="27"/>
  <c r="N306" i="27" s="1"/>
  <c r="B415" i="27"/>
  <c r="H164" i="27"/>
  <c r="F415" i="27"/>
  <c r="N213" i="27"/>
  <c r="N309" i="27" s="1"/>
  <c r="D214" i="27"/>
  <c r="D310" i="27" s="1"/>
  <c r="L215" i="27"/>
  <c r="L311" i="27" s="1"/>
  <c r="D218" i="27"/>
  <c r="D314" i="27" s="1"/>
  <c r="E219" i="27"/>
  <c r="E315" i="27" s="1"/>
  <c r="L219" i="27"/>
  <c r="L315" i="27" s="1"/>
  <c r="H172" i="27"/>
  <c r="E223" i="27"/>
  <c r="E319" i="27" s="1"/>
  <c r="L223" i="27"/>
  <c r="L319" i="27" s="1"/>
  <c r="H176" i="27"/>
  <c r="L226" i="27"/>
  <c r="L322" i="27" s="1"/>
  <c r="K229" i="27"/>
  <c r="O229" i="27"/>
  <c r="E230" i="27"/>
  <c r="E420" i="27"/>
  <c r="E233" i="27"/>
  <c r="E442" i="27" s="1"/>
  <c r="E237" i="27"/>
  <c r="E446" i="27" s="1"/>
  <c r="E424" i="27"/>
  <c r="F202" i="27"/>
  <c r="M205" i="27"/>
  <c r="M301" i="27" s="1"/>
  <c r="D211" i="27"/>
  <c r="D307" i="27" s="1"/>
  <c r="B212" i="27"/>
  <c r="M213" i="27"/>
  <c r="M309" i="27" s="1"/>
  <c r="B220" i="27"/>
  <c r="B316" i="27" s="1"/>
  <c r="M221" i="27"/>
  <c r="M317" i="27" s="1"/>
  <c r="K222" i="27"/>
  <c r="K439" i="27" s="1"/>
  <c r="F226" i="27"/>
  <c r="F322" i="27" s="1"/>
  <c r="D227" i="27"/>
  <c r="B228" i="27"/>
  <c r="O228" i="27"/>
  <c r="M229" i="27"/>
  <c r="K230" i="27"/>
  <c r="F234" i="27"/>
  <c r="F443" i="27" s="1"/>
  <c r="D235" i="27"/>
  <c r="D444" i="27" s="1"/>
  <c r="B236" i="27"/>
  <c r="B445" i="27" s="1"/>
  <c r="O236" i="27"/>
  <c r="O445" i="27" s="1"/>
  <c r="M237" i="27"/>
  <c r="M446" i="27" s="1"/>
  <c r="E242" i="27"/>
  <c r="E451" i="27" s="1"/>
  <c r="E142" i="26"/>
  <c r="E408" i="26" s="1"/>
  <c r="C421" i="26"/>
  <c r="B197" i="26"/>
  <c r="B293" i="26" s="1"/>
  <c r="B201" i="26"/>
  <c r="B297" i="26" s="1"/>
  <c r="C202" i="26"/>
  <c r="G202" i="26"/>
  <c r="B205" i="26"/>
  <c r="B301" i="26" s="1"/>
  <c r="D207" i="26"/>
  <c r="B209" i="26"/>
  <c r="B305" i="26" s="1"/>
  <c r="E212" i="26"/>
  <c r="B213" i="26"/>
  <c r="B309" i="26" s="1"/>
  <c r="B217" i="26"/>
  <c r="B221" i="26"/>
  <c r="B317" i="26" s="1"/>
  <c r="C222" i="26"/>
  <c r="G222" i="26"/>
  <c r="G441" i="26" s="1"/>
  <c r="B225" i="26"/>
  <c r="B321" i="26" s="1"/>
  <c r="E228" i="26"/>
  <c r="B229" i="26"/>
  <c r="G230" i="26"/>
  <c r="B233" i="26"/>
  <c r="B444" i="26" s="1"/>
  <c r="F233" i="26"/>
  <c r="F444" i="26" s="1"/>
  <c r="D235" i="26"/>
  <c r="D446" i="26" s="1"/>
  <c r="B237" i="26"/>
  <c r="B448" i="26" s="1"/>
  <c r="F237" i="26"/>
  <c r="F448" i="26" s="1"/>
  <c r="C238" i="26"/>
  <c r="C449" i="26" s="1"/>
  <c r="D383" i="26"/>
  <c r="E384" i="26"/>
  <c r="B385" i="26"/>
  <c r="F385" i="26"/>
  <c r="C386" i="26"/>
  <c r="G386" i="26"/>
  <c r="D387" i="26"/>
  <c r="B420" i="26"/>
  <c r="B424" i="26"/>
  <c r="D426" i="26"/>
  <c r="F428" i="26"/>
  <c r="D353" i="27"/>
  <c r="L353" i="27"/>
  <c r="E209" i="27"/>
  <c r="E305" i="27" s="1"/>
  <c r="E113" i="27"/>
  <c r="E211" i="27"/>
  <c r="E307" i="27" s="1"/>
  <c r="E115" i="27"/>
  <c r="E215" i="27"/>
  <c r="E311" i="27" s="1"/>
  <c r="E119" i="27"/>
  <c r="E356" i="27"/>
  <c r="E121" i="27"/>
  <c r="M356" i="27"/>
  <c r="C357" i="27"/>
  <c r="C126" i="27"/>
  <c r="L357" i="27"/>
  <c r="L126" i="27"/>
  <c r="N225" i="27"/>
  <c r="N321" i="27" s="1"/>
  <c r="N129" i="27"/>
  <c r="C132" i="27"/>
  <c r="E133" i="27"/>
  <c r="N229" i="27"/>
  <c r="N133" i="27"/>
  <c r="C359" i="27"/>
  <c r="C136" i="27"/>
  <c r="C400" i="27" s="1"/>
  <c r="E360" i="27"/>
  <c r="E137" i="27"/>
  <c r="E401" i="27" s="1"/>
  <c r="N360" i="27"/>
  <c r="N233" i="27"/>
  <c r="N442" i="27" s="1"/>
  <c r="N137" i="27"/>
  <c r="N401" i="27" s="1"/>
  <c r="C363" i="27"/>
  <c r="C140" i="27"/>
  <c r="C404" i="27" s="1"/>
  <c r="E364" i="27"/>
  <c r="E141" i="27"/>
  <c r="E405" i="27" s="1"/>
  <c r="N364" i="27"/>
  <c r="N237" i="27"/>
  <c r="N446" i="27" s="1"/>
  <c r="N141" i="27"/>
  <c r="N405" i="27" s="1"/>
  <c r="L365" i="27"/>
  <c r="L142" i="27"/>
  <c r="L406" i="27" s="1"/>
  <c r="D102" i="27"/>
  <c r="L103" i="27"/>
  <c r="N104" i="27"/>
  <c r="E107" i="27"/>
  <c r="D108" i="27"/>
  <c r="K373" i="27"/>
  <c r="K111" i="27"/>
  <c r="K395" i="27" s="1"/>
  <c r="O111" i="27"/>
  <c r="O395" i="27" s="1"/>
  <c r="O373" i="27"/>
  <c r="D112" i="27"/>
  <c r="F115" i="27"/>
  <c r="L115" i="27"/>
  <c r="N118" i="27"/>
  <c r="D120" i="27"/>
  <c r="B123" i="27"/>
  <c r="F123" i="27"/>
  <c r="L123" i="27"/>
  <c r="D128" i="27"/>
  <c r="B131" i="27"/>
  <c r="F131" i="27"/>
  <c r="K133" i="27"/>
  <c r="O133" i="27"/>
  <c r="D378" i="27"/>
  <c r="D136" i="27"/>
  <c r="D400" i="27" s="1"/>
  <c r="M378" i="27"/>
  <c r="M136" i="27"/>
  <c r="M400" i="27" s="1"/>
  <c r="B381" i="27"/>
  <c r="B139" i="27"/>
  <c r="B403" i="27" s="1"/>
  <c r="F381" i="27"/>
  <c r="F139" i="27"/>
  <c r="F403" i="27" s="1"/>
  <c r="K383" i="27"/>
  <c r="K141" i="27"/>
  <c r="K405" i="27" s="1"/>
  <c r="O383" i="27"/>
  <c r="O141" i="27"/>
  <c r="O405" i="27" s="1"/>
  <c r="K396" i="27"/>
  <c r="D121" i="27"/>
  <c r="G398" i="27"/>
  <c r="M131" i="27"/>
  <c r="F136" i="27"/>
  <c r="F400" i="27" s="1"/>
  <c r="D137" i="27"/>
  <c r="D401" i="27" s="1"/>
  <c r="B138" i="27"/>
  <c r="B402" i="27" s="1"/>
  <c r="M139" i="27"/>
  <c r="M403" i="27" s="1"/>
  <c r="F201" i="27"/>
  <c r="F297" i="27" s="1"/>
  <c r="C202" i="27"/>
  <c r="C298" i="27" s="1"/>
  <c r="E203" i="27"/>
  <c r="E299" i="27" s="1"/>
  <c r="L203" i="27"/>
  <c r="L299" i="27" s="1"/>
  <c r="N205" i="27"/>
  <c r="N301" i="27" s="1"/>
  <c r="D206" i="27"/>
  <c r="D302" i="27" s="1"/>
  <c r="L414" i="27"/>
  <c r="L207" i="27"/>
  <c r="N209" i="27"/>
  <c r="N305" i="27" s="1"/>
  <c r="D210" i="27"/>
  <c r="D306" i="27" s="1"/>
  <c r="L211" i="27"/>
  <c r="L307" i="27" s="1"/>
  <c r="N212" i="27"/>
  <c r="L214" i="27"/>
  <c r="L310" i="27" s="1"/>
  <c r="B215" i="27"/>
  <c r="B311" i="27" s="1"/>
  <c r="F215" i="27"/>
  <c r="F311" i="27" s="1"/>
  <c r="C216" i="27"/>
  <c r="C312" i="27" s="1"/>
  <c r="N216" i="27"/>
  <c r="N312" i="27" s="1"/>
  <c r="L218" i="27"/>
  <c r="L314" i="27" s="1"/>
  <c r="B219" i="27"/>
  <c r="B315" i="27" s="1"/>
  <c r="F219" i="27"/>
  <c r="F315" i="27" s="1"/>
  <c r="C220" i="27"/>
  <c r="C316" i="27" s="1"/>
  <c r="N220" i="27"/>
  <c r="N316" i="27" s="1"/>
  <c r="E417" i="27"/>
  <c r="E222" i="27"/>
  <c r="E318" i="27" s="1"/>
  <c r="B223" i="27"/>
  <c r="B319" i="27" s="1"/>
  <c r="F223" i="27"/>
  <c r="F319" i="27" s="1"/>
  <c r="C224" i="27"/>
  <c r="C320" i="27" s="1"/>
  <c r="N224" i="27"/>
  <c r="N320" i="27" s="1"/>
  <c r="E229" i="27"/>
  <c r="O231" i="27"/>
  <c r="E419" i="27"/>
  <c r="E232" i="27"/>
  <c r="E441" i="27" s="1"/>
  <c r="L232" i="27"/>
  <c r="L441" i="27" s="1"/>
  <c r="K422" i="27"/>
  <c r="K235" i="27"/>
  <c r="K444" i="27" s="1"/>
  <c r="O422" i="27"/>
  <c r="O235" i="27"/>
  <c r="O444" i="27" s="1"/>
  <c r="E423" i="27"/>
  <c r="E236" i="27"/>
  <c r="E445" i="27" s="1"/>
  <c r="F212" i="27"/>
  <c r="B214" i="27"/>
  <c r="B310" i="27" s="1"/>
  <c r="B222" i="27"/>
  <c r="O222" i="27"/>
  <c r="O439" i="27" s="1"/>
  <c r="F228" i="27"/>
  <c r="D229" i="27"/>
  <c r="B230" i="27"/>
  <c r="O230" i="27"/>
  <c r="M231" i="27"/>
  <c r="K232" i="27"/>
  <c r="K441" i="27" s="1"/>
  <c r="F236" i="27"/>
  <c r="F445" i="27" s="1"/>
  <c r="D237" i="27"/>
  <c r="D446" i="27" s="1"/>
  <c r="C238" i="27"/>
  <c r="C447" i="27" s="1"/>
  <c r="H159" i="28"/>
  <c r="E141" i="26"/>
  <c r="E407" i="26" s="1"/>
  <c r="B142" i="26"/>
  <c r="B408" i="26" s="1"/>
  <c r="F142" i="26"/>
  <c r="F408" i="26" s="1"/>
  <c r="C146" i="26"/>
  <c r="C412" i="26" s="1"/>
  <c r="G146" i="26"/>
  <c r="G412" i="26" s="1"/>
  <c r="H185" i="26"/>
  <c r="E207" i="26"/>
  <c r="C217" i="26"/>
  <c r="C229" i="26"/>
  <c r="E231" i="26"/>
  <c r="G233" i="26"/>
  <c r="G444" i="26" s="1"/>
  <c r="B236" i="26"/>
  <c r="B447" i="26" s="1"/>
  <c r="D238" i="26"/>
  <c r="D449" i="26" s="1"/>
  <c r="D354" i="27"/>
  <c r="B355" i="27"/>
  <c r="F355" i="27"/>
  <c r="N355" i="27"/>
  <c r="F356" i="27"/>
  <c r="N356" i="27"/>
  <c r="N217" i="27"/>
  <c r="N121" i="27"/>
  <c r="D357" i="27"/>
  <c r="N357" i="27"/>
  <c r="D228" i="27"/>
  <c r="L132" i="27"/>
  <c r="D359" i="27"/>
  <c r="D232" i="27"/>
  <c r="D441" i="27" s="1"/>
  <c r="L359" i="27"/>
  <c r="L136" i="27"/>
  <c r="L400" i="27" s="1"/>
  <c r="D236" i="27"/>
  <c r="D445" i="27" s="1"/>
  <c r="D363" i="27"/>
  <c r="L363" i="27"/>
  <c r="L140" i="27"/>
  <c r="L404" i="27" s="1"/>
  <c r="L101" i="27"/>
  <c r="E105" i="27"/>
  <c r="N105" i="27"/>
  <c r="B107" i="27"/>
  <c r="F107" i="27"/>
  <c r="L107" i="27"/>
  <c r="N108" i="27"/>
  <c r="N109" i="27"/>
  <c r="C110" i="27"/>
  <c r="L110" i="27"/>
  <c r="B373" i="27"/>
  <c r="F373" i="27"/>
  <c r="F111" i="27"/>
  <c r="L373" i="27"/>
  <c r="L111" i="27"/>
  <c r="N112" i="27"/>
  <c r="D114" i="27"/>
  <c r="B117" i="27"/>
  <c r="F117" i="27"/>
  <c r="L117" i="27"/>
  <c r="N120" i="27"/>
  <c r="D122" i="27"/>
  <c r="B125" i="27"/>
  <c r="F125" i="27"/>
  <c r="L125" i="27"/>
  <c r="F376" i="27"/>
  <c r="N128" i="27"/>
  <c r="D130" i="27"/>
  <c r="B133" i="27"/>
  <c r="F133" i="27"/>
  <c r="K135" i="27"/>
  <c r="O135" i="27"/>
  <c r="D380" i="27"/>
  <c r="D138" i="27"/>
  <c r="D402" i="27" s="1"/>
  <c r="M380" i="27"/>
  <c r="M138" i="27"/>
  <c r="M402" i="27" s="1"/>
  <c r="B383" i="27"/>
  <c r="B141" i="27"/>
  <c r="B405" i="27" s="1"/>
  <c r="F383" i="27"/>
  <c r="F141" i="27"/>
  <c r="F405" i="27" s="1"/>
  <c r="K388" i="27"/>
  <c r="K146" i="27"/>
  <c r="K410" i="27" s="1"/>
  <c r="O388" i="27"/>
  <c r="O146" i="27"/>
  <c r="O410" i="27" s="1"/>
  <c r="K394" i="27"/>
  <c r="D111" i="27"/>
  <c r="B116" i="27"/>
  <c r="O396" i="27"/>
  <c r="K398" i="27"/>
  <c r="D131" i="27"/>
  <c r="B132" i="27"/>
  <c r="M133" i="27"/>
  <c r="F138" i="27"/>
  <c r="F402" i="27" s="1"/>
  <c r="D139" i="27"/>
  <c r="D403" i="27" s="1"/>
  <c r="B140" i="27"/>
  <c r="B404" i="27" s="1"/>
  <c r="M141" i="27"/>
  <c r="M405" i="27" s="1"/>
  <c r="N201" i="27"/>
  <c r="N297" i="27" s="1"/>
  <c r="F203" i="27"/>
  <c r="F299" i="27" s="1"/>
  <c r="C204" i="27"/>
  <c r="C300" i="27" s="1"/>
  <c r="N204" i="27"/>
  <c r="N300" i="27" s="1"/>
  <c r="L206" i="27"/>
  <c r="L302" i="27" s="1"/>
  <c r="F414" i="27"/>
  <c r="F207" i="27"/>
  <c r="C208" i="27"/>
  <c r="C304" i="27" s="1"/>
  <c r="N208" i="27"/>
  <c r="N304" i="27" s="1"/>
  <c r="L210" i="27"/>
  <c r="L306" i="27" s="1"/>
  <c r="D212" i="27"/>
  <c r="L213" i="27"/>
  <c r="L309" i="27" s="1"/>
  <c r="N215" i="27"/>
  <c r="N311" i="27" s="1"/>
  <c r="D216" i="27"/>
  <c r="D312" i="27" s="1"/>
  <c r="L217" i="27"/>
  <c r="D220" i="27"/>
  <c r="D316" i="27" s="1"/>
  <c r="E221" i="27"/>
  <c r="E317" i="27" s="1"/>
  <c r="L221" i="27"/>
  <c r="L317" i="27" s="1"/>
  <c r="D224" i="27"/>
  <c r="D320" i="27" s="1"/>
  <c r="E225" i="27"/>
  <c r="E321" i="27" s="1"/>
  <c r="L225" i="27"/>
  <c r="L321" i="27" s="1"/>
  <c r="C226" i="27"/>
  <c r="C322" i="27" s="1"/>
  <c r="N226" i="27"/>
  <c r="N322" i="27" s="1"/>
  <c r="K227" i="27"/>
  <c r="K440" i="27" s="1"/>
  <c r="O227" i="27"/>
  <c r="O440" i="27" s="1"/>
  <c r="E228" i="27"/>
  <c r="K231" i="27"/>
  <c r="E422" i="27"/>
  <c r="E235" i="27"/>
  <c r="E444" i="27" s="1"/>
  <c r="D207" i="27"/>
  <c r="M217" i="27"/>
  <c r="B232" i="27"/>
  <c r="B441" i="27" s="1"/>
  <c r="M233" i="27"/>
  <c r="M442" i="27" s="1"/>
  <c r="K234" i="27"/>
  <c r="K443" i="27" s="1"/>
  <c r="E353" i="27"/>
  <c r="C354" i="27"/>
  <c r="E355" i="27"/>
  <c r="M355" i="27"/>
  <c r="C356" i="27"/>
  <c r="C372" i="27"/>
  <c r="G372" i="27"/>
  <c r="L372" i="27"/>
  <c r="E373" i="27"/>
  <c r="J373" i="27"/>
  <c r="N373" i="27"/>
  <c r="C374" i="27"/>
  <c r="G374" i="27"/>
  <c r="L374" i="27"/>
  <c r="E375" i="27"/>
  <c r="J375" i="27"/>
  <c r="N375" i="27"/>
  <c r="C376" i="27"/>
  <c r="G376" i="27"/>
  <c r="L376" i="27"/>
  <c r="E116" i="27"/>
  <c r="J116" i="27"/>
  <c r="J396" i="27" s="1"/>
  <c r="N116" i="27"/>
  <c r="C121" i="27"/>
  <c r="L121" i="27"/>
  <c r="E126" i="27"/>
  <c r="J126" i="27"/>
  <c r="J398" i="27" s="1"/>
  <c r="N126" i="27"/>
  <c r="G131" i="27"/>
  <c r="L131" i="27"/>
  <c r="E132" i="27"/>
  <c r="J132" i="27"/>
  <c r="N132" i="27"/>
  <c r="C133" i="27"/>
  <c r="G133" i="27"/>
  <c r="L133" i="27"/>
  <c r="E134" i="27"/>
  <c r="J134" i="27"/>
  <c r="N134" i="27"/>
  <c r="C135" i="27"/>
  <c r="G135" i="27"/>
  <c r="E136" i="27"/>
  <c r="E400" i="27" s="1"/>
  <c r="J136" i="27"/>
  <c r="J400" i="27" s="1"/>
  <c r="N136" i="27"/>
  <c r="N400" i="27" s="1"/>
  <c r="C137" i="27"/>
  <c r="C401" i="27" s="1"/>
  <c r="G137" i="27"/>
  <c r="G401" i="27" s="1"/>
  <c r="L137" i="27"/>
  <c r="L401" i="27" s="1"/>
  <c r="E138" i="27"/>
  <c r="E402" i="27" s="1"/>
  <c r="J138" i="27"/>
  <c r="J402" i="27" s="1"/>
  <c r="N138" i="27"/>
  <c r="N402" i="27" s="1"/>
  <c r="C139" i="27"/>
  <c r="C403" i="27" s="1"/>
  <c r="G139" i="27"/>
  <c r="G403" i="27" s="1"/>
  <c r="L139" i="27"/>
  <c r="L403" i="27" s="1"/>
  <c r="J140" i="27"/>
  <c r="J404" i="27" s="1"/>
  <c r="N140" i="27"/>
  <c r="N404" i="27" s="1"/>
  <c r="C141" i="27"/>
  <c r="C405" i="27" s="1"/>
  <c r="G141" i="27"/>
  <c r="G405" i="27" s="1"/>
  <c r="L141" i="27"/>
  <c r="L405" i="27" s="1"/>
  <c r="E142" i="27"/>
  <c r="E406" i="27" s="1"/>
  <c r="J142" i="27"/>
  <c r="J406" i="27" s="1"/>
  <c r="N142" i="27"/>
  <c r="N406" i="27" s="1"/>
  <c r="C146" i="27"/>
  <c r="C410" i="27" s="1"/>
  <c r="G146" i="27"/>
  <c r="G410" i="27" s="1"/>
  <c r="L146" i="27"/>
  <c r="L410" i="27" s="1"/>
  <c r="E415" i="27"/>
  <c r="C416" i="27"/>
  <c r="H171" i="27"/>
  <c r="H173" i="27"/>
  <c r="H175" i="27"/>
  <c r="H177" i="27"/>
  <c r="H179" i="27"/>
  <c r="H180" i="27"/>
  <c r="H181" i="27"/>
  <c r="H182" i="27"/>
  <c r="H184" i="27"/>
  <c r="H185" i="27"/>
  <c r="H186" i="27"/>
  <c r="H187" i="27"/>
  <c r="H188" i="27"/>
  <c r="H189" i="27"/>
  <c r="M425" i="27"/>
  <c r="M238" i="27"/>
  <c r="M447" i="27" s="1"/>
  <c r="E202" i="27"/>
  <c r="N202" i="27"/>
  <c r="C207" i="27"/>
  <c r="G207" i="27"/>
  <c r="G436" i="27" s="1"/>
  <c r="E212" i="27"/>
  <c r="C217" i="27"/>
  <c r="N222" i="27"/>
  <c r="C227" i="27"/>
  <c r="G227" i="27"/>
  <c r="G440" i="27" s="1"/>
  <c r="L227" i="27"/>
  <c r="N228" i="27"/>
  <c r="C229" i="27"/>
  <c r="G229" i="27"/>
  <c r="L229" i="27"/>
  <c r="N230" i="27"/>
  <c r="G231" i="27"/>
  <c r="L231" i="27"/>
  <c r="N232" i="27"/>
  <c r="N441" i="27" s="1"/>
  <c r="C233" i="27"/>
  <c r="C442" i="27" s="1"/>
  <c r="G233" i="27"/>
  <c r="G442" i="27" s="1"/>
  <c r="L233" i="27"/>
  <c r="L442" i="27" s="1"/>
  <c r="N234" i="27"/>
  <c r="N443" i="27" s="1"/>
  <c r="C235" i="27"/>
  <c r="C444" i="27" s="1"/>
  <c r="G235" i="27"/>
  <c r="G444" i="27" s="1"/>
  <c r="L235" i="27"/>
  <c r="L444" i="27" s="1"/>
  <c r="N236" i="27"/>
  <c r="N445" i="27" s="1"/>
  <c r="C237" i="27"/>
  <c r="C446" i="27" s="1"/>
  <c r="G237" i="27"/>
  <c r="G446" i="27" s="1"/>
  <c r="L237" i="27"/>
  <c r="L446" i="27" s="1"/>
  <c r="B238" i="27"/>
  <c r="B447" i="27" s="1"/>
  <c r="G238" i="27"/>
  <c r="G447" i="27" s="1"/>
  <c r="C413" i="27"/>
  <c r="D415" i="27"/>
  <c r="L419" i="27"/>
  <c r="C106" i="27"/>
  <c r="G106" i="27"/>
  <c r="G394" i="27" s="1"/>
  <c r="L106" i="27"/>
  <c r="E111" i="27"/>
  <c r="J111" i="27"/>
  <c r="J395" i="27" s="1"/>
  <c r="N111" i="27"/>
  <c r="G396" i="27"/>
  <c r="J397" i="27"/>
  <c r="C415" i="27"/>
  <c r="M415" i="27"/>
  <c r="E416" i="27"/>
  <c r="B417" i="27"/>
  <c r="K429" i="27"/>
  <c r="K242" i="27"/>
  <c r="K451" i="27" s="1"/>
  <c r="O429" i="27"/>
  <c r="O242" i="27"/>
  <c r="O451" i="27" s="1"/>
  <c r="G202" i="27"/>
  <c r="G435" i="27" s="1"/>
  <c r="E207" i="27"/>
  <c r="E217" i="27"/>
  <c r="C222" i="27"/>
  <c r="L222" i="27"/>
  <c r="C228" i="27"/>
  <c r="L228" i="27"/>
  <c r="C230" i="27"/>
  <c r="G230" i="27"/>
  <c r="L230" i="27"/>
  <c r="C232" i="27"/>
  <c r="C441" i="27" s="1"/>
  <c r="G232" i="27"/>
  <c r="G441" i="27" s="1"/>
  <c r="C234" i="27"/>
  <c r="C443" i="27" s="1"/>
  <c r="G234" i="27"/>
  <c r="G443" i="27" s="1"/>
  <c r="L234" i="27"/>
  <c r="L443" i="27" s="1"/>
  <c r="C236" i="27"/>
  <c r="C445" i="27" s="1"/>
  <c r="L236" i="27"/>
  <c r="L445" i="27" s="1"/>
  <c r="E238" i="27"/>
  <c r="E447" i="27" s="1"/>
  <c r="K238" i="27"/>
  <c r="K447" i="27" s="1"/>
  <c r="B372" i="27"/>
  <c r="F372" i="27"/>
  <c r="K372" i="27"/>
  <c r="O372" i="27"/>
  <c r="D373" i="27"/>
  <c r="M373" i="27"/>
  <c r="B374" i="27"/>
  <c r="F374" i="27"/>
  <c r="K374" i="27"/>
  <c r="O374" i="27"/>
  <c r="D375" i="27"/>
  <c r="M375" i="27"/>
  <c r="B376" i="27"/>
  <c r="K376" i="27"/>
  <c r="O376" i="27"/>
  <c r="N414" i="27"/>
  <c r="N415" i="27"/>
  <c r="B416" i="27"/>
  <c r="F416" i="27"/>
  <c r="B429" i="27"/>
  <c r="B242" i="27"/>
  <c r="B451" i="27" s="1"/>
  <c r="F429" i="27"/>
  <c r="F242" i="27"/>
  <c r="F451" i="27" s="1"/>
  <c r="D202" i="27"/>
  <c r="O207" i="27"/>
  <c r="O436" i="27" s="1"/>
  <c r="M212" i="27"/>
  <c r="B217" i="27"/>
  <c r="F217" i="27"/>
  <c r="D222" i="27"/>
  <c r="B227" i="27"/>
  <c r="F227" i="27"/>
  <c r="M228" i="27"/>
  <c r="B229" i="27"/>
  <c r="F229" i="27"/>
  <c r="M230" i="27"/>
  <c r="F231" i="27"/>
  <c r="M232" i="27"/>
  <c r="M441" i="27" s="1"/>
  <c r="B233" i="27"/>
  <c r="B442" i="27" s="1"/>
  <c r="F233" i="27"/>
  <c r="F442" i="27" s="1"/>
  <c r="M234" i="27"/>
  <c r="M443" i="27" s="1"/>
  <c r="B235" i="27"/>
  <c r="B444" i="27" s="1"/>
  <c r="F235" i="27"/>
  <c r="F444" i="27" s="1"/>
  <c r="M236" i="27"/>
  <c r="M445" i="27" s="1"/>
  <c r="B237" i="27"/>
  <c r="B446" i="27" s="1"/>
  <c r="F237" i="27"/>
  <c r="F446" i="27" s="1"/>
  <c r="P237" i="27"/>
  <c r="F238" i="27"/>
  <c r="F447" i="27" s="1"/>
  <c r="L238" i="27"/>
  <c r="L447" i="27" s="1"/>
  <c r="C242" i="27"/>
  <c r="C451" i="27" s="1"/>
  <c r="B65" i="28"/>
  <c r="B228" i="28" s="1"/>
  <c r="F65" i="28"/>
  <c r="F228" i="28" s="1"/>
  <c r="B71" i="28"/>
  <c r="F71" i="28"/>
  <c r="C212" i="28"/>
  <c r="E213" i="28"/>
  <c r="E62" i="28"/>
  <c r="E227" i="28" s="1"/>
  <c r="H166" i="28"/>
  <c r="E167" i="28"/>
  <c r="C173" i="28"/>
  <c r="C291" i="28" s="1"/>
  <c r="C263" i="28"/>
  <c r="G60" i="28"/>
  <c r="G226" i="28" s="1"/>
  <c r="G212" i="28"/>
  <c r="H156" i="28"/>
  <c r="H164" i="28"/>
  <c r="B256" i="28"/>
  <c r="B157" i="28"/>
  <c r="F256" i="28"/>
  <c r="F157" i="28"/>
  <c r="C77" i="28"/>
  <c r="C236" i="28" s="1"/>
  <c r="H77" i="28"/>
  <c r="H236" i="28" s="1"/>
  <c r="E211" i="28"/>
  <c r="C217" i="28"/>
  <c r="C72" i="28"/>
  <c r="C231" i="28" s="1"/>
  <c r="G217" i="28"/>
  <c r="G72" i="28"/>
  <c r="G231" i="28" s="1"/>
  <c r="B225" i="28"/>
  <c r="H161" i="28"/>
  <c r="C158" i="28"/>
  <c r="G158" i="28"/>
  <c r="D159" i="28"/>
  <c r="C161" i="28"/>
  <c r="G161" i="28"/>
  <c r="D212" i="28"/>
  <c r="D60" i="28"/>
  <c r="D226" i="28" s="1"/>
  <c r="B213" i="28"/>
  <c r="B62" i="28"/>
  <c r="B227" i="28" s="1"/>
  <c r="F213" i="28"/>
  <c r="F62" i="28"/>
  <c r="F227" i="28" s="1"/>
  <c r="G225" i="28"/>
  <c r="D227" i="28"/>
  <c r="H155" i="28"/>
  <c r="H113" i="28"/>
  <c r="H163" i="28" s="1"/>
  <c r="H241" i="28"/>
  <c r="H121" i="28"/>
  <c r="H250" i="28"/>
  <c r="B250" i="28"/>
  <c r="C155" i="28"/>
  <c r="E166" i="28"/>
  <c r="E169" i="28"/>
  <c r="F262" i="28"/>
  <c r="B262" i="28"/>
  <c r="D169" i="29"/>
  <c r="D110" i="29"/>
  <c r="D207" i="29" s="1"/>
  <c r="H110" i="29"/>
  <c r="H207" i="29" s="1"/>
  <c r="H169" i="29"/>
  <c r="D172" i="29"/>
  <c r="D125" i="29"/>
  <c r="D210" i="29" s="1"/>
  <c r="H172" i="29"/>
  <c r="H125" i="29"/>
  <c r="H210" i="29" s="1"/>
  <c r="B100" i="29"/>
  <c r="D57" i="28"/>
  <c r="D225" i="28" s="1"/>
  <c r="D211" i="28"/>
  <c r="D218" i="28"/>
  <c r="D73" i="28"/>
  <c r="D232" i="28" s="1"/>
  <c r="E219" i="28"/>
  <c r="E74" i="28"/>
  <c r="E233" i="28" s="1"/>
  <c r="G222" i="28"/>
  <c r="G77" i="28"/>
  <c r="G236" i="28" s="1"/>
  <c r="B156" i="28"/>
  <c r="D258" i="28"/>
  <c r="D162" i="28"/>
  <c r="E163" i="28"/>
  <c r="C164" i="28"/>
  <c r="G164" i="28"/>
  <c r="E212" i="28"/>
  <c r="C213" i="28"/>
  <c r="C68" i="28"/>
  <c r="G68" i="28"/>
  <c r="D69" i="28"/>
  <c r="E70" i="28"/>
  <c r="E230" i="28" s="1"/>
  <c r="C225" i="28"/>
  <c r="B61" i="28"/>
  <c r="B226" i="28" s="1"/>
  <c r="E69" i="28"/>
  <c r="C70" i="28"/>
  <c r="C230" i="28" s="1"/>
  <c r="G71" i="28"/>
  <c r="E72" i="28"/>
  <c r="E231" i="28" s="1"/>
  <c r="B74" i="28"/>
  <c r="B233" i="28" s="1"/>
  <c r="G74" i="28"/>
  <c r="G233" i="28" s="1"/>
  <c r="E77" i="28"/>
  <c r="E236" i="28" s="1"/>
  <c r="H170" i="28"/>
  <c r="E156" i="28"/>
  <c r="C157" i="28"/>
  <c r="C256" i="28"/>
  <c r="H158" i="28"/>
  <c r="E159" i="28"/>
  <c r="D161" i="28"/>
  <c r="E258" i="28"/>
  <c r="B163" i="28"/>
  <c r="F163" i="28"/>
  <c r="D164" i="28"/>
  <c r="F166" i="28"/>
  <c r="C167" i="28"/>
  <c r="E127" i="28"/>
  <c r="H240" i="28"/>
  <c r="H257" i="28"/>
  <c r="B208" i="28"/>
  <c r="B127" i="28"/>
  <c r="F127" i="28"/>
  <c r="F77" i="28"/>
  <c r="F236" i="28" s="1"/>
  <c r="B211" i="28"/>
  <c r="F211" i="28"/>
  <c r="D213" i="28"/>
  <c r="E57" i="28"/>
  <c r="E225" i="28" s="1"/>
  <c r="E60" i="28"/>
  <c r="E226" i="28" s="1"/>
  <c r="C74" i="28"/>
  <c r="C233" i="28" s="1"/>
  <c r="H239" i="28"/>
  <c r="H263" i="28"/>
  <c r="F156" i="28"/>
  <c r="H107" i="28"/>
  <c r="E158" i="28"/>
  <c r="B159" i="28"/>
  <c r="F159" i="28"/>
  <c r="H122" i="28"/>
  <c r="E173" i="28"/>
  <c r="E291" i="28" s="1"/>
  <c r="H246" i="28"/>
  <c r="D256" i="28"/>
  <c r="D257" i="28"/>
  <c r="B258" i="28"/>
  <c r="B264" i="28"/>
  <c r="E107" i="29"/>
  <c r="C130" i="29"/>
  <c r="C134" i="29"/>
  <c r="G134" i="29"/>
  <c r="C138" i="29"/>
  <c r="C215" i="29" s="1"/>
  <c r="C196" i="29"/>
  <c r="C145" i="29"/>
  <c r="C222" i="29" s="1"/>
  <c r="C203" i="29"/>
  <c r="G203" i="29"/>
  <c r="G145" i="29"/>
  <c r="G222" i="29" s="1"/>
  <c r="G105" i="29"/>
  <c r="G206" i="29" s="1"/>
  <c r="G138" i="29"/>
  <c r="G215" i="29" s="1"/>
  <c r="F57" i="28"/>
  <c r="F225" i="28" s="1"/>
  <c r="G63" i="28"/>
  <c r="F155" i="28"/>
  <c r="C156" i="28"/>
  <c r="G156" i="28"/>
  <c r="G159" i="28"/>
  <c r="C258" i="28"/>
  <c r="B164" i="28"/>
  <c r="G165" i="28"/>
  <c r="G287" i="28" s="1"/>
  <c r="D166" i="28"/>
  <c r="C168" i="28"/>
  <c r="G168" i="28"/>
  <c r="E170" i="28"/>
  <c r="E289" i="28" s="1"/>
  <c r="C171" i="28"/>
  <c r="G171" i="28"/>
  <c r="D170" i="29"/>
  <c r="D115" i="29"/>
  <c r="H170" i="29"/>
  <c r="H115" i="29"/>
  <c r="B105" i="29"/>
  <c r="D127" i="28"/>
  <c r="C211" i="28"/>
  <c r="G211" i="28"/>
  <c r="E256" i="28"/>
  <c r="C172" i="28"/>
  <c r="C290" i="28" s="1"/>
  <c r="G172" i="28"/>
  <c r="G290" i="28" s="1"/>
  <c r="E101" i="29"/>
  <c r="B102" i="29"/>
  <c r="H104" i="29"/>
  <c r="G188" i="29"/>
  <c r="G110" i="29"/>
  <c r="G207" i="29" s="1"/>
  <c r="G131" i="29"/>
  <c r="G135" i="29"/>
  <c r="G212" i="29" s="1"/>
  <c r="G193" i="29"/>
  <c r="G139" i="29"/>
  <c r="G216" i="29" s="1"/>
  <c r="G197" i="29"/>
  <c r="G136" i="29"/>
  <c r="G213" i="29" s="1"/>
  <c r="C199" i="29"/>
  <c r="C101" i="29"/>
  <c r="H102" i="29"/>
  <c r="G191" i="29"/>
  <c r="G125" i="29"/>
  <c r="G210" i="29" s="1"/>
  <c r="G133" i="29"/>
  <c r="G137" i="29"/>
  <c r="G214" i="29" s="1"/>
  <c r="G195" i="29"/>
  <c r="G141" i="29"/>
  <c r="G218" i="29" s="1"/>
  <c r="G199" i="29"/>
  <c r="C191" i="29"/>
  <c r="C195" i="29"/>
  <c r="C108" i="30"/>
  <c r="G108" i="30"/>
  <c r="M108" i="30"/>
  <c r="Q108" i="30"/>
  <c r="G199" i="30"/>
  <c r="G116" i="30"/>
  <c r="G200" i="30"/>
  <c r="G121" i="30"/>
  <c r="C131" i="30"/>
  <c r="G131" i="30"/>
  <c r="C133" i="30"/>
  <c r="G133" i="30"/>
  <c r="C135" i="30"/>
  <c r="G135" i="30"/>
  <c r="C137" i="30"/>
  <c r="C226" i="30" s="1"/>
  <c r="C204" i="30"/>
  <c r="G204" i="30"/>
  <c r="G137" i="30"/>
  <c r="G226" i="30" s="1"/>
  <c r="C139" i="30"/>
  <c r="C228" i="30" s="1"/>
  <c r="C206" i="30"/>
  <c r="G206" i="30"/>
  <c r="G139" i="30"/>
  <c r="G228" i="30" s="1"/>
  <c r="C208" i="30"/>
  <c r="C141" i="30"/>
  <c r="C230" i="30" s="1"/>
  <c r="G208" i="30"/>
  <c r="G141" i="30"/>
  <c r="G230" i="30" s="1"/>
  <c r="C213" i="30"/>
  <c r="C146" i="30"/>
  <c r="C235" i="30" s="1"/>
  <c r="G146" i="30"/>
  <c r="G235" i="30" s="1"/>
  <c r="G213" i="30"/>
  <c r="C100" i="29"/>
  <c r="D187" i="29"/>
  <c r="D105" i="29"/>
  <c r="D206" i="29" s="1"/>
  <c r="E106" i="29"/>
  <c r="G189" i="29"/>
  <c r="G115" i="29"/>
  <c r="G190" i="29"/>
  <c r="G120" i="29"/>
  <c r="C132" i="29"/>
  <c r="C136" i="29"/>
  <c r="C213" i="29" s="1"/>
  <c r="C194" i="29"/>
  <c r="C140" i="29"/>
  <c r="C217" i="29" s="1"/>
  <c r="C198" i="29"/>
  <c r="C188" i="29"/>
  <c r="C187" i="29"/>
  <c r="H187" i="29"/>
  <c r="D130" i="29"/>
  <c r="D211" i="29" s="1"/>
  <c r="H130" i="29"/>
  <c r="D131" i="29"/>
  <c r="H131" i="29"/>
  <c r="D132" i="29"/>
  <c r="H132" i="29"/>
  <c r="D133" i="29"/>
  <c r="H133" i="29"/>
  <c r="D134" i="29"/>
  <c r="H134" i="29"/>
  <c r="D193" i="29"/>
  <c r="D135" i="29"/>
  <c r="D212" i="29" s="1"/>
  <c r="H193" i="29"/>
  <c r="H135" i="29"/>
  <c r="H212" i="29" s="1"/>
  <c r="D194" i="29"/>
  <c r="D136" i="29"/>
  <c r="D213" i="29" s="1"/>
  <c r="H194" i="29"/>
  <c r="H136" i="29"/>
  <c r="H213" i="29" s="1"/>
  <c r="D195" i="29"/>
  <c r="D137" i="29"/>
  <c r="D214" i="29" s="1"/>
  <c r="H195" i="29"/>
  <c r="H137" i="29"/>
  <c r="H214" i="29" s="1"/>
  <c r="D196" i="29"/>
  <c r="D138" i="29"/>
  <c r="D215" i="29" s="1"/>
  <c r="H196" i="29"/>
  <c r="H138" i="29"/>
  <c r="H215" i="29" s="1"/>
  <c r="D197" i="29"/>
  <c r="D139" i="29"/>
  <c r="D216" i="29" s="1"/>
  <c r="H197" i="29"/>
  <c r="H139" i="29"/>
  <c r="H216" i="29" s="1"/>
  <c r="D198" i="29"/>
  <c r="D140" i="29"/>
  <c r="D217" i="29" s="1"/>
  <c r="H198" i="29"/>
  <c r="H140" i="29"/>
  <c r="H217" i="29" s="1"/>
  <c r="D199" i="29"/>
  <c r="D141" i="29"/>
  <c r="D218" i="29" s="1"/>
  <c r="H199" i="29"/>
  <c r="H141" i="29"/>
  <c r="H218" i="29" s="1"/>
  <c r="D203" i="29"/>
  <c r="D145" i="29"/>
  <c r="D222" i="29" s="1"/>
  <c r="H203" i="29"/>
  <c r="H145" i="29"/>
  <c r="H222" i="29" s="1"/>
  <c r="C105" i="29"/>
  <c r="C206" i="29" s="1"/>
  <c r="H105" i="29"/>
  <c r="H206" i="29" s="1"/>
  <c r="G178" i="30"/>
  <c r="E188" i="29"/>
  <c r="E110" i="29"/>
  <c r="E207" i="29" s="1"/>
  <c r="E115" i="29"/>
  <c r="E189" i="29"/>
  <c r="E120" i="29"/>
  <c r="E209" i="29" s="1"/>
  <c r="E190" i="29"/>
  <c r="E191" i="29"/>
  <c r="E125" i="29"/>
  <c r="E210" i="29" s="1"/>
  <c r="E130" i="29"/>
  <c r="E131" i="29"/>
  <c r="E132" i="29"/>
  <c r="E133" i="29"/>
  <c r="E134" i="29"/>
  <c r="E193" i="29"/>
  <c r="E135" i="29"/>
  <c r="E212" i="29" s="1"/>
  <c r="E194" i="29"/>
  <c r="E136" i="29"/>
  <c r="E213" i="29" s="1"/>
  <c r="E195" i="29"/>
  <c r="E137" i="29"/>
  <c r="E214" i="29" s="1"/>
  <c r="E196" i="29"/>
  <c r="E138" i="29"/>
  <c r="E215" i="29" s="1"/>
  <c r="E197" i="29"/>
  <c r="E139" i="29"/>
  <c r="E216" i="29" s="1"/>
  <c r="E198" i="29"/>
  <c r="E140" i="29"/>
  <c r="E217" i="29" s="1"/>
  <c r="E199" i="29"/>
  <c r="E141" i="29"/>
  <c r="E218" i="29" s="1"/>
  <c r="E203" i="29"/>
  <c r="E145" i="29"/>
  <c r="E222" i="29" s="1"/>
  <c r="C178" i="30"/>
  <c r="M182" i="30"/>
  <c r="M126" i="30"/>
  <c r="C101" i="30"/>
  <c r="M101" i="30"/>
  <c r="Q101" i="30"/>
  <c r="L197" i="30"/>
  <c r="L106" i="30"/>
  <c r="Q106" i="30"/>
  <c r="Q197" i="30"/>
  <c r="D168" i="29"/>
  <c r="H168" i="29"/>
  <c r="E187" i="29"/>
  <c r="B108" i="29"/>
  <c r="E105" i="29"/>
  <c r="E206" i="29" s="1"/>
  <c r="D101" i="30"/>
  <c r="F110" i="29"/>
  <c r="F207" i="29" s="1"/>
  <c r="B125" i="29"/>
  <c r="F125" i="29"/>
  <c r="F210" i="29" s="1"/>
  <c r="B130" i="29"/>
  <c r="F130" i="29"/>
  <c r="B131" i="29"/>
  <c r="F131" i="29"/>
  <c r="B132" i="29"/>
  <c r="F132" i="29"/>
  <c r="B133" i="29"/>
  <c r="F133" i="29"/>
  <c r="B134" i="29"/>
  <c r="F134" i="29"/>
  <c r="B135" i="29"/>
  <c r="B212" i="29" s="1"/>
  <c r="F135" i="29"/>
  <c r="F212" i="29" s="1"/>
  <c r="B136" i="29"/>
  <c r="B213" i="29" s="1"/>
  <c r="F136" i="29"/>
  <c r="F213" i="29" s="1"/>
  <c r="B137" i="29"/>
  <c r="B214" i="29" s="1"/>
  <c r="F137" i="29"/>
  <c r="F214" i="29" s="1"/>
  <c r="B138" i="29"/>
  <c r="B215" i="29" s="1"/>
  <c r="F138" i="29"/>
  <c r="F215" i="29" s="1"/>
  <c r="B139" i="29"/>
  <c r="B216" i="29" s="1"/>
  <c r="F139" i="29"/>
  <c r="F216" i="29" s="1"/>
  <c r="B140" i="29"/>
  <c r="B217" i="29" s="1"/>
  <c r="F140" i="29"/>
  <c r="F217" i="29" s="1"/>
  <c r="B141" i="29"/>
  <c r="B218" i="29" s="1"/>
  <c r="F141" i="29"/>
  <c r="F218" i="29" s="1"/>
  <c r="B145" i="29"/>
  <c r="B222" i="29" s="1"/>
  <c r="F145" i="29"/>
  <c r="F222" i="29" s="1"/>
  <c r="L178" i="30"/>
  <c r="P178" i="30"/>
  <c r="D179" i="30"/>
  <c r="D180" i="30"/>
  <c r="H180" i="30"/>
  <c r="F182" i="30"/>
  <c r="P182" i="30"/>
  <c r="H102" i="30"/>
  <c r="L103" i="30"/>
  <c r="H104" i="30"/>
  <c r="L105" i="30"/>
  <c r="D197" i="30"/>
  <c r="P197" i="30"/>
  <c r="L108" i="30"/>
  <c r="H109" i="30"/>
  <c r="L110" i="30"/>
  <c r="D198" i="30"/>
  <c r="H111" i="30"/>
  <c r="L112" i="30"/>
  <c r="P112" i="30"/>
  <c r="H113" i="30"/>
  <c r="L114" i="30"/>
  <c r="P114" i="30"/>
  <c r="H115" i="30"/>
  <c r="L116" i="30"/>
  <c r="P199" i="30"/>
  <c r="P116" i="30"/>
  <c r="H117" i="30"/>
  <c r="L118" i="30"/>
  <c r="P118" i="30"/>
  <c r="H119" i="30"/>
  <c r="Q119" i="30"/>
  <c r="H120" i="30"/>
  <c r="L121" i="30"/>
  <c r="P200" i="30"/>
  <c r="P121" i="30"/>
  <c r="H122" i="30"/>
  <c r="L123" i="30"/>
  <c r="P123" i="30"/>
  <c r="H124" i="30"/>
  <c r="L125" i="30"/>
  <c r="P125" i="30"/>
  <c r="L127" i="30"/>
  <c r="P127" i="30"/>
  <c r="D128" i="30"/>
  <c r="H128" i="30"/>
  <c r="B129" i="30"/>
  <c r="L129" i="30"/>
  <c r="P129" i="30"/>
  <c r="D130" i="30"/>
  <c r="H130" i="30"/>
  <c r="L131" i="30"/>
  <c r="L224" i="30" s="1"/>
  <c r="P131" i="30"/>
  <c r="L133" i="30"/>
  <c r="P133" i="30"/>
  <c r="L135" i="30"/>
  <c r="P135" i="30"/>
  <c r="L204" i="30"/>
  <c r="L137" i="30"/>
  <c r="L226" i="30" s="1"/>
  <c r="P137" i="30"/>
  <c r="P226" i="30" s="1"/>
  <c r="P204" i="30"/>
  <c r="L206" i="30"/>
  <c r="L139" i="30"/>
  <c r="L228" i="30" s="1"/>
  <c r="P139" i="30"/>
  <c r="P228" i="30" s="1"/>
  <c r="P206" i="30"/>
  <c r="L208" i="30"/>
  <c r="L141" i="30"/>
  <c r="L230" i="30" s="1"/>
  <c r="P208" i="30"/>
  <c r="P141" i="30"/>
  <c r="P230" i="30" s="1"/>
  <c r="L213" i="30"/>
  <c r="L146" i="30"/>
  <c r="L235" i="30" s="1"/>
  <c r="P213" i="30"/>
  <c r="P146" i="30"/>
  <c r="P235" i="30" s="1"/>
  <c r="D111" i="30"/>
  <c r="D135" i="30"/>
  <c r="D146" i="30"/>
  <c r="D235" i="30" s="1"/>
  <c r="F179" i="30"/>
  <c r="L179" i="30"/>
  <c r="L180" i="30"/>
  <c r="P180" i="30"/>
  <c r="H101" i="30"/>
  <c r="N101" i="30"/>
  <c r="L102" i="30"/>
  <c r="H103" i="30"/>
  <c r="L104" i="30"/>
  <c r="H105" i="30"/>
  <c r="G197" i="30"/>
  <c r="G106" i="30"/>
  <c r="M197" i="30"/>
  <c r="M106" i="30"/>
  <c r="L107" i="30"/>
  <c r="H108" i="30"/>
  <c r="L109" i="30"/>
  <c r="H110" i="30"/>
  <c r="L111" i="30"/>
  <c r="P198" i="30"/>
  <c r="P111" i="30"/>
  <c r="H112" i="30"/>
  <c r="L113" i="30"/>
  <c r="P113" i="30"/>
  <c r="H114" i="30"/>
  <c r="L115" i="30"/>
  <c r="P115" i="30"/>
  <c r="H116" i="30"/>
  <c r="L117" i="30"/>
  <c r="P117" i="30"/>
  <c r="H118" i="30"/>
  <c r="L120" i="30"/>
  <c r="P120" i="30"/>
  <c r="H121" i="30"/>
  <c r="L122" i="30"/>
  <c r="P122" i="30"/>
  <c r="H123" i="30"/>
  <c r="L124" i="30"/>
  <c r="P124" i="30"/>
  <c r="H125" i="30"/>
  <c r="L201" i="30"/>
  <c r="L126" i="30"/>
  <c r="P201" i="30"/>
  <c r="P126" i="30"/>
  <c r="H127" i="30"/>
  <c r="L128" i="30"/>
  <c r="P128" i="30"/>
  <c r="H129" i="30"/>
  <c r="L130" i="30"/>
  <c r="P130" i="30"/>
  <c r="L132" i="30"/>
  <c r="P132" i="30"/>
  <c r="L134" i="30"/>
  <c r="P134" i="30"/>
  <c r="L203" i="30"/>
  <c r="L136" i="30"/>
  <c r="L225" i="30" s="1"/>
  <c r="P203" i="30"/>
  <c r="P136" i="30"/>
  <c r="P225" i="30" s="1"/>
  <c r="L205" i="30"/>
  <c r="L138" i="30"/>
  <c r="L227" i="30" s="1"/>
  <c r="P205" i="30"/>
  <c r="P138" i="30"/>
  <c r="P227" i="30" s="1"/>
  <c r="L207" i="30"/>
  <c r="L140" i="30"/>
  <c r="L229" i="30" s="1"/>
  <c r="P207" i="30"/>
  <c r="P140" i="30"/>
  <c r="P229" i="30" s="1"/>
  <c r="L209" i="30"/>
  <c r="L142" i="30"/>
  <c r="L231" i="30" s="1"/>
  <c r="P209" i="30"/>
  <c r="P142" i="30"/>
  <c r="P231" i="30" s="1"/>
  <c r="D116" i="30"/>
  <c r="D221" i="30" s="1"/>
  <c r="D126" i="30"/>
  <c r="D131" i="30"/>
  <c r="D139" i="30"/>
  <c r="D228" i="30" s="1"/>
  <c r="O178" i="30"/>
  <c r="C179" i="30"/>
  <c r="G179" i="30"/>
  <c r="M179" i="30"/>
  <c r="Q179" i="30"/>
  <c r="C180" i="30"/>
  <c r="G180" i="30"/>
  <c r="M180" i="30"/>
  <c r="Q180" i="30"/>
  <c r="G181" i="30"/>
  <c r="O182" i="30"/>
  <c r="E101" i="30"/>
  <c r="C102" i="30"/>
  <c r="G102" i="30"/>
  <c r="M102" i="30"/>
  <c r="Q102" i="30"/>
  <c r="C104" i="30"/>
  <c r="G104" i="30"/>
  <c r="M104" i="30"/>
  <c r="Q104" i="30"/>
  <c r="C197" i="30"/>
  <c r="C106" i="30"/>
  <c r="H197" i="30"/>
  <c r="H106" i="30"/>
  <c r="C107" i="30"/>
  <c r="G107" i="30"/>
  <c r="M107" i="30"/>
  <c r="C109" i="30"/>
  <c r="G109" i="30"/>
  <c r="M109" i="30"/>
  <c r="Q109" i="30"/>
  <c r="C198" i="30"/>
  <c r="C111" i="30"/>
  <c r="G198" i="30"/>
  <c r="G111" i="30"/>
  <c r="M198" i="30"/>
  <c r="Q111" i="30"/>
  <c r="C113" i="30"/>
  <c r="G113" i="30"/>
  <c r="Q113" i="30"/>
  <c r="C115" i="30"/>
  <c r="G115" i="30"/>
  <c r="Q115" i="30"/>
  <c r="C117" i="30"/>
  <c r="G117" i="30"/>
  <c r="Q117" i="30"/>
  <c r="C119" i="30"/>
  <c r="G119" i="30"/>
  <c r="L119" i="30"/>
  <c r="P119" i="30"/>
  <c r="C120" i="30"/>
  <c r="G120" i="30"/>
  <c r="Q120" i="30"/>
  <c r="C122" i="30"/>
  <c r="G122" i="30"/>
  <c r="Q122" i="30"/>
  <c r="C124" i="30"/>
  <c r="G124" i="30"/>
  <c r="Q124" i="30"/>
  <c r="C201" i="30"/>
  <c r="C126" i="30"/>
  <c r="G201" i="30"/>
  <c r="G126" i="30"/>
  <c r="C128" i="30"/>
  <c r="G128" i="30"/>
  <c r="C130" i="30"/>
  <c r="G130" i="30"/>
  <c r="C132" i="30"/>
  <c r="G132" i="30"/>
  <c r="C134" i="30"/>
  <c r="G134" i="30"/>
  <c r="C203" i="30"/>
  <c r="C136" i="30"/>
  <c r="C225" i="30" s="1"/>
  <c r="G203" i="30"/>
  <c r="G136" i="30"/>
  <c r="G225" i="30" s="1"/>
  <c r="C205" i="30"/>
  <c r="C138" i="30"/>
  <c r="C227" i="30" s="1"/>
  <c r="G205" i="30"/>
  <c r="G138" i="30"/>
  <c r="G227" i="30" s="1"/>
  <c r="C207" i="30"/>
  <c r="C140" i="30"/>
  <c r="C229" i="30" s="1"/>
  <c r="G207" i="30"/>
  <c r="G140" i="30"/>
  <c r="G229" i="30" s="1"/>
  <c r="C209" i="30"/>
  <c r="C142" i="30"/>
  <c r="C231" i="30" s="1"/>
  <c r="G142" i="30"/>
  <c r="G231" i="30" s="1"/>
  <c r="G209" i="30"/>
  <c r="P106" i="30"/>
  <c r="M116" i="30"/>
  <c r="D137" i="30"/>
  <c r="D226" i="30" s="1"/>
  <c r="K194" i="30"/>
  <c r="K146" i="30"/>
  <c r="K235" i="30" s="1"/>
  <c r="B101" i="30"/>
  <c r="F101" i="30"/>
  <c r="O101" i="30"/>
  <c r="B102" i="30"/>
  <c r="F102" i="30"/>
  <c r="K102" i="30"/>
  <c r="O102" i="30"/>
  <c r="F103" i="30"/>
  <c r="K103" i="30"/>
  <c r="O103" i="30"/>
  <c r="B104" i="30"/>
  <c r="F104" i="30"/>
  <c r="K104" i="30"/>
  <c r="O104" i="30"/>
  <c r="B105" i="30"/>
  <c r="K105" i="30"/>
  <c r="O105" i="30"/>
  <c r="B106" i="30"/>
  <c r="K106" i="30"/>
  <c r="B107" i="30"/>
  <c r="F107" i="30"/>
  <c r="K107" i="30"/>
  <c r="O107" i="30"/>
  <c r="B108" i="30"/>
  <c r="F108" i="30"/>
  <c r="K108" i="30"/>
  <c r="O108" i="30"/>
  <c r="F109" i="30"/>
  <c r="K109" i="30"/>
  <c r="O109" i="30"/>
  <c r="B110" i="30"/>
  <c r="F110" i="30"/>
  <c r="K110" i="30"/>
  <c r="O110" i="30"/>
  <c r="B111" i="30"/>
  <c r="F198" i="30"/>
  <c r="F111" i="30"/>
  <c r="K111" i="30"/>
  <c r="O111" i="30"/>
  <c r="B112" i="30"/>
  <c r="F112" i="30"/>
  <c r="K112" i="30"/>
  <c r="O112" i="30"/>
  <c r="B113" i="30"/>
  <c r="F113" i="30"/>
  <c r="K113" i="30"/>
  <c r="O113" i="30"/>
  <c r="B114" i="30"/>
  <c r="F114" i="30"/>
  <c r="K114" i="30"/>
  <c r="O114" i="30"/>
  <c r="B115" i="30"/>
  <c r="F115" i="30"/>
  <c r="K115" i="30"/>
  <c r="O115" i="30"/>
  <c r="B116" i="30"/>
  <c r="F199" i="30"/>
  <c r="F116" i="30"/>
  <c r="K116" i="30"/>
  <c r="O199" i="30"/>
  <c r="O116" i="30"/>
  <c r="B117" i="30"/>
  <c r="F117" i="30"/>
  <c r="K117" i="30"/>
  <c r="O117" i="30"/>
  <c r="B118" i="30"/>
  <c r="F118" i="30"/>
  <c r="K118" i="30"/>
  <c r="O118" i="30"/>
  <c r="B119" i="30"/>
  <c r="F119" i="30"/>
  <c r="K119" i="30"/>
  <c r="O119" i="30"/>
  <c r="B120" i="30"/>
  <c r="F120" i="30"/>
  <c r="K120" i="30"/>
  <c r="O120" i="30"/>
  <c r="B121" i="30"/>
  <c r="F200" i="30"/>
  <c r="F121" i="30"/>
  <c r="K121" i="30"/>
  <c r="O200" i="30"/>
  <c r="O121" i="30"/>
  <c r="B122" i="30"/>
  <c r="F122" i="30"/>
  <c r="K122" i="30"/>
  <c r="O122" i="30"/>
  <c r="B123" i="30"/>
  <c r="F123" i="30"/>
  <c r="K123" i="30"/>
  <c r="O123" i="30"/>
  <c r="B124" i="30"/>
  <c r="F124" i="30"/>
  <c r="K124" i="30"/>
  <c r="O124" i="30"/>
  <c r="B125" i="30"/>
  <c r="F125" i="30"/>
  <c r="K125" i="30"/>
  <c r="O125" i="30"/>
  <c r="B201" i="30"/>
  <c r="B126" i="30"/>
  <c r="B223" i="30" s="1"/>
  <c r="F201" i="30"/>
  <c r="F126" i="30"/>
  <c r="K126" i="30"/>
  <c r="K223" i="30" s="1"/>
  <c r="O201" i="30"/>
  <c r="O126" i="30"/>
  <c r="B127" i="30"/>
  <c r="F127" i="30"/>
  <c r="K127" i="30"/>
  <c r="F128" i="30"/>
  <c r="K128" i="30"/>
  <c r="F129" i="30"/>
  <c r="K129" i="30"/>
  <c r="F130" i="30"/>
  <c r="K130" i="30"/>
  <c r="F131" i="30"/>
  <c r="K131" i="30"/>
  <c r="K224" i="30" s="1"/>
  <c r="F132" i="30"/>
  <c r="K132" i="30"/>
  <c r="F133" i="30"/>
  <c r="K133" i="30"/>
  <c r="F134" i="30"/>
  <c r="K134" i="30"/>
  <c r="F135" i="30"/>
  <c r="K135" i="30"/>
  <c r="F203" i="30"/>
  <c r="F136" i="30"/>
  <c r="F225" i="30" s="1"/>
  <c r="K136" i="30"/>
  <c r="K225" i="30" s="1"/>
  <c r="K203" i="30"/>
  <c r="F204" i="30"/>
  <c r="F137" i="30"/>
  <c r="F226" i="30" s="1"/>
  <c r="K204" i="30"/>
  <c r="K137" i="30"/>
  <c r="K226" i="30" s="1"/>
  <c r="F205" i="30"/>
  <c r="F138" i="30"/>
  <c r="F227" i="30" s="1"/>
  <c r="K138" i="30"/>
  <c r="K227" i="30" s="1"/>
  <c r="F206" i="30"/>
  <c r="F139" i="30"/>
  <c r="F228" i="30" s="1"/>
  <c r="K206" i="30"/>
  <c r="K139" i="30"/>
  <c r="K228" i="30" s="1"/>
  <c r="K141" i="30"/>
  <c r="K230" i="30" s="1"/>
  <c r="N106" i="30"/>
  <c r="B131" i="30"/>
  <c r="B224" i="30" s="1"/>
  <c r="N131" i="30"/>
  <c r="H132" i="30"/>
  <c r="B133" i="30"/>
  <c r="N133" i="30"/>
  <c r="H134" i="30"/>
  <c r="B135" i="30"/>
  <c r="N135" i="30"/>
  <c r="H136" i="30"/>
  <c r="H225" i="30" s="1"/>
  <c r="B137" i="30"/>
  <c r="B226" i="30" s="1"/>
  <c r="N137" i="30"/>
  <c r="N226" i="30" s="1"/>
  <c r="H138" i="30"/>
  <c r="H227" i="30" s="1"/>
  <c r="B139" i="30"/>
  <c r="B228" i="30" s="1"/>
  <c r="N139" i="30"/>
  <c r="N228" i="30" s="1"/>
  <c r="H140" i="30"/>
  <c r="H229" i="30" s="1"/>
  <c r="B141" i="30"/>
  <c r="B230" i="30" s="1"/>
  <c r="N141" i="30"/>
  <c r="N230" i="30" s="1"/>
  <c r="H142" i="30"/>
  <c r="H231" i="30" s="1"/>
  <c r="B146" i="30"/>
  <c r="B235" i="30" s="1"/>
  <c r="N146" i="30"/>
  <c r="N235" i="30" s="1"/>
  <c r="N184" i="30"/>
  <c r="B186" i="30"/>
  <c r="N188" i="30"/>
  <c r="B190" i="30"/>
  <c r="M127" i="30"/>
  <c r="Q127" i="30"/>
  <c r="M128" i="30"/>
  <c r="Q128" i="30"/>
  <c r="M129" i="30"/>
  <c r="Q129" i="30"/>
  <c r="M130" i="30"/>
  <c r="Q130" i="30"/>
  <c r="M131" i="30"/>
  <c r="M224" i="30" s="1"/>
  <c r="Q131" i="30"/>
  <c r="M132" i="30"/>
  <c r="Q132" i="30"/>
  <c r="M133" i="30"/>
  <c r="Q133" i="30"/>
  <c r="M134" i="30"/>
  <c r="Q134" i="30"/>
  <c r="M135" i="30"/>
  <c r="Q135" i="30"/>
  <c r="M203" i="30"/>
  <c r="M136" i="30"/>
  <c r="M225" i="30" s="1"/>
  <c r="Q203" i="30"/>
  <c r="Q136" i="30"/>
  <c r="Q225" i="30" s="1"/>
  <c r="M204" i="30"/>
  <c r="M137" i="30"/>
  <c r="M226" i="30" s="1"/>
  <c r="Q204" i="30"/>
  <c r="Q137" i="30"/>
  <c r="Q226" i="30" s="1"/>
  <c r="M205" i="30"/>
  <c r="M138" i="30"/>
  <c r="M227" i="30" s="1"/>
  <c r="Q205" i="30"/>
  <c r="Q138" i="30"/>
  <c r="Q227" i="30" s="1"/>
  <c r="M206" i="30"/>
  <c r="M139" i="30"/>
  <c r="M228" i="30" s="1"/>
  <c r="Q206" i="30"/>
  <c r="Q139" i="30"/>
  <c r="Q228" i="30" s="1"/>
  <c r="M207" i="30"/>
  <c r="M140" i="30"/>
  <c r="M229" i="30" s="1"/>
  <c r="Q207" i="30"/>
  <c r="Q140" i="30"/>
  <c r="Q229" i="30" s="1"/>
  <c r="M208" i="30"/>
  <c r="M141" i="30"/>
  <c r="M230" i="30" s="1"/>
  <c r="Q208" i="30"/>
  <c r="Q141" i="30"/>
  <c r="Q230" i="30" s="1"/>
  <c r="M209" i="30"/>
  <c r="M142" i="30"/>
  <c r="M231" i="30" s="1"/>
  <c r="Q209" i="30"/>
  <c r="Q142" i="30"/>
  <c r="Q231" i="30" s="1"/>
  <c r="M213" i="30"/>
  <c r="M146" i="30"/>
  <c r="M235" i="30" s="1"/>
  <c r="Q213" i="30"/>
  <c r="Q146" i="30"/>
  <c r="Q235" i="30" s="1"/>
  <c r="E106" i="30"/>
  <c r="H131" i="30"/>
  <c r="H224" i="30" s="1"/>
  <c r="B132" i="30"/>
  <c r="H133" i="30"/>
  <c r="N134" i="30"/>
  <c r="H135" i="30"/>
  <c r="B136" i="30"/>
  <c r="B225" i="30" s="1"/>
  <c r="H137" i="30"/>
  <c r="H226" i="30" s="1"/>
  <c r="N138" i="30"/>
  <c r="N227" i="30" s="1"/>
  <c r="H139" i="30"/>
  <c r="H228" i="30" s="1"/>
  <c r="B140" i="30"/>
  <c r="B229" i="30" s="1"/>
  <c r="H141" i="30"/>
  <c r="H230" i="30" s="1"/>
  <c r="N142" i="30"/>
  <c r="N231" i="30" s="1"/>
  <c r="H146" i="30"/>
  <c r="H235" i="30" s="1"/>
  <c r="O198" i="30"/>
  <c r="E198" i="30"/>
  <c r="E111" i="30"/>
  <c r="N198" i="30"/>
  <c r="N111" i="30"/>
  <c r="E112" i="30"/>
  <c r="N112" i="30"/>
  <c r="E113" i="30"/>
  <c r="N113" i="30"/>
  <c r="N114" i="30"/>
  <c r="E115" i="30"/>
  <c r="E199" i="30"/>
  <c r="E116" i="30"/>
  <c r="N199" i="30"/>
  <c r="N116" i="30"/>
  <c r="E117" i="30"/>
  <c r="N117" i="30"/>
  <c r="E118" i="30"/>
  <c r="N118" i="30"/>
  <c r="E119" i="30"/>
  <c r="I119" i="30"/>
  <c r="N119" i="30"/>
  <c r="R119" i="30"/>
  <c r="E120" i="30"/>
  <c r="N120" i="30"/>
  <c r="E121" i="30"/>
  <c r="N200" i="30"/>
  <c r="N121" i="30"/>
  <c r="E122" i="30"/>
  <c r="N122" i="30"/>
  <c r="E123" i="30"/>
  <c r="N123" i="30"/>
  <c r="E124" i="30"/>
  <c r="N124" i="30"/>
  <c r="E125" i="30"/>
  <c r="N125" i="30"/>
  <c r="E201" i="30"/>
  <c r="E126" i="30"/>
  <c r="N201" i="30"/>
  <c r="N126" i="30"/>
  <c r="E127" i="30"/>
  <c r="E128" i="30"/>
  <c r="E129" i="30"/>
  <c r="E130" i="30"/>
  <c r="E131" i="30"/>
  <c r="E132" i="30"/>
  <c r="E133" i="30"/>
  <c r="E134" i="30"/>
  <c r="E135" i="30"/>
  <c r="E203" i="30"/>
  <c r="E136" i="30"/>
  <c r="E225" i="30" s="1"/>
  <c r="E204" i="30"/>
  <c r="E137" i="30"/>
  <c r="E226" i="30" s="1"/>
  <c r="E205" i="30"/>
  <c r="E138" i="30"/>
  <c r="E227" i="30" s="1"/>
  <c r="E206" i="30"/>
  <c r="E139" i="30"/>
  <c r="E228" i="30" s="1"/>
  <c r="E207" i="30"/>
  <c r="E140" i="30"/>
  <c r="E229" i="30" s="1"/>
  <c r="E208" i="30"/>
  <c r="E141" i="30"/>
  <c r="E230" i="30" s="1"/>
  <c r="E209" i="30"/>
  <c r="E142" i="30"/>
  <c r="E231" i="30" s="1"/>
  <c r="E146" i="30"/>
  <c r="E235" i="30" s="1"/>
  <c r="H126" i="30"/>
  <c r="Q126" i="30"/>
  <c r="D132" i="30"/>
  <c r="O132" i="30"/>
  <c r="D134" i="30"/>
  <c r="O134" i="30"/>
  <c r="D136" i="30"/>
  <c r="D225" i="30" s="1"/>
  <c r="D138" i="30"/>
  <c r="D227" i="30" s="1"/>
  <c r="O138" i="30"/>
  <c r="O227" i="30" s="1"/>
  <c r="D140" i="30"/>
  <c r="D229" i="30" s="1"/>
  <c r="D142" i="30"/>
  <c r="D231" i="30" s="1"/>
  <c r="O142" i="30"/>
  <c r="O231" i="30" s="1"/>
  <c r="K201" i="30"/>
  <c r="F140" i="30"/>
  <c r="F229" i="30" s="1"/>
  <c r="F141" i="30"/>
  <c r="F230" i="30" s="1"/>
  <c r="F142" i="30"/>
  <c r="F231" i="30" s="1"/>
  <c r="F146" i="30"/>
  <c r="F235" i="30" s="1"/>
  <c r="K140" i="30"/>
  <c r="K229" i="30" s="1"/>
  <c r="K142" i="30"/>
  <c r="K231" i="30" s="1"/>
  <c r="L251" i="25" l="1"/>
  <c r="H270" i="25"/>
  <c r="C270" i="25"/>
  <c r="E270" i="25"/>
  <c r="L402" i="6"/>
  <c r="C224" i="30"/>
  <c r="E224" i="30"/>
  <c r="Q224" i="30"/>
  <c r="N224" i="30"/>
  <c r="O224" i="30"/>
  <c r="F224" i="30"/>
  <c r="D224" i="30"/>
  <c r="P224" i="30"/>
  <c r="G224" i="30"/>
  <c r="I202" i="30"/>
  <c r="R202" i="30"/>
  <c r="I183" i="30"/>
  <c r="R183" i="30"/>
  <c r="I129" i="30"/>
  <c r="E211" i="29"/>
  <c r="C207" i="29"/>
  <c r="F208" i="29"/>
  <c r="G211" i="29"/>
  <c r="H211" i="29"/>
  <c r="C211" i="29"/>
  <c r="F211" i="29"/>
  <c r="B206" i="29"/>
  <c r="E208" i="29"/>
  <c r="I192" i="29"/>
  <c r="I173" i="29"/>
  <c r="C288" i="28"/>
  <c r="E288" i="28"/>
  <c r="G289" i="28"/>
  <c r="G288" i="28"/>
  <c r="C289" i="28"/>
  <c r="F287" i="28"/>
  <c r="F275" i="28"/>
  <c r="B275" i="28"/>
  <c r="D165" i="28"/>
  <c r="D287" i="28" s="1"/>
  <c r="D273" i="28"/>
  <c r="D167" i="28"/>
  <c r="D274" i="28"/>
  <c r="D275" i="28"/>
  <c r="H261" i="28"/>
  <c r="H260" i="28"/>
  <c r="B230" i="28"/>
  <c r="F230" i="28"/>
  <c r="D230" i="28"/>
  <c r="C229" i="28"/>
  <c r="F229" i="28"/>
  <c r="G230" i="28"/>
  <c r="G229" i="28"/>
  <c r="E229" i="28"/>
  <c r="H228" i="28"/>
  <c r="B229" i="28"/>
  <c r="D229" i="28"/>
  <c r="H214" i="28"/>
  <c r="D459" i="27"/>
  <c r="H459" i="27"/>
  <c r="P459" i="27"/>
  <c r="N459" i="27"/>
  <c r="J459" i="27"/>
  <c r="M440" i="27"/>
  <c r="F440" i="27"/>
  <c r="B440" i="27"/>
  <c r="L440" i="27"/>
  <c r="D440" i="27"/>
  <c r="N440" i="27"/>
  <c r="C440" i="27"/>
  <c r="P418" i="27"/>
  <c r="C212" i="27"/>
  <c r="C437" i="27" s="1"/>
  <c r="H418" i="27"/>
  <c r="D399" i="27"/>
  <c r="G399" i="27"/>
  <c r="E418" i="27"/>
  <c r="P225" i="27"/>
  <c r="P321" i="27" s="1"/>
  <c r="F399" i="27"/>
  <c r="B399" i="27"/>
  <c r="J399" i="27"/>
  <c r="O399" i="27"/>
  <c r="N399" i="27"/>
  <c r="K399" i="27"/>
  <c r="E399" i="27"/>
  <c r="C399" i="27"/>
  <c r="L399" i="27"/>
  <c r="M399" i="27"/>
  <c r="F103" i="27"/>
  <c r="C116" i="27"/>
  <c r="H358" i="27"/>
  <c r="P131" i="27"/>
  <c r="P399" i="27" s="1"/>
  <c r="P358" i="27"/>
  <c r="M210" i="27"/>
  <c r="M306" i="27" s="1"/>
  <c r="M477" i="27" s="1"/>
  <c r="D442" i="26"/>
  <c r="B442" i="26"/>
  <c r="E442" i="26"/>
  <c r="F442" i="26"/>
  <c r="E401" i="26"/>
  <c r="G401" i="26"/>
  <c r="C401" i="26"/>
  <c r="F401" i="26"/>
  <c r="D401" i="26"/>
  <c r="B401" i="26"/>
  <c r="H359" i="26"/>
  <c r="H358" i="26"/>
  <c r="H382" i="26"/>
  <c r="U270" i="25"/>
  <c r="S270" i="25"/>
  <c r="V270" i="25"/>
  <c r="Q270" i="25"/>
  <c r="T270" i="25"/>
  <c r="R270" i="25"/>
  <c r="P270" i="25"/>
  <c r="J270" i="25"/>
  <c r="D270" i="25"/>
  <c r="K270" i="25"/>
  <c r="F270" i="25"/>
  <c r="I270" i="25"/>
  <c r="G270" i="25"/>
  <c r="B270" i="25"/>
  <c r="X251" i="25"/>
  <c r="X229" i="25"/>
  <c r="L229" i="25"/>
  <c r="L210" i="25"/>
  <c r="X210" i="25"/>
  <c r="I274" i="24"/>
  <c r="L255" i="24"/>
  <c r="C274" i="24"/>
  <c r="E274" i="24"/>
  <c r="J274" i="24"/>
  <c r="G274" i="24"/>
  <c r="H274" i="24"/>
  <c r="F274" i="24"/>
  <c r="D274" i="24"/>
  <c r="B274" i="24"/>
  <c r="K274" i="24"/>
  <c r="L233" i="24"/>
  <c r="L214" i="24"/>
  <c r="H270" i="23"/>
  <c r="T270" i="23"/>
  <c r="C270" i="23"/>
  <c r="K270" i="23"/>
  <c r="S270" i="23"/>
  <c r="J270" i="23"/>
  <c r="X210" i="23"/>
  <c r="H271" i="22"/>
  <c r="J271" i="22"/>
  <c r="D271" i="22"/>
  <c r="E271" i="22"/>
  <c r="L252" i="22"/>
  <c r="R352" i="20"/>
  <c r="I352" i="20"/>
  <c r="I182" i="30"/>
  <c r="I128" i="30"/>
  <c r="F347" i="20"/>
  <c r="I325" i="20"/>
  <c r="I127" i="30"/>
  <c r="I125" i="30"/>
  <c r="R211" i="20"/>
  <c r="I108" i="30"/>
  <c r="R325" i="20"/>
  <c r="I14" i="30"/>
  <c r="I110" i="30" s="1"/>
  <c r="I202" i="20"/>
  <c r="I203" i="20"/>
  <c r="B346" i="19"/>
  <c r="I351" i="19"/>
  <c r="I265" i="19"/>
  <c r="I201" i="19"/>
  <c r="I346" i="19" s="1"/>
  <c r="I325" i="19"/>
  <c r="I12" i="29"/>
  <c r="I108" i="29" s="1"/>
  <c r="I104" i="29"/>
  <c r="I204" i="19"/>
  <c r="U347" i="32"/>
  <c r="G347" i="32"/>
  <c r="N347" i="32"/>
  <c r="E210" i="27"/>
  <c r="E306" i="27" s="1"/>
  <c r="E114" i="27"/>
  <c r="H6" i="27"/>
  <c r="H102" i="27" s="1"/>
  <c r="N212" i="32"/>
  <c r="P220" i="27"/>
  <c r="P316" i="27" s="1"/>
  <c r="P342" i="32"/>
  <c r="N211" i="32"/>
  <c r="M354" i="27"/>
  <c r="N261" i="32"/>
  <c r="G261" i="32"/>
  <c r="U348" i="32"/>
  <c r="F73" i="13" s="1"/>
  <c r="J73" i="13" s="1"/>
  <c r="U352" i="32"/>
  <c r="F77" i="13" s="1"/>
  <c r="J77" i="13" s="1"/>
  <c r="G358" i="32"/>
  <c r="F41" i="13" s="1"/>
  <c r="J41" i="13" s="1"/>
  <c r="H20" i="27"/>
  <c r="H116" i="27" s="1"/>
  <c r="G262" i="32"/>
  <c r="G354" i="32"/>
  <c r="F37" i="13" s="1"/>
  <c r="J37" i="13" s="1"/>
  <c r="N260" i="32"/>
  <c r="N354" i="32"/>
  <c r="F60" i="13" s="1"/>
  <c r="J60" i="13" s="1"/>
  <c r="G353" i="32"/>
  <c r="F36" i="13" s="1"/>
  <c r="J36" i="13" s="1"/>
  <c r="U213" i="32"/>
  <c r="U262" i="32"/>
  <c r="B69" i="13" s="1"/>
  <c r="N358" i="32"/>
  <c r="G260" i="32"/>
  <c r="B25" i="13" s="1"/>
  <c r="U261" i="32"/>
  <c r="B68" i="13" s="1"/>
  <c r="U350" i="32"/>
  <c r="F75" i="13" s="1"/>
  <c r="J75" i="13" s="1"/>
  <c r="H350" i="14"/>
  <c r="P226" i="27"/>
  <c r="P322" i="27" s="1"/>
  <c r="L405" i="7"/>
  <c r="X405" i="7"/>
  <c r="I403" i="4"/>
  <c r="P232" i="27"/>
  <c r="P328" i="27" s="1"/>
  <c r="P482" i="27" s="1"/>
  <c r="R203" i="20"/>
  <c r="I59" i="30"/>
  <c r="I107" i="30" s="1"/>
  <c r="I310" i="20"/>
  <c r="I354" i="19"/>
  <c r="I356" i="19"/>
  <c r="I362" i="19"/>
  <c r="I358" i="19"/>
  <c r="I353" i="19"/>
  <c r="I352" i="19"/>
  <c r="I357" i="19"/>
  <c r="I355" i="19"/>
  <c r="N198" i="32"/>
  <c r="P416" i="27"/>
  <c r="B49" i="13"/>
  <c r="P224" i="27"/>
  <c r="P320" i="27" s="1"/>
  <c r="N350" i="32"/>
  <c r="F56" i="13" s="1"/>
  <c r="J56" i="13" s="1"/>
  <c r="N352" i="32"/>
  <c r="F58" i="13" s="1"/>
  <c r="J58" i="13" s="1"/>
  <c r="N351" i="32"/>
  <c r="F57" i="13" s="1"/>
  <c r="J57" i="13" s="1"/>
  <c r="N348" i="32"/>
  <c r="G348" i="32"/>
  <c r="F31" i="13" s="1"/>
  <c r="J31" i="13" s="1"/>
  <c r="N349" i="32"/>
  <c r="F55" i="13" s="1"/>
  <c r="J55" i="13" s="1"/>
  <c r="U354" i="32"/>
  <c r="F79" i="13" s="1"/>
  <c r="J79" i="13" s="1"/>
  <c r="F64" i="13"/>
  <c r="J64" i="13" s="1"/>
  <c r="G349" i="32"/>
  <c r="F32" i="13" s="1"/>
  <c r="J32" i="13" s="1"/>
  <c r="G350" i="32"/>
  <c r="F33" i="13" s="1"/>
  <c r="J33" i="13" s="1"/>
  <c r="G352" i="32"/>
  <c r="F35" i="13" s="1"/>
  <c r="J35" i="13" s="1"/>
  <c r="G351" i="32"/>
  <c r="F34" i="13" s="1"/>
  <c r="J34" i="13" s="1"/>
  <c r="H361" i="14"/>
  <c r="J22" i="13" s="1"/>
  <c r="H355" i="14"/>
  <c r="J16" i="13" s="1"/>
  <c r="H356" i="14"/>
  <c r="J17" i="13" s="1"/>
  <c r="H351" i="14"/>
  <c r="J12" i="13" s="1"/>
  <c r="H354" i="14"/>
  <c r="J15" i="13" s="1"/>
  <c r="H357" i="14"/>
  <c r="J18" i="13" s="1"/>
  <c r="H353" i="14"/>
  <c r="J14" i="13" s="1"/>
  <c r="H352" i="14"/>
  <c r="J13" i="13" s="1"/>
  <c r="P417" i="27"/>
  <c r="X408" i="7"/>
  <c r="X406" i="7"/>
  <c r="X411" i="7"/>
  <c r="X409" i="7"/>
  <c r="X407" i="7"/>
  <c r="X410" i="7"/>
  <c r="X416" i="7"/>
  <c r="L416" i="7"/>
  <c r="L407" i="7"/>
  <c r="L411" i="7"/>
  <c r="L409" i="7"/>
  <c r="L406" i="7"/>
  <c r="L410" i="7"/>
  <c r="L412" i="7"/>
  <c r="L408" i="7"/>
  <c r="L409" i="6"/>
  <c r="L403" i="6"/>
  <c r="L408" i="6"/>
  <c r="L405" i="6"/>
  <c r="L413" i="6"/>
  <c r="L407" i="6"/>
  <c r="L404" i="6"/>
  <c r="L406" i="6"/>
  <c r="I426" i="5"/>
  <c r="I418" i="5"/>
  <c r="I417" i="5"/>
  <c r="I421" i="5"/>
  <c r="I416" i="5"/>
  <c r="I419" i="5"/>
  <c r="I420" i="5"/>
  <c r="I406" i="4"/>
  <c r="H11" i="3" s="1"/>
  <c r="I404" i="4"/>
  <c r="H9" i="3" s="1"/>
  <c r="I409" i="4"/>
  <c r="H14" i="3" s="1"/>
  <c r="I414" i="4"/>
  <c r="H19" i="3" s="1"/>
  <c r="I410" i="4"/>
  <c r="H15" i="3" s="1"/>
  <c r="I405" i="4"/>
  <c r="H10" i="3" s="1"/>
  <c r="I408" i="4"/>
  <c r="H13" i="3" s="1"/>
  <c r="I407" i="4"/>
  <c r="H12" i="3" s="1"/>
  <c r="G200" i="32"/>
  <c r="P446" i="27"/>
  <c r="X235" i="25"/>
  <c r="I118" i="30"/>
  <c r="R114" i="30"/>
  <c r="I126" i="29"/>
  <c r="N103" i="27"/>
  <c r="O330" i="27"/>
  <c r="O484" i="27" s="1"/>
  <c r="H206" i="27"/>
  <c r="H302" i="27" s="1"/>
  <c r="H208" i="26"/>
  <c r="H304" i="26" s="1"/>
  <c r="H199" i="26"/>
  <c r="H295" i="26" s="1"/>
  <c r="H129" i="26"/>
  <c r="L155" i="24"/>
  <c r="L167" i="24"/>
  <c r="L167" i="23"/>
  <c r="B109" i="30"/>
  <c r="B219" i="30" s="1"/>
  <c r="R124" i="30"/>
  <c r="I117" i="30"/>
  <c r="I104" i="30"/>
  <c r="R115" i="30"/>
  <c r="M220" i="30"/>
  <c r="R113" i="30"/>
  <c r="I115" i="30"/>
  <c r="I102" i="30"/>
  <c r="E114" i="30"/>
  <c r="E220" i="30" s="1"/>
  <c r="R266" i="20"/>
  <c r="I112" i="30"/>
  <c r="R103" i="30"/>
  <c r="I130" i="30"/>
  <c r="R107" i="30"/>
  <c r="R101" i="30"/>
  <c r="I266" i="20"/>
  <c r="I210" i="20"/>
  <c r="I348" i="20" s="1"/>
  <c r="I123" i="30"/>
  <c r="I114" i="30"/>
  <c r="I101" i="30"/>
  <c r="R348" i="20"/>
  <c r="R197" i="20"/>
  <c r="I181" i="30"/>
  <c r="I122" i="30"/>
  <c r="I113" i="30"/>
  <c r="I179" i="30"/>
  <c r="I180" i="30"/>
  <c r="N115" i="30"/>
  <c r="N220" i="30" s="1"/>
  <c r="R130" i="30"/>
  <c r="R122" i="30"/>
  <c r="R105" i="30"/>
  <c r="I119" i="29"/>
  <c r="I128" i="29"/>
  <c r="I114" i="29"/>
  <c r="I111" i="29"/>
  <c r="I101" i="29"/>
  <c r="I116" i="29"/>
  <c r="G117" i="29"/>
  <c r="I213" i="19"/>
  <c r="I348" i="19" s="1"/>
  <c r="G123" i="29"/>
  <c r="G209" i="29" s="1"/>
  <c r="I21" i="29"/>
  <c r="I117" i="29" s="1"/>
  <c r="I268" i="19"/>
  <c r="I198" i="19"/>
  <c r="I219" i="19"/>
  <c r="I349" i="19" s="1"/>
  <c r="I124" i="29"/>
  <c r="I107" i="29"/>
  <c r="I102" i="29"/>
  <c r="I123" i="29"/>
  <c r="I100" i="29"/>
  <c r="E157" i="28"/>
  <c r="E284" i="28" s="1"/>
  <c r="E162" i="28"/>
  <c r="E286" i="28" s="1"/>
  <c r="G160" i="28"/>
  <c r="G285" i="28" s="1"/>
  <c r="C284" i="28"/>
  <c r="G157" i="28"/>
  <c r="G284" i="28" s="1"/>
  <c r="D169" i="28"/>
  <c r="C165" i="28"/>
  <c r="C287" i="28" s="1"/>
  <c r="D173" i="28"/>
  <c r="D291" i="28" s="1"/>
  <c r="B171" i="28"/>
  <c r="F160" i="28"/>
  <c r="F285" i="28" s="1"/>
  <c r="C160" i="28"/>
  <c r="C285" i="28" s="1"/>
  <c r="F170" i="28"/>
  <c r="H381" i="26"/>
  <c r="H379" i="26"/>
  <c r="H377" i="26"/>
  <c r="P105" i="27"/>
  <c r="H220" i="27"/>
  <c r="H316" i="27" s="1"/>
  <c r="P128" i="27"/>
  <c r="B226" i="27"/>
  <c r="B322" i="27" s="1"/>
  <c r="P359" i="27"/>
  <c r="L104" i="27"/>
  <c r="P107" i="27"/>
  <c r="H225" i="27"/>
  <c r="H321" i="27" s="1"/>
  <c r="H7" i="27"/>
  <c r="H103" i="27" s="1"/>
  <c r="H139" i="27"/>
  <c r="H403" i="27" s="1"/>
  <c r="N223" i="32"/>
  <c r="N346" i="32" s="1"/>
  <c r="F52" i="13" s="1"/>
  <c r="J52" i="13" s="1"/>
  <c r="F101" i="27"/>
  <c r="P139" i="27"/>
  <c r="P403" i="27" s="1"/>
  <c r="P30" i="27"/>
  <c r="P126" i="27" s="1"/>
  <c r="H18" i="27"/>
  <c r="H114" i="27" s="1"/>
  <c r="P118" i="27"/>
  <c r="P103" i="27"/>
  <c r="P138" i="27"/>
  <c r="P402" i="27" s="1"/>
  <c r="B357" i="27"/>
  <c r="H221" i="27"/>
  <c r="H317" i="27" s="1"/>
  <c r="L198" i="27"/>
  <c r="L294" i="27" s="1"/>
  <c r="H213" i="27"/>
  <c r="H309" i="27" s="1"/>
  <c r="F198" i="27"/>
  <c r="F294" i="27" s="1"/>
  <c r="H131" i="27"/>
  <c r="G202" i="32"/>
  <c r="G209" i="32"/>
  <c r="H219" i="27"/>
  <c r="H315" i="27" s="1"/>
  <c r="P110" i="27"/>
  <c r="H200" i="27"/>
  <c r="H296" i="27" s="1"/>
  <c r="H200" i="26"/>
  <c r="H296" i="26" s="1"/>
  <c r="H204" i="26"/>
  <c r="H300" i="26" s="1"/>
  <c r="H220" i="26"/>
  <c r="H316" i="26" s="1"/>
  <c r="H103" i="26"/>
  <c r="H216" i="26"/>
  <c r="H312" i="26" s="1"/>
  <c r="H140" i="26"/>
  <c r="H406" i="26" s="1"/>
  <c r="B331" i="26"/>
  <c r="B487" i="26" s="1"/>
  <c r="H125" i="26"/>
  <c r="H221" i="26"/>
  <c r="H317" i="26" s="1"/>
  <c r="E398" i="26"/>
  <c r="H134" i="26"/>
  <c r="H356" i="26"/>
  <c r="H219" i="26"/>
  <c r="H315" i="26" s="1"/>
  <c r="H205" i="26"/>
  <c r="H301" i="26" s="1"/>
  <c r="H224" i="26"/>
  <c r="H320" i="26" s="1"/>
  <c r="H203" i="26"/>
  <c r="H237" i="26"/>
  <c r="H197" i="26"/>
  <c r="H293" i="26" s="1"/>
  <c r="H223" i="26"/>
  <c r="H319" i="26" s="1"/>
  <c r="H206" i="26"/>
  <c r="H302" i="26" s="1"/>
  <c r="H127" i="26"/>
  <c r="K219" i="30"/>
  <c r="D219" i="30"/>
  <c r="E219" i="30"/>
  <c r="Q221" i="30"/>
  <c r="D223" i="30"/>
  <c r="H221" i="30"/>
  <c r="L205" i="25"/>
  <c r="Q223" i="30"/>
  <c r="F209" i="29"/>
  <c r="L151" i="24"/>
  <c r="K271" i="24"/>
  <c r="L209" i="24"/>
  <c r="M338" i="27"/>
  <c r="M492" i="27" s="1"/>
  <c r="X205" i="23"/>
  <c r="O328" i="27"/>
  <c r="O482" i="27" s="1"/>
  <c r="L158" i="23"/>
  <c r="D183" i="23"/>
  <c r="D270" i="23" s="1"/>
  <c r="S267" i="23"/>
  <c r="F183" i="23"/>
  <c r="F270" i="23" s="1"/>
  <c r="X206" i="23"/>
  <c r="O150" i="23"/>
  <c r="X164" i="23"/>
  <c r="E183" i="23"/>
  <c r="E270" i="23" s="1"/>
  <c r="L207" i="23"/>
  <c r="L206" i="23"/>
  <c r="L166" i="23"/>
  <c r="L152" i="22"/>
  <c r="D323" i="26"/>
  <c r="E332" i="26"/>
  <c r="E488" i="26" s="1"/>
  <c r="D325" i="26"/>
  <c r="H429" i="26"/>
  <c r="F327" i="26"/>
  <c r="B323" i="26"/>
  <c r="G328" i="26"/>
  <c r="G484" i="26" s="1"/>
  <c r="E331" i="26"/>
  <c r="E487" i="26" s="1"/>
  <c r="E326" i="26"/>
  <c r="L209" i="22"/>
  <c r="C333" i="26"/>
  <c r="C489" i="26" s="1"/>
  <c r="F332" i="26"/>
  <c r="F488" i="26" s="1"/>
  <c r="X160" i="25"/>
  <c r="X152" i="25"/>
  <c r="L167" i="25"/>
  <c r="D266" i="25"/>
  <c r="X158" i="25"/>
  <c r="X150" i="25"/>
  <c r="X181" i="25"/>
  <c r="O265" i="25"/>
  <c r="X153" i="25"/>
  <c r="X162" i="25"/>
  <c r="X166" i="25"/>
  <c r="Q266" i="25"/>
  <c r="L402" i="7"/>
  <c r="X226" i="25"/>
  <c r="X176" i="25"/>
  <c r="X168" i="25"/>
  <c r="L157" i="25"/>
  <c r="L149" i="25"/>
  <c r="T268" i="25"/>
  <c r="U266" i="25"/>
  <c r="L404" i="7"/>
  <c r="L228" i="25"/>
  <c r="D267" i="25"/>
  <c r="N265" i="25"/>
  <c r="X156" i="25"/>
  <c r="X401" i="7"/>
  <c r="Q265" i="25"/>
  <c r="S266" i="25"/>
  <c r="O266" i="25"/>
  <c r="O267" i="25"/>
  <c r="L161" i="25"/>
  <c r="L153" i="25"/>
  <c r="L401" i="7"/>
  <c r="R268" i="25"/>
  <c r="X224" i="25"/>
  <c r="X246" i="25"/>
  <c r="X250" i="25"/>
  <c r="L150" i="24"/>
  <c r="L169" i="24"/>
  <c r="B271" i="24"/>
  <c r="D272" i="24"/>
  <c r="C269" i="24"/>
  <c r="E270" i="24"/>
  <c r="L165" i="24"/>
  <c r="L149" i="24"/>
  <c r="G270" i="24"/>
  <c r="H269" i="24"/>
  <c r="B273" i="24"/>
  <c r="L170" i="24"/>
  <c r="L154" i="24"/>
  <c r="L171" i="24"/>
  <c r="L401" i="6"/>
  <c r="L252" i="24"/>
  <c r="L157" i="24"/>
  <c r="L398" i="6"/>
  <c r="B270" i="24"/>
  <c r="L399" i="6"/>
  <c r="K272" i="24"/>
  <c r="F270" i="24"/>
  <c r="J273" i="24"/>
  <c r="L176" i="23"/>
  <c r="R267" i="23"/>
  <c r="H32" i="3"/>
  <c r="H30" i="3"/>
  <c r="P265" i="23"/>
  <c r="C246" i="23"/>
  <c r="L246" i="23" s="1"/>
  <c r="H41" i="3"/>
  <c r="R411" i="5"/>
  <c r="X160" i="23"/>
  <c r="H28" i="3"/>
  <c r="J269" i="23"/>
  <c r="X151" i="23"/>
  <c r="L227" i="23"/>
  <c r="H268" i="23"/>
  <c r="X155" i="23"/>
  <c r="E267" i="23"/>
  <c r="L226" i="23"/>
  <c r="F266" i="23"/>
  <c r="X161" i="23"/>
  <c r="G265" i="23"/>
  <c r="L162" i="23"/>
  <c r="X248" i="23"/>
  <c r="L163" i="23"/>
  <c r="H37" i="3"/>
  <c r="I269" i="23"/>
  <c r="X224" i="23"/>
  <c r="I413" i="5"/>
  <c r="H24" i="3" s="1"/>
  <c r="I411" i="5"/>
  <c r="H22" i="3" s="1"/>
  <c r="R265" i="23"/>
  <c r="E265" i="23"/>
  <c r="L225" i="23"/>
  <c r="D269" i="23"/>
  <c r="E266" i="23"/>
  <c r="I412" i="5"/>
  <c r="H23" i="3" s="1"/>
  <c r="T266" i="23"/>
  <c r="L159" i="23"/>
  <c r="H29" i="3"/>
  <c r="L148" i="22"/>
  <c r="L143" i="22"/>
  <c r="L226" i="22"/>
  <c r="L163" i="22"/>
  <c r="L144" i="22"/>
  <c r="I400" i="4"/>
  <c r="H5" i="3" s="1"/>
  <c r="L158" i="22"/>
  <c r="I268" i="22"/>
  <c r="L154" i="22"/>
  <c r="L168" i="22"/>
  <c r="J269" i="22"/>
  <c r="F267" i="22"/>
  <c r="L156" i="22"/>
  <c r="L160" i="22"/>
  <c r="J270" i="22"/>
  <c r="C327" i="27"/>
  <c r="G198" i="32"/>
  <c r="P227" i="27"/>
  <c r="G213" i="32"/>
  <c r="G344" i="32" s="1"/>
  <c r="F27" i="13" s="1"/>
  <c r="J27" i="13" s="1"/>
  <c r="B209" i="27"/>
  <c r="B305" i="27" s="1"/>
  <c r="B27" i="13"/>
  <c r="M222" i="27"/>
  <c r="M318" i="27" s="1"/>
  <c r="M480" i="27" s="1"/>
  <c r="M437" i="27"/>
  <c r="E437" i="27"/>
  <c r="E435" i="27"/>
  <c r="G338" i="27"/>
  <c r="G492" i="27" s="1"/>
  <c r="P235" i="27"/>
  <c r="B343" i="32"/>
  <c r="E397" i="27"/>
  <c r="B105" i="27"/>
  <c r="M397" i="27"/>
  <c r="K332" i="27"/>
  <c r="K486" i="27" s="1"/>
  <c r="H146" i="27"/>
  <c r="H410" i="27" s="1"/>
  <c r="H203" i="27"/>
  <c r="H299" i="27" s="1"/>
  <c r="G205" i="32"/>
  <c r="N280" i="32"/>
  <c r="C49" i="13" s="1"/>
  <c r="B170" i="28"/>
  <c r="B289" i="28" s="1"/>
  <c r="B172" i="28"/>
  <c r="B290" i="28" s="1"/>
  <c r="F167" i="28"/>
  <c r="G177" i="28"/>
  <c r="G295" i="28" s="1"/>
  <c r="F171" i="28"/>
  <c r="B167" i="28"/>
  <c r="H115" i="26"/>
  <c r="H211" i="26"/>
  <c r="H307" i="26" s="1"/>
  <c r="H136" i="26"/>
  <c r="H402" i="26" s="1"/>
  <c r="H123" i="26"/>
  <c r="C441" i="26"/>
  <c r="E338" i="26"/>
  <c r="E494" i="26" s="1"/>
  <c r="H201" i="26"/>
  <c r="H297" i="26" s="1"/>
  <c r="D272" i="28"/>
  <c r="H174" i="28"/>
  <c r="H292" i="28" s="1"/>
  <c r="D170" i="28"/>
  <c r="D286" i="28"/>
  <c r="C177" i="28"/>
  <c r="C295" i="28" s="1"/>
  <c r="B168" i="28"/>
  <c r="D157" i="28"/>
  <c r="D284" i="28" s="1"/>
  <c r="E174" i="28"/>
  <c r="E292" i="28" s="1"/>
  <c r="B162" i="28"/>
  <c r="B286" i="28" s="1"/>
  <c r="B174" i="28"/>
  <c r="B292" i="28" s="1"/>
  <c r="F172" i="28"/>
  <c r="F290" i="28" s="1"/>
  <c r="D168" i="28"/>
  <c r="O478" i="27"/>
  <c r="O476" i="27"/>
  <c r="B397" i="26"/>
  <c r="C400" i="26"/>
  <c r="O223" i="30"/>
  <c r="F221" i="30"/>
  <c r="J267" i="25"/>
  <c r="L165" i="25"/>
  <c r="C221" i="30"/>
  <c r="D220" i="30"/>
  <c r="U268" i="25"/>
  <c r="U267" i="25"/>
  <c r="H265" i="25"/>
  <c r="V268" i="25"/>
  <c r="S265" i="25"/>
  <c r="X207" i="25"/>
  <c r="L172" i="25"/>
  <c r="D268" i="25"/>
  <c r="H268" i="25"/>
  <c r="X178" i="25"/>
  <c r="X170" i="25"/>
  <c r="X167" i="25"/>
  <c r="X151" i="25"/>
  <c r="L209" i="25"/>
  <c r="H266" i="25"/>
  <c r="J265" i="25"/>
  <c r="L178" i="25"/>
  <c r="L224" i="25"/>
  <c r="X157" i="25"/>
  <c r="I271" i="24"/>
  <c r="H271" i="24"/>
  <c r="J270" i="24"/>
  <c r="J271" i="24"/>
  <c r="L161" i="24"/>
  <c r="E271" i="24"/>
  <c r="E272" i="24"/>
  <c r="C271" i="24"/>
  <c r="C270" i="24"/>
  <c r="L159" i="24"/>
  <c r="L213" i="24"/>
  <c r="D271" i="24"/>
  <c r="L175" i="24"/>
  <c r="G269" i="23"/>
  <c r="B269" i="23"/>
  <c r="H266" i="23"/>
  <c r="G478" i="27"/>
  <c r="U266" i="23"/>
  <c r="J268" i="23"/>
  <c r="C265" i="23"/>
  <c r="L153" i="23"/>
  <c r="L209" i="23"/>
  <c r="I268" i="23"/>
  <c r="E268" i="23"/>
  <c r="L208" i="23"/>
  <c r="L205" i="23"/>
  <c r="O334" i="27"/>
  <c r="O488" i="27" s="1"/>
  <c r="K269" i="23"/>
  <c r="L151" i="23"/>
  <c r="I267" i="23"/>
  <c r="I265" i="23"/>
  <c r="J266" i="23"/>
  <c r="I183" i="23"/>
  <c r="I270" i="23" s="1"/>
  <c r="J267" i="23"/>
  <c r="X165" i="23"/>
  <c r="E269" i="23"/>
  <c r="H214" i="27"/>
  <c r="H310" i="27" s="1"/>
  <c r="D333" i="26"/>
  <c r="D489" i="26" s="1"/>
  <c r="H209" i="26"/>
  <c r="H305" i="26" s="1"/>
  <c r="L162" i="22"/>
  <c r="D270" i="22"/>
  <c r="I269" i="22"/>
  <c r="H267" i="22"/>
  <c r="B270" i="22"/>
  <c r="J266" i="22"/>
  <c r="J267" i="22"/>
  <c r="E269" i="22"/>
  <c r="L149" i="22"/>
  <c r="G333" i="26"/>
  <c r="G489" i="26" s="1"/>
  <c r="F338" i="26"/>
  <c r="F494" i="26" s="1"/>
  <c r="C324" i="26"/>
  <c r="J268" i="22"/>
  <c r="H270" i="22"/>
  <c r="L170" i="22"/>
  <c r="K270" i="22"/>
  <c r="D437" i="26"/>
  <c r="I270" i="22"/>
  <c r="L157" i="22"/>
  <c r="E330" i="26"/>
  <c r="E486" i="26" s="1"/>
  <c r="D268" i="22"/>
  <c r="H269" i="22"/>
  <c r="E267" i="22"/>
  <c r="L153" i="22"/>
  <c r="B338" i="26"/>
  <c r="B494" i="26" s="1"/>
  <c r="D327" i="26"/>
  <c r="F175" i="22"/>
  <c r="F271" i="22" s="1"/>
  <c r="G8" i="8"/>
  <c r="K8" i="8" s="1"/>
  <c r="D267" i="22"/>
  <c r="I266" i="22"/>
  <c r="G267" i="22"/>
  <c r="E266" i="22"/>
  <c r="L166" i="22"/>
  <c r="F266" i="22"/>
  <c r="L145" i="22"/>
  <c r="L164" i="22"/>
  <c r="E439" i="26"/>
  <c r="G437" i="26"/>
  <c r="L155" i="22"/>
  <c r="L165" i="22"/>
  <c r="H268" i="22"/>
  <c r="F268" i="22"/>
  <c r="B324" i="26"/>
  <c r="L205" i="22"/>
  <c r="D266" i="22"/>
  <c r="M221" i="30"/>
  <c r="I120" i="30"/>
  <c r="I105" i="30"/>
  <c r="R351" i="20"/>
  <c r="R347" i="20"/>
  <c r="N219" i="30"/>
  <c r="F222" i="30"/>
  <c r="P219" i="30"/>
  <c r="H219" i="30"/>
  <c r="L219" i="30"/>
  <c r="R120" i="30"/>
  <c r="I109" i="30"/>
  <c r="I103" i="30"/>
  <c r="I199" i="20"/>
  <c r="R182" i="30"/>
  <c r="R129" i="30"/>
  <c r="H223" i="30"/>
  <c r="E221" i="30"/>
  <c r="N223" i="30"/>
  <c r="K101" i="30"/>
  <c r="R109" i="30"/>
  <c r="I172" i="29"/>
  <c r="I171" i="29"/>
  <c r="I121" i="29"/>
  <c r="I350" i="19"/>
  <c r="I112" i="29"/>
  <c r="E398" i="27"/>
  <c r="B102" i="27"/>
  <c r="L338" i="27"/>
  <c r="L492" i="27" s="1"/>
  <c r="K476" i="27"/>
  <c r="H133" i="27"/>
  <c r="H118" i="27"/>
  <c r="U346" i="32"/>
  <c r="F71" i="13" s="1"/>
  <c r="J71" i="13" s="1"/>
  <c r="M438" i="27"/>
  <c r="H218" i="27"/>
  <c r="H314" i="27" s="1"/>
  <c r="B101" i="27"/>
  <c r="M331" i="27"/>
  <c r="M485" i="27" s="1"/>
  <c r="P130" i="27"/>
  <c r="B354" i="27"/>
  <c r="D436" i="27"/>
  <c r="M108" i="27"/>
  <c r="M394" i="27" s="1"/>
  <c r="B398" i="27"/>
  <c r="L112" i="27"/>
  <c r="L395" i="27" s="1"/>
  <c r="K477" i="27"/>
  <c r="B208" i="27"/>
  <c r="B304" i="27" s="1"/>
  <c r="B26" i="13"/>
  <c r="H218" i="26"/>
  <c r="H314" i="26" s="1"/>
  <c r="B399" i="26"/>
  <c r="H355" i="26"/>
  <c r="H347" i="14"/>
  <c r="J8" i="13" s="1"/>
  <c r="E438" i="26"/>
  <c r="D438" i="26"/>
  <c r="E440" i="26"/>
  <c r="H210" i="26"/>
  <c r="H306" i="26" s="1"/>
  <c r="C396" i="26"/>
  <c r="B438" i="26"/>
  <c r="E437" i="26"/>
  <c r="H214" i="26"/>
  <c r="H310" i="26" s="1"/>
  <c r="H198" i="26"/>
  <c r="H294" i="26" s="1"/>
  <c r="C328" i="26"/>
  <c r="C484" i="26" s="1"/>
  <c r="H346" i="14"/>
  <c r="J7" i="13" s="1"/>
  <c r="H225" i="26"/>
  <c r="H321" i="26" s="1"/>
  <c r="C440" i="26"/>
  <c r="C437" i="26"/>
  <c r="D398" i="26"/>
  <c r="G396" i="26"/>
  <c r="G325" i="26"/>
  <c r="H132" i="26"/>
  <c r="F324" i="26"/>
  <c r="H348" i="14"/>
  <c r="J9" i="13" s="1"/>
  <c r="H213" i="26"/>
  <c r="H309" i="26" s="1"/>
  <c r="H142" i="26"/>
  <c r="H408" i="26" s="1"/>
  <c r="H138" i="26"/>
  <c r="H404" i="26" s="1"/>
  <c r="H122" i="26"/>
  <c r="H30" i="26"/>
  <c r="H222" i="26" s="1"/>
  <c r="F323" i="26"/>
  <c r="H107" i="26"/>
  <c r="U344" i="32"/>
  <c r="F69" i="13" s="1"/>
  <c r="J69" i="13" s="1"/>
  <c r="P117" i="27"/>
  <c r="B330" i="27"/>
  <c r="B484" i="27" s="1"/>
  <c r="K478" i="27"/>
  <c r="P8" i="27"/>
  <c r="P200" i="27" s="1"/>
  <c r="P296" i="27" s="1"/>
  <c r="D435" i="27"/>
  <c r="E438" i="27"/>
  <c r="N439" i="27"/>
  <c r="H356" i="27"/>
  <c r="N102" i="27"/>
  <c r="N397" i="27"/>
  <c r="B115" i="27"/>
  <c r="L354" i="27"/>
  <c r="B104" i="27"/>
  <c r="M323" i="27"/>
  <c r="P136" i="27"/>
  <c r="P400" i="27" s="1"/>
  <c r="C396" i="27"/>
  <c r="B327" i="27"/>
  <c r="H120" i="27"/>
  <c r="N345" i="32"/>
  <c r="F51" i="13" s="1"/>
  <c r="J51" i="13" s="1"/>
  <c r="U342" i="32"/>
  <c r="F67" i="13" s="1"/>
  <c r="J67" i="13" s="1"/>
  <c r="D439" i="27"/>
  <c r="C439" i="27"/>
  <c r="L398" i="27"/>
  <c r="P124" i="27"/>
  <c r="P397" i="27" s="1"/>
  <c r="F326" i="27"/>
  <c r="K324" i="27"/>
  <c r="B438" i="27"/>
  <c r="L394" i="27"/>
  <c r="C438" i="27"/>
  <c r="N435" i="27"/>
  <c r="N398" i="27"/>
  <c r="C397" i="27"/>
  <c r="M353" i="27"/>
  <c r="F436" i="27"/>
  <c r="F396" i="27"/>
  <c r="H205" i="27"/>
  <c r="H301" i="27" s="1"/>
  <c r="M126" i="27"/>
  <c r="M398" i="27" s="1"/>
  <c r="N354" i="27"/>
  <c r="P129" i="27"/>
  <c r="P113" i="27"/>
  <c r="H10" i="27"/>
  <c r="H353" i="27" s="1"/>
  <c r="H141" i="27"/>
  <c r="H405" i="27" s="1"/>
  <c r="N211" i="27"/>
  <c r="N307" i="27" s="1"/>
  <c r="H208" i="27"/>
  <c r="H304" i="27" s="1"/>
  <c r="U301" i="32"/>
  <c r="D67" i="13" s="1"/>
  <c r="N199" i="32"/>
  <c r="H127" i="28"/>
  <c r="L439" i="27"/>
  <c r="N395" i="27"/>
  <c r="D395" i="27"/>
  <c r="B111" i="27"/>
  <c r="N438" i="27"/>
  <c r="N437" i="27"/>
  <c r="L436" i="27"/>
  <c r="C398" i="27"/>
  <c r="H224" i="27"/>
  <c r="H320" i="27" s="1"/>
  <c r="M396" i="27"/>
  <c r="P112" i="27"/>
  <c r="H226" i="27"/>
  <c r="H322" i="27" s="1"/>
  <c r="H137" i="27"/>
  <c r="H401" i="27" s="1"/>
  <c r="G210" i="32"/>
  <c r="U345" i="32"/>
  <c r="F70" i="13" s="1"/>
  <c r="J70" i="13" s="1"/>
  <c r="C394" i="27"/>
  <c r="P120" i="27"/>
  <c r="P108" i="27"/>
  <c r="F328" i="27"/>
  <c r="F482" i="27" s="1"/>
  <c r="H134" i="27"/>
  <c r="N209" i="32"/>
  <c r="N343" i="32" s="1"/>
  <c r="F49" i="13" s="1"/>
  <c r="J49" i="13" s="1"/>
  <c r="P234" i="27"/>
  <c r="H5" i="27"/>
  <c r="H101" i="27" s="1"/>
  <c r="F438" i="27"/>
  <c r="E395" i="27"/>
  <c r="H223" i="27"/>
  <c r="H319" i="27" s="1"/>
  <c r="E396" i="27"/>
  <c r="F395" i="27"/>
  <c r="F437" i="27"/>
  <c r="P114" i="27"/>
  <c r="G212" i="32"/>
  <c r="K479" i="27"/>
  <c r="H136" i="27"/>
  <c r="H400" i="27" s="1"/>
  <c r="H209" i="27"/>
  <c r="H305" i="27" s="1"/>
  <c r="G345" i="32"/>
  <c r="F28" i="13" s="1"/>
  <c r="J28" i="13" s="1"/>
  <c r="I267" i="25"/>
  <c r="G267" i="25"/>
  <c r="I269" i="25"/>
  <c r="L227" i="25"/>
  <c r="P268" i="25"/>
  <c r="J266" i="25"/>
  <c r="X227" i="25"/>
  <c r="X228" i="25"/>
  <c r="L155" i="25"/>
  <c r="L176" i="25"/>
  <c r="L168" i="25"/>
  <c r="X249" i="25"/>
  <c r="X171" i="25"/>
  <c r="X163" i="25"/>
  <c r="X155" i="25"/>
  <c r="X175" i="25"/>
  <c r="P267" i="25"/>
  <c r="P266" i="25"/>
  <c r="K268" i="25"/>
  <c r="L170" i="25"/>
  <c r="X248" i="25"/>
  <c r="X225" i="25"/>
  <c r="X173" i="25"/>
  <c r="X165" i="25"/>
  <c r="X149" i="25"/>
  <c r="Q267" i="25"/>
  <c r="W265" i="25"/>
  <c r="Q268" i="25"/>
  <c r="Q269" i="25"/>
  <c r="F265" i="25"/>
  <c r="X182" i="25"/>
  <c r="H267" i="25"/>
  <c r="T267" i="25"/>
  <c r="K267" i="25"/>
  <c r="W266" i="25"/>
  <c r="D265" i="25"/>
  <c r="X403" i="7"/>
  <c r="U265" i="25"/>
  <c r="X177" i="25"/>
  <c r="X161" i="25"/>
  <c r="K270" i="24"/>
  <c r="G269" i="24"/>
  <c r="H272" i="24"/>
  <c r="L177" i="24"/>
  <c r="L166" i="24"/>
  <c r="L162" i="24"/>
  <c r="I272" i="24"/>
  <c r="K269" i="24"/>
  <c r="L230" i="24"/>
  <c r="G267" i="23"/>
  <c r="D266" i="23"/>
  <c r="U265" i="23"/>
  <c r="X149" i="23"/>
  <c r="D268" i="23"/>
  <c r="X163" i="23"/>
  <c r="L172" i="23"/>
  <c r="L157" i="23"/>
  <c r="I414" i="5"/>
  <c r="H25" i="3" s="1"/>
  <c r="R266" i="23"/>
  <c r="L181" i="23"/>
  <c r="F265" i="23"/>
  <c r="H265" i="23"/>
  <c r="F267" i="23"/>
  <c r="O149" i="23"/>
  <c r="L224" i="23"/>
  <c r="L249" i="23"/>
  <c r="H269" i="23"/>
  <c r="L175" i="23"/>
  <c r="X156" i="23"/>
  <c r="H27" i="3"/>
  <c r="T265" i="23"/>
  <c r="F269" i="23"/>
  <c r="F268" i="23"/>
  <c r="D265" i="23"/>
  <c r="S266" i="23"/>
  <c r="G266" i="23"/>
  <c r="X157" i="23"/>
  <c r="I266" i="23"/>
  <c r="X246" i="23"/>
  <c r="G268" i="23"/>
  <c r="L171" i="23"/>
  <c r="L168" i="23"/>
  <c r="H40" i="3"/>
  <c r="R412" i="5"/>
  <c r="H33" i="3"/>
  <c r="C269" i="23"/>
  <c r="G268" i="22"/>
  <c r="F269" i="22"/>
  <c r="H266" i="22"/>
  <c r="I401" i="4"/>
  <c r="H6" i="3" s="1"/>
  <c r="F270" i="22"/>
  <c r="L159" i="22"/>
  <c r="E270" i="22"/>
  <c r="G270" i="22"/>
  <c r="G266" i="22"/>
  <c r="G269" i="22"/>
  <c r="D269" i="22"/>
  <c r="L147" i="22"/>
  <c r="I402" i="4"/>
  <c r="H7" i="3" s="1"/>
  <c r="E268" i="22"/>
  <c r="L169" i="22"/>
  <c r="L224" i="22"/>
  <c r="I267" i="22"/>
  <c r="C479" i="26"/>
  <c r="P293" i="27"/>
  <c r="P101" i="27"/>
  <c r="P211" i="27"/>
  <c r="P307" i="27" s="1"/>
  <c r="P115" i="27"/>
  <c r="C476" i="27"/>
  <c r="E480" i="27"/>
  <c r="L478" i="27"/>
  <c r="N222" i="30"/>
  <c r="F223" i="30"/>
  <c r="O222" i="30"/>
  <c r="O220" i="30"/>
  <c r="G223" i="30"/>
  <c r="G220" i="30"/>
  <c r="P220" i="30"/>
  <c r="G221" i="30"/>
  <c r="E177" i="28"/>
  <c r="E295" i="28" s="1"/>
  <c r="E267" i="28"/>
  <c r="G239" i="28"/>
  <c r="H258" i="28"/>
  <c r="H423" i="27"/>
  <c r="H236" i="27"/>
  <c r="H419" i="27"/>
  <c r="H232" i="27"/>
  <c r="H227" i="27"/>
  <c r="N396" i="27"/>
  <c r="L438" i="27"/>
  <c r="D397" i="27"/>
  <c r="B440" i="26"/>
  <c r="F435" i="27"/>
  <c r="M395" i="27"/>
  <c r="B397" i="27"/>
  <c r="H238" i="26"/>
  <c r="H430" i="26"/>
  <c r="H228" i="26"/>
  <c r="F439" i="26"/>
  <c r="E400" i="26"/>
  <c r="D394" i="27"/>
  <c r="D440" i="26"/>
  <c r="D400" i="26"/>
  <c r="H429" i="27"/>
  <c r="H242" i="27"/>
  <c r="H428" i="26"/>
  <c r="H236" i="26"/>
  <c r="H227" i="26"/>
  <c r="F441" i="26"/>
  <c r="F440" i="26"/>
  <c r="F439" i="27"/>
  <c r="F437" i="26"/>
  <c r="H202" i="26"/>
  <c r="H418" i="26"/>
  <c r="S269" i="25"/>
  <c r="J269" i="25"/>
  <c r="H427" i="26"/>
  <c r="H235" i="26"/>
  <c r="G438" i="26"/>
  <c r="C398" i="26"/>
  <c r="G268" i="25"/>
  <c r="C439" i="26"/>
  <c r="D439" i="26"/>
  <c r="E269" i="25"/>
  <c r="C266" i="25"/>
  <c r="I265" i="25"/>
  <c r="I205" i="30"/>
  <c r="I138" i="30"/>
  <c r="R197" i="30"/>
  <c r="B396" i="26"/>
  <c r="T269" i="25"/>
  <c r="V265" i="25"/>
  <c r="I206" i="30"/>
  <c r="I139" i="30"/>
  <c r="I194" i="29"/>
  <c r="I136" i="29"/>
  <c r="I190" i="29"/>
  <c r="I120" i="29"/>
  <c r="D269" i="24"/>
  <c r="D270" i="24"/>
  <c r="F272" i="24"/>
  <c r="E269" i="24"/>
  <c r="C270" i="22"/>
  <c r="C266" i="22"/>
  <c r="I141" i="30"/>
  <c r="I208" i="30"/>
  <c r="I133" i="30"/>
  <c r="I199" i="30"/>
  <c r="I116" i="30"/>
  <c r="I196" i="29"/>
  <c r="I138" i="29"/>
  <c r="I122" i="29"/>
  <c r="I103" i="29"/>
  <c r="L181" i="24"/>
  <c r="D278" i="28"/>
  <c r="D174" i="28"/>
  <c r="D292" i="28" s="1"/>
  <c r="H274" i="28"/>
  <c r="H72" i="28"/>
  <c r="H231" i="28" s="1"/>
  <c r="H217" i="28"/>
  <c r="M334" i="27"/>
  <c r="M488" i="27" s="1"/>
  <c r="C334" i="27"/>
  <c r="C488" i="27" s="1"/>
  <c r="G333" i="27"/>
  <c r="G487" i="27" s="1"/>
  <c r="M332" i="27"/>
  <c r="M486" i="27" s="1"/>
  <c r="C332" i="27"/>
  <c r="C486" i="27" s="1"/>
  <c r="G331" i="27"/>
  <c r="G485" i="27" s="1"/>
  <c r="M330" i="27"/>
  <c r="M484" i="27" s="1"/>
  <c r="C330" i="27"/>
  <c r="C484" i="27" s="1"/>
  <c r="G329" i="27"/>
  <c r="G483" i="27" s="1"/>
  <c r="M328" i="27"/>
  <c r="M482" i="27" s="1"/>
  <c r="C328" i="27"/>
  <c r="C482" i="27" s="1"/>
  <c r="G327" i="27"/>
  <c r="M326" i="27"/>
  <c r="C326" i="27"/>
  <c r="G325" i="27"/>
  <c r="M324" i="27"/>
  <c r="C324" i="27"/>
  <c r="G323" i="27"/>
  <c r="G303" i="27"/>
  <c r="G477" i="27" s="1"/>
  <c r="G329" i="26"/>
  <c r="G485" i="26" s="1"/>
  <c r="E328" i="26"/>
  <c r="E484" i="26" s="1"/>
  <c r="E324" i="26"/>
  <c r="C323" i="26"/>
  <c r="N320" i="32"/>
  <c r="E48" i="13" s="1"/>
  <c r="N203" i="32"/>
  <c r="P369" i="27"/>
  <c r="P242" i="27"/>
  <c r="P229" i="27"/>
  <c r="G273" i="24"/>
  <c r="X247" i="23"/>
  <c r="B169" i="28"/>
  <c r="B338" i="27"/>
  <c r="B492" i="27" s="1"/>
  <c r="F334" i="27"/>
  <c r="F488" i="27" s="1"/>
  <c r="L333" i="27"/>
  <c r="L487" i="27" s="1"/>
  <c r="B333" i="27"/>
  <c r="B487" i="27" s="1"/>
  <c r="L331" i="27"/>
  <c r="L485" i="27" s="1"/>
  <c r="B331" i="27"/>
  <c r="B485" i="27" s="1"/>
  <c r="F330" i="27"/>
  <c r="F484" i="27" s="1"/>
  <c r="L329" i="27"/>
  <c r="L483" i="27" s="1"/>
  <c r="B329" i="27"/>
  <c r="B483" i="27" s="1"/>
  <c r="L327" i="27"/>
  <c r="L325" i="27"/>
  <c r="B325" i="27"/>
  <c r="L323" i="27"/>
  <c r="B323" i="27"/>
  <c r="F308" i="27"/>
  <c r="F478" i="27" s="1"/>
  <c r="F303" i="27"/>
  <c r="F477" i="27" s="1"/>
  <c r="D334" i="26"/>
  <c r="D490" i="26" s="1"/>
  <c r="B333" i="26"/>
  <c r="B489" i="26" s="1"/>
  <c r="F331" i="26"/>
  <c r="F487" i="26" s="1"/>
  <c r="D330" i="26"/>
  <c r="D486" i="26" s="1"/>
  <c r="B327" i="26"/>
  <c r="D308" i="26"/>
  <c r="D480" i="26" s="1"/>
  <c r="D298" i="26"/>
  <c r="D478" i="26" s="1"/>
  <c r="E273" i="24"/>
  <c r="D267" i="23"/>
  <c r="I197" i="20"/>
  <c r="I197" i="29"/>
  <c r="I139" i="29"/>
  <c r="I131" i="29"/>
  <c r="I347" i="19"/>
  <c r="I106" i="29"/>
  <c r="I169" i="29"/>
  <c r="H276" i="28"/>
  <c r="H270" i="28"/>
  <c r="H211" i="28"/>
  <c r="E338" i="27"/>
  <c r="E492" i="27" s="1"/>
  <c r="E329" i="27"/>
  <c r="E483" i="27" s="1"/>
  <c r="K326" i="27"/>
  <c r="E308" i="27"/>
  <c r="E478" i="27" s="1"/>
  <c r="H290" i="26"/>
  <c r="G334" i="26"/>
  <c r="G490" i="26" s="1"/>
  <c r="C332" i="26"/>
  <c r="C488" i="26" s="1"/>
  <c r="H279" i="26"/>
  <c r="E325" i="26"/>
  <c r="H265" i="26"/>
  <c r="C480" i="26"/>
  <c r="G298" i="26"/>
  <c r="G478" i="26" s="1"/>
  <c r="H386" i="26"/>
  <c r="H139" i="26"/>
  <c r="H405" i="26" s="1"/>
  <c r="H131" i="26"/>
  <c r="P230" i="27"/>
  <c r="H30" i="27"/>
  <c r="P355" i="27"/>
  <c r="P212" i="27"/>
  <c r="P437" i="27" s="1"/>
  <c r="H354" i="26"/>
  <c r="S265" i="23"/>
  <c r="F277" i="28"/>
  <c r="F173" i="28"/>
  <c r="F291" i="28" s="1"/>
  <c r="P455" i="27"/>
  <c r="B332" i="26"/>
  <c r="B488" i="26" s="1"/>
  <c r="D303" i="26"/>
  <c r="D479" i="26" s="1"/>
  <c r="D457" i="26"/>
  <c r="H19" i="27"/>
  <c r="H115" i="27" s="1"/>
  <c r="X205" i="25"/>
  <c r="L87" i="23"/>
  <c r="L229" i="23" s="1"/>
  <c r="X252" i="25"/>
  <c r="X184" i="25"/>
  <c r="X271" i="25" s="1"/>
  <c r="L177" i="25"/>
  <c r="L249" i="25"/>
  <c r="L169" i="25"/>
  <c r="L174" i="24"/>
  <c r="L251" i="24"/>
  <c r="L158" i="24"/>
  <c r="L257" i="23"/>
  <c r="L189" i="23"/>
  <c r="L276" i="23" s="1"/>
  <c r="K269" i="25"/>
  <c r="C269" i="25"/>
  <c r="D470" i="27"/>
  <c r="D338" i="27"/>
  <c r="D492" i="27" s="1"/>
  <c r="J465" i="27"/>
  <c r="J333" i="27"/>
  <c r="J487" i="27" s="1"/>
  <c r="N461" i="27"/>
  <c r="N329" i="27"/>
  <c r="N483" i="27" s="1"/>
  <c r="D327" i="27"/>
  <c r="J325" i="27"/>
  <c r="F330" i="26"/>
  <c r="F486" i="26" s="1"/>
  <c r="B298" i="26"/>
  <c r="B478" i="26" s="1"/>
  <c r="B456" i="26"/>
  <c r="N197" i="27"/>
  <c r="N293" i="27" s="1"/>
  <c r="G55" i="8"/>
  <c r="K55" i="8" s="1"/>
  <c r="G10" i="8"/>
  <c r="K10" i="8" s="1"/>
  <c r="E299" i="26"/>
  <c r="E478" i="26" s="1"/>
  <c r="L186" i="22"/>
  <c r="L282" i="22" s="1"/>
  <c r="D454" i="27"/>
  <c r="D298" i="27"/>
  <c r="D476" i="27" s="1"/>
  <c r="B328" i="26"/>
  <c r="B484" i="26" s="1"/>
  <c r="B304" i="26"/>
  <c r="B479" i="26" s="1"/>
  <c r="H468" i="26"/>
  <c r="H464" i="26"/>
  <c r="B413" i="27"/>
  <c r="H154" i="27"/>
  <c r="B202" i="27"/>
  <c r="G199" i="32"/>
  <c r="E357" i="26"/>
  <c r="E222" i="26"/>
  <c r="X206" i="25"/>
  <c r="L211" i="24"/>
  <c r="G65" i="8"/>
  <c r="K65" i="8" s="1"/>
  <c r="L228" i="22"/>
  <c r="D465" i="27"/>
  <c r="D333" i="27"/>
  <c r="D487" i="27" s="1"/>
  <c r="F318" i="26"/>
  <c r="F482" i="26" s="1"/>
  <c r="F460" i="26"/>
  <c r="G29" i="8"/>
  <c r="K29" i="8" s="1"/>
  <c r="G58" i="8"/>
  <c r="K58" i="8" s="1"/>
  <c r="G17" i="8"/>
  <c r="K17" i="8" s="1"/>
  <c r="C231" i="26"/>
  <c r="C442" i="26" s="1"/>
  <c r="H183" i="26"/>
  <c r="H423" i="26" s="1"/>
  <c r="X189" i="25"/>
  <c r="X276" i="25" s="1"/>
  <c r="L180" i="25"/>
  <c r="L248" i="25"/>
  <c r="L164" i="25"/>
  <c r="L156" i="25"/>
  <c r="L193" i="24"/>
  <c r="L285" i="24" s="1"/>
  <c r="L182" i="24"/>
  <c r="L168" i="24"/>
  <c r="L253" i="24"/>
  <c r="L152" i="24"/>
  <c r="L256" i="23"/>
  <c r="L188" i="23"/>
  <c r="L275" i="23" s="1"/>
  <c r="L250" i="23"/>
  <c r="L174" i="23"/>
  <c r="L149" i="23"/>
  <c r="L262" i="23"/>
  <c r="L194" i="23"/>
  <c r="L281" i="23" s="1"/>
  <c r="L160" i="23"/>
  <c r="I399" i="4"/>
  <c r="H4" i="3" s="1"/>
  <c r="L180" i="23"/>
  <c r="X172" i="25"/>
  <c r="R204" i="30"/>
  <c r="R137" i="30"/>
  <c r="R200" i="30"/>
  <c r="R121" i="30"/>
  <c r="R104" i="30"/>
  <c r="G61" i="8"/>
  <c r="K61" i="8" s="1"/>
  <c r="G14" i="8"/>
  <c r="K14" i="8" s="1"/>
  <c r="L262" i="25"/>
  <c r="L194" i="25"/>
  <c r="L281" i="25" s="1"/>
  <c r="L255" i="25"/>
  <c r="L187" i="25"/>
  <c r="L274" i="25" s="1"/>
  <c r="L183" i="25"/>
  <c r="X169" i="25"/>
  <c r="L169" i="23"/>
  <c r="X180" i="25"/>
  <c r="J455" i="27"/>
  <c r="J303" i="27"/>
  <c r="J477" i="27" s="1"/>
  <c r="U209" i="32"/>
  <c r="U343" i="32" s="1"/>
  <c r="F68" i="13" s="1"/>
  <c r="J68" i="13" s="1"/>
  <c r="N205" i="32"/>
  <c r="H222" i="14"/>
  <c r="H349" i="14" s="1"/>
  <c r="J10" i="13" s="1"/>
  <c r="G9" i="8"/>
  <c r="K9" i="8" s="1"/>
  <c r="L400" i="6"/>
  <c r="L107" i="23"/>
  <c r="L155" i="23" s="1"/>
  <c r="E231" i="27"/>
  <c r="E440" i="27" s="1"/>
  <c r="N221" i="30"/>
  <c r="C219" i="30"/>
  <c r="P223" i="30"/>
  <c r="G219" i="30"/>
  <c r="L221" i="30"/>
  <c r="M223" i="30"/>
  <c r="G222" i="30"/>
  <c r="F177" i="28"/>
  <c r="F295" i="28" s="1"/>
  <c r="F267" i="28"/>
  <c r="B177" i="28"/>
  <c r="B295" i="28" s="1"/>
  <c r="B267" i="28"/>
  <c r="H422" i="27"/>
  <c r="H235" i="27"/>
  <c r="H230" i="27"/>
  <c r="D437" i="27"/>
  <c r="B437" i="27"/>
  <c r="F397" i="27"/>
  <c r="L435" i="27"/>
  <c r="B439" i="26"/>
  <c r="F397" i="26"/>
  <c r="H234" i="26"/>
  <c r="H426" i="26"/>
  <c r="H421" i="26"/>
  <c r="H425" i="27"/>
  <c r="H238" i="27"/>
  <c r="H229" i="26"/>
  <c r="D397" i="26"/>
  <c r="B400" i="26"/>
  <c r="B398" i="26"/>
  <c r="C397" i="26"/>
  <c r="E396" i="26"/>
  <c r="V266" i="25"/>
  <c r="N266" i="25"/>
  <c r="E266" i="25"/>
  <c r="P265" i="25"/>
  <c r="G265" i="25"/>
  <c r="H269" i="25"/>
  <c r="J268" i="25"/>
  <c r="V267" i="25"/>
  <c r="G266" i="25"/>
  <c r="L178" i="24"/>
  <c r="X214" i="23"/>
  <c r="X187" i="23"/>
  <c r="X274" i="23" s="1"/>
  <c r="R213" i="30"/>
  <c r="R146" i="30"/>
  <c r="R203" i="30"/>
  <c r="R136" i="30"/>
  <c r="R198" i="30"/>
  <c r="R111" i="30"/>
  <c r="R265" i="25"/>
  <c r="J269" i="24"/>
  <c r="B269" i="24"/>
  <c r="D273" i="24"/>
  <c r="I203" i="30"/>
  <c r="I136" i="30"/>
  <c r="I198" i="30"/>
  <c r="I111" i="30"/>
  <c r="I10" i="30"/>
  <c r="I265" i="20"/>
  <c r="I132" i="29"/>
  <c r="I189" i="29"/>
  <c r="I115" i="29"/>
  <c r="E399" i="26"/>
  <c r="F267" i="25"/>
  <c r="P269" i="25"/>
  <c r="G272" i="24"/>
  <c r="I350" i="20"/>
  <c r="R205" i="30"/>
  <c r="R138" i="30"/>
  <c r="I131" i="30"/>
  <c r="F219" i="30"/>
  <c r="R180" i="30"/>
  <c r="R10" i="30"/>
  <c r="R178" i="30" s="1"/>
  <c r="R265" i="20"/>
  <c r="I134" i="29"/>
  <c r="I199" i="29"/>
  <c r="I141" i="29"/>
  <c r="I133" i="29"/>
  <c r="I191" i="29"/>
  <c r="I125" i="29"/>
  <c r="I187" i="29"/>
  <c r="I105" i="29"/>
  <c r="E271" i="28"/>
  <c r="E160" i="28"/>
  <c r="E285" i="28" s="1"/>
  <c r="H275" i="28"/>
  <c r="H70" i="28"/>
  <c r="H230" i="28" s="1"/>
  <c r="H213" i="28"/>
  <c r="H62" i="28"/>
  <c r="H227" i="28" s="1"/>
  <c r="C313" i="27"/>
  <c r="C479" i="27" s="1"/>
  <c r="M308" i="27"/>
  <c r="M478" i="27" s="1"/>
  <c r="C308" i="27"/>
  <c r="C478" i="27" s="1"/>
  <c r="M476" i="27"/>
  <c r="C338" i="26"/>
  <c r="C494" i="26" s="1"/>
  <c r="C331" i="26"/>
  <c r="C487" i="26" s="1"/>
  <c r="G303" i="26"/>
  <c r="G479" i="26" s="1"/>
  <c r="F273" i="24"/>
  <c r="X153" i="23"/>
  <c r="D285" i="28"/>
  <c r="F332" i="27"/>
  <c r="F486" i="27" s="1"/>
  <c r="F324" i="27"/>
  <c r="L318" i="27"/>
  <c r="L480" i="27" s="1"/>
  <c r="F313" i="27"/>
  <c r="F479" i="27" s="1"/>
  <c r="B308" i="27"/>
  <c r="B478" i="27" s="1"/>
  <c r="L303" i="27"/>
  <c r="L477" i="27" s="1"/>
  <c r="L298" i="27"/>
  <c r="L476" i="27" s="1"/>
  <c r="D328" i="26"/>
  <c r="D484" i="26" s="1"/>
  <c r="F325" i="26"/>
  <c r="D324" i="26"/>
  <c r="B313" i="26"/>
  <c r="B481" i="26" s="1"/>
  <c r="F479" i="26"/>
  <c r="B206" i="27"/>
  <c r="B302" i="27" s="1"/>
  <c r="H226" i="26"/>
  <c r="H322" i="26" s="1"/>
  <c r="L248" i="23"/>
  <c r="J265" i="23"/>
  <c r="I205" i="20"/>
  <c r="I347" i="20" s="1"/>
  <c r="H273" i="28"/>
  <c r="G272" i="28"/>
  <c r="G162" i="28"/>
  <c r="G286" i="28" s="1"/>
  <c r="K338" i="27"/>
  <c r="K492" i="27" s="1"/>
  <c r="E334" i="27"/>
  <c r="E488" i="27" s="1"/>
  <c r="K333" i="27"/>
  <c r="K487" i="27" s="1"/>
  <c r="O332" i="27"/>
  <c r="O486" i="27" s="1"/>
  <c r="E332" i="27"/>
  <c r="E486" i="27" s="1"/>
  <c r="K331" i="27"/>
  <c r="K485" i="27" s="1"/>
  <c r="E330" i="27"/>
  <c r="E484" i="27" s="1"/>
  <c r="K329" i="27"/>
  <c r="K483" i="27" s="1"/>
  <c r="E328" i="27"/>
  <c r="E482" i="27" s="1"/>
  <c r="K327" i="27"/>
  <c r="O326" i="27"/>
  <c r="E326" i="27"/>
  <c r="K325" i="27"/>
  <c r="O324" i="27"/>
  <c r="E324" i="27"/>
  <c r="K323" i="27"/>
  <c r="K318" i="27"/>
  <c r="K480" i="27" s="1"/>
  <c r="O303" i="27"/>
  <c r="O477" i="27" s="1"/>
  <c r="H255" i="27"/>
  <c r="H250" i="27"/>
  <c r="H135" i="27"/>
  <c r="H397" i="27"/>
  <c r="C334" i="26"/>
  <c r="C490" i="26" s="1"/>
  <c r="E333" i="26"/>
  <c r="E489" i="26" s="1"/>
  <c r="G330" i="26"/>
  <c r="G486" i="26" s="1"/>
  <c r="H281" i="26"/>
  <c r="E327" i="26"/>
  <c r="C326" i="26"/>
  <c r="G318" i="26"/>
  <c r="G482" i="26" s="1"/>
  <c r="E313" i="26"/>
  <c r="E481" i="26" s="1"/>
  <c r="G480" i="26"/>
  <c r="H255" i="26"/>
  <c r="H137" i="26"/>
  <c r="H403" i="26" s="1"/>
  <c r="H384" i="26"/>
  <c r="H121" i="26"/>
  <c r="H380" i="26"/>
  <c r="H113" i="26"/>
  <c r="H105" i="26"/>
  <c r="P354" i="27"/>
  <c r="P207" i="27"/>
  <c r="L229" i="24"/>
  <c r="X152" i="23"/>
  <c r="X150" i="23"/>
  <c r="J466" i="27"/>
  <c r="J334" i="27"/>
  <c r="J488" i="27" s="1"/>
  <c r="N462" i="27"/>
  <c r="N330" i="27"/>
  <c r="N484" i="27" s="1"/>
  <c r="D460" i="27"/>
  <c r="D328" i="27"/>
  <c r="D482" i="27" s="1"/>
  <c r="J326" i="27"/>
  <c r="J458" i="27"/>
  <c r="J318" i="27"/>
  <c r="J480" i="27" s="1"/>
  <c r="J454" i="27"/>
  <c r="J298" i="27"/>
  <c r="J476" i="27" s="1"/>
  <c r="P470" i="27"/>
  <c r="P465" i="27"/>
  <c r="P333" i="27"/>
  <c r="P487" i="27" s="1"/>
  <c r="P463" i="27"/>
  <c r="P461" i="27"/>
  <c r="B458" i="26"/>
  <c r="B308" i="26"/>
  <c r="B480" i="26" s="1"/>
  <c r="H156" i="27"/>
  <c r="H204" i="27" s="1"/>
  <c r="H300" i="27" s="1"/>
  <c r="B204" i="27"/>
  <c r="B300" i="27" s="1"/>
  <c r="H15" i="27"/>
  <c r="H207" i="27" s="1"/>
  <c r="H353" i="26"/>
  <c r="L208" i="25"/>
  <c r="G42" i="8"/>
  <c r="K42" i="8" s="1"/>
  <c r="X258" i="25"/>
  <c r="X190" i="25"/>
  <c r="X277" i="25" s="1"/>
  <c r="L175" i="25"/>
  <c r="L247" i="25"/>
  <c r="L159" i="25"/>
  <c r="L151" i="25"/>
  <c r="L184" i="24"/>
  <c r="L276" i="24" s="1"/>
  <c r="L253" i="23"/>
  <c r="L185" i="23"/>
  <c r="L272" i="23" s="1"/>
  <c r="X225" i="23"/>
  <c r="J313" i="27"/>
  <c r="J479" i="27" s="1"/>
  <c r="J457" i="27"/>
  <c r="B330" i="26"/>
  <c r="B486" i="26" s="1"/>
  <c r="G280" i="32"/>
  <c r="C26" i="13" s="1"/>
  <c r="L212" i="24"/>
  <c r="L257" i="22"/>
  <c r="L180" i="22"/>
  <c r="L276" i="22" s="1"/>
  <c r="L254" i="22"/>
  <c r="L177" i="22"/>
  <c r="L273" i="22" s="1"/>
  <c r="D334" i="27"/>
  <c r="D488" i="27" s="1"/>
  <c r="D466" i="27"/>
  <c r="J464" i="27"/>
  <c r="J332" i="27"/>
  <c r="J486" i="27" s="1"/>
  <c r="N460" i="27"/>
  <c r="N328" i="27"/>
  <c r="N482" i="27" s="1"/>
  <c r="D326" i="27"/>
  <c r="J324" i="27"/>
  <c r="D458" i="27"/>
  <c r="D318" i="27"/>
  <c r="D480" i="27" s="1"/>
  <c r="J456" i="27"/>
  <c r="J308" i="27"/>
  <c r="J478" i="27" s="1"/>
  <c r="H466" i="27"/>
  <c r="H464" i="27"/>
  <c r="H462" i="27"/>
  <c r="H460" i="27"/>
  <c r="G223" i="32"/>
  <c r="G346" i="32" s="1"/>
  <c r="F29" i="13" s="1"/>
  <c r="J29" i="13" s="1"/>
  <c r="B48" i="13"/>
  <c r="L228" i="24"/>
  <c r="J327" i="27"/>
  <c r="G30" i="8"/>
  <c r="K30" i="8" s="1"/>
  <c r="L37" i="22"/>
  <c r="L210" i="22" s="1"/>
  <c r="G13" i="8"/>
  <c r="K13" i="8" s="1"/>
  <c r="X187" i="25"/>
  <c r="X274" i="25" s="1"/>
  <c r="X255" i="25"/>
  <c r="L162" i="25"/>
  <c r="L246" i="25"/>
  <c r="L154" i="25"/>
  <c r="L164" i="24"/>
  <c r="L148" i="24"/>
  <c r="L170" i="23"/>
  <c r="L156" i="23"/>
  <c r="L180" i="24"/>
  <c r="L188" i="25"/>
  <c r="L275" i="25" s="1"/>
  <c r="I207" i="30"/>
  <c r="I140" i="30"/>
  <c r="R131" i="30"/>
  <c r="R123" i="30"/>
  <c r="R116" i="30"/>
  <c r="R199" i="30"/>
  <c r="R112" i="30"/>
  <c r="R108" i="30"/>
  <c r="N323" i="27"/>
  <c r="D457" i="27"/>
  <c r="D313" i="27"/>
  <c r="D479" i="27" s="1"/>
  <c r="L39" i="23"/>
  <c r="L210" i="23" s="1"/>
  <c r="L254" i="23"/>
  <c r="L186" i="23"/>
  <c r="L273" i="23" s="1"/>
  <c r="N463" i="27"/>
  <c r="N331" i="27"/>
  <c r="N485" i="27" s="1"/>
  <c r="N470" i="27"/>
  <c r="N338" i="27"/>
  <c r="N492" i="27" s="1"/>
  <c r="D325" i="27"/>
  <c r="F468" i="26"/>
  <c r="F334" i="26"/>
  <c r="F490" i="26" s="1"/>
  <c r="D459" i="26"/>
  <c r="D313" i="26"/>
  <c r="D481" i="26" s="1"/>
  <c r="N344" i="32"/>
  <c r="F50" i="13" s="1"/>
  <c r="J50" i="13" s="1"/>
  <c r="P236" i="27"/>
  <c r="P363" i="27"/>
  <c r="P231" i="27"/>
  <c r="P228" i="27"/>
  <c r="P6" i="27"/>
  <c r="G26" i="8"/>
  <c r="K26" i="8" s="1"/>
  <c r="L227" i="22"/>
  <c r="G15" i="8"/>
  <c r="K15" i="8" s="1"/>
  <c r="L258" i="23"/>
  <c r="L190" i="23"/>
  <c r="L277" i="23" s="1"/>
  <c r="L186" i="25"/>
  <c r="L273" i="25" s="1"/>
  <c r="E223" i="30"/>
  <c r="E222" i="30"/>
  <c r="O221" i="30"/>
  <c r="F220" i="30"/>
  <c r="C223" i="30"/>
  <c r="Q220" i="30"/>
  <c r="C220" i="30"/>
  <c r="L220" i="30"/>
  <c r="P222" i="30"/>
  <c r="Q219" i="30"/>
  <c r="D267" i="28"/>
  <c r="D177" i="28"/>
  <c r="D295" i="28" s="1"/>
  <c r="H262" i="28"/>
  <c r="H256" i="28"/>
  <c r="F284" i="28"/>
  <c r="C436" i="27"/>
  <c r="H421" i="27"/>
  <c r="H234" i="27"/>
  <c r="H229" i="27"/>
  <c r="L397" i="27"/>
  <c r="H417" i="27"/>
  <c r="H416" i="27"/>
  <c r="B396" i="27"/>
  <c r="H425" i="26"/>
  <c r="H233" i="26"/>
  <c r="C435" i="27"/>
  <c r="D398" i="27"/>
  <c r="N394" i="27"/>
  <c r="E394" i="27"/>
  <c r="L396" i="27"/>
  <c r="C395" i="27"/>
  <c r="H424" i="26"/>
  <c r="H232" i="26"/>
  <c r="D396" i="26"/>
  <c r="D438" i="27"/>
  <c r="H230" i="26"/>
  <c r="D441" i="26"/>
  <c r="F399" i="26"/>
  <c r="E397" i="26"/>
  <c r="D396" i="27"/>
  <c r="F394" i="27"/>
  <c r="B441" i="26"/>
  <c r="C268" i="25"/>
  <c r="F269" i="25"/>
  <c r="H419" i="26"/>
  <c r="H207" i="26"/>
  <c r="G398" i="26"/>
  <c r="V269" i="25"/>
  <c r="H420" i="26"/>
  <c r="H212" i="26"/>
  <c r="L182" i="25"/>
  <c r="F438" i="26"/>
  <c r="E265" i="25"/>
  <c r="G271" i="24"/>
  <c r="L171" i="22"/>
  <c r="I209" i="30"/>
  <c r="I142" i="30"/>
  <c r="R134" i="30"/>
  <c r="R201" i="30"/>
  <c r="R126" i="30"/>
  <c r="F396" i="26"/>
  <c r="R267" i="25"/>
  <c r="T266" i="25"/>
  <c r="L247" i="23"/>
  <c r="I213" i="30"/>
  <c r="I146" i="30"/>
  <c r="I134" i="30"/>
  <c r="I126" i="30"/>
  <c r="I201" i="30"/>
  <c r="E267" i="25"/>
  <c r="C272" i="24"/>
  <c r="H270" i="24"/>
  <c r="J272" i="24"/>
  <c r="L231" i="24"/>
  <c r="I269" i="24"/>
  <c r="Q267" i="23"/>
  <c r="I351" i="20"/>
  <c r="I204" i="30"/>
  <c r="I137" i="30"/>
  <c r="I200" i="30"/>
  <c r="I121" i="30"/>
  <c r="I130" i="29"/>
  <c r="I211" i="29" s="1"/>
  <c r="I113" i="29"/>
  <c r="L250" i="22"/>
  <c r="L161" i="22"/>
  <c r="L247" i="22"/>
  <c r="L146" i="22"/>
  <c r="D171" i="28"/>
  <c r="H281" i="28"/>
  <c r="H68" i="28"/>
  <c r="H229" i="28" s="1"/>
  <c r="C338" i="27"/>
  <c r="C492" i="27" s="1"/>
  <c r="G334" i="27"/>
  <c r="G488" i="27" s="1"/>
  <c r="C333" i="27"/>
  <c r="C487" i="27" s="1"/>
  <c r="C331" i="27"/>
  <c r="C485" i="27" s="1"/>
  <c r="G330" i="27"/>
  <c r="G484" i="27" s="1"/>
  <c r="M329" i="27"/>
  <c r="M483" i="27" s="1"/>
  <c r="C329" i="27"/>
  <c r="C483" i="27" s="1"/>
  <c r="G328" i="27"/>
  <c r="G482" i="27" s="1"/>
  <c r="G326" i="27"/>
  <c r="M325" i="27"/>
  <c r="C325" i="27"/>
  <c r="C323" i="27"/>
  <c r="C481" i="27" s="1"/>
  <c r="C318" i="27"/>
  <c r="C480" i="27" s="1"/>
  <c r="C303" i="27"/>
  <c r="C477" i="27" s="1"/>
  <c r="E334" i="26"/>
  <c r="E490" i="26" s="1"/>
  <c r="C329" i="26"/>
  <c r="C485" i="26" s="1"/>
  <c r="G327" i="26"/>
  <c r="C325" i="26"/>
  <c r="E308" i="26"/>
  <c r="E480" i="26" s="1"/>
  <c r="G321" i="32"/>
  <c r="E26" i="13" s="1"/>
  <c r="G208" i="32"/>
  <c r="F329" i="26"/>
  <c r="F485" i="26" s="1"/>
  <c r="E268" i="25"/>
  <c r="L226" i="25"/>
  <c r="K273" i="24"/>
  <c r="L232" i="24"/>
  <c r="X159" i="23"/>
  <c r="R199" i="20"/>
  <c r="F169" i="28"/>
  <c r="F338" i="27"/>
  <c r="F492" i="27" s="1"/>
  <c r="L334" i="27"/>
  <c r="L488" i="27" s="1"/>
  <c r="B334" i="27"/>
  <c r="B488" i="27" s="1"/>
  <c r="F333" i="27"/>
  <c r="F487" i="27" s="1"/>
  <c r="L332" i="27"/>
  <c r="L486" i="27" s="1"/>
  <c r="B332" i="27"/>
  <c r="B486" i="27" s="1"/>
  <c r="F331" i="27"/>
  <c r="F485" i="27" s="1"/>
  <c r="L330" i="27"/>
  <c r="L484" i="27" s="1"/>
  <c r="F329" i="27"/>
  <c r="F483" i="27" s="1"/>
  <c r="L328" i="27"/>
  <c r="L482" i="27" s="1"/>
  <c r="B328" i="27"/>
  <c r="B482" i="27" s="1"/>
  <c r="F327" i="27"/>
  <c r="L326" i="27"/>
  <c r="B326" i="27"/>
  <c r="F325" i="27"/>
  <c r="L324" i="27"/>
  <c r="B324" i="27"/>
  <c r="F323" i="27"/>
  <c r="B318" i="27"/>
  <c r="L313" i="27"/>
  <c r="L479" i="27" s="1"/>
  <c r="F333" i="26"/>
  <c r="F489" i="26" s="1"/>
  <c r="D332" i="26"/>
  <c r="D488" i="26" s="1"/>
  <c r="B329" i="26"/>
  <c r="B485" i="26" s="1"/>
  <c r="B325" i="26"/>
  <c r="D318" i="26"/>
  <c r="D482" i="26" s="1"/>
  <c r="H414" i="27"/>
  <c r="H198" i="27"/>
  <c r="H294" i="27" s="1"/>
  <c r="I273" i="24"/>
  <c r="H267" i="23"/>
  <c r="I201" i="20"/>
  <c r="T5" i="30"/>
  <c r="I193" i="29"/>
  <c r="I135" i="29"/>
  <c r="I127" i="29"/>
  <c r="I110" i="29"/>
  <c r="I207" i="29" s="1"/>
  <c r="I188" i="29"/>
  <c r="H265" i="27"/>
  <c r="E303" i="27"/>
  <c r="E298" i="27"/>
  <c r="E476" i="27" s="1"/>
  <c r="G332" i="26"/>
  <c r="G488" i="26" s="1"/>
  <c r="H283" i="26"/>
  <c r="G324" i="26"/>
  <c r="H275" i="26"/>
  <c r="E303" i="26"/>
  <c r="E479" i="26" s="1"/>
  <c r="C298" i="26"/>
  <c r="C478" i="26" s="1"/>
  <c r="H393" i="26"/>
  <c r="H146" i="26"/>
  <c r="H412" i="26" s="1"/>
  <c r="H135" i="26"/>
  <c r="H378" i="26"/>
  <c r="H111" i="26"/>
  <c r="P360" i="27"/>
  <c r="P233" i="27"/>
  <c r="P356" i="27"/>
  <c r="P217" i="27"/>
  <c r="X154" i="23"/>
  <c r="B277" i="28"/>
  <c r="B173" i="28"/>
  <c r="B291" i="28" s="1"/>
  <c r="P458" i="27"/>
  <c r="P456" i="27"/>
  <c r="P454" i="27"/>
  <c r="G35" i="8"/>
  <c r="K35" i="8" s="1"/>
  <c r="X256" i="25"/>
  <c r="X188" i="25"/>
  <c r="X275" i="25" s="1"/>
  <c r="L181" i="25"/>
  <c r="L173" i="25"/>
  <c r="L179" i="23"/>
  <c r="G269" i="25"/>
  <c r="N465" i="27"/>
  <c r="N333" i="27"/>
  <c r="N487" i="27" s="1"/>
  <c r="D331" i="27"/>
  <c r="D485" i="27" s="1"/>
  <c r="D463" i="27"/>
  <c r="J461" i="27"/>
  <c r="J329" i="27"/>
  <c r="J483" i="27" s="1"/>
  <c r="N325" i="27"/>
  <c r="D323" i="27"/>
  <c r="F298" i="26"/>
  <c r="F478" i="26" s="1"/>
  <c r="F456" i="26"/>
  <c r="G50" i="8"/>
  <c r="K50" i="8" s="1"/>
  <c r="L258" i="22"/>
  <c r="L181" i="22"/>
  <c r="L277" i="22" s="1"/>
  <c r="L178" i="22"/>
  <c r="L274" i="22" s="1"/>
  <c r="L255" i="22"/>
  <c r="H466" i="26"/>
  <c r="H462" i="26"/>
  <c r="H460" i="26"/>
  <c r="G203" i="32"/>
  <c r="G320" i="32"/>
  <c r="E25" i="13" s="1"/>
  <c r="P353" i="27"/>
  <c r="P202" i="27"/>
  <c r="P435" i="27" s="1"/>
  <c r="G28" i="8"/>
  <c r="K28" i="8" s="1"/>
  <c r="L228" i="23"/>
  <c r="H231" i="27"/>
  <c r="B271" i="28"/>
  <c r="B160" i="28"/>
  <c r="B285" i="28" s="1"/>
  <c r="D463" i="26"/>
  <c r="D329" i="26"/>
  <c r="D485" i="26" s="1"/>
  <c r="B318" i="26"/>
  <c r="B482" i="26" s="1"/>
  <c r="L210" i="24"/>
  <c r="I175" i="22"/>
  <c r="I271" i="22" s="1"/>
  <c r="X194" i="25"/>
  <c r="X281" i="25" s="1"/>
  <c r="X262" i="25"/>
  <c r="X185" i="25"/>
  <c r="X272" i="25" s="1"/>
  <c r="X253" i="25"/>
  <c r="L160" i="25"/>
  <c r="L152" i="25"/>
  <c r="L186" i="24"/>
  <c r="L278" i="24" s="1"/>
  <c r="L176" i="24"/>
  <c r="L160" i="24"/>
  <c r="L252" i="23"/>
  <c r="L184" i="23"/>
  <c r="L271" i="23" s="1"/>
  <c r="L154" i="23"/>
  <c r="H31" i="3"/>
  <c r="L173" i="23"/>
  <c r="L176" i="22"/>
  <c r="L272" i="22" s="1"/>
  <c r="X164" i="25"/>
  <c r="L173" i="24"/>
  <c r="L254" i="24"/>
  <c r="R208" i="30"/>
  <c r="R141" i="30"/>
  <c r="R133" i="30"/>
  <c r="R350" i="20"/>
  <c r="R118" i="30"/>
  <c r="R102" i="30"/>
  <c r="D461" i="27"/>
  <c r="D329" i="27"/>
  <c r="D483" i="27" s="1"/>
  <c r="G18" i="8"/>
  <c r="K18" i="8" s="1"/>
  <c r="G16" i="8"/>
  <c r="K16" i="8" s="1"/>
  <c r="L257" i="25"/>
  <c r="L189" i="25"/>
  <c r="L276" i="25" s="1"/>
  <c r="L253" i="25"/>
  <c r="L185" i="25"/>
  <c r="L272" i="25" s="1"/>
  <c r="X179" i="25"/>
  <c r="X247" i="25"/>
  <c r="X159" i="25"/>
  <c r="L185" i="24"/>
  <c r="L277" i="24" s="1"/>
  <c r="L258" i="24"/>
  <c r="L255" i="23"/>
  <c r="L187" i="23"/>
  <c r="L274" i="23" s="1"/>
  <c r="X174" i="25"/>
  <c r="N455" i="27"/>
  <c r="N303" i="27"/>
  <c r="S344" i="32"/>
  <c r="H345" i="14"/>
  <c r="F6" i="13" s="1"/>
  <c r="J6" i="13" s="1"/>
  <c r="G51" i="8"/>
  <c r="K51" i="8" s="1"/>
  <c r="L225" i="22"/>
  <c r="L403" i="7"/>
  <c r="X402" i="7"/>
  <c r="L223" i="30"/>
  <c r="M219" i="30"/>
  <c r="P221" i="30"/>
  <c r="G227" i="28"/>
  <c r="H424" i="27"/>
  <c r="H237" i="27"/>
  <c r="H420" i="27"/>
  <c r="H233" i="27"/>
  <c r="H228" i="27"/>
  <c r="E439" i="27"/>
  <c r="H415" i="27"/>
  <c r="C399" i="26"/>
  <c r="H434" i="26"/>
  <c r="H242" i="26"/>
  <c r="L437" i="27"/>
  <c r="H422" i="26"/>
  <c r="F400" i="26"/>
  <c r="D399" i="26"/>
  <c r="F398" i="26"/>
  <c r="G397" i="26"/>
  <c r="F398" i="27"/>
  <c r="B437" i="26"/>
  <c r="C438" i="26"/>
  <c r="D269" i="25"/>
  <c r="R269" i="25"/>
  <c r="C267" i="25"/>
  <c r="R266" i="25"/>
  <c r="I266" i="25"/>
  <c r="T265" i="25"/>
  <c r="K265" i="25"/>
  <c r="C265" i="25"/>
  <c r="U269" i="25"/>
  <c r="S267" i="25"/>
  <c r="F268" i="25"/>
  <c r="N267" i="25"/>
  <c r="K266" i="25"/>
  <c r="L167" i="22"/>
  <c r="L251" i="22"/>
  <c r="L248" i="22"/>
  <c r="L151" i="22"/>
  <c r="R206" i="30"/>
  <c r="R139" i="30"/>
  <c r="R132" i="30"/>
  <c r="F266" i="25"/>
  <c r="I270" i="24"/>
  <c r="F269" i="24"/>
  <c r="H273" i="24"/>
  <c r="R207" i="30"/>
  <c r="R140" i="30"/>
  <c r="I132" i="30"/>
  <c r="O219" i="30"/>
  <c r="I198" i="29"/>
  <c r="I140" i="29"/>
  <c r="S268" i="25"/>
  <c r="L225" i="25"/>
  <c r="F271" i="24"/>
  <c r="B272" i="24"/>
  <c r="I349" i="20"/>
  <c r="R209" i="30"/>
  <c r="R142" i="30"/>
  <c r="I135" i="30"/>
  <c r="R181" i="30"/>
  <c r="R179" i="30"/>
  <c r="I203" i="29"/>
  <c r="I145" i="29"/>
  <c r="I109" i="29"/>
  <c r="X182" i="23"/>
  <c r="I195" i="29"/>
  <c r="I137" i="29"/>
  <c r="I129" i="29"/>
  <c r="H74" i="28"/>
  <c r="H233" i="28" s="1"/>
  <c r="H219" i="28"/>
  <c r="H212" i="28"/>
  <c r="H60" i="28"/>
  <c r="H226" i="28" s="1"/>
  <c r="M333" i="27"/>
  <c r="M487" i="27" s="1"/>
  <c r="M327" i="27"/>
  <c r="M313" i="27"/>
  <c r="M479" i="27" s="1"/>
  <c r="G298" i="27"/>
  <c r="G476" i="27" s="1"/>
  <c r="G338" i="26"/>
  <c r="G494" i="26" s="1"/>
  <c r="G331" i="26"/>
  <c r="G487" i="26" s="1"/>
  <c r="G323" i="26"/>
  <c r="C313" i="26"/>
  <c r="C481" i="26" s="1"/>
  <c r="B353" i="27"/>
  <c r="B106" i="27"/>
  <c r="B394" i="27" s="1"/>
  <c r="C273" i="24"/>
  <c r="X162" i="23"/>
  <c r="Q266" i="23"/>
  <c r="Q265" i="23"/>
  <c r="X180" i="23"/>
  <c r="F318" i="27"/>
  <c r="F480" i="27" s="1"/>
  <c r="B313" i="27"/>
  <c r="B479" i="27" s="1"/>
  <c r="F298" i="27"/>
  <c r="F476" i="27" s="1"/>
  <c r="D326" i="26"/>
  <c r="F313" i="26"/>
  <c r="F481" i="26" s="1"/>
  <c r="B207" i="27"/>
  <c r="M435" i="27"/>
  <c r="I268" i="25"/>
  <c r="F278" i="28"/>
  <c r="F174" i="28"/>
  <c r="F292" i="28" s="1"/>
  <c r="E165" i="28"/>
  <c r="E287" i="28" s="1"/>
  <c r="C272" i="28"/>
  <c r="C162" i="28"/>
  <c r="C286" i="28" s="1"/>
  <c r="H225" i="28"/>
  <c r="O338" i="27"/>
  <c r="O492" i="27" s="1"/>
  <c r="K334" i="27"/>
  <c r="K488" i="27" s="1"/>
  <c r="O333" i="27"/>
  <c r="O487" i="27" s="1"/>
  <c r="E333" i="27"/>
  <c r="E487" i="27" s="1"/>
  <c r="O331" i="27"/>
  <c r="O485" i="27" s="1"/>
  <c r="E331" i="27"/>
  <c r="E485" i="27" s="1"/>
  <c r="K330" i="27"/>
  <c r="K484" i="27" s="1"/>
  <c r="O329" i="27"/>
  <c r="O483" i="27" s="1"/>
  <c r="K328" i="27"/>
  <c r="K482" i="27" s="1"/>
  <c r="O327" i="27"/>
  <c r="O325" i="27"/>
  <c r="E325" i="27"/>
  <c r="O323" i="27"/>
  <c r="O481" i="27" s="1"/>
  <c r="E323" i="27"/>
  <c r="O318" i="27"/>
  <c r="O480" i="27" s="1"/>
  <c r="H270" i="27"/>
  <c r="E313" i="27"/>
  <c r="E479" i="27" s="1"/>
  <c r="H260" i="27"/>
  <c r="H142" i="27"/>
  <c r="H406" i="27" s="1"/>
  <c r="H140" i="27"/>
  <c r="H404" i="27" s="1"/>
  <c r="H138" i="27"/>
  <c r="H402" i="27" s="1"/>
  <c r="H132" i="27"/>
  <c r="H285" i="26"/>
  <c r="C330" i="26"/>
  <c r="C486" i="26" s="1"/>
  <c r="E329" i="26"/>
  <c r="E485" i="26" s="1"/>
  <c r="G326" i="26"/>
  <c r="H277" i="26"/>
  <c r="E323" i="26"/>
  <c r="E483" i="26" s="1"/>
  <c r="C318" i="26"/>
  <c r="C482" i="26" s="1"/>
  <c r="H251" i="26"/>
  <c r="H388" i="26"/>
  <c r="H141" i="26"/>
  <c r="H407" i="26" s="1"/>
  <c r="H133" i="26"/>
  <c r="H117" i="26"/>
  <c r="H398" i="26" s="1"/>
  <c r="H109" i="26"/>
  <c r="H101" i="26"/>
  <c r="O265" i="23"/>
  <c r="N466" i="27"/>
  <c r="N334" i="27"/>
  <c r="N488" i="27" s="1"/>
  <c r="D464" i="27"/>
  <c r="D332" i="27"/>
  <c r="D486" i="27" s="1"/>
  <c r="J462" i="27"/>
  <c r="J330" i="27"/>
  <c r="J484" i="27" s="1"/>
  <c r="N326" i="27"/>
  <c r="D324" i="27"/>
  <c r="N458" i="27"/>
  <c r="N318" i="27"/>
  <c r="N480" i="27" s="1"/>
  <c r="D456" i="27"/>
  <c r="D308" i="27"/>
  <c r="D478" i="27" s="1"/>
  <c r="N454" i="27"/>
  <c r="N298" i="27"/>
  <c r="N476" i="27" s="1"/>
  <c r="P466" i="27"/>
  <c r="P464" i="27"/>
  <c r="P462" i="27"/>
  <c r="P460" i="27"/>
  <c r="D338" i="26"/>
  <c r="D494" i="26" s="1"/>
  <c r="F458" i="26"/>
  <c r="F308" i="26"/>
  <c r="F480" i="26" s="1"/>
  <c r="G56" i="8"/>
  <c r="K56" i="8" s="1"/>
  <c r="G27" i="8"/>
  <c r="K27" i="8" s="1"/>
  <c r="G183" i="23"/>
  <c r="G270" i="23" s="1"/>
  <c r="L83" i="22"/>
  <c r="L229" i="22" s="1"/>
  <c r="L174" i="22"/>
  <c r="X254" i="25"/>
  <c r="X186" i="25"/>
  <c r="X273" i="25" s="1"/>
  <c r="L179" i="25"/>
  <c r="L270" i="25" s="1"/>
  <c r="L171" i="25"/>
  <c r="L163" i="25"/>
  <c r="L188" i="24"/>
  <c r="L280" i="24" s="1"/>
  <c r="L179" i="24"/>
  <c r="L150" i="23"/>
  <c r="X158" i="23"/>
  <c r="N457" i="27"/>
  <c r="N313" i="27"/>
  <c r="N479" i="27" s="1"/>
  <c r="D303" i="27"/>
  <c r="D477" i="27" s="1"/>
  <c r="D455" i="27"/>
  <c r="H9" i="27"/>
  <c r="H105" i="27" s="1"/>
  <c r="L207" i="25"/>
  <c r="G59" i="8"/>
  <c r="K59" i="8" s="1"/>
  <c r="X207" i="23"/>
  <c r="L182" i="22"/>
  <c r="L278" i="22" s="1"/>
  <c r="L259" i="22"/>
  <c r="L256" i="22"/>
  <c r="L179" i="22"/>
  <c r="L275" i="22" s="1"/>
  <c r="L172" i="22"/>
  <c r="L249" i="22"/>
  <c r="D276" i="28"/>
  <c r="D172" i="28"/>
  <c r="D290" i="28" s="1"/>
  <c r="F162" i="28"/>
  <c r="F286" i="28" s="1"/>
  <c r="F272" i="28"/>
  <c r="N464" i="27"/>
  <c r="N332" i="27"/>
  <c r="N486" i="27" s="1"/>
  <c r="D462" i="27"/>
  <c r="D330" i="27"/>
  <c r="D484" i="27" s="1"/>
  <c r="J460" i="27"/>
  <c r="J328" i="27"/>
  <c r="J482" i="27" s="1"/>
  <c r="N324" i="27"/>
  <c r="N456" i="27"/>
  <c r="N308" i="27"/>
  <c r="N478" i="27" s="1"/>
  <c r="H470" i="27"/>
  <c r="H465" i="27"/>
  <c r="H463" i="27"/>
  <c r="H461" i="27"/>
  <c r="D331" i="26"/>
  <c r="D487" i="26" s="1"/>
  <c r="F328" i="26"/>
  <c r="F484" i="26" s="1"/>
  <c r="H458" i="26"/>
  <c r="B342" i="32"/>
  <c r="G7" i="8"/>
  <c r="K7" i="8" s="1"/>
  <c r="L207" i="22"/>
  <c r="N327" i="27"/>
  <c r="L206" i="25"/>
  <c r="L208" i="22"/>
  <c r="X183" i="25"/>
  <c r="L250" i="25"/>
  <c r="L174" i="25"/>
  <c r="L166" i="25"/>
  <c r="L158" i="25"/>
  <c r="L150" i="25"/>
  <c r="L172" i="24"/>
  <c r="L156" i="24"/>
  <c r="L178" i="23"/>
  <c r="L161" i="23"/>
  <c r="L152" i="23"/>
  <c r="L189" i="24"/>
  <c r="L281" i="24" s="1"/>
  <c r="L262" i="24"/>
  <c r="L163" i="24"/>
  <c r="L164" i="23"/>
  <c r="B326" i="26"/>
  <c r="L184" i="25"/>
  <c r="L271" i="25" s="1"/>
  <c r="L187" i="24"/>
  <c r="L279" i="24" s="1"/>
  <c r="R135" i="30"/>
  <c r="R349" i="20"/>
  <c r="R110" i="30"/>
  <c r="J323" i="27"/>
  <c r="J481" i="27" s="1"/>
  <c r="L177" i="23"/>
  <c r="F168" i="28"/>
  <c r="F326" i="26"/>
  <c r="L190" i="25"/>
  <c r="L277" i="25" s="1"/>
  <c r="L183" i="24"/>
  <c r="L275" i="24" s="1"/>
  <c r="L153" i="24"/>
  <c r="L250" i="24"/>
  <c r="J470" i="27"/>
  <c r="J338" i="27"/>
  <c r="J492" i="27" s="1"/>
  <c r="B334" i="26"/>
  <c r="B490" i="26" s="1"/>
  <c r="B468" i="26"/>
  <c r="P365" i="27"/>
  <c r="P238" i="27"/>
  <c r="L173" i="22"/>
  <c r="L206" i="22"/>
  <c r="G22" i="8"/>
  <c r="K22" i="8" s="1"/>
  <c r="G6" i="8"/>
  <c r="K6" i="8" s="1"/>
  <c r="X404" i="7"/>
  <c r="J463" i="27"/>
  <c r="J331" i="27"/>
  <c r="J485" i="27" s="1"/>
  <c r="X154" i="25"/>
  <c r="I224" i="30" l="1"/>
  <c r="R224" i="30"/>
  <c r="I178" i="30"/>
  <c r="I197" i="30"/>
  <c r="I210" i="29"/>
  <c r="G208" i="29"/>
  <c r="I208" i="29"/>
  <c r="I206" i="29"/>
  <c r="I168" i="29"/>
  <c r="F288" i="28"/>
  <c r="F289" i="28"/>
  <c r="D289" i="28"/>
  <c r="D288" i="28"/>
  <c r="B288" i="28"/>
  <c r="K481" i="27"/>
  <c r="G481" i="27"/>
  <c r="M481" i="27"/>
  <c r="F481" i="27"/>
  <c r="B481" i="27"/>
  <c r="N481" i="27"/>
  <c r="L481" i="27"/>
  <c r="D481" i="27"/>
  <c r="E477" i="27"/>
  <c r="E436" i="27"/>
  <c r="P440" i="27"/>
  <c r="H440" i="27"/>
  <c r="H399" i="27"/>
  <c r="M436" i="27"/>
  <c r="B483" i="26"/>
  <c r="G483" i="26"/>
  <c r="F483" i="26"/>
  <c r="D483" i="26"/>
  <c r="H461" i="26"/>
  <c r="H401" i="26"/>
  <c r="X270" i="25"/>
  <c r="L274" i="24"/>
  <c r="X270" i="23"/>
  <c r="H212" i="27"/>
  <c r="H437" i="27" s="1"/>
  <c r="H355" i="27"/>
  <c r="P441" i="27"/>
  <c r="I235" i="30"/>
  <c r="I229" i="30"/>
  <c r="R235" i="30"/>
  <c r="R226" i="30"/>
  <c r="I230" i="30"/>
  <c r="I227" i="30"/>
  <c r="I226" i="30"/>
  <c r="I231" i="30"/>
  <c r="I225" i="30"/>
  <c r="R225" i="30"/>
  <c r="R231" i="30"/>
  <c r="R229" i="30"/>
  <c r="R228" i="30"/>
  <c r="R230" i="30"/>
  <c r="R227" i="30"/>
  <c r="I228" i="30"/>
  <c r="I222" i="29"/>
  <c r="I217" i="29"/>
  <c r="I216" i="29"/>
  <c r="I214" i="29"/>
  <c r="I212" i="29"/>
  <c r="I218" i="29"/>
  <c r="I215" i="29"/>
  <c r="I213" i="29"/>
  <c r="H444" i="27"/>
  <c r="H441" i="27"/>
  <c r="P447" i="27"/>
  <c r="H453" i="26"/>
  <c r="H442" i="27"/>
  <c r="P442" i="27"/>
  <c r="P445" i="27"/>
  <c r="H446" i="26"/>
  <c r="H447" i="26"/>
  <c r="H449" i="26"/>
  <c r="P451" i="27"/>
  <c r="H445" i="27"/>
  <c r="P443" i="27"/>
  <c r="H448" i="26"/>
  <c r="H446" i="27"/>
  <c r="H443" i="26"/>
  <c r="H444" i="26"/>
  <c r="H443" i="27"/>
  <c r="H447" i="27"/>
  <c r="H445" i="26"/>
  <c r="H451" i="27"/>
  <c r="P444" i="27"/>
  <c r="I106" i="30"/>
  <c r="I219" i="30" s="1"/>
  <c r="P338" i="27"/>
  <c r="P492" i="27" s="1"/>
  <c r="H199" i="27"/>
  <c r="H295" i="27" s="1"/>
  <c r="I223" i="30"/>
  <c r="I222" i="30"/>
  <c r="I220" i="30"/>
  <c r="I170" i="29"/>
  <c r="H157" i="28"/>
  <c r="H284" i="28" s="1"/>
  <c r="B480" i="27"/>
  <c r="B439" i="27"/>
  <c r="P394" i="27"/>
  <c r="P222" i="27"/>
  <c r="P439" i="27" s="1"/>
  <c r="P357" i="27"/>
  <c r="P331" i="27"/>
  <c r="P485" i="27" s="1"/>
  <c r="P326" i="27"/>
  <c r="P104" i="27"/>
  <c r="H210" i="27"/>
  <c r="H306" i="27" s="1"/>
  <c r="G342" i="32"/>
  <c r="F25" i="13" s="1"/>
  <c r="J25" i="13" s="1"/>
  <c r="P324" i="27"/>
  <c r="P398" i="27"/>
  <c r="I221" i="30"/>
  <c r="M439" i="27"/>
  <c r="X267" i="23"/>
  <c r="H333" i="27"/>
  <c r="H487" i="27" s="1"/>
  <c r="H332" i="27"/>
  <c r="H486" i="27" s="1"/>
  <c r="H329" i="27"/>
  <c r="H483" i="27" s="1"/>
  <c r="H440" i="26"/>
  <c r="H324" i="26"/>
  <c r="X267" i="25"/>
  <c r="X265" i="25"/>
  <c r="X269" i="25"/>
  <c r="X265" i="23"/>
  <c r="L266" i="23"/>
  <c r="L268" i="23"/>
  <c r="L269" i="22"/>
  <c r="H325" i="27"/>
  <c r="P330" i="27"/>
  <c r="P484" i="27" s="1"/>
  <c r="H438" i="27"/>
  <c r="H323" i="27"/>
  <c r="H327" i="27"/>
  <c r="N477" i="27"/>
  <c r="P323" i="27"/>
  <c r="H171" i="28"/>
  <c r="H289" i="28" s="1"/>
  <c r="H177" i="28"/>
  <c r="H295" i="28" s="1"/>
  <c r="H172" i="28"/>
  <c r="H290" i="28" s="1"/>
  <c r="H396" i="27"/>
  <c r="L269" i="25"/>
  <c r="X266" i="25"/>
  <c r="R223" i="30"/>
  <c r="L273" i="24"/>
  <c r="L271" i="24"/>
  <c r="H328" i="27"/>
  <c r="H482" i="27" s="1"/>
  <c r="H334" i="27"/>
  <c r="H488" i="27" s="1"/>
  <c r="H332" i="26"/>
  <c r="H488" i="26" s="1"/>
  <c r="L268" i="22"/>
  <c r="L267" i="22"/>
  <c r="H267" i="28"/>
  <c r="N436" i="27"/>
  <c r="P395" i="27"/>
  <c r="H338" i="27"/>
  <c r="H492" i="27" s="1"/>
  <c r="P308" i="27"/>
  <c r="P478" i="27" s="1"/>
  <c r="P396" i="27"/>
  <c r="H441" i="26"/>
  <c r="H396" i="26"/>
  <c r="H328" i="26"/>
  <c r="H484" i="26" s="1"/>
  <c r="H397" i="26"/>
  <c r="H438" i="26"/>
  <c r="H334" i="26"/>
  <c r="H490" i="26" s="1"/>
  <c r="H399" i="26"/>
  <c r="H357" i="26"/>
  <c r="H126" i="26"/>
  <c r="H400" i="26" s="1"/>
  <c r="P332" i="27"/>
  <c r="P486" i="27" s="1"/>
  <c r="P325" i="27"/>
  <c r="H106" i="27"/>
  <c r="H394" i="27" s="1"/>
  <c r="G343" i="32"/>
  <c r="F26" i="13" s="1"/>
  <c r="J26" i="13" s="1"/>
  <c r="B395" i="27"/>
  <c r="H331" i="27"/>
  <c r="H485" i="27" s="1"/>
  <c r="H326" i="27"/>
  <c r="P436" i="27"/>
  <c r="H197" i="27"/>
  <c r="H293" i="27" s="1"/>
  <c r="X268" i="25"/>
  <c r="L269" i="24"/>
  <c r="X266" i="23"/>
  <c r="L265" i="23"/>
  <c r="L270" i="22"/>
  <c r="L266" i="22"/>
  <c r="G36" i="8"/>
  <c r="K36" i="8" s="1"/>
  <c r="P298" i="27"/>
  <c r="P476" i="27" s="1"/>
  <c r="H439" i="26"/>
  <c r="H308" i="26"/>
  <c r="H480" i="26" s="1"/>
  <c r="P198" i="27"/>
  <c r="P294" i="27" s="1"/>
  <c r="P102" i="27"/>
  <c r="H330" i="27"/>
  <c r="H484" i="27" s="1"/>
  <c r="P329" i="27"/>
  <c r="P483" i="27" s="1"/>
  <c r="H463" i="26"/>
  <c r="H329" i="26"/>
  <c r="H485" i="26" s="1"/>
  <c r="H165" i="28"/>
  <c r="H287" i="28" s="1"/>
  <c r="H169" i="28"/>
  <c r="H231" i="26"/>
  <c r="H442" i="26" s="1"/>
  <c r="B435" i="27"/>
  <c r="B298" i="27"/>
  <c r="B476" i="27" s="1"/>
  <c r="P303" i="27"/>
  <c r="P477" i="27" s="1"/>
  <c r="H357" i="27"/>
  <c r="H126" i="27"/>
  <c r="H398" i="27" s="1"/>
  <c r="H222" i="27"/>
  <c r="H439" i="27" s="1"/>
  <c r="N342" i="32"/>
  <c r="F48" i="13" s="1"/>
  <c r="J48" i="13" s="1"/>
  <c r="H168" i="28"/>
  <c r="H201" i="27"/>
  <c r="H297" i="27" s="1"/>
  <c r="H458" i="27"/>
  <c r="H277" i="28"/>
  <c r="H173" i="28"/>
  <c r="H291" i="28" s="1"/>
  <c r="H272" i="28"/>
  <c r="H162" i="28"/>
  <c r="H286" i="28" s="1"/>
  <c r="P438" i="27"/>
  <c r="P313" i="27"/>
  <c r="P479" i="27" s="1"/>
  <c r="H465" i="26"/>
  <c r="H331" i="26"/>
  <c r="H487" i="26" s="1"/>
  <c r="R221" i="30"/>
  <c r="L266" i="25"/>
  <c r="H354" i="27"/>
  <c r="H111" i="27"/>
  <c r="H395" i="27" s="1"/>
  <c r="H457" i="26"/>
  <c r="H303" i="26"/>
  <c r="H479" i="26" s="1"/>
  <c r="H455" i="27"/>
  <c r="H303" i="27"/>
  <c r="L269" i="23"/>
  <c r="C327" i="26"/>
  <c r="C483" i="26" s="1"/>
  <c r="E441" i="26"/>
  <c r="E318" i="26"/>
  <c r="E482" i="26" s="1"/>
  <c r="H413" i="27"/>
  <c r="H202" i="27"/>
  <c r="H435" i="27" s="1"/>
  <c r="L268" i="25"/>
  <c r="G38" i="8"/>
  <c r="K38" i="8" s="1"/>
  <c r="L267" i="23"/>
  <c r="I209" i="29"/>
  <c r="P334" i="27"/>
  <c r="P488" i="27" s="1"/>
  <c r="H299" i="26"/>
  <c r="H456" i="26"/>
  <c r="H325" i="26"/>
  <c r="H456" i="27"/>
  <c r="B436" i="27"/>
  <c r="B303" i="27"/>
  <c r="B477" i="27" s="1"/>
  <c r="G33" i="8"/>
  <c r="K33" i="8" s="1"/>
  <c r="H318" i="26"/>
  <c r="H482" i="26" s="1"/>
  <c r="H323" i="26"/>
  <c r="L265" i="25"/>
  <c r="H324" i="27"/>
  <c r="P327" i="27"/>
  <c r="R220" i="30"/>
  <c r="G34" i="8"/>
  <c r="K34" i="8" s="1"/>
  <c r="R222" i="30"/>
  <c r="H330" i="26"/>
  <c r="H486" i="26" s="1"/>
  <c r="L175" i="22"/>
  <c r="L271" i="22" s="1"/>
  <c r="L270" i="24"/>
  <c r="H472" i="26"/>
  <c r="H338" i="26"/>
  <c r="H494" i="26" s="1"/>
  <c r="R106" i="30"/>
  <c r="R219" i="30" s="1"/>
  <c r="H467" i="26"/>
  <c r="H333" i="26"/>
  <c r="H489" i="26" s="1"/>
  <c r="H271" i="28"/>
  <c r="H160" i="28"/>
  <c r="H285" i="28" s="1"/>
  <c r="G32" i="8"/>
  <c r="K32" i="8" s="1"/>
  <c r="G37" i="8"/>
  <c r="K37" i="8" s="1"/>
  <c r="H457" i="27"/>
  <c r="H313" i="27"/>
  <c r="H479" i="27" s="1"/>
  <c r="L183" i="23"/>
  <c r="L270" i="23" s="1"/>
  <c r="H454" i="27"/>
  <c r="E327" i="27"/>
  <c r="E481" i="27" s="1"/>
  <c r="L272" i="24"/>
  <c r="L267" i="25"/>
  <c r="H326" i="26"/>
  <c r="H459" i="26"/>
  <c r="H313" i="26"/>
  <c r="H481" i="26" s="1"/>
  <c r="H211" i="27"/>
  <c r="H307" i="27" s="1"/>
  <c r="H437" i="26"/>
  <c r="H298" i="26"/>
  <c r="H288" i="28" l="1"/>
  <c r="H481" i="27"/>
  <c r="P481" i="27"/>
  <c r="H308" i="27"/>
  <c r="H478" i="27" s="1"/>
  <c r="P318" i="27"/>
  <c r="P480" i="27" s="1"/>
  <c r="H478" i="26"/>
  <c r="H327" i="26"/>
  <c r="H483" i="26" s="1"/>
  <c r="H298" i="27"/>
  <c r="H476" i="27" s="1"/>
  <c r="H477" i="27"/>
  <c r="H436" i="27"/>
  <c r="H318" i="27"/>
  <c r="H480"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dfguser</author>
    <author>Chuck Tracy</author>
  </authors>
  <commentList>
    <comment ref="C15" authorId="0" shapeId="0" xr:uid="{00000000-0006-0000-0400-000001000000}">
      <text>
        <r>
          <rPr>
            <b/>
            <sz val="8"/>
            <color indexed="81"/>
            <rFont val="Tahoma"/>
            <family val="2"/>
          </rPr>
          <t>J Simon</t>
        </r>
        <r>
          <rPr>
            <sz val="8"/>
            <color indexed="81"/>
            <rFont val="Tahoma"/>
            <family val="2"/>
          </rPr>
          <t xml:space="preserve">
Fish caught in OR
</t>
        </r>
      </text>
    </comment>
    <comment ref="C16" authorId="0" shapeId="0" xr:uid="{00000000-0006-0000-0400-000002000000}">
      <text>
        <r>
          <rPr>
            <b/>
            <sz val="8"/>
            <color indexed="81"/>
            <rFont val="Tahoma"/>
            <family val="2"/>
          </rPr>
          <t>J Simon
Fish caught in OR</t>
        </r>
        <r>
          <rPr>
            <sz val="8"/>
            <color indexed="81"/>
            <rFont val="Tahoma"/>
            <family val="2"/>
          </rPr>
          <t xml:space="preserve">
</t>
        </r>
      </text>
    </comment>
    <comment ref="E16" authorId="0" shapeId="0" xr:uid="{00000000-0006-0000-0400-000003000000}">
      <text>
        <r>
          <rPr>
            <b/>
            <sz val="8"/>
            <color indexed="81"/>
            <rFont val="Tahoma"/>
            <family val="2"/>
          </rPr>
          <t>J Simon</t>
        </r>
        <r>
          <rPr>
            <sz val="8"/>
            <color indexed="81"/>
            <rFont val="Tahoma"/>
            <family val="2"/>
          </rPr>
          <t xml:space="preserve">
Fish caught in OR</t>
        </r>
      </text>
    </comment>
    <comment ref="C17" authorId="0" shapeId="0" xr:uid="{00000000-0006-0000-0400-000004000000}">
      <text>
        <r>
          <rPr>
            <b/>
            <sz val="8"/>
            <color indexed="81"/>
            <rFont val="Tahoma"/>
            <family val="2"/>
          </rPr>
          <t>J Simon</t>
        </r>
        <r>
          <rPr>
            <sz val="8"/>
            <color indexed="81"/>
            <rFont val="Tahoma"/>
            <family val="2"/>
          </rPr>
          <t xml:space="preserve">
Fish caught in OR</t>
        </r>
      </text>
    </comment>
    <comment ref="C18" authorId="0" shapeId="0" xr:uid="{00000000-0006-0000-0400-000005000000}">
      <text>
        <r>
          <rPr>
            <b/>
            <sz val="8"/>
            <color indexed="81"/>
            <rFont val="Tahoma"/>
            <family val="2"/>
          </rPr>
          <t>J Simon</t>
        </r>
        <r>
          <rPr>
            <sz val="8"/>
            <color indexed="81"/>
            <rFont val="Tahoma"/>
            <family val="2"/>
          </rPr>
          <t xml:space="preserve">
Fish caught in OR</t>
        </r>
      </text>
    </comment>
    <comment ref="G31" authorId="1" shapeId="0" xr:uid="{00000000-0006-0000-0400-000006000000}">
      <text>
        <r>
          <rPr>
            <b/>
            <sz val="8"/>
            <color indexed="81"/>
            <rFont val="Tahoma"/>
            <family val="2"/>
          </rPr>
          <t>Chuck Tracy:</t>
        </r>
        <r>
          <rPr>
            <sz val="8"/>
            <color indexed="81"/>
            <rFont val="Tahoma"/>
            <family val="2"/>
          </rPr>
          <t xml:space="preserve">
Includes 372 chinook caught in OR.</t>
        </r>
      </text>
    </comment>
    <comment ref="H31" authorId="1" shapeId="0" xr:uid="{00000000-0006-0000-0400-000007000000}">
      <text>
        <r>
          <rPr>
            <b/>
            <sz val="8"/>
            <color indexed="81"/>
            <rFont val="Tahoma"/>
            <family val="2"/>
          </rPr>
          <t>Chuck Tracy:</t>
        </r>
        <r>
          <rPr>
            <sz val="8"/>
            <color indexed="81"/>
            <rFont val="Tahoma"/>
            <family val="2"/>
          </rPr>
          <t xml:space="preserve">
331 from Oct and 93 form Nov caught in OR
</t>
        </r>
      </text>
    </comment>
    <comment ref="B32" authorId="0" shapeId="0" xr:uid="{00000000-0006-0000-0400-000008000000}">
      <text>
        <r>
          <rPr>
            <b/>
            <sz val="8"/>
            <color indexed="81"/>
            <rFont val="Tahoma"/>
            <family val="2"/>
          </rPr>
          <t>J Simon
Fish caught in OR</t>
        </r>
        <r>
          <rPr>
            <sz val="8"/>
            <color indexed="81"/>
            <rFont val="Tahoma"/>
            <family val="2"/>
          </rPr>
          <t xml:space="preserve">
</t>
        </r>
      </text>
    </comment>
    <comment ref="C32" authorId="0" shapeId="0" xr:uid="{00000000-0006-0000-0400-000009000000}">
      <text>
        <r>
          <rPr>
            <b/>
            <sz val="8"/>
            <color indexed="81"/>
            <rFont val="Tahoma"/>
            <family val="2"/>
          </rPr>
          <t>J Simon
Fish caught in OR</t>
        </r>
        <r>
          <rPr>
            <sz val="8"/>
            <color indexed="81"/>
            <rFont val="Tahoma"/>
            <family val="2"/>
          </rPr>
          <t xml:space="preserve">
</t>
        </r>
      </text>
    </comment>
    <comment ref="D32" authorId="0" shapeId="0" xr:uid="{00000000-0006-0000-0400-00000A000000}">
      <text>
        <r>
          <rPr>
            <b/>
            <sz val="8"/>
            <color indexed="81"/>
            <rFont val="Tahoma"/>
            <family val="2"/>
          </rPr>
          <t>J Simon
Fish caught in OR</t>
        </r>
        <r>
          <rPr>
            <sz val="8"/>
            <color indexed="81"/>
            <rFont val="Tahoma"/>
            <family val="2"/>
          </rPr>
          <t xml:space="preserve">
</t>
        </r>
      </text>
    </comment>
    <comment ref="H32" authorId="0" shapeId="0" xr:uid="{00000000-0006-0000-0400-00000B000000}">
      <text>
        <r>
          <rPr>
            <b/>
            <sz val="8"/>
            <color indexed="81"/>
            <rFont val="Tahoma"/>
            <family val="2"/>
          </rPr>
          <t>JSimon:
153(Oct.)+9(Nov.)</t>
        </r>
        <r>
          <rPr>
            <sz val="8"/>
            <color indexed="81"/>
            <rFont val="Tahoma"/>
            <family val="2"/>
          </rPr>
          <t xml:space="preserve">
</t>
        </r>
      </text>
    </comment>
    <comment ref="B33" authorId="0" shapeId="0" xr:uid="{00000000-0006-0000-0400-00000C000000}">
      <text>
        <r>
          <rPr>
            <b/>
            <sz val="8"/>
            <color indexed="81"/>
            <rFont val="Tahoma"/>
            <family val="2"/>
          </rPr>
          <t>J Simon
Fish caught in OR</t>
        </r>
        <r>
          <rPr>
            <sz val="8"/>
            <color indexed="81"/>
            <rFont val="Tahoma"/>
            <family val="2"/>
          </rPr>
          <t xml:space="preserve">
</t>
        </r>
      </text>
    </comment>
    <comment ref="D33" authorId="0" shapeId="0" xr:uid="{00000000-0006-0000-0400-00000D000000}">
      <text>
        <r>
          <rPr>
            <b/>
            <sz val="8"/>
            <color indexed="81"/>
            <rFont val="Tahoma"/>
            <family val="2"/>
          </rPr>
          <t>J Simon
Fish caught in OR</t>
        </r>
        <r>
          <rPr>
            <sz val="8"/>
            <color indexed="81"/>
            <rFont val="Tahoma"/>
            <family val="2"/>
          </rPr>
          <t xml:space="preserve">
</t>
        </r>
      </text>
    </comment>
    <comment ref="E33" authorId="0" shapeId="0" xr:uid="{00000000-0006-0000-0400-00000E000000}">
      <text>
        <r>
          <rPr>
            <b/>
            <sz val="8"/>
            <color indexed="81"/>
            <rFont val="Tahoma"/>
            <family val="2"/>
          </rPr>
          <t>JSimon:</t>
        </r>
        <r>
          <rPr>
            <sz val="8"/>
            <color indexed="81"/>
            <rFont val="Tahoma"/>
            <family val="2"/>
          </rPr>
          <t xml:space="preserve">
Includes 5245chinook caught in OR
</t>
        </r>
      </text>
    </comment>
    <comment ref="F33" authorId="0" shapeId="0" xr:uid="{00000000-0006-0000-0400-00000F000000}">
      <text>
        <r>
          <rPr>
            <b/>
            <sz val="8"/>
            <color indexed="81"/>
            <rFont val="Tahoma"/>
            <family val="2"/>
          </rPr>
          <t>JSimon:</t>
        </r>
        <r>
          <rPr>
            <sz val="8"/>
            <color indexed="81"/>
            <rFont val="Tahoma"/>
            <family val="2"/>
          </rPr>
          <t xml:space="preserve">
Includes 19686 chinook caught in OR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Beeghwlb</author>
    <author>reedcjr</author>
  </authors>
  <commentList>
    <comment ref="M12" authorId="0" shapeId="0" xr:uid="{00000000-0006-0000-0E00-000001000000}">
      <text>
        <r>
          <rPr>
            <b/>
            <sz val="8"/>
            <color indexed="81"/>
            <rFont val="Tahoma"/>
            <family val="2"/>
          </rPr>
          <t>Beeghwlb:</t>
        </r>
        <r>
          <rPr>
            <sz val="8"/>
            <color indexed="81"/>
            <rFont val="Tahoma"/>
            <family val="2"/>
          </rPr>
          <t xml:space="preserve">
Fishery closed, but catch
documented</t>
        </r>
      </text>
    </comment>
    <comment ref="T13" authorId="1" shapeId="0" xr:uid="{00000000-0006-0000-0E00-000002000000}">
      <text>
        <r>
          <rPr>
            <b/>
            <sz val="8"/>
            <color indexed="81"/>
            <rFont val="Tahoma"/>
            <family val="2"/>
          </rPr>
          <t>reedcjr:</t>
        </r>
        <r>
          <rPr>
            <sz val="8"/>
            <color indexed="81"/>
            <rFont val="Tahoma"/>
            <family val="2"/>
          </rPr>
          <t xml:space="preserve">
all fisheries closed 7/31, statewide</t>
        </r>
      </text>
    </comment>
    <comment ref="L15" authorId="0" shapeId="0" xr:uid="{00000000-0006-0000-0E00-000003000000}">
      <text>
        <r>
          <rPr>
            <b/>
            <sz val="8"/>
            <color indexed="81"/>
            <rFont val="Tahoma"/>
            <family val="2"/>
          </rPr>
          <t>Beeghwlb:</t>
        </r>
        <r>
          <rPr>
            <sz val="8"/>
            <color indexed="81"/>
            <rFont val="Tahoma"/>
            <family val="2"/>
          </rPr>
          <t xml:space="preserve">
Fishery closed, but catch documented</t>
        </r>
      </text>
    </comment>
    <comment ref="M15" authorId="0" shapeId="0" xr:uid="{00000000-0006-0000-0E00-000004000000}">
      <text>
        <r>
          <rPr>
            <b/>
            <sz val="8"/>
            <color indexed="81"/>
            <rFont val="Tahoma"/>
            <family val="2"/>
          </rPr>
          <t>Beeghwlb:</t>
        </r>
        <r>
          <rPr>
            <sz val="8"/>
            <color indexed="81"/>
            <rFont val="Tahoma"/>
            <family val="2"/>
          </rPr>
          <t xml:space="preserve">
Fishery closed, but catch documented</t>
        </r>
      </text>
    </comment>
    <comment ref="D18" authorId="0" shapeId="0" xr:uid="{00000000-0006-0000-0E00-000005000000}">
      <text>
        <r>
          <rPr>
            <b/>
            <sz val="8"/>
            <color indexed="81"/>
            <rFont val="Tahoma"/>
            <family val="2"/>
          </rPr>
          <t>Beeghwlb:</t>
        </r>
        <r>
          <rPr>
            <sz val="8"/>
            <color indexed="81"/>
            <rFont val="Tahoma"/>
            <family val="2"/>
          </rPr>
          <t xml:space="preserve">
Fishery closed, but illegal catch documented</t>
        </r>
      </text>
    </comment>
    <comment ref="E18" authorId="0" shapeId="0" xr:uid="{00000000-0006-0000-0E00-000006000000}">
      <text>
        <r>
          <rPr>
            <b/>
            <sz val="8"/>
            <color indexed="81"/>
            <rFont val="Tahoma"/>
            <family val="2"/>
          </rPr>
          <t>Beeghwlb:</t>
        </r>
        <r>
          <rPr>
            <sz val="8"/>
            <color indexed="81"/>
            <rFont val="Tahoma"/>
            <family val="2"/>
          </rPr>
          <t xml:space="preserve">
Fishery closed, but illegal catch documented</t>
        </r>
      </text>
    </comment>
    <comment ref="K18" authorId="0" shapeId="0" xr:uid="{00000000-0006-0000-0E00-000007000000}">
      <text>
        <r>
          <rPr>
            <b/>
            <sz val="8"/>
            <color indexed="81"/>
            <rFont val="Tahoma"/>
            <family val="2"/>
          </rPr>
          <t>Beeghwlb:</t>
        </r>
        <r>
          <rPr>
            <sz val="8"/>
            <color indexed="81"/>
            <rFont val="Tahoma"/>
            <family val="2"/>
          </rPr>
          <t xml:space="preserve">
Fishery closed, but illegal catch documented</t>
        </r>
      </text>
    </comment>
    <comment ref="L18" authorId="0" shapeId="0" xr:uid="{00000000-0006-0000-0E00-000008000000}">
      <text>
        <r>
          <rPr>
            <b/>
            <sz val="8"/>
            <color indexed="81"/>
            <rFont val="Tahoma"/>
            <family val="2"/>
          </rPr>
          <t>Beeghwlb:</t>
        </r>
        <r>
          <rPr>
            <sz val="8"/>
            <color indexed="81"/>
            <rFont val="Tahoma"/>
            <family val="2"/>
          </rPr>
          <t xml:space="preserve">
Fishery closed, but illegal catch documented</t>
        </r>
      </text>
    </comment>
    <comment ref="E25" authorId="0" shapeId="0" xr:uid="{00000000-0006-0000-0E00-000009000000}">
      <text>
        <r>
          <rPr>
            <b/>
            <sz val="8"/>
            <color indexed="81"/>
            <rFont val="Tahoma"/>
            <family val="2"/>
          </rPr>
          <t>Beeghwlb:</t>
        </r>
        <r>
          <rPr>
            <sz val="8"/>
            <color indexed="81"/>
            <rFont val="Tahoma"/>
            <family val="2"/>
          </rPr>
          <t xml:space="preserve">
Fishery closed, but catch documented</t>
        </r>
      </text>
    </comment>
    <comment ref="I106" authorId="0" shapeId="0" xr:uid="{00000000-0006-0000-0E00-00000A000000}">
      <text>
        <r>
          <rPr>
            <b/>
            <sz val="8"/>
            <color indexed="81"/>
            <rFont val="Tahoma"/>
            <family val="2"/>
          </rPr>
          <t>Beeghwlb:</t>
        </r>
        <r>
          <rPr>
            <sz val="8"/>
            <color indexed="81"/>
            <rFont val="Tahoma"/>
            <family val="2"/>
          </rPr>
          <t xml:space="preserve">
Fishery closed, but catch documented</t>
        </r>
      </text>
    </comment>
    <comment ref="I151" authorId="0" shapeId="0" xr:uid="{00000000-0006-0000-0E00-00000B000000}">
      <text>
        <r>
          <rPr>
            <b/>
            <sz val="8"/>
            <color indexed="81"/>
            <rFont val="Tahoma"/>
            <family val="2"/>
          </rPr>
          <t>Beeghwlb:</t>
        </r>
        <r>
          <rPr>
            <sz val="8"/>
            <color indexed="81"/>
            <rFont val="Tahoma"/>
            <family val="2"/>
          </rPr>
          <t xml:space="preserve">
Fishery closed, but catch documented</t>
        </r>
      </text>
    </comment>
    <comment ref="I153" authorId="0" shapeId="0" xr:uid="{00000000-0006-0000-0E00-00000C000000}">
      <text>
        <r>
          <rPr>
            <b/>
            <sz val="8"/>
            <color indexed="81"/>
            <rFont val="Tahoma"/>
            <family val="2"/>
          </rPr>
          <t>Beeghwlb:</t>
        </r>
        <r>
          <rPr>
            <sz val="8"/>
            <color indexed="81"/>
            <rFont val="Tahoma"/>
            <family val="2"/>
          </rPr>
          <t xml:space="preserve">
Fishery closed, but catch documented</t>
        </r>
      </text>
    </comment>
    <comment ref="F157" authorId="0" shapeId="0" xr:uid="{00000000-0006-0000-0E00-00000D000000}">
      <text>
        <r>
          <rPr>
            <b/>
            <sz val="8"/>
            <color indexed="81"/>
            <rFont val="Tahoma"/>
            <family val="2"/>
          </rPr>
          <t>Beeghwlb:</t>
        </r>
        <r>
          <rPr>
            <sz val="8"/>
            <color indexed="81"/>
            <rFont val="Tahoma"/>
            <family val="2"/>
          </rPr>
          <t xml:space="preserve">
Fishery closed, but catch documented</t>
        </r>
      </text>
    </comment>
    <comment ref="M157" authorId="1" shapeId="0" xr:uid="{00000000-0006-0000-0E00-00000E000000}">
      <text>
        <r>
          <rPr>
            <b/>
            <sz val="8"/>
            <color indexed="81"/>
            <rFont val="Tahoma"/>
            <family val="2"/>
          </rPr>
          <t>reedcjr:</t>
        </r>
        <r>
          <rPr>
            <sz val="8"/>
            <color indexed="81"/>
            <rFont val="Tahoma"/>
            <family val="2"/>
          </rPr>
          <t xml:space="preserve">
closed 7/31-statewide</t>
        </r>
      </text>
    </comment>
    <comment ref="E158" authorId="0" shapeId="0" xr:uid="{00000000-0006-0000-0E00-00000F000000}">
      <text>
        <r>
          <rPr>
            <b/>
            <sz val="8"/>
            <color indexed="81"/>
            <rFont val="Tahoma"/>
            <family val="2"/>
          </rPr>
          <t>Beeghwlb:</t>
        </r>
        <r>
          <rPr>
            <sz val="8"/>
            <color indexed="81"/>
            <rFont val="Tahoma"/>
            <family val="2"/>
          </rPr>
          <t xml:space="preserve">
Fishery closed, but catch documented</t>
        </r>
      </text>
    </comment>
    <comment ref="L158" authorId="1" shapeId="0" xr:uid="{00000000-0006-0000-0E00-000010000000}">
      <text>
        <r>
          <rPr>
            <b/>
            <sz val="8"/>
            <color indexed="81"/>
            <rFont val="Tahoma"/>
            <family val="2"/>
          </rPr>
          <t>reedcjr:</t>
        </r>
        <r>
          <rPr>
            <sz val="8"/>
            <color indexed="81"/>
            <rFont val="Tahoma"/>
            <family val="2"/>
          </rPr>
          <t xml:space="preserve">
closed 5/7 for chinook-open area 4--8/4-8/6</t>
        </r>
      </text>
    </comment>
    <comment ref="E159" authorId="0" shapeId="0" xr:uid="{00000000-0006-0000-0E00-000011000000}">
      <text>
        <r>
          <rPr>
            <b/>
            <sz val="8"/>
            <color indexed="81"/>
            <rFont val="Tahoma"/>
            <family val="2"/>
          </rPr>
          <t>Beeghwlb:</t>
        </r>
        <r>
          <rPr>
            <sz val="8"/>
            <color indexed="81"/>
            <rFont val="Tahoma"/>
            <family val="2"/>
          </rPr>
          <t xml:space="preserve">
Fishery closed, but catch documented</t>
        </r>
      </text>
    </comment>
    <comment ref="L159" authorId="1" shapeId="0" xr:uid="{00000000-0006-0000-0E00-000012000000}">
      <text>
        <r>
          <rPr>
            <b/>
            <sz val="8"/>
            <color indexed="81"/>
            <rFont val="Tahoma"/>
            <family val="2"/>
          </rPr>
          <t>reedcjr:</t>
        </r>
        <r>
          <rPr>
            <sz val="8"/>
            <color indexed="81"/>
            <rFont val="Tahoma"/>
            <family val="2"/>
          </rPr>
          <t xml:space="preserve">
open in area 2 and 3--7/15-7/18, area 4 open for chinook--8/3-8/31</t>
        </r>
      </text>
    </comment>
    <comment ref="S159" authorId="1" shapeId="0" xr:uid="{00000000-0006-0000-0E00-000013000000}">
      <text>
        <r>
          <rPr>
            <b/>
            <sz val="8"/>
            <color indexed="81"/>
            <rFont val="Tahoma"/>
            <family val="2"/>
          </rPr>
          <t>reedcjr:</t>
        </r>
        <r>
          <rPr>
            <sz val="8"/>
            <color indexed="81"/>
            <rFont val="Tahoma"/>
            <family val="2"/>
          </rPr>
          <t xml:space="preserve">
open in area 2and 3--7/15-7/18, open in area 4--8/3-8/31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reedcjr</author>
    <author>WLB</author>
  </authors>
  <commentList>
    <comment ref="B4" authorId="0" shapeId="0" xr:uid="{00000000-0006-0000-1200-000001000000}">
      <text>
        <r>
          <rPr>
            <b/>
            <sz val="8"/>
            <color indexed="81"/>
            <rFont val="Tahoma"/>
            <family val="2"/>
          </rPr>
          <t>reedcjr:</t>
        </r>
        <r>
          <rPr>
            <sz val="8"/>
            <color indexed="81"/>
            <rFont val="Tahoma"/>
            <family val="2"/>
          </rPr>
          <t xml:space="preserve">
closed-334 in March and 246 in April and 445 in January
</t>
        </r>
      </text>
    </comment>
    <comment ref="B7" authorId="0" shapeId="0" xr:uid="{00000000-0006-0000-1200-000002000000}">
      <text>
        <r>
          <rPr>
            <b/>
            <sz val="8"/>
            <color indexed="81"/>
            <rFont val="Tahoma"/>
            <family val="2"/>
          </rPr>
          <t>reedcjr:</t>
        </r>
        <r>
          <rPr>
            <sz val="8"/>
            <color indexed="81"/>
            <rFont val="Tahoma"/>
            <family val="2"/>
          </rPr>
          <t xml:space="preserve">
closed-open 5/12 statewide
</t>
        </r>
      </text>
    </comment>
    <comment ref="H7" authorId="0" shapeId="0" xr:uid="{00000000-0006-0000-1200-000003000000}">
      <text>
        <r>
          <rPr>
            <b/>
            <sz val="8"/>
            <color indexed="81"/>
            <rFont val="Tahoma"/>
            <family val="2"/>
          </rPr>
          <t>reedcjr:</t>
        </r>
        <r>
          <rPr>
            <sz val="8"/>
            <color indexed="81"/>
            <rFont val="Tahoma"/>
            <family val="2"/>
          </rPr>
          <t xml:space="preserve">
closed statwide on 9/3
</t>
        </r>
      </text>
    </comment>
    <comment ref="G8" authorId="0" shapeId="0" xr:uid="{00000000-0006-0000-1200-000004000000}">
      <text>
        <r>
          <rPr>
            <b/>
            <sz val="8"/>
            <color indexed="81"/>
            <rFont val="Tahoma"/>
            <family val="2"/>
          </rPr>
          <t>reedcjr:</t>
        </r>
        <r>
          <rPr>
            <sz val="8"/>
            <color indexed="81"/>
            <rFont val="Tahoma"/>
            <family val="2"/>
          </rPr>
          <t xml:space="preserve">
closed 8/25, area 1 open  until 9/1
</t>
        </r>
      </text>
    </comment>
    <comment ref="H8" authorId="0" shapeId="0" xr:uid="{00000000-0006-0000-1200-000005000000}">
      <text>
        <r>
          <rPr>
            <b/>
            <sz val="8"/>
            <color indexed="81"/>
            <rFont val="Tahoma"/>
            <family val="2"/>
          </rPr>
          <t>reedcjr:</t>
        </r>
        <r>
          <rPr>
            <sz val="8"/>
            <color indexed="81"/>
            <rFont val="Tahoma"/>
            <family val="2"/>
          </rPr>
          <t xml:space="preserve">
closed statewide
</t>
        </r>
      </text>
    </comment>
    <comment ref="B9" authorId="0" shapeId="0" xr:uid="{00000000-0006-0000-1200-000006000000}">
      <text>
        <r>
          <rPr>
            <b/>
            <sz val="8"/>
            <color indexed="81"/>
            <rFont val="Tahoma"/>
            <family val="2"/>
          </rPr>
          <t>reedcjr:</t>
        </r>
        <r>
          <rPr>
            <sz val="8"/>
            <color indexed="81"/>
            <rFont val="Tahoma"/>
            <family val="2"/>
          </rPr>
          <t xml:space="preserve">
closed-open 5/23 statewide
</t>
        </r>
      </text>
    </comment>
    <comment ref="G9" authorId="0" shapeId="0" xr:uid="{00000000-0006-0000-1200-000007000000}">
      <text>
        <r>
          <rPr>
            <b/>
            <sz val="8"/>
            <color indexed="81"/>
            <rFont val="Tahoma"/>
            <family val="2"/>
          </rPr>
          <t>reedcjr:</t>
        </r>
        <r>
          <rPr>
            <sz val="8"/>
            <color indexed="81"/>
            <rFont val="Tahoma"/>
            <family val="2"/>
          </rPr>
          <t xml:space="preserve">
closed 8/26-statewide
</t>
        </r>
      </text>
    </comment>
    <comment ref="H9" authorId="0" shapeId="0" xr:uid="{00000000-0006-0000-1200-000008000000}">
      <text>
        <r>
          <rPr>
            <b/>
            <sz val="8"/>
            <color indexed="81"/>
            <rFont val="Tahoma"/>
            <family val="2"/>
          </rPr>
          <t>reedcjr:</t>
        </r>
        <r>
          <rPr>
            <sz val="8"/>
            <color indexed="81"/>
            <rFont val="Tahoma"/>
            <family val="2"/>
          </rPr>
          <t xml:space="preserve">
closed
</t>
        </r>
      </text>
    </comment>
    <comment ref="B10" authorId="0" shapeId="0" xr:uid="{00000000-0006-0000-1200-000009000000}">
      <text>
        <r>
          <rPr>
            <b/>
            <sz val="8"/>
            <color indexed="81"/>
            <rFont val="Tahoma"/>
            <family val="2"/>
          </rPr>
          <t>reedcjr:</t>
        </r>
        <r>
          <rPr>
            <sz val="8"/>
            <color indexed="81"/>
            <rFont val="Tahoma"/>
            <family val="2"/>
          </rPr>
          <t xml:space="preserve">
closed-open 5/29 statewide
</t>
        </r>
      </text>
    </comment>
    <comment ref="G10" authorId="0" shapeId="0" xr:uid="{00000000-0006-0000-1200-00000A000000}">
      <text>
        <r>
          <rPr>
            <b/>
            <sz val="8"/>
            <color indexed="81"/>
            <rFont val="Tahoma"/>
            <family val="2"/>
          </rPr>
          <t>reedcjr:</t>
        </r>
        <r>
          <rPr>
            <sz val="8"/>
            <color indexed="81"/>
            <rFont val="Tahoma"/>
            <family val="2"/>
          </rPr>
          <t xml:space="preserve">
closed 8/19-statewide
</t>
        </r>
      </text>
    </comment>
    <comment ref="H10" authorId="0" shapeId="0" xr:uid="{00000000-0006-0000-1200-00000B000000}">
      <text>
        <r>
          <rPr>
            <b/>
            <sz val="8"/>
            <color indexed="81"/>
            <rFont val="Tahoma"/>
            <family val="2"/>
          </rPr>
          <t>reedcjr:</t>
        </r>
        <r>
          <rPr>
            <sz val="8"/>
            <color indexed="81"/>
            <rFont val="Tahoma"/>
            <family val="2"/>
          </rPr>
          <t xml:space="preserve">
closed
</t>
        </r>
      </text>
    </comment>
    <comment ref="B11" authorId="0" shapeId="0" xr:uid="{00000000-0006-0000-1200-00000C000000}">
      <text>
        <r>
          <rPr>
            <b/>
            <sz val="8"/>
            <color indexed="81"/>
            <rFont val="Tahoma"/>
            <family val="2"/>
          </rPr>
          <t>reedcjr:</t>
        </r>
        <r>
          <rPr>
            <sz val="8"/>
            <color indexed="81"/>
            <rFont val="Tahoma"/>
            <family val="2"/>
          </rPr>
          <t xml:space="preserve">
closed-open 7/1
</t>
        </r>
      </text>
    </comment>
    <comment ref="C11" authorId="0" shapeId="0" xr:uid="{00000000-0006-0000-1200-00000D000000}">
      <text>
        <r>
          <rPr>
            <b/>
            <sz val="8"/>
            <color indexed="81"/>
            <rFont val="Tahoma"/>
            <family val="2"/>
          </rPr>
          <t>reedcjr:</t>
        </r>
        <r>
          <rPr>
            <sz val="8"/>
            <color indexed="81"/>
            <rFont val="Tahoma"/>
            <family val="2"/>
          </rPr>
          <t xml:space="preserve">
closed-area 2 and 1 open 5/8-6/17-AREA 4 open 7/1
</t>
        </r>
      </text>
    </comment>
    <comment ref="H11" authorId="0" shapeId="0" xr:uid="{00000000-0006-0000-1200-00000E000000}">
      <text>
        <r>
          <rPr>
            <b/>
            <sz val="8"/>
            <color indexed="81"/>
            <rFont val="Tahoma"/>
            <family val="2"/>
          </rPr>
          <t>reedcjr:</t>
        </r>
        <r>
          <rPr>
            <sz val="8"/>
            <color indexed="81"/>
            <rFont val="Tahoma"/>
            <family val="2"/>
          </rPr>
          <t xml:space="preserve">
closed 9/11-statewide
</t>
        </r>
      </text>
    </comment>
    <comment ref="B12" authorId="0" shapeId="0" xr:uid="{00000000-0006-0000-1200-00000F000000}">
      <text>
        <r>
          <rPr>
            <b/>
            <sz val="8"/>
            <color indexed="81"/>
            <rFont val="Tahoma"/>
            <family val="2"/>
          </rPr>
          <t>reedcjr:</t>
        </r>
        <r>
          <rPr>
            <sz val="8"/>
            <color indexed="81"/>
            <rFont val="Tahoma"/>
            <family val="2"/>
          </rPr>
          <t xml:space="preserve">
effort was from march and it should be closed
</t>
        </r>
      </text>
    </comment>
    <comment ref="G12" authorId="0" shapeId="0" xr:uid="{00000000-0006-0000-1200-000010000000}">
      <text>
        <r>
          <rPr>
            <b/>
            <sz val="8"/>
            <color indexed="81"/>
            <rFont val="Tahoma"/>
            <family val="2"/>
          </rPr>
          <t>reedcjr:</t>
        </r>
        <r>
          <rPr>
            <sz val="8"/>
            <color indexed="81"/>
            <rFont val="Tahoma"/>
            <family val="2"/>
          </rPr>
          <t xml:space="preserve">
closed 8/15-closed statewide
</t>
        </r>
      </text>
    </comment>
    <comment ref="B13" authorId="0" shapeId="0" xr:uid="{00000000-0006-0000-1200-000011000000}">
      <text>
        <r>
          <rPr>
            <b/>
            <sz val="8"/>
            <color indexed="81"/>
            <rFont val="Tahoma"/>
            <family val="2"/>
          </rPr>
          <t>reedcjr:</t>
        </r>
        <r>
          <rPr>
            <sz val="8"/>
            <color indexed="81"/>
            <rFont val="Tahoma"/>
            <family val="2"/>
          </rPr>
          <t xml:space="preserve">
illegal effort
</t>
        </r>
      </text>
    </comment>
    <comment ref="C13" authorId="0" shapeId="0" xr:uid="{00000000-0006-0000-1200-000012000000}">
      <text>
        <r>
          <rPr>
            <b/>
            <sz val="8"/>
            <color indexed="81"/>
            <rFont val="Tahoma"/>
            <family val="2"/>
          </rPr>
          <t>reedcjr:</t>
        </r>
        <r>
          <rPr>
            <sz val="8"/>
            <color indexed="81"/>
            <rFont val="Tahoma"/>
            <family val="2"/>
          </rPr>
          <t xml:space="preserve">
Illegal effort
</t>
        </r>
      </text>
    </comment>
    <comment ref="C16" authorId="0" shapeId="0" xr:uid="{00000000-0006-0000-1200-000013000000}">
      <text>
        <r>
          <rPr>
            <b/>
            <sz val="8"/>
            <color indexed="81"/>
            <rFont val="Tahoma"/>
            <family val="2"/>
          </rPr>
          <t>reedcjr:</t>
        </r>
        <r>
          <rPr>
            <sz val="8"/>
            <color indexed="81"/>
            <rFont val="Tahoma"/>
            <family val="2"/>
          </rPr>
          <t xml:space="preserve">
closed-statewide-open 7/3
</t>
        </r>
      </text>
    </comment>
    <comment ref="D18" authorId="0" shapeId="0" xr:uid="{00000000-0006-0000-1200-000014000000}">
      <text>
        <r>
          <rPr>
            <b/>
            <sz val="8"/>
            <color indexed="81"/>
            <rFont val="Tahoma"/>
            <family val="2"/>
          </rPr>
          <t>reedcjr:</t>
        </r>
        <r>
          <rPr>
            <sz val="8"/>
            <color indexed="81"/>
            <rFont val="Tahoma"/>
            <family val="2"/>
          </rPr>
          <t xml:space="preserve">
illegal effort
</t>
        </r>
      </text>
    </comment>
    <comment ref="D19" authorId="0" shapeId="0" xr:uid="{00000000-0006-0000-1200-000015000000}">
      <text>
        <r>
          <rPr>
            <b/>
            <sz val="8"/>
            <color indexed="81"/>
            <rFont val="Tahoma"/>
            <family val="2"/>
          </rPr>
          <t>reedcjr:</t>
        </r>
        <r>
          <rPr>
            <sz val="8"/>
            <color indexed="81"/>
            <rFont val="Tahoma"/>
            <family val="2"/>
          </rPr>
          <t xml:space="preserve">
Illegal effort
</t>
        </r>
      </text>
    </comment>
    <comment ref="G45" authorId="1" shapeId="0" xr:uid="{00000000-0006-0000-1200-000016000000}">
      <text>
        <r>
          <rPr>
            <b/>
            <sz val="9"/>
            <color indexed="81"/>
            <rFont val="Tahoma"/>
            <family val="2"/>
          </rPr>
          <t>WLB:</t>
        </r>
        <r>
          <rPr>
            <sz val="9"/>
            <color indexed="81"/>
            <rFont val="Tahoma"/>
            <family val="2"/>
          </rPr>
          <t xml:space="preserve">
Includes 60 angler trips from Sekiu fishing Area 4</t>
        </r>
      </text>
    </comment>
    <comment ref="H103" authorId="0" shapeId="0" xr:uid="{00000000-0006-0000-1200-000017000000}">
      <text>
        <r>
          <rPr>
            <b/>
            <sz val="8"/>
            <color indexed="81"/>
            <rFont val="Tahoma"/>
            <family val="2"/>
          </rPr>
          <t>reedcjr:</t>
        </r>
        <r>
          <rPr>
            <sz val="8"/>
            <color indexed="81"/>
            <rFont val="Tahoma"/>
            <family val="2"/>
          </rPr>
          <t xml:space="preserve">
closed 9/3 statewide
</t>
        </r>
      </text>
    </comment>
    <comment ref="G105" authorId="0" shapeId="0" xr:uid="{00000000-0006-0000-1200-000018000000}">
      <text>
        <r>
          <rPr>
            <b/>
            <sz val="8"/>
            <color indexed="81"/>
            <rFont val="Tahoma"/>
            <family val="2"/>
          </rPr>
          <t>reedcjr:</t>
        </r>
        <r>
          <rPr>
            <sz val="8"/>
            <color indexed="81"/>
            <rFont val="Tahoma"/>
            <family val="2"/>
          </rPr>
          <t xml:space="preserve">
closed 8/26-statewide
</t>
        </r>
      </text>
    </comment>
    <comment ref="H105" authorId="0" shapeId="0" xr:uid="{00000000-0006-0000-1200-000019000000}">
      <text>
        <r>
          <rPr>
            <b/>
            <sz val="8"/>
            <color indexed="81"/>
            <rFont val="Tahoma"/>
            <family val="2"/>
          </rPr>
          <t>reedcjr:</t>
        </r>
        <r>
          <rPr>
            <sz val="8"/>
            <color indexed="81"/>
            <rFont val="Tahoma"/>
            <family val="2"/>
          </rPr>
          <t xml:space="preserve">
closed
</t>
        </r>
      </text>
    </comment>
    <comment ref="G106" authorId="0" shapeId="0" xr:uid="{00000000-0006-0000-1200-00001A000000}">
      <text>
        <r>
          <rPr>
            <b/>
            <sz val="8"/>
            <color indexed="81"/>
            <rFont val="Tahoma"/>
            <family val="2"/>
          </rPr>
          <t>reedcjr:</t>
        </r>
        <r>
          <rPr>
            <sz val="8"/>
            <color indexed="81"/>
            <rFont val="Tahoma"/>
            <family val="2"/>
          </rPr>
          <t xml:space="preserve">
closed 8/19-statewide
</t>
        </r>
      </text>
    </comment>
    <comment ref="G110" authorId="0" shapeId="0" xr:uid="{00000000-0006-0000-1200-00001B000000}">
      <text>
        <r>
          <rPr>
            <b/>
            <sz val="8"/>
            <color indexed="81"/>
            <rFont val="Tahoma"/>
            <family val="2"/>
          </rPr>
          <t>reedcjr:</t>
        </r>
        <r>
          <rPr>
            <sz val="8"/>
            <color indexed="81"/>
            <rFont val="Tahoma"/>
            <family val="2"/>
          </rPr>
          <t xml:space="preserve">
closed 8/18-statewide
</t>
        </r>
      </text>
    </comment>
    <comment ref="H110" authorId="0" shapeId="0" xr:uid="{00000000-0006-0000-1200-00001C000000}">
      <text>
        <r>
          <rPr>
            <b/>
            <sz val="8"/>
            <color indexed="81"/>
            <rFont val="Tahoma"/>
            <family val="2"/>
          </rPr>
          <t>reedcjr:</t>
        </r>
        <r>
          <rPr>
            <sz val="8"/>
            <color indexed="81"/>
            <rFont val="Tahoma"/>
            <family val="2"/>
          </rPr>
          <t xml:space="preserve">
closed-statewide
</t>
        </r>
      </text>
    </comment>
    <comment ref="G111" authorId="0" shapeId="0" xr:uid="{00000000-0006-0000-1200-00001D000000}">
      <text>
        <r>
          <rPr>
            <b/>
            <sz val="8"/>
            <color indexed="81"/>
            <rFont val="Tahoma"/>
            <family val="2"/>
          </rPr>
          <t>reedcjr:</t>
        </r>
        <r>
          <rPr>
            <sz val="8"/>
            <color indexed="81"/>
            <rFont val="Tahoma"/>
            <family val="2"/>
          </rPr>
          <t xml:space="preserve">
closed 8/06 and in area 3 and 1 closed on 8/20
</t>
        </r>
      </text>
    </comment>
    <comment ref="H111" authorId="0" shapeId="0" xr:uid="{00000000-0006-0000-1200-00001E000000}">
      <text>
        <r>
          <rPr>
            <b/>
            <sz val="8"/>
            <color indexed="81"/>
            <rFont val="Tahoma"/>
            <family val="2"/>
          </rPr>
          <t>reedcjr:</t>
        </r>
        <r>
          <rPr>
            <sz val="8"/>
            <color indexed="81"/>
            <rFont val="Tahoma"/>
            <family val="2"/>
          </rPr>
          <t xml:space="preserve">
closed
</t>
        </r>
      </text>
    </comment>
    <comment ref="H112" authorId="0" shapeId="0" xr:uid="{00000000-0006-0000-1200-00001F000000}">
      <text>
        <r>
          <rPr>
            <b/>
            <sz val="8"/>
            <color indexed="81"/>
            <rFont val="Tahoma"/>
            <family val="2"/>
          </rPr>
          <t>reedcjr:</t>
        </r>
        <r>
          <rPr>
            <sz val="8"/>
            <color indexed="81"/>
            <rFont val="Tahoma"/>
            <family val="2"/>
          </rPr>
          <t xml:space="preserve">
closed-statewide
</t>
        </r>
      </text>
    </comment>
    <comment ref="H151" authorId="0" shapeId="0" xr:uid="{00000000-0006-0000-1200-000020000000}">
      <text>
        <r>
          <rPr>
            <b/>
            <sz val="8"/>
            <color indexed="81"/>
            <rFont val="Tahoma"/>
            <family val="2"/>
          </rPr>
          <t>reedcjr:</t>
        </r>
        <r>
          <rPr>
            <sz val="8"/>
            <color indexed="81"/>
            <rFont val="Tahoma"/>
            <family val="2"/>
          </rPr>
          <t xml:space="preserve">
closed 9/3 statewide
</t>
        </r>
      </text>
    </comment>
    <comment ref="G154" authorId="0" shapeId="0" xr:uid="{00000000-0006-0000-1200-000021000000}">
      <text>
        <r>
          <rPr>
            <b/>
            <sz val="8"/>
            <color indexed="81"/>
            <rFont val="Tahoma"/>
            <family val="2"/>
          </rPr>
          <t>reedcjr:</t>
        </r>
        <r>
          <rPr>
            <sz val="8"/>
            <color indexed="81"/>
            <rFont val="Tahoma"/>
            <family val="2"/>
          </rPr>
          <t xml:space="preserve">
area 1 closed 7/25, area 2 closed 8/19
</t>
        </r>
      </text>
    </comment>
    <comment ref="H154" authorId="0" shapeId="0" xr:uid="{00000000-0006-0000-1200-000022000000}">
      <text>
        <r>
          <rPr>
            <b/>
            <sz val="8"/>
            <color indexed="81"/>
            <rFont val="Tahoma"/>
            <family val="2"/>
          </rPr>
          <t>reedcjr:</t>
        </r>
        <r>
          <rPr>
            <sz val="8"/>
            <color indexed="81"/>
            <rFont val="Tahoma"/>
            <family val="2"/>
          </rPr>
          <t xml:space="preserve">
closed
</t>
        </r>
      </text>
    </comment>
    <comment ref="G160" authorId="0" shapeId="0" xr:uid="{00000000-0006-0000-1200-000023000000}">
      <text>
        <r>
          <rPr>
            <b/>
            <sz val="8"/>
            <color indexed="81"/>
            <rFont val="Tahoma"/>
            <family val="2"/>
          </rPr>
          <t>reedcjr:</t>
        </r>
        <r>
          <rPr>
            <sz val="8"/>
            <color indexed="81"/>
            <rFont val="Tahoma"/>
            <family val="2"/>
          </rPr>
          <t xml:space="preserve">
area 1 closed 7/24, area 2 closed 8/18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reedcjr</author>
    <author>Wendy Beeghley</author>
    <author>beeghwlb</author>
    <author>Justin Case</author>
    <author>WLB</author>
    <author>Beeghwlb</author>
  </authors>
  <commentList>
    <comment ref="C5" authorId="0" shapeId="0" xr:uid="{00000000-0006-0000-1300-000001000000}">
      <text>
        <r>
          <rPr>
            <b/>
            <sz val="8"/>
            <color indexed="81"/>
            <rFont val="Tahoma"/>
            <family val="2"/>
          </rPr>
          <t>reedcjr:</t>
        </r>
        <r>
          <rPr>
            <sz val="8"/>
            <color indexed="81"/>
            <rFont val="Tahoma"/>
            <family val="2"/>
          </rPr>
          <t xml:space="preserve">
wasn't sure what to do. Fish caught since january.  Jan=399, march=268, april=262, may=616
</t>
        </r>
      </text>
    </comment>
    <comment ref="K5" authorId="0" shapeId="0" xr:uid="{00000000-0006-0000-1300-000002000000}">
      <text>
        <r>
          <rPr>
            <b/>
            <sz val="8"/>
            <color indexed="81"/>
            <rFont val="Tahoma"/>
            <family val="2"/>
          </rPr>
          <t>reedcjr:</t>
        </r>
        <r>
          <rPr>
            <sz val="8"/>
            <color indexed="81"/>
            <rFont val="Tahoma"/>
            <family val="2"/>
          </rPr>
          <t xml:space="preserve">
closed but fish caught in January (19 fish) and March (46 fish)
</t>
        </r>
      </text>
    </comment>
    <comment ref="B8" authorId="0" shapeId="0" xr:uid="{00000000-0006-0000-1300-000003000000}">
      <text>
        <r>
          <rPr>
            <b/>
            <sz val="8"/>
            <color indexed="81"/>
            <rFont val="Tahoma"/>
            <family val="2"/>
          </rPr>
          <t>reedcjr:</t>
        </r>
        <r>
          <rPr>
            <sz val="8"/>
            <color indexed="81"/>
            <rFont val="Tahoma"/>
            <family val="2"/>
          </rPr>
          <t xml:space="preserve">
closed-statewide-open 5/12
</t>
        </r>
      </text>
    </comment>
    <comment ref="K8" authorId="0" shapeId="0" xr:uid="{00000000-0006-0000-1300-000004000000}">
      <text>
        <r>
          <rPr>
            <b/>
            <sz val="8"/>
            <color indexed="81"/>
            <rFont val="Tahoma"/>
            <family val="2"/>
          </rPr>
          <t>reedcjr:</t>
        </r>
        <r>
          <rPr>
            <sz val="8"/>
            <color indexed="81"/>
            <rFont val="Tahoma"/>
            <family val="2"/>
          </rPr>
          <t xml:space="preserve">
closed-statewide- open 5/12
</t>
        </r>
      </text>
    </comment>
    <comment ref="Q8" authorId="0" shapeId="0" xr:uid="{00000000-0006-0000-1300-000005000000}">
      <text>
        <r>
          <rPr>
            <b/>
            <sz val="8"/>
            <color indexed="81"/>
            <rFont val="Tahoma"/>
            <family val="2"/>
          </rPr>
          <t>reedcjr:</t>
        </r>
        <r>
          <rPr>
            <sz val="8"/>
            <color indexed="81"/>
            <rFont val="Tahoma"/>
            <family val="2"/>
          </rPr>
          <t xml:space="preserve">
closed 9/3-statewide
</t>
        </r>
      </text>
    </comment>
    <comment ref="P9" authorId="0" shapeId="0" xr:uid="{00000000-0006-0000-1300-000006000000}">
      <text>
        <r>
          <rPr>
            <b/>
            <sz val="8"/>
            <color indexed="81"/>
            <rFont val="Tahoma"/>
            <family val="2"/>
          </rPr>
          <t>reedcjr:</t>
        </r>
        <r>
          <rPr>
            <sz val="8"/>
            <color indexed="81"/>
            <rFont val="Tahoma"/>
            <family val="2"/>
          </rPr>
          <t xml:space="preserve">
closed 8/25-area 1 open until 9/3
</t>
        </r>
      </text>
    </comment>
    <comment ref="Q9" authorId="0" shapeId="0" xr:uid="{00000000-0006-0000-1300-000007000000}">
      <text>
        <r>
          <rPr>
            <b/>
            <sz val="8"/>
            <color indexed="81"/>
            <rFont val="Tahoma"/>
            <family val="2"/>
          </rPr>
          <t>reedcjr:</t>
        </r>
        <r>
          <rPr>
            <sz val="8"/>
            <color indexed="81"/>
            <rFont val="Tahoma"/>
            <family val="2"/>
          </rPr>
          <t xml:space="preserve">
closed
</t>
        </r>
      </text>
    </comment>
    <comment ref="B10" authorId="0" shapeId="0" xr:uid="{00000000-0006-0000-1300-000008000000}">
      <text>
        <r>
          <rPr>
            <b/>
            <sz val="8"/>
            <color indexed="81"/>
            <rFont val="Tahoma"/>
            <family val="2"/>
          </rPr>
          <t>reedcjr:</t>
        </r>
        <r>
          <rPr>
            <sz val="8"/>
            <color indexed="81"/>
            <rFont val="Tahoma"/>
            <family val="2"/>
          </rPr>
          <t xml:space="preserve">
closed-statewide-open 5/23
</t>
        </r>
      </text>
    </comment>
    <comment ref="K10" authorId="0" shapeId="0" xr:uid="{00000000-0006-0000-1300-000009000000}">
      <text>
        <r>
          <rPr>
            <b/>
            <sz val="8"/>
            <color indexed="81"/>
            <rFont val="Tahoma"/>
            <family val="2"/>
          </rPr>
          <t>reedcjr:</t>
        </r>
        <r>
          <rPr>
            <sz val="8"/>
            <color indexed="81"/>
            <rFont val="Tahoma"/>
            <family val="2"/>
          </rPr>
          <t xml:space="preserve">
closed-statewide-open 5/23
</t>
        </r>
      </text>
    </comment>
    <comment ref="P10" authorId="0" shapeId="0" xr:uid="{00000000-0006-0000-1300-00000A000000}">
      <text>
        <r>
          <rPr>
            <b/>
            <sz val="8"/>
            <color indexed="81"/>
            <rFont val="Tahoma"/>
            <family val="2"/>
          </rPr>
          <t>reedcjr:</t>
        </r>
        <r>
          <rPr>
            <sz val="8"/>
            <color indexed="81"/>
            <rFont val="Tahoma"/>
            <family val="2"/>
          </rPr>
          <t xml:space="preserve">
closed 8/26-statewide
</t>
        </r>
      </text>
    </comment>
    <comment ref="Q10" authorId="0" shapeId="0" xr:uid="{00000000-0006-0000-1300-00000B000000}">
      <text>
        <r>
          <rPr>
            <b/>
            <sz val="8"/>
            <color indexed="81"/>
            <rFont val="Tahoma"/>
            <family val="2"/>
          </rPr>
          <t>reedcjr:</t>
        </r>
        <r>
          <rPr>
            <sz val="8"/>
            <color indexed="81"/>
            <rFont val="Tahoma"/>
            <family val="2"/>
          </rPr>
          <t xml:space="preserve">
closed
</t>
        </r>
      </text>
    </comment>
    <comment ref="B11" authorId="0" shapeId="0" xr:uid="{00000000-0006-0000-1300-00000C000000}">
      <text>
        <r>
          <rPr>
            <b/>
            <sz val="8"/>
            <color indexed="81"/>
            <rFont val="Tahoma"/>
            <family val="2"/>
          </rPr>
          <t>reedcjr:</t>
        </r>
        <r>
          <rPr>
            <sz val="8"/>
            <color indexed="81"/>
            <rFont val="Tahoma"/>
            <family val="2"/>
          </rPr>
          <t xml:space="preserve">
closed-statewide
</t>
        </r>
      </text>
    </comment>
    <comment ref="G11" authorId="0" shapeId="0" xr:uid="{00000000-0006-0000-1300-00000D000000}">
      <text>
        <r>
          <rPr>
            <b/>
            <sz val="8"/>
            <color indexed="81"/>
            <rFont val="Tahoma"/>
            <family val="2"/>
          </rPr>
          <t>reedcjr:</t>
        </r>
        <r>
          <rPr>
            <sz val="8"/>
            <color indexed="81"/>
            <rFont val="Tahoma"/>
            <family val="2"/>
          </rPr>
          <t xml:space="preserve">
closed 8/19-statewide
</t>
        </r>
      </text>
    </comment>
    <comment ref="H11" authorId="0" shapeId="0" xr:uid="{00000000-0006-0000-1300-00000E000000}">
      <text>
        <r>
          <rPr>
            <b/>
            <sz val="8"/>
            <color indexed="81"/>
            <rFont val="Tahoma"/>
            <family val="2"/>
          </rPr>
          <t>reedcjr:</t>
        </r>
        <r>
          <rPr>
            <sz val="8"/>
            <color indexed="81"/>
            <rFont val="Tahoma"/>
            <family val="2"/>
          </rPr>
          <t xml:space="preserve">
closed
</t>
        </r>
      </text>
    </comment>
    <comment ref="L11" authorId="0" shapeId="0" xr:uid="{00000000-0006-0000-1300-00000F000000}">
      <text>
        <r>
          <rPr>
            <b/>
            <sz val="8"/>
            <color indexed="81"/>
            <rFont val="Tahoma"/>
            <family val="2"/>
          </rPr>
          <t>reedcjr:</t>
        </r>
        <r>
          <rPr>
            <sz val="8"/>
            <color indexed="81"/>
            <rFont val="Tahoma"/>
            <family val="2"/>
          </rPr>
          <t xml:space="preserve">
closed for coho-statewide
</t>
        </r>
      </text>
    </comment>
    <comment ref="P11" authorId="0" shapeId="0" xr:uid="{00000000-0006-0000-1300-000010000000}">
      <text>
        <r>
          <rPr>
            <b/>
            <sz val="8"/>
            <color indexed="81"/>
            <rFont val="Tahoma"/>
            <family val="2"/>
          </rPr>
          <t>reedcjr:</t>
        </r>
        <r>
          <rPr>
            <sz val="8"/>
            <color indexed="81"/>
            <rFont val="Tahoma"/>
            <family val="2"/>
          </rPr>
          <t xml:space="preserve">
closed 8/19-statewide
</t>
        </r>
      </text>
    </comment>
    <comment ref="Q11" authorId="0" shapeId="0" xr:uid="{00000000-0006-0000-1300-000011000000}">
      <text>
        <r>
          <rPr>
            <b/>
            <sz val="8"/>
            <color indexed="81"/>
            <rFont val="Tahoma"/>
            <family val="2"/>
          </rPr>
          <t>reedcjr:</t>
        </r>
        <r>
          <rPr>
            <sz val="8"/>
            <color indexed="81"/>
            <rFont val="Tahoma"/>
            <family val="2"/>
          </rPr>
          <t xml:space="preserve">
closed
</t>
        </r>
      </text>
    </comment>
    <comment ref="C12" authorId="0" shapeId="0" xr:uid="{00000000-0006-0000-1300-000012000000}">
      <text>
        <r>
          <rPr>
            <b/>
            <sz val="8"/>
            <color indexed="81"/>
            <rFont val="Tahoma"/>
            <family val="2"/>
          </rPr>
          <t>reedcjr:</t>
        </r>
        <r>
          <rPr>
            <sz val="8"/>
            <color indexed="81"/>
            <rFont val="Tahoma"/>
            <family val="2"/>
          </rPr>
          <t xml:space="preserve">
closed-open in area 1 and 2 for may and june-april closed statewide
</t>
        </r>
      </text>
    </comment>
    <comment ref="L12" authorId="0" shapeId="0" xr:uid="{00000000-0006-0000-1300-000013000000}">
      <text>
        <r>
          <rPr>
            <b/>
            <sz val="8"/>
            <color indexed="81"/>
            <rFont val="Tahoma"/>
            <family val="2"/>
          </rPr>
          <t>reedcjr:</t>
        </r>
        <r>
          <rPr>
            <sz val="8"/>
            <color indexed="81"/>
            <rFont val="Tahoma"/>
            <family val="2"/>
          </rPr>
          <t xml:space="preserve">
closed-open in area 1 and 2 in june-closed in may statewide for the coho fishery
</t>
        </r>
      </text>
    </comment>
    <comment ref="Q12" authorId="0" shapeId="0" xr:uid="{00000000-0006-0000-1300-000014000000}">
      <text>
        <r>
          <rPr>
            <b/>
            <sz val="8"/>
            <color indexed="81"/>
            <rFont val="Tahoma"/>
            <family val="2"/>
          </rPr>
          <t>reedcjr:</t>
        </r>
        <r>
          <rPr>
            <sz val="8"/>
            <color indexed="81"/>
            <rFont val="Tahoma"/>
            <family val="2"/>
          </rPr>
          <t xml:space="preserve">
closed 9/11-statewide
</t>
        </r>
      </text>
    </comment>
    <comment ref="B13" authorId="0" shapeId="0" xr:uid="{00000000-0006-0000-1300-000015000000}">
      <text>
        <r>
          <rPr>
            <b/>
            <sz val="8"/>
            <color indexed="81"/>
            <rFont val="Tahoma"/>
            <family val="2"/>
          </rPr>
          <t xml:space="preserve">reedcjr
</t>
        </r>
        <r>
          <rPr>
            <sz val="8"/>
            <color indexed="81"/>
            <rFont val="Tahoma"/>
            <family val="2"/>
          </rPr>
          <t xml:space="preserve">should be closed, numbers came from Jan-16 fish and March-8 fish
</t>
        </r>
      </text>
    </comment>
    <comment ref="P13" authorId="0" shapeId="0" xr:uid="{00000000-0006-0000-1300-000016000000}">
      <text>
        <r>
          <rPr>
            <b/>
            <sz val="8"/>
            <color indexed="81"/>
            <rFont val="Tahoma"/>
            <family val="2"/>
          </rPr>
          <t>reedcjr:</t>
        </r>
        <r>
          <rPr>
            <sz val="8"/>
            <color indexed="81"/>
            <rFont val="Tahoma"/>
            <family val="2"/>
          </rPr>
          <t xml:space="preserve">
closed 8/15-statewide
</t>
        </r>
      </text>
    </comment>
    <comment ref="C14" authorId="0" shapeId="0" xr:uid="{00000000-0006-0000-1300-000017000000}">
      <text>
        <r>
          <rPr>
            <b/>
            <sz val="8"/>
            <color indexed="81"/>
            <rFont val="Tahoma"/>
            <family val="2"/>
          </rPr>
          <t>reedcjr:</t>
        </r>
        <r>
          <rPr>
            <sz val="8"/>
            <color indexed="81"/>
            <rFont val="Tahoma"/>
            <family val="2"/>
          </rPr>
          <t xml:space="preserve">
Illegal catch
</t>
        </r>
      </text>
    </comment>
    <comment ref="F16" authorId="0" shapeId="0" xr:uid="{00000000-0006-0000-1300-000018000000}">
      <text>
        <r>
          <rPr>
            <b/>
            <sz val="8"/>
            <color indexed="81"/>
            <rFont val="Tahoma"/>
            <family val="2"/>
          </rPr>
          <t>reedcjr:</t>
        </r>
        <r>
          <rPr>
            <sz val="8"/>
            <color indexed="81"/>
            <rFont val="Tahoma"/>
            <family val="2"/>
          </rPr>
          <t xml:space="preserve">
Illegal catch
</t>
        </r>
      </text>
    </comment>
    <comment ref="L21" authorId="0" shapeId="0" xr:uid="{00000000-0006-0000-1300-000019000000}">
      <text>
        <r>
          <rPr>
            <b/>
            <sz val="8"/>
            <color indexed="81"/>
            <rFont val="Tahoma"/>
            <family val="2"/>
          </rPr>
          <t>reedcjr:</t>
        </r>
        <r>
          <rPr>
            <sz val="8"/>
            <color indexed="81"/>
            <rFont val="Tahoma"/>
            <family val="2"/>
          </rPr>
          <t xml:space="preserve">
Illegal catch
</t>
        </r>
      </text>
    </comment>
    <comment ref="L22" authorId="0" shapeId="0" xr:uid="{00000000-0006-0000-1300-00001A000000}">
      <text>
        <r>
          <rPr>
            <b/>
            <sz val="8"/>
            <color indexed="81"/>
            <rFont val="Tahoma"/>
            <family val="2"/>
          </rPr>
          <t>reedcjr:</t>
        </r>
        <r>
          <rPr>
            <sz val="8"/>
            <color indexed="81"/>
            <rFont val="Tahoma"/>
            <family val="2"/>
          </rPr>
          <t xml:space="preserve">
Illegal catch
</t>
        </r>
      </text>
    </comment>
    <comment ref="F24" authorId="0" shapeId="0" xr:uid="{00000000-0006-0000-1300-00001B000000}">
      <text>
        <r>
          <rPr>
            <b/>
            <sz val="8"/>
            <color indexed="81"/>
            <rFont val="Tahoma"/>
            <family val="2"/>
          </rPr>
          <t xml:space="preserve">reedcjr:  illegal catch
</t>
        </r>
      </text>
    </comment>
    <comment ref="F25" authorId="0" shapeId="0" xr:uid="{00000000-0006-0000-1300-00001C000000}">
      <text>
        <r>
          <rPr>
            <b/>
            <sz val="8"/>
            <color indexed="81"/>
            <rFont val="Tahoma"/>
            <family val="2"/>
          </rPr>
          <t>reedcjr:</t>
        </r>
        <r>
          <rPr>
            <sz val="8"/>
            <color indexed="81"/>
            <rFont val="Tahoma"/>
            <family val="2"/>
          </rPr>
          <t xml:space="preserve">
illegal catch
</t>
        </r>
      </text>
    </comment>
    <comment ref="M39" authorId="1" shapeId="0" xr:uid="{00000000-0006-0000-1300-00001D000000}">
      <text>
        <r>
          <rPr>
            <b/>
            <sz val="9"/>
            <color indexed="81"/>
            <rFont val="Tahoma"/>
            <family val="2"/>
          </rPr>
          <t>Wendy Beeghley:</t>
        </r>
        <r>
          <rPr>
            <sz val="9"/>
            <color indexed="81"/>
            <rFont val="Tahoma"/>
            <family val="2"/>
          </rPr>
          <t xml:space="preserve">
Illegal catch</t>
        </r>
      </text>
    </comment>
    <comment ref="M41" authorId="2" shapeId="0" xr:uid="{00000000-0006-0000-1300-00001E000000}">
      <text>
        <r>
          <rPr>
            <b/>
            <sz val="9"/>
            <color indexed="81"/>
            <rFont val="Tahoma"/>
            <family val="2"/>
          </rPr>
          <t>beeghwlb:</t>
        </r>
        <r>
          <rPr>
            <sz val="9"/>
            <color indexed="81"/>
            <rFont val="Tahoma"/>
            <family val="2"/>
          </rPr>
          <t xml:space="preserve">
Illegal Catch
</t>
        </r>
      </text>
    </comment>
    <comment ref="P44" authorId="3" shapeId="0" xr:uid="{00000000-0006-0000-1300-00001F000000}">
      <text>
        <r>
          <rPr>
            <b/>
            <sz val="9"/>
            <color indexed="81"/>
            <rFont val="Tahoma"/>
            <family val="2"/>
          </rPr>
          <t xml:space="preserve">Wendy Beeghley: Includes 3,494 coho caught in Area 4 and landed in Sekiu during non-selective fishery
</t>
        </r>
        <r>
          <rPr>
            <sz val="9"/>
            <color indexed="81"/>
            <rFont val="Tahoma"/>
            <family val="2"/>
          </rPr>
          <t xml:space="preserve">
</t>
        </r>
      </text>
    </comment>
    <comment ref="N45" authorId="4" shapeId="0" xr:uid="{00000000-0006-0000-1300-000020000000}">
      <text>
        <r>
          <rPr>
            <b/>
            <sz val="9"/>
            <color indexed="81"/>
            <rFont val="Tahoma"/>
            <family val="2"/>
          </rPr>
          <t>WLB:</t>
        </r>
        <r>
          <rPr>
            <sz val="9"/>
            <color indexed="81"/>
            <rFont val="Tahoma"/>
            <family val="2"/>
          </rPr>
          <t xml:space="preserve">
Illegal catch in coho non-retention fishery
</t>
        </r>
      </text>
    </comment>
    <comment ref="O45" authorId="4" shapeId="0" xr:uid="{00000000-0006-0000-1300-000021000000}">
      <text>
        <r>
          <rPr>
            <b/>
            <sz val="9"/>
            <color indexed="81"/>
            <rFont val="Tahoma"/>
            <family val="2"/>
          </rPr>
          <t>WLB:</t>
        </r>
        <r>
          <rPr>
            <sz val="9"/>
            <color indexed="81"/>
            <rFont val="Tahoma"/>
            <family val="2"/>
          </rPr>
          <t xml:space="preserve">
Illegal catch in coho non-retention fishery
</t>
        </r>
      </text>
    </comment>
    <comment ref="G46" authorId="4" shapeId="0" xr:uid="{00000000-0006-0000-1300-000022000000}">
      <text>
        <r>
          <rPr>
            <b/>
            <sz val="9"/>
            <color indexed="81"/>
            <rFont val="Tahoma"/>
            <family val="2"/>
          </rPr>
          <t>WLB:</t>
        </r>
        <r>
          <rPr>
            <sz val="9"/>
            <color indexed="81"/>
            <rFont val="Tahoma"/>
            <family val="2"/>
          </rPr>
          <t xml:space="preserve">
Includes 20 chinook landed in Sekiu from Area 4</t>
        </r>
      </text>
    </comment>
    <comment ref="P46" authorId="4" shapeId="0" xr:uid="{00000000-0006-0000-1300-000023000000}">
      <text>
        <r>
          <rPr>
            <b/>
            <sz val="9"/>
            <color indexed="81"/>
            <rFont val="Tahoma"/>
            <family val="2"/>
          </rPr>
          <t>WLB:</t>
        </r>
        <r>
          <rPr>
            <sz val="9"/>
            <color indexed="81"/>
            <rFont val="Tahoma"/>
            <family val="2"/>
          </rPr>
          <t xml:space="preserve">
Includes 20 coho landed in Sekiu from Area 4</t>
        </r>
      </text>
    </comment>
    <comment ref="F72" authorId="0" shapeId="0" xr:uid="{00000000-0006-0000-1300-000024000000}">
      <text>
        <r>
          <rPr>
            <b/>
            <sz val="8"/>
            <color indexed="81"/>
            <rFont val="Tahoma"/>
            <family val="2"/>
          </rPr>
          <t>reedcjr:</t>
        </r>
        <r>
          <rPr>
            <sz val="8"/>
            <color indexed="81"/>
            <rFont val="Tahoma"/>
            <family val="2"/>
          </rPr>
          <t xml:space="preserve">
illegal catch
</t>
        </r>
      </text>
    </comment>
    <comment ref="F73" authorId="0" shapeId="0" xr:uid="{00000000-0006-0000-1300-000025000000}">
      <text>
        <r>
          <rPr>
            <b/>
            <sz val="8"/>
            <color indexed="81"/>
            <rFont val="Tahoma"/>
            <family val="2"/>
          </rPr>
          <t>reedcjr:</t>
        </r>
        <r>
          <rPr>
            <sz val="8"/>
            <color indexed="81"/>
            <rFont val="Tahoma"/>
            <family val="2"/>
          </rPr>
          <t xml:space="preserve">
illegal catch
</t>
        </r>
      </text>
    </comment>
    <comment ref="N93" authorId="4" shapeId="0" xr:uid="{00000000-0006-0000-1300-000026000000}">
      <text>
        <r>
          <rPr>
            <b/>
            <sz val="9"/>
            <color indexed="81"/>
            <rFont val="Tahoma"/>
            <family val="2"/>
          </rPr>
          <t>WLB:</t>
        </r>
        <r>
          <rPr>
            <sz val="9"/>
            <color indexed="81"/>
            <rFont val="Tahoma"/>
            <family val="2"/>
          </rPr>
          <t xml:space="preserve">
Illegal catch in coho non-retention fishery
</t>
        </r>
      </text>
    </comment>
    <comment ref="O93" authorId="4" shapeId="0" xr:uid="{00000000-0006-0000-1300-000027000000}">
      <text>
        <r>
          <rPr>
            <b/>
            <sz val="9"/>
            <color indexed="81"/>
            <rFont val="Tahoma"/>
            <family val="2"/>
          </rPr>
          <t>WLB:</t>
        </r>
        <r>
          <rPr>
            <sz val="9"/>
            <color indexed="81"/>
            <rFont val="Tahoma"/>
            <family val="2"/>
          </rPr>
          <t xml:space="preserve">
Illegal catch in coho non-retention fishery
</t>
        </r>
      </text>
    </comment>
    <comment ref="H104" authorId="0" shapeId="0" xr:uid="{00000000-0006-0000-1300-000028000000}">
      <text>
        <r>
          <rPr>
            <b/>
            <sz val="8"/>
            <color indexed="81"/>
            <rFont val="Tahoma"/>
            <family val="2"/>
          </rPr>
          <t>reedcjr:</t>
        </r>
        <r>
          <rPr>
            <sz val="8"/>
            <color indexed="81"/>
            <rFont val="Tahoma"/>
            <family val="2"/>
          </rPr>
          <t xml:space="preserve">
closed 9/3-statewide
</t>
        </r>
      </text>
    </comment>
    <comment ref="Q104" authorId="0" shapeId="0" xr:uid="{00000000-0006-0000-1300-000029000000}">
      <text>
        <r>
          <rPr>
            <b/>
            <sz val="8"/>
            <color indexed="81"/>
            <rFont val="Tahoma"/>
            <family val="2"/>
          </rPr>
          <t>reedcjr:</t>
        </r>
        <r>
          <rPr>
            <sz val="8"/>
            <color indexed="81"/>
            <rFont val="Tahoma"/>
            <family val="2"/>
          </rPr>
          <t xml:space="preserve">
closed 9/3-statewide
</t>
        </r>
      </text>
    </comment>
    <comment ref="G106" authorId="0" shapeId="0" xr:uid="{00000000-0006-0000-1300-00002A000000}">
      <text>
        <r>
          <rPr>
            <b/>
            <sz val="8"/>
            <color indexed="81"/>
            <rFont val="Tahoma"/>
            <family val="2"/>
          </rPr>
          <t>reedcjr:</t>
        </r>
        <r>
          <rPr>
            <sz val="8"/>
            <color indexed="81"/>
            <rFont val="Tahoma"/>
            <family val="2"/>
          </rPr>
          <t xml:space="preserve">
closed 8/26-statewide
</t>
        </r>
      </text>
    </comment>
    <comment ref="H106" authorId="0" shapeId="0" xr:uid="{00000000-0006-0000-1300-00002B000000}">
      <text>
        <r>
          <rPr>
            <b/>
            <sz val="8"/>
            <color indexed="81"/>
            <rFont val="Tahoma"/>
            <family val="2"/>
          </rPr>
          <t>reedcjr:</t>
        </r>
        <r>
          <rPr>
            <sz val="8"/>
            <color indexed="81"/>
            <rFont val="Tahoma"/>
            <family val="2"/>
          </rPr>
          <t xml:space="preserve">
closed
</t>
        </r>
      </text>
    </comment>
    <comment ref="P106" authorId="0" shapeId="0" xr:uid="{00000000-0006-0000-1300-00002C000000}">
      <text>
        <r>
          <rPr>
            <b/>
            <sz val="8"/>
            <color indexed="81"/>
            <rFont val="Tahoma"/>
            <family val="2"/>
          </rPr>
          <t>reedcjr:</t>
        </r>
        <r>
          <rPr>
            <sz val="8"/>
            <color indexed="81"/>
            <rFont val="Tahoma"/>
            <family val="2"/>
          </rPr>
          <t xml:space="preserve">
closed 8/26-statewide
</t>
        </r>
      </text>
    </comment>
    <comment ref="Q106" authorId="0" shapeId="0" xr:uid="{00000000-0006-0000-1300-00002D000000}">
      <text>
        <r>
          <rPr>
            <b/>
            <sz val="8"/>
            <color indexed="81"/>
            <rFont val="Tahoma"/>
            <family val="2"/>
          </rPr>
          <t>reedcjr:</t>
        </r>
        <r>
          <rPr>
            <sz val="8"/>
            <color indexed="81"/>
            <rFont val="Tahoma"/>
            <family val="2"/>
          </rPr>
          <t xml:space="preserve">
closed
</t>
        </r>
      </text>
    </comment>
    <comment ref="G107" authorId="0" shapeId="0" xr:uid="{00000000-0006-0000-1300-00002E000000}">
      <text>
        <r>
          <rPr>
            <b/>
            <sz val="8"/>
            <color indexed="81"/>
            <rFont val="Tahoma"/>
            <family val="2"/>
          </rPr>
          <t>reedcjr:</t>
        </r>
        <r>
          <rPr>
            <sz val="8"/>
            <color indexed="81"/>
            <rFont val="Tahoma"/>
            <family val="2"/>
          </rPr>
          <t xml:space="preserve">
closed 8/19-statewide
</t>
        </r>
      </text>
    </comment>
    <comment ref="P107" authorId="0" shapeId="0" xr:uid="{00000000-0006-0000-1300-00002F000000}">
      <text>
        <r>
          <rPr>
            <b/>
            <sz val="8"/>
            <color indexed="81"/>
            <rFont val="Tahoma"/>
            <family val="2"/>
          </rPr>
          <t>reedcjr:</t>
        </r>
        <r>
          <rPr>
            <sz val="8"/>
            <color indexed="81"/>
            <rFont val="Tahoma"/>
            <family val="2"/>
          </rPr>
          <t xml:space="preserve">
closed 8/19-statewide
</t>
        </r>
      </text>
    </comment>
    <comment ref="P111" authorId="0" shapeId="0" xr:uid="{00000000-0006-0000-1300-000030000000}">
      <text>
        <r>
          <rPr>
            <b/>
            <sz val="8"/>
            <color indexed="81"/>
            <rFont val="Tahoma"/>
            <family val="2"/>
          </rPr>
          <t>reedcjr:</t>
        </r>
        <r>
          <rPr>
            <sz val="8"/>
            <color indexed="81"/>
            <rFont val="Tahoma"/>
            <family val="2"/>
          </rPr>
          <t xml:space="preserve">
closed 8/18, notebook only shows 20 coho retained for this month
</t>
        </r>
      </text>
    </comment>
    <comment ref="Q111" authorId="0" shapeId="0" xr:uid="{00000000-0006-0000-1300-000031000000}">
      <text>
        <r>
          <rPr>
            <b/>
            <sz val="8"/>
            <color indexed="81"/>
            <rFont val="Tahoma"/>
            <family val="2"/>
          </rPr>
          <t>reedcjr:</t>
        </r>
        <r>
          <rPr>
            <sz val="8"/>
            <color indexed="81"/>
            <rFont val="Tahoma"/>
            <family val="2"/>
          </rPr>
          <t xml:space="preserve">
closed, notebook shows 0 coho retained for this month
</t>
        </r>
      </text>
    </comment>
    <comment ref="G112" authorId="0" shapeId="0" xr:uid="{00000000-0006-0000-1300-000032000000}">
      <text>
        <r>
          <rPr>
            <b/>
            <sz val="8"/>
            <color indexed="81"/>
            <rFont val="Tahoma"/>
            <family val="2"/>
          </rPr>
          <t>reedcjr:</t>
        </r>
        <r>
          <rPr>
            <sz val="8"/>
            <color indexed="81"/>
            <rFont val="Tahoma"/>
            <family val="2"/>
          </rPr>
          <t xml:space="preserve">
Illegal catch
</t>
        </r>
      </text>
    </comment>
    <comment ref="P112" authorId="0" shapeId="0" xr:uid="{00000000-0006-0000-1300-000033000000}">
      <text>
        <r>
          <rPr>
            <b/>
            <sz val="8"/>
            <color indexed="81"/>
            <rFont val="Tahoma"/>
            <family val="2"/>
          </rPr>
          <t>reedcjr:</t>
        </r>
        <r>
          <rPr>
            <sz val="8"/>
            <color indexed="81"/>
            <rFont val="Tahoma"/>
            <family val="2"/>
          </rPr>
          <t xml:space="preserve">
Illegal catch
</t>
        </r>
      </text>
    </comment>
    <comment ref="Q112" authorId="0" shapeId="0" xr:uid="{00000000-0006-0000-1300-000034000000}">
      <text>
        <r>
          <rPr>
            <b/>
            <sz val="8"/>
            <color indexed="81"/>
            <rFont val="Tahoma"/>
            <family val="2"/>
          </rPr>
          <t>reedcjr:</t>
        </r>
        <r>
          <rPr>
            <sz val="8"/>
            <color indexed="81"/>
            <rFont val="Tahoma"/>
            <family val="2"/>
          </rPr>
          <t xml:space="preserve">
Illegal catch
</t>
        </r>
      </text>
    </comment>
    <comment ref="L114" authorId="0" shapeId="0" xr:uid="{00000000-0006-0000-1300-000035000000}">
      <text>
        <r>
          <rPr>
            <b/>
            <sz val="8"/>
            <color indexed="81"/>
            <rFont val="Tahoma"/>
            <family val="2"/>
          </rPr>
          <t>reedcjr:</t>
        </r>
        <r>
          <rPr>
            <sz val="8"/>
            <color indexed="81"/>
            <rFont val="Tahoma"/>
            <family val="2"/>
          </rPr>
          <t xml:space="preserve">
Illegal catch
</t>
        </r>
      </text>
    </comment>
    <comment ref="E120" authorId="5" shapeId="0" xr:uid="{00000000-0006-0000-1300-000036000000}">
      <text>
        <r>
          <rPr>
            <b/>
            <sz val="8"/>
            <color indexed="81"/>
            <rFont val="Tahoma"/>
            <family val="2"/>
          </rPr>
          <t>Beeghwlb:</t>
        </r>
        <r>
          <rPr>
            <sz val="8"/>
            <color indexed="81"/>
            <rFont val="Tahoma"/>
            <family val="2"/>
          </rPr>
          <t xml:space="preserve">
illegal
</t>
        </r>
      </text>
    </comment>
    <comment ref="F120" authorId="0" shapeId="0" xr:uid="{00000000-0006-0000-1300-000037000000}">
      <text>
        <r>
          <rPr>
            <b/>
            <sz val="8"/>
            <color indexed="81"/>
            <rFont val="Tahoma"/>
            <family val="2"/>
          </rPr>
          <t>reedcjr:</t>
        </r>
        <r>
          <rPr>
            <sz val="8"/>
            <color indexed="81"/>
            <rFont val="Tahoma"/>
            <family val="2"/>
          </rPr>
          <t xml:space="preserve">
illegal catch
</t>
        </r>
      </text>
    </comment>
    <comment ref="G120" authorId="5" shapeId="0" xr:uid="{00000000-0006-0000-1300-000038000000}">
      <text>
        <r>
          <rPr>
            <b/>
            <sz val="8"/>
            <color indexed="81"/>
            <rFont val="Tahoma"/>
            <family val="2"/>
          </rPr>
          <t>Beeghwlb:</t>
        </r>
        <r>
          <rPr>
            <sz val="8"/>
            <color indexed="81"/>
            <rFont val="Tahoma"/>
            <family val="2"/>
          </rPr>
          <t xml:space="preserve">
illegal
</t>
        </r>
      </text>
    </comment>
    <comment ref="E121" authorId="0" shapeId="0" xr:uid="{00000000-0006-0000-1300-000039000000}">
      <text>
        <r>
          <rPr>
            <b/>
            <sz val="8"/>
            <color indexed="81"/>
            <rFont val="Tahoma"/>
            <family val="2"/>
          </rPr>
          <t>reedcjr:</t>
        </r>
        <r>
          <rPr>
            <sz val="8"/>
            <color indexed="81"/>
            <rFont val="Tahoma"/>
            <family val="2"/>
          </rPr>
          <t xml:space="preserve">
illegal catch
</t>
        </r>
      </text>
    </comment>
    <comment ref="F121" authorId="5" shapeId="0" xr:uid="{00000000-0006-0000-1300-00003A000000}">
      <text>
        <r>
          <rPr>
            <b/>
            <sz val="8"/>
            <color indexed="81"/>
            <rFont val="Tahoma"/>
            <family val="2"/>
          </rPr>
          <t>Beeghwlb:</t>
        </r>
        <r>
          <rPr>
            <sz val="8"/>
            <color indexed="81"/>
            <rFont val="Tahoma"/>
            <family val="2"/>
          </rPr>
          <t xml:space="preserve">
illegal
</t>
        </r>
      </text>
    </comment>
    <comment ref="L127" authorId="0" shapeId="0" xr:uid="{00000000-0006-0000-1300-00003B000000}">
      <text>
        <r>
          <rPr>
            <b/>
            <sz val="8"/>
            <color indexed="81"/>
            <rFont val="Tahoma"/>
            <family val="2"/>
          </rPr>
          <t>reedcjr:</t>
        </r>
        <r>
          <rPr>
            <sz val="8"/>
            <color indexed="81"/>
            <rFont val="Tahoma"/>
            <family val="2"/>
          </rPr>
          <t xml:space="preserve">
Illegal catch
</t>
        </r>
      </text>
    </comment>
    <comment ref="M135" authorId="1" shapeId="0" xr:uid="{00000000-0006-0000-1300-00003C000000}">
      <text>
        <r>
          <rPr>
            <b/>
            <sz val="9"/>
            <color indexed="81"/>
            <rFont val="Tahoma"/>
            <family val="2"/>
          </rPr>
          <t>Wendy Beeghley:</t>
        </r>
        <r>
          <rPr>
            <sz val="9"/>
            <color indexed="81"/>
            <rFont val="Tahoma"/>
            <family val="2"/>
          </rPr>
          <t xml:space="preserve">
Illegal catch
</t>
        </r>
      </text>
    </comment>
    <comment ref="N141" authorId="4" shapeId="0" xr:uid="{00000000-0006-0000-1300-00003D000000}">
      <text>
        <r>
          <rPr>
            <b/>
            <sz val="9"/>
            <color indexed="81"/>
            <rFont val="Tahoma"/>
            <family val="2"/>
          </rPr>
          <t>WLB:</t>
        </r>
        <r>
          <rPr>
            <sz val="9"/>
            <color indexed="81"/>
            <rFont val="Tahoma"/>
            <family val="2"/>
          </rPr>
          <t xml:space="preserve">
Illegal catch in coho non-retention fishery
</t>
        </r>
      </text>
    </comment>
    <comment ref="O141" authorId="4" shapeId="0" xr:uid="{00000000-0006-0000-1300-00003E000000}">
      <text>
        <r>
          <rPr>
            <b/>
            <sz val="9"/>
            <color indexed="81"/>
            <rFont val="Tahoma"/>
            <family val="2"/>
          </rPr>
          <t>WLB:</t>
        </r>
        <r>
          <rPr>
            <sz val="9"/>
            <color indexed="81"/>
            <rFont val="Tahoma"/>
            <family val="2"/>
          </rPr>
          <t xml:space="preserve">
Illegal catch in coho non-retention fishery
</t>
        </r>
      </text>
    </comment>
    <comment ref="H152" authorId="0" shapeId="0" xr:uid="{00000000-0006-0000-1300-00003F000000}">
      <text>
        <r>
          <rPr>
            <b/>
            <sz val="8"/>
            <color indexed="81"/>
            <rFont val="Tahoma"/>
            <family val="2"/>
          </rPr>
          <t>reedcjr:</t>
        </r>
        <r>
          <rPr>
            <sz val="8"/>
            <color indexed="81"/>
            <rFont val="Tahoma"/>
            <family val="2"/>
          </rPr>
          <t xml:space="preserve">
closed 9/3-statewide
</t>
        </r>
      </text>
    </comment>
    <comment ref="Q152" authorId="0" shapeId="0" xr:uid="{00000000-0006-0000-1300-000040000000}">
      <text>
        <r>
          <rPr>
            <b/>
            <sz val="8"/>
            <color indexed="81"/>
            <rFont val="Tahoma"/>
            <family val="2"/>
          </rPr>
          <t>reedcjr:</t>
        </r>
        <r>
          <rPr>
            <sz val="8"/>
            <color indexed="81"/>
            <rFont val="Tahoma"/>
            <family val="2"/>
          </rPr>
          <t xml:space="preserve">
closed 9/3-statewide
</t>
        </r>
      </text>
    </comment>
    <comment ref="H155" authorId="0" shapeId="0" xr:uid="{00000000-0006-0000-1300-000041000000}">
      <text>
        <r>
          <rPr>
            <b/>
            <sz val="8"/>
            <color indexed="81"/>
            <rFont val="Tahoma"/>
            <family val="2"/>
          </rPr>
          <t>reedcjr:</t>
        </r>
        <r>
          <rPr>
            <sz val="8"/>
            <color indexed="81"/>
            <rFont val="Tahoma"/>
            <family val="2"/>
          </rPr>
          <t xml:space="preserve">
closed-statewide
</t>
        </r>
      </text>
    </comment>
    <comment ref="P155" authorId="0" shapeId="0" xr:uid="{00000000-0006-0000-1300-000042000000}">
      <text>
        <r>
          <rPr>
            <b/>
            <sz val="8"/>
            <color indexed="81"/>
            <rFont val="Tahoma"/>
            <family val="2"/>
          </rPr>
          <t>reedcjr:</t>
        </r>
        <r>
          <rPr>
            <sz val="8"/>
            <color indexed="81"/>
            <rFont val="Tahoma"/>
            <family val="2"/>
          </rPr>
          <t xml:space="preserve">
area 1 closed 7/25, area 2 closed 8/19
</t>
        </r>
      </text>
    </comment>
    <comment ref="Q155" authorId="0" shapeId="0" xr:uid="{00000000-0006-0000-1300-000043000000}">
      <text>
        <r>
          <rPr>
            <b/>
            <sz val="8"/>
            <color indexed="81"/>
            <rFont val="Tahoma"/>
            <family val="2"/>
          </rPr>
          <t>reedcjr:</t>
        </r>
        <r>
          <rPr>
            <sz val="8"/>
            <color indexed="81"/>
            <rFont val="Tahoma"/>
            <family val="2"/>
          </rPr>
          <t xml:space="preserve">
closed-statewide
</t>
        </r>
      </text>
    </comment>
    <comment ref="G161" authorId="0" shapeId="0" xr:uid="{00000000-0006-0000-1300-000044000000}">
      <text>
        <r>
          <rPr>
            <b/>
            <sz val="8"/>
            <color indexed="81"/>
            <rFont val="Tahoma"/>
            <family val="2"/>
          </rPr>
          <t>reedcjr:</t>
        </r>
        <r>
          <rPr>
            <sz val="8"/>
            <color indexed="81"/>
            <rFont val="Tahoma"/>
            <family val="2"/>
          </rPr>
          <t xml:space="preserve">
Illegal catch
</t>
        </r>
      </text>
    </comment>
    <comment ref="P161" authorId="0" shapeId="0" xr:uid="{00000000-0006-0000-1300-000045000000}">
      <text>
        <r>
          <rPr>
            <b/>
            <sz val="8"/>
            <color indexed="81"/>
            <rFont val="Tahoma"/>
            <family val="2"/>
          </rPr>
          <t>reedcjr:</t>
        </r>
        <r>
          <rPr>
            <sz val="8"/>
            <color indexed="81"/>
            <rFont val="Tahoma"/>
            <family val="2"/>
          </rPr>
          <t xml:space="preserve">
Illegal catch
</t>
        </r>
      </text>
    </comment>
    <comment ref="E168" authorId="0" shapeId="0" xr:uid="{00000000-0006-0000-1300-000046000000}">
      <text>
        <r>
          <rPr>
            <b/>
            <sz val="8"/>
            <color indexed="81"/>
            <rFont val="Tahoma"/>
            <family val="2"/>
          </rPr>
          <t>reedcjr:</t>
        </r>
        <r>
          <rPr>
            <sz val="8"/>
            <color indexed="81"/>
            <rFont val="Tahoma"/>
            <family val="2"/>
          </rPr>
          <t xml:space="preserve">
illegal catch
</t>
        </r>
      </text>
    </comment>
    <comment ref="F168" authorId="5" shapeId="0" xr:uid="{00000000-0006-0000-1300-000047000000}">
      <text>
        <r>
          <rPr>
            <b/>
            <sz val="8"/>
            <color indexed="81"/>
            <rFont val="Tahoma"/>
            <family val="2"/>
          </rPr>
          <t>Beeghwlb:</t>
        </r>
        <r>
          <rPr>
            <sz val="8"/>
            <color indexed="81"/>
            <rFont val="Tahoma"/>
            <family val="2"/>
          </rPr>
          <t xml:space="preserve">
illegal
</t>
        </r>
      </text>
    </comment>
    <comment ref="G168" authorId="5" shapeId="0" xr:uid="{00000000-0006-0000-1300-000048000000}">
      <text>
        <r>
          <rPr>
            <b/>
            <sz val="8"/>
            <color indexed="81"/>
            <rFont val="Tahoma"/>
            <family val="2"/>
          </rPr>
          <t>Beeghwlb:</t>
        </r>
        <r>
          <rPr>
            <sz val="8"/>
            <color indexed="81"/>
            <rFont val="Tahoma"/>
            <family val="2"/>
          </rPr>
          <t xml:space="preserve">
illegal
</t>
        </r>
      </text>
    </comment>
    <comment ref="E169" authorId="0" shapeId="0" xr:uid="{00000000-0006-0000-1300-000049000000}">
      <text>
        <r>
          <rPr>
            <b/>
            <sz val="8"/>
            <color indexed="81"/>
            <rFont val="Tahoma"/>
            <family val="2"/>
          </rPr>
          <t>reedcjr:</t>
        </r>
        <r>
          <rPr>
            <sz val="8"/>
            <color indexed="81"/>
            <rFont val="Tahoma"/>
            <family val="2"/>
          </rPr>
          <t xml:space="preserve">
Illegal catch
</t>
        </r>
      </text>
    </comment>
    <comment ref="F169" authorId="5" shapeId="0" xr:uid="{00000000-0006-0000-1300-00004A000000}">
      <text>
        <r>
          <rPr>
            <b/>
            <sz val="8"/>
            <color indexed="81"/>
            <rFont val="Tahoma"/>
            <family val="2"/>
          </rPr>
          <t>Beeghwlb:</t>
        </r>
        <r>
          <rPr>
            <sz val="8"/>
            <color indexed="81"/>
            <rFont val="Tahoma"/>
            <family val="2"/>
          </rPr>
          <t xml:space="preserve">
illegal
</t>
        </r>
      </text>
    </comment>
    <comment ref="G169" authorId="5" shapeId="0" xr:uid="{00000000-0006-0000-1300-00004B000000}">
      <text>
        <r>
          <rPr>
            <b/>
            <sz val="8"/>
            <color indexed="81"/>
            <rFont val="Tahoma"/>
            <family val="2"/>
          </rPr>
          <t>Beeghwlb:</t>
        </r>
        <r>
          <rPr>
            <sz val="8"/>
            <color indexed="81"/>
            <rFont val="Tahoma"/>
            <family val="2"/>
          </rPr>
          <t xml:space="preserve">
illegal
</t>
        </r>
      </text>
    </comment>
    <comment ref="M175" authorId="0" shapeId="0" xr:uid="{00000000-0006-0000-1300-00004C000000}">
      <text>
        <r>
          <rPr>
            <b/>
            <sz val="8"/>
            <color indexed="81"/>
            <rFont val="Tahoma"/>
            <family val="2"/>
          </rPr>
          <t>reedcjr:</t>
        </r>
        <r>
          <rPr>
            <sz val="8"/>
            <color indexed="81"/>
            <rFont val="Tahoma"/>
            <family val="2"/>
          </rPr>
          <t xml:space="preserve">
Illegal catch
</t>
        </r>
      </text>
    </comment>
    <comment ref="M183" authorId="1" shapeId="0" xr:uid="{00000000-0006-0000-1300-00004D000000}">
      <text>
        <r>
          <rPr>
            <b/>
            <sz val="9"/>
            <color indexed="81"/>
            <rFont val="Tahoma"/>
            <family val="2"/>
          </rPr>
          <t>Wendy Beeghley:</t>
        </r>
        <r>
          <rPr>
            <sz val="9"/>
            <color indexed="81"/>
            <rFont val="Tahoma"/>
            <family val="2"/>
          </rPr>
          <t xml:space="preserve">
Illegal catch
</t>
        </r>
      </text>
    </comment>
  </commentList>
</comments>
</file>

<file path=xl/sharedStrings.xml><?xml version="1.0" encoding="utf-8"?>
<sst xmlns="http://schemas.openxmlformats.org/spreadsheetml/2006/main" count="22775" uniqueCount="355">
  <si>
    <t>b/  Includes minor effort from November in some years.</t>
  </si>
  <si>
    <t>TABLE A-17.  Washington ocean recreational salmon fishing effort in angler trips by port and statistical month.</t>
  </si>
  <si>
    <t>TABLE A-18.  Washington ocean recreational Chinook and coho salmon landings in numbers of fish by port of landing and statistical month.  (Page 1 of 3)</t>
  </si>
  <si>
    <t>TABLE A-18.  Washington ocean recreational Chinook and coho salmon landings in numbers of fish by port of landing and statistical month.</t>
  </si>
  <si>
    <t>TABLE A-18.  Washington ocean recreational Chinook and coho salmon landings in numbers of fish by port of landing and statistical month.  (Page 2 of 3)</t>
  </si>
  <si>
    <t>TABLE A-18.  Washington ocean recreational Chinook and coho salmon landings in numbers of fish by port of landing and statistical month.  (Page 3 of 3)</t>
  </si>
  <si>
    <t>TABLE A-23.  Cape Falcon to U.S./Mexico border ocean recreational salmon landings in numbers of fish by region and month.</t>
  </si>
  <si>
    <t>TABLE A-11.  Summary of Washington non-Indian commercial troll salmon fishing effort in days fished and landings in numbers of fish by catch area.  (Page 1 of 2)</t>
  </si>
  <si>
    <t>TABLE A-11.  Summary of Washington non-Indian commercial troll salmon fishing effort in days fished and landings in numbers of fish by catch area.  (Page 2 of 2)</t>
  </si>
  <si>
    <t>a/  Includes minor catches made off Oregon and landed in California prior to 2005.</t>
  </si>
  <si>
    <t>1991-1995</t>
  </si>
  <si>
    <t>1990-1995</t>
  </si>
  <si>
    <t>b/ October landings beginning in 2002 occurred during Quileute ceremonial and subsistence fishery.</t>
  </si>
  <si>
    <t>c/  Season totals do not include January-April, October, or November-December treaty troll catches.</t>
  </si>
  <si>
    <t>U.S./Canada Border to Cape Falcon - Non-Indian Total</t>
  </si>
  <si>
    <t>TABLE A-16.  Treaty Indian ocean troll pink salmon landings (odd years only) in numbers of fish by catch area and month.                         (Page 1 of 2)</t>
  </si>
  <si>
    <t>Crescent City</t>
  </si>
  <si>
    <t>Eureka</t>
  </si>
  <si>
    <t>Fort Bragg</t>
  </si>
  <si>
    <t>San Francisco</t>
  </si>
  <si>
    <t>Monterey</t>
  </si>
  <si>
    <t>Oregon</t>
  </si>
  <si>
    <t>Season</t>
  </si>
  <si>
    <t>-</t>
  </si>
  <si>
    <t>1981-1985</t>
  </si>
  <si>
    <t>b/</t>
  </si>
  <si>
    <t>1976-1980</t>
  </si>
  <si>
    <t>Year or Avg.</t>
  </si>
  <si>
    <t>Apr.</t>
  </si>
  <si>
    <t>May</t>
  </si>
  <si>
    <t>June</t>
  </si>
  <si>
    <t>July</t>
  </si>
  <si>
    <t>Aug.</t>
  </si>
  <si>
    <t>Sept.</t>
  </si>
  <si>
    <t>Oct.</t>
  </si>
  <si>
    <t>Total Statewide</t>
  </si>
  <si>
    <t>Feb.</t>
  </si>
  <si>
    <t>Mar.</t>
  </si>
  <si>
    <t>Nov.</t>
  </si>
  <si>
    <t xml:space="preserve">  </t>
  </si>
  <si>
    <t>d/  Preliminary.</t>
  </si>
  <si>
    <t>c/  Preliminary.</t>
  </si>
  <si>
    <t>b/  Preliminary.</t>
  </si>
  <si>
    <t>Year or Average</t>
  </si>
  <si>
    <t>South of Cape Falcon</t>
  </si>
  <si>
    <t>Total All Areas</t>
  </si>
  <si>
    <t>Year</t>
  </si>
  <si>
    <t>Tillamook</t>
  </si>
  <si>
    <t>Newport</t>
  </si>
  <si>
    <t>Coos Bay</t>
  </si>
  <si>
    <t>Brookings</t>
  </si>
  <si>
    <t>Subtotal</t>
  </si>
  <si>
    <t>Alaska</t>
  </si>
  <si>
    <t>Washington</t>
  </si>
  <si>
    <t>California</t>
  </si>
  <si>
    <t>Total</t>
  </si>
  <si>
    <t xml:space="preserve">1981-1985  </t>
  </si>
  <si>
    <t>Ilwaco</t>
  </si>
  <si>
    <t>Westport</t>
  </si>
  <si>
    <t>Neah Bay</t>
  </si>
  <si>
    <t>La Push</t>
  </si>
  <si>
    <t>CHINOOK</t>
  </si>
  <si>
    <t>COHO</t>
  </si>
  <si>
    <t>a/  Summary of Washington Department of Fish and Wildlife fish receiving ticket information by statistical month excluding Washington landings from Oregon, California, and Alaska.</t>
  </si>
  <si>
    <t>b/  Data for September include any catch after September.</t>
  </si>
  <si>
    <t>Jan.-Apr.</t>
  </si>
  <si>
    <t>Area 4B</t>
  </si>
  <si>
    <t>Nov.-Dec.</t>
  </si>
  <si>
    <t>May-Sept.</t>
  </si>
  <si>
    <t>a/  Preliminary.</t>
  </si>
  <si>
    <t>a/  Summary of Washington Department of Fish and Wildlife fish receiving ticket information by statistical month, excluding Washington landings from Oregon, California, and Alaska.</t>
  </si>
  <si>
    <t>c/  Neah Bay area includes effort and catches from Strait of Juan de Fuca Area 4B.</t>
  </si>
  <si>
    <t>c/  Includes effort from the North Jetty when the ocean fishery was open; does not include effort reported as occurring inside the Columbia River mouth (North Jetty effort when the ocean fishery was closed and Buoy 10 was open).</t>
  </si>
  <si>
    <t xml:space="preserve">    June</t>
  </si>
  <si>
    <t xml:space="preserve">    July</t>
  </si>
  <si>
    <t>Dec.</t>
  </si>
  <si>
    <t xml:space="preserve">     Season</t>
  </si>
  <si>
    <t>Total South of Cape Falcon</t>
  </si>
  <si>
    <t>1986-1990</t>
  </si>
  <si>
    <t xml:space="preserve">     May</t>
  </si>
  <si>
    <t xml:space="preserve">     June</t>
  </si>
  <si>
    <t xml:space="preserve">       July</t>
  </si>
  <si>
    <t xml:space="preserve">          Aug.</t>
  </si>
  <si>
    <t xml:space="preserve">           Sept.</t>
  </si>
  <si>
    <t xml:space="preserve">         Oct.</t>
  </si>
  <si>
    <t>U.S./Canada Border to Leadbetter Pt. - Non-Indian</t>
  </si>
  <si>
    <t>Leadbetter Pt. to Cape Falcon - Non-Indian</t>
  </si>
  <si>
    <t>U.S./Canada Border  to Cape Falcon - Non-Indian</t>
  </si>
  <si>
    <t>a/  Monthly totals for Oregon data are the sum of statistical weeks with closest fit to the calendar month.  Washington data are summarized by statistical month.</t>
  </si>
  <si>
    <t xml:space="preserve">July  </t>
  </si>
  <si>
    <t xml:space="preserve">Aug.  </t>
  </si>
  <si>
    <t xml:space="preserve">July    </t>
  </si>
  <si>
    <t xml:space="preserve">Aug.    </t>
  </si>
  <si>
    <t>U.S./Canada Border to Cape Falcon - Non-Indian</t>
  </si>
  <si>
    <t xml:space="preserve">    May</t>
  </si>
  <si>
    <t xml:space="preserve">   July</t>
  </si>
  <si>
    <t xml:space="preserve">   Aug.</t>
  </si>
  <si>
    <t xml:space="preserve">    Sept.</t>
  </si>
  <si>
    <t xml:space="preserve">  Oct.</t>
  </si>
  <si>
    <t>Leadbetter Pt. to Cape Falcon</t>
  </si>
  <si>
    <t>a/  Includes minor effort off Oregon for fish landed in California.</t>
  </si>
  <si>
    <t>Statewide Total</t>
  </si>
  <si>
    <t>Astoria</t>
  </si>
  <si>
    <t>DAYS FISHED</t>
  </si>
  <si>
    <t>CHINOOK LANDINGS</t>
  </si>
  <si>
    <t>COHO LANDINGS</t>
  </si>
  <si>
    <t>--</t>
  </si>
  <si>
    <t>c/  Season totals do not include October treaty troll catches.</t>
  </si>
  <si>
    <t>April</t>
  </si>
  <si>
    <t>1987-1989</t>
  </si>
  <si>
    <t>a/  Odd year averages only.</t>
  </si>
  <si>
    <t>or Avg.</t>
  </si>
  <si>
    <t>PINKS</t>
  </si>
  <si>
    <t xml:space="preserve">                               OREGON AREA EFFORT</t>
  </si>
  <si>
    <t>_</t>
  </si>
  <si>
    <t>YEAR</t>
  </si>
  <si>
    <t>APR</t>
  </si>
  <si>
    <t>MAY</t>
  </si>
  <si>
    <t>JUN</t>
  </si>
  <si>
    <t>JUL</t>
  </si>
  <si>
    <t>AUG</t>
  </si>
  <si>
    <t>SEP</t>
  </si>
  <si>
    <t>OCT</t>
  </si>
  <si>
    <t>TOTAL</t>
  </si>
  <si>
    <t xml:space="preserve">                               OREGON AREA CHINOOK</t>
  </si>
  <si>
    <t xml:space="preserve">                               OREGON AREA COHO</t>
  </si>
  <si>
    <t>c/  Includes catch from the Washington State waters Area 4B fishery in 1991, 1992, 1993, 1996, 1997, 1998, 2000, and 2008.</t>
  </si>
  <si>
    <t>a/  Neah Bay and La Push statistics do not include estimates of 707 Chinook killed during Chinook nonretention fishery (July 19-August 20, 1987).</t>
  </si>
  <si>
    <t>TABLE A-14.  Treaty Indian ocean troll salmon fishing effort in deliveries by catch area and month.</t>
  </si>
  <si>
    <t>TABLE A-15.  Treaty Indian ocean troll Chinook and coho salmon landings in numbers of fish by catch area and month.</t>
  </si>
  <si>
    <t>TABLE A-15.  Treaty Indian ocean troll Chinook and coho salmon landings in numbers of fish by catch area and month.  (Page 1 of 3)</t>
  </si>
  <si>
    <t>TABLE A-15.  Treaty Indian ocean troll Chinook and coho salmon landings in numbers of fish by catch area and month.  (Page 2 of 3)</t>
  </si>
  <si>
    <t>b/  October, season, and total catch for the following port areas and years includes the following catch in November:  Astoria 1976 - 29 coho; Tillamook 1976 - 38 coho; Newport 1976 - 22 coho; Coos Bay 1976 - 66 coho; Brookings 1976 - 367 coho.</t>
  </si>
  <si>
    <t>TABLE A-15.  Treaty Indian ocean troll Chinook and coho salmon landings in numbers of fish by catch area and month.  (Page 3 of 3)</t>
  </si>
  <si>
    <t>TABLE A-16.  Treaty Indian ocean troll pink salmon landings (odd years only) in numbers of fish by catch area and month.</t>
  </si>
  <si>
    <t>b/  Includes catch from the Washington State waters Area 4B fishery in 1991, 1992, 1993, 1996, 1997, 1998, 2000, and 2008.</t>
  </si>
  <si>
    <t>a/  Days fished and landings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t>
  </si>
  <si>
    <t>Pink</t>
  </si>
  <si>
    <t>TABLE A-19.  Washington ocean recreational pink salmon landings in numbers of fish by port of landing and statistical month.  (Page 1 of 2)</t>
  </si>
  <si>
    <t>TABLE A-20.  Cape Falcon to U.S./Mexico border commercial troll salmon fishing effort in days fished by region and month.  (Page 1 of 2)</t>
  </si>
  <si>
    <t>TABLE A-21.  Cape Falcon to U.S./Mexico border commercial troll Chinook and coho salmon landings in numbers of fish by region and month.  (Page 1 of 2)</t>
  </si>
  <si>
    <t>TABLE A-21.  Cape Falcon to U.S./Mexico border commercial troll Chinook and coho salmon landings in numbers of fish by region and month.  (Page 2 of 2)</t>
  </si>
  <si>
    <t>TABLE A-23.  Cape Falcon to U.S./Mexico border ocean recreational salmon landings in numbers of fish by region and month.  (Page 1 of 2)</t>
  </si>
  <si>
    <t>TABLE A-23.  Cape Falcon to U.S./Mexico border ocean recreational salmon landings in numbers of fish by region and month.  (Page 2 of 2)</t>
  </si>
  <si>
    <t>1996-2000</t>
  </si>
  <si>
    <t>a/  Includes effort from the Washington State waters Area 4B fishery (none in 1994 or 1999).</t>
  </si>
  <si>
    <t>TABLE A-14.  Treaty Indian ocean troll salmon fishing effort in deliveries by catch area and month.  (Page 1 of 2)</t>
  </si>
  <si>
    <t>1997-1999</t>
  </si>
  <si>
    <t>a/  Monthly totals for Oregon data are the sum of statistical weeks with closest fit to the calendar month.</t>
  </si>
  <si>
    <t>TABLE A-19.  Washington ocean recreational pink salmon landings in numbers of fish by port of landing and statistical month.  
(Page 2 of 2)</t>
  </si>
  <si>
    <t>b/  October effort beginning in 2002 occurred during Quileute ceremonial and subsistence fishery.</t>
  </si>
  <si>
    <t>TABLE A-16.  Treaty Indian ocean troll pink salmon landings (odd years only) in numbers of fish by catch area and month.       
(Page 2 of 2)</t>
  </si>
  <si>
    <t xml:space="preserve"> (Page 2 of 2)</t>
  </si>
  <si>
    <t xml:space="preserve"> May-Sept.</t>
  </si>
  <si>
    <t>TABLE A-2.  California commercial troll salmon fishing effort in days fished by catch area and month.  (Page 2 of 2)</t>
  </si>
  <si>
    <t>TABLE A-2.  California commercial troll salmon fishing effort in days fished by catch area and month.</t>
  </si>
  <si>
    <t>TABLE A-2.  California commercial troll salmon fishing effort in days fished by catch area and month.  (Page 1 of 2)</t>
  </si>
  <si>
    <t>TABLE A-3.  California commercial troll Chinook and coho salmon landings in numbers of fish by catch area and month.  (Page 3 of 3)</t>
  </si>
  <si>
    <t>TABLE A-3.  California commercial troll Chinook and coho salmon landings in numbers of fish by catch area and month.</t>
  </si>
  <si>
    <t>TABLE A-3.  California commercial troll Chinook and coho salmon landings in numbers of fish by catch area and month.  (Page 1 of 3)</t>
  </si>
  <si>
    <t>TABLE A-3.  California commercial troll Chinook and coho salmon landings in numbers of fish by catch area and month.  (Page 2 of 3)</t>
  </si>
  <si>
    <t>TABLE A-5.  California ocean recreational salmon landings in numbers of fish by catch area and month.</t>
  </si>
  <si>
    <t>TABLE A-4.  California ocean recreational salmon fishing effort in angler trips by catch area and month.  (Page 1 of 3)</t>
  </si>
  <si>
    <t>TABLE A-4.  California ocean recreational salmon fishing effort in angler trips by catch area and month.  (Page 2 of 3)</t>
  </si>
  <si>
    <t>TABLE A-4.  California ocean recreational salmon fishing effort in angler trips by catch area and month.  (Page 3 of 3)</t>
  </si>
  <si>
    <t>TABLE A-4.  California ocean recreational salmon fishing effort in angler trips by catch area and month.</t>
  </si>
  <si>
    <t>2001-2005</t>
  </si>
  <si>
    <t>a/  Monthly totals are the sum of statistical weeks with closest fit to the calendar month and may include illegal catch.  The 1976-1980 catch is from combined salmon/steelhead punch card and sampled port data.  Since 1981, data is from sampled ports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</si>
  <si>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 -</t>
  </si>
  <si>
    <t>a/  Summary of ODFW fish receiving ticket information. Beginning in 1979, monthly totals are the sum of statistical weeks with closest fit to the calendar month. Excludes effort occurring off Alaska, Washington, and California.  Days fished data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t>
  </si>
  <si>
    <t>b/  Data for September include any effort after September.</t>
  </si>
  <si>
    <t>TABLE A-22.  Cape Falcon to U.S./Mexico border ocean recreational fishing effort in salmon angler trips by region and month.</t>
  </si>
  <si>
    <t>linked to A-12 and A-13</t>
  </si>
  <si>
    <t>c/  Treaty troll effort in number of landings, which closely approximates days fished because treaty Indian fishers do not usually make multi-day trips.  Season totals do not include January-April, October, or November-December treaty troll effort.</t>
  </si>
  <si>
    <t>b/  Includes minor effort in November in some years.</t>
  </si>
  <si>
    <t>a/  Monthly totals are the sum of statistical weeks with closest fit to the calendar month.  Since 1981, data from sampled ports only.  Effort consists of salmon angler trips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</si>
  <si>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a/  Monthly totals are the sum of statistical weeks with closest fit to the calendar month and may include illegal catch.  Data is from sampled ports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t>
  </si>
  <si>
    <t>TABLE A-5.  California ocean recreational salmon landings in numbers of fish by catch area and month.  (Page 1 of 3)</t>
  </si>
  <si>
    <t>TABLE A-5.  California ocean recreational salmon landings in numbers of fish by catch area and month.  (Page 2 of 3)</t>
  </si>
  <si>
    <t>TABLE A-5.  California ocean recreational salmon landings in numbers of fish by catch area and month.  (Page 3 of 3)</t>
  </si>
  <si>
    <t>linked to A-7 and A-8</t>
  </si>
  <si>
    <t>Pulls from A-18</t>
  </si>
  <si>
    <t>b/  Commercial fishery closed in all months except August 2002 (27 days fished) and September 2001-2005 (quota fisheries);  all other harvest occurred in Oregon waters but was landed in Crescent City.</t>
  </si>
  <si>
    <t>b/  Commercial fishery closed all months except Aug. 2002 (681 Chinook) and Sept. 2001-2005;  all other harvest occurred in Oregon waters but was landed in Crescent City.</t>
  </si>
  <si>
    <t>Oregon Only (NOF) troll Pink Landings</t>
  </si>
  <si>
    <t>a/  Neah Bay data include landings from Strait of Juan de Fuca Area 4B.</t>
  </si>
  <si>
    <t xml:space="preserve">- </t>
  </si>
  <si>
    <t>b/  Includes catch from the Washington State waters Area 4B fishery.</t>
  </si>
  <si>
    <t>TABLE A-22.  Cape Falcon to U.S./Mexico Border ocean recreational fishing effort in salmon angler trips by region and month.  
(Page 2 of 2)</t>
  </si>
  <si>
    <t>or Ave.</t>
  </si>
  <si>
    <t xml:space="preserve">TABLE A-1.  Summary of California commercial troll salmon fishing effort in days fished and landings in numbers of fish by catch area.  </t>
  </si>
  <si>
    <r>
      <t>TABLE A-12.  Washington non-Indian commercial troll salmon fishing effort in days fished by catch area and month.</t>
    </r>
    <r>
      <rPr>
        <vertAlign val="superscript"/>
        <sz val="8"/>
        <rFont val="Arial"/>
        <family val="2"/>
      </rPr>
      <t>a/</t>
    </r>
  </si>
  <si>
    <r>
      <t>Neah Bay</t>
    </r>
    <r>
      <rPr>
        <u/>
        <vertAlign val="superscript"/>
        <sz val="8"/>
        <rFont val="Arial"/>
        <family val="2"/>
      </rPr>
      <t>c/</t>
    </r>
  </si>
  <si>
    <r>
      <t>1989</t>
    </r>
    <r>
      <rPr>
        <vertAlign val="superscript"/>
        <sz val="8"/>
        <rFont val="Arial"/>
        <family val="2"/>
      </rPr>
      <t>a/</t>
    </r>
  </si>
  <si>
    <r>
      <t>1990</t>
    </r>
    <r>
      <rPr>
        <vertAlign val="superscript"/>
        <sz val="8"/>
        <rFont val="Arial"/>
        <family val="2"/>
      </rPr>
      <t>a/</t>
    </r>
  </si>
  <si>
    <r>
      <t>1991</t>
    </r>
    <r>
      <rPr>
        <vertAlign val="superscript"/>
        <sz val="8"/>
        <rFont val="Arial"/>
        <family val="2"/>
      </rPr>
      <t>a/</t>
    </r>
  </si>
  <si>
    <r>
      <t>1992</t>
    </r>
    <r>
      <rPr>
        <vertAlign val="superscript"/>
        <sz val="8"/>
        <rFont val="Arial"/>
        <family val="2"/>
      </rPr>
      <t>a/</t>
    </r>
  </si>
  <si>
    <r>
      <t>1993</t>
    </r>
    <r>
      <rPr>
        <vertAlign val="superscript"/>
        <sz val="8"/>
        <rFont val="Arial"/>
        <family val="2"/>
      </rPr>
      <t>a/</t>
    </r>
  </si>
  <si>
    <r>
      <t>1995</t>
    </r>
    <r>
      <rPr>
        <vertAlign val="superscript"/>
        <sz val="8"/>
        <rFont val="Arial"/>
        <family val="2"/>
      </rPr>
      <t>a/</t>
    </r>
  </si>
  <si>
    <r>
      <t>1996</t>
    </r>
    <r>
      <rPr>
        <vertAlign val="superscript"/>
        <sz val="8"/>
        <rFont val="Arial"/>
        <family val="2"/>
      </rPr>
      <t>a/</t>
    </r>
  </si>
  <si>
    <r>
      <t>1997</t>
    </r>
    <r>
      <rPr>
        <vertAlign val="superscript"/>
        <sz val="8"/>
        <rFont val="Arial"/>
        <family val="2"/>
      </rPr>
      <t>a/</t>
    </r>
  </si>
  <si>
    <r>
      <t>1998</t>
    </r>
    <r>
      <rPr>
        <vertAlign val="superscript"/>
        <sz val="8"/>
        <rFont val="Arial"/>
        <family val="2"/>
      </rPr>
      <t>a/</t>
    </r>
  </si>
  <si>
    <r>
      <t>2000</t>
    </r>
    <r>
      <rPr>
        <vertAlign val="superscript"/>
        <sz val="8"/>
        <rFont val="Arial"/>
        <family val="2"/>
      </rPr>
      <t>a/</t>
    </r>
  </si>
  <si>
    <r>
      <t>1991</t>
    </r>
    <r>
      <rPr>
        <vertAlign val="superscript"/>
        <sz val="8"/>
        <rFont val="Arial"/>
        <family val="2"/>
      </rPr>
      <t>b/</t>
    </r>
  </si>
  <si>
    <r>
      <t>1992</t>
    </r>
    <r>
      <rPr>
        <vertAlign val="superscript"/>
        <sz val="8"/>
        <rFont val="Arial"/>
        <family val="2"/>
      </rPr>
      <t>b/</t>
    </r>
  </si>
  <si>
    <r>
      <t>1993</t>
    </r>
    <r>
      <rPr>
        <vertAlign val="superscript"/>
        <sz val="8"/>
        <rFont val="Arial"/>
        <family val="2"/>
      </rPr>
      <t>b/</t>
    </r>
  </si>
  <si>
    <r>
      <t>1996</t>
    </r>
    <r>
      <rPr>
        <vertAlign val="superscript"/>
        <sz val="8"/>
        <rFont val="Arial"/>
        <family val="2"/>
      </rPr>
      <t>b/</t>
    </r>
  </si>
  <si>
    <r>
      <t>1997</t>
    </r>
    <r>
      <rPr>
        <vertAlign val="superscript"/>
        <sz val="8"/>
        <rFont val="Arial"/>
        <family val="2"/>
      </rPr>
      <t>b/</t>
    </r>
  </si>
  <si>
    <r>
      <t>1998</t>
    </r>
    <r>
      <rPr>
        <vertAlign val="superscript"/>
        <sz val="8"/>
        <rFont val="Arial"/>
        <family val="2"/>
      </rPr>
      <t>b/</t>
    </r>
  </si>
  <si>
    <r>
      <t>2000</t>
    </r>
    <r>
      <rPr>
        <vertAlign val="superscript"/>
        <sz val="8"/>
        <rFont val="Arial"/>
        <family val="2"/>
      </rPr>
      <t>b/</t>
    </r>
  </si>
  <si>
    <r>
      <t>2008</t>
    </r>
    <r>
      <rPr>
        <vertAlign val="superscript"/>
        <sz val="8"/>
        <rFont val="Arial"/>
        <family val="2"/>
      </rPr>
      <t>b/</t>
    </r>
  </si>
  <si>
    <r>
      <t>Ilwaco</t>
    </r>
    <r>
      <rPr>
        <u/>
        <vertAlign val="superscript"/>
        <sz val="8"/>
        <rFont val="Arial"/>
        <family val="2"/>
      </rPr>
      <t>d/</t>
    </r>
  </si>
  <si>
    <r>
      <t>Year or Avg.</t>
    </r>
    <r>
      <rPr>
        <vertAlign val="superscript"/>
        <sz val="8"/>
        <rFont val="Arial"/>
        <family val="2"/>
      </rPr>
      <t>a/</t>
    </r>
  </si>
  <si>
    <r>
      <t xml:space="preserve">TABLE A-7.  </t>
    </r>
    <r>
      <rPr>
        <b/>
        <sz val="8"/>
        <rFont val="Arial"/>
        <family val="2"/>
      </rPr>
      <t>Oregon commercial</t>
    </r>
    <r>
      <rPr>
        <sz val="8"/>
        <rFont val="Arial"/>
        <family val="2"/>
      </rPr>
      <t xml:space="preserve"> troll salmon fishing </t>
    </r>
    <r>
      <rPr>
        <b/>
        <sz val="8"/>
        <rFont val="Arial"/>
        <family val="2"/>
      </rPr>
      <t>effort</t>
    </r>
    <r>
      <rPr>
        <sz val="8"/>
        <rFont val="Arial"/>
        <family val="2"/>
      </rPr>
      <t xml:space="preserve"> in days fished by area and month.</t>
    </r>
    <r>
      <rPr>
        <vertAlign val="superscript"/>
        <sz val="8"/>
        <rFont val="Arial"/>
        <family val="2"/>
      </rPr>
      <t>a/</t>
    </r>
  </si>
  <si>
    <r>
      <t>a/ Monthly totals are the sum of statistical weeks with closest fit to the calendar month.  Excludes harvests off Alaska</t>
    </r>
    <r>
      <rPr>
        <strike/>
        <sz val="8"/>
        <rFont val="Arial"/>
        <family val="2"/>
      </rPr>
      <t>,</t>
    </r>
    <r>
      <rPr>
        <sz val="8"/>
        <rFont val="Arial"/>
        <family val="2"/>
      </rPr>
      <t xml:space="preserve"> Washington (north of Leadbetter Point)</t>
    </r>
    <r>
      <rPr>
        <strike/>
        <sz val="8"/>
        <rFont val="Arial"/>
        <family val="2"/>
      </rPr>
      <t>,</t>
    </r>
    <r>
      <rPr>
        <sz val="8"/>
        <rFont val="Arial"/>
        <family val="2"/>
      </rPr>
      <t xml:space="preserve"> and California that were landed in Oregon.  Landings are reported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1988 includes Florence through Bandon and after 1987 includes Florence through Port Orford; Brookings area prior to 1988 includes Port Orford through Brookings and after 1987 includes Gold Beach through Brookings.   Values include state-waters only terminal area fisheries.</t>
    </r>
  </si>
  <si>
    <r>
      <t>TABLE A-8.  Oregon commercial troll Chinook and coho salmon landings in numbers of fish by catch area and month.</t>
    </r>
    <r>
      <rPr>
        <vertAlign val="superscript"/>
        <sz val="8"/>
        <rFont val="Arial"/>
        <family val="2"/>
      </rPr>
      <t>a/</t>
    </r>
  </si>
  <si>
    <r>
      <t>TABLE A-9.  Oregon ocean recreational effort in salmon angler trips by catch area and month.</t>
    </r>
    <r>
      <rPr>
        <vertAlign val="superscript"/>
        <sz val="8"/>
        <rFont val="Arial"/>
        <family val="2"/>
      </rPr>
      <t>a/</t>
    </r>
  </si>
  <si>
    <r>
      <t>TABLE A-10.  Oregon ocean recreational salmon landings in numbers of fish by catch area and month.</t>
    </r>
    <r>
      <rPr>
        <vertAlign val="superscript"/>
        <sz val="8"/>
        <rFont val="Arial"/>
        <family val="2"/>
      </rPr>
      <t>a/</t>
    </r>
  </si>
  <si>
    <r>
      <t>Oct.</t>
    </r>
    <r>
      <rPr>
        <vertAlign val="superscript"/>
        <sz val="8"/>
        <rFont val="Arial"/>
        <family val="2"/>
      </rPr>
      <t>b/</t>
    </r>
  </si>
  <si>
    <r>
      <t>Season</t>
    </r>
    <r>
      <rPr>
        <vertAlign val="superscript"/>
        <sz val="8"/>
        <rFont val="Arial"/>
        <family val="2"/>
      </rPr>
      <t>b/</t>
    </r>
  </si>
  <si>
    <r>
      <t>La Push</t>
    </r>
    <r>
      <rPr>
        <vertAlign val="superscript"/>
        <sz val="8"/>
        <rFont val="Arial"/>
        <family val="2"/>
      </rPr>
      <t>b/</t>
    </r>
  </si>
  <si>
    <r>
      <t>La Push</t>
    </r>
    <r>
      <rPr>
        <u/>
        <vertAlign val="superscript"/>
        <sz val="8"/>
        <rFont val="Arial"/>
        <family val="2"/>
      </rPr>
      <t>b/</t>
    </r>
  </si>
  <si>
    <r>
      <t>TABLE A-6.  Summary of Oregon commercial troll salmon fishing effort in days fished and landings in numbers of fish by catch area.</t>
    </r>
    <r>
      <rPr>
        <vertAlign val="superscript"/>
        <sz val="8"/>
        <rFont val="Arial"/>
        <family val="2"/>
      </rPr>
      <t>a/</t>
    </r>
    <r>
      <rPr>
        <sz val="8"/>
        <rFont val="Arial"/>
        <family val="2"/>
      </rPr>
      <t xml:space="preserve">  (Page 1 of 2)</t>
    </r>
  </si>
  <si>
    <r>
      <t>PINK LANDINGS</t>
    </r>
    <r>
      <rPr>
        <vertAlign val="superscript"/>
        <sz val="8"/>
        <rFont val="Arial"/>
        <family val="2"/>
      </rPr>
      <t>c/</t>
    </r>
  </si>
  <si>
    <r>
      <t xml:space="preserve">TABLE A-20.  Cape Falcon to U.S./Mexico border </t>
    </r>
    <r>
      <rPr>
        <b/>
        <sz val="8"/>
        <rFont val="Arial"/>
        <family val="2"/>
      </rPr>
      <t>commercial</t>
    </r>
    <r>
      <rPr>
        <sz val="8"/>
        <rFont val="Arial"/>
        <family val="2"/>
      </rPr>
      <t xml:space="preserve"> troll salmon fishing </t>
    </r>
    <r>
      <rPr>
        <b/>
        <sz val="8"/>
        <rFont val="Arial"/>
        <family val="2"/>
      </rPr>
      <t>effort in days</t>
    </r>
    <r>
      <rPr>
        <sz val="8"/>
        <rFont val="Arial"/>
        <family val="2"/>
      </rPr>
      <t xml:space="preserve"> fished by region and month.</t>
    </r>
  </si>
  <si>
    <r>
      <t>Cape Falcon to Humbug Mt.</t>
    </r>
    <r>
      <rPr>
        <u/>
        <vertAlign val="superscript"/>
        <sz val="8"/>
        <rFont val="Arial"/>
        <family val="2"/>
      </rPr>
      <t>a/</t>
    </r>
  </si>
  <si>
    <r>
      <t>Total South of Cape Falcon</t>
    </r>
    <r>
      <rPr>
        <b/>
        <u/>
        <vertAlign val="superscript"/>
        <sz val="8"/>
        <rFont val="Arial"/>
        <family val="2"/>
      </rPr>
      <t xml:space="preserve"> a/</t>
    </r>
  </si>
  <si>
    <r>
      <t>2015</t>
    </r>
    <r>
      <rPr>
        <vertAlign val="superscript"/>
        <sz val="8"/>
        <rFont val="Arial"/>
        <family val="2"/>
      </rPr>
      <t>a/</t>
    </r>
  </si>
  <si>
    <r>
      <t>TABLE A-24.  U.S./Canada border to Cape Falcon commercial troll salmon fishing effort in days fished by area and month.</t>
    </r>
    <r>
      <rPr>
        <vertAlign val="superscript"/>
        <sz val="8"/>
        <rFont val="Arial"/>
        <family val="2"/>
      </rPr>
      <t>a/</t>
    </r>
    <r>
      <rPr>
        <sz val="8"/>
        <rFont val="Arial"/>
        <family val="2"/>
      </rPr>
      <t xml:space="preserve"> </t>
    </r>
  </si>
  <si>
    <r>
      <t>U.S./Canada Border to Leadbetter Pt. - Treaty Indian</t>
    </r>
    <r>
      <rPr>
        <u/>
        <vertAlign val="superscript"/>
        <sz val="8"/>
        <rFont val="Arial"/>
        <family val="2"/>
      </rPr>
      <t>c/</t>
    </r>
  </si>
  <si>
    <r>
      <t>U.S./Canada Border to Leadbetter Pt. - Total</t>
    </r>
    <r>
      <rPr>
        <b/>
        <u/>
        <vertAlign val="superscript"/>
        <sz val="8"/>
        <rFont val="Arial"/>
        <family val="2"/>
      </rPr>
      <t>c/</t>
    </r>
  </si>
  <si>
    <r>
      <t>U.S./Canada Border  to Cape Falcon - Treaty Indian Total</t>
    </r>
    <r>
      <rPr>
        <b/>
        <u/>
        <vertAlign val="superscript"/>
        <sz val="8"/>
        <rFont val="Arial"/>
        <family val="2"/>
      </rPr>
      <t>c/</t>
    </r>
  </si>
  <si>
    <r>
      <t>U.S./Canada Border  to Cape Falcon - Total</t>
    </r>
    <r>
      <rPr>
        <b/>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</si>
  <si>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</si>
  <si>
    <r>
      <t>U.S./Canada Border  to Cape Falcon - Treaty Indian</t>
    </r>
    <r>
      <rPr>
        <u/>
        <vertAlign val="superscript"/>
        <sz val="8"/>
        <rFont val="Arial"/>
        <family val="2"/>
      </rPr>
      <t>c/</t>
    </r>
  </si>
  <si>
    <r>
      <t>TABLE A-26.  U.S./Canada border to Cape Falcon ocean troll pink salmon landings in numbers of fish by catch area and month (odd-year averages).</t>
    </r>
    <r>
      <rPr>
        <vertAlign val="superscript"/>
        <sz val="8"/>
        <rFont val="Arial"/>
        <family val="2"/>
      </rPr>
      <t>a/</t>
    </r>
  </si>
  <si>
    <r>
      <t>TABLE A-27.  U.S./Canada border to Cape Falcon ocean recreational fishing effort in salmon angler trips by area and month.</t>
    </r>
    <r>
      <rPr>
        <vertAlign val="superscript"/>
        <sz val="8"/>
        <rFont val="Arial"/>
        <family val="2"/>
      </rPr>
      <t>a/</t>
    </r>
  </si>
  <si>
    <r>
      <t>U.S./Canada Border to Leadbetter Pt.</t>
    </r>
    <r>
      <rPr>
        <u/>
        <vertAlign val="superscript"/>
        <sz val="8"/>
        <rFont val="Arial"/>
        <family val="2"/>
      </rPr>
      <t>c/</t>
    </r>
  </si>
  <si>
    <r>
      <t>U.S./Canada Border to Cape Falcon</t>
    </r>
    <r>
      <rPr>
        <u/>
        <vertAlign val="superscript"/>
        <sz val="8"/>
        <rFont val="Arial"/>
        <family val="2"/>
      </rPr>
      <t>c/</t>
    </r>
  </si>
  <si>
    <r>
      <t>TABLE A-28.  U.S./Canada border to Cape Falcon ocean recreational Chinook and coho salmon landings in numbers of fish by area and month.</t>
    </r>
    <r>
      <rPr>
        <vertAlign val="superscript"/>
        <sz val="8"/>
        <rFont val="Arial"/>
        <family val="2"/>
      </rPr>
      <t>a/</t>
    </r>
    <r>
      <rPr>
        <sz val="8"/>
        <rFont val="Arial"/>
        <family val="2"/>
      </rPr>
      <t xml:space="preserve">  (Page 1 of 2)</t>
    </r>
  </si>
  <si>
    <r>
      <t>U.S./Canada Border to Leadbetter Pt.</t>
    </r>
    <r>
      <rPr>
        <u/>
        <vertAlign val="superscript"/>
        <sz val="8"/>
        <rFont val="Arial"/>
        <family val="2"/>
      </rPr>
      <t>b/</t>
    </r>
  </si>
  <si>
    <r>
      <t xml:space="preserve">U.S./Canada Border to Cape Falcon </t>
    </r>
    <r>
      <rPr>
        <u/>
        <sz val="8"/>
        <rFont val="Arial"/>
        <family val="2"/>
      </rPr>
      <t>c/</t>
    </r>
  </si>
  <si>
    <r>
      <t>Total Statewide</t>
    </r>
    <r>
      <rPr>
        <b/>
        <vertAlign val="superscript"/>
        <sz val="8"/>
        <rFont val="Arial"/>
        <family val="2"/>
      </rPr>
      <t>a/</t>
    </r>
  </si>
  <si>
    <r>
      <t>Crescent City</t>
    </r>
    <r>
      <rPr>
        <vertAlign val="superscript"/>
        <sz val="8"/>
        <rFont val="Arial"/>
        <family val="2"/>
      </rPr>
      <t>a/</t>
    </r>
  </si>
  <si>
    <r>
      <t>Total Statewide</t>
    </r>
    <r>
      <rPr>
        <vertAlign val="superscript"/>
        <sz val="8"/>
        <rFont val="Arial"/>
        <family val="2"/>
      </rPr>
      <t>a/</t>
    </r>
  </si>
  <si>
    <r>
      <t>TABLE A-6.  Summary of Oregon commercial troll salmon fishing effort in days fished and landings in numbers of fish by catch area.</t>
    </r>
    <r>
      <rPr>
        <vertAlign val="superscript"/>
        <sz val="8"/>
        <rFont val="Arial"/>
        <family val="2"/>
      </rPr>
      <t>a/</t>
    </r>
    <r>
      <rPr>
        <sz val="8"/>
        <rFont val="Arial"/>
        <family val="2"/>
      </rPr>
      <t xml:space="preserve">  (Page 2 of 2)</t>
    </r>
  </si>
  <si>
    <r>
      <t>U.S./Canada Border  to Cape Falcon - Treaty Indian</t>
    </r>
    <r>
      <rPr>
        <u/>
        <vertAlign val="superscript"/>
        <sz val="8"/>
        <rFont val="Arial"/>
        <family val="2"/>
      </rPr>
      <t>b/</t>
    </r>
  </si>
  <si>
    <r>
      <t>U.S./Canada Border to Leadbetter Pt. - Treaty Indian</t>
    </r>
    <r>
      <rPr>
        <u/>
        <vertAlign val="superscript"/>
        <sz val="8"/>
        <rFont val="Arial"/>
        <family val="2"/>
      </rPr>
      <t>b/</t>
    </r>
  </si>
  <si>
    <r>
      <t>U.S./Canada Border to Leadbetter Pt. - Total</t>
    </r>
    <r>
      <rPr>
        <b/>
        <u/>
        <vertAlign val="superscript"/>
        <sz val="8"/>
        <rFont val="Arial"/>
        <family val="2"/>
      </rPr>
      <t>b/</t>
    </r>
  </si>
  <si>
    <r>
      <t>U.S./Canada Border  to Cape Falcon - Total</t>
    </r>
    <r>
      <rPr>
        <u/>
        <vertAlign val="superscript"/>
        <sz val="8"/>
        <rFont val="Arial"/>
        <family val="2"/>
      </rPr>
      <t>b/</t>
    </r>
  </si>
  <si>
    <t>b/  Season totals do not include October treaty troll catches.</t>
  </si>
  <si>
    <r>
      <t>Sept.</t>
    </r>
    <r>
      <rPr>
        <vertAlign val="superscript"/>
        <sz val="8"/>
        <rFont val="Arial"/>
        <family val="2"/>
      </rPr>
      <t>b/</t>
    </r>
  </si>
  <si>
    <r>
      <t>Neah Bay</t>
    </r>
    <r>
      <rPr>
        <vertAlign val="superscript"/>
        <sz val="8"/>
        <rFont val="Arial"/>
        <family val="2"/>
      </rPr>
      <t>a/</t>
    </r>
  </si>
  <si>
    <t>TABLE A-22.  Cape Falcon to U.S./Mexico Border ocean recreational fishing effort in salmon angler trips by region and month.           (Page 1 of 2)</t>
  </si>
  <si>
    <r>
      <t>TABLE A-13.  Washington non-Indian commercial troll Chinook, coho, and pink salmon landings in numbers of fish by catch area and month (odd year averages).</t>
    </r>
    <r>
      <rPr>
        <vertAlign val="superscript"/>
        <sz val="8"/>
        <rFont val="Arial"/>
        <family val="2"/>
      </rPr>
      <t>a/</t>
    </r>
  </si>
  <si>
    <r>
      <t>2018</t>
    </r>
    <r>
      <rPr>
        <vertAlign val="superscript"/>
        <sz val="8"/>
        <rFont val="Arial"/>
        <family val="2"/>
      </rPr>
      <t>/</t>
    </r>
  </si>
  <si>
    <r>
      <t>Ilwaco</t>
    </r>
    <r>
      <rPr>
        <u/>
        <vertAlign val="superscript"/>
        <sz val="8"/>
        <rFont val="Arial"/>
        <family val="2"/>
      </rPr>
      <t>c/</t>
    </r>
  </si>
  <si>
    <r>
      <t>TABLE A-12.  Washington non-Indian commercial troll salmon fishing effort in days fished by catch area and month.</t>
    </r>
    <r>
      <rPr>
        <vertAlign val="superscript"/>
        <sz val="8"/>
        <rFont val="Arial"/>
        <family val="2"/>
      </rPr>
      <t xml:space="preserve">a/ </t>
    </r>
    <r>
      <rPr>
        <sz val="8"/>
        <rFont val="Arial"/>
        <family val="2"/>
      </rPr>
      <t xml:space="preserve">      (Page 1 of 2)</t>
    </r>
  </si>
  <si>
    <r>
      <t>TABLE A-12.  Washington non-Indian commercial troll salmon fishing effort in days fished by catch area and month.</t>
    </r>
    <r>
      <rPr>
        <vertAlign val="superscript"/>
        <sz val="8"/>
        <rFont val="Arial"/>
        <family val="2"/>
      </rPr>
      <t xml:space="preserve">a/ </t>
    </r>
    <r>
      <rPr>
        <sz val="8"/>
        <rFont val="Arial"/>
        <family val="2"/>
      </rPr>
      <t xml:space="preserve">      (Page 2 of 2)</t>
    </r>
  </si>
  <si>
    <r>
      <t>TABLE A-13.  Washington non-Indian commercial troll Chinook, coho, and pink salmon landings in numbers of fish by catch area and month (odd year averages).</t>
    </r>
    <r>
      <rPr>
        <vertAlign val="superscript"/>
        <sz val="8"/>
        <rFont val="Arial"/>
        <family val="2"/>
      </rPr>
      <t xml:space="preserve">a/ </t>
    </r>
    <r>
      <rPr>
        <sz val="8"/>
        <rFont val="Arial"/>
        <family val="2"/>
      </rPr>
      <t xml:space="preserve"> (Page 1 of 3)</t>
    </r>
  </si>
  <si>
    <r>
      <t>TABLE A-13.  Washington non-Indian commercial troll Chinook, coho, and pink salmon landings in numbers of fish by catch area and month (odd year averages).</t>
    </r>
    <r>
      <rPr>
        <vertAlign val="superscript"/>
        <sz val="8"/>
        <rFont val="Arial"/>
        <family val="2"/>
      </rPr>
      <t xml:space="preserve">a/ </t>
    </r>
    <r>
      <rPr>
        <sz val="8"/>
        <rFont val="Arial"/>
        <family val="2"/>
      </rPr>
      <t xml:space="preserve"> (Page 2 of 3)</t>
    </r>
  </si>
  <si>
    <r>
      <t>TABLE A-13.  Washington non-Indian commercial troll Chinook, coho, and pink salmon landings in numbers of fish by catch area and month (odd year averages).</t>
    </r>
    <r>
      <rPr>
        <vertAlign val="superscript"/>
        <sz val="8"/>
        <rFont val="Arial"/>
        <family val="2"/>
      </rPr>
      <t xml:space="preserve">a/ </t>
    </r>
    <r>
      <rPr>
        <sz val="8"/>
        <rFont val="Arial"/>
        <family val="2"/>
      </rPr>
      <t xml:space="preserve"> (Page 3 of 3)</t>
    </r>
  </si>
  <si>
    <r>
      <t>Statewide Total</t>
    </r>
    <r>
      <rPr>
        <b/>
        <u/>
        <vertAlign val="superscript"/>
        <sz val="8"/>
        <rFont val="Arial"/>
        <family val="2"/>
      </rPr>
      <t>c/</t>
    </r>
  </si>
  <si>
    <r>
      <t>1991-1995</t>
    </r>
    <r>
      <rPr>
        <vertAlign val="superscript"/>
        <sz val="8"/>
        <rFont val="Arial"/>
        <family val="2"/>
      </rPr>
      <t>a/</t>
    </r>
  </si>
  <si>
    <r>
      <t>1986-1990</t>
    </r>
    <r>
      <rPr>
        <vertAlign val="superscript"/>
        <sz val="8"/>
        <rFont val="Arial"/>
        <family val="2"/>
      </rPr>
      <t>a/</t>
    </r>
  </si>
  <si>
    <r>
      <t>1991-1995</t>
    </r>
    <r>
      <rPr>
        <vertAlign val="superscript"/>
        <sz val="8"/>
        <rFont val="Arial"/>
        <family val="2"/>
      </rPr>
      <t>b/</t>
    </r>
  </si>
  <si>
    <r>
      <t>1996-2000</t>
    </r>
    <r>
      <rPr>
        <vertAlign val="superscript"/>
        <sz val="8"/>
        <rFont val="Arial"/>
        <family val="2"/>
      </rPr>
      <t>b/</t>
    </r>
  </si>
  <si>
    <r>
      <t>TABLE A-27.  U.S./Canada border to Cape Falcon ocean recreational fishing effort in salmon angler trips by area and month.</t>
    </r>
    <r>
      <rPr>
        <vertAlign val="superscript"/>
        <sz val="8"/>
        <rFont val="Arial"/>
        <family val="2"/>
      </rPr>
      <t xml:space="preserve">a/ </t>
    </r>
  </si>
  <si>
    <r>
      <t>TABLE A-28.  U.S./Canada border to Cape Falcon ocean recreational Chinook and coho salmon landings in numbers of fish by area and month.</t>
    </r>
    <r>
      <rPr>
        <vertAlign val="superscript"/>
        <sz val="8"/>
        <rFont val="Arial"/>
        <family val="2"/>
      </rPr>
      <t>a/</t>
    </r>
    <r>
      <rPr>
        <sz val="8"/>
        <rFont val="Arial"/>
        <family val="2"/>
      </rPr>
      <t xml:space="preserve">  (Page 2 of 2)</t>
    </r>
  </si>
  <si>
    <r>
      <t>TABLE A-7.  Oregon commercial troll salmon fishing effort in days fished by area and month.</t>
    </r>
    <r>
      <rPr>
        <vertAlign val="superscript"/>
        <sz val="8"/>
        <rFont val="Arial"/>
        <family val="2"/>
      </rPr>
      <t>a/</t>
    </r>
    <r>
      <rPr>
        <sz val="8"/>
        <rFont val="Arial"/>
        <family val="2"/>
      </rPr>
      <t xml:space="preserve">  (Page 1 of 4)</t>
    </r>
  </si>
  <si>
    <r>
      <t>TABLE A-7.  Oregon commercial troll salmon fishing effort in days fished by area and month.</t>
    </r>
    <r>
      <rPr>
        <vertAlign val="superscript"/>
        <sz val="8"/>
        <rFont val="Arial"/>
        <family val="2"/>
      </rPr>
      <t>a/</t>
    </r>
    <r>
      <rPr>
        <sz val="8"/>
        <rFont val="Arial"/>
        <family val="2"/>
      </rPr>
      <t xml:space="preserve">  (Page 2 of 4)</t>
    </r>
  </si>
  <si>
    <r>
      <t>TABLE A-7.  Oregon commercial troll salmon fishing effort in days fished by area and month.</t>
    </r>
    <r>
      <rPr>
        <vertAlign val="superscript"/>
        <sz val="8"/>
        <rFont val="Arial"/>
        <family val="2"/>
      </rPr>
      <t>a/</t>
    </r>
    <r>
      <rPr>
        <sz val="8"/>
        <rFont val="Arial"/>
        <family val="2"/>
      </rPr>
      <t xml:space="preserve">  (Page 3 of 4)</t>
    </r>
  </si>
  <si>
    <r>
      <t>TABLE A-7.  Oregon commercial troll salmon fishing effort in days fished by area and month.</t>
    </r>
    <r>
      <rPr>
        <vertAlign val="superscript"/>
        <sz val="8"/>
        <rFont val="Arial"/>
        <family val="2"/>
      </rPr>
      <t>a/</t>
    </r>
    <r>
      <rPr>
        <sz val="8"/>
        <rFont val="Arial"/>
        <family val="2"/>
      </rPr>
      <t xml:space="preserve">  (Page 4 of 4)</t>
    </r>
  </si>
  <si>
    <r>
      <t>TABLE A-8.  Oregon commercial troll Chinook and coho salmon landings in numbers of fish by catch area and month.</t>
    </r>
    <r>
      <rPr>
        <vertAlign val="superscript"/>
        <sz val="8"/>
        <rFont val="Arial"/>
        <family val="2"/>
      </rPr>
      <t>a/</t>
    </r>
    <r>
      <rPr>
        <sz val="8"/>
        <rFont val="Arial"/>
        <family val="2"/>
      </rPr>
      <t xml:space="preserve">  (Page 1 of 4)</t>
    </r>
  </si>
  <si>
    <r>
      <t>TABLE A-8.  Oregon commercial troll Chinook and coho salmon landings in numbers of fish by catch area and month.</t>
    </r>
    <r>
      <rPr>
        <vertAlign val="superscript"/>
        <sz val="8"/>
        <rFont val="Arial"/>
        <family val="2"/>
      </rPr>
      <t xml:space="preserve">a/  </t>
    </r>
    <r>
      <rPr>
        <sz val="8"/>
        <rFont val="Arial"/>
        <family val="2"/>
      </rPr>
      <t>(Page 2 of 4)</t>
    </r>
  </si>
  <si>
    <r>
      <t>TABLE A-8.  Oregon commercial troll Chinook and coho salmon landings in numbers of fish by catch area and month.</t>
    </r>
    <r>
      <rPr>
        <vertAlign val="superscript"/>
        <sz val="8"/>
        <rFont val="Arial"/>
        <family val="2"/>
      </rPr>
      <t xml:space="preserve">a/ </t>
    </r>
    <r>
      <rPr>
        <sz val="8"/>
        <rFont val="Arial"/>
        <family val="2"/>
      </rPr>
      <t xml:space="preserve"> (Page 3 of 4)</t>
    </r>
  </si>
  <si>
    <r>
      <t>TABLE A-8.  Oregon commercial troll Chinook and coho salmon landings in numbers of fish by catch area and month.</t>
    </r>
    <r>
      <rPr>
        <vertAlign val="superscript"/>
        <sz val="8"/>
        <rFont val="Arial"/>
        <family val="2"/>
      </rPr>
      <t>a/</t>
    </r>
    <r>
      <rPr>
        <sz val="8"/>
        <rFont val="Arial"/>
        <family val="2"/>
      </rPr>
      <t xml:space="preserve">  (Page 4 of 4)</t>
    </r>
  </si>
  <si>
    <r>
      <t>TABLE A-9.  Oregon ocean recreational effort in salmon angler trips by catch area and month.</t>
    </r>
    <r>
      <rPr>
        <vertAlign val="superscript"/>
        <sz val="8"/>
        <rFont val="Arial"/>
        <family val="2"/>
      </rPr>
      <t xml:space="preserve">a/ </t>
    </r>
    <r>
      <rPr>
        <sz val="8"/>
        <rFont val="Arial"/>
        <family val="2"/>
      </rPr>
      <t xml:space="preserve"> (Page 1 of 4)</t>
    </r>
  </si>
  <si>
    <r>
      <t>TABLE A-9.  Oregon ocean recreational effort in salmon angler trips by catch area and month.</t>
    </r>
    <r>
      <rPr>
        <vertAlign val="superscript"/>
        <sz val="8"/>
        <rFont val="Arial"/>
        <family val="2"/>
      </rPr>
      <t xml:space="preserve">a/ </t>
    </r>
    <r>
      <rPr>
        <sz val="8"/>
        <rFont val="Arial"/>
        <family val="2"/>
      </rPr>
      <t xml:space="preserve"> (Page 2 of 4)</t>
    </r>
  </si>
  <si>
    <r>
      <t>TABLE A-9.  Oregon ocean recreational effort in salmon angler trips by catch area and month.</t>
    </r>
    <r>
      <rPr>
        <vertAlign val="superscript"/>
        <sz val="8"/>
        <rFont val="Arial"/>
        <family val="2"/>
      </rPr>
      <t xml:space="preserve">a/ </t>
    </r>
    <r>
      <rPr>
        <sz val="8"/>
        <rFont val="Arial"/>
        <family val="2"/>
      </rPr>
      <t xml:space="preserve"> (Page 3 of 4)</t>
    </r>
  </si>
  <si>
    <r>
      <t>TABLE A-9.  Oregon ocean recreational effort in salmon angler trips by catch area and month.</t>
    </r>
    <r>
      <rPr>
        <vertAlign val="superscript"/>
        <sz val="8"/>
        <rFont val="Arial"/>
        <family val="2"/>
      </rPr>
      <t xml:space="preserve">a/ </t>
    </r>
    <r>
      <rPr>
        <sz val="8"/>
        <rFont val="Arial"/>
        <family val="2"/>
      </rPr>
      <t xml:space="preserve"> (Page 4 of 4)</t>
    </r>
  </si>
  <si>
    <r>
      <t>TABLE A-10.  Oregon ocean recreational salmon landings in numbers of fish by catch area and month.</t>
    </r>
    <r>
      <rPr>
        <vertAlign val="superscript"/>
        <sz val="8"/>
        <rFont val="Albertus Medium"/>
        <family val="2"/>
      </rPr>
      <t>a/</t>
    </r>
    <r>
      <rPr>
        <sz val="8"/>
        <rFont val="Arial"/>
        <family val="2"/>
      </rPr>
      <t xml:space="preserve">  (Page 1 of 4)</t>
    </r>
  </si>
  <si>
    <r>
      <t>TABLE A-10.  Oregon ocean recreational salmon landings in numbers of fish by catch area and month.</t>
    </r>
    <r>
      <rPr>
        <vertAlign val="superscript"/>
        <sz val="8"/>
        <rFont val="Arial"/>
        <family val="2"/>
      </rPr>
      <t>a/</t>
    </r>
    <r>
      <rPr>
        <sz val="8"/>
        <rFont val="Arial"/>
        <family val="2"/>
      </rPr>
      <t xml:space="preserve">  (Page 2 of 4)</t>
    </r>
  </si>
  <si>
    <r>
      <t>TABLE A-10.  Oregon ocean recreational salmon landings in numbers of fish by catch area and month.</t>
    </r>
    <r>
      <rPr>
        <vertAlign val="superscript"/>
        <sz val="8"/>
        <rFont val="Arial"/>
        <family val="2"/>
      </rPr>
      <t>a/</t>
    </r>
    <r>
      <rPr>
        <sz val="8"/>
        <rFont val="Arial"/>
        <family val="2"/>
      </rPr>
      <t xml:space="preserve">  (Page 3 of 4)</t>
    </r>
  </si>
  <si>
    <r>
      <t>TABLE A-10.  Oregon ocean recreational salmon landings in numbers of fish by catch area and month.</t>
    </r>
    <r>
      <rPr>
        <vertAlign val="superscript"/>
        <sz val="8"/>
        <rFont val="Arial"/>
        <family val="2"/>
      </rPr>
      <t>a/</t>
    </r>
    <r>
      <rPr>
        <sz val="8"/>
        <rFont val="Arial"/>
        <family val="2"/>
      </rPr>
      <t xml:space="preserve">  (Page 4 of 4)</t>
    </r>
  </si>
  <si>
    <t xml:space="preserve"> Cape Falcon to U.S./Mexico border commercial troll Chinook and coho salmon landings in numbers of fish by region and month</t>
  </si>
  <si>
    <r>
      <t>2001-2005</t>
    </r>
    <r>
      <rPr>
        <vertAlign val="superscript"/>
        <sz val="8"/>
        <rFont val="Arial"/>
        <family val="2"/>
      </rPr>
      <t>b/</t>
    </r>
  </si>
  <si>
    <r>
      <t>Total Statewide</t>
    </r>
    <r>
      <rPr>
        <b/>
        <u/>
        <vertAlign val="superscript"/>
        <sz val="8"/>
        <rFont val="Arial"/>
        <family val="2"/>
      </rPr>
      <t>a/</t>
    </r>
  </si>
  <si>
    <r>
      <t>TABLE A-20.  Cape Falcon to U.S./Mexico border commercial troll salmon fishing effort in days fished by region and month.</t>
    </r>
    <r>
      <rPr>
        <vertAlign val="superscript"/>
        <sz val="8"/>
        <rFont val="Arial"/>
        <family val="2"/>
      </rPr>
      <t xml:space="preserve"> </t>
    </r>
  </si>
  <si>
    <r>
      <t>Total South of Cape Falcon</t>
    </r>
    <r>
      <rPr>
        <u/>
        <vertAlign val="superscript"/>
        <sz val="8"/>
        <rFont val="Arial"/>
        <family val="2"/>
      </rPr>
      <t>a/</t>
    </r>
  </si>
  <si>
    <r>
      <t>Total South of Cape Falcon</t>
    </r>
    <r>
      <rPr>
        <u/>
        <vertAlign val="superscript"/>
        <sz val="8"/>
        <rFont val="Arial"/>
        <family val="2"/>
      </rPr>
      <t xml:space="preserve"> a/</t>
    </r>
  </si>
  <si>
    <r>
      <t xml:space="preserve">Total South of Cape Falcon </t>
    </r>
    <r>
      <rPr>
        <u/>
        <vertAlign val="superscript"/>
        <sz val="8"/>
        <rFont val="Arial"/>
        <family val="2"/>
      </rPr>
      <t>a/</t>
    </r>
  </si>
  <si>
    <r>
      <t>TABLE A-24.  U.S./Canada border to Cape Falcon commercial troll salmon fishing effort in days fished by area and month.</t>
    </r>
    <r>
      <rPr>
        <vertAlign val="superscript"/>
        <sz val="8"/>
        <rFont val="Arial"/>
        <family val="2"/>
      </rPr>
      <t>a/</t>
    </r>
    <r>
      <rPr>
        <sz val="8"/>
        <rFont val="Arial"/>
        <family val="2"/>
      </rPr>
      <t xml:space="preserve">  (Page 1 of 3)</t>
    </r>
  </si>
  <si>
    <r>
      <t>TABLE A-24.  U.S./Canada border to Cape Falcon commercial troll salmon fishing effort in days fished by area and month.</t>
    </r>
    <r>
      <rPr>
        <vertAlign val="superscript"/>
        <sz val="8"/>
        <rFont val="Arial"/>
        <family val="2"/>
      </rPr>
      <t>a/</t>
    </r>
    <r>
      <rPr>
        <sz val="8"/>
        <rFont val="Arial"/>
        <family val="2"/>
      </rPr>
      <t xml:space="preserve"> 
(Page 2 of 3)</t>
    </r>
  </si>
  <si>
    <r>
      <t>U.S./Canada Border to Cape Falcon - Treaty Indian Total</t>
    </r>
    <r>
      <rPr>
        <u/>
        <vertAlign val="superscript"/>
        <sz val="8"/>
        <rFont val="Arial"/>
        <family val="2"/>
      </rPr>
      <t>c/</t>
    </r>
  </si>
  <si>
    <r>
      <t>TABLE A-24.  U.S./Canada border to Cape Falcon commercial troll salmon fishing effort in days fished by area and month.</t>
    </r>
    <r>
      <rPr>
        <vertAlign val="superscript"/>
        <sz val="8"/>
        <rFont val="Arial"/>
        <family val="2"/>
      </rPr>
      <t>a/</t>
    </r>
    <r>
      <rPr>
        <sz val="8"/>
        <rFont val="Arial"/>
        <family val="2"/>
      </rPr>
      <t xml:space="preserve">  
(Page 3 of 3)</t>
    </r>
  </si>
  <si>
    <r>
      <t>U.S./Canada Border to Cape Falcon - Total Treaty Indian and Non-Indian</t>
    </r>
    <r>
      <rPr>
        <b/>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</si>
  <si>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1 of 4)</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</si>
  <si>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2 of 4)</t>
    </r>
  </si>
  <si>
    <r>
      <t>TABLE A-25.  U.S./Canada border to Cape Falcon ocean troll Chinook and coho landings in number of fish by catch area and month.</t>
    </r>
    <r>
      <rPr>
        <vertAlign val="superscript"/>
        <sz val="8"/>
        <rFont val="Arial"/>
        <family val="2"/>
      </rPr>
      <t xml:space="preserve">a/ </t>
    </r>
    <r>
      <rPr>
        <sz val="8"/>
        <rFont val="Arial"/>
        <family val="2"/>
      </rPr>
      <t xml:space="preserve"> (Page 3 of 4)</t>
    </r>
  </si>
  <si>
    <r>
      <t>U.S./Canada Border to Cape Falcon - Treaty Indian</t>
    </r>
    <r>
      <rPr>
        <u/>
        <vertAlign val="superscript"/>
        <sz val="8"/>
        <rFont val="Arial"/>
        <family val="2"/>
      </rPr>
      <t>c/</t>
    </r>
  </si>
  <si>
    <r>
      <t>TABLE A-25.  U.S./Canada border to Cape Falcon ocean troll Chinook and coho landings in number of fish by catch area and month.</t>
    </r>
    <r>
      <rPr>
        <vertAlign val="superscript"/>
        <sz val="8"/>
        <rFont val="Arial"/>
        <family val="2"/>
      </rPr>
      <t>a/</t>
    </r>
    <r>
      <rPr>
        <sz val="8"/>
        <rFont val="Arial"/>
        <family val="2"/>
      </rPr>
      <t xml:space="preserve">  (Page 4 of 4)</t>
    </r>
  </si>
  <si>
    <r>
      <t>TABLE A-26.  U.S./Canada border to Cape Falcon ocean troll pink salmon landings in numbers of fish by catch area and month (odd-year averages).</t>
    </r>
    <r>
      <rPr>
        <vertAlign val="superscript"/>
        <sz val="8"/>
        <rFont val="Arial"/>
        <family val="2"/>
      </rPr>
      <t>a/</t>
    </r>
    <r>
      <rPr>
        <sz val="8"/>
        <rFont val="Arial"/>
        <family val="2"/>
      </rPr>
      <t xml:space="preserve">  (Page 1 of 2)</t>
    </r>
  </si>
  <si>
    <r>
      <t>TABLE A-26.  U.S./Canada border to Cape Falcon ocean troll pink salmon landings in numbers of fish by catch area and month (odd-year averages).</t>
    </r>
    <r>
      <rPr>
        <vertAlign val="superscript"/>
        <sz val="8"/>
        <rFont val="Arial"/>
        <family val="2"/>
      </rPr>
      <t>a/</t>
    </r>
    <r>
      <rPr>
        <sz val="8"/>
        <rFont val="Arial"/>
        <family val="2"/>
      </rPr>
      <t xml:space="preserve">  (Page 2 of 2)</t>
    </r>
  </si>
  <si>
    <t>c/ Preliminary.</t>
  </si>
  <si>
    <r>
      <t>Crescent City</t>
    </r>
    <r>
      <rPr>
        <u/>
        <vertAlign val="superscript"/>
        <sz val="8"/>
        <rFont val="Arial"/>
        <family val="2"/>
      </rPr>
      <t>a/</t>
    </r>
  </si>
  <si>
    <t>TABLE A-14.  Treaty Indian ocean troll salmon fishing effort in deliveries by catch area and month.       (Page 2 of 2)</t>
  </si>
  <si>
    <r>
      <t>2020</t>
    </r>
    <r>
      <rPr>
        <vertAlign val="superscript"/>
        <sz val="8"/>
        <rFont val="Arial"/>
        <family val="2"/>
      </rPr>
      <t>c/</t>
    </r>
  </si>
  <si>
    <r>
      <t>2020</t>
    </r>
    <r>
      <rPr>
        <vertAlign val="superscript"/>
        <sz val="8"/>
        <rFont val="Arial"/>
        <family val="2"/>
      </rPr>
      <t>a/</t>
    </r>
  </si>
  <si>
    <r>
      <t>2020</t>
    </r>
    <r>
      <rPr>
        <vertAlign val="superscript"/>
        <sz val="8"/>
        <rFont val="Arial"/>
        <family val="2"/>
      </rPr>
      <t>b/</t>
    </r>
  </si>
  <si>
    <r>
      <t>2020</t>
    </r>
    <r>
      <rPr>
        <vertAlign val="superscript"/>
        <sz val="8"/>
        <rFont val="Arial"/>
        <family val="2"/>
      </rPr>
      <t>d/</t>
    </r>
  </si>
  <si>
    <r>
      <t>2020</t>
    </r>
    <r>
      <rPr>
        <vertAlign val="superscript"/>
        <sz val="8"/>
        <rFont val="Arial"/>
        <family val="2"/>
      </rPr>
      <t>b/c/</t>
    </r>
  </si>
  <si>
    <r>
      <t>U.S./Canada Border  to Leadbetter Pt - Treaty Indian</t>
    </r>
    <r>
      <rPr>
        <u/>
        <vertAlign val="superscript"/>
        <sz val="8"/>
        <rFont val="Arial"/>
        <family val="2"/>
      </rPr>
      <t>b/</t>
    </r>
  </si>
  <si>
    <r>
      <t>U.S./Canada Border  to  Leadbetter Pt - Total</t>
    </r>
    <r>
      <rPr>
        <u/>
        <vertAlign val="superscript"/>
        <sz val="8"/>
        <rFont val="Arial"/>
        <family val="2"/>
      </rPr>
      <t>b/</t>
    </r>
  </si>
  <si>
    <r>
      <t>2021</t>
    </r>
    <r>
      <rPr>
        <vertAlign val="superscript"/>
        <sz val="8"/>
        <rFont val="Arial"/>
        <family val="2"/>
      </rPr>
      <t>c/</t>
    </r>
  </si>
  <si>
    <t>2006-2010</t>
  </si>
  <si>
    <r>
      <t>2021</t>
    </r>
    <r>
      <rPr>
        <vertAlign val="superscript"/>
        <sz val="8"/>
        <rFont val="Arial"/>
        <family val="2"/>
      </rPr>
      <t>a/</t>
    </r>
  </si>
  <si>
    <r>
      <t>2021</t>
    </r>
    <r>
      <rPr>
        <vertAlign val="superscript"/>
        <sz val="8"/>
        <rFont val="Arial"/>
        <family val="2"/>
      </rPr>
      <t>b/</t>
    </r>
  </si>
  <si>
    <r>
      <t>2021</t>
    </r>
    <r>
      <rPr>
        <vertAlign val="superscript"/>
        <sz val="8"/>
        <rFont val="Arial"/>
        <family val="2"/>
      </rPr>
      <t>d/</t>
    </r>
  </si>
  <si>
    <t>b/ Preliminary.</t>
  </si>
  <si>
    <r>
      <t>2021</t>
    </r>
    <r>
      <rPr>
        <vertAlign val="superscript"/>
        <sz val="8"/>
        <rFont val="Arial"/>
        <family val="2"/>
      </rPr>
      <t>b/d/</t>
    </r>
  </si>
  <si>
    <t>TABLE A-17.  Washington ocean recreational salmon fishing effort in angler trips by port and statistical month.  (Page 1 of 3)</t>
  </si>
  <si>
    <t>TABLE A-17.  Washington ocean recreational salmon fishing effort in angler trips by port and statistical month.  (Page 2 of 3)</t>
  </si>
  <si>
    <t>TABLE A-17.  Washington ocean recreational salmon fishing effort in angler trips by port and statistical month.  (Page 3 of 3)</t>
  </si>
  <si>
    <r>
      <t>1987</t>
    </r>
    <r>
      <rPr>
        <vertAlign val="superscript"/>
        <sz val="8"/>
        <rFont val="Arial"/>
        <family val="2"/>
      </rPr>
      <t>a/</t>
    </r>
  </si>
  <si>
    <t>e/  Includes catch from the North Jetty when the ocean fishery was open; does not include catch reported as occurring inside the Columbia River mouth (North Jetty catch when the ocean fishery was closed, and Buoy 10 was open).</t>
  </si>
  <si>
    <r>
      <t>2021</t>
    </r>
    <r>
      <rPr>
        <vertAlign val="superscript"/>
        <sz val="8"/>
        <rFont val="Arial"/>
        <family val="2"/>
      </rPr>
      <t>c/d/</t>
    </r>
  </si>
  <si>
    <r>
      <t>Total Statewide</t>
    </r>
    <r>
      <rPr>
        <b/>
        <u/>
        <vertAlign val="superscript"/>
        <sz val="8"/>
        <rFont val="Arial"/>
        <family val="2"/>
      </rPr>
      <t>e/</t>
    </r>
  </si>
  <si>
    <t>1987-1995</t>
  </si>
  <si>
    <t>a/ Odd year averages only, includes five years of data.</t>
  </si>
  <si>
    <t>1977-1985</t>
  </si>
  <si>
    <t>1997-2005</t>
  </si>
  <si>
    <r>
      <t>1987-1995</t>
    </r>
    <r>
      <rPr>
        <vertAlign val="superscript"/>
        <sz val="8"/>
        <rFont val="Arial"/>
        <family val="2"/>
      </rPr>
      <t>b/</t>
    </r>
  </si>
  <si>
    <r>
      <t>1997-2005</t>
    </r>
    <r>
      <rPr>
        <vertAlign val="superscript"/>
        <sz val="8"/>
        <rFont val="Arial"/>
        <family val="2"/>
      </rPr>
      <t>b/</t>
    </r>
  </si>
  <si>
    <r>
      <t>or Avg</t>
    </r>
    <r>
      <rPr>
        <vertAlign val="superscript"/>
        <sz val="8"/>
        <rFont val="Arial"/>
        <family val="2"/>
      </rPr>
      <t>a/</t>
    </r>
    <r>
      <rPr>
        <sz val="8"/>
        <rFont val="Arial"/>
        <family val="2"/>
      </rPr>
      <t>.</t>
    </r>
  </si>
  <si>
    <t>c/  Landings primarily in odd-years only; averages are odd-year averages .</t>
  </si>
  <si>
    <r>
      <t>1989</t>
    </r>
    <r>
      <rPr>
        <vertAlign val="superscript"/>
        <sz val="8"/>
        <rFont val="Arial"/>
        <family val="2"/>
      </rPr>
      <t>b/</t>
    </r>
  </si>
  <si>
    <t xml:space="preserve">d/   The ports of Neah Bay and La Push were closed to public access in 2020 due to the COVID-19 pandemic. In 2021, Neah Bay remained closed to public access and La Push opened to public access July 12. Effort shown in this table includes effort that occurred in the adjacent catch areas and originated from Sekiu during periods Neah Bay and La Push remained closed to public access. </t>
  </si>
  <si>
    <t xml:space="preserve">c/  TThe ports of Neah Bay and La Push were closed to public access in 2020 due to the COVID-19 pandemic. In 2021, Neah Bay remained closed to public access and La Push opened to public access July 12. Catch shown in this table includes catch that occurred in the adjacent catch areas and was landed into Sekiu during periods Neah Bay and La Push remained closed to public access.   </t>
  </si>
  <si>
    <r>
      <t>Ilwaco</t>
    </r>
    <r>
      <rPr>
        <u/>
        <vertAlign val="superscript"/>
        <sz val="8"/>
        <rFont val="Arial"/>
        <family val="2"/>
      </rPr>
      <t>e/</t>
    </r>
  </si>
  <si>
    <t>e/  Includes catch from the North Jetty when the ocean fishery was open; does not include catch reported as occurring inside the Columbia River mouth (North Jetty catch when the ocean fishery was closed and Buoy 10 was open).</t>
  </si>
  <si>
    <t xml:space="preserve">d/ In 2021, the port of Neah Bay was closed to public access and the port of La Push opened to public access July 12 due to the COVID-19 pandemic. Catch shown in this table includes catch that occurred in the adjacent catch areas and was landed into Sekiu during periods Neah Bay and La Push remained closed to public access. </t>
  </si>
  <si>
    <t>a/  Recreational estimates are not available for May and June due to restrictions on sampling caused by the COVID-19 pandemic.</t>
  </si>
  <si>
    <r>
      <t>2020</t>
    </r>
    <r>
      <rPr>
        <vertAlign val="superscript"/>
        <sz val="8"/>
        <rFont val="Arial"/>
        <family val="2"/>
      </rPr>
      <t>a</t>
    </r>
  </si>
  <si>
    <r>
      <t>Humbug Mt. to 40°10′ line (KMZ)</t>
    </r>
    <r>
      <rPr>
        <u/>
        <vertAlign val="superscript"/>
        <sz val="8"/>
        <rFont val="Arial"/>
        <family val="2"/>
      </rPr>
      <t>a/c/</t>
    </r>
  </si>
  <si>
    <t>40°10′ line to U.S./Mexico Border</t>
  </si>
  <si>
    <r>
      <t>Humbug Mt. to 40°10′ Line (KMZ)</t>
    </r>
    <r>
      <rPr>
        <u/>
        <vertAlign val="superscript"/>
        <sz val="8"/>
        <rFont val="Arial"/>
        <family val="2"/>
      </rPr>
      <t>a/c/</t>
    </r>
  </si>
  <si>
    <t>40°10′ Line to U.S.-Mexico Border</t>
  </si>
  <si>
    <t>40°10′ Line to U.S./Mexico Border</t>
  </si>
  <si>
    <r>
      <t>40°10′ Line to U.S.-Mexico Border</t>
    </r>
    <r>
      <rPr>
        <u/>
        <vertAlign val="superscript"/>
        <sz val="8"/>
        <rFont val="Arial"/>
        <family val="2"/>
      </rPr>
      <t>c/</t>
    </r>
  </si>
  <si>
    <r>
      <t>2020</t>
    </r>
    <r>
      <rPr>
        <vertAlign val="superscript"/>
        <sz val="8"/>
        <rFont val="Arial"/>
        <family val="2"/>
      </rPr>
      <t>b/d/</t>
    </r>
  </si>
  <si>
    <t>d/  Recreational estimates for California do not include May and June due to restrictions on sampling caused by the COVID-19 pandemic.</t>
  </si>
  <si>
    <r>
      <t>40°10′ Line to U.S./Mexico Border</t>
    </r>
    <r>
      <rPr>
        <u/>
        <vertAlign val="superscript"/>
        <sz val="8"/>
        <rFont val="Arial"/>
        <family val="2"/>
      </rPr>
      <t>c/</t>
    </r>
  </si>
  <si>
    <t>c/   In 2021, the southern boundary of the KMZ was officially moved five nautical miles north from Horse Mountain to latitude 40°10′ N.</t>
  </si>
  <si>
    <t>c/  In 2021, the southern boundary of the KMZ was officially moved five nautical miles north from Horse Mountain to latitude 40°10′ 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</si>
</sst>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_(* #,##0.0_);_(* \(#,##0.0\);_(* &quot;-&quot;??_);_(@_)"/>
    <numFmt numFmtId="166" formatCode="_(* #,##0.000_);_(* \(#,##0.000\);_(* &quot;-&quot;??_);_(@_)"/>
    <numFmt numFmtId="167" formatCode="#,##0.000"/>
    <numFmt numFmtId="168" formatCode="0_)"/>
  </numFmts>
  <fonts count="23">
    <font>
      <sz val="12"/>
      <name val="Times New Roman"/>
    </font>
    <font>
      <sz val="12"/>
      <name val="Times New Roman"/>
      <family val="1"/>
    </font>
    <font>
      <vertAlign val="superscript"/>
      <sz val="10"/>
      <name val="Arial"/>
      <family val="2"/>
    </font>
    <font>
      <sz val="10"/>
      <name val="Arial"/>
      <family val="2"/>
    </font>
    <font>
      <sz val="8"/>
      <name val="Arial"/>
      <family val="2"/>
    </font>
    <font>
      <b/>
      <sz val="8"/>
      <name val="Arial"/>
      <family val="2"/>
    </font>
    <font>
      <u/>
      <sz val="8"/>
      <name val="Arial"/>
      <family val="2"/>
    </font>
    <font>
      <vertAlign val="superscript"/>
      <sz val="8"/>
      <name val="Arial"/>
      <family val="2"/>
    </font>
    <font>
      <b/>
      <u/>
      <sz val="8"/>
      <name val="Arial"/>
      <family val="2"/>
    </font>
    <font>
      <sz val="8"/>
      <name val="Arial"/>
      <family val="2"/>
    </font>
    <font>
      <sz val="8"/>
      <name val="Times New Roman"/>
      <family val="1"/>
    </font>
    <font>
      <b/>
      <sz val="8"/>
      <name val="Arial"/>
      <family val="2"/>
    </font>
    <font>
      <sz val="8"/>
      <color indexed="10"/>
      <name val="Arial"/>
      <family val="2"/>
    </font>
    <font>
      <b/>
      <sz val="8"/>
      <color indexed="81"/>
      <name val="Tahoma"/>
      <family val="2"/>
    </font>
    <font>
      <sz val="8"/>
      <color indexed="81"/>
      <name val="Tahoma"/>
      <family val="2"/>
    </font>
    <font>
      <u/>
      <vertAlign val="superscript"/>
      <sz val="8"/>
      <name val="Arial"/>
      <family val="2"/>
    </font>
    <font>
      <b/>
      <sz val="9"/>
      <color indexed="81"/>
      <name val="Tahoma"/>
      <family val="2"/>
    </font>
    <font>
      <sz val="9"/>
      <color indexed="81"/>
      <name val="Tahoma"/>
      <family val="2"/>
    </font>
    <font>
      <b/>
      <u/>
      <vertAlign val="superscript"/>
      <sz val="8"/>
      <name val="Arial"/>
      <family val="2"/>
    </font>
    <font>
      <strike/>
      <sz val="8"/>
      <name val="Arial"/>
      <family val="2"/>
    </font>
    <font>
      <b/>
      <vertAlign val="superscript"/>
      <sz val="8"/>
      <name val="Arial"/>
      <family val="2"/>
    </font>
    <font>
      <sz val="8"/>
      <color theme="0" tint="-0.34998626667073579"/>
      <name val="Arial"/>
      <family val="2"/>
    </font>
    <font>
      <vertAlign val="superscript"/>
      <sz val="8"/>
      <name val="Albertus Medium"/>
      <family val="2"/>
    </font>
  </fonts>
  <fills count="10">
    <fill>
      <patternFill patternType="none"/>
    </fill>
    <fill>
      <patternFill patternType="gray125"/>
    </fill>
    <fill>
      <patternFill patternType="solid">
        <fgColor indexed="52"/>
        <bgColor indexed="64"/>
      </patternFill>
    </fill>
    <fill>
      <patternFill patternType="solid">
        <fgColor indexed="42"/>
        <bgColor indexed="64"/>
      </patternFill>
    </fill>
    <fill>
      <patternFill patternType="solid">
        <fgColor indexed="11"/>
        <bgColor indexed="64"/>
      </patternFill>
    </fill>
    <fill>
      <patternFill patternType="solid">
        <fgColor theme="0"/>
        <bgColor indexed="64"/>
      </patternFill>
    </fill>
    <fill>
      <patternFill patternType="solid">
        <fgColor theme="1"/>
        <bgColor indexed="64"/>
      </patternFill>
    </fill>
    <fill>
      <patternFill patternType="solid">
        <fgColor rgb="FF00FF00"/>
        <bgColor indexed="64"/>
      </patternFill>
    </fill>
    <fill>
      <patternFill patternType="solid">
        <fgColor rgb="FFFFFF00"/>
        <bgColor indexed="64"/>
      </patternFill>
    </fill>
    <fill>
      <patternFill patternType="solid">
        <fgColor rgb="FFFF66FF"/>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5">
    <xf numFmtId="0" fontId="0" fillId="0" borderId="0"/>
    <xf numFmtId="43" fontId="1" fillId="0" borderId="0" applyFont="0" applyFill="0" applyBorder="0" applyAlignment="0" applyProtection="0"/>
    <xf numFmtId="0" fontId="3" fillId="0" borderId="0"/>
    <xf numFmtId="0" fontId="1" fillId="0" borderId="0"/>
    <xf numFmtId="43" fontId="1" fillId="0" borderId="0" applyFont="0" applyFill="0" applyBorder="0" applyAlignment="0" applyProtection="0"/>
  </cellStyleXfs>
  <cellXfs count="366">
    <xf numFmtId="0" fontId="0" fillId="0" borderId="0" xfId="0"/>
    <xf numFmtId="0" fontId="4" fillId="0" borderId="0" xfId="0" applyFont="1"/>
    <xf numFmtId="0" fontId="4" fillId="0" borderId="1" xfId="0" applyFont="1" applyBorder="1" applyAlignment="1">
      <alignment horizontal="left"/>
    </xf>
    <xf numFmtId="164" fontId="4" fillId="0" borderId="0" xfId="0" applyNumberFormat="1" applyFont="1" applyAlignment="1">
      <alignment horizontal="right"/>
    </xf>
    <xf numFmtId="165" fontId="4" fillId="0" borderId="0" xfId="0" applyNumberFormat="1" applyFont="1"/>
    <xf numFmtId="0" fontId="4" fillId="0" borderId="2" xfId="0" applyFont="1" applyBorder="1" applyAlignment="1">
      <alignment horizontal="left"/>
    </xf>
    <xf numFmtId="0" fontId="4" fillId="0" borderId="0" xfId="0" applyFont="1" applyAlignment="1">
      <alignment horizontal="center"/>
    </xf>
    <xf numFmtId="167" fontId="4" fillId="0" borderId="0" xfId="0" applyNumberFormat="1" applyFont="1" applyAlignment="1">
      <alignment horizontal="right"/>
    </xf>
    <xf numFmtId="0" fontId="9" fillId="0" borderId="2" xfId="2" applyFont="1" applyBorder="1" applyAlignment="1">
      <alignment horizontal="left"/>
    </xf>
    <xf numFmtId="0" fontId="9" fillId="0" borderId="0" xfId="2" applyFont="1" applyAlignment="1">
      <alignment horizontal="left"/>
    </xf>
    <xf numFmtId="0" fontId="9" fillId="0" borderId="0" xfId="2" applyFont="1" applyAlignment="1">
      <alignment horizontal="center"/>
    </xf>
    <xf numFmtId="0" fontId="4" fillId="0" borderId="0" xfId="2" applyFont="1" applyAlignment="1">
      <alignment horizontal="left"/>
    </xf>
    <xf numFmtId="0" fontId="4" fillId="0" borderId="0" xfId="0" applyFont="1" applyAlignment="1">
      <alignment wrapText="1"/>
    </xf>
    <xf numFmtId="164" fontId="4" fillId="0" borderId="0" xfId="2" applyNumberFormat="1" applyFont="1" applyAlignment="1">
      <alignment horizontal="right"/>
    </xf>
    <xf numFmtId="3" fontId="4" fillId="0" borderId="0" xfId="0" applyNumberFormat="1" applyFont="1" applyAlignment="1">
      <alignment horizontal="center"/>
    </xf>
    <xf numFmtId="3" fontId="4" fillId="0" borderId="2" xfId="0" applyNumberFormat="1" applyFont="1" applyBorder="1" applyAlignment="1">
      <alignment horizontal="right"/>
    </xf>
    <xf numFmtId="3" fontId="4" fillId="0" borderId="0" xfId="1" applyNumberFormat="1" applyFont="1" applyAlignment="1">
      <alignment horizontal="right"/>
    </xf>
    <xf numFmtId="3" fontId="4" fillId="0" borderId="0" xfId="0" applyNumberFormat="1" applyFont="1"/>
    <xf numFmtId="3" fontId="4" fillId="0" borderId="0" xfId="0" applyNumberFormat="1" applyFont="1" applyAlignment="1">
      <alignment horizontal="right" indent="2"/>
    </xf>
    <xf numFmtId="3" fontId="4" fillId="0" borderId="0" xfId="1" applyNumberFormat="1" applyFont="1" applyAlignment="1">
      <alignment horizontal="right" indent="2"/>
    </xf>
    <xf numFmtId="3" fontId="6" fillId="0" borderId="0" xfId="0" applyNumberFormat="1" applyFont="1" applyAlignment="1">
      <alignment horizontal="right" indent="2"/>
    </xf>
    <xf numFmtId="3" fontId="6" fillId="0" borderId="0" xfId="0" applyNumberFormat="1" applyFont="1" applyAlignment="1">
      <alignment horizontal="right" indent="1"/>
    </xf>
    <xf numFmtId="3" fontId="4" fillId="0" borderId="0" xfId="1" applyNumberFormat="1" applyFont="1" applyAlignment="1">
      <alignment horizontal="right" indent="1"/>
    </xf>
    <xf numFmtId="1" fontId="4" fillId="0" borderId="0" xfId="0" applyNumberFormat="1" applyFont="1"/>
    <xf numFmtId="3" fontId="4" fillId="0" borderId="0" xfId="0" applyNumberFormat="1" applyFont="1" applyAlignment="1">
      <alignment horizontal="right" indent="1"/>
    </xf>
    <xf numFmtId="3" fontId="4" fillId="0" borderId="2" xfId="0" applyNumberFormat="1" applyFont="1" applyBorder="1" applyAlignment="1">
      <alignment horizontal="right" indent="1"/>
    </xf>
    <xf numFmtId="3" fontId="4" fillId="0" borderId="0" xfId="1" applyNumberFormat="1" applyFont="1" applyFill="1" applyAlignment="1">
      <alignment horizontal="right" indent="1"/>
    </xf>
    <xf numFmtId="167" fontId="4" fillId="0" borderId="0" xfId="0" applyNumberFormat="1" applyFont="1" applyAlignment="1">
      <alignment horizontal="center"/>
    </xf>
    <xf numFmtId="0" fontId="12" fillId="0" borderId="0" xfId="0" applyFont="1" applyAlignment="1">
      <alignment wrapText="1"/>
    </xf>
    <xf numFmtId="167" fontId="4" fillId="0" borderId="0" xfId="0" applyNumberFormat="1" applyFont="1" applyAlignment="1">
      <alignment horizontal="right" indent="3"/>
    </xf>
    <xf numFmtId="3" fontId="4" fillId="0" borderId="2" xfId="0" applyNumberFormat="1" applyFont="1" applyBorder="1" applyAlignment="1">
      <alignment horizontal="right" indent="2"/>
    </xf>
    <xf numFmtId="0" fontId="4" fillId="0" borderId="0" xfId="0" applyFont="1" applyAlignment="1">
      <alignment horizontal="right"/>
    </xf>
    <xf numFmtId="3" fontId="4" fillId="0" borderId="0" xfId="1" applyNumberFormat="1" applyFont="1" applyFill="1" applyAlignment="1">
      <alignment horizontal="right" indent="3"/>
    </xf>
    <xf numFmtId="3" fontId="9" fillId="0" borderId="2" xfId="2" applyNumberFormat="1" applyFont="1" applyBorder="1" applyAlignment="1">
      <alignment horizontal="right" indent="1"/>
    </xf>
    <xf numFmtId="3" fontId="9" fillId="0" borderId="0" xfId="2" applyNumberFormat="1" applyFont="1" applyAlignment="1">
      <alignment horizontal="right" indent="1"/>
    </xf>
    <xf numFmtId="3" fontId="9" fillId="0" borderId="2" xfId="2" applyNumberFormat="1" applyFont="1" applyBorder="1" applyAlignment="1">
      <alignment horizontal="center"/>
    </xf>
    <xf numFmtId="3" fontId="9" fillId="0" borderId="0" xfId="2" applyNumberFormat="1" applyFont="1" applyAlignment="1">
      <alignment horizontal="center"/>
    </xf>
    <xf numFmtId="3" fontId="4" fillId="0" borderId="2" xfId="0" applyNumberFormat="1" applyFont="1" applyBorder="1"/>
    <xf numFmtId="3" fontId="4" fillId="0" borderId="0" xfId="2" applyNumberFormat="1" applyFont="1" applyAlignment="1">
      <alignment horizontal="right" indent="1"/>
    </xf>
    <xf numFmtId="3" fontId="5" fillId="0" borderId="0" xfId="2" applyNumberFormat="1" applyFont="1" applyAlignment="1">
      <alignment horizontal="right" indent="1"/>
    </xf>
    <xf numFmtId="3" fontId="9" fillId="0" borderId="0" xfId="2" applyNumberFormat="1" applyFont="1" applyAlignment="1">
      <alignment horizontal="right" indent="2"/>
    </xf>
    <xf numFmtId="0" fontId="4" fillId="0" borderId="2" xfId="0" applyFont="1" applyBorder="1" applyAlignment="1">
      <alignment horizontal="right" indent="2"/>
    </xf>
    <xf numFmtId="3" fontId="4" fillId="0" borderId="0" xfId="1" applyNumberFormat="1" applyFont="1" applyBorder="1" applyAlignment="1">
      <alignment horizontal="right" indent="2"/>
    </xf>
    <xf numFmtId="3" fontId="4" fillId="0" borderId="2" xfId="1" applyNumberFormat="1" applyFont="1" applyBorder="1" applyAlignment="1">
      <alignment horizontal="right" indent="2"/>
    </xf>
    <xf numFmtId="0" fontId="9" fillId="0" borderId="0" xfId="2" applyFont="1" applyAlignment="1">
      <alignment horizontal="left" wrapText="1"/>
    </xf>
    <xf numFmtId="3" fontId="4" fillId="0" borderId="0" xfId="0" applyNumberFormat="1" applyFont="1" applyAlignment="1">
      <alignment horizontal="right" vertical="center" indent="1"/>
    </xf>
    <xf numFmtId="3" fontId="4" fillId="0" borderId="1" xfId="0" applyNumberFormat="1" applyFont="1" applyBorder="1" applyAlignment="1">
      <alignment horizontal="right"/>
    </xf>
    <xf numFmtId="0" fontId="4" fillId="0" borderId="1" xfId="0" applyFont="1" applyBorder="1" applyAlignment="1">
      <alignment horizontal="center"/>
    </xf>
    <xf numFmtId="3" fontId="4" fillId="0" borderId="0" xfId="0" quotePrefix="1" applyNumberFormat="1" applyFont="1" applyAlignment="1">
      <alignment horizontal="right"/>
    </xf>
    <xf numFmtId="3" fontId="4" fillId="0" borderId="0" xfId="0" applyNumberFormat="1" applyFont="1" applyAlignment="1">
      <alignment horizontal="right" wrapText="1" indent="2"/>
    </xf>
    <xf numFmtId="0" fontId="4" fillId="0" borderId="0" xfId="0" applyFont="1" applyAlignment="1">
      <alignment horizontal="right" wrapText="1" indent="1"/>
    </xf>
    <xf numFmtId="0" fontId="4" fillId="0" borderId="0" xfId="0" applyFont="1" applyAlignment="1">
      <alignment horizontal="right" wrapText="1"/>
    </xf>
    <xf numFmtId="0" fontId="4" fillId="0" borderId="0" xfId="0" applyFont="1" applyAlignment="1">
      <alignment horizontal="right" indent="2"/>
    </xf>
    <xf numFmtId="164" fontId="4" fillId="0" borderId="0" xfId="0" applyNumberFormat="1" applyFont="1" applyAlignment="1">
      <alignment horizontal="right" indent="2"/>
    </xf>
    <xf numFmtId="3" fontId="4" fillId="0" borderId="0" xfId="1" applyNumberFormat="1" applyFont="1" applyFill="1" applyAlignment="1">
      <alignment horizontal="right" indent="2"/>
    </xf>
    <xf numFmtId="3" fontId="4" fillId="0" borderId="0" xfId="1" applyNumberFormat="1" applyFont="1" applyFill="1" applyBorder="1" applyAlignment="1">
      <alignment horizontal="right" indent="2"/>
    </xf>
    <xf numFmtId="167" fontId="4" fillId="0" borderId="0" xfId="1" applyNumberFormat="1" applyFont="1" applyAlignment="1">
      <alignment horizontal="right"/>
    </xf>
    <xf numFmtId="3" fontId="4" fillId="0" borderId="0" xfId="1" applyNumberFormat="1" applyFont="1" applyFill="1" applyAlignment="1">
      <alignment horizontal="right"/>
    </xf>
    <xf numFmtId="167" fontId="4" fillId="0" borderId="0" xfId="1" applyNumberFormat="1" applyFont="1" applyBorder="1" applyAlignment="1">
      <alignment horizontal="right"/>
    </xf>
    <xf numFmtId="3" fontId="4" fillId="0" borderId="0" xfId="1" applyNumberFormat="1" applyFont="1" applyBorder="1" applyAlignment="1">
      <alignment horizontal="right"/>
    </xf>
    <xf numFmtId="3" fontId="4" fillId="0" borderId="0" xfId="2" applyNumberFormat="1" applyFont="1" applyAlignment="1">
      <alignment horizontal="right" indent="2"/>
    </xf>
    <xf numFmtId="3" fontId="9" fillId="0" borderId="2" xfId="2" applyNumberFormat="1" applyFont="1" applyBorder="1" applyAlignment="1">
      <alignment horizontal="right" indent="2"/>
    </xf>
    <xf numFmtId="0" fontId="9" fillId="0" borderId="0" xfId="2" applyFont="1" applyAlignment="1">
      <alignment horizontal="right" indent="2"/>
    </xf>
    <xf numFmtId="0" fontId="12" fillId="0" borderId="0" xfId="0" applyFont="1" applyAlignment="1">
      <alignment horizontal="center" wrapText="1"/>
    </xf>
    <xf numFmtId="0" fontId="9" fillId="0" borderId="0" xfId="2" applyFont="1" applyAlignment="1">
      <alignment horizontal="right" indent="1"/>
    </xf>
    <xf numFmtId="3" fontId="9" fillId="0" borderId="2" xfId="2" applyNumberFormat="1" applyFont="1" applyBorder="1" applyAlignment="1">
      <alignment horizontal="left" indent="1"/>
    </xf>
    <xf numFmtId="3" fontId="9" fillId="0" borderId="0" xfId="2" applyNumberFormat="1" applyFont="1" applyAlignment="1">
      <alignment horizontal="left" indent="1"/>
    </xf>
    <xf numFmtId="0" fontId="9" fillId="0" borderId="0" xfId="2" applyFont="1" applyAlignment="1">
      <alignment horizontal="left" indent="1"/>
    </xf>
    <xf numFmtId="3" fontId="4" fillId="2" borderId="0" xfId="0" applyNumberFormat="1" applyFont="1" applyFill="1" applyAlignment="1">
      <alignment horizontal="right"/>
    </xf>
    <xf numFmtId="167" fontId="4" fillId="0" borderId="0" xfId="1" applyNumberFormat="1" applyFont="1" applyFill="1" applyAlignment="1">
      <alignment horizontal="right"/>
    </xf>
    <xf numFmtId="3" fontId="4" fillId="2" borderId="0" xfId="1" applyNumberFormat="1" applyFont="1" applyFill="1" applyAlignment="1">
      <alignment horizontal="right"/>
    </xf>
    <xf numFmtId="0" fontId="4" fillId="0" borderId="0" xfId="0" applyFont="1" applyAlignment="1">
      <alignment horizontal="left"/>
    </xf>
    <xf numFmtId="0" fontId="4" fillId="0" borderId="0" xfId="0" applyFont="1" applyAlignment="1">
      <alignment horizontal="fill"/>
    </xf>
    <xf numFmtId="168" fontId="4" fillId="0" borderId="0" xfId="0" applyNumberFormat="1" applyFont="1" applyAlignment="1">
      <alignment horizontal="center"/>
    </xf>
    <xf numFmtId="168" fontId="4" fillId="0" borderId="0" xfId="0" applyNumberFormat="1" applyFont="1"/>
    <xf numFmtId="0" fontId="4" fillId="3" borderId="0" xfId="0" applyFont="1" applyFill="1"/>
    <xf numFmtId="3" fontId="7" fillId="0" borderId="0" xfId="1" applyNumberFormat="1" applyFont="1" applyFill="1" applyAlignment="1">
      <alignment horizontal="left"/>
    </xf>
    <xf numFmtId="3" fontId="4" fillId="0" borderId="0" xfId="1" applyNumberFormat="1" applyFont="1" applyFill="1" applyBorder="1" applyAlignment="1">
      <alignment horizontal="right"/>
    </xf>
    <xf numFmtId="3" fontId="4" fillId="0" borderId="2" xfId="1" applyNumberFormat="1" applyFont="1" applyFill="1" applyBorder="1" applyAlignment="1">
      <alignment horizontal="right"/>
    </xf>
    <xf numFmtId="3" fontId="4" fillId="0" borderId="0" xfId="1" applyNumberFormat="1" applyFont="1" applyFill="1" applyBorder="1" applyAlignment="1">
      <alignment horizontal="right" indent="1"/>
    </xf>
    <xf numFmtId="164" fontId="4" fillId="0" borderId="0" xfId="0" applyNumberFormat="1" applyFont="1" applyAlignment="1">
      <alignment horizontal="right" indent="1"/>
    </xf>
    <xf numFmtId="164" fontId="4" fillId="0" borderId="0" xfId="1" applyNumberFormat="1" applyFont="1" applyFill="1" applyAlignment="1">
      <alignment horizontal="right" indent="1"/>
    </xf>
    <xf numFmtId="164" fontId="4" fillId="0" borderId="0" xfId="1" applyNumberFormat="1" applyFont="1" applyAlignment="1">
      <alignment horizontal="right" indent="1"/>
    </xf>
    <xf numFmtId="0" fontId="2" fillId="0" borderId="0" xfId="0" applyFont="1" applyAlignment="1">
      <alignment vertical="top"/>
    </xf>
    <xf numFmtId="3" fontId="4" fillId="3" borderId="0" xfId="0" applyNumberFormat="1" applyFont="1" applyFill="1" applyAlignment="1">
      <alignment horizontal="right" indent="1"/>
    </xf>
    <xf numFmtId="3" fontId="4" fillId="3" borderId="0" xfId="0" applyNumberFormat="1" applyFont="1" applyFill="1" applyAlignment="1">
      <alignment horizontal="right" indent="2"/>
    </xf>
    <xf numFmtId="3" fontId="4" fillId="3" borderId="0" xfId="1" applyNumberFormat="1" applyFont="1" applyFill="1" applyAlignment="1">
      <alignment horizontal="right"/>
    </xf>
    <xf numFmtId="3" fontId="4" fillId="4" borderId="0" xfId="1" applyNumberFormat="1" applyFont="1" applyFill="1" applyAlignment="1">
      <alignment horizontal="right"/>
    </xf>
    <xf numFmtId="0" fontId="6" fillId="0" borderId="0" xfId="2" applyFont="1" applyAlignment="1">
      <alignment horizontal="left" vertical="top"/>
    </xf>
    <xf numFmtId="3" fontId="4" fillId="0" borderId="0" xfId="0" applyNumberFormat="1" applyFont="1" applyAlignment="1">
      <alignment horizontal="right" vertical="top"/>
    </xf>
    <xf numFmtId="3" fontId="9" fillId="0" borderId="2" xfId="2" applyNumberFormat="1" applyFont="1" applyBorder="1" applyAlignment="1">
      <alignment horizontal="center" vertical="top"/>
    </xf>
    <xf numFmtId="0" fontId="9" fillId="0" borderId="0" xfId="2" applyFont="1" applyAlignment="1">
      <alignment horizontal="left" vertical="top"/>
    </xf>
    <xf numFmtId="0" fontId="5" fillId="0" borderId="0" xfId="2" applyFont="1" applyAlignment="1">
      <alignment horizontal="left" vertical="top"/>
    </xf>
    <xf numFmtId="0" fontId="8" fillId="0" borderId="0" xfId="2" applyFont="1" applyAlignment="1">
      <alignment horizontal="left" vertical="top"/>
    </xf>
    <xf numFmtId="0" fontId="6" fillId="0" borderId="0" xfId="0" applyFont="1" applyAlignment="1">
      <alignment horizontal="left" vertical="top"/>
    </xf>
    <xf numFmtId="0" fontId="4" fillId="0" borderId="0" xfId="2" applyFont="1" applyAlignment="1">
      <alignment horizontal="left" vertical="top"/>
    </xf>
    <xf numFmtId="0" fontId="4" fillId="0" borderId="2" xfId="0" applyFont="1" applyBorder="1" applyAlignment="1">
      <alignment horizontal="left" vertical="top"/>
    </xf>
    <xf numFmtId="0" fontId="8" fillId="0" borderId="0" xfId="0" applyFont="1" applyAlignment="1">
      <alignment horizontal="left" vertical="top"/>
    </xf>
    <xf numFmtId="0" fontId="4" fillId="0" borderId="1" xfId="0" applyFont="1" applyBorder="1" applyAlignment="1">
      <alignment horizontal="left" vertical="top"/>
    </xf>
    <xf numFmtId="0" fontId="4" fillId="0" borderId="0" xfId="0" applyFont="1" applyAlignment="1">
      <alignment horizontal="left" vertical="top"/>
    </xf>
    <xf numFmtId="0" fontId="4" fillId="0" borderId="2" xfId="2" applyFont="1" applyBorder="1" applyAlignment="1">
      <alignment horizontal="left" vertical="top"/>
    </xf>
    <xf numFmtId="3" fontId="4" fillId="0" borderId="1" xfId="0" applyNumberFormat="1" applyFont="1" applyBorder="1" applyAlignment="1">
      <alignment horizontal="center" vertical="top"/>
    </xf>
    <xf numFmtId="0" fontId="6" fillId="0" borderId="0" xfId="0" applyFont="1" applyAlignment="1">
      <alignment horizontal="left"/>
    </xf>
    <xf numFmtId="0" fontId="8" fillId="0" borderId="0" xfId="0" applyFont="1" applyAlignment="1">
      <alignment horizontal="left"/>
    </xf>
    <xf numFmtId="3" fontId="6" fillId="0" borderId="0" xfId="0" applyNumberFormat="1" applyFont="1" applyAlignment="1">
      <alignment horizontal="right"/>
    </xf>
    <xf numFmtId="166" fontId="4" fillId="0" borderId="0" xfId="1" applyNumberFormat="1" applyFont="1" applyAlignment="1">
      <alignment horizontal="right"/>
    </xf>
    <xf numFmtId="1" fontId="4" fillId="0" borderId="0" xfId="1" applyNumberFormat="1" applyFont="1" applyAlignment="1">
      <alignment horizontal="right"/>
    </xf>
    <xf numFmtId="3" fontId="4" fillId="0" borderId="2" xfId="1" applyNumberFormat="1" applyFont="1" applyBorder="1" applyAlignment="1">
      <alignment horizontal="right"/>
    </xf>
    <xf numFmtId="0" fontId="9" fillId="0" borderId="3" xfId="2" applyFont="1" applyBorder="1" applyAlignment="1">
      <alignment horizontal="left"/>
    </xf>
    <xf numFmtId="0" fontId="4" fillId="0" borderId="1" xfId="2" applyFont="1" applyBorder="1" applyAlignment="1">
      <alignment horizontal="left" vertical="top"/>
    </xf>
    <xf numFmtId="3" fontId="4" fillId="0" borderId="1" xfId="2" applyNumberFormat="1" applyFont="1" applyBorder="1" applyAlignment="1">
      <alignment horizontal="right"/>
    </xf>
    <xf numFmtId="3" fontId="4" fillId="0" borderId="1" xfId="2" applyNumberFormat="1" applyFont="1" applyBorder="1" applyAlignment="1">
      <alignment horizontal="right" indent="2"/>
    </xf>
    <xf numFmtId="3" fontId="9" fillId="0" borderId="3" xfId="2" applyNumberFormat="1" applyFont="1" applyBorder="1" applyAlignment="1">
      <alignment horizontal="center"/>
    </xf>
    <xf numFmtId="3" fontId="9" fillId="0" borderId="3" xfId="2" applyNumberFormat="1" applyFont="1" applyBorder="1" applyAlignment="1">
      <alignment horizontal="left"/>
    </xf>
    <xf numFmtId="0" fontId="12" fillId="0" borderId="3" xfId="0" applyFont="1" applyBorder="1" applyAlignment="1">
      <alignment wrapText="1"/>
    </xf>
    <xf numFmtId="0" fontId="4" fillId="0" borderId="1" xfId="0" applyFont="1" applyBorder="1" applyAlignment="1">
      <alignment horizontal="fill"/>
    </xf>
    <xf numFmtId="164" fontId="4" fillId="0" borderId="1" xfId="0" applyNumberFormat="1" applyFont="1" applyBorder="1" applyAlignment="1">
      <alignment horizontal="right"/>
    </xf>
    <xf numFmtId="164" fontId="4" fillId="0" borderId="1" xfId="0" applyNumberFormat="1" applyFont="1" applyBorder="1" applyAlignment="1">
      <alignment horizontal="center"/>
    </xf>
    <xf numFmtId="3" fontId="4" fillId="0" borderId="1" xfId="0" applyNumberFormat="1" applyFont="1" applyBorder="1"/>
    <xf numFmtId="0" fontId="4" fillId="0" borderId="1" xfId="0" applyFont="1" applyBorder="1"/>
    <xf numFmtId="3" fontId="6" fillId="0" borderId="0" xfId="0" applyNumberFormat="1" applyFont="1" applyAlignment="1">
      <alignment horizontal="right" vertical="top"/>
    </xf>
    <xf numFmtId="168" fontId="4" fillId="0" borderId="0" xfId="0" applyNumberFormat="1" applyFont="1" applyAlignment="1">
      <alignment horizontal="right"/>
    </xf>
    <xf numFmtId="0" fontId="4" fillId="0" borderId="0" xfId="0" applyFont="1" applyAlignment="1">
      <alignment horizontal="left" vertical="center"/>
    </xf>
    <xf numFmtId="0" fontId="6" fillId="0" borderId="0" xfId="0" applyFont="1" applyAlignment="1">
      <alignment horizontal="left" vertical="center"/>
    </xf>
    <xf numFmtId="0" fontId="5" fillId="0" borderId="0" xfId="0" applyFont="1" applyAlignment="1">
      <alignment horizontal="center"/>
    </xf>
    <xf numFmtId="3" fontId="9" fillId="0" borderId="0" xfId="2" applyNumberFormat="1" applyFont="1"/>
    <xf numFmtId="0" fontId="4" fillId="0" borderId="3" xfId="0" applyFont="1" applyBorder="1" applyAlignment="1">
      <alignment horizontal="left" vertical="top"/>
    </xf>
    <xf numFmtId="3" fontId="7" fillId="0" borderId="0" xfId="1" applyNumberFormat="1" applyFont="1" applyFill="1" applyBorder="1" applyAlignment="1">
      <alignment horizontal="left"/>
    </xf>
    <xf numFmtId="3" fontId="4" fillId="0" borderId="0" xfId="2" quotePrefix="1" applyNumberFormat="1" applyFont="1" applyAlignment="1">
      <alignment horizontal="right" indent="2"/>
    </xf>
    <xf numFmtId="167" fontId="4" fillId="0" borderId="2" xfId="0" applyNumberFormat="1" applyFont="1" applyBorder="1" applyAlignment="1">
      <alignment horizontal="center" vertical="center"/>
    </xf>
    <xf numFmtId="3" fontId="4" fillId="0" borderId="2" xfId="0" applyNumberFormat="1" applyFont="1" applyBorder="1" applyAlignment="1">
      <alignment horizontal="center" vertical="center"/>
    </xf>
    <xf numFmtId="2" fontId="4" fillId="0" borderId="0" xfId="0" applyNumberFormat="1" applyFont="1"/>
    <xf numFmtId="2" fontId="4" fillId="0" borderId="0" xfId="0" quotePrefix="1" applyNumberFormat="1" applyFont="1"/>
    <xf numFmtId="3" fontId="4" fillId="0" borderId="1" xfId="0" applyNumberFormat="1" applyFont="1" applyBorder="1" applyAlignment="1">
      <alignment horizontal="center" vertical="center"/>
    </xf>
    <xf numFmtId="3" fontId="4" fillId="0" borderId="0" xfId="0" quotePrefix="1" applyNumberFormat="1" applyFont="1" applyAlignment="1">
      <alignment horizontal="right" indent="2"/>
    </xf>
    <xf numFmtId="3" fontId="4" fillId="0" borderId="0" xfId="2" applyNumberFormat="1" applyFont="1" applyAlignment="1" applyProtection="1">
      <alignment horizontal="right"/>
      <protection locked="0"/>
    </xf>
    <xf numFmtId="3" fontId="4" fillId="0" borderId="0" xfId="2" quotePrefix="1" applyNumberFormat="1" applyFont="1" applyAlignment="1" applyProtection="1">
      <alignment horizontal="right"/>
      <protection locked="0"/>
    </xf>
    <xf numFmtId="3" fontId="4" fillId="0" borderId="0" xfId="2" quotePrefix="1" applyNumberFormat="1" applyFont="1" applyAlignment="1">
      <alignment horizontal="right" indent="1"/>
    </xf>
    <xf numFmtId="3" fontId="4" fillId="0" borderId="3" xfId="0" applyNumberFormat="1" applyFont="1" applyBorder="1" applyAlignment="1">
      <alignment horizontal="right" indent="2"/>
    </xf>
    <xf numFmtId="3" fontId="4" fillId="0" borderId="0" xfId="2" applyNumberFormat="1" applyFont="1" applyAlignment="1">
      <alignment horizontal="right"/>
    </xf>
    <xf numFmtId="3" fontId="4" fillId="0" borderId="0" xfId="2" applyNumberFormat="1" applyFont="1" applyProtection="1">
      <protection locked="0"/>
    </xf>
    <xf numFmtId="167" fontId="4" fillId="0" borderId="2" xfId="0" applyNumberFormat="1" applyFont="1" applyBorder="1" applyAlignment="1">
      <alignment horizontal="center"/>
    </xf>
    <xf numFmtId="3" fontId="4" fillId="0" borderId="0" xfId="0" applyNumberFormat="1" applyFont="1" applyAlignment="1">
      <alignment horizontal="right"/>
    </xf>
    <xf numFmtId="1" fontId="4" fillId="0" borderId="0" xfId="2" applyNumberFormat="1" applyFont="1" applyAlignment="1">
      <alignment horizontal="right"/>
    </xf>
    <xf numFmtId="3" fontId="4" fillId="0" borderId="0" xfId="2" applyNumberFormat="1" applyFont="1"/>
    <xf numFmtId="3" fontId="9" fillId="5" borderId="0" xfId="2" applyNumberFormat="1" applyFont="1" applyFill="1" applyAlignment="1">
      <alignment horizontal="right" indent="2"/>
    </xf>
    <xf numFmtId="3" fontId="4" fillId="0" borderId="2" xfId="2" applyNumberFormat="1" applyFont="1" applyBorder="1" applyAlignment="1">
      <alignment horizontal="center" vertical="top"/>
    </xf>
    <xf numFmtId="0" fontId="4" fillId="0" borderId="0" xfId="2" applyFont="1" applyAlignment="1">
      <alignment horizontal="center" vertical="top"/>
    </xf>
    <xf numFmtId="0" fontId="6" fillId="0" borderId="0" xfId="2" applyFont="1" applyAlignment="1">
      <alignment horizontal="center" vertical="top"/>
    </xf>
    <xf numFmtId="3" fontId="4" fillId="0" borderId="0" xfId="2" applyNumberFormat="1" applyFont="1" applyAlignment="1">
      <alignment horizontal="center" vertical="top"/>
    </xf>
    <xf numFmtId="0" fontId="4" fillId="0" borderId="0" xfId="3" applyFont="1" applyAlignment="1">
      <alignment horizontal="center" vertical="top"/>
    </xf>
    <xf numFmtId="3" fontId="4" fillId="0" borderId="0" xfId="2" applyNumberFormat="1" applyFont="1" applyAlignment="1" applyProtection="1">
      <alignment horizontal="center"/>
      <protection locked="0"/>
    </xf>
    <xf numFmtId="3" fontId="4" fillId="0" borderId="0" xfId="2" applyNumberFormat="1" applyFont="1" applyAlignment="1">
      <alignment horizontal="right" vertical="top"/>
    </xf>
    <xf numFmtId="3" fontId="4" fillId="0" borderId="0" xfId="2" quotePrefix="1" applyNumberFormat="1" applyFont="1" applyAlignment="1" applyProtection="1">
      <alignment horizontal="center"/>
      <protection locked="0"/>
    </xf>
    <xf numFmtId="3" fontId="4" fillId="0" borderId="0" xfId="2" applyNumberFormat="1" applyFont="1" applyAlignment="1">
      <alignment horizontal="left" vertical="top"/>
    </xf>
    <xf numFmtId="3" fontId="5" fillId="0" borderId="0" xfId="0" applyNumberFormat="1" applyFont="1"/>
    <xf numFmtId="166" fontId="4" fillId="0" borderId="0" xfId="1" applyNumberFormat="1" applyFont="1" applyFill="1" applyAlignment="1">
      <alignment horizontal="right"/>
    </xf>
    <xf numFmtId="1" fontId="4" fillId="0" borderId="0" xfId="1" applyNumberFormat="1" applyFont="1" applyFill="1" applyAlignment="1">
      <alignment horizontal="right"/>
    </xf>
    <xf numFmtId="0" fontId="4" fillId="6" borderId="0" xfId="0" applyFont="1" applyFill="1" applyAlignment="1">
      <alignment horizontal="left" vertical="top"/>
    </xf>
    <xf numFmtId="3" fontId="4" fillId="6" borderId="0" xfId="0" applyNumberFormat="1" applyFont="1" applyFill="1" applyAlignment="1">
      <alignment horizontal="right"/>
    </xf>
    <xf numFmtId="3" fontId="4" fillId="6" borderId="0" xfId="0" applyNumberFormat="1" applyFont="1" applyFill="1" applyAlignment="1">
      <alignment horizontal="right" indent="1"/>
    </xf>
    <xf numFmtId="0" fontId="4" fillId="6" borderId="0" xfId="2" applyFont="1" applyFill="1" applyAlignment="1">
      <alignment horizontal="left" vertical="top"/>
    </xf>
    <xf numFmtId="3" fontId="4" fillId="6" borderId="0" xfId="2" applyNumberFormat="1" applyFont="1" applyFill="1" applyAlignment="1">
      <alignment horizontal="right" vertical="top"/>
    </xf>
    <xf numFmtId="3" fontId="4" fillId="6" borderId="0" xfId="2" applyNumberFormat="1" applyFont="1" applyFill="1" applyAlignment="1">
      <alignment horizontal="right" indent="2"/>
    </xf>
    <xf numFmtId="0" fontId="4" fillId="6" borderId="0" xfId="0" applyFont="1" applyFill="1" applyAlignment="1">
      <alignment horizontal="left"/>
    </xf>
    <xf numFmtId="3" fontId="4" fillId="6" borderId="0" xfId="1" applyNumberFormat="1" applyFont="1" applyFill="1" applyAlignment="1">
      <alignment horizontal="right" indent="2"/>
    </xf>
    <xf numFmtId="3" fontId="4" fillId="6" borderId="0" xfId="0" applyNumberFormat="1" applyFont="1" applyFill="1"/>
    <xf numFmtId="3" fontId="4" fillId="6" borderId="0" xfId="0" applyNumberFormat="1" applyFont="1" applyFill="1" applyAlignment="1">
      <alignment horizontal="right" indent="2"/>
    </xf>
    <xf numFmtId="0" fontId="4" fillId="6" borderId="0" xfId="0" applyFont="1" applyFill="1" applyAlignment="1">
      <alignment horizontal="right" indent="1"/>
    </xf>
    <xf numFmtId="0" fontId="4" fillId="6" borderId="0" xfId="0" applyFont="1" applyFill="1" applyAlignment="1">
      <alignment horizontal="left" vertical="center" wrapText="1"/>
    </xf>
    <xf numFmtId="0" fontId="4" fillId="6" borderId="0" xfId="0" applyFont="1" applyFill="1" applyAlignment="1">
      <alignment horizontal="right" indent="2"/>
    </xf>
    <xf numFmtId="3" fontId="4" fillId="6" borderId="0" xfId="1" applyNumberFormat="1" applyFont="1" applyFill="1" applyAlignment="1">
      <alignment horizontal="right"/>
    </xf>
    <xf numFmtId="167" fontId="4" fillId="6" borderId="0" xfId="0" applyNumberFormat="1" applyFont="1" applyFill="1" applyAlignment="1">
      <alignment horizontal="right"/>
    </xf>
    <xf numFmtId="0" fontId="4" fillId="7" borderId="0" xfId="0" applyFont="1" applyFill="1"/>
    <xf numFmtId="164" fontId="4" fillId="6" borderId="0" xfId="0" applyNumberFormat="1" applyFont="1" applyFill="1" applyAlignment="1">
      <alignment horizontal="right" indent="1"/>
    </xf>
    <xf numFmtId="164" fontId="4" fillId="6" borderId="0" xfId="0" applyNumberFormat="1" applyFont="1" applyFill="1" applyAlignment="1">
      <alignment horizontal="right" indent="2"/>
    </xf>
    <xf numFmtId="164" fontId="4" fillId="6" borderId="0" xfId="0" applyNumberFormat="1" applyFont="1" applyFill="1" applyAlignment="1">
      <alignment horizontal="right"/>
    </xf>
    <xf numFmtId="3" fontId="4" fillId="0" borderId="0" xfId="2" applyNumberFormat="1" applyFont="1" applyAlignment="1">
      <alignment horizontal="center"/>
    </xf>
    <xf numFmtId="3" fontId="4" fillId="7" borderId="0" xfId="0" applyNumberFormat="1" applyFont="1" applyFill="1" applyAlignment="1">
      <alignment horizontal="right" indent="1"/>
    </xf>
    <xf numFmtId="3" fontId="4" fillId="8" borderId="0" xfId="0" applyNumberFormat="1" applyFont="1" applyFill="1" applyAlignment="1">
      <alignment horizontal="right" indent="1"/>
    </xf>
    <xf numFmtId="0" fontId="4" fillId="0" borderId="1" xfId="0" applyFont="1" applyBorder="1" applyAlignment="1">
      <alignment horizontal="center" vertical="center" wrapText="1"/>
    </xf>
    <xf numFmtId="0" fontId="4" fillId="0" borderId="0" xfId="0" quotePrefix="1" applyFont="1" applyAlignment="1">
      <alignment horizontal="right"/>
    </xf>
    <xf numFmtId="0" fontId="4" fillId="0" borderId="0" xfId="2" applyFont="1"/>
    <xf numFmtId="0" fontId="4" fillId="9" borderId="0" xfId="0" applyFont="1" applyFill="1"/>
    <xf numFmtId="3" fontId="4" fillId="6" borderId="0" xfId="2" applyNumberFormat="1" applyFont="1" applyFill="1" applyAlignment="1">
      <alignment horizontal="right"/>
    </xf>
    <xf numFmtId="3" fontId="4" fillId="0" borderId="2" xfId="2" applyNumberFormat="1" applyFont="1" applyBorder="1" applyAlignment="1">
      <alignment horizontal="right"/>
    </xf>
    <xf numFmtId="3" fontId="4" fillId="0" borderId="1" xfId="2" applyNumberFormat="1" applyFont="1" applyBorder="1" applyAlignment="1">
      <alignment horizontal="center" vertical="top"/>
    </xf>
    <xf numFmtId="3" fontId="4" fillId="0" borderId="0" xfId="2" applyNumberFormat="1" applyFont="1" applyAlignment="1" applyProtection="1">
      <alignment horizontal="right" indent="1"/>
      <protection locked="0"/>
    </xf>
    <xf numFmtId="3" fontId="4" fillId="0" borderId="0" xfId="2" quotePrefix="1" applyNumberFormat="1" applyFont="1" applyAlignment="1" applyProtection="1">
      <alignment horizontal="right" indent="1"/>
      <protection locked="0"/>
    </xf>
    <xf numFmtId="3" fontId="4" fillId="6" borderId="0" xfId="2" applyNumberFormat="1" applyFont="1" applyFill="1" applyAlignment="1">
      <alignment horizontal="right" indent="1"/>
    </xf>
    <xf numFmtId="0" fontId="4" fillId="0" borderId="3" xfId="0" applyFont="1" applyBorder="1"/>
    <xf numFmtId="0" fontId="12" fillId="0" borderId="0" xfId="0" applyFont="1" applyAlignment="1">
      <alignment horizontal="left" wrapText="1"/>
    </xf>
    <xf numFmtId="0" fontId="9" fillId="0" borderId="0" xfId="2" applyFont="1" applyAlignment="1">
      <alignment horizontal="justify" vertical="center" wrapText="1"/>
    </xf>
    <xf numFmtId="0" fontId="4" fillId="0" borderId="0" xfId="2" applyFont="1" applyAlignment="1">
      <alignment vertical="top" wrapText="1"/>
    </xf>
    <xf numFmtId="0" fontId="4" fillId="0" borderId="3" xfId="2" applyFont="1" applyBorder="1" applyAlignment="1">
      <alignment horizontal="left"/>
    </xf>
    <xf numFmtId="0" fontId="4" fillId="0" borderId="2" xfId="0" applyFont="1" applyBorder="1"/>
    <xf numFmtId="3" fontId="4" fillId="0" borderId="1" xfId="0" applyNumberFormat="1" applyFont="1" applyBorder="1" applyAlignment="1">
      <alignment horizontal="center"/>
    </xf>
    <xf numFmtId="0" fontId="4" fillId="0" borderId="0" xfId="0" applyFont="1" applyAlignment="1">
      <alignment horizontal="left" vertical="center" wrapText="1"/>
    </xf>
    <xf numFmtId="0" fontId="4" fillId="6" borderId="0" xfId="0" applyFont="1" applyFill="1" applyAlignment="1">
      <alignment horizontal="left" wrapText="1"/>
    </xf>
    <xf numFmtId="0" fontId="4" fillId="6" borderId="0" xfId="0" applyFont="1" applyFill="1"/>
    <xf numFmtId="0" fontId="4" fillId="0" borderId="0" xfId="2" applyFont="1" applyAlignment="1">
      <alignment vertical="top"/>
    </xf>
    <xf numFmtId="0" fontId="4" fillId="0" borderId="3" xfId="2" applyFont="1" applyBorder="1" applyAlignment="1">
      <alignment horizontal="center" vertical="top"/>
    </xf>
    <xf numFmtId="0" fontId="4" fillId="6" borderId="0" xfId="2" applyFont="1" applyFill="1" applyAlignment="1">
      <alignment vertical="top"/>
    </xf>
    <xf numFmtId="0" fontId="4" fillId="0" borderId="3" xfId="2" applyFont="1" applyBorder="1"/>
    <xf numFmtId="3" fontId="4" fillId="0" borderId="0" xfId="4" applyNumberFormat="1" applyFont="1" applyFill="1" applyAlignment="1">
      <alignment horizontal="right"/>
    </xf>
    <xf numFmtId="3" fontId="4" fillId="0" borderId="0" xfId="4" applyNumberFormat="1" applyFont="1" applyAlignment="1">
      <alignment horizontal="right"/>
    </xf>
    <xf numFmtId="3" fontId="4" fillId="0" borderId="0" xfId="4" applyNumberFormat="1" applyFont="1" applyAlignment="1" applyProtection="1">
      <alignment horizontal="right"/>
      <protection locked="0"/>
    </xf>
    <xf numFmtId="3" fontId="4" fillId="0" borderId="0" xfId="4" applyNumberFormat="1" applyFont="1" applyBorder="1" applyAlignment="1" applyProtection="1">
      <alignment horizontal="right"/>
      <protection locked="0"/>
    </xf>
    <xf numFmtId="0" fontId="4" fillId="6" borderId="0" xfId="2" applyFont="1" applyFill="1"/>
    <xf numFmtId="0" fontId="4" fillId="0" borderId="1" xfId="2" applyFont="1" applyBorder="1"/>
    <xf numFmtId="3" fontId="4" fillId="0" borderId="0" xfId="0" quotePrefix="1" applyNumberFormat="1" applyFont="1" applyAlignment="1">
      <alignment horizontal="right" indent="1"/>
    </xf>
    <xf numFmtId="0" fontId="4" fillId="0" borderId="0" xfId="0" applyFont="1" applyAlignment="1">
      <alignment horizontal="right" indent="1"/>
    </xf>
    <xf numFmtId="3" fontId="4" fillId="0" borderId="0" xfId="1" quotePrefix="1" applyNumberFormat="1" applyFont="1" applyFill="1" applyAlignment="1">
      <alignment horizontal="right"/>
    </xf>
    <xf numFmtId="3" fontId="4" fillId="0" borderId="0" xfId="1" quotePrefix="1" applyNumberFormat="1" applyFont="1" applyFill="1" applyBorder="1" applyAlignment="1">
      <alignment horizontal="right"/>
    </xf>
    <xf numFmtId="0" fontId="0" fillId="0" borderId="0" xfId="0" applyAlignment="1">
      <alignment horizontal="left" vertical="top"/>
    </xf>
    <xf numFmtId="3" fontId="4" fillId="0" borderId="3" xfId="2" applyNumberFormat="1" applyFont="1" applyBorder="1" applyAlignment="1">
      <alignment horizontal="center"/>
    </xf>
    <xf numFmtId="0" fontId="4" fillId="0" borderId="2" xfId="2" applyFont="1" applyBorder="1" applyAlignment="1">
      <alignment horizontal="left"/>
    </xf>
    <xf numFmtId="3" fontId="4" fillId="0" borderId="2" xfId="2" applyNumberFormat="1" applyFont="1" applyBorder="1" applyAlignment="1">
      <alignment horizontal="center"/>
    </xf>
    <xf numFmtId="0" fontId="1" fillId="0" borderId="0" xfId="0" applyFont="1"/>
    <xf numFmtId="0" fontId="1" fillId="0" borderId="0" xfId="0" applyFont="1" applyAlignment="1">
      <alignment horizontal="left" vertical="top"/>
    </xf>
    <xf numFmtId="0" fontId="1" fillId="0" borderId="0" xfId="0" applyFont="1" applyAlignment="1">
      <alignment horizontal="center"/>
    </xf>
    <xf numFmtId="3" fontId="21" fillId="0" borderId="0" xfId="0" applyNumberFormat="1" applyFont="1" applyAlignment="1">
      <alignment horizontal="right" indent="2"/>
    </xf>
    <xf numFmtId="0" fontId="21" fillId="0" borderId="0" xfId="0" applyFont="1" applyAlignment="1">
      <alignment horizontal="left"/>
    </xf>
    <xf numFmtId="0" fontId="4" fillId="0" borderId="3" xfId="0" applyFont="1" applyBorder="1" applyAlignment="1">
      <alignment horizontal="left"/>
    </xf>
    <xf numFmtId="0" fontId="4" fillId="0" borderId="3" xfId="2" applyFont="1" applyBorder="1" applyAlignment="1">
      <alignment horizontal="center" vertical="top" wrapText="1"/>
    </xf>
    <xf numFmtId="3" fontId="4" fillId="0" borderId="2" xfId="0" applyNumberFormat="1" applyFont="1" applyBorder="1" applyAlignment="1">
      <alignment horizontal="center"/>
    </xf>
    <xf numFmtId="0" fontId="4" fillId="0" borderId="0" xfId="0" applyFont="1" applyAlignment="1">
      <alignment horizontal="left" vertical="top" wrapText="1"/>
    </xf>
    <xf numFmtId="0" fontId="4" fillId="0" borderId="0" xfId="0" applyFont="1" applyAlignment="1">
      <alignment horizontal="left" wrapText="1"/>
    </xf>
    <xf numFmtId="3" fontId="5" fillId="0" borderId="0" xfId="0" applyNumberFormat="1" applyFont="1" applyAlignment="1">
      <alignment horizontal="center"/>
    </xf>
    <xf numFmtId="0" fontId="4" fillId="0" borderId="2" xfId="0" applyFont="1" applyBorder="1" applyAlignment="1">
      <alignment horizontal="justify" wrapText="1"/>
    </xf>
    <xf numFmtId="167" fontId="4" fillId="0" borderId="1" xfId="0" applyNumberFormat="1" applyFont="1" applyBorder="1" applyAlignment="1">
      <alignment horizontal="center"/>
    </xf>
    <xf numFmtId="0" fontId="4" fillId="0" borderId="1" xfId="0" applyFont="1" applyBorder="1" applyAlignment="1">
      <alignment vertical="top"/>
    </xf>
    <xf numFmtId="3" fontId="4" fillId="0" borderId="1" xfId="0" applyNumberFormat="1" applyFont="1" applyBorder="1" applyAlignment="1">
      <alignment horizontal="right" indent="1"/>
    </xf>
    <xf numFmtId="3" fontId="4" fillId="0" borderId="1" xfId="0" applyNumberFormat="1" applyFont="1" applyBorder="1" applyAlignment="1">
      <alignment horizontal="right" vertical="top"/>
    </xf>
    <xf numFmtId="0" fontId="4" fillId="0" borderId="1" xfId="0" applyFont="1" applyBorder="1" applyAlignment="1">
      <alignment horizontal="center" vertical="top"/>
    </xf>
    <xf numFmtId="0" fontId="4" fillId="0" borderId="0" xfId="0" applyFont="1" applyAlignment="1">
      <alignment horizontal="left" indent="2"/>
    </xf>
    <xf numFmtId="0" fontId="4" fillId="0" borderId="3" xfId="2" applyFont="1" applyBorder="1" applyAlignment="1">
      <alignment horizontal="right" vertical="top" wrapText="1"/>
    </xf>
    <xf numFmtId="3" fontId="4" fillId="0" borderId="2" xfId="2" applyNumberFormat="1" applyFont="1" applyBorder="1" applyAlignment="1">
      <alignment horizontal="right" vertical="top"/>
    </xf>
    <xf numFmtId="3" fontId="4" fillId="0" borderId="0" xfId="3" applyNumberFormat="1" applyFont="1" applyAlignment="1">
      <alignment horizontal="right" vertical="top"/>
    </xf>
    <xf numFmtId="0" fontId="4" fillId="0" borderId="0" xfId="3" applyFont="1" applyAlignment="1">
      <alignment horizontal="left" vertical="top"/>
    </xf>
    <xf numFmtId="0" fontId="6" fillId="0" borderId="0" xfId="3" applyFont="1" applyAlignment="1">
      <alignment horizontal="left" vertical="top"/>
    </xf>
    <xf numFmtId="0" fontId="4" fillId="0" borderId="0" xfId="2" applyFont="1" applyAlignment="1">
      <alignment horizontal="right" vertical="top" wrapText="1"/>
    </xf>
    <xf numFmtId="164" fontId="6" fillId="0" borderId="0" xfId="3" applyNumberFormat="1" applyFont="1" applyAlignment="1">
      <alignment horizontal="left" vertical="top"/>
    </xf>
    <xf numFmtId="0" fontId="6" fillId="0" borderId="0" xfId="3" applyFont="1" applyAlignment="1">
      <alignment horizontal="left"/>
    </xf>
    <xf numFmtId="0" fontId="4" fillId="0" borderId="0" xfId="3" applyFont="1" applyAlignment="1">
      <alignment horizontal="left"/>
    </xf>
    <xf numFmtId="164" fontId="8" fillId="0" borderId="0" xfId="3" applyNumberFormat="1" applyFont="1" applyAlignment="1">
      <alignment horizontal="left" vertical="top"/>
    </xf>
    <xf numFmtId="0" fontId="4" fillId="0" borderId="0" xfId="2" applyFont="1" applyAlignment="1">
      <alignment horizontal="left" vertical="center"/>
    </xf>
    <xf numFmtId="164" fontId="6" fillId="0" borderId="0" xfId="0" applyNumberFormat="1" applyFont="1" applyAlignment="1">
      <alignment horizontal="left" vertical="top"/>
    </xf>
    <xf numFmtId="164" fontId="8" fillId="0" borderId="0" xfId="0" applyNumberFormat="1" applyFont="1" applyAlignment="1">
      <alignment horizontal="left" vertical="top"/>
    </xf>
    <xf numFmtId="3" fontId="4" fillId="0" borderId="2" xfId="2" applyNumberFormat="1" applyFont="1" applyBorder="1" applyAlignment="1">
      <alignment horizontal="right" indent="2"/>
    </xf>
    <xf numFmtId="49" fontId="4" fillId="0" borderId="0" xfId="0" applyNumberFormat="1" applyFont="1" applyAlignment="1">
      <alignment horizontal="right" indent="1"/>
    </xf>
    <xf numFmtId="164" fontId="4" fillId="0" borderId="1" xfId="0" applyNumberFormat="1" applyFont="1" applyBorder="1" applyAlignment="1">
      <alignment horizontal="right" indent="1"/>
    </xf>
    <xf numFmtId="3" fontId="6" fillId="0" borderId="3" xfId="0" applyNumberFormat="1" applyFont="1" applyBorder="1" applyAlignment="1">
      <alignment horizontal="center" vertical="center"/>
    </xf>
    <xf numFmtId="164" fontId="4" fillId="0" borderId="2" xfId="0" applyNumberFormat="1" applyFont="1" applyBorder="1" applyAlignment="1">
      <alignment horizontal="right" indent="1"/>
    </xf>
    <xf numFmtId="164" fontId="4" fillId="0" borderId="2" xfId="0" applyNumberFormat="1" applyFont="1" applyBorder="1" applyAlignment="1">
      <alignment horizontal="center"/>
    </xf>
    <xf numFmtId="164" fontId="4" fillId="0" borderId="2" xfId="0" applyNumberFormat="1" applyFont="1" applyBorder="1" applyAlignment="1">
      <alignment horizontal="right"/>
    </xf>
    <xf numFmtId="164" fontId="4" fillId="0" borderId="0" xfId="0" applyNumberFormat="1" applyFont="1" applyAlignment="1">
      <alignment horizontal="left" vertical="center"/>
    </xf>
    <xf numFmtId="0" fontId="1" fillId="0" borderId="0" xfId="0" applyFont="1" applyAlignment="1">
      <alignment horizontal="left" vertical="center"/>
    </xf>
    <xf numFmtId="164" fontId="4" fillId="0" borderId="0" xfId="0" applyNumberFormat="1" applyFont="1" applyAlignment="1">
      <alignment vertical="center"/>
    </xf>
    <xf numFmtId="164" fontId="4" fillId="0" borderId="0" xfId="0" applyNumberFormat="1" applyFont="1" applyAlignment="1">
      <alignment horizontal="left" vertical="top"/>
    </xf>
    <xf numFmtId="3" fontId="7" fillId="0" borderId="0" xfId="0" applyNumberFormat="1" applyFont="1" applyAlignment="1">
      <alignment horizontal="left"/>
    </xf>
    <xf numFmtId="49" fontId="4" fillId="0" borderId="0" xfId="0" applyNumberFormat="1" applyFont="1" applyAlignment="1">
      <alignment horizontal="right" indent="2"/>
    </xf>
    <xf numFmtId="3" fontId="4" fillId="0" borderId="3" xfId="0" applyNumberFormat="1" applyFont="1" applyBorder="1" applyAlignment="1">
      <alignment horizontal="center"/>
    </xf>
    <xf numFmtId="0" fontId="4" fillId="0" borderId="2" xfId="0" applyFont="1" applyBorder="1" applyAlignment="1">
      <alignment horizontal="right"/>
    </xf>
    <xf numFmtId="3" fontId="4" fillId="0" borderId="0" xfId="0" applyNumberFormat="1" applyFont="1" applyAlignment="1">
      <alignment horizontal="right" vertical="center"/>
    </xf>
    <xf numFmtId="3" fontId="4" fillId="0" borderId="0" xfId="0" applyNumberFormat="1" applyFont="1" applyAlignment="1">
      <alignment horizontal="left"/>
    </xf>
    <xf numFmtId="0" fontId="4" fillId="0" borderId="3" xfId="0" applyFont="1" applyBorder="1" applyAlignment="1">
      <alignment horizontal="left" wrapText="1"/>
    </xf>
    <xf numFmtId="0" fontId="1" fillId="0" borderId="0" xfId="0" applyFont="1" applyAlignment="1">
      <alignment horizontal="right" indent="2"/>
    </xf>
    <xf numFmtId="3" fontId="6" fillId="0" borderId="3" xfId="0" applyNumberFormat="1" applyFont="1" applyBorder="1" applyAlignment="1">
      <alignment horizontal="left" vertical="center"/>
    </xf>
    <xf numFmtId="3" fontId="4" fillId="0" borderId="3" xfId="0" applyNumberFormat="1" applyFont="1" applyBorder="1" applyAlignment="1">
      <alignment horizontal="right" indent="1"/>
    </xf>
    <xf numFmtId="0" fontId="6" fillId="0" borderId="0" xfId="0" applyFont="1" applyAlignment="1">
      <alignment vertical="top"/>
    </xf>
    <xf numFmtId="0" fontId="4" fillId="0" borderId="1" xfId="0" applyFont="1" applyBorder="1" applyAlignment="1">
      <alignment vertical="top" wrapText="1"/>
    </xf>
    <xf numFmtId="0" fontId="4" fillId="0" borderId="3" xfId="0" quotePrefix="1" applyFont="1" applyBorder="1" applyAlignment="1">
      <alignment horizontal="left" vertical="top"/>
    </xf>
    <xf numFmtId="0" fontId="4" fillId="0" borderId="0" xfId="0" quotePrefix="1" applyFont="1" applyAlignment="1">
      <alignment horizontal="left" vertical="top"/>
    </xf>
    <xf numFmtId="0" fontId="4" fillId="0" borderId="3" xfId="3" applyFont="1" applyBorder="1" applyAlignment="1">
      <alignment horizontal="left" vertical="top"/>
    </xf>
    <xf numFmtId="0" fontId="4" fillId="0" borderId="2" xfId="0" applyFont="1" applyBorder="1" applyAlignment="1">
      <alignment horizontal="left" vertical="top" wrapText="1"/>
    </xf>
    <xf numFmtId="0" fontId="5" fillId="0" borderId="0" xfId="0" applyFont="1" applyAlignment="1">
      <alignment horizontal="center"/>
    </xf>
    <xf numFmtId="0" fontId="5" fillId="0" borderId="3" xfId="0" applyFont="1" applyBorder="1" applyAlignment="1">
      <alignment horizontal="center"/>
    </xf>
    <xf numFmtId="164" fontId="4" fillId="0" borderId="0" xfId="0" applyNumberFormat="1" applyFont="1" applyAlignment="1">
      <alignment horizontal="left" vertical="center"/>
    </xf>
    <xf numFmtId="0" fontId="4" fillId="0" borderId="2" xfId="0" applyFont="1" applyBorder="1" applyAlignment="1">
      <alignment horizontal="left" wrapText="1"/>
    </xf>
    <xf numFmtId="0" fontId="4" fillId="0" borderId="0" xfId="0" applyFont="1" applyAlignment="1">
      <alignment horizontal="left" vertical="top" wrapText="1"/>
    </xf>
    <xf numFmtId="0" fontId="4" fillId="0" borderId="0" xfId="0" applyFont="1" applyAlignment="1">
      <alignment horizontal="left" wrapText="1"/>
    </xf>
    <xf numFmtId="0" fontId="4" fillId="0" borderId="2" xfId="0" applyFont="1" applyBorder="1"/>
    <xf numFmtId="0" fontId="4" fillId="0" borderId="0" xfId="0" applyFont="1"/>
    <xf numFmtId="3" fontId="4" fillId="0" borderId="1" xfId="0" applyNumberFormat="1" applyFont="1" applyBorder="1" applyAlignment="1">
      <alignment horizontal="center"/>
    </xf>
    <xf numFmtId="3" fontId="5" fillId="0" borderId="2" xfId="0" applyNumberFormat="1" applyFont="1" applyBorder="1" applyAlignment="1">
      <alignment horizontal="center"/>
    </xf>
    <xf numFmtId="0" fontId="4" fillId="0" borderId="3" xfId="0" applyFont="1" applyBorder="1" applyAlignment="1">
      <alignment horizontal="left"/>
    </xf>
    <xf numFmtId="0" fontId="4" fillId="0" borderId="0" xfId="0" applyFont="1" applyAlignment="1">
      <alignment horizontal="left"/>
    </xf>
    <xf numFmtId="3" fontId="5" fillId="0" borderId="1" xfId="0" applyNumberFormat="1" applyFont="1" applyBorder="1" applyAlignment="1">
      <alignment horizontal="center"/>
    </xf>
    <xf numFmtId="0" fontId="4" fillId="0" borderId="0" xfId="3" applyFont="1" applyAlignment="1">
      <alignment horizontal="left"/>
    </xf>
    <xf numFmtId="0" fontId="4" fillId="0" borderId="2" xfId="0" applyFont="1" applyBorder="1" applyAlignment="1">
      <alignment horizontal="justify"/>
    </xf>
    <xf numFmtId="0" fontId="4" fillId="0" borderId="0" xfId="0" applyFont="1" applyAlignment="1">
      <alignment horizontal="justify"/>
    </xf>
    <xf numFmtId="0" fontId="4" fillId="0" borderId="0" xfId="0" applyFont="1" applyAlignment="1">
      <alignment horizontal="justify" vertical="top" wrapText="1"/>
    </xf>
    <xf numFmtId="0" fontId="4" fillId="0" borderId="3" xfId="3" applyFont="1" applyBorder="1" applyAlignment="1">
      <alignment horizontal="justify" vertical="top" wrapText="1"/>
    </xf>
    <xf numFmtId="0" fontId="11" fillId="0" borderId="3" xfId="2" applyFont="1" applyBorder="1" applyAlignment="1">
      <alignment horizontal="center"/>
    </xf>
    <xf numFmtId="0" fontId="9" fillId="0" borderId="3" xfId="2" applyFont="1" applyBorder="1" applyAlignment="1">
      <alignment horizontal="left" vertical="top" wrapText="1"/>
    </xf>
    <xf numFmtId="0" fontId="4" fillId="0" borderId="2" xfId="2" applyFont="1" applyBorder="1" applyAlignment="1">
      <alignment horizontal="justify" vertical="center" wrapText="1"/>
    </xf>
    <xf numFmtId="0" fontId="4" fillId="0" borderId="0" xfId="2" applyFont="1" applyAlignment="1">
      <alignment horizontal="justify" vertical="top" wrapText="1"/>
    </xf>
    <xf numFmtId="0" fontId="4" fillId="0" borderId="3" xfId="2" applyFont="1" applyBorder="1" applyAlignment="1">
      <alignment horizontal="center" vertical="top" wrapText="1"/>
    </xf>
    <xf numFmtId="0" fontId="4" fillId="0" borderId="2" xfId="2" applyFont="1" applyBorder="1" applyAlignment="1">
      <alignment horizontal="center" vertical="top" wrapText="1"/>
    </xf>
    <xf numFmtId="0" fontId="4" fillId="0" borderId="3" xfId="2" applyFont="1" applyBorder="1" applyAlignment="1">
      <alignment horizontal="justify" vertical="top" wrapText="1"/>
    </xf>
    <xf numFmtId="0" fontId="4" fillId="0" borderId="0" xfId="2" applyFont="1" applyAlignment="1">
      <alignment horizontal="left" vertical="top"/>
    </xf>
    <xf numFmtId="0" fontId="4" fillId="0" borderId="0" xfId="2" applyFont="1" applyAlignment="1">
      <alignment horizontal="justify" vertical="center" wrapText="1"/>
    </xf>
    <xf numFmtId="0" fontId="4" fillId="0" borderId="3" xfId="2" applyFont="1" applyBorder="1" applyAlignment="1">
      <alignment horizontal="left" vertical="top" wrapText="1"/>
    </xf>
    <xf numFmtId="0" fontId="4" fillId="0" borderId="2" xfId="2" applyFont="1" applyBorder="1" applyAlignment="1">
      <alignment horizontal="left" vertical="top" wrapText="1"/>
    </xf>
    <xf numFmtId="0" fontId="4" fillId="0" borderId="0" xfId="2" applyFont="1" applyAlignment="1">
      <alignment horizontal="left" vertical="top" wrapText="1"/>
    </xf>
    <xf numFmtId="0" fontId="4" fillId="0" borderId="3" xfId="2" applyFont="1" applyBorder="1" applyAlignment="1">
      <alignment vertical="top" wrapText="1"/>
    </xf>
    <xf numFmtId="0" fontId="4" fillId="0" borderId="0" xfId="2" applyFont="1" applyAlignment="1">
      <alignment vertical="top" wrapText="1"/>
    </xf>
    <xf numFmtId="3" fontId="5" fillId="0" borderId="1" xfId="2" applyNumberFormat="1" applyFont="1" applyBorder="1" applyAlignment="1">
      <alignment horizontal="center"/>
    </xf>
    <xf numFmtId="0" fontId="4" fillId="0" borderId="2" xfId="2" applyFont="1" applyBorder="1" applyAlignment="1">
      <alignment horizontal="justify" wrapText="1"/>
    </xf>
    <xf numFmtId="0" fontId="10" fillId="0" borderId="2" xfId="0" applyFont="1" applyBorder="1" applyAlignment="1">
      <alignment horizontal="justify" wrapText="1"/>
    </xf>
    <xf numFmtId="0" fontId="10" fillId="0" borderId="0" xfId="0" applyFont="1" applyAlignment="1">
      <alignment horizontal="justify" wrapText="1"/>
    </xf>
    <xf numFmtId="0" fontId="4" fillId="0" borderId="3" xfId="2" applyFont="1" applyBorder="1" applyAlignment="1">
      <alignment horizontal="justify" vertical="center" wrapText="1"/>
    </xf>
    <xf numFmtId="0" fontId="4" fillId="0" borderId="3" xfId="0" applyFont="1" applyBorder="1" applyAlignment="1">
      <alignment horizontal="justify" vertical="center" wrapText="1"/>
    </xf>
    <xf numFmtId="0" fontId="4" fillId="0" borderId="0" xfId="0" applyFont="1" applyAlignment="1">
      <alignment horizontal="justify" vertical="center" wrapText="1"/>
    </xf>
    <xf numFmtId="0" fontId="4" fillId="0" borderId="0" xfId="2" applyFont="1" applyAlignment="1">
      <alignment horizontal="left"/>
    </xf>
    <xf numFmtId="0" fontId="4" fillId="0" borderId="0" xfId="2" applyFont="1" applyAlignment="1">
      <alignment horizontal="justify" wrapText="1"/>
    </xf>
    <xf numFmtId="0" fontId="4" fillId="0" borderId="2" xfId="2" applyFont="1" applyBorder="1"/>
    <xf numFmtId="0" fontId="4" fillId="0" borderId="0" xfId="2" applyFont="1"/>
    <xf numFmtId="0" fontId="4" fillId="0" borderId="3" xfId="2" applyFont="1" applyBorder="1" applyAlignment="1">
      <alignment horizontal="left" wrapText="1"/>
    </xf>
    <xf numFmtId="0" fontId="4" fillId="0" borderId="0" xfId="2" applyFont="1" applyAlignment="1">
      <alignment horizontal="left" wrapText="1"/>
    </xf>
    <xf numFmtId="3" fontId="5" fillId="0" borderId="2" xfId="2" applyNumberFormat="1" applyFont="1" applyBorder="1" applyAlignment="1">
      <alignment horizontal="center"/>
    </xf>
    <xf numFmtId="0" fontId="4" fillId="0" borderId="3" xfId="2" applyFont="1" applyBorder="1" applyAlignment="1">
      <alignment wrapText="1"/>
    </xf>
    <xf numFmtId="0" fontId="10" fillId="0" borderId="3" xfId="0" applyFont="1" applyBorder="1" applyAlignment="1">
      <alignment wrapText="1"/>
    </xf>
    <xf numFmtId="0" fontId="10" fillId="0" borderId="0" xfId="0" applyFont="1" applyAlignment="1">
      <alignment wrapText="1"/>
    </xf>
    <xf numFmtId="0" fontId="5" fillId="0" borderId="0" xfId="2" applyFont="1" applyAlignment="1">
      <alignment horizontal="center"/>
    </xf>
    <xf numFmtId="0" fontId="4" fillId="0" borderId="3" xfId="0" applyFont="1" applyBorder="1" applyAlignment="1">
      <alignment wrapText="1"/>
    </xf>
    <xf numFmtId="0" fontId="4" fillId="0" borderId="0" xfId="0" applyFont="1" applyAlignment="1">
      <alignment wrapText="1"/>
    </xf>
    <xf numFmtId="0" fontId="4" fillId="0" borderId="2" xfId="0" applyFont="1" applyBorder="1" applyAlignment="1">
      <alignment horizontal="left" vertical="top"/>
    </xf>
    <xf numFmtId="0" fontId="4" fillId="0" borderId="1" xfId="0" applyFont="1" applyBorder="1"/>
    <xf numFmtId="167" fontId="5" fillId="0" borderId="2" xfId="0" applyNumberFormat="1" applyFont="1" applyBorder="1" applyAlignment="1">
      <alignment horizontal="center"/>
    </xf>
    <xf numFmtId="0" fontId="4" fillId="0" borderId="3" xfId="0" applyFont="1" applyBorder="1" applyAlignment="1">
      <alignment vertical="center"/>
    </xf>
    <xf numFmtId="0" fontId="4" fillId="0" borderId="0" xfId="0" applyFont="1" applyAlignment="1">
      <alignment vertical="center"/>
    </xf>
    <xf numFmtId="167" fontId="5" fillId="0" borderId="3" xfId="0" applyNumberFormat="1" applyFont="1" applyBorder="1" applyAlignment="1">
      <alignment horizontal="center"/>
    </xf>
    <xf numFmtId="3" fontId="5" fillId="0" borderId="3" xfId="0" applyNumberFormat="1" applyFont="1" applyBorder="1" applyAlignment="1">
      <alignment horizontal="center"/>
    </xf>
    <xf numFmtId="167" fontId="5" fillId="0" borderId="0" xfId="0" applyNumberFormat="1" applyFont="1" applyAlignment="1">
      <alignment horizontal="center"/>
    </xf>
    <xf numFmtId="3" fontId="5" fillId="0" borderId="0" xfId="0" applyNumberFormat="1" applyFont="1" applyAlignment="1">
      <alignment horizontal="center"/>
    </xf>
    <xf numFmtId="3" fontId="4" fillId="0" borderId="0" xfId="0" applyNumberFormat="1" applyFont="1" applyAlignment="1">
      <alignment horizontal="left"/>
    </xf>
    <xf numFmtId="3" fontId="4" fillId="0" borderId="3" xfId="0" applyNumberFormat="1" applyFont="1" applyBorder="1" applyAlignment="1">
      <alignment horizontal="left"/>
    </xf>
    <xf numFmtId="0" fontId="4" fillId="0" borderId="0" xfId="0" applyFont="1" applyAlignment="1">
      <alignment horizontal="center" wrapText="1"/>
    </xf>
    <xf numFmtId="0" fontId="4" fillId="0" borderId="2" xfId="0" applyFont="1" applyBorder="1" applyAlignment="1">
      <alignment horizontal="center" wrapText="1"/>
    </xf>
    <xf numFmtId="3" fontId="4" fillId="0" borderId="2" xfId="0" applyNumberFormat="1" applyFont="1" applyBorder="1" applyAlignment="1">
      <alignment horizontal="center"/>
    </xf>
    <xf numFmtId="0" fontId="4" fillId="0" borderId="3" xfId="0" applyFont="1" applyBorder="1" applyAlignment="1">
      <alignment horizontal="left" wrapText="1"/>
    </xf>
    <xf numFmtId="0" fontId="4" fillId="0" borderId="1"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wrapText="1"/>
    </xf>
    <xf numFmtId="0" fontId="4" fillId="0" borderId="3" xfId="0" applyFont="1" applyBorder="1" applyAlignment="1">
      <alignment horizontal="justify" vertical="center"/>
    </xf>
    <xf numFmtId="0" fontId="4" fillId="0" borderId="0" xfId="0" applyFont="1" applyAlignment="1">
      <alignment horizontal="left" vertical="top"/>
    </xf>
    <xf numFmtId="0" fontId="4" fillId="0" borderId="0" xfId="0" applyFont="1" applyAlignment="1">
      <alignment horizontal="justify" vertical="center"/>
    </xf>
    <xf numFmtId="0" fontId="1" fillId="0" borderId="2" xfId="0" applyFont="1" applyBorder="1" applyAlignment="1">
      <alignment horizontal="left" vertical="top" wrapText="1"/>
    </xf>
    <xf numFmtId="3" fontId="4" fillId="0" borderId="0" xfId="0" applyNumberFormat="1" applyFont="1" applyAlignment="1">
      <alignment horizontal="left" wrapText="1"/>
    </xf>
    <xf numFmtId="3" fontId="4" fillId="0" borderId="0" xfId="0" applyNumberFormat="1" applyFont="1" applyAlignment="1">
      <alignment horizontal="left" vertical="top" wrapText="1"/>
    </xf>
    <xf numFmtId="0" fontId="4" fillId="0" borderId="0" xfId="3" applyFont="1" applyAlignment="1">
      <alignment horizontal="left" vertical="top" wrapText="1"/>
    </xf>
    <xf numFmtId="0" fontId="4" fillId="0" borderId="3" xfId="0" applyFont="1" applyBorder="1" applyAlignment="1">
      <alignment horizontal="left" vertical="top"/>
    </xf>
    <xf numFmtId="0" fontId="4" fillId="0" borderId="0" xfId="0" quotePrefix="1" applyFont="1" applyAlignment="1">
      <alignment horizontal="left" vertical="top" wrapText="1"/>
    </xf>
    <xf numFmtId="0" fontId="0" fillId="0" borderId="0" xfId="0" applyAlignment="1">
      <alignment horizontal="left" vertical="top" wrapText="1"/>
    </xf>
    <xf numFmtId="0" fontId="4" fillId="0" borderId="2" xfId="0" applyFont="1" applyBorder="1" applyAlignment="1">
      <alignment horizontal="justify" wrapText="1"/>
    </xf>
    <xf numFmtId="0" fontId="4" fillId="0" borderId="0" xfId="0" applyFont="1" applyAlignment="1">
      <alignment horizontal="justify" wrapText="1"/>
    </xf>
    <xf numFmtId="0" fontId="4" fillId="0" borderId="3" xfId="0" applyFont="1" applyBorder="1" applyAlignment="1">
      <alignment vertical="top" wrapText="1"/>
    </xf>
    <xf numFmtId="0" fontId="4" fillId="0" borderId="0" xfId="0" applyFont="1" applyAlignment="1">
      <alignment vertical="top" wrapText="1"/>
    </xf>
    <xf numFmtId="0" fontId="4" fillId="0" borderId="2" xfId="0" applyFont="1" applyBorder="1" applyAlignment="1">
      <alignment horizontal="justify" vertical="center" wrapText="1"/>
    </xf>
    <xf numFmtId="3" fontId="4" fillId="0" borderId="2" xfId="0" applyNumberFormat="1" applyFont="1" applyBorder="1" applyAlignment="1">
      <alignment horizontal="justify" vertical="center"/>
    </xf>
    <xf numFmtId="3" fontId="4" fillId="0" borderId="2" xfId="0" applyNumberFormat="1" applyFont="1" applyBorder="1" applyAlignment="1">
      <alignment horizontal="justify"/>
    </xf>
    <xf numFmtId="3" fontId="4" fillId="0" borderId="0" xfId="0" applyNumberFormat="1" applyFont="1" applyAlignment="1">
      <alignment horizontal="justify" vertical="center"/>
    </xf>
    <xf numFmtId="3" fontId="4" fillId="0" borderId="0" xfId="0" applyNumberFormat="1" applyFont="1" applyAlignment="1">
      <alignment horizontal="justify" vertical="center" wrapText="1"/>
    </xf>
    <xf numFmtId="0" fontId="4" fillId="0" borderId="0" xfId="0" applyFont="1" applyAlignment="1">
      <alignment vertical="top"/>
    </xf>
  </cellXfs>
  <cellStyles count="5">
    <cellStyle name="Comma" xfId="1" builtinId="3"/>
    <cellStyle name="Comma 2" xfId="4" xr:uid="{00000000-0005-0000-0000-000001000000}"/>
    <cellStyle name="Normal" xfId="0" builtinId="0"/>
    <cellStyle name="Normal 2" xfId="3" xr:uid="{00000000-0005-0000-0000-000003000000}"/>
    <cellStyle name="Normal_A6-A10" xfId="2" xr:uid="{00000000-0005-0000-0000-000004000000}"/>
  </cellStyles>
  <dxfs count="0"/>
  <tableStyles count="0" defaultTableStyle="TableStyleMedium9" defaultPivotStyle="PivotStyleLight16"/>
  <colors>
    <mruColors>
      <color rgb="FFFF66FF"/>
      <color rgb="FF00FF00"/>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4"/>
  <dimension ref="A1:I57"/>
  <sheetViews>
    <sheetView showGridLines="0" zoomScaleNormal="100" workbookViewId="0">
      <selection activeCell="J8" sqref="J8"/>
    </sheetView>
  </sheetViews>
  <sheetFormatPr baseColWidth="10" defaultColWidth="8.83203125" defaultRowHeight="16"/>
  <cols>
    <col min="1" max="1" width="9.1640625" customWidth="1"/>
    <col min="2" max="8" width="10.6640625" customWidth="1"/>
  </cols>
  <sheetData>
    <row r="1" spans="1:9">
      <c r="A1" s="275" t="s">
        <v>190</v>
      </c>
      <c r="B1" s="275"/>
      <c r="C1" s="275"/>
      <c r="D1" s="275"/>
      <c r="E1" s="275"/>
      <c r="F1" s="275"/>
      <c r="G1" s="275"/>
      <c r="H1" s="275"/>
    </row>
    <row r="2" spans="1:9" ht="11.25" customHeight="1">
      <c r="A2" s="180" t="s">
        <v>27</v>
      </c>
      <c r="B2" s="133" t="s">
        <v>16</v>
      </c>
      <c r="C2" s="133" t="s">
        <v>17</v>
      </c>
      <c r="D2" s="133" t="s">
        <v>18</v>
      </c>
      <c r="E2" s="133" t="s">
        <v>19</v>
      </c>
      <c r="F2" s="133" t="s">
        <v>20</v>
      </c>
      <c r="G2" s="133" t="s">
        <v>21</v>
      </c>
      <c r="H2" s="133" t="s">
        <v>22</v>
      </c>
      <c r="I2" s="1"/>
    </row>
    <row r="3" spans="1:9" ht="11.25" customHeight="1">
      <c r="A3" s="277" t="s">
        <v>103</v>
      </c>
      <c r="B3" s="277"/>
      <c r="C3" s="277"/>
      <c r="D3" s="277"/>
      <c r="E3" s="277"/>
      <c r="F3" s="277"/>
      <c r="G3" s="277"/>
      <c r="H3" s="277"/>
    </row>
    <row r="4" spans="1:9" ht="11.25" customHeight="1">
      <c r="A4" s="99" t="s">
        <v>78</v>
      </c>
      <c r="B4" s="55">
        <f>'A-2'!I307</f>
        <v>544.60995389712593</v>
      </c>
      <c r="C4" s="55">
        <f>'A-2'!I325</f>
        <v>1629.1939334712283</v>
      </c>
      <c r="D4" s="79">
        <f>'A-2'!I343</f>
        <v>16391.868291490693</v>
      </c>
      <c r="E4" s="79">
        <f>'A-2'!I363</f>
        <v>25554.6</v>
      </c>
      <c r="F4" s="79">
        <f>'A-2'!I381</f>
        <v>14390.8</v>
      </c>
      <c r="G4" s="55">
        <f>AVERAGE('A-2'!T12:T16)</f>
        <v>11.6</v>
      </c>
      <c r="H4" s="55">
        <f>'A-2'!I399</f>
        <v>58511.072178859053</v>
      </c>
    </row>
    <row r="5" spans="1:9" ht="11.25" customHeight="1">
      <c r="A5" s="99" t="s">
        <v>10</v>
      </c>
      <c r="B5" s="55" t="str">
        <f>'A-2'!I308</f>
        <v>-</v>
      </c>
      <c r="C5" s="55">
        <f>'A-2'!I326</f>
        <v>600</v>
      </c>
      <c r="D5" s="79">
        <f>'A-2'!I344</f>
        <v>1775</v>
      </c>
      <c r="E5" s="79">
        <f>'A-2'!I364</f>
        <v>13340</v>
      </c>
      <c r="F5" s="79">
        <f>'A-2'!I382</f>
        <v>10820</v>
      </c>
      <c r="G5" s="55">
        <f>AVERAGE('A-2'!T17:T21)</f>
        <v>0</v>
      </c>
      <c r="H5" s="55">
        <f>'A-2'!I400</f>
        <v>25700</v>
      </c>
    </row>
    <row r="6" spans="1:9" ht="11.25" customHeight="1">
      <c r="A6" s="99" t="s">
        <v>144</v>
      </c>
      <c r="B6" s="55">
        <f>'A-2'!I309</f>
        <v>14.6</v>
      </c>
      <c r="C6" s="55">
        <f>'A-2'!I327</f>
        <v>202.2</v>
      </c>
      <c r="D6" s="79">
        <f>'A-2'!I345</f>
        <v>795.8</v>
      </c>
      <c r="E6" s="79">
        <f>'A-2'!I365</f>
        <v>9546.2000000000007</v>
      </c>
      <c r="F6" s="79">
        <f>'A-2'!I383</f>
        <v>7740.2</v>
      </c>
      <c r="G6" s="55">
        <f>AVERAGE('A-2'!T22:T26)</f>
        <v>0</v>
      </c>
      <c r="H6" s="55">
        <f>'A-2'!I401</f>
        <v>18299</v>
      </c>
    </row>
    <row r="7" spans="1:9" ht="11.25" customHeight="1">
      <c r="A7" s="99" t="s">
        <v>166</v>
      </c>
      <c r="B7" s="55">
        <f>'A-2'!I310</f>
        <v>118.6</v>
      </c>
      <c r="C7" s="55">
        <f>'A-2'!I328</f>
        <v>261.2</v>
      </c>
      <c r="D7" s="79">
        <f>'A-2'!I346</f>
        <v>3255</v>
      </c>
      <c r="E7" s="79">
        <f>'A-2'!I366</f>
        <v>8878.4</v>
      </c>
      <c r="F7" s="79">
        <f>'A-2'!I384</f>
        <v>4674</v>
      </c>
      <c r="G7" s="55">
        <v>87</v>
      </c>
      <c r="H7" s="55">
        <f>'A-2'!I402</f>
        <v>17187.2</v>
      </c>
    </row>
    <row r="8" spans="1:9" ht="11.25" customHeight="1">
      <c r="A8" s="99" t="s">
        <v>315</v>
      </c>
      <c r="B8" s="55">
        <f>'A-2'!I311</f>
        <v>87</v>
      </c>
      <c r="C8" s="55">
        <f>'A-2'!I329</f>
        <v>270</v>
      </c>
      <c r="D8" s="79">
        <f>'A-2'!I347</f>
        <v>1106.6666666666667</v>
      </c>
      <c r="E8" s="79">
        <f>'A-2'!I367</f>
        <v>4156</v>
      </c>
      <c r="F8" s="79">
        <f>'A-2'!I385</f>
        <v>1586.6666666666667</v>
      </c>
      <c r="G8" s="55" t="s">
        <v>23</v>
      </c>
      <c r="H8" s="55">
        <f>'A-2'!I403</f>
        <v>6968.333333333333</v>
      </c>
    </row>
    <row r="9" spans="1:9" ht="11.25" customHeight="1">
      <c r="A9" s="99">
        <v>2011</v>
      </c>
      <c r="B9" s="55">
        <f>'A-2'!I37</f>
        <v>20</v>
      </c>
      <c r="C9" s="55">
        <f>'A-2'!I83</f>
        <v>181</v>
      </c>
      <c r="D9" s="79">
        <f>'A-2'!I129</f>
        <v>2143</v>
      </c>
      <c r="E9" s="79">
        <f>'A-2'!I175</f>
        <v>2907</v>
      </c>
      <c r="F9" s="79">
        <f>'A-2'!I221</f>
        <v>1722</v>
      </c>
      <c r="G9" s="55" t="s">
        <v>23</v>
      </c>
      <c r="H9" s="55">
        <f>'A-2'!I404</f>
        <v>6973</v>
      </c>
    </row>
    <row r="10" spans="1:9" ht="11.25" customHeight="1">
      <c r="A10" s="99">
        <v>2012</v>
      </c>
      <c r="B10" s="55">
        <f>'A-2'!I38</f>
        <v>45</v>
      </c>
      <c r="C10" s="55">
        <f>'A-2'!I84</f>
        <v>260</v>
      </c>
      <c r="D10" s="79">
        <f>'A-2'!I130</f>
        <v>2221</v>
      </c>
      <c r="E10" s="79">
        <f>'A-2'!I176</f>
        <v>7505</v>
      </c>
      <c r="F10" s="79">
        <f>'A-2'!I222</f>
        <v>4491</v>
      </c>
      <c r="G10" s="55" t="s">
        <v>23</v>
      </c>
      <c r="H10" s="55">
        <f>'A-2'!I405</f>
        <v>14522</v>
      </c>
    </row>
    <row r="11" spans="1:9" ht="11.25" customHeight="1">
      <c r="A11" s="99">
        <v>2013</v>
      </c>
      <c r="B11" s="55">
        <f>'A-2'!I39</f>
        <v>98</v>
      </c>
      <c r="C11" s="55">
        <f>'A-2'!I85</f>
        <v>563</v>
      </c>
      <c r="D11" s="79">
        <f>'A-2'!I131</f>
        <v>5341</v>
      </c>
      <c r="E11" s="79">
        <f>'A-2'!I177</f>
        <v>8327</v>
      </c>
      <c r="F11" s="79">
        <f>'A-2'!I223</f>
        <v>2964</v>
      </c>
      <c r="G11" s="55" t="s">
        <v>23</v>
      </c>
      <c r="H11" s="55">
        <f>'A-2'!I406</f>
        <v>17293</v>
      </c>
    </row>
    <row r="12" spans="1:9" ht="11.25" customHeight="1">
      <c r="A12" s="99">
        <v>2014</v>
      </c>
      <c r="B12" s="55">
        <f>'A-2'!I40</f>
        <v>7</v>
      </c>
      <c r="C12" s="55">
        <f>'A-2'!I86</f>
        <v>92</v>
      </c>
      <c r="D12" s="79">
        <f>'A-2'!I132</f>
        <v>4261</v>
      </c>
      <c r="E12" s="79">
        <f>'A-2'!I178</f>
        <v>8441</v>
      </c>
      <c r="F12" s="79">
        <f>'A-2'!I224</f>
        <v>1593</v>
      </c>
      <c r="G12" s="55" t="s">
        <v>23</v>
      </c>
      <c r="H12" s="55">
        <f>'A-2'!I407</f>
        <v>14394</v>
      </c>
    </row>
    <row r="13" spans="1:9" ht="11.25" customHeight="1">
      <c r="A13" s="99">
        <v>2015</v>
      </c>
      <c r="B13" s="55">
        <f>'A-2'!I41</f>
        <v>10</v>
      </c>
      <c r="C13" s="55">
        <f>'A-2'!I87</f>
        <v>22</v>
      </c>
      <c r="D13" s="79">
        <f>'A-2'!I133</f>
        <v>4971</v>
      </c>
      <c r="E13" s="79">
        <f>'A-2'!I179</f>
        <v>5466</v>
      </c>
      <c r="F13" s="79">
        <f>'A-2'!I225</f>
        <v>2542</v>
      </c>
      <c r="G13" s="55" t="s">
        <v>23</v>
      </c>
      <c r="H13" s="55">
        <f>'A-2'!I408</f>
        <v>13011</v>
      </c>
    </row>
    <row r="14" spans="1:9" ht="11.25" customHeight="1">
      <c r="A14" s="99">
        <v>2016</v>
      </c>
      <c r="B14" s="55">
        <f>'A-2'!I42</f>
        <v>7</v>
      </c>
      <c r="C14" s="55">
        <f>'A-2'!I88</f>
        <v>52</v>
      </c>
      <c r="D14" s="79">
        <f>'A-2'!I134</f>
        <v>1486</v>
      </c>
      <c r="E14" s="79">
        <f>'A-2'!I180</f>
        <v>4093</v>
      </c>
      <c r="F14" s="79">
        <f>'A-2'!I226</f>
        <v>1560</v>
      </c>
      <c r="G14" s="55" t="s">
        <v>23</v>
      </c>
      <c r="H14" s="55">
        <f>'A-2'!I409</f>
        <v>7198</v>
      </c>
    </row>
    <row r="15" spans="1:9" ht="11.25" customHeight="1">
      <c r="A15" s="99">
        <v>2017</v>
      </c>
      <c r="B15" s="55" t="str">
        <f>'A-2'!I43</f>
        <v>-</v>
      </c>
      <c r="C15" s="55" t="str">
        <f>'A-2'!I89</f>
        <v>-</v>
      </c>
      <c r="D15" s="79">
        <f>'A-2'!I135</f>
        <v>267</v>
      </c>
      <c r="E15" s="79">
        <f>'A-2'!I181</f>
        <v>4374</v>
      </c>
      <c r="F15" s="79">
        <f>'A-2'!I227</f>
        <v>2084</v>
      </c>
      <c r="G15" s="55" t="s">
        <v>23</v>
      </c>
      <c r="H15" s="55">
        <f>'A-2'!I410</f>
        <v>6725</v>
      </c>
    </row>
    <row r="16" spans="1:9" ht="11.25" customHeight="1">
      <c r="A16" s="99">
        <v>2018</v>
      </c>
      <c r="B16" s="55">
        <f>'A-2'!I44</f>
        <v>238</v>
      </c>
      <c r="C16" s="55">
        <f>'A-2'!I90</f>
        <v>461</v>
      </c>
      <c r="D16" s="79">
        <f>'A-2'!I136</f>
        <v>819</v>
      </c>
      <c r="E16" s="79">
        <f>'A-2'!I182</f>
        <v>4747</v>
      </c>
      <c r="F16" s="79">
        <f>'A-2'!I228</f>
        <v>1312</v>
      </c>
      <c r="G16" s="55" t="s">
        <v>23</v>
      </c>
      <c r="H16" s="55">
        <f>'A-2'!I411</f>
        <v>7577</v>
      </c>
    </row>
    <row r="17" spans="1:8" ht="11.25" customHeight="1">
      <c r="A17" s="99">
        <v>2019</v>
      </c>
      <c r="B17" s="55">
        <f>'A-2'!I45</f>
        <v>153</v>
      </c>
      <c r="C17" s="55">
        <f>'A-2'!I91</f>
        <v>151</v>
      </c>
      <c r="D17" s="79">
        <f>'A-2'!I137</f>
        <v>1040</v>
      </c>
      <c r="E17" s="79">
        <f>'A-2'!I183</f>
        <v>8236</v>
      </c>
      <c r="F17" s="79">
        <f>'A-2'!I229</f>
        <v>6210</v>
      </c>
      <c r="G17" s="55" t="s">
        <v>23</v>
      </c>
      <c r="H17" s="55">
        <f>'A-2'!I412</f>
        <v>15790</v>
      </c>
    </row>
    <row r="18" spans="1:8" ht="11.25" customHeight="1">
      <c r="A18" s="99">
        <v>2020</v>
      </c>
      <c r="B18" s="55" t="str">
        <f>'A-2'!I46</f>
        <v>-</v>
      </c>
      <c r="C18" s="55" t="str">
        <f>'A-2'!I92</f>
        <v>-</v>
      </c>
      <c r="D18" s="79">
        <f>'A-2'!I138</f>
        <v>219</v>
      </c>
      <c r="E18" s="79">
        <f>'A-2'!I184</f>
        <v>9451</v>
      </c>
      <c r="F18" s="79">
        <f>'A-2'!I230</f>
        <v>2616</v>
      </c>
      <c r="G18" s="55" t="s">
        <v>23</v>
      </c>
      <c r="H18" s="55">
        <f>'A-2'!I413</f>
        <v>12286</v>
      </c>
    </row>
    <row r="19" spans="1:8" ht="11.25" customHeight="1">
      <c r="A19" s="99" t="s">
        <v>316</v>
      </c>
      <c r="B19" s="55" t="str">
        <f>'A-2'!I47</f>
        <v>-</v>
      </c>
      <c r="C19" s="55" t="str">
        <f>'A-2'!I93</f>
        <v>-</v>
      </c>
      <c r="D19" s="79">
        <f>'A-2'!I139</f>
        <v>1576</v>
      </c>
      <c r="E19" s="79">
        <f>'A-2'!I185</f>
        <v>5080</v>
      </c>
      <c r="F19" s="79">
        <f>'A-2'!I231</f>
        <v>3261</v>
      </c>
      <c r="G19" s="55" t="s">
        <v>23</v>
      </c>
      <c r="H19" s="55">
        <f>'A-2'!I414</f>
        <v>9917</v>
      </c>
    </row>
    <row r="20" spans="1:8" ht="11.25" customHeight="1">
      <c r="A20" s="99"/>
      <c r="B20" s="18"/>
      <c r="C20" s="18"/>
      <c r="D20" s="24"/>
      <c r="E20" s="24"/>
      <c r="F20" s="24"/>
      <c r="G20" s="18"/>
      <c r="H20" s="18"/>
    </row>
    <row r="21" spans="1:8" ht="11.25" customHeight="1">
      <c r="A21" s="276" t="s">
        <v>104</v>
      </c>
      <c r="B21" s="276"/>
      <c r="C21" s="276"/>
      <c r="D21" s="276"/>
      <c r="E21" s="276"/>
      <c r="F21" s="276"/>
      <c r="G21" s="276"/>
      <c r="H21" s="276"/>
    </row>
    <row r="22" spans="1:8" ht="11.25" customHeight="1">
      <c r="A22" s="99" t="s">
        <v>78</v>
      </c>
      <c r="B22" s="55">
        <f>'A-3'!I315</f>
        <v>13997.047044648851</v>
      </c>
      <c r="C22" s="55">
        <f>'A-3'!I333</f>
        <v>32329.076955351153</v>
      </c>
      <c r="D22" s="79">
        <f>'A-3'!I354</f>
        <v>252415.87599999999</v>
      </c>
      <c r="E22" s="79">
        <f>'A-3'!I372</f>
        <v>351114.8</v>
      </c>
      <c r="F22" s="79">
        <f>'A-3'!I393</f>
        <v>144846</v>
      </c>
      <c r="G22" s="18">
        <f>AVERAGE('A-3'!AB15:AB19)</f>
        <v>1063.8</v>
      </c>
      <c r="H22" s="55">
        <f>'A-3'!I411</f>
        <v>794702.8</v>
      </c>
    </row>
    <row r="23" spans="1:8" ht="11.25" customHeight="1">
      <c r="A23" s="99" t="s">
        <v>10</v>
      </c>
      <c r="B23" s="55" t="str">
        <f>'A-3'!I316</f>
        <v>-</v>
      </c>
      <c r="C23" s="55">
        <f>'A-3'!I334</f>
        <v>4700</v>
      </c>
      <c r="D23" s="79">
        <f>'A-3'!I355</f>
        <v>17353.75</v>
      </c>
      <c r="E23" s="79">
        <f>'A-3'!I373</f>
        <v>200588.2</v>
      </c>
      <c r="F23" s="79">
        <f>'A-3'!I394</f>
        <v>126516.6</v>
      </c>
      <c r="G23" s="18">
        <v>0</v>
      </c>
      <c r="H23" s="55">
        <f>'A-3'!I412</f>
        <v>341927.8</v>
      </c>
    </row>
    <row r="24" spans="1:8" ht="11.25" customHeight="1">
      <c r="A24" s="99" t="s">
        <v>144</v>
      </c>
      <c r="B24" s="55">
        <f>'A-3'!I317</f>
        <v>126</v>
      </c>
      <c r="C24" s="55">
        <f>'A-3'!I335</f>
        <v>3379.4</v>
      </c>
      <c r="D24" s="79">
        <f>'A-3'!I356</f>
        <v>12528.8</v>
      </c>
      <c r="E24" s="79">
        <f>'A-3'!I374</f>
        <v>195662.2</v>
      </c>
      <c r="F24" s="79">
        <f>'A-3'!I395</f>
        <v>156304.79999999999</v>
      </c>
      <c r="G24" s="18">
        <v>0</v>
      </c>
      <c r="H24" s="55">
        <f>'A-3'!I413</f>
        <v>368001.2</v>
      </c>
    </row>
    <row r="25" spans="1:8" ht="11.25" customHeight="1">
      <c r="A25" s="99" t="s">
        <v>166</v>
      </c>
      <c r="B25" s="55">
        <v>1412</v>
      </c>
      <c r="C25" s="55">
        <f>'A-3'!I336</f>
        <v>5298</v>
      </c>
      <c r="D25" s="79">
        <f>'A-3'!I357</f>
        <v>96466.4</v>
      </c>
      <c r="E25" s="79">
        <f>'A-3'!I375</f>
        <v>210227.6</v>
      </c>
      <c r="F25" s="79">
        <f>'A-3'!I396</f>
        <v>64826.8</v>
      </c>
      <c r="G25" s="18">
        <v>9484</v>
      </c>
      <c r="H25" s="55">
        <f>'A-3'!I414</f>
        <v>383921.4</v>
      </c>
    </row>
    <row r="26" spans="1:8" ht="11.25" customHeight="1">
      <c r="A26" s="99" t="s">
        <v>315</v>
      </c>
      <c r="B26" s="55">
        <f>'A-3'!I319</f>
        <v>2367</v>
      </c>
      <c r="C26" s="55">
        <f>'A-3'!I337</f>
        <v>6395</v>
      </c>
      <c r="D26" s="79">
        <f>'A-3'!I358</f>
        <v>13168</v>
      </c>
      <c r="E26" s="79">
        <f>'A-3'!I376</f>
        <v>41349.333333333336</v>
      </c>
      <c r="F26" s="79">
        <f>'A-3'!I397</f>
        <v>8881</v>
      </c>
      <c r="G26" s="55" t="s">
        <v>23</v>
      </c>
      <c r="H26" s="55">
        <f>'A-3'!I415</f>
        <v>66319</v>
      </c>
    </row>
    <row r="27" spans="1:8" ht="11.25" customHeight="1">
      <c r="A27" s="99">
        <v>2011</v>
      </c>
      <c r="B27" s="55">
        <f>'A-3'!I40</f>
        <v>417</v>
      </c>
      <c r="C27" s="55">
        <f>'A-3'!I88</f>
        <v>1974</v>
      </c>
      <c r="D27" s="79">
        <f>'A-3'!I136</f>
        <v>39311</v>
      </c>
      <c r="E27" s="79">
        <f>'A-3'!I184</f>
        <v>21912</v>
      </c>
      <c r="F27" s="79">
        <f>'A-3'!I232</f>
        <v>6414</v>
      </c>
      <c r="G27" s="55" t="s">
        <v>23</v>
      </c>
      <c r="H27" s="55">
        <f t="shared" ref="H27:H37" si="0">SUM(B27:G27)</f>
        <v>70028</v>
      </c>
    </row>
    <row r="28" spans="1:8" ht="11.25" customHeight="1">
      <c r="A28" s="99">
        <v>2012</v>
      </c>
      <c r="B28" s="55">
        <f>'A-3'!I41</f>
        <v>400</v>
      </c>
      <c r="C28" s="55">
        <f>'A-3'!I89</f>
        <v>4831</v>
      </c>
      <c r="D28" s="79">
        <f>'A-3'!I137</f>
        <v>38282</v>
      </c>
      <c r="E28" s="79">
        <f>'A-3'!I185</f>
        <v>119100</v>
      </c>
      <c r="F28" s="79">
        <f>'A-3'!I233</f>
        <v>52972</v>
      </c>
      <c r="G28" s="55" t="s">
        <v>23</v>
      </c>
      <c r="H28" s="55">
        <f t="shared" si="0"/>
        <v>215585</v>
      </c>
    </row>
    <row r="29" spans="1:8" ht="11.25" customHeight="1">
      <c r="A29" s="99">
        <v>2013</v>
      </c>
      <c r="B29" s="55">
        <f>'A-3'!I42</f>
        <v>1225</v>
      </c>
      <c r="C29" s="55">
        <f>'A-3'!I90</f>
        <v>8953</v>
      </c>
      <c r="D29" s="79">
        <f>'A-3'!I138</f>
        <v>116158</v>
      </c>
      <c r="E29" s="79">
        <f>'A-3'!I186</f>
        <v>143654</v>
      </c>
      <c r="F29" s="79">
        <f>'A-3'!I234</f>
        <v>27637</v>
      </c>
      <c r="G29" s="55" t="s">
        <v>23</v>
      </c>
      <c r="H29" s="55">
        <f t="shared" si="0"/>
        <v>297627</v>
      </c>
    </row>
    <row r="30" spans="1:8" ht="11.25" customHeight="1">
      <c r="A30" s="99">
        <v>2014</v>
      </c>
      <c r="B30" s="55">
        <f>'A-3'!I43</f>
        <v>21</v>
      </c>
      <c r="C30" s="55">
        <f>'A-3'!I91</f>
        <v>599</v>
      </c>
      <c r="D30" s="79">
        <f>'A-3'!I139</f>
        <v>76931</v>
      </c>
      <c r="E30" s="79">
        <f>'A-3'!I187</f>
        <v>82424</v>
      </c>
      <c r="F30" s="79">
        <f>'A-3'!I235</f>
        <v>8308</v>
      </c>
      <c r="G30" s="55" t="s">
        <v>23</v>
      </c>
      <c r="H30" s="55">
        <f t="shared" si="0"/>
        <v>168283</v>
      </c>
    </row>
    <row r="31" spans="1:8" ht="11.25" customHeight="1">
      <c r="A31" s="99">
        <v>2015</v>
      </c>
      <c r="B31" s="55">
        <f>'A-3'!I44</f>
        <v>36</v>
      </c>
      <c r="C31" s="55">
        <f>'A-3'!I92</f>
        <v>10</v>
      </c>
      <c r="D31" s="79">
        <f>'A-3'!I140</f>
        <v>60052</v>
      </c>
      <c r="E31" s="79">
        <f>'A-3'!I188</f>
        <v>35696</v>
      </c>
      <c r="F31" s="79">
        <f>'A-3'!I236</f>
        <v>14713</v>
      </c>
      <c r="G31" s="55" t="s">
        <v>23</v>
      </c>
      <c r="H31" s="55">
        <f t="shared" si="0"/>
        <v>110507</v>
      </c>
    </row>
    <row r="32" spans="1:8" ht="11.25" customHeight="1">
      <c r="A32" s="99">
        <v>2016</v>
      </c>
      <c r="B32" s="55">
        <f>'A-3'!I45</f>
        <v>6</v>
      </c>
      <c r="C32" s="55">
        <f>'A-3'!I93</f>
        <v>190</v>
      </c>
      <c r="D32" s="79">
        <f>'A-3'!I141</f>
        <v>15380</v>
      </c>
      <c r="E32" s="79">
        <f>'A-3'!I189</f>
        <v>26363</v>
      </c>
      <c r="F32" s="79">
        <f>'A-3'!I237</f>
        <v>13246</v>
      </c>
      <c r="G32" s="55" t="s">
        <v>23</v>
      </c>
      <c r="H32" s="55">
        <f t="shared" si="0"/>
        <v>55185</v>
      </c>
    </row>
    <row r="33" spans="1:8" ht="11.25" customHeight="1">
      <c r="A33" s="99">
        <v>2017</v>
      </c>
      <c r="B33" s="55" t="str">
        <f>'A-3'!I46</f>
        <v>-</v>
      </c>
      <c r="C33" s="55" t="str">
        <f>'A-3'!I94</f>
        <v>-</v>
      </c>
      <c r="D33" s="79">
        <f>'A-3'!I142</f>
        <v>1935</v>
      </c>
      <c r="E33" s="79">
        <f>'A-3'!I190</f>
        <v>27912</v>
      </c>
      <c r="F33" s="79">
        <f>'A-3'!I238</f>
        <v>12479</v>
      </c>
      <c r="G33" s="55" t="s">
        <v>23</v>
      </c>
      <c r="H33" s="55">
        <f t="shared" si="0"/>
        <v>42326</v>
      </c>
    </row>
    <row r="34" spans="1:8" ht="11.25" customHeight="1">
      <c r="A34" s="99">
        <v>2018</v>
      </c>
      <c r="B34" s="55">
        <f>'A-3'!I47</f>
        <v>4412</v>
      </c>
      <c r="C34" s="55">
        <f>'A-3'!I95</f>
        <v>4599</v>
      </c>
      <c r="D34" s="79">
        <f>'A-3'!I143</f>
        <v>10551</v>
      </c>
      <c r="E34" s="79">
        <f>'A-3'!I191</f>
        <v>39429</v>
      </c>
      <c r="F34" s="79">
        <f>'A-3'!I239</f>
        <v>19425</v>
      </c>
      <c r="G34" s="55" t="s">
        <v>23</v>
      </c>
      <c r="H34" s="55">
        <f t="shared" si="0"/>
        <v>78416</v>
      </c>
    </row>
    <row r="35" spans="1:8" ht="11.25" customHeight="1">
      <c r="A35" s="99">
        <v>2019</v>
      </c>
      <c r="B35" s="55">
        <f>'A-3'!I48</f>
        <v>4235</v>
      </c>
      <c r="C35" s="55">
        <f>'A-3'!I96</f>
        <v>1622</v>
      </c>
      <c r="D35" s="79">
        <f>'A-3'!I144</f>
        <v>9281</v>
      </c>
      <c r="E35" s="79">
        <f>'A-3'!I192</f>
        <v>158392</v>
      </c>
      <c r="F35" s="79">
        <f>'A-3'!I240</f>
        <v>97959</v>
      </c>
      <c r="G35" s="55" t="s">
        <v>23</v>
      </c>
      <c r="H35" s="55">
        <f t="shared" ref="H35:H36" si="1">SUM(B35:G35)</f>
        <v>271489</v>
      </c>
    </row>
    <row r="36" spans="1:8" ht="11.25" customHeight="1">
      <c r="A36" s="99">
        <v>2020</v>
      </c>
      <c r="B36" s="55" t="str">
        <f>'A-3'!I49</f>
        <v>-</v>
      </c>
      <c r="C36" s="55" t="str">
        <f>'A-3'!I97</f>
        <v>-</v>
      </c>
      <c r="D36" s="79">
        <f>'A-3'!I145</f>
        <v>1849</v>
      </c>
      <c r="E36" s="79">
        <f>'A-3'!I193</f>
        <v>145741</v>
      </c>
      <c r="F36" s="79">
        <f>'A-3'!I241</f>
        <v>30210</v>
      </c>
      <c r="G36" s="55" t="s">
        <v>23</v>
      </c>
      <c r="H36" s="55">
        <f t="shared" si="1"/>
        <v>177800</v>
      </c>
    </row>
    <row r="37" spans="1:8" ht="11.25" customHeight="1">
      <c r="A37" s="99" t="s">
        <v>316</v>
      </c>
      <c r="B37" s="55" t="str">
        <f>'A-3'!I50</f>
        <v>-</v>
      </c>
      <c r="C37" s="55" t="str">
        <f>'A-3'!I98</f>
        <v>-</v>
      </c>
      <c r="D37" s="79">
        <f>'A-3'!I146</f>
        <v>43722</v>
      </c>
      <c r="E37" s="79">
        <f>'A-3'!I194</f>
        <v>104893</v>
      </c>
      <c r="F37" s="79">
        <f>'A-3'!I242</f>
        <v>52804</v>
      </c>
      <c r="G37" s="55" t="s">
        <v>23</v>
      </c>
      <c r="H37" s="55">
        <f t="shared" si="0"/>
        <v>201419</v>
      </c>
    </row>
    <row r="38" spans="1:8" ht="11.25" customHeight="1">
      <c r="B38" s="55"/>
      <c r="C38" s="55"/>
      <c r="D38" s="79"/>
      <c r="E38" s="79"/>
      <c r="F38" s="79"/>
      <c r="G38" s="55"/>
      <c r="H38" s="55"/>
    </row>
    <row r="39" spans="1:8" ht="11.25" customHeight="1">
      <c r="A39" s="276" t="s">
        <v>105</v>
      </c>
      <c r="B39" s="276"/>
      <c r="C39" s="276"/>
      <c r="D39" s="276"/>
      <c r="E39" s="276"/>
      <c r="F39" s="276"/>
      <c r="G39" s="276"/>
      <c r="H39" s="276"/>
    </row>
    <row r="40" spans="1:8" ht="11.25" customHeight="1">
      <c r="A40" s="99" t="s">
        <v>78</v>
      </c>
      <c r="B40" s="54">
        <f>'A-3'!R315</f>
        <v>3794.8275961904137</v>
      </c>
      <c r="C40" s="54">
        <f>'A-3'!R333</f>
        <v>5998.0326491252663</v>
      </c>
      <c r="D40" s="26">
        <f>'A-3'!R354</f>
        <v>26000</v>
      </c>
      <c r="E40" s="26">
        <f>'A-3'!R372</f>
        <v>9376.7999999999993</v>
      </c>
      <c r="F40" s="26">
        <f>'A-3'!R393</f>
        <v>1610.6</v>
      </c>
      <c r="G40" s="54">
        <f>AVERAGE('A-3'!AL15:AL19)</f>
        <v>38.505313149302467</v>
      </c>
      <c r="H40" s="54">
        <f>SUM(B40:G40)</f>
        <v>46818.765558464984</v>
      </c>
    </row>
    <row r="41" spans="1:8" ht="11.25" customHeight="1">
      <c r="A41" s="99" t="s">
        <v>10</v>
      </c>
      <c r="B41" s="54" t="str">
        <f>'A-3'!R316</f>
        <v>-</v>
      </c>
      <c r="C41" s="54">
        <f>'A-3'!R334</f>
        <v>3100</v>
      </c>
      <c r="D41" s="26">
        <f>'A-3'!R355</f>
        <v>4500</v>
      </c>
      <c r="E41" s="26">
        <f>'A-3'!R373</f>
        <v>26900</v>
      </c>
      <c r="F41" s="26">
        <f>'A-3'!R394</f>
        <v>11775</v>
      </c>
      <c r="G41" s="54" t="s">
        <v>23</v>
      </c>
      <c r="H41" s="54">
        <f>SUM(B41:G41)</f>
        <v>46275</v>
      </c>
    </row>
    <row r="42" spans="1:8" ht="11.25" customHeight="1">
      <c r="A42" s="99" t="s">
        <v>144</v>
      </c>
      <c r="B42" s="54" t="str">
        <f>'A-3'!R317</f>
        <v>-</v>
      </c>
      <c r="C42" s="54" t="str">
        <f>'A-3'!R335</f>
        <v>-</v>
      </c>
      <c r="D42" s="26" t="str">
        <f>'A-3'!R356</f>
        <v>-</v>
      </c>
      <c r="E42" s="26" t="str">
        <f>'A-3'!R374</f>
        <v>-</v>
      </c>
      <c r="F42" s="26" t="s">
        <v>23</v>
      </c>
      <c r="G42" s="54" t="s">
        <v>23</v>
      </c>
      <c r="H42" s="54" t="s">
        <v>23</v>
      </c>
    </row>
    <row r="43" spans="1:8" ht="11.25" customHeight="1">
      <c r="A43" s="99" t="s">
        <v>166</v>
      </c>
      <c r="B43" s="54" t="str">
        <f>'A-3'!R30</f>
        <v>-</v>
      </c>
      <c r="C43" s="54" t="str">
        <f>'A-3'!R78</f>
        <v>-</v>
      </c>
      <c r="D43" s="26" t="str">
        <f>'A-3'!R126</f>
        <v>-</v>
      </c>
      <c r="E43" s="26" t="str">
        <f>'A-3'!R174</f>
        <v>-</v>
      </c>
      <c r="F43" s="26" t="str">
        <f>'A-3'!R222</f>
        <v>-</v>
      </c>
      <c r="G43" s="54" t="s">
        <v>23</v>
      </c>
      <c r="H43" s="54" t="str">
        <f>'A-3'!R270</f>
        <v>-</v>
      </c>
    </row>
    <row r="44" spans="1:8" ht="11.25" customHeight="1">
      <c r="A44" s="99" t="s">
        <v>315</v>
      </c>
      <c r="B44" s="54" t="str">
        <f>'A-3'!R319</f>
        <v>-</v>
      </c>
      <c r="C44" s="54" t="str">
        <f>'A-3'!R337</f>
        <v>-</v>
      </c>
      <c r="D44" s="26" t="str">
        <f>'A-3'!R358</f>
        <v>-</v>
      </c>
      <c r="E44" s="26" t="str">
        <f>'A-3'!R376</f>
        <v>-</v>
      </c>
      <c r="F44" s="26" t="s">
        <v>23</v>
      </c>
      <c r="G44" s="54" t="s">
        <v>23</v>
      </c>
      <c r="H44" s="54" t="str">
        <f>'A-3'!R271</f>
        <v>-</v>
      </c>
    </row>
    <row r="45" spans="1:8" ht="11.25" customHeight="1">
      <c r="A45" s="99">
        <v>2011</v>
      </c>
      <c r="B45" s="55" t="str">
        <f>'A-3'!R40</f>
        <v>-</v>
      </c>
      <c r="C45" s="55" t="str">
        <f>'A-3'!R88</f>
        <v>-</v>
      </c>
      <c r="D45" s="79" t="str">
        <f>'A-3'!R136</f>
        <v>-</v>
      </c>
      <c r="E45" s="79" t="str">
        <f>'A-3'!R184</f>
        <v>-</v>
      </c>
      <c r="F45" s="79" t="str">
        <f>'A-3'!R232</f>
        <v>-</v>
      </c>
      <c r="G45" s="55" t="s">
        <v>23</v>
      </c>
      <c r="H45" s="55" t="str">
        <f>'A-3'!R280</f>
        <v>-</v>
      </c>
    </row>
    <row r="46" spans="1:8" ht="11.25" customHeight="1">
      <c r="A46" s="99">
        <v>2012</v>
      </c>
      <c r="B46" s="55" t="str">
        <f>'A-3'!R41</f>
        <v>-</v>
      </c>
      <c r="C46" s="55" t="str">
        <f>'A-3'!R89</f>
        <v>-</v>
      </c>
      <c r="D46" s="79" t="str">
        <f>'A-3'!R137</f>
        <v>-</v>
      </c>
      <c r="E46" s="79" t="str">
        <f>'A-3'!R185</f>
        <v>-</v>
      </c>
      <c r="F46" s="79" t="str">
        <f>'A-3'!R233</f>
        <v>-</v>
      </c>
      <c r="G46" s="55" t="s">
        <v>23</v>
      </c>
      <c r="H46" s="55" t="str">
        <f>'A-3'!R281</f>
        <v>-</v>
      </c>
    </row>
    <row r="47" spans="1:8" ht="11.25" customHeight="1">
      <c r="A47" s="99">
        <v>2013</v>
      </c>
      <c r="B47" s="55" t="str">
        <f>'A-3'!R42</f>
        <v>-</v>
      </c>
      <c r="C47" s="55" t="str">
        <f>'A-3'!R90</f>
        <v>-</v>
      </c>
      <c r="D47" s="79" t="str">
        <f>'A-3'!R138</f>
        <v>-</v>
      </c>
      <c r="E47" s="79" t="str">
        <f>'A-3'!R186</f>
        <v>-</v>
      </c>
      <c r="F47" s="79" t="str">
        <f>'A-3'!R234</f>
        <v>-</v>
      </c>
      <c r="G47" s="55" t="s">
        <v>23</v>
      </c>
      <c r="H47" s="55" t="str">
        <f>'A-3'!R282</f>
        <v>-</v>
      </c>
    </row>
    <row r="48" spans="1:8" ht="11.25" customHeight="1">
      <c r="A48" s="99">
        <v>2014</v>
      </c>
      <c r="B48" s="55" t="str">
        <f>'A-3'!R43</f>
        <v>-</v>
      </c>
      <c r="C48" s="55" t="str">
        <f>'A-3'!R91</f>
        <v>-</v>
      </c>
      <c r="D48" s="79" t="str">
        <f>'A-3'!R139</f>
        <v>-</v>
      </c>
      <c r="E48" s="79" t="str">
        <f>'A-3'!R187</f>
        <v>-</v>
      </c>
      <c r="F48" s="79" t="str">
        <f>'A-3'!R235</f>
        <v>-</v>
      </c>
      <c r="G48" s="55" t="s">
        <v>23</v>
      </c>
      <c r="H48" s="55" t="str">
        <f>'A-3'!R283</f>
        <v>-</v>
      </c>
    </row>
    <row r="49" spans="1:8" ht="11.25" customHeight="1">
      <c r="A49" s="99">
        <v>2015</v>
      </c>
      <c r="B49" s="55" t="str">
        <f>'A-3'!R44</f>
        <v>-</v>
      </c>
      <c r="C49" s="55" t="str">
        <f>'A-3'!R92</f>
        <v>-</v>
      </c>
      <c r="D49" s="79" t="str">
        <f>'A-3'!R140</f>
        <v>-</v>
      </c>
      <c r="E49" s="79" t="str">
        <f>'A-3'!R188</f>
        <v>-</v>
      </c>
      <c r="F49" s="79" t="str">
        <f>'A-3'!R236</f>
        <v>-</v>
      </c>
      <c r="G49" s="55" t="s">
        <v>23</v>
      </c>
      <c r="H49" s="55" t="str">
        <f>'A-3'!R284</f>
        <v>-</v>
      </c>
    </row>
    <row r="50" spans="1:8" ht="11.25" customHeight="1">
      <c r="A50" s="99">
        <v>2016</v>
      </c>
      <c r="B50" s="55" t="str">
        <f>'A-3'!R45</f>
        <v>-</v>
      </c>
      <c r="C50" s="55" t="str">
        <f>'A-3'!R93</f>
        <v>-</v>
      </c>
      <c r="D50" s="79" t="str">
        <f>'A-3'!R141</f>
        <v>-</v>
      </c>
      <c r="E50" s="79" t="str">
        <f>'A-3'!R189</f>
        <v>-</v>
      </c>
      <c r="F50" s="79" t="str">
        <f>'A-3'!R237</f>
        <v>-</v>
      </c>
      <c r="G50" s="55" t="s">
        <v>23</v>
      </c>
      <c r="H50" s="55" t="str">
        <f>'A-3'!R285</f>
        <v>-</v>
      </c>
    </row>
    <row r="51" spans="1:8" ht="11.25" customHeight="1">
      <c r="A51" s="99">
        <v>2017</v>
      </c>
      <c r="B51" s="55" t="str">
        <f>'A-3'!R46</f>
        <v>-</v>
      </c>
      <c r="C51" s="55" t="str">
        <f>'A-3'!R94</f>
        <v>-</v>
      </c>
      <c r="D51" s="79" t="str">
        <f>'A-3'!R142</f>
        <v>-</v>
      </c>
      <c r="E51" s="79" t="str">
        <f>'A-3'!R190</f>
        <v>-</v>
      </c>
      <c r="F51" s="79" t="str">
        <f>'A-3'!R238</f>
        <v>-</v>
      </c>
      <c r="G51" s="55" t="s">
        <v>23</v>
      </c>
      <c r="H51" s="55" t="str">
        <f>'A-3'!R286</f>
        <v>-</v>
      </c>
    </row>
    <row r="52" spans="1:8" ht="11.25" customHeight="1">
      <c r="A52" s="99">
        <v>2018</v>
      </c>
      <c r="B52" s="55" t="str">
        <f>'A-3'!R47</f>
        <v>-</v>
      </c>
      <c r="C52" s="55" t="str">
        <f>'A-3'!R95</f>
        <v>-</v>
      </c>
      <c r="D52" s="79" t="str">
        <f>'A-3'!R143</f>
        <v>-</v>
      </c>
      <c r="E52" s="79" t="str">
        <f>'A-3'!R191</f>
        <v>-</v>
      </c>
      <c r="F52" s="79" t="str">
        <f>'A-3'!R239</f>
        <v>-</v>
      </c>
      <c r="G52" s="55" t="s">
        <v>23</v>
      </c>
      <c r="H52" s="55" t="str">
        <f>'A-3'!R287</f>
        <v>-</v>
      </c>
    </row>
    <row r="53" spans="1:8" ht="11.25" customHeight="1">
      <c r="A53" s="99">
        <v>2019</v>
      </c>
      <c r="B53" s="55" t="str">
        <f>'A-3'!R48</f>
        <v>-</v>
      </c>
      <c r="C53" s="55" t="str">
        <f>'A-3'!R96</f>
        <v>-</v>
      </c>
      <c r="D53" s="79" t="str">
        <f>'A-3'!R144</f>
        <v>-</v>
      </c>
      <c r="E53" s="79" t="str">
        <f>'A-3'!R192</f>
        <v>-</v>
      </c>
      <c r="F53" s="79" t="str">
        <f>'A-3'!R240</f>
        <v>-</v>
      </c>
      <c r="G53" s="55" t="s">
        <v>23</v>
      </c>
      <c r="H53" s="55" t="str">
        <f>'A-3'!R288</f>
        <v>-</v>
      </c>
    </row>
    <row r="54" spans="1:8" ht="11.25" customHeight="1">
      <c r="A54" s="99">
        <v>2020</v>
      </c>
      <c r="B54" s="55" t="str">
        <f>'A-3'!R49</f>
        <v>-</v>
      </c>
      <c r="C54" s="55" t="str">
        <f>'A-3'!R97</f>
        <v>-</v>
      </c>
      <c r="D54" s="79" t="str">
        <f>'A-3'!R145</f>
        <v>-</v>
      </c>
      <c r="E54" s="79" t="str">
        <f>'A-3'!R193</f>
        <v>-</v>
      </c>
      <c r="F54" s="79" t="str">
        <f>'A-3'!R241</f>
        <v>-</v>
      </c>
      <c r="G54" s="55" t="s">
        <v>23</v>
      </c>
      <c r="H54" s="55" t="str">
        <f>'A-3'!R289</f>
        <v>-</v>
      </c>
    </row>
    <row r="55" spans="1:8" ht="11.25" customHeight="1">
      <c r="A55" s="99">
        <v>2021</v>
      </c>
      <c r="B55" s="55" t="str">
        <f>'A-3'!R50</f>
        <v>-</v>
      </c>
      <c r="C55" s="55" t="str">
        <f>'A-3'!R98</f>
        <v>-</v>
      </c>
      <c r="D55" s="79" t="str">
        <f>'A-3'!R146</f>
        <v>-</v>
      </c>
      <c r="E55" s="79" t="str">
        <f>'A-3'!R194</f>
        <v>-</v>
      </c>
      <c r="F55" s="79" t="str">
        <f>'A-3'!R242</f>
        <v>-</v>
      </c>
      <c r="G55" s="55" t="s">
        <v>23</v>
      </c>
      <c r="H55" s="55" t="str">
        <f>'A-3'!R290</f>
        <v>-</v>
      </c>
    </row>
    <row r="56" spans="1:8" ht="11.25" customHeight="1">
      <c r="A56" s="190" t="s">
        <v>69</v>
      </c>
      <c r="B56" s="190"/>
      <c r="C56" s="190"/>
      <c r="D56" s="190"/>
      <c r="E56" s="190"/>
      <c r="F56" s="190"/>
      <c r="G56" s="190"/>
      <c r="H56" s="190"/>
    </row>
    <row r="57" spans="1:8" ht="11.25" customHeight="1">
      <c r="A57" s="1"/>
      <c r="B57" s="1"/>
      <c r="C57" s="1"/>
      <c r="D57" s="1"/>
      <c r="E57" s="1"/>
      <c r="F57" s="1"/>
      <c r="G57" s="1"/>
      <c r="H57" s="1"/>
    </row>
  </sheetData>
  <mergeCells count="4">
    <mergeCell ref="A1:H1"/>
    <mergeCell ref="A21:H21"/>
    <mergeCell ref="A3:H3"/>
    <mergeCell ref="A39:H39"/>
  </mergeCells>
  <pageMargins left="0.7" right="0.7" top="0.75" bottom="0.75" header="0.3" footer="0.3"/>
  <pageSetup scale="94"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5"/>
  <dimension ref="A1:T550"/>
  <sheetViews>
    <sheetView showGridLines="0" zoomScaleNormal="100" zoomScaleSheetLayoutView="100" workbookViewId="0">
      <selection activeCell="N421" sqref="N421"/>
    </sheetView>
  </sheetViews>
  <sheetFormatPr baseColWidth="10" defaultColWidth="9" defaultRowHeight="11"/>
  <cols>
    <col min="1" max="1" width="10.33203125" style="99" customWidth="1"/>
    <col min="2" max="7" width="8.33203125" style="80" customWidth="1"/>
    <col min="8" max="8" width="8.33203125" style="53" customWidth="1"/>
    <col min="9" max="9" width="8.33203125" style="3" customWidth="1"/>
    <col min="10" max="10" width="1.5" style="1" customWidth="1"/>
    <col min="11" max="16384" width="9" style="1"/>
  </cols>
  <sheetData>
    <row r="1" spans="1:20" ht="12.75" customHeight="1">
      <c r="A1" s="279" t="s">
        <v>155</v>
      </c>
      <c r="B1" s="279"/>
      <c r="C1" s="279"/>
      <c r="D1" s="279"/>
      <c r="E1" s="279"/>
      <c r="F1" s="279"/>
      <c r="G1" s="279"/>
      <c r="H1" s="279"/>
      <c r="I1" s="279"/>
      <c r="J1" s="227"/>
      <c r="L1" s="71" t="s">
        <v>113</v>
      </c>
    </row>
    <row r="2" spans="1:20" s="119" customFormat="1">
      <c r="A2" s="2" t="s">
        <v>27</v>
      </c>
      <c r="B2" s="116" t="s">
        <v>28</v>
      </c>
      <c r="C2" s="116" t="s">
        <v>29</v>
      </c>
      <c r="D2" s="116" t="s">
        <v>30</v>
      </c>
      <c r="E2" s="116" t="s">
        <v>31</v>
      </c>
      <c r="F2" s="116" t="s">
        <v>32</v>
      </c>
      <c r="G2" s="116" t="s">
        <v>33</v>
      </c>
      <c r="H2" s="117" t="s">
        <v>34</v>
      </c>
      <c r="I2" s="116" t="s">
        <v>22</v>
      </c>
      <c r="L2" s="115" t="s">
        <v>114</v>
      </c>
      <c r="M2" s="115" t="s">
        <v>114</v>
      </c>
      <c r="N2" s="115" t="s">
        <v>114</v>
      </c>
      <c r="O2" s="115" t="s">
        <v>114</v>
      </c>
      <c r="P2" s="115" t="s">
        <v>114</v>
      </c>
      <c r="Q2" s="115" t="s">
        <v>114</v>
      </c>
      <c r="R2" s="115" t="s">
        <v>114</v>
      </c>
      <c r="S2" s="115" t="s">
        <v>114</v>
      </c>
      <c r="T2" s="115" t="s">
        <v>114</v>
      </c>
    </row>
    <row r="3" spans="1:20" ht="13">
      <c r="A3" s="101" t="s">
        <v>243</v>
      </c>
      <c r="L3" s="6" t="s">
        <v>115</v>
      </c>
      <c r="M3" s="6" t="s">
        <v>116</v>
      </c>
      <c r="N3" s="6" t="s">
        <v>117</v>
      </c>
      <c r="O3" s="73" t="s">
        <v>118</v>
      </c>
      <c r="P3" s="73" t="s">
        <v>119</v>
      </c>
      <c r="Q3" s="73" t="s">
        <v>120</v>
      </c>
      <c r="R3" s="73" t="s">
        <v>121</v>
      </c>
      <c r="S3" s="73" t="s">
        <v>122</v>
      </c>
      <c r="T3" s="73" t="s">
        <v>123</v>
      </c>
    </row>
    <row r="4" spans="1:20">
      <c r="A4" s="99">
        <v>1978</v>
      </c>
      <c r="B4" s="26">
        <v>111</v>
      </c>
      <c r="C4" s="24">
        <v>1799</v>
      </c>
      <c r="D4" s="24">
        <v>5895</v>
      </c>
      <c r="E4" s="24">
        <v>3074</v>
      </c>
      <c r="F4" s="24">
        <v>1452</v>
      </c>
      <c r="G4" s="24">
        <v>336</v>
      </c>
      <c r="H4" s="18" t="s">
        <v>23</v>
      </c>
      <c r="I4" s="142">
        <f t="shared" ref="I4:I10" si="0">SUM(B4:H4)</f>
        <v>12667</v>
      </c>
      <c r="L4" s="1">
        <v>1978</v>
      </c>
      <c r="M4" s="74">
        <v>0</v>
      </c>
      <c r="N4" s="74">
        <v>0</v>
      </c>
      <c r="O4" s="74">
        <v>0</v>
      </c>
      <c r="P4" s="74">
        <v>0</v>
      </c>
      <c r="Q4" s="74">
        <v>0</v>
      </c>
      <c r="R4" s="74">
        <v>0</v>
      </c>
      <c r="S4" s="74">
        <v>0</v>
      </c>
      <c r="T4" s="74">
        <f t="shared" ref="T4:T30" si="1">SUM(M4:S4)</f>
        <v>0</v>
      </c>
    </row>
    <row r="5" spans="1:20">
      <c r="A5" s="99">
        <v>1979</v>
      </c>
      <c r="B5" s="26">
        <v>0</v>
      </c>
      <c r="C5" s="24">
        <v>2216</v>
      </c>
      <c r="D5" s="24">
        <v>2626</v>
      </c>
      <c r="E5" s="24">
        <v>13870</v>
      </c>
      <c r="F5" s="24">
        <v>11565</v>
      </c>
      <c r="G5" s="24">
        <v>386</v>
      </c>
      <c r="H5" s="18" t="s">
        <v>23</v>
      </c>
      <c r="I5" s="142">
        <f t="shared" si="0"/>
        <v>30663</v>
      </c>
      <c r="J5" s="4"/>
      <c r="L5" s="1">
        <v>1979</v>
      </c>
      <c r="M5" s="74">
        <v>0</v>
      </c>
      <c r="N5" s="74">
        <v>0</v>
      </c>
      <c r="O5" s="74">
        <v>0</v>
      </c>
      <c r="P5" s="74">
        <v>0</v>
      </c>
      <c r="Q5" s="74">
        <v>0</v>
      </c>
      <c r="R5" s="74">
        <v>0</v>
      </c>
      <c r="S5" s="74">
        <v>0</v>
      </c>
      <c r="T5" s="74">
        <f t="shared" si="1"/>
        <v>0</v>
      </c>
    </row>
    <row r="6" spans="1:20">
      <c r="A6" s="99">
        <v>1980</v>
      </c>
      <c r="B6" s="26" t="s">
        <v>23</v>
      </c>
      <c r="C6" s="24">
        <v>2114</v>
      </c>
      <c r="D6" s="24" t="s">
        <v>23</v>
      </c>
      <c r="E6" s="24">
        <v>1911</v>
      </c>
      <c r="F6" s="24">
        <v>2059</v>
      </c>
      <c r="G6" s="24">
        <v>1545</v>
      </c>
      <c r="H6" s="18" t="s">
        <v>23</v>
      </c>
      <c r="I6" s="142">
        <f t="shared" si="0"/>
        <v>7629</v>
      </c>
      <c r="J6" s="4"/>
      <c r="L6" s="1">
        <v>1980</v>
      </c>
      <c r="M6" s="74">
        <v>0</v>
      </c>
      <c r="N6" s="74">
        <v>0</v>
      </c>
      <c r="O6" s="74">
        <v>0</v>
      </c>
      <c r="P6" s="74">
        <v>0</v>
      </c>
      <c r="Q6" s="74">
        <v>0</v>
      </c>
      <c r="R6" s="74">
        <v>0</v>
      </c>
      <c r="S6" s="74">
        <v>0</v>
      </c>
      <c r="T6" s="74">
        <f t="shared" si="1"/>
        <v>0</v>
      </c>
    </row>
    <row r="7" spans="1:20">
      <c r="A7" s="99">
        <v>1981</v>
      </c>
      <c r="B7" s="26" t="s">
        <v>23</v>
      </c>
      <c r="C7" s="24">
        <v>3019</v>
      </c>
      <c r="D7" s="24">
        <v>755</v>
      </c>
      <c r="E7" s="24">
        <v>2270</v>
      </c>
      <c r="F7" s="24">
        <v>3397</v>
      </c>
      <c r="G7" s="24">
        <v>1472</v>
      </c>
      <c r="H7" s="18" t="s">
        <v>23</v>
      </c>
      <c r="I7" s="142">
        <f t="shared" si="0"/>
        <v>10913</v>
      </c>
      <c r="J7" s="4"/>
      <c r="L7" s="1">
        <v>1981</v>
      </c>
      <c r="M7" s="74">
        <v>0</v>
      </c>
      <c r="N7" s="74">
        <v>0</v>
      </c>
      <c r="O7" s="74">
        <v>0</v>
      </c>
      <c r="P7" s="74">
        <v>0</v>
      </c>
      <c r="Q7" s="74">
        <v>0</v>
      </c>
      <c r="R7" s="74">
        <v>0</v>
      </c>
      <c r="S7" s="74">
        <v>0</v>
      </c>
      <c r="T7" s="74">
        <f t="shared" si="1"/>
        <v>0</v>
      </c>
    </row>
    <row r="8" spans="1:20">
      <c r="A8" s="99">
        <v>1982</v>
      </c>
      <c r="B8" s="26" t="s">
        <v>23</v>
      </c>
      <c r="C8" s="24">
        <v>1379</v>
      </c>
      <c r="D8" s="24">
        <v>916</v>
      </c>
      <c r="E8" s="24">
        <v>3452</v>
      </c>
      <c r="F8" s="24">
        <v>4834</v>
      </c>
      <c r="G8" s="24">
        <v>1118</v>
      </c>
      <c r="H8" s="18" t="s">
        <v>23</v>
      </c>
      <c r="I8" s="142">
        <f t="shared" si="0"/>
        <v>11699</v>
      </c>
      <c r="J8" s="4"/>
      <c r="L8" s="1">
        <v>1982</v>
      </c>
      <c r="M8" s="74">
        <v>0</v>
      </c>
      <c r="N8" s="74">
        <v>0</v>
      </c>
      <c r="O8" s="74">
        <v>0</v>
      </c>
      <c r="P8" s="74">
        <v>0</v>
      </c>
      <c r="Q8" s="74">
        <v>0</v>
      </c>
      <c r="R8" s="74">
        <v>0</v>
      </c>
      <c r="S8" s="74">
        <v>0</v>
      </c>
      <c r="T8" s="74">
        <f t="shared" si="1"/>
        <v>0</v>
      </c>
    </row>
    <row r="9" spans="1:20">
      <c r="A9" s="99">
        <v>1983</v>
      </c>
      <c r="B9" s="26" t="s">
        <v>23</v>
      </c>
      <c r="C9" s="24">
        <v>488</v>
      </c>
      <c r="D9" s="24">
        <v>2105</v>
      </c>
      <c r="E9" s="24">
        <v>1302</v>
      </c>
      <c r="F9" s="24">
        <v>759</v>
      </c>
      <c r="G9" s="24" t="s">
        <v>23</v>
      </c>
      <c r="H9" s="18" t="s">
        <v>23</v>
      </c>
      <c r="I9" s="142">
        <f t="shared" si="0"/>
        <v>4654</v>
      </c>
      <c r="J9" s="4"/>
      <c r="L9" s="1">
        <v>1983</v>
      </c>
      <c r="M9" s="74">
        <v>0</v>
      </c>
      <c r="N9" s="74">
        <v>0</v>
      </c>
      <c r="O9" s="74">
        <v>0</v>
      </c>
      <c r="P9" s="74">
        <v>0</v>
      </c>
      <c r="Q9" s="74">
        <v>0</v>
      </c>
      <c r="R9" s="74">
        <v>0</v>
      </c>
      <c r="S9" s="74">
        <v>0</v>
      </c>
      <c r="T9" s="74">
        <f t="shared" si="1"/>
        <v>0</v>
      </c>
    </row>
    <row r="10" spans="1:20">
      <c r="A10" s="99">
        <v>1984</v>
      </c>
      <c r="B10" s="26" t="s">
        <v>23</v>
      </c>
      <c r="C10" s="24">
        <v>565</v>
      </c>
      <c r="D10" s="24">
        <v>69</v>
      </c>
      <c r="E10" s="24">
        <v>765</v>
      </c>
      <c r="F10" s="24">
        <v>1047</v>
      </c>
      <c r="G10" s="24" t="s">
        <v>23</v>
      </c>
      <c r="H10" s="18" t="s">
        <v>23</v>
      </c>
      <c r="I10" s="142">
        <f t="shared" si="0"/>
        <v>2446</v>
      </c>
      <c r="J10" s="4"/>
      <c r="L10" s="1">
        <v>1984</v>
      </c>
      <c r="M10" s="74">
        <v>0</v>
      </c>
      <c r="N10" s="74">
        <v>0</v>
      </c>
      <c r="O10" s="74">
        <v>0</v>
      </c>
      <c r="P10" s="74">
        <v>0</v>
      </c>
      <c r="Q10" s="74">
        <v>0</v>
      </c>
      <c r="R10" s="74">
        <v>0</v>
      </c>
      <c r="S10" s="74">
        <v>0</v>
      </c>
      <c r="T10" s="74">
        <f t="shared" si="1"/>
        <v>0</v>
      </c>
    </row>
    <row r="11" spans="1:20">
      <c r="A11" s="99">
        <v>1985</v>
      </c>
      <c r="B11" s="26" t="s">
        <v>23</v>
      </c>
      <c r="C11" s="24" t="s">
        <v>23</v>
      </c>
      <c r="D11" s="24" t="s">
        <v>23</v>
      </c>
      <c r="E11" s="24" t="s">
        <v>23</v>
      </c>
      <c r="F11" s="24" t="s">
        <v>23</v>
      </c>
      <c r="G11" s="24" t="s">
        <v>23</v>
      </c>
      <c r="H11" s="18" t="s">
        <v>23</v>
      </c>
      <c r="I11" s="142" t="s">
        <v>23</v>
      </c>
      <c r="J11" s="4"/>
      <c r="L11" s="1">
        <v>1985</v>
      </c>
      <c r="M11" s="74" t="s">
        <v>23</v>
      </c>
      <c r="N11" s="74" t="s">
        <v>23</v>
      </c>
      <c r="O11" s="74" t="s">
        <v>23</v>
      </c>
      <c r="P11" s="74" t="s">
        <v>23</v>
      </c>
      <c r="Q11" s="74" t="s">
        <v>23</v>
      </c>
      <c r="R11" s="74" t="s">
        <v>23</v>
      </c>
      <c r="S11" s="74" t="s">
        <v>23</v>
      </c>
      <c r="T11" s="74">
        <f t="shared" si="1"/>
        <v>0</v>
      </c>
    </row>
    <row r="12" spans="1:20">
      <c r="A12" s="99">
        <v>1986</v>
      </c>
      <c r="B12" s="81" t="s">
        <v>23</v>
      </c>
      <c r="C12" s="84">
        <v>5</v>
      </c>
      <c r="D12" s="24">
        <v>214.22460117548277</v>
      </c>
      <c r="E12" s="24">
        <v>416.93071869100061</v>
      </c>
      <c r="F12" s="24">
        <v>410.24831918363935</v>
      </c>
      <c r="G12" s="24">
        <v>14</v>
      </c>
      <c r="H12" s="18" t="s">
        <v>23</v>
      </c>
      <c r="I12" s="142">
        <f>SUM(B12:H12)</f>
        <v>1060.4036390501228</v>
      </c>
      <c r="J12" s="4"/>
      <c r="L12" s="1">
        <v>1986</v>
      </c>
      <c r="M12" s="74">
        <v>0</v>
      </c>
      <c r="N12" s="74">
        <v>5</v>
      </c>
      <c r="O12" s="74">
        <v>0</v>
      </c>
      <c r="P12" s="74">
        <v>0</v>
      </c>
      <c r="Q12" s="74">
        <v>0</v>
      </c>
      <c r="R12" s="74">
        <v>0</v>
      </c>
      <c r="S12" s="74">
        <v>0</v>
      </c>
      <c r="T12" s="74">
        <f t="shared" si="1"/>
        <v>5</v>
      </c>
    </row>
    <row r="13" spans="1:20">
      <c r="A13" s="99">
        <v>1987</v>
      </c>
      <c r="B13" s="26" t="s">
        <v>23</v>
      </c>
      <c r="C13" s="84">
        <v>9</v>
      </c>
      <c r="D13" s="24">
        <v>692.57041560932964</v>
      </c>
      <c r="E13" s="84">
        <v>22</v>
      </c>
      <c r="F13" s="24" t="s">
        <v>23</v>
      </c>
      <c r="G13" s="24">
        <v>17.646414887794197</v>
      </c>
      <c r="H13" s="18" t="s">
        <v>23</v>
      </c>
      <c r="I13" s="142">
        <f>SUM(B13:H13)</f>
        <v>741.21683049712385</v>
      </c>
      <c r="J13" s="4"/>
      <c r="L13" s="1">
        <v>1987</v>
      </c>
      <c r="M13" s="74">
        <v>0</v>
      </c>
      <c r="N13" s="74">
        <v>9</v>
      </c>
      <c r="O13" s="74">
        <v>0</v>
      </c>
      <c r="P13" s="74">
        <v>22</v>
      </c>
      <c r="Q13" s="74">
        <v>0</v>
      </c>
      <c r="R13" s="74">
        <v>0</v>
      </c>
      <c r="S13" s="74">
        <v>0</v>
      </c>
      <c r="T13" s="74">
        <f t="shared" si="1"/>
        <v>31</v>
      </c>
    </row>
    <row r="14" spans="1:20">
      <c r="A14" s="99">
        <v>1988</v>
      </c>
      <c r="B14" s="26" t="s">
        <v>23</v>
      </c>
      <c r="C14" s="84">
        <v>12</v>
      </c>
      <c r="D14" s="24">
        <v>242.93656885320107</v>
      </c>
      <c r="E14" s="24" t="s">
        <v>23</v>
      </c>
      <c r="F14" s="24" t="s">
        <v>23</v>
      </c>
      <c r="G14" s="24">
        <v>17.387996520730645</v>
      </c>
      <c r="H14" s="18" t="s">
        <v>23</v>
      </c>
      <c r="I14" s="142">
        <f>SUM(B14:H14)</f>
        <v>272.3245653739317</v>
      </c>
      <c r="J14" s="4"/>
      <c r="L14" s="1">
        <v>1988</v>
      </c>
      <c r="M14" s="74">
        <v>0</v>
      </c>
      <c r="N14" s="74">
        <v>12</v>
      </c>
      <c r="O14" s="74">
        <v>0</v>
      </c>
      <c r="P14" s="74">
        <v>0</v>
      </c>
      <c r="Q14" s="74">
        <v>0</v>
      </c>
      <c r="R14" s="74">
        <v>0</v>
      </c>
      <c r="S14" s="74">
        <v>0</v>
      </c>
      <c r="T14" s="74">
        <f t="shared" si="1"/>
        <v>12</v>
      </c>
    </row>
    <row r="15" spans="1:20">
      <c r="A15" s="99">
        <v>1989</v>
      </c>
      <c r="B15" s="26" t="s">
        <v>23</v>
      </c>
      <c r="C15" s="84">
        <v>10</v>
      </c>
      <c r="D15" s="24">
        <v>290.6439324518916</v>
      </c>
      <c r="E15" s="24" t="s">
        <v>23</v>
      </c>
      <c r="F15" s="24">
        <v>68.460802112559833</v>
      </c>
      <c r="G15" s="24">
        <v>0</v>
      </c>
      <c r="H15" s="18">
        <v>0</v>
      </c>
      <c r="I15" s="142">
        <f>SUM(B15:H15)</f>
        <v>369.10473456445141</v>
      </c>
      <c r="J15" s="4"/>
      <c r="L15" s="1">
        <v>1989</v>
      </c>
      <c r="M15" s="74">
        <v>0</v>
      </c>
      <c r="N15" s="74">
        <v>10</v>
      </c>
      <c r="O15" s="74">
        <v>0</v>
      </c>
      <c r="P15" s="74">
        <v>0</v>
      </c>
      <c r="Q15" s="74">
        <v>0</v>
      </c>
      <c r="R15" s="74">
        <v>0</v>
      </c>
      <c r="S15" s="74">
        <v>0</v>
      </c>
      <c r="T15" s="74">
        <f t="shared" si="1"/>
        <v>10</v>
      </c>
    </row>
    <row r="16" spans="1:20">
      <c r="A16" s="99">
        <v>1990</v>
      </c>
      <c r="B16" s="26" t="s">
        <v>23</v>
      </c>
      <c r="C16" s="24" t="s">
        <v>23</v>
      </c>
      <c r="D16" s="24" t="s">
        <v>23</v>
      </c>
      <c r="E16" s="24" t="s">
        <v>23</v>
      </c>
      <c r="F16" s="24">
        <v>280</v>
      </c>
      <c r="G16" s="24">
        <v>0</v>
      </c>
      <c r="H16" s="18">
        <v>0</v>
      </c>
      <c r="I16" s="142">
        <f>SUM(B16:H16)</f>
        <v>280</v>
      </c>
      <c r="J16" s="4"/>
      <c r="L16" s="1">
        <v>1990</v>
      </c>
      <c r="M16" s="74">
        <v>0</v>
      </c>
      <c r="N16" s="74">
        <v>0</v>
      </c>
      <c r="O16" s="74">
        <v>0</v>
      </c>
      <c r="P16" s="74">
        <v>0</v>
      </c>
      <c r="Q16" s="74">
        <v>0</v>
      </c>
      <c r="R16" s="74">
        <v>0</v>
      </c>
      <c r="S16" s="74">
        <v>0</v>
      </c>
      <c r="T16" s="74">
        <f t="shared" si="1"/>
        <v>0</v>
      </c>
    </row>
    <row r="17" spans="1:20">
      <c r="A17" s="99">
        <v>1991</v>
      </c>
      <c r="B17" s="24" t="s">
        <v>23</v>
      </c>
      <c r="C17" s="24" t="s">
        <v>23</v>
      </c>
      <c r="D17" s="24" t="s">
        <v>23</v>
      </c>
      <c r="E17" s="24" t="s">
        <v>23</v>
      </c>
      <c r="F17" s="24" t="s">
        <v>23</v>
      </c>
      <c r="G17" s="24" t="s">
        <v>23</v>
      </c>
      <c r="H17" s="18" t="s">
        <v>23</v>
      </c>
      <c r="I17" s="142" t="s">
        <v>23</v>
      </c>
      <c r="L17" s="75">
        <v>1991</v>
      </c>
      <c r="M17" s="74" t="s">
        <v>23</v>
      </c>
      <c r="N17" s="74" t="s">
        <v>23</v>
      </c>
      <c r="O17" s="74" t="s">
        <v>23</v>
      </c>
      <c r="P17" s="74" t="s">
        <v>23</v>
      </c>
      <c r="Q17" s="74" t="s">
        <v>23</v>
      </c>
      <c r="R17" s="74" t="s">
        <v>23</v>
      </c>
      <c r="S17" s="74" t="s">
        <v>23</v>
      </c>
      <c r="T17" s="74">
        <f t="shared" si="1"/>
        <v>0</v>
      </c>
    </row>
    <row r="18" spans="1:20">
      <c r="A18" s="99">
        <v>1992</v>
      </c>
      <c r="B18" s="24" t="s">
        <v>23</v>
      </c>
      <c r="C18" s="24" t="s">
        <v>23</v>
      </c>
      <c r="D18" s="24" t="s">
        <v>23</v>
      </c>
      <c r="E18" s="24" t="s">
        <v>23</v>
      </c>
      <c r="F18" s="24" t="s">
        <v>23</v>
      </c>
      <c r="G18" s="24" t="s">
        <v>23</v>
      </c>
      <c r="H18" s="18" t="s">
        <v>23</v>
      </c>
      <c r="I18" s="142" t="s">
        <v>23</v>
      </c>
      <c r="L18" s="75">
        <v>1992</v>
      </c>
      <c r="M18" s="74" t="s">
        <v>23</v>
      </c>
      <c r="N18" s="74" t="s">
        <v>23</v>
      </c>
      <c r="O18" s="74" t="s">
        <v>23</v>
      </c>
      <c r="P18" s="74" t="s">
        <v>23</v>
      </c>
      <c r="Q18" s="74" t="s">
        <v>23</v>
      </c>
      <c r="R18" s="74" t="s">
        <v>23</v>
      </c>
      <c r="S18" s="74" t="s">
        <v>23</v>
      </c>
      <c r="T18" s="74">
        <f t="shared" si="1"/>
        <v>0</v>
      </c>
    </row>
    <row r="19" spans="1:20">
      <c r="A19" s="99">
        <v>1993</v>
      </c>
      <c r="B19" s="24" t="s">
        <v>23</v>
      </c>
      <c r="C19" s="24" t="s">
        <v>23</v>
      </c>
      <c r="D19" s="24" t="s">
        <v>23</v>
      </c>
      <c r="E19" s="24" t="s">
        <v>23</v>
      </c>
      <c r="F19" s="24" t="s">
        <v>23</v>
      </c>
      <c r="G19" s="24" t="s">
        <v>23</v>
      </c>
      <c r="H19" s="18" t="s">
        <v>23</v>
      </c>
      <c r="I19" s="142" t="s">
        <v>23</v>
      </c>
      <c r="L19" s="75">
        <v>1993</v>
      </c>
      <c r="M19" s="74" t="s">
        <v>23</v>
      </c>
      <c r="N19" s="74" t="s">
        <v>23</v>
      </c>
      <c r="O19" s="74" t="s">
        <v>23</v>
      </c>
      <c r="P19" s="74" t="s">
        <v>23</v>
      </c>
      <c r="Q19" s="74" t="s">
        <v>23</v>
      </c>
      <c r="R19" s="74" t="s">
        <v>23</v>
      </c>
      <c r="S19" s="74" t="s">
        <v>23</v>
      </c>
      <c r="T19" s="74">
        <f t="shared" si="1"/>
        <v>0</v>
      </c>
    </row>
    <row r="20" spans="1:20">
      <c r="A20" s="99">
        <v>1994</v>
      </c>
      <c r="B20" s="24" t="s">
        <v>23</v>
      </c>
      <c r="C20" s="24" t="s">
        <v>23</v>
      </c>
      <c r="D20" s="24" t="s">
        <v>23</v>
      </c>
      <c r="E20" s="24" t="s">
        <v>23</v>
      </c>
      <c r="F20" s="24" t="s">
        <v>23</v>
      </c>
      <c r="G20" s="24" t="s">
        <v>23</v>
      </c>
      <c r="H20" s="18" t="s">
        <v>23</v>
      </c>
      <c r="I20" s="142" t="s">
        <v>23</v>
      </c>
      <c r="L20" s="75">
        <v>1994</v>
      </c>
      <c r="M20" s="74" t="s">
        <v>23</v>
      </c>
      <c r="N20" s="74" t="s">
        <v>23</v>
      </c>
      <c r="O20" s="74" t="s">
        <v>23</v>
      </c>
      <c r="P20" s="74" t="s">
        <v>23</v>
      </c>
      <c r="Q20" s="74" t="s">
        <v>23</v>
      </c>
      <c r="R20" s="74" t="s">
        <v>23</v>
      </c>
      <c r="S20" s="74" t="s">
        <v>23</v>
      </c>
      <c r="T20" s="74">
        <f t="shared" si="1"/>
        <v>0</v>
      </c>
    </row>
    <row r="21" spans="1:20">
      <c r="A21" s="99">
        <v>1995</v>
      </c>
      <c r="B21" s="24" t="s">
        <v>23</v>
      </c>
      <c r="C21" s="24" t="s">
        <v>23</v>
      </c>
      <c r="D21" s="24" t="s">
        <v>23</v>
      </c>
      <c r="E21" s="24" t="s">
        <v>23</v>
      </c>
      <c r="F21" s="24" t="s">
        <v>23</v>
      </c>
      <c r="G21" s="24" t="s">
        <v>23</v>
      </c>
      <c r="H21" s="18" t="s">
        <v>23</v>
      </c>
      <c r="I21" s="142" t="s">
        <v>23</v>
      </c>
      <c r="L21" s="75">
        <v>1995</v>
      </c>
      <c r="M21" s="74" t="s">
        <v>23</v>
      </c>
      <c r="N21" s="74" t="s">
        <v>23</v>
      </c>
      <c r="O21" s="74" t="s">
        <v>23</v>
      </c>
      <c r="P21" s="74" t="s">
        <v>23</v>
      </c>
      <c r="Q21" s="74" t="s">
        <v>23</v>
      </c>
      <c r="R21" s="74" t="s">
        <v>23</v>
      </c>
      <c r="S21" s="74" t="s">
        <v>23</v>
      </c>
      <c r="T21" s="74">
        <f t="shared" si="1"/>
        <v>0</v>
      </c>
    </row>
    <row r="22" spans="1:20">
      <c r="A22" s="99">
        <v>1996</v>
      </c>
      <c r="B22" s="24" t="s">
        <v>23</v>
      </c>
      <c r="C22" s="24" t="s">
        <v>23</v>
      </c>
      <c r="D22" s="24" t="s">
        <v>23</v>
      </c>
      <c r="E22" s="24" t="s">
        <v>23</v>
      </c>
      <c r="F22" s="24">
        <v>10</v>
      </c>
      <c r="G22" s="24">
        <v>11</v>
      </c>
      <c r="H22" s="18" t="s">
        <v>23</v>
      </c>
      <c r="I22" s="142">
        <f t="shared" ref="I22:I31" si="2">SUM(B22:H22)</f>
        <v>21</v>
      </c>
      <c r="L22" s="75">
        <v>1996</v>
      </c>
      <c r="M22" s="74">
        <v>0</v>
      </c>
      <c r="N22" s="74">
        <v>0</v>
      </c>
      <c r="O22" s="74">
        <v>0</v>
      </c>
      <c r="P22" s="74">
        <v>0</v>
      </c>
      <c r="Q22" s="74">
        <v>0</v>
      </c>
      <c r="R22" s="74">
        <v>0</v>
      </c>
      <c r="S22" s="74">
        <v>0</v>
      </c>
      <c r="T22" s="74">
        <f t="shared" si="1"/>
        <v>0</v>
      </c>
    </row>
    <row r="23" spans="1:20">
      <c r="A23" s="99">
        <v>1997</v>
      </c>
      <c r="B23" s="24" t="s">
        <v>23</v>
      </c>
      <c r="C23" s="24" t="s">
        <v>23</v>
      </c>
      <c r="D23" s="24" t="s">
        <v>23</v>
      </c>
      <c r="E23" s="24" t="s">
        <v>23</v>
      </c>
      <c r="F23" s="24" t="s">
        <v>23</v>
      </c>
      <c r="G23" s="24">
        <v>0</v>
      </c>
      <c r="H23" s="18" t="s">
        <v>23</v>
      </c>
      <c r="I23" s="142">
        <f t="shared" si="2"/>
        <v>0</v>
      </c>
      <c r="L23" s="75">
        <v>1997</v>
      </c>
      <c r="M23" s="74">
        <v>0</v>
      </c>
      <c r="N23" s="74">
        <v>0</v>
      </c>
      <c r="O23" s="74">
        <v>0</v>
      </c>
      <c r="P23" s="74">
        <v>0</v>
      </c>
      <c r="Q23" s="74">
        <v>0</v>
      </c>
      <c r="R23" s="74">
        <v>0</v>
      </c>
      <c r="S23" s="74">
        <v>0</v>
      </c>
      <c r="T23" s="74">
        <f t="shared" si="1"/>
        <v>0</v>
      </c>
    </row>
    <row r="24" spans="1:20">
      <c r="A24" s="99">
        <v>1998</v>
      </c>
      <c r="B24" s="24" t="s">
        <v>23</v>
      </c>
      <c r="C24" s="24" t="s">
        <v>23</v>
      </c>
      <c r="D24" s="24" t="s">
        <v>23</v>
      </c>
      <c r="E24" s="24" t="s">
        <v>23</v>
      </c>
      <c r="F24" s="24" t="s">
        <v>23</v>
      </c>
      <c r="G24" s="24">
        <v>0</v>
      </c>
      <c r="H24" s="18" t="s">
        <v>23</v>
      </c>
      <c r="I24" s="142">
        <f t="shared" si="2"/>
        <v>0</v>
      </c>
      <c r="L24" s="75">
        <v>1998</v>
      </c>
      <c r="M24" s="74">
        <v>0</v>
      </c>
      <c r="N24" s="74">
        <v>0</v>
      </c>
      <c r="O24" s="74">
        <v>0</v>
      </c>
      <c r="P24" s="74">
        <v>0</v>
      </c>
      <c r="Q24" s="74">
        <v>0</v>
      </c>
      <c r="R24" s="74">
        <v>0</v>
      </c>
      <c r="S24" s="74">
        <v>0</v>
      </c>
      <c r="T24" s="74">
        <f t="shared" si="1"/>
        <v>0</v>
      </c>
    </row>
    <row r="25" spans="1:20">
      <c r="A25" s="99">
        <v>1999</v>
      </c>
      <c r="B25" s="24" t="s">
        <v>23</v>
      </c>
      <c r="C25" s="24" t="s">
        <v>23</v>
      </c>
      <c r="D25" s="24" t="s">
        <v>23</v>
      </c>
      <c r="E25" s="24" t="s">
        <v>23</v>
      </c>
      <c r="F25" s="24" t="s">
        <v>23</v>
      </c>
      <c r="G25" s="24">
        <v>29</v>
      </c>
      <c r="H25" s="18" t="s">
        <v>23</v>
      </c>
      <c r="I25" s="142">
        <f t="shared" si="2"/>
        <v>29</v>
      </c>
      <c r="L25" s="75">
        <v>1999</v>
      </c>
      <c r="M25" s="74">
        <v>0</v>
      </c>
      <c r="N25" s="74">
        <v>0</v>
      </c>
      <c r="O25" s="74">
        <v>0</v>
      </c>
      <c r="P25" s="74">
        <v>0</v>
      </c>
      <c r="Q25" s="74">
        <v>0</v>
      </c>
      <c r="R25" s="74">
        <v>0</v>
      </c>
      <c r="S25" s="74">
        <v>0</v>
      </c>
      <c r="T25" s="74">
        <f t="shared" si="1"/>
        <v>0</v>
      </c>
    </row>
    <row r="26" spans="1:20">
      <c r="A26" s="99">
        <v>2000</v>
      </c>
      <c r="B26" s="24" t="s">
        <v>23</v>
      </c>
      <c r="C26" s="24" t="s">
        <v>23</v>
      </c>
      <c r="D26" s="24" t="s">
        <v>23</v>
      </c>
      <c r="E26" s="24" t="s">
        <v>23</v>
      </c>
      <c r="F26" s="24" t="s">
        <v>23</v>
      </c>
      <c r="G26" s="24">
        <v>23</v>
      </c>
      <c r="H26" s="18" t="s">
        <v>23</v>
      </c>
      <c r="I26" s="142">
        <f t="shared" si="2"/>
        <v>23</v>
      </c>
      <c r="L26" s="75">
        <v>2000</v>
      </c>
      <c r="M26" s="74">
        <v>0</v>
      </c>
      <c r="N26" s="74">
        <v>0</v>
      </c>
      <c r="O26" s="74">
        <v>0</v>
      </c>
      <c r="P26" s="74">
        <v>0</v>
      </c>
      <c r="Q26" s="74">
        <v>0</v>
      </c>
      <c r="R26" s="74">
        <v>0</v>
      </c>
      <c r="S26" s="74">
        <v>0</v>
      </c>
      <c r="T26" s="74">
        <f t="shared" si="1"/>
        <v>0</v>
      </c>
    </row>
    <row r="27" spans="1:20">
      <c r="A27" s="99">
        <v>2001</v>
      </c>
      <c r="B27" s="24" t="s">
        <v>23</v>
      </c>
      <c r="C27" s="24" t="s">
        <v>23</v>
      </c>
      <c r="D27" s="24" t="s">
        <v>23</v>
      </c>
      <c r="E27" s="24" t="s">
        <v>23</v>
      </c>
      <c r="F27" s="24" t="s">
        <v>23</v>
      </c>
      <c r="G27" s="24">
        <v>18</v>
      </c>
      <c r="H27" s="18" t="s">
        <v>23</v>
      </c>
      <c r="I27" s="142">
        <f t="shared" si="2"/>
        <v>18</v>
      </c>
      <c r="L27" s="1">
        <v>2001</v>
      </c>
      <c r="M27" s="74">
        <v>0</v>
      </c>
      <c r="N27" s="74">
        <v>0</v>
      </c>
      <c r="O27" s="74">
        <v>0</v>
      </c>
      <c r="P27" s="74">
        <v>0</v>
      </c>
      <c r="Q27" s="74">
        <v>0</v>
      </c>
      <c r="R27" s="74">
        <v>0</v>
      </c>
      <c r="S27" s="74">
        <v>0</v>
      </c>
      <c r="T27" s="74">
        <f t="shared" si="1"/>
        <v>0</v>
      </c>
    </row>
    <row r="28" spans="1:20" ht="11.25" customHeight="1">
      <c r="A28" s="99">
        <v>2002</v>
      </c>
      <c r="B28" s="24" t="s">
        <v>23</v>
      </c>
      <c r="C28" s="24" t="s">
        <v>23</v>
      </c>
      <c r="D28" s="24" t="s">
        <v>23</v>
      </c>
      <c r="E28" s="24" t="s">
        <v>23</v>
      </c>
      <c r="F28" s="24">
        <v>27</v>
      </c>
      <c r="G28" s="84">
        <v>146</v>
      </c>
      <c r="H28" s="85">
        <v>6</v>
      </c>
      <c r="I28" s="142">
        <f t="shared" si="2"/>
        <v>179</v>
      </c>
      <c r="J28" s="83" t="s">
        <v>25</v>
      </c>
      <c r="L28" s="1">
        <v>2002</v>
      </c>
      <c r="M28" s="1">
        <v>0</v>
      </c>
      <c r="N28" s="1">
        <v>0</v>
      </c>
      <c r="O28" s="1">
        <v>0</v>
      </c>
      <c r="P28" s="142">
        <v>0</v>
      </c>
      <c r="Q28" s="142">
        <v>0</v>
      </c>
      <c r="R28" s="142">
        <v>2</v>
      </c>
      <c r="S28" s="1">
        <v>6</v>
      </c>
      <c r="T28" s="74">
        <f t="shared" si="1"/>
        <v>8</v>
      </c>
    </row>
    <row r="29" spans="1:20" ht="11.25" customHeight="1">
      <c r="A29" s="99">
        <v>2003</v>
      </c>
      <c r="B29" s="84">
        <v>14</v>
      </c>
      <c r="C29" s="84">
        <v>2</v>
      </c>
      <c r="D29" s="84">
        <v>4</v>
      </c>
      <c r="E29" s="84" t="s">
        <v>23</v>
      </c>
      <c r="F29" s="84" t="s">
        <v>23</v>
      </c>
      <c r="G29" s="24">
        <v>50</v>
      </c>
      <c r="H29" s="85">
        <v>6</v>
      </c>
      <c r="I29" s="142">
        <f t="shared" si="2"/>
        <v>76</v>
      </c>
      <c r="J29" s="83" t="s">
        <v>25</v>
      </c>
      <c r="L29" s="1">
        <v>2003</v>
      </c>
      <c r="M29" s="142">
        <v>14</v>
      </c>
      <c r="N29" s="142">
        <v>2</v>
      </c>
      <c r="O29" s="142">
        <v>4</v>
      </c>
      <c r="P29" s="142">
        <v>0</v>
      </c>
      <c r="Q29" s="142">
        <v>0</v>
      </c>
      <c r="R29" s="1">
        <v>0</v>
      </c>
      <c r="S29" s="1">
        <v>6</v>
      </c>
      <c r="T29" s="74">
        <f t="shared" si="1"/>
        <v>26</v>
      </c>
    </row>
    <row r="30" spans="1:20" ht="11.25" customHeight="1">
      <c r="A30" s="99">
        <v>2004</v>
      </c>
      <c r="B30" s="84">
        <v>22</v>
      </c>
      <c r="C30" s="84" t="s">
        <v>23</v>
      </c>
      <c r="D30" s="84">
        <v>2</v>
      </c>
      <c r="E30" s="84">
        <v>36</v>
      </c>
      <c r="F30" s="84">
        <v>167</v>
      </c>
      <c r="G30" s="24">
        <v>35</v>
      </c>
      <c r="H30" s="18" t="s">
        <v>23</v>
      </c>
      <c r="I30" s="142">
        <f t="shared" si="2"/>
        <v>262</v>
      </c>
      <c r="J30" s="83" t="s">
        <v>25</v>
      </c>
      <c r="L30" s="1">
        <v>2004</v>
      </c>
      <c r="M30" s="1">
        <v>22</v>
      </c>
      <c r="N30" s="142">
        <v>0</v>
      </c>
      <c r="O30" s="1">
        <v>2</v>
      </c>
      <c r="P30" s="1">
        <v>36</v>
      </c>
      <c r="Q30" s="1">
        <v>167</v>
      </c>
      <c r="R30" s="142">
        <v>0</v>
      </c>
      <c r="S30" s="142">
        <v>0</v>
      </c>
      <c r="T30" s="74">
        <f t="shared" si="1"/>
        <v>227</v>
      </c>
    </row>
    <row r="31" spans="1:20" ht="11.25" customHeight="1">
      <c r="A31" s="99">
        <v>2005</v>
      </c>
      <c r="B31" s="24" t="s">
        <v>23</v>
      </c>
      <c r="C31" s="24" t="s">
        <v>23</v>
      </c>
      <c r="D31" s="24" t="s">
        <v>23</v>
      </c>
      <c r="E31" s="24" t="s">
        <v>23</v>
      </c>
      <c r="F31" s="24" t="s">
        <v>23</v>
      </c>
      <c r="G31" s="24">
        <v>58</v>
      </c>
      <c r="H31" s="18" t="s">
        <v>23</v>
      </c>
      <c r="I31" s="142">
        <f t="shared" si="2"/>
        <v>58</v>
      </c>
      <c r="J31" s="83"/>
      <c r="M31" s="142"/>
      <c r="N31" s="142"/>
      <c r="O31" s="142"/>
      <c r="P31" s="142"/>
      <c r="Q31" s="142"/>
      <c r="R31" s="142"/>
      <c r="S31" s="142"/>
      <c r="T31" s="142"/>
    </row>
    <row r="32" spans="1:20" ht="11.25" customHeight="1">
      <c r="A32" s="99">
        <v>2006</v>
      </c>
      <c r="B32" s="24" t="s">
        <v>23</v>
      </c>
      <c r="C32" s="24" t="s">
        <v>23</v>
      </c>
      <c r="D32" s="24" t="s">
        <v>23</v>
      </c>
      <c r="E32" s="24" t="s">
        <v>23</v>
      </c>
      <c r="F32" s="24" t="s">
        <v>23</v>
      </c>
      <c r="G32" s="24" t="s">
        <v>23</v>
      </c>
      <c r="H32" s="18" t="s">
        <v>23</v>
      </c>
      <c r="I32" s="142" t="s">
        <v>23</v>
      </c>
      <c r="J32" s="83"/>
      <c r="M32" s="142"/>
      <c r="N32" s="142"/>
      <c r="O32" s="142"/>
      <c r="P32" s="142"/>
      <c r="Q32" s="142"/>
      <c r="R32" s="142"/>
      <c r="S32" s="142"/>
      <c r="T32" s="142"/>
    </row>
    <row r="33" spans="1:20" ht="11.25" customHeight="1">
      <c r="A33" s="99">
        <v>2007</v>
      </c>
      <c r="B33" s="24" t="s">
        <v>23</v>
      </c>
      <c r="C33" s="24" t="s">
        <v>23</v>
      </c>
      <c r="D33" s="24" t="s">
        <v>23</v>
      </c>
      <c r="E33" s="24" t="s">
        <v>23</v>
      </c>
      <c r="F33" s="24" t="s">
        <v>23</v>
      </c>
      <c r="G33" s="24">
        <v>87</v>
      </c>
      <c r="H33" s="18" t="s">
        <v>23</v>
      </c>
      <c r="I33" s="142">
        <f>SUM(B33:H33)</f>
        <v>87</v>
      </c>
      <c r="J33" s="83"/>
      <c r="M33" s="142"/>
      <c r="N33" s="142"/>
      <c r="O33" s="142"/>
      <c r="P33" s="142"/>
      <c r="Q33" s="142"/>
      <c r="R33" s="142"/>
      <c r="S33" s="142"/>
      <c r="T33" s="142"/>
    </row>
    <row r="34" spans="1:20" ht="11.25" customHeight="1">
      <c r="A34" s="99">
        <v>2008</v>
      </c>
      <c r="B34" s="24" t="s">
        <v>23</v>
      </c>
      <c r="C34" s="24" t="s">
        <v>23</v>
      </c>
      <c r="D34" s="24" t="s">
        <v>23</v>
      </c>
      <c r="E34" s="24" t="s">
        <v>23</v>
      </c>
      <c r="F34" s="24" t="s">
        <v>23</v>
      </c>
      <c r="G34" s="24" t="s">
        <v>23</v>
      </c>
      <c r="H34" s="18" t="s">
        <v>23</v>
      </c>
      <c r="I34" s="142" t="s">
        <v>23</v>
      </c>
      <c r="J34" s="83"/>
      <c r="M34" s="142"/>
      <c r="N34" s="142"/>
      <c r="O34" s="142"/>
      <c r="P34" s="142"/>
      <c r="Q34" s="142"/>
      <c r="R34" s="142"/>
      <c r="S34" s="142"/>
      <c r="T34" s="142"/>
    </row>
    <row r="35" spans="1:20" ht="11.25" customHeight="1">
      <c r="A35" s="99">
        <v>2009</v>
      </c>
      <c r="B35" s="24" t="s">
        <v>23</v>
      </c>
      <c r="C35" s="24" t="s">
        <v>23</v>
      </c>
      <c r="D35" s="24" t="s">
        <v>23</v>
      </c>
      <c r="E35" s="24" t="s">
        <v>23</v>
      </c>
      <c r="F35" s="24" t="s">
        <v>23</v>
      </c>
      <c r="G35" s="24" t="s">
        <v>23</v>
      </c>
      <c r="H35" s="18" t="s">
        <v>23</v>
      </c>
      <c r="I35" s="142" t="s">
        <v>23</v>
      </c>
      <c r="J35" s="83"/>
      <c r="M35" s="142"/>
      <c r="N35" s="142"/>
      <c r="O35" s="142"/>
      <c r="P35" s="142"/>
      <c r="Q35" s="142"/>
      <c r="R35" s="142"/>
      <c r="S35" s="142"/>
      <c r="T35" s="142"/>
    </row>
    <row r="36" spans="1:20" ht="11.25" customHeight="1">
      <c r="A36" s="99">
        <v>2010</v>
      </c>
      <c r="B36" s="24" t="s">
        <v>23</v>
      </c>
      <c r="C36" s="24" t="s">
        <v>23</v>
      </c>
      <c r="D36" s="24" t="s">
        <v>23</v>
      </c>
      <c r="E36" s="24" t="s">
        <v>23</v>
      </c>
      <c r="F36" s="24" t="s">
        <v>23</v>
      </c>
      <c r="G36" s="24" t="s">
        <v>23</v>
      </c>
      <c r="H36" s="18" t="s">
        <v>23</v>
      </c>
      <c r="I36" s="142" t="s">
        <v>23</v>
      </c>
      <c r="J36" s="83"/>
      <c r="M36" s="142"/>
      <c r="N36" s="142"/>
      <c r="O36" s="142"/>
      <c r="P36" s="142"/>
      <c r="Q36" s="142"/>
      <c r="R36" s="142"/>
      <c r="S36" s="142"/>
      <c r="T36" s="142"/>
    </row>
    <row r="37" spans="1:20" ht="11.25" customHeight="1">
      <c r="A37" s="99">
        <v>2011</v>
      </c>
      <c r="B37" s="24" t="s">
        <v>23</v>
      </c>
      <c r="C37" s="24" t="s">
        <v>23</v>
      </c>
      <c r="D37" s="24" t="s">
        <v>23</v>
      </c>
      <c r="E37" s="24">
        <v>4</v>
      </c>
      <c r="F37" s="24">
        <v>16</v>
      </c>
      <c r="G37" s="24" t="s">
        <v>23</v>
      </c>
      <c r="H37" s="18" t="s">
        <v>23</v>
      </c>
      <c r="I37" s="142">
        <f t="shared" ref="I37:I44" si="3">SUM(B37:H37)</f>
        <v>20</v>
      </c>
      <c r="J37" s="83"/>
      <c r="M37" s="142"/>
      <c r="N37" s="142"/>
      <c r="O37" s="142"/>
      <c r="P37" s="142"/>
      <c r="Q37" s="142"/>
      <c r="R37" s="142"/>
      <c r="S37" s="142"/>
      <c r="T37" s="142"/>
    </row>
    <row r="38" spans="1:20" ht="11.25" customHeight="1">
      <c r="A38" s="99">
        <v>2012</v>
      </c>
      <c r="B38" s="24" t="s">
        <v>23</v>
      </c>
      <c r="C38" s="24" t="s">
        <v>23</v>
      </c>
      <c r="D38" s="24" t="s">
        <v>23</v>
      </c>
      <c r="E38" s="24" t="s">
        <v>23</v>
      </c>
      <c r="F38" s="24" t="s">
        <v>23</v>
      </c>
      <c r="G38" s="24">
        <v>45</v>
      </c>
      <c r="H38" s="18" t="s">
        <v>23</v>
      </c>
      <c r="I38" s="142">
        <f t="shared" si="3"/>
        <v>45</v>
      </c>
      <c r="J38" s="83"/>
      <c r="M38" s="142"/>
      <c r="N38" s="142"/>
      <c r="O38" s="142"/>
      <c r="P38" s="142"/>
      <c r="Q38" s="142"/>
      <c r="R38" s="142"/>
      <c r="S38" s="142"/>
      <c r="T38" s="142"/>
    </row>
    <row r="39" spans="1:20" ht="11.25" customHeight="1">
      <c r="A39" s="99">
        <v>2013</v>
      </c>
      <c r="B39" s="24" t="s">
        <v>23</v>
      </c>
      <c r="C39" s="24">
        <v>8</v>
      </c>
      <c r="D39" s="24">
        <v>31</v>
      </c>
      <c r="E39" s="24">
        <v>46</v>
      </c>
      <c r="F39" s="24">
        <v>10</v>
      </c>
      <c r="G39" s="24">
        <v>3</v>
      </c>
      <c r="H39" s="18" t="s">
        <v>23</v>
      </c>
      <c r="I39" s="142">
        <f t="shared" si="3"/>
        <v>98</v>
      </c>
      <c r="J39" s="83"/>
      <c r="M39" s="142"/>
      <c r="N39" s="142"/>
      <c r="O39" s="142"/>
      <c r="P39" s="142"/>
      <c r="Q39" s="142"/>
      <c r="R39" s="142"/>
      <c r="S39" s="142"/>
      <c r="T39" s="142"/>
    </row>
    <row r="40" spans="1:20" ht="11.25" customHeight="1">
      <c r="A40" s="99">
        <v>2014</v>
      </c>
      <c r="B40" s="24" t="s">
        <v>23</v>
      </c>
      <c r="C40" s="24" t="s">
        <v>23</v>
      </c>
      <c r="D40" s="24" t="s">
        <v>23</v>
      </c>
      <c r="E40" s="24" t="s">
        <v>23</v>
      </c>
      <c r="F40" s="24" t="s">
        <v>23</v>
      </c>
      <c r="G40" s="24">
        <v>7</v>
      </c>
      <c r="H40" s="18" t="s">
        <v>23</v>
      </c>
      <c r="I40" s="142">
        <f t="shared" si="3"/>
        <v>7</v>
      </c>
      <c r="J40" s="83"/>
      <c r="M40" s="142"/>
      <c r="N40" s="142"/>
      <c r="O40" s="142"/>
      <c r="P40" s="142"/>
      <c r="Q40" s="142"/>
      <c r="R40" s="142"/>
      <c r="S40" s="142"/>
      <c r="T40" s="142"/>
    </row>
    <row r="41" spans="1:20" ht="11.25" customHeight="1">
      <c r="A41" s="99">
        <v>2015</v>
      </c>
      <c r="B41" s="24" t="s">
        <v>23</v>
      </c>
      <c r="C41" s="24" t="s">
        <v>23</v>
      </c>
      <c r="D41" s="24" t="s">
        <v>23</v>
      </c>
      <c r="E41" s="24" t="s">
        <v>23</v>
      </c>
      <c r="F41" s="24" t="s">
        <v>23</v>
      </c>
      <c r="G41" s="24">
        <v>10</v>
      </c>
      <c r="H41" s="18" t="s">
        <v>23</v>
      </c>
      <c r="I41" s="142">
        <f t="shared" si="3"/>
        <v>10</v>
      </c>
      <c r="J41" s="83"/>
      <c r="M41" s="142"/>
      <c r="N41" s="142"/>
      <c r="O41" s="142"/>
      <c r="P41" s="142"/>
      <c r="Q41" s="142"/>
      <c r="R41" s="142"/>
      <c r="S41" s="142"/>
      <c r="T41" s="142"/>
    </row>
    <row r="42" spans="1:20" ht="11.25" customHeight="1">
      <c r="A42" s="99">
        <v>2016</v>
      </c>
      <c r="B42" s="24" t="s">
        <v>23</v>
      </c>
      <c r="C42" s="24" t="s">
        <v>23</v>
      </c>
      <c r="D42" s="24" t="s">
        <v>23</v>
      </c>
      <c r="E42" s="24" t="s">
        <v>23</v>
      </c>
      <c r="F42" s="24" t="s">
        <v>23</v>
      </c>
      <c r="G42" s="24">
        <v>7</v>
      </c>
      <c r="H42" s="18" t="s">
        <v>23</v>
      </c>
      <c r="I42" s="142">
        <f t="shared" si="3"/>
        <v>7</v>
      </c>
      <c r="J42" s="83"/>
      <c r="M42" s="142"/>
      <c r="N42" s="142"/>
      <c r="O42" s="142"/>
      <c r="P42" s="142"/>
      <c r="Q42" s="142"/>
      <c r="R42" s="142"/>
      <c r="S42" s="142"/>
      <c r="T42" s="142"/>
    </row>
    <row r="43" spans="1:20" ht="11.25" customHeight="1">
      <c r="A43" s="99">
        <v>2017</v>
      </c>
      <c r="B43" s="24" t="s">
        <v>23</v>
      </c>
      <c r="C43" s="24" t="s">
        <v>23</v>
      </c>
      <c r="D43" s="24" t="s">
        <v>23</v>
      </c>
      <c r="E43" s="24" t="s">
        <v>23</v>
      </c>
      <c r="F43" s="24" t="s">
        <v>23</v>
      </c>
      <c r="G43" s="24" t="s">
        <v>23</v>
      </c>
      <c r="H43" s="18" t="s">
        <v>23</v>
      </c>
      <c r="I43" s="142" t="s">
        <v>23</v>
      </c>
      <c r="J43" s="83"/>
      <c r="M43" s="142"/>
      <c r="N43" s="142"/>
      <c r="O43" s="142"/>
      <c r="P43" s="142"/>
      <c r="Q43" s="142"/>
      <c r="R43" s="142"/>
      <c r="S43" s="142"/>
      <c r="T43" s="142"/>
    </row>
    <row r="44" spans="1:20" ht="11.25" customHeight="1">
      <c r="A44" s="99">
        <v>2018</v>
      </c>
      <c r="B44" s="24" t="s">
        <v>23</v>
      </c>
      <c r="C44" s="24">
        <v>20</v>
      </c>
      <c r="D44" s="24">
        <v>108</v>
      </c>
      <c r="E44" s="24">
        <v>42</v>
      </c>
      <c r="F44" s="24">
        <v>68</v>
      </c>
      <c r="G44" s="24" t="s">
        <v>23</v>
      </c>
      <c r="H44" s="18" t="s">
        <v>23</v>
      </c>
      <c r="I44" s="142">
        <f t="shared" si="3"/>
        <v>238</v>
      </c>
      <c r="J44" s="83"/>
      <c r="M44" s="142"/>
      <c r="N44" s="142"/>
      <c r="O44" s="142"/>
      <c r="P44" s="142"/>
      <c r="Q44" s="142"/>
      <c r="R44" s="142"/>
      <c r="S44" s="142"/>
      <c r="T44" s="142"/>
    </row>
    <row r="45" spans="1:20" ht="11.25" customHeight="1">
      <c r="A45" s="99">
        <v>2019</v>
      </c>
      <c r="B45" s="24" t="s">
        <v>23</v>
      </c>
      <c r="C45" s="24" t="s">
        <v>23</v>
      </c>
      <c r="D45" s="24">
        <v>13</v>
      </c>
      <c r="E45" s="24">
        <v>50</v>
      </c>
      <c r="F45" s="24">
        <v>90</v>
      </c>
      <c r="G45" s="24" t="s">
        <v>23</v>
      </c>
      <c r="H45" s="18" t="s">
        <v>23</v>
      </c>
      <c r="I45" s="142">
        <f t="shared" ref="I45" si="4">SUM(B45:H45)</f>
        <v>153</v>
      </c>
      <c r="J45" s="83"/>
      <c r="M45" s="142"/>
      <c r="N45" s="142"/>
      <c r="O45" s="142"/>
      <c r="P45" s="142"/>
      <c r="Q45" s="142"/>
      <c r="R45" s="142"/>
      <c r="S45" s="142"/>
      <c r="T45" s="142"/>
    </row>
    <row r="46" spans="1:20" ht="11.25" customHeight="1">
      <c r="A46" s="99">
        <v>2020</v>
      </c>
      <c r="B46" s="24" t="s">
        <v>23</v>
      </c>
      <c r="C46" s="24" t="s">
        <v>23</v>
      </c>
      <c r="D46" s="24" t="s">
        <v>23</v>
      </c>
      <c r="E46" s="24" t="s">
        <v>23</v>
      </c>
      <c r="F46" s="24" t="s">
        <v>23</v>
      </c>
      <c r="G46" s="24" t="s">
        <v>23</v>
      </c>
      <c r="H46" s="18" t="s">
        <v>23</v>
      </c>
      <c r="I46" s="142" t="s">
        <v>23</v>
      </c>
      <c r="J46" s="83"/>
      <c r="M46" s="142"/>
      <c r="N46" s="142"/>
      <c r="O46" s="142"/>
      <c r="P46" s="142"/>
      <c r="Q46" s="142"/>
      <c r="R46" s="142"/>
      <c r="S46" s="142"/>
      <c r="T46" s="142"/>
    </row>
    <row r="47" spans="1:20" ht="11.25" customHeight="1">
      <c r="A47" s="99" t="s">
        <v>314</v>
      </c>
      <c r="B47" s="24" t="s">
        <v>23</v>
      </c>
      <c r="C47" s="24" t="s">
        <v>23</v>
      </c>
      <c r="D47" s="24" t="s">
        <v>23</v>
      </c>
      <c r="E47" s="24" t="s">
        <v>23</v>
      </c>
      <c r="F47" s="24" t="s">
        <v>23</v>
      </c>
      <c r="G47" s="24" t="s">
        <v>23</v>
      </c>
      <c r="H47" s="18" t="s">
        <v>23</v>
      </c>
      <c r="I47" s="142" t="s">
        <v>23</v>
      </c>
      <c r="J47" s="83"/>
      <c r="M47" s="142"/>
      <c r="N47" s="142"/>
      <c r="O47" s="142"/>
      <c r="P47" s="142"/>
      <c r="Q47" s="142"/>
      <c r="R47" s="142"/>
      <c r="S47" s="142"/>
      <c r="T47" s="142"/>
    </row>
    <row r="48" spans="1:20">
      <c r="B48" s="81"/>
    </row>
    <row r="49" spans="1:9">
      <c r="A49" s="94" t="s">
        <v>17</v>
      </c>
      <c r="B49" s="81"/>
    </row>
    <row r="50" spans="1:9">
      <c r="A50" s="99">
        <v>1978</v>
      </c>
      <c r="B50" s="26">
        <v>528</v>
      </c>
      <c r="C50" s="24">
        <v>6073</v>
      </c>
      <c r="D50" s="24">
        <v>10476</v>
      </c>
      <c r="E50" s="24">
        <v>3866</v>
      </c>
      <c r="F50" s="24">
        <v>784</v>
      </c>
      <c r="G50" s="24">
        <v>285</v>
      </c>
      <c r="H50" s="18" t="s">
        <v>23</v>
      </c>
      <c r="I50" s="142">
        <f t="shared" ref="I50:I56" si="5">SUM(B50:H50)</f>
        <v>22012</v>
      </c>
    </row>
    <row r="51" spans="1:9">
      <c r="A51" s="99">
        <v>1979</v>
      </c>
      <c r="B51" s="26">
        <v>0</v>
      </c>
      <c r="C51" s="24">
        <v>4277</v>
      </c>
      <c r="D51" s="24">
        <v>3827</v>
      </c>
      <c r="E51" s="24">
        <v>5627</v>
      </c>
      <c r="F51" s="24">
        <v>3469</v>
      </c>
      <c r="G51" s="24">
        <v>1302</v>
      </c>
      <c r="H51" s="18" t="s">
        <v>23</v>
      </c>
      <c r="I51" s="142">
        <f t="shared" si="5"/>
        <v>18502</v>
      </c>
    </row>
    <row r="52" spans="1:9">
      <c r="A52" s="99">
        <v>1980</v>
      </c>
      <c r="B52" s="26" t="s">
        <v>23</v>
      </c>
      <c r="C52" s="24">
        <v>6703</v>
      </c>
      <c r="D52" s="24" t="s">
        <v>23</v>
      </c>
      <c r="E52" s="24">
        <v>2757</v>
      </c>
      <c r="F52" s="24">
        <v>2717</v>
      </c>
      <c r="G52" s="24">
        <v>2646</v>
      </c>
      <c r="H52" s="18" t="s">
        <v>23</v>
      </c>
      <c r="I52" s="142">
        <f t="shared" si="5"/>
        <v>14823</v>
      </c>
    </row>
    <row r="53" spans="1:9">
      <c r="A53" s="99">
        <v>1981</v>
      </c>
      <c r="B53" s="26" t="s">
        <v>23</v>
      </c>
      <c r="C53" s="24">
        <v>3870</v>
      </c>
      <c r="D53" s="24">
        <v>647</v>
      </c>
      <c r="E53" s="24">
        <v>2686</v>
      </c>
      <c r="F53" s="24">
        <v>2748</v>
      </c>
      <c r="G53" s="24">
        <v>622</v>
      </c>
      <c r="H53" s="18" t="s">
        <v>23</v>
      </c>
      <c r="I53" s="142">
        <f t="shared" si="5"/>
        <v>10573</v>
      </c>
    </row>
    <row r="54" spans="1:9">
      <c r="A54" s="99">
        <v>1982</v>
      </c>
      <c r="B54" s="26" t="s">
        <v>23</v>
      </c>
      <c r="C54" s="24">
        <v>2727</v>
      </c>
      <c r="D54" s="24">
        <v>972</v>
      </c>
      <c r="E54" s="24">
        <v>4578</v>
      </c>
      <c r="F54" s="24">
        <v>2614</v>
      </c>
      <c r="G54" s="24">
        <v>1020</v>
      </c>
      <c r="H54" s="18" t="s">
        <v>23</v>
      </c>
      <c r="I54" s="142">
        <f t="shared" si="5"/>
        <v>11911</v>
      </c>
    </row>
    <row r="55" spans="1:9">
      <c r="A55" s="99">
        <v>1983</v>
      </c>
      <c r="B55" s="26" t="s">
        <v>23</v>
      </c>
      <c r="C55" s="24">
        <v>868</v>
      </c>
      <c r="D55" s="24">
        <v>2633</v>
      </c>
      <c r="E55" s="24">
        <v>2353</v>
      </c>
      <c r="F55" s="24">
        <v>1322</v>
      </c>
      <c r="G55" s="24" t="s">
        <v>23</v>
      </c>
      <c r="H55" s="18" t="s">
        <v>23</v>
      </c>
      <c r="I55" s="142">
        <f t="shared" si="5"/>
        <v>7176</v>
      </c>
    </row>
    <row r="56" spans="1:9">
      <c r="A56" s="99">
        <v>1984</v>
      </c>
      <c r="B56" s="26" t="s">
        <v>23</v>
      </c>
      <c r="C56" s="24">
        <v>651</v>
      </c>
      <c r="D56" s="24">
        <v>49</v>
      </c>
      <c r="E56" s="24">
        <v>813</v>
      </c>
      <c r="F56" s="24">
        <v>1038</v>
      </c>
      <c r="G56" s="24" t="s">
        <v>23</v>
      </c>
      <c r="H56" s="18" t="s">
        <v>23</v>
      </c>
      <c r="I56" s="142">
        <f t="shared" si="5"/>
        <v>2551</v>
      </c>
    </row>
    <row r="57" spans="1:9">
      <c r="A57" s="99">
        <v>1985</v>
      </c>
      <c r="B57" s="26" t="s">
        <v>23</v>
      </c>
      <c r="C57" s="24" t="s">
        <v>23</v>
      </c>
      <c r="D57" s="24" t="s">
        <v>23</v>
      </c>
      <c r="E57" s="24" t="s">
        <v>23</v>
      </c>
      <c r="F57" s="24" t="s">
        <v>23</v>
      </c>
      <c r="G57" s="24" t="s">
        <v>23</v>
      </c>
      <c r="H57" s="18" t="s">
        <v>23</v>
      </c>
      <c r="I57" s="142" t="s">
        <v>23</v>
      </c>
    </row>
    <row r="58" spans="1:9">
      <c r="A58" s="99">
        <v>1986</v>
      </c>
      <c r="B58" s="26" t="s">
        <v>23</v>
      </c>
      <c r="C58" s="24" t="s">
        <v>23</v>
      </c>
      <c r="D58" s="24">
        <v>647.67237755387623</v>
      </c>
      <c r="E58" s="24">
        <v>517.56916803020761</v>
      </c>
      <c r="F58" s="24">
        <v>1094.5360294425161</v>
      </c>
      <c r="G58" s="24">
        <v>333</v>
      </c>
      <c r="H58" s="18" t="s">
        <v>23</v>
      </c>
      <c r="I58" s="142">
        <f t="shared" ref="I58:I63" si="6">SUM(B58:H58)</f>
        <v>2592.7775750266001</v>
      </c>
    </row>
    <row r="59" spans="1:9">
      <c r="A59" s="99">
        <v>1987</v>
      </c>
      <c r="B59" s="26" t="s">
        <v>23</v>
      </c>
      <c r="C59" s="24" t="s">
        <v>23</v>
      </c>
      <c r="D59" s="24">
        <v>1535.6157404596836</v>
      </c>
      <c r="E59" s="24" t="s">
        <v>23</v>
      </c>
      <c r="F59" s="24" t="s">
        <v>23</v>
      </c>
      <c r="G59" s="24">
        <v>494.98193760262723</v>
      </c>
      <c r="H59" s="18" t="s">
        <v>23</v>
      </c>
      <c r="I59" s="142">
        <f t="shared" si="6"/>
        <v>2030.5976780623109</v>
      </c>
    </row>
    <row r="60" spans="1:9">
      <c r="A60" s="99">
        <v>1988</v>
      </c>
      <c r="B60" s="26" t="s">
        <v>23</v>
      </c>
      <c r="C60" s="24" t="s">
        <v>23</v>
      </c>
      <c r="D60" s="24">
        <v>777.39702033024344</v>
      </c>
      <c r="E60" s="24" t="s">
        <v>23</v>
      </c>
      <c r="F60" s="24" t="s">
        <v>23</v>
      </c>
      <c r="G60" s="24">
        <v>762.8983473470571</v>
      </c>
      <c r="H60" s="18" t="s">
        <v>23</v>
      </c>
      <c r="I60" s="142">
        <f t="shared" si="6"/>
        <v>1540.2953676773004</v>
      </c>
    </row>
    <row r="61" spans="1:9">
      <c r="A61" s="99">
        <v>1989</v>
      </c>
      <c r="B61" s="26" t="s">
        <v>23</v>
      </c>
      <c r="C61" s="24" t="s">
        <v>23</v>
      </c>
      <c r="D61" s="24">
        <v>567.26966880481746</v>
      </c>
      <c r="E61" s="24" t="s">
        <v>23</v>
      </c>
      <c r="F61" s="24">
        <v>111.02937778511306</v>
      </c>
      <c r="G61" s="24">
        <v>450</v>
      </c>
      <c r="H61" s="18">
        <v>118</v>
      </c>
      <c r="I61" s="142">
        <f t="shared" si="6"/>
        <v>1246.2990465899306</v>
      </c>
    </row>
    <row r="62" spans="1:9">
      <c r="A62" s="99">
        <v>1990</v>
      </c>
      <c r="B62" s="26" t="s">
        <v>23</v>
      </c>
      <c r="C62" s="24" t="s">
        <v>23</v>
      </c>
      <c r="D62" s="24" t="s">
        <v>23</v>
      </c>
      <c r="E62" s="24" t="s">
        <v>23</v>
      </c>
      <c r="F62" s="24">
        <v>434</v>
      </c>
      <c r="G62" s="24">
        <v>292</v>
      </c>
      <c r="H62" s="18">
        <v>10</v>
      </c>
      <c r="I62" s="142">
        <f t="shared" si="6"/>
        <v>736</v>
      </c>
    </row>
    <row r="63" spans="1:9">
      <c r="A63" s="99">
        <v>1991</v>
      </c>
      <c r="B63" s="26" t="s">
        <v>23</v>
      </c>
      <c r="C63" s="24" t="s">
        <v>23</v>
      </c>
      <c r="D63" s="24" t="s">
        <v>23</v>
      </c>
      <c r="E63" s="24" t="s">
        <v>23</v>
      </c>
      <c r="F63" s="24" t="s">
        <v>23</v>
      </c>
      <c r="G63" s="24">
        <v>500</v>
      </c>
      <c r="H63" s="18">
        <v>100</v>
      </c>
      <c r="I63" s="142">
        <f t="shared" si="6"/>
        <v>600</v>
      </c>
    </row>
    <row r="64" spans="1:9">
      <c r="A64" s="99">
        <v>1992</v>
      </c>
      <c r="B64" s="26" t="s">
        <v>23</v>
      </c>
      <c r="C64" s="24" t="s">
        <v>23</v>
      </c>
      <c r="D64" s="24" t="s">
        <v>23</v>
      </c>
      <c r="E64" s="24" t="s">
        <v>23</v>
      </c>
      <c r="F64" s="24" t="s">
        <v>23</v>
      </c>
      <c r="G64" s="24" t="s">
        <v>23</v>
      </c>
      <c r="H64" s="18" t="s">
        <v>23</v>
      </c>
      <c r="I64" s="142" t="s">
        <v>23</v>
      </c>
    </row>
    <row r="65" spans="1:9">
      <c r="A65" s="99">
        <v>1993</v>
      </c>
      <c r="B65" s="26" t="s">
        <v>23</v>
      </c>
      <c r="C65" s="24" t="s">
        <v>23</v>
      </c>
      <c r="D65" s="24" t="s">
        <v>23</v>
      </c>
      <c r="E65" s="24" t="s">
        <v>23</v>
      </c>
      <c r="F65" s="24" t="s">
        <v>23</v>
      </c>
      <c r="G65" s="24" t="s">
        <v>23</v>
      </c>
      <c r="H65" s="18" t="s">
        <v>23</v>
      </c>
      <c r="I65" s="142" t="s">
        <v>23</v>
      </c>
    </row>
    <row r="66" spans="1:9">
      <c r="A66" s="99">
        <v>1994</v>
      </c>
      <c r="B66" s="26" t="s">
        <v>23</v>
      </c>
      <c r="C66" s="24" t="s">
        <v>23</v>
      </c>
      <c r="D66" s="24" t="s">
        <v>23</v>
      </c>
      <c r="E66" s="24" t="s">
        <v>23</v>
      </c>
      <c r="F66" s="24" t="s">
        <v>23</v>
      </c>
      <c r="G66" s="24" t="s">
        <v>23</v>
      </c>
      <c r="H66" s="18" t="s">
        <v>23</v>
      </c>
      <c r="I66" s="142" t="s">
        <v>23</v>
      </c>
    </row>
    <row r="67" spans="1:9">
      <c r="A67" s="99">
        <v>1995</v>
      </c>
      <c r="B67" s="26" t="s">
        <v>23</v>
      </c>
      <c r="C67" s="24" t="s">
        <v>23</v>
      </c>
      <c r="D67" s="24" t="s">
        <v>23</v>
      </c>
      <c r="E67" s="24" t="s">
        <v>23</v>
      </c>
      <c r="F67" s="24" t="s">
        <v>23</v>
      </c>
      <c r="G67" s="24" t="s">
        <v>23</v>
      </c>
      <c r="H67" s="18" t="s">
        <v>23</v>
      </c>
      <c r="I67" s="142" t="s">
        <v>23</v>
      </c>
    </row>
    <row r="68" spans="1:9">
      <c r="A68" s="99">
        <v>1996</v>
      </c>
      <c r="B68" s="26" t="s">
        <v>23</v>
      </c>
      <c r="C68" s="24" t="s">
        <v>23</v>
      </c>
      <c r="D68" s="24" t="s">
        <v>23</v>
      </c>
      <c r="E68" s="24" t="s">
        <v>23</v>
      </c>
      <c r="F68" s="24">
        <v>128</v>
      </c>
      <c r="G68" s="24">
        <v>287</v>
      </c>
      <c r="H68" s="18" t="s">
        <v>23</v>
      </c>
      <c r="I68" s="142">
        <f t="shared" ref="I68:I77" si="7">SUM(B68:H68)</f>
        <v>415</v>
      </c>
    </row>
    <row r="69" spans="1:9">
      <c r="A69" s="99">
        <v>1997</v>
      </c>
      <c r="B69" s="26" t="s">
        <v>23</v>
      </c>
      <c r="C69" s="24" t="s">
        <v>23</v>
      </c>
      <c r="D69" s="24" t="s">
        <v>23</v>
      </c>
      <c r="E69" s="24" t="s">
        <v>23</v>
      </c>
      <c r="F69" s="24" t="s">
        <v>23</v>
      </c>
      <c r="G69" s="24">
        <v>106</v>
      </c>
      <c r="H69" s="18" t="s">
        <v>23</v>
      </c>
      <c r="I69" s="142">
        <f t="shared" si="7"/>
        <v>106</v>
      </c>
    </row>
    <row r="70" spans="1:9">
      <c r="A70" s="99">
        <v>1998</v>
      </c>
      <c r="B70" s="26" t="s">
        <v>23</v>
      </c>
      <c r="C70" s="24" t="s">
        <v>23</v>
      </c>
      <c r="D70" s="24" t="s">
        <v>23</v>
      </c>
      <c r="E70" s="24" t="s">
        <v>23</v>
      </c>
      <c r="F70" s="24" t="s">
        <v>23</v>
      </c>
      <c r="G70" s="24">
        <v>164</v>
      </c>
      <c r="H70" s="18" t="s">
        <v>23</v>
      </c>
      <c r="I70" s="142">
        <f t="shared" si="7"/>
        <v>164</v>
      </c>
    </row>
    <row r="71" spans="1:9">
      <c r="A71" s="99">
        <v>1999</v>
      </c>
      <c r="B71" s="26" t="s">
        <v>23</v>
      </c>
      <c r="C71" s="24" t="s">
        <v>23</v>
      </c>
      <c r="D71" s="24" t="s">
        <v>23</v>
      </c>
      <c r="E71" s="24" t="s">
        <v>23</v>
      </c>
      <c r="F71" s="24" t="s">
        <v>23</v>
      </c>
      <c r="G71" s="24">
        <v>207</v>
      </c>
      <c r="H71" s="18" t="s">
        <v>23</v>
      </c>
      <c r="I71" s="142">
        <f t="shared" si="7"/>
        <v>207</v>
      </c>
    </row>
    <row r="72" spans="1:9">
      <c r="A72" s="99">
        <v>2000</v>
      </c>
      <c r="B72" s="26" t="s">
        <v>23</v>
      </c>
      <c r="C72" s="24" t="s">
        <v>23</v>
      </c>
      <c r="D72" s="24" t="s">
        <v>23</v>
      </c>
      <c r="E72" s="24" t="s">
        <v>23</v>
      </c>
      <c r="F72" s="24" t="s">
        <v>23</v>
      </c>
      <c r="G72" s="24">
        <v>119</v>
      </c>
      <c r="H72" s="18" t="s">
        <v>23</v>
      </c>
      <c r="I72" s="142">
        <f t="shared" si="7"/>
        <v>119</v>
      </c>
    </row>
    <row r="73" spans="1:9">
      <c r="A73" s="99">
        <v>2001</v>
      </c>
      <c r="B73" s="26" t="s">
        <v>23</v>
      </c>
      <c r="C73" s="24" t="s">
        <v>23</v>
      </c>
      <c r="D73" s="24" t="s">
        <v>23</v>
      </c>
      <c r="E73" s="24" t="s">
        <v>23</v>
      </c>
      <c r="F73" s="24" t="s">
        <v>23</v>
      </c>
      <c r="G73" s="24">
        <v>297</v>
      </c>
      <c r="H73" s="18" t="s">
        <v>23</v>
      </c>
      <c r="I73" s="142">
        <f t="shared" si="7"/>
        <v>297</v>
      </c>
    </row>
    <row r="74" spans="1:9">
      <c r="A74" s="99">
        <v>2002</v>
      </c>
      <c r="B74" s="26" t="s">
        <v>23</v>
      </c>
      <c r="C74" s="24" t="s">
        <v>23</v>
      </c>
      <c r="D74" s="24" t="s">
        <v>23</v>
      </c>
      <c r="E74" s="24" t="s">
        <v>23</v>
      </c>
      <c r="F74" s="24">
        <v>94</v>
      </c>
      <c r="G74" s="24">
        <v>332</v>
      </c>
      <c r="H74" s="18" t="s">
        <v>23</v>
      </c>
      <c r="I74" s="142">
        <f t="shared" si="7"/>
        <v>426</v>
      </c>
    </row>
    <row r="75" spans="1:9">
      <c r="A75" s="99">
        <v>2003</v>
      </c>
      <c r="B75" s="26" t="s">
        <v>23</v>
      </c>
      <c r="C75" s="24" t="s">
        <v>23</v>
      </c>
      <c r="D75" s="24" t="s">
        <v>23</v>
      </c>
      <c r="E75" s="24" t="s">
        <v>23</v>
      </c>
      <c r="F75" s="24" t="s">
        <v>23</v>
      </c>
      <c r="G75" s="24">
        <v>55</v>
      </c>
      <c r="H75" s="18" t="s">
        <v>23</v>
      </c>
      <c r="I75" s="142">
        <f t="shared" si="7"/>
        <v>55</v>
      </c>
    </row>
    <row r="76" spans="1:9">
      <c r="A76" s="99">
        <v>2004</v>
      </c>
      <c r="B76" s="26" t="s">
        <v>23</v>
      </c>
      <c r="C76" s="24" t="s">
        <v>23</v>
      </c>
      <c r="D76" s="24" t="s">
        <v>23</v>
      </c>
      <c r="E76" s="24" t="s">
        <v>23</v>
      </c>
      <c r="F76" s="24" t="s">
        <v>23</v>
      </c>
      <c r="G76" s="24">
        <v>262</v>
      </c>
      <c r="H76" s="18" t="s">
        <v>23</v>
      </c>
      <c r="I76" s="142">
        <f t="shared" si="7"/>
        <v>262</v>
      </c>
    </row>
    <row r="77" spans="1:9">
      <c r="A77" s="99">
        <v>2005</v>
      </c>
      <c r="B77" s="26" t="s">
        <v>23</v>
      </c>
      <c r="C77" s="24" t="s">
        <v>23</v>
      </c>
      <c r="D77" s="24" t="s">
        <v>23</v>
      </c>
      <c r="E77" s="24" t="s">
        <v>23</v>
      </c>
      <c r="F77" s="24" t="s">
        <v>23</v>
      </c>
      <c r="G77" s="24">
        <v>266</v>
      </c>
      <c r="H77" s="18" t="s">
        <v>23</v>
      </c>
      <c r="I77" s="142">
        <f t="shared" si="7"/>
        <v>266</v>
      </c>
    </row>
    <row r="78" spans="1:9">
      <c r="A78" s="99">
        <v>2006</v>
      </c>
      <c r="B78" s="26" t="s">
        <v>23</v>
      </c>
      <c r="C78" s="24" t="s">
        <v>23</v>
      </c>
      <c r="D78" s="24" t="s">
        <v>23</v>
      </c>
      <c r="E78" s="24" t="s">
        <v>23</v>
      </c>
      <c r="F78" s="24" t="s">
        <v>23</v>
      </c>
      <c r="G78" s="24" t="s">
        <v>23</v>
      </c>
      <c r="H78" s="18" t="s">
        <v>23</v>
      </c>
      <c r="I78" s="142" t="s">
        <v>23</v>
      </c>
    </row>
    <row r="79" spans="1:9">
      <c r="A79" s="99">
        <v>2007</v>
      </c>
      <c r="B79" s="26" t="s">
        <v>23</v>
      </c>
      <c r="C79" s="24" t="s">
        <v>23</v>
      </c>
      <c r="D79" s="24" t="s">
        <v>23</v>
      </c>
      <c r="E79" s="24" t="s">
        <v>23</v>
      </c>
      <c r="F79" s="24" t="s">
        <v>23</v>
      </c>
      <c r="G79" s="24">
        <v>270</v>
      </c>
      <c r="H79" s="18" t="s">
        <v>23</v>
      </c>
      <c r="I79" s="142">
        <f>SUM(B79:H79)</f>
        <v>270</v>
      </c>
    </row>
    <row r="80" spans="1:9">
      <c r="A80" s="99">
        <v>2008</v>
      </c>
      <c r="B80" s="79" t="s">
        <v>23</v>
      </c>
      <c r="C80" s="24" t="s">
        <v>23</v>
      </c>
      <c r="D80" s="24" t="s">
        <v>23</v>
      </c>
      <c r="E80" s="24" t="s">
        <v>23</v>
      </c>
      <c r="F80" s="24" t="s">
        <v>23</v>
      </c>
      <c r="G80" s="24" t="s">
        <v>23</v>
      </c>
      <c r="H80" s="18" t="s">
        <v>23</v>
      </c>
      <c r="I80" s="142" t="s">
        <v>23</v>
      </c>
    </row>
    <row r="81" spans="1:10">
      <c r="A81" s="99">
        <v>2009</v>
      </c>
      <c r="B81" s="79" t="s">
        <v>23</v>
      </c>
      <c r="C81" s="24" t="s">
        <v>23</v>
      </c>
      <c r="D81" s="24" t="s">
        <v>23</v>
      </c>
      <c r="E81" s="24" t="s">
        <v>23</v>
      </c>
      <c r="F81" s="24" t="s">
        <v>23</v>
      </c>
      <c r="G81" s="24" t="s">
        <v>23</v>
      </c>
      <c r="H81" s="18" t="s">
        <v>23</v>
      </c>
      <c r="I81" s="142" t="s">
        <v>23</v>
      </c>
    </row>
    <row r="82" spans="1:10">
      <c r="A82" s="99">
        <v>2010</v>
      </c>
      <c r="B82" s="79" t="s">
        <v>23</v>
      </c>
      <c r="C82" s="24" t="s">
        <v>23</v>
      </c>
      <c r="D82" s="24" t="s">
        <v>23</v>
      </c>
      <c r="E82" s="24" t="s">
        <v>23</v>
      </c>
      <c r="F82" s="24" t="s">
        <v>23</v>
      </c>
      <c r="G82" s="24" t="s">
        <v>23</v>
      </c>
      <c r="H82" s="18" t="s">
        <v>23</v>
      </c>
      <c r="I82" s="142" t="s">
        <v>23</v>
      </c>
    </row>
    <row r="83" spans="1:10">
      <c r="A83" s="99">
        <v>2011</v>
      </c>
      <c r="B83" s="79" t="s">
        <v>23</v>
      </c>
      <c r="C83" s="24" t="s">
        <v>23</v>
      </c>
      <c r="D83" s="24" t="s">
        <v>23</v>
      </c>
      <c r="E83" s="24">
        <v>148</v>
      </c>
      <c r="F83" s="24">
        <v>33</v>
      </c>
      <c r="G83" s="24" t="s">
        <v>23</v>
      </c>
      <c r="H83" s="18" t="s">
        <v>23</v>
      </c>
      <c r="I83" s="142">
        <f t="shared" ref="I83:I90" si="8">SUM(B83:H83)</f>
        <v>181</v>
      </c>
    </row>
    <row r="84" spans="1:10">
      <c r="A84" s="99">
        <v>2012</v>
      </c>
      <c r="B84" s="79" t="s">
        <v>23</v>
      </c>
      <c r="C84" s="24" t="s">
        <v>23</v>
      </c>
      <c r="D84" s="24" t="s">
        <v>23</v>
      </c>
      <c r="E84" s="24" t="s">
        <v>23</v>
      </c>
      <c r="F84" s="24" t="s">
        <v>23</v>
      </c>
      <c r="G84" s="24">
        <v>260</v>
      </c>
      <c r="H84" s="18" t="s">
        <v>23</v>
      </c>
      <c r="I84" s="142">
        <f t="shared" si="8"/>
        <v>260</v>
      </c>
    </row>
    <row r="85" spans="1:10">
      <c r="A85" s="99">
        <v>2013</v>
      </c>
      <c r="B85" s="79" t="s">
        <v>23</v>
      </c>
      <c r="C85" s="24">
        <v>174</v>
      </c>
      <c r="D85" s="24">
        <v>129</v>
      </c>
      <c r="E85" s="24">
        <v>111</v>
      </c>
      <c r="F85" s="24">
        <v>103</v>
      </c>
      <c r="G85" s="24">
        <v>46</v>
      </c>
      <c r="H85" s="18" t="s">
        <v>23</v>
      </c>
      <c r="I85" s="142">
        <f t="shared" si="8"/>
        <v>563</v>
      </c>
    </row>
    <row r="86" spans="1:10">
      <c r="A86" s="99">
        <v>2014</v>
      </c>
      <c r="B86" s="79" t="s">
        <v>23</v>
      </c>
      <c r="C86" s="24" t="s">
        <v>23</v>
      </c>
      <c r="D86" s="24" t="s">
        <v>23</v>
      </c>
      <c r="E86" s="24" t="s">
        <v>23</v>
      </c>
      <c r="F86" s="24" t="s">
        <v>23</v>
      </c>
      <c r="G86" s="24">
        <v>92</v>
      </c>
      <c r="H86" s="18" t="s">
        <v>23</v>
      </c>
      <c r="I86" s="142">
        <f t="shared" si="8"/>
        <v>92</v>
      </c>
    </row>
    <row r="87" spans="1:10">
      <c r="A87" s="99">
        <v>2015</v>
      </c>
      <c r="B87" s="79" t="s">
        <v>23</v>
      </c>
      <c r="C87" s="24" t="s">
        <v>23</v>
      </c>
      <c r="D87" s="24" t="s">
        <v>23</v>
      </c>
      <c r="E87" s="24" t="s">
        <v>23</v>
      </c>
      <c r="F87" s="24" t="s">
        <v>23</v>
      </c>
      <c r="G87" s="24">
        <v>22</v>
      </c>
      <c r="H87" s="18" t="s">
        <v>23</v>
      </c>
      <c r="I87" s="142">
        <f t="shared" si="8"/>
        <v>22</v>
      </c>
    </row>
    <row r="88" spans="1:10">
      <c r="A88" s="99">
        <v>2016</v>
      </c>
      <c r="B88" s="79" t="s">
        <v>23</v>
      </c>
      <c r="C88" s="24" t="s">
        <v>23</v>
      </c>
      <c r="D88" s="24" t="s">
        <v>23</v>
      </c>
      <c r="E88" s="24" t="s">
        <v>23</v>
      </c>
      <c r="F88" s="24" t="s">
        <v>23</v>
      </c>
      <c r="G88" s="24">
        <v>52</v>
      </c>
      <c r="H88" s="18" t="s">
        <v>23</v>
      </c>
      <c r="I88" s="142">
        <f t="shared" si="8"/>
        <v>52</v>
      </c>
    </row>
    <row r="89" spans="1:10">
      <c r="A89" s="99">
        <v>2017</v>
      </c>
      <c r="B89" s="79" t="s">
        <v>23</v>
      </c>
      <c r="C89" s="24" t="s">
        <v>23</v>
      </c>
      <c r="D89" s="24" t="s">
        <v>23</v>
      </c>
      <c r="E89" s="24" t="s">
        <v>23</v>
      </c>
      <c r="F89" s="24" t="s">
        <v>23</v>
      </c>
      <c r="G89" s="18" t="s">
        <v>23</v>
      </c>
      <c r="H89" s="18" t="s">
        <v>23</v>
      </c>
      <c r="I89" s="24" t="s">
        <v>23</v>
      </c>
      <c r="J89" s="18" t="s">
        <v>23</v>
      </c>
    </row>
    <row r="90" spans="1:10">
      <c r="A90" s="99">
        <v>2018</v>
      </c>
      <c r="B90" s="79" t="s">
        <v>23</v>
      </c>
      <c r="C90" s="24">
        <v>110</v>
      </c>
      <c r="D90" s="24">
        <v>116</v>
      </c>
      <c r="E90" s="24">
        <v>121</v>
      </c>
      <c r="F90" s="24">
        <v>114</v>
      </c>
      <c r="G90" s="18" t="s">
        <v>23</v>
      </c>
      <c r="H90" s="18" t="s">
        <v>23</v>
      </c>
      <c r="I90" s="142">
        <f t="shared" si="8"/>
        <v>461</v>
      </c>
      <c r="J90" s="18" t="s">
        <v>23</v>
      </c>
    </row>
    <row r="91" spans="1:10">
      <c r="A91" s="99">
        <v>2019</v>
      </c>
      <c r="B91" s="79" t="s">
        <v>23</v>
      </c>
      <c r="C91" s="24" t="s">
        <v>23</v>
      </c>
      <c r="D91" s="24">
        <v>74</v>
      </c>
      <c r="E91" s="24">
        <v>19</v>
      </c>
      <c r="F91" s="24">
        <v>58</v>
      </c>
      <c r="G91" s="18" t="s">
        <v>23</v>
      </c>
      <c r="H91" s="18" t="s">
        <v>23</v>
      </c>
      <c r="I91" s="142">
        <f t="shared" ref="I91" si="9">SUM(B91:H91)</f>
        <v>151</v>
      </c>
      <c r="J91" s="18" t="s">
        <v>23</v>
      </c>
    </row>
    <row r="92" spans="1:10">
      <c r="A92" s="99">
        <v>2020</v>
      </c>
      <c r="B92" s="79" t="s">
        <v>23</v>
      </c>
      <c r="C92" s="24" t="s">
        <v>23</v>
      </c>
      <c r="D92" s="24" t="s">
        <v>23</v>
      </c>
      <c r="E92" s="24" t="s">
        <v>23</v>
      </c>
      <c r="F92" s="24" t="s">
        <v>23</v>
      </c>
      <c r="G92" s="24" t="s">
        <v>23</v>
      </c>
      <c r="H92" s="24" t="s">
        <v>23</v>
      </c>
      <c r="I92" s="24" t="s">
        <v>23</v>
      </c>
      <c r="J92" s="18" t="s">
        <v>23</v>
      </c>
    </row>
    <row r="93" spans="1:10" ht="13">
      <c r="A93" s="99" t="s">
        <v>314</v>
      </c>
      <c r="B93" s="26" t="s">
        <v>23</v>
      </c>
      <c r="C93" s="24" t="s">
        <v>23</v>
      </c>
      <c r="D93" s="24" t="s">
        <v>23</v>
      </c>
      <c r="E93" s="24" t="s">
        <v>23</v>
      </c>
      <c r="F93" s="24" t="s">
        <v>23</v>
      </c>
      <c r="G93" s="24" t="s">
        <v>23</v>
      </c>
      <c r="H93" s="24" t="s">
        <v>23</v>
      </c>
      <c r="I93" s="24" t="s">
        <v>23</v>
      </c>
      <c r="J93" s="18" t="s">
        <v>23</v>
      </c>
    </row>
    <row r="94" spans="1:10">
      <c r="B94" s="81"/>
    </row>
    <row r="95" spans="1:10">
      <c r="A95" s="94" t="s">
        <v>18</v>
      </c>
      <c r="B95" s="81"/>
    </row>
    <row r="96" spans="1:10">
      <c r="A96" s="99">
        <v>1978</v>
      </c>
      <c r="B96" s="26">
        <v>52</v>
      </c>
      <c r="C96" s="24">
        <v>1941</v>
      </c>
      <c r="D96" s="24">
        <v>7196</v>
      </c>
      <c r="E96" s="24">
        <v>6904</v>
      </c>
      <c r="F96" s="24">
        <v>2728</v>
      </c>
      <c r="G96" s="24">
        <v>1073</v>
      </c>
      <c r="H96" s="18" t="s">
        <v>23</v>
      </c>
      <c r="I96" s="142">
        <f t="shared" ref="I96:I109" si="10">SUM(B96:H96)</f>
        <v>19894</v>
      </c>
    </row>
    <row r="97" spans="1:9">
      <c r="A97" s="99">
        <v>1979</v>
      </c>
      <c r="B97" s="26">
        <v>5</v>
      </c>
      <c r="C97" s="24">
        <v>2086</v>
      </c>
      <c r="D97" s="24">
        <v>2159</v>
      </c>
      <c r="E97" s="24">
        <v>11318</v>
      </c>
      <c r="F97" s="24">
        <v>6244</v>
      </c>
      <c r="G97" s="24">
        <v>3069</v>
      </c>
      <c r="H97" s="18" t="s">
        <v>23</v>
      </c>
      <c r="I97" s="142">
        <f t="shared" si="10"/>
        <v>24881</v>
      </c>
    </row>
    <row r="98" spans="1:9">
      <c r="A98" s="99">
        <v>1980</v>
      </c>
      <c r="B98" s="26" t="s">
        <v>23</v>
      </c>
      <c r="C98" s="24">
        <v>2829</v>
      </c>
      <c r="D98" s="24" t="s">
        <v>23</v>
      </c>
      <c r="E98" s="24">
        <v>11740</v>
      </c>
      <c r="F98" s="24">
        <v>4073</v>
      </c>
      <c r="G98" s="24">
        <v>2412</v>
      </c>
      <c r="H98" s="18" t="s">
        <v>23</v>
      </c>
      <c r="I98" s="142">
        <f t="shared" si="10"/>
        <v>21054</v>
      </c>
    </row>
    <row r="99" spans="1:9">
      <c r="A99" s="99">
        <v>1981</v>
      </c>
      <c r="B99" s="26" t="s">
        <v>23</v>
      </c>
      <c r="C99" s="24">
        <v>2958</v>
      </c>
      <c r="D99" s="24">
        <v>2620</v>
      </c>
      <c r="E99" s="24">
        <v>4004</v>
      </c>
      <c r="F99" s="24">
        <v>2755</v>
      </c>
      <c r="G99" s="24">
        <v>1716</v>
      </c>
      <c r="H99" s="18" t="s">
        <v>23</v>
      </c>
      <c r="I99" s="142">
        <f t="shared" si="10"/>
        <v>14053</v>
      </c>
    </row>
    <row r="100" spans="1:9">
      <c r="A100" s="99">
        <v>1982</v>
      </c>
      <c r="B100" s="26" t="s">
        <v>23</v>
      </c>
      <c r="C100" s="24">
        <v>2371</v>
      </c>
      <c r="D100" s="24">
        <v>2348</v>
      </c>
      <c r="E100" s="24">
        <v>11256</v>
      </c>
      <c r="F100" s="24">
        <v>3764</v>
      </c>
      <c r="G100" s="24">
        <v>1713</v>
      </c>
      <c r="H100" s="18" t="s">
        <v>23</v>
      </c>
      <c r="I100" s="142">
        <f t="shared" si="10"/>
        <v>21452</v>
      </c>
    </row>
    <row r="101" spans="1:9">
      <c r="A101" s="99">
        <v>1983</v>
      </c>
      <c r="B101" s="26" t="s">
        <v>23</v>
      </c>
      <c r="C101" s="24">
        <v>868</v>
      </c>
      <c r="D101" s="24">
        <v>2793</v>
      </c>
      <c r="E101" s="24">
        <v>2299</v>
      </c>
      <c r="F101" s="24">
        <v>1612</v>
      </c>
      <c r="G101" s="24">
        <v>62</v>
      </c>
      <c r="H101" s="18" t="s">
        <v>23</v>
      </c>
      <c r="I101" s="142">
        <f t="shared" si="10"/>
        <v>7634</v>
      </c>
    </row>
    <row r="102" spans="1:9">
      <c r="A102" s="99">
        <v>1984</v>
      </c>
      <c r="B102" s="26" t="s">
        <v>23</v>
      </c>
      <c r="C102" s="24">
        <v>574</v>
      </c>
      <c r="D102" s="24">
        <v>744</v>
      </c>
      <c r="E102" s="24">
        <v>3798</v>
      </c>
      <c r="F102" s="24">
        <v>666</v>
      </c>
      <c r="G102" s="24">
        <v>2098</v>
      </c>
      <c r="H102" s="18" t="s">
        <v>23</v>
      </c>
      <c r="I102" s="142">
        <f t="shared" si="10"/>
        <v>7880</v>
      </c>
    </row>
    <row r="103" spans="1:9">
      <c r="A103" s="99">
        <v>1985</v>
      </c>
      <c r="B103" s="26" t="s">
        <v>23</v>
      </c>
      <c r="C103" s="24">
        <v>3647</v>
      </c>
      <c r="D103" s="24">
        <v>2274</v>
      </c>
      <c r="E103" s="24">
        <v>6277</v>
      </c>
      <c r="F103" s="24">
        <v>3315</v>
      </c>
      <c r="G103" s="24">
        <v>2047</v>
      </c>
      <c r="H103" s="18" t="s">
        <v>23</v>
      </c>
      <c r="I103" s="142">
        <f t="shared" si="10"/>
        <v>17560</v>
      </c>
    </row>
    <row r="104" spans="1:9">
      <c r="A104" s="99">
        <v>1986</v>
      </c>
      <c r="B104" s="26" t="s">
        <v>23</v>
      </c>
      <c r="C104" s="24">
        <v>3447</v>
      </c>
      <c r="D104" s="24">
        <v>3397.103021270641</v>
      </c>
      <c r="E104" s="24">
        <v>4357.500113278792</v>
      </c>
      <c r="F104" s="24">
        <v>3084.2156513738446</v>
      </c>
      <c r="G104" s="24">
        <v>230</v>
      </c>
      <c r="H104" s="18" t="s">
        <v>23</v>
      </c>
      <c r="I104" s="142">
        <f t="shared" si="10"/>
        <v>14515.818785923278</v>
      </c>
    </row>
    <row r="105" spans="1:9">
      <c r="A105" s="99">
        <v>1987</v>
      </c>
      <c r="B105" s="26" t="s">
        <v>23</v>
      </c>
      <c r="C105" s="24">
        <v>3837</v>
      </c>
      <c r="D105" s="24">
        <v>4895.8138439309869</v>
      </c>
      <c r="E105" s="24">
        <v>6844.0786583555955</v>
      </c>
      <c r="F105" s="24">
        <v>4087</v>
      </c>
      <c r="G105" s="24">
        <v>641.37164750957857</v>
      </c>
      <c r="H105" s="18" t="s">
        <v>23</v>
      </c>
      <c r="I105" s="142">
        <f t="shared" si="10"/>
        <v>20305.264149796163</v>
      </c>
    </row>
    <row r="106" spans="1:9">
      <c r="A106" s="99">
        <v>1988</v>
      </c>
      <c r="B106" s="26" t="s">
        <v>23</v>
      </c>
      <c r="C106" s="24">
        <v>4648.2822359396432</v>
      </c>
      <c r="D106" s="24">
        <v>4870.6664108165551</v>
      </c>
      <c r="E106" s="24">
        <v>7125</v>
      </c>
      <c r="F106" s="24">
        <v>5509</v>
      </c>
      <c r="G106" s="24">
        <v>1848.7136561322122</v>
      </c>
      <c r="H106" s="18" t="s">
        <v>23</v>
      </c>
      <c r="I106" s="142">
        <f t="shared" si="10"/>
        <v>24001.66230288841</v>
      </c>
    </row>
    <row r="107" spans="1:9">
      <c r="A107" s="99">
        <v>1989</v>
      </c>
      <c r="B107" s="26" t="s">
        <v>23</v>
      </c>
      <c r="C107" s="24">
        <v>1077</v>
      </c>
      <c r="D107" s="24">
        <v>2697.0863987432908</v>
      </c>
      <c r="E107" s="24">
        <v>4396</v>
      </c>
      <c r="F107" s="24">
        <v>4867.5098201023275</v>
      </c>
      <c r="G107" s="24">
        <v>1072</v>
      </c>
      <c r="H107" s="18" t="s">
        <v>23</v>
      </c>
      <c r="I107" s="142">
        <f t="shared" si="10"/>
        <v>14109.596218845618</v>
      </c>
    </row>
    <row r="108" spans="1:9">
      <c r="A108" s="99">
        <v>1990</v>
      </c>
      <c r="B108" s="26" t="s">
        <v>23</v>
      </c>
      <c r="C108" s="24">
        <v>867</v>
      </c>
      <c r="D108" s="24">
        <v>3575</v>
      </c>
      <c r="E108" s="24">
        <v>3034</v>
      </c>
      <c r="F108" s="24">
        <v>1460</v>
      </c>
      <c r="G108" s="24">
        <v>91</v>
      </c>
      <c r="H108" s="18" t="s">
        <v>23</v>
      </c>
      <c r="I108" s="142">
        <f t="shared" si="10"/>
        <v>9027</v>
      </c>
    </row>
    <row r="109" spans="1:9">
      <c r="A109" s="99">
        <v>1991</v>
      </c>
      <c r="B109" s="26" t="s">
        <v>23</v>
      </c>
      <c r="C109" s="24" t="s">
        <v>23</v>
      </c>
      <c r="D109" s="24" t="s">
        <v>23</v>
      </c>
      <c r="E109" s="24" t="s">
        <v>23</v>
      </c>
      <c r="F109" s="24">
        <v>3500</v>
      </c>
      <c r="G109" s="24">
        <v>300</v>
      </c>
      <c r="H109" s="18" t="s">
        <v>23</v>
      </c>
      <c r="I109" s="142">
        <f t="shared" si="10"/>
        <v>3800</v>
      </c>
    </row>
    <row r="110" spans="1:9">
      <c r="A110" s="99">
        <v>1992</v>
      </c>
      <c r="B110" s="26" t="s">
        <v>23</v>
      </c>
      <c r="C110" s="24" t="s">
        <v>23</v>
      </c>
      <c r="D110" s="24" t="s">
        <v>23</v>
      </c>
      <c r="E110" s="24" t="s">
        <v>23</v>
      </c>
      <c r="F110" s="24" t="s">
        <v>23</v>
      </c>
      <c r="G110" s="24" t="s">
        <v>23</v>
      </c>
      <c r="H110" s="18" t="s">
        <v>23</v>
      </c>
      <c r="I110" s="142" t="s">
        <v>23</v>
      </c>
    </row>
    <row r="111" spans="1:9">
      <c r="A111" s="99">
        <v>1993</v>
      </c>
      <c r="B111" s="26" t="s">
        <v>23</v>
      </c>
      <c r="C111" s="24">
        <v>100</v>
      </c>
      <c r="D111" s="24" t="s">
        <v>23</v>
      </c>
      <c r="E111" s="24" t="s">
        <v>23</v>
      </c>
      <c r="F111" s="24" t="s">
        <v>23</v>
      </c>
      <c r="G111" s="24">
        <v>1500</v>
      </c>
      <c r="H111" s="18" t="s">
        <v>23</v>
      </c>
      <c r="I111" s="142">
        <f t="shared" ref="I111:I125" si="11">SUM(B111:H111)</f>
        <v>1600</v>
      </c>
    </row>
    <row r="112" spans="1:9">
      <c r="A112" s="99">
        <v>1994</v>
      </c>
      <c r="B112" s="26" t="s">
        <v>23</v>
      </c>
      <c r="C112" s="24" t="s">
        <v>23</v>
      </c>
      <c r="D112" s="24" t="s">
        <v>23</v>
      </c>
      <c r="E112" s="24" t="s">
        <v>23</v>
      </c>
      <c r="F112" s="24" t="s">
        <v>23</v>
      </c>
      <c r="G112" s="24">
        <v>800</v>
      </c>
      <c r="H112" s="18" t="s">
        <v>23</v>
      </c>
      <c r="I112" s="142">
        <f t="shared" si="11"/>
        <v>800</v>
      </c>
    </row>
    <row r="113" spans="1:9">
      <c r="A113" s="99">
        <v>1995</v>
      </c>
      <c r="B113" s="26" t="s">
        <v>23</v>
      </c>
      <c r="C113" s="24" t="s">
        <v>23</v>
      </c>
      <c r="D113" s="24" t="s">
        <v>23</v>
      </c>
      <c r="E113" s="24" t="s">
        <v>23</v>
      </c>
      <c r="F113" s="24" t="s">
        <v>23</v>
      </c>
      <c r="G113" s="24">
        <v>900</v>
      </c>
      <c r="H113" s="18" t="s">
        <v>23</v>
      </c>
      <c r="I113" s="142">
        <f t="shared" si="11"/>
        <v>900</v>
      </c>
    </row>
    <row r="114" spans="1:9">
      <c r="A114" s="99">
        <v>1996</v>
      </c>
      <c r="B114" s="26" t="s">
        <v>23</v>
      </c>
      <c r="C114" s="24" t="s">
        <v>23</v>
      </c>
      <c r="D114" s="24" t="s">
        <v>23</v>
      </c>
      <c r="E114" s="24" t="s">
        <v>23</v>
      </c>
      <c r="F114" s="24">
        <v>1300</v>
      </c>
      <c r="G114" s="24">
        <v>800</v>
      </c>
      <c r="H114" s="18" t="s">
        <v>23</v>
      </c>
      <c r="I114" s="142">
        <f t="shared" si="11"/>
        <v>2100</v>
      </c>
    </row>
    <row r="115" spans="1:9">
      <c r="A115" s="99">
        <v>1997</v>
      </c>
      <c r="B115" s="26" t="s">
        <v>23</v>
      </c>
      <c r="C115" s="24" t="s">
        <v>23</v>
      </c>
      <c r="D115" s="24" t="s">
        <v>23</v>
      </c>
      <c r="E115" s="24" t="s">
        <v>23</v>
      </c>
      <c r="F115" s="24" t="s">
        <v>23</v>
      </c>
      <c r="G115" s="24">
        <v>300</v>
      </c>
      <c r="H115" s="18" t="s">
        <v>23</v>
      </c>
      <c r="I115" s="142">
        <f t="shared" si="11"/>
        <v>300</v>
      </c>
    </row>
    <row r="116" spans="1:9">
      <c r="A116" s="99">
        <v>1998</v>
      </c>
      <c r="B116" s="26" t="s">
        <v>23</v>
      </c>
      <c r="C116" s="24" t="s">
        <v>23</v>
      </c>
      <c r="D116" s="24" t="s">
        <v>23</v>
      </c>
      <c r="E116" s="24" t="s">
        <v>23</v>
      </c>
      <c r="F116" s="24" t="s">
        <v>23</v>
      </c>
      <c r="G116" s="24">
        <v>300</v>
      </c>
      <c r="H116" s="18" t="s">
        <v>23</v>
      </c>
      <c r="I116" s="142">
        <f t="shared" si="11"/>
        <v>300</v>
      </c>
    </row>
    <row r="117" spans="1:9">
      <c r="A117" s="99">
        <v>1999</v>
      </c>
      <c r="B117" s="26" t="s">
        <v>23</v>
      </c>
      <c r="C117" s="24" t="s">
        <v>23</v>
      </c>
      <c r="D117" s="24" t="s">
        <v>23</v>
      </c>
      <c r="E117" s="24" t="s">
        <v>23</v>
      </c>
      <c r="F117" s="24" t="s">
        <v>23</v>
      </c>
      <c r="G117" s="24">
        <v>200</v>
      </c>
      <c r="H117" s="18" t="s">
        <v>23</v>
      </c>
      <c r="I117" s="142">
        <f t="shared" si="11"/>
        <v>200</v>
      </c>
    </row>
    <row r="118" spans="1:9">
      <c r="A118" s="99">
        <v>2000</v>
      </c>
      <c r="B118" s="26" t="s">
        <v>23</v>
      </c>
      <c r="C118" s="24" t="s">
        <v>23</v>
      </c>
      <c r="D118" s="24" t="s">
        <v>23</v>
      </c>
      <c r="E118" s="24" t="s">
        <v>23</v>
      </c>
      <c r="F118" s="24" t="s">
        <v>23</v>
      </c>
      <c r="G118" s="24">
        <v>1079</v>
      </c>
      <c r="H118" s="18" t="s">
        <v>23</v>
      </c>
      <c r="I118" s="142">
        <f t="shared" si="11"/>
        <v>1079</v>
      </c>
    </row>
    <row r="119" spans="1:9">
      <c r="A119" s="99">
        <v>2001</v>
      </c>
      <c r="B119" s="26" t="s">
        <v>23</v>
      </c>
      <c r="C119" s="24">
        <v>206</v>
      </c>
      <c r="D119" s="24" t="s">
        <v>23</v>
      </c>
      <c r="E119" s="24" t="s">
        <v>23</v>
      </c>
      <c r="F119" s="24" t="s">
        <v>23</v>
      </c>
      <c r="G119" s="24">
        <v>610</v>
      </c>
      <c r="H119" s="18" t="s">
        <v>23</v>
      </c>
      <c r="I119" s="142">
        <f t="shared" si="11"/>
        <v>816</v>
      </c>
    </row>
    <row r="120" spans="1:9">
      <c r="A120" s="99">
        <v>2002</v>
      </c>
      <c r="B120" s="26" t="s">
        <v>23</v>
      </c>
      <c r="C120" s="24" t="s">
        <v>23</v>
      </c>
      <c r="D120" s="24" t="s">
        <v>23</v>
      </c>
      <c r="E120" s="24">
        <v>216</v>
      </c>
      <c r="F120" s="24">
        <v>1327</v>
      </c>
      <c r="G120" s="24">
        <v>581</v>
      </c>
      <c r="H120" s="18" t="s">
        <v>23</v>
      </c>
      <c r="I120" s="142">
        <f t="shared" si="11"/>
        <v>2124</v>
      </c>
    </row>
    <row r="121" spans="1:9">
      <c r="A121" s="99">
        <v>2003</v>
      </c>
      <c r="B121" s="26" t="s">
        <v>23</v>
      </c>
      <c r="C121" s="24">
        <v>1022</v>
      </c>
      <c r="D121" s="24" t="s">
        <v>23</v>
      </c>
      <c r="E121" s="24">
        <v>1497</v>
      </c>
      <c r="F121" s="24">
        <v>2355</v>
      </c>
      <c r="G121" s="24">
        <v>1422</v>
      </c>
      <c r="H121" s="18" t="s">
        <v>23</v>
      </c>
      <c r="I121" s="142">
        <f t="shared" si="11"/>
        <v>6296</v>
      </c>
    </row>
    <row r="122" spans="1:9">
      <c r="A122" s="99">
        <v>2004</v>
      </c>
      <c r="B122" s="26" t="s">
        <v>23</v>
      </c>
      <c r="C122" s="24" t="s">
        <v>23</v>
      </c>
      <c r="D122" s="24" t="s">
        <v>23</v>
      </c>
      <c r="E122" s="24">
        <v>2426</v>
      </c>
      <c r="F122" s="24">
        <v>2095</v>
      </c>
      <c r="G122" s="24">
        <v>1063</v>
      </c>
      <c r="H122" s="18" t="s">
        <v>23</v>
      </c>
      <c r="I122" s="142">
        <f t="shared" si="11"/>
        <v>5584</v>
      </c>
    </row>
    <row r="123" spans="1:9">
      <c r="A123" s="99">
        <v>2005</v>
      </c>
      <c r="B123" s="26" t="s">
        <v>23</v>
      </c>
      <c r="C123" s="24" t="s">
        <v>23</v>
      </c>
      <c r="D123" s="24" t="s">
        <v>23</v>
      </c>
      <c r="E123" s="24" t="s">
        <v>23</v>
      </c>
      <c r="F123" s="24" t="s">
        <v>23</v>
      </c>
      <c r="G123" s="24">
        <v>1455</v>
      </c>
      <c r="H123" s="18" t="s">
        <v>23</v>
      </c>
      <c r="I123" s="142">
        <f t="shared" si="11"/>
        <v>1455</v>
      </c>
    </row>
    <row r="124" spans="1:9">
      <c r="A124" s="99">
        <v>2006</v>
      </c>
      <c r="B124" s="26" t="s">
        <v>23</v>
      </c>
      <c r="C124" s="24" t="s">
        <v>23</v>
      </c>
      <c r="D124" s="24" t="s">
        <v>23</v>
      </c>
      <c r="E124" s="24" t="s">
        <v>23</v>
      </c>
      <c r="F124" s="24" t="s">
        <v>23</v>
      </c>
      <c r="G124" s="24">
        <v>434</v>
      </c>
      <c r="H124" s="18" t="s">
        <v>23</v>
      </c>
      <c r="I124" s="142">
        <f t="shared" si="11"/>
        <v>434</v>
      </c>
    </row>
    <row r="125" spans="1:9">
      <c r="A125" s="99">
        <v>2007</v>
      </c>
      <c r="B125" s="26">
        <v>106</v>
      </c>
      <c r="C125" s="24" t="s">
        <v>23</v>
      </c>
      <c r="D125" s="24" t="s">
        <v>23</v>
      </c>
      <c r="E125" s="24" t="s">
        <v>23</v>
      </c>
      <c r="F125" s="24">
        <v>1252</v>
      </c>
      <c r="G125" s="24">
        <v>42</v>
      </c>
      <c r="H125" s="18" t="s">
        <v>23</v>
      </c>
      <c r="I125" s="142">
        <f t="shared" si="11"/>
        <v>1400</v>
      </c>
    </row>
    <row r="126" spans="1:9">
      <c r="A126" s="99">
        <v>2008</v>
      </c>
      <c r="B126" s="79" t="s">
        <v>23</v>
      </c>
      <c r="C126" s="24" t="s">
        <v>23</v>
      </c>
      <c r="D126" s="24" t="s">
        <v>23</v>
      </c>
      <c r="E126" s="24" t="s">
        <v>23</v>
      </c>
      <c r="F126" s="24" t="s">
        <v>23</v>
      </c>
      <c r="G126" s="24" t="s">
        <v>23</v>
      </c>
      <c r="H126" s="18" t="s">
        <v>23</v>
      </c>
      <c r="I126" s="142" t="s">
        <v>23</v>
      </c>
    </row>
    <row r="127" spans="1:9">
      <c r="A127" s="99">
        <v>2009</v>
      </c>
      <c r="B127" s="79" t="s">
        <v>23</v>
      </c>
      <c r="C127" s="24" t="s">
        <v>23</v>
      </c>
      <c r="D127" s="24" t="s">
        <v>23</v>
      </c>
      <c r="E127" s="24" t="s">
        <v>23</v>
      </c>
      <c r="F127" s="24" t="s">
        <v>23</v>
      </c>
      <c r="G127" s="24" t="s">
        <v>23</v>
      </c>
      <c r="H127" s="18" t="s">
        <v>23</v>
      </c>
      <c r="I127" s="142" t="s">
        <v>23</v>
      </c>
    </row>
    <row r="128" spans="1:9">
      <c r="A128" s="99">
        <v>2010</v>
      </c>
      <c r="B128" s="79" t="s">
        <v>23</v>
      </c>
      <c r="C128" s="24" t="s">
        <v>23</v>
      </c>
      <c r="D128" s="24" t="s">
        <v>23</v>
      </c>
      <c r="E128" s="24">
        <v>616</v>
      </c>
      <c r="F128" s="24">
        <v>870</v>
      </c>
      <c r="G128" s="24" t="s">
        <v>23</v>
      </c>
      <c r="H128" s="18" t="s">
        <v>23</v>
      </c>
      <c r="I128" s="142">
        <f t="shared" ref="I128:I132" si="12">SUM(B128:H128)</f>
        <v>1486</v>
      </c>
    </row>
    <row r="129" spans="1:9">
      <c r="A129" s="99">
        <v>2011</v>
      </c>
      <c r="B129" s="79" t="s">
        <v>23</v>
      </c>
      <c r="C129" s="24" t="s">
        <v>23</v>
      </c>
      <c r="D129" s="24" t="s">
        <v>23</v>
      </c>
      <c r="E129" s="24">
        <v>596</v>
      </c>
      <c r="F129" s="24">
        <v>1386</v>
      </c>
      <c r="G129" s="24">
        <v>161</v>
      </c>
      <c r="H129" s="18" t="s">
        <v>23</v>
      </c>
      <c r="I129" s="142">
        <f t="shared" si="12"/>
        <v>2143</v>
      </c>
    </row>
    <row r="130" spans="1:9">
      <c r="A130" s="99">
        <v>2012</v>
      </c>
      <c r="B130" s="79" t="s">
        <v>23</v>
      </c>
      <c r="C130" s="24" t="s">
        <v>23</v>
      </c>
      <c r="D130" s="24" t="s">
        <v>23</v>
      </c>
      <c r="E130" s="24">
        <v>960</v>
      </c>
      <c r="F130" s="24">
        <v>973</v>
      </c>
      <c r="G130" s="24">
        <v>288</v>
      </c>
      <c r="H130" s="18" t="s">
        <v>23</v>
      </c>
      <c r="I130" s="142">
        <f t="shared" si="12"/>
        <v>2221</v>
      </c>
    </row>
    <row r="131" spans="1:9">
      <c r="A131" s="99">
        <v>2013</v>
      </c>
      <c r="B131" s="79" t="s">
        <v>23</v>
      </c>
      <c r="C131" s="24">
        <v>277</v>
      </c>
      <c r="D131" s="24">
        <v>1032</v>
      </c>
      <c r="E131" s="24">
        <v>2221</v>
      </c>
      <c r="F131" s="24">
        <v>1251</v>
      </c>
      <c r="G131" s="24">
        <v>560</v>
      </c>
      <c r="H131" s="18" t="s">
        <v>23</v>
      </c>
      <c r="I131" s="142">
        <f t="shared" si="12"/>
        <v>5341</v>
      </c>
    </row>
    <row r="132" spans="1:9">
      <c r="A132" s="99">
        <v>2014</v>
      </c>
      <c r="B132" s="79" t="s">
        <v>23</v>
      </c>
      <c r="C132" s="24" t="s">
        <v>23</v>
      </c>
      <c r="D132" s="24">
        <v>1129</v>
      </c>
      <c r="E132" s="24">
        <v>2208</v>
      </c>
      <c r="F132" s="24">
        <v>825</v>
      </c>
      <c r="G132" s="24">
        <v>99</v>
      </c>
      <c r="H132" s="18" t="s">
        <v>23</v>
      </c>
      <c r="I132" s="142">
        <f t="shared" si="12"/>
        <v>4261</v>
      </c>
    </row>
    <row r="133" spans="1:9">
      <c r="A133" s="99">
        <v>2015</v>
      </c>
      <c r="B133" s="79" t="s">
        <v>23</v>
      </c>
      <c r="C133" s="24">
        <v>2376</v>
      </c>
      <c r="D133" s="24">
        <v>987</v>
      </c>
      <c r="E133" s="24">
        <v>768</v>
      </c>
      <c r="F133" s="24">
        <v>623</v>
      </c>
      <c r="G133" s="24">
        <v>217</v>
      </c>
      <c r="H133" s="18" t="s">
        <v>23</v>
      </c>
      <c r="I133" s="142">
        <f>SUM(B133:H133)</f>
        <v>4971</v>
      </c>
    </row>
    <row r="134" spans="1:9">
      <c r="A134" s="99">
        <v>2016</v>
      </c>
      <c r="B134" s="79" t="s">
        <v>23</v>
      </c>
      <c r="C134" s="24" t="s">
        <v>23</v>
      </c>
      <c r="D134" s="24">
        <v>663</v>
      </c>
      <c r="E134" s="24" t="s">
        <v>23</v>
      </c>
      <c r="F134" s="24">
        <v>618</v>
      </c>
      <c r="G134" s="24">
        <v>205</v>
      </c>
      <c r="H134" s="18" t="s">
        <v>23</v>
      </c>
      <c r="I134" s="142">
        <f>SUM(B134:H134)</f>
        <v>1486</v>
      </c>
    </row>
    <row r="135" spans="1:9">
      <c r="A135" s="99">
        <v>2017</v>
      </c>
      <c r="B135" s="79" t="s">
        <v>23</v>
      </c>
      <c r="C135" s="24" t="s">
        <v>23</v>
      </c>
      <c r="D135" s="24" t="s">
        <v>23</v>
      </c>
      <c r="E135" s="24" t="s">
        <v>23</v>
      </c>
      <c r="F135" s="24" t="s">
        <v>23</v>
      </c>
      <c r="G135" s="24">
        <v>267</v>
      </c>
      <c r="H135" s="18" t="s">
        <v>23</v>
      </c>
      <c r="I135" s="142">
        <f>SUM(B135:H135)</f>
        <v>267</v>
      </c>
    </row>
    <row r="136" spans="1:9">
      <c r="A136" s="99">
        <v>2018</v>
      </c>
      <c r="B136" s="79" t="s">
        <v>23</v>
      </c>
      <c r="C136" s="24" t="s">
        <v>23</v>
      </c>
      <c r="D136" s="24" t="s">
        <v>23</v>
      </c>
      <c r="E136" s="24">
        <v>304</v>
      </c>
      <c r="F136" s="24">
        <v>453</v>
      </c>
      <c r="G136" s="24">
        <v>62</v>
      </c>
      <c r="H136" s="18" t="s">
        <v>23</v>
      </c>
      <c r="I136" s="142">
        <f>SUM(B136:H136)</f>
        <v>819</v>
      </c>
    </row>
    <row r="137" spans="1:9">
      <c r="A137" s="99">
        <v>2019</v>
      </c>
      <c r="B137" s="79" t="s">
        <v>23</v>
      </c>
      <c r="C137" s="24" t="s">
        <v>23</v>
      </c>
      <c r="D137" s="24">
        <v>306</v>
      </c>
      <c r="E137" s="24">
        <v>319</v>
      </c>
      <c r="F137" s="24">
        <v>415</v>
      </c>
      <c r="G137" s="24" t="s">
        <v>23</v>
      </c>
      <c r="H137" s="18" t="s">
        <v>23</v>
      </c>
      <c r="I137" s="142">
        <f t="shared" ref="I137:I139" si="13">SUM(B137:H137)</f>
        <v>1040</v>
      </c>
    </row>
    <row r="138" spans="1:9">
      <c r="A138" s="99">
        <v>2020</v>
      </c>
      <c r="B138" s="79" t="s">
        <v>23</v>
      </c>
      <c r="C138" s="24" t="s">
        <v>23</v>
      </c>
      <c r="D138" s="24" t="s">
        <v>23</v>
      </c>
      <c r="E138" s="24" t="s">
        <v>23</v>
      </c>
      <c r="F138" s="24">
        <v>126</v>
      </c>
      <c r="G138" s="24">
        <v>93</v>
      </c>
      <c r="H138" s="24" t="s">
        <v>23</v>
      </c>
      <c r="I138" s="142">
        <f t="shared" ref="I138" si="14">SUM(B138:H138)</f>
        <v>219</v>
      </c>
    </row>
    <row r="139" spans="1:9" ht="13">
      <c r="A139" s="99" t="s">
        <v>314</v>
      </c>
      <c r="B139" s="26" t="s">
        <v>23</v>
      </c>
      <c r="C139" s="24" t="s">
        <v>23</v>
      </c>
      <c r="D139" s="24" t="s">
        <v>23</v>
      </c>
      <c r="E139" s="24" t="s">
        <v>23</v>
      </c>
      <c r="F139" s="24">
        <v>1338</v>
      </c>
      <c r="G139" s="24">
        <v>238</v>
      </c>
      <c r="H139" s="24" t="s">
        <v>23</v>
      </c>
      <c r="I139" s="142">
        <f t="shared" si="13"/>
        <v>1576</v>
      </c>
    </row>
    <row r="140" spans="1:9">
      <c r="B140" s="81"/>
    </row>
    <row r="141" spans="1:9">
      <c r="A141" s="94" t="s">
        <v>19</v>
      </c>
      <c r="B141" s="81"/>
    </row>
    <row r="142" spans="1:9">
      <c r="A142" s="99">
        <v>1978</v>
      </c>
      <c r="B142" s="26">
        <v>686</v>
      </c>
      <c r="C142" s="24">
        <v>4332</v>
      </c>
      <c r="D142" s="24">
        <v>6325</v>
      </c>
      <c r="E142" s="24">
        <v>5722</v>
      </c>
      <c r="F142" s="24">
        <v>1949</v>
      </c>
      <c r="G142" s="24">
        <v>1045</v>
      </c>
      <c r="H142" s="18" t="s">
        <v>23</v>
      </c>
      <c r="I142" s="142">
        <f t="shared" ref="I142:I171" si="15">SUM(B142:H142)</f>
        <v>20059</v>
      </c>
    </row>
    <row r="143" spans="1:9">
      <c r="A143" s="99">
        <v>1979</v>
      </c>
      <c r="B143" s="26">
        <v>7</v>
      </c>
      <c r="C143" s="24">
        <v>5198</v>
      </c>
      <c r="D143" s="24">
        <v>4158</v>
      </c>
      <c r="E143" s="24">
        <v>5742</v>
      </c>
      <c r="F143" s="24">
        <v>2695</v>
      </c>
      <c r="G143" s="24">
        <v>2385</v>
      </c>
      <c r="H143" s="18" t="s">
        <v>23</v>
      </c>
      <c r="I143" s="142">
        <f t="shared" si="15"/>
        <v>20185</v>
      </c>
    </row>
    <row r="144" spans="1:9">
      <c r="A144" s="99">
        <v>1980</v>
      </c>
      <c r="B144" s="26" t="s">
        <v>23</v>
      </c>
      <c r="C144" s="24">
        <v>7811</v>
      </c>
      <c r="D144" s="24" t="s">
        <v>23</v>
      </c>
      <c r="E144" s="24">
        <v>9952</v>
      </c>
      <c r="F144" s="24">
        <v>2608</v>
      </c>
      <c r="G144" s="24">
        <v>2702</v>
      </c>
      <c r="H144" s="18" t="s">
        <v>23</v>
      </c>
      <c r="I144" s="142">
        <f t="shared" si="15"/>
        <v>23073</v>
      </c>
    </row>
    <row r="145" spans="1:9">
      <c r="A145" s="99">
        <v>1981</v>
      </c>
      <c r="B145" s="26" t="s">
        <v>23</v>
      </c>
      <c r="C145" s="24">
        <v>4160</v>
      </c>
      <c r="D145" s="24">
        <v>1510</v>
      </c>
      <c r="E145" s="24">
        <v>9405</v>
      </c>
      <c r="F145" s="24">
        <v>4226</v>
      </c>
      <c r="G145" s="24">
        <v>2554</v>
      </c>
      <c r="H145" s="18" t="s">
        <v>23</v>
      </c>
      <c r="I145" s="142">
        <f t="shared" si="15"/>
        <v>21855</v>
      </c>
    </row>
    <row r="146" spans="1:9">
      <c r="A146" s="99">
        <v>1982</v>
      </c>
      <c r="B146" s="26">
        <f>873+515</f>
        <v>1388</v>
      </c>
      <c r="C146" s="24">
        <v>6869</v>
      </c>
      <c r="D146" s="24">
        <v>3563</v>
      </c>
      <c r="E146" s="24">
        <v>8487</v>
      </c>
      <c r="F146" s="24">
        <v>8093</v>
      </c>
      <c r="G146" s="24">
        <v>3764</v>
      </c>
      <c r="H146" s="18" t="s">
        <v>23</v>
      </c>
      <c r="I146" s="142">
        <f t="shared" si="15"/>
        <v>32164</v>
      </c>
    </row>
    <row r="147" spans="1:9">
      <c r="A147" s="99">
        <v>1983</v>
      </c>
      <c r="B147" s="26">
        <v>65</v>
      </c>
      <c r="C147" s="24">
        <v>2744</v>
      </c>
      <c r="D147" s="24">
        <v>860</v>
      </c>
      <c r="E147" s="24">
        <v>3758</v>
      </c>
      <c r="F147" s="24">
        <v>1981</v>
      </c>
      <c r="G147" s="24">
        <v>1158</v>
      </c>
      <c r="H147" s="18" t="s">
        <v>23</v>
      </c>
      <c r="I147" s="142">
        <f t="shared" si="15"/>
        <v>10566</v>
      </c>
    </row>
    <row r="148" spans="1:9">
      <c r="A148" s="99">
        <v>1984</v>
      </c>
      <c r="B148" s="26" t="s">
        <v>23</v>
      </c>
      <c r="C148" s="24">
        <v>478</v>
      </c>
      <c r="D148" s="24">
        <v>2494</v>
      </c>
      <c r="E148" s="24">
        <v>6190</v>
      </c>
      <c r="F148" s="24">
        <v>6700</v>
      </c>
      <c r="G148" s="24">
        <v>3310</v>
      </c>
      <c r="H148" s="18" t="s">
        <v>23</v>
      </c>
      <c r="I148" s="142">
        <f t="shared" si="15"/>
        <v>19172</v>
      </c>
    </row>
    <row r="149" spans="1:9">
      <c r="A149" s="99">
        <v>1985</v>
      </c>
      <c r="B149" s="26" t="s">
        <v>23</v>
      </c>
      <c r="C149" s="24">
        <v>5233</v>
      </c>
      <c r="D149" s="24">
        <v>6362</v>
      </c>
      <c r="E149" s="24">
        <v>6257</v>
      </c>
      <c r="F149" s="24">
        <v>5072</v>
      </c>
      <c r="G149" s="24">
        <v>4230</v>
      </c>
      <c r="H149" s="18" t="s">
        <v>23</v>
      </c>
      <c r="I149" s="142">
        <f t="shared" si="15"/>
        <v>27154</v>
      </c>
    </row>
    <row r="150" spans="1:9">
      <c r="A150" s="99">
        <v>1986</v>
      </c>
      <c r="B150" s="26" t="s">
        <v>23</v>
      </c>
      <c r="C150" s="24">
        <v>3515</v>
      </c>
      <c r="D150" s="24">
        <v>4371</v>
      </c>
      <c r="E150" s="24">
        <v>5933</v>
      </c>
      <c r="F150" s="24">
        <v>4012</v>
      </c>
      <c r="G150" s="24">
        <v>1292</v>
      </c>
      <c r="H150" s="18" t="s">
        <v>23</v>
      </c>
      <c r="I150" s="142">
        <f t="shared" si="15"/>
        <v>19123</v>
      </c>
    </row>
    <row r="151" spans="1:9">
      <c r="A151" s="99">
        <v>1987</v>
      </c>
      <c r="B151" s="26" t="s">
        <v>23</v>
      </c>
      <c r="C151" s="24">
        <v>6671</v>
      </c>
      <c r="D151" s="24">
        <v>6424</v>
      </c>
      <c r="E151" s="24">
        <v>5055</v>
      </c>
      <c r="F151" s="24">
        <v>4071</v>
      </c>
      <c r="G151" s="24">
        <v>2285</v>
      </c>
      <c r="H151" s="18" t="s">
        <v>23</v>
      </c>
      <c r="I151" s="142">
        <f t="shared" si="15"/>
        <v>24506</v>
      </c>
    </row>
    <row r="152" spans="1:9">
      <c r="A152" s="99">
        <v>1988</v>
      </c>
      <c r="B152" s="26" t="s">
        <v>23</v>
      </c>
      <c r="C152" s="24">
        <v>8091</v>
      </c>
      <c r="D152" s="24">
        <v>9746</v>
      </c>
      <c r="E152" s="24">
        <v>9131</v>
      </c>
      <c r="F152" s="24">
        <v>5465</v>
      </c>
      <c r="G152" s="24">
        <v>3271</v>
      </c>
      <c r="H152" s="18" t="s">
        <v>23</v>
      </c>
      <c r="I152" s="142">
        <f t="shared" si="15"/>
        <v>35704</v>
      </c>
    </row>
    <row r="153" spans="1:9">
      <c r="A153" s="99">
        <v>1989</v>
      </c>
      <c r="B153" s="26" t="s">
        <v>23</v>
      </c>
      <c r="C153" s="24">
        <v>7947</v>
      </c>
      <c r="D153" s="24">
        <v>7904</v>
      </c>
      <c r="E153" s="24">
        <v>3968</v>
      </c>
      <c r="F153" s="24">
        <v>4352</v>
      </c>
      <c r="G153" s="24">
        <v>2004</v>
      </c>
      <c r="H153" s="18" t="s">
        <v>23</v>
      </c>
      <c r="I153" s="142">
        <f t="shared" si="15"/>
        <v>26175</v>
      </c>
    </row>
    <row r="154" spans="1:9">
      <c r="A154" s="99">
        <v>1990</v>
      </c>
      <c r="B154" s="26" t="s">
        <v>23</v>
      </c>
      <c r="C154" s="24">
        <v>6308</v>
      </c>
      <c r="D154" s="24">
        <v>7108</v>
      </c>
      <c r="E154" s="24">
        <v>5652</v>
      </c>
      <c r="F154" s="24">
        <v>2727</v>
      </c>
      <c r="G154" s="24">
        <v>470</v>
      </c>
      <c r="H154" s="18" t="s">
        <v>23</v>
      </c>
      <c r="I154" s="142">
        <f t="shared" si="15"/>
        <v>22265</v>
      </c>
    </row>
    <row r="155" spans="1:9">
      <c r="A155" s="99">
        <v>1991</v>
      </c>
      <c r="B155" s="26" t="s">
        <v>23</v>
      </c>
      <c r="C155" s="24">
        <v>5200</v>
      </c>
      <c r="D155" s="24">
        <v>5400</v>
      </c>
      <c r="E155" s="24">
        <v>3300</v>
      </c>
      <c r="F155" s="24">
        <v>3200</v>
      </c>
      <c r="G155" s="24">
        <v>1400</v>
      </c>
      <c r="H155" s="18" t="s">
        <v>23</v>
      </c>
      <c r="I155" s="142">
        <f t="shared" si="15"/>
        <v>18500</v>
      </c>
    </row>
    <row r="156" spans="1:9">
      <c r="A156" s="99">
        <v>1992</v>
      </c>
      <c r="B156" s="26" t="s">
        <v>23</v>
      </c>
      <c r="C156" s="24">
        <v>1700</v>
      </c>
      <c r="D156" s="24">
        <v>600</v>
      </c>
      <c r="E156" s="24">
        <v>1200</v>
      </c>
      <c r="F156" s="24">
        <v>3700</v>
      </c>
      <c r="G156" s="24">
        <v>3000</v>
      </c>
      <c r="H156" s="18" t="s">
        <v>23</v>
      </c>
      <c r="I156" s="142">
        <f t="shared" si="15"/>
        <v>10200</v>
      </c>
    </row>
    <row r="157" spans="1:9">
      <c r="A157" s="99">
        <v>1993</v>
      </c>
      <c r="B157" s="26" t="s">
        <v>23</v>
      </c>
      <c r="C157" s="24">
        <v>4000</v>
      </c>
      <c r="D157" s="24">
        <v>1100</v>
      </c>
      <c r="E157" s="24">
        <v>3100</v>
      </c>
      <c r="F157" s="24">
        <v>3500</v>
      </c>
      <c r="G157" s="24">
        <v>900</v>
      </c>
      <c r="H157" s="18" t="s">
        <v>23</v>
      </c>
      <c r="I157" s="142">
        <f t="shared" si="15"/>
        <v>12600</v>
      </c>
    </row>
    <row r="158" spans="1:9">
      <c r="A158" s="99">
        <v>1994</v>
      </c>
      <c r="B158" s="26" t="s">
        <v>23</v>
      </c>
      <c r="C158" s="24">
        <v>3100</v>
      </c>
      <c r="D158" s="24">
        <v>3200</v>
      </c>
      <c r="E158" s="24">
        <v>2800</v>
      </c>
      <c r="F158" s="24">
        <v>2000</v>
      </c>
      <c r="G158" s="24">
        <v>1400</v>
      </c>
      <c r="H158" s="18" t="s">
        <v>23</v>
      </c>
      <c r="I158" s="142">
        <f t="shared" si="15"/>
        <v>12500</v>
      </c>
    </row>
    <row r="159" spans="1:9">
      <c r="A159" s="99">
        <v>1995</v>
      </c>
      <c r="B159" s="26" t="s">
        <v>23</v>
      </c>
      <c r="C159" s="24">
        <v>3400</v>
      </c>
      <c r="D159" s="24">
        <v>2400</v>
      </c>
      <c r="E159" s="24">
        <v>3100</v>
      </c>
      <c r="F159" s="24">
        <v>1800</v>
      </c>
      <c r="G159" s="24">
        <v>2200</v>
      </c>
      <c r="H159" s="18" t="s">
        <v>23</v>
      </c>
      <c r="I159" s="142">
        <f t="shared" si="15"/>
        <v>12900</v>
      </c>
    </row>
    <row r="160" spans="1:9">
      <c r="A160" s="99">
        <v>1996</v>
      </c>
      <c r="B160" s="26" t="s">
        <v>23</v>
      </c>
      <c r="C160" s="24">
        <v>1000</v>
      </c>
      <c r="D160" s="24">
        <v>2500</v>
      </c>
      <c r="E160" s="24">
        <v>2200</v>
      </c>
      <c r="F160" s="24">
        <v>1300</v>
      </c>
      <c r="G160" s="24">
        <v>1100</v>
      </c>
      <c r="H160" s="18" t="s">
        <v>23</v>
      </c>
      <c r="I160" s="142">
        <f t="shared" si="15"/>
        <v>8100</v>
      </c>
    </row>
    <row r="161" spans="1:9">
      <c r="A161" s="99">
        <v>1997</v>
      </c>
      <c r="B161" s="26" t="s">
        <v>23</v>
      </c>
      <c r="C161" s="24">
        <v>2700</v>
      </c>
      <c r="D161" s="24">
        <v>300</v>
      </c>
      <c r="E161" s="24">
        <v>2800</v>
      </c>
      <c r="F161" s="24">
        <v>2300</v>
      </c>
      <c r="G161" s="24">
        <v>1400</v>
      </c>
      <c r="H161" s="18" t="s">
        <v>23</v>
      </c>
      <c r="I161" s="142">
        <f t="shared" si="15"/>
        <v>9500</v>
      </c>
    </row>
    <row r="162" spans="1:9">
      <c r="A162" s="99">
        <v>1998</v>
      </c>
      <c r="B162" s="26" t="s">
        <v>23</v>
      </c>
      <c r="C162" s="24">
        <v>900</v>
      </c>
      <c r="D162" s="24">
        <v>800</v>
      </c>
      <c r="E162" s="24">
        <v>3000</v>
      </c>
      <c r="F162" s="24">
        <v>1700</v>
      </c>
      <c r="G162" s="24">
        <v>1900</v>
      </c>
      <c r="H162" s="18" t="s">
        <v>23</v>
      </c>
      <c r="I162" s="142">
        <f t="shared" si="15"/>
        <v>8300</v>
      </c>
    </row>
    <row r="163" spans="1:9">
      <c r="A163" s="99">
        <v>1999</v>
      </c>
      <c r="B163" s="26">
        <v>100</v>
      </c>
      <c r="C163" s="24">
        <v>1200</v>
      </c>
      <c r="D163" s="24">
        <v>2500</v>
      </c>
      <c r="E163" s="24">
        <v>3600</v>
      </c>
      <c r="F163" s="24">
        <v>2100</v>
      </c>
      <c r="G163" s="24">
        <v>1200</v>
      </c>
      <c r="H163" s="18" t="s">
        <v>23</v>
      </c>
      <c r="I163" s="142">
        <f t="shared" si="15"/>
        <v>10700</v>
      </c>
    </row>
    <row r="164" spans="1:9">
      <c r="A164" s="99">
        <v>2000</v>
      </c>
      <c r="B164" s="26" t="s">
        <v>23</v>
      </c>
      <c r="C164" s="24">
        <v>1823</v>
      </c>
      <c r="D164" s="24">
        <v>2559</v>
      </c>
      <c r="E164" s="24">
        <v>2049</v>
      </c>
      <c r="F164" s="24">
        <v>2179</v>
      </c>
      <c r="G164" s="24">
        <v>2521</v>
      </c>
      <c r="H164" s="18" t="s">
        <v>23</v>
      </c>
      <c r="I164" s="142">
        <f t="shared" si="15"/>
        <v>11131</v>
      </c>
    </row>
    <row r="165" spans="1:9">
      <c r="A165" s="99">
        <v>2001</v>
      </c>
      <c r="B165" s="26" t="s">
        <v>23</v>
      </c>
      <c r="C165" s="24">
        <v>2000</v>
      </c>
      <c r="D165" s="24">
        <v>774</v>
      </c>
      <c r="E165" s="24">
        <v>2694</v>
      </c>
      <c r="F165" s="24">
        <v>1392</v>
      </c>
      <c r="G165" s="24">
        <v>1590</v>
      </c>
      <c r="H165" s="18">
        <v>501</v>
      </c>
      <c r="I165" s="142">
        <f t="shared" si="15"/>
        <v>8951</v>
      </c>
    </row>
    <row r="166" spans="1:9">
      <c r="A166" s="99">
        <v>2002</v>
      </c>
      <c r="B166" s="26" t="s">
        <v>23</v>
      </c>
      <c r="C166" s="24">
        <v>2258</v>
      </c>
      <c r="D166" s="24">
        <v>1630</v>
      </c>
      <c r="E166" s="24">
        <v>2856</v>
      </c>
      <c r="F166" s="24">
        <v>1198</v>
      </c>
      <c r="G166" s="24">
        <v>1064</v>
      </c>
      <c r="H166" s="18">
        <v>139</v>
      </c>
      <c r="I166" s="142">
        <f t="shared" si="15"/>
        <v>9145</v>
      </c>
    </row>
    <row r="167" spans="1:9">
      <c r="A167" s="99">
        <v>2003</v>
      </c>
      <c r="B167" s="26" t="s">
        <v>23</v>
      </c>
      <c r="C167" s="24">
        <v>1046</v>
      </c>
      <c r="D167" s="24">
        <v>2228</v>
      </c>
      <c r="E167" s="24">
        <v>1409</v>
      </c>
      <c r="F167" s="24">
        <v>1212</v>
      </c>
      <c r="G167" s="24">
        <v>739</v>
      </c>
      <c r="H167" s="18">
        <v>136</v>
      </c>
      <c r="I167" s="142">
        <f t="shared" si="15"/>
        <v>6770</v>
      </c>
    </row>
    <row r="168" spans="1:9">
      <c r="A168" s="99">
        <v>2004</v>
      </c>
      <c r="B168" s="26" t="s">
        <v>23</v>
      </c>
      <c r="C168" s="24">
        <v>3120</v>
      </c>
      <c r="D168" s="24">
        <v>2942</v>
      </c>
      <c r="E168" s="24">
        <v>2724</v>
      </c>
      <c r="F168" s="24">
        <v>1076</v>
      </c>
      <c r="G168" s="24">
        <v>704</v>
      </c>
      <c r="H168" s="18">
        <v>290</v>
      </c>
      <c r="I168" s="142">
        <f t="shared" si="15"/>
        <v>10856</v>
      </c>
    </row>
    <row r="169" spans="1:9">
      <c r="A169" s="99">
        <v>2005</v>
      </c>
      <c r="B169" s="26" t="s">
        <v>23</v>
      </c>
      <c r="C169" s="24" t="s">
        <v>23</v>
      </c>
      <c r="D169" s="24" t="s">
        <v>23</v>
      </c>
      <c r="E169" s="24">
        <v>3533</v>
      </c>
      <c r="F169" s="24">
        <v>2586</v>
      </c>
      <c r="G169" s="24">
        <v>2150</v>
      </c>
      <c r="H169" s="18">
        <v>401</v>
      </c>
      <c r="I169" s="142">
        <f t="shared" si="15"/>
        <v>8670</v>
      </c>
    </row>
    <row r="170" spans="1:9">
      <c r="A170" s="99">
        <v>2006</v>
      </c>
      <c r="B170" s="26" t="s">
        <v>23</v>
      </c>
      <c r="C170" s="24" t="s">
        <v>23</v>
      </c>
      <c r="D170" s="24" t="s">
        <v>23</v>
      </c>
      <c r="E170" s="24">
        <v>616</v>
      </c>
      <c r="F170" s="24">
        <v>2549</v>
      </c>
      <c r="G170" s="24">
        <v>1949</v>
      </c>
      <c r="H170" s="18">
        <v>374</v>
      </c>
      <c r="I170" s="142">
        <f t="shared" si="15"/>
        <v>5488</v>
      </c>
    </row>
    <row r="171" spans="1:9">
      <c r="A171" s="99">
        <v>2007</v>
      </c>
      <c r="B171" s="26" t="s">
        <v>23</v>
      </c>
      <c r="C171" s="24">
        <v>1656</v>
      </c>
      <c r="D171" s="24" t="s">
        <v>23</v>
      </c>
      <c r="E171" s="24">
        <v>2954</v>
      </c>
      <c r="F171" s="24">
        <v>1152</v>
      </c>
      <c r="G171" s="24">
        <v>806</v>
      </c>
      <c r="H171" s="18">
        <v>168</v>
      </c>
      <c r="I171" s="142">
        <f t="shared" si="15"/>
        <v>6736</v>
      </c>
    </row>
    <row r="172" spans="1:9">
      <c r="A172" s="99">
        <v>2008</v>
      </c>
      <c r="B172" s="79" t="s">
        <v>23</v>
      </c>
      <c r="C172" s="24" t="s">
        <v>23</v>
      </c>
      <c r="D172" s="24" t="s">
        <v>23</v>
      </c>
      <c r="E172" s="24" t="s">
        <v>23</v>
      </c>
      <c r="F172" s="24" t="s">
        <v>23</v>
      </c>
      <c r="G172" s="24" t="s">
        <v>23</v>
      </c>
      <c r="H172" s="18" t="s">
        <v>23</v>
      </c>
      <c r="I172" s="142" t="s">
        <v>23</v>
      </c>
    </row>
    <row r="173" spans="1:9">
      <c r="A173" s="99">
        <v>2009</v>
      </c>
      <c r="B173" s="79" t="s">
        <v>23</v>
      </c>
      <c r="C173" s="24" t="s">
        <v>23</v>
      </c>
      <c r="D173" s="24" t="s">
        <v>23</v>
      </c>
      <c r="E173" s="24" t="s">
        <v>23</v>
      </c>
      <c r="F173" s="24" t="s">
        <v>23</v>
      </c>
      <c r="G173" s="24" t="s">
        <v>23</v>
      </c>
      <c r="H173" s="18" t="s">
        <v>23</v>
      </c>
      <c r="I173" s="142" t="s">
        <v>23</v>
      </c>
    </row>
    <row r="174" spans="1:9">
      <c r="A174" s="99">
        <v>2010</v>
      </c>
      <c r="B174" s="79" t="s">
        <v>23</v>
      </c>
      <c r="C174" s="24" t="s">
        <v>23</v>
      </c>
      <c r="D174" s="24" t="s">
        <v>23</v>
      </c>
      <c r="E174" s="24">
        <v>244</v>
      </c>
      <c r="F174" s="24" t="s">
        <v>23</v>
      </c>
      <c r="G174" s="24" t="s">
        <v>23</v>
      </c>
      <c r="H174" s="18" t="s">
        <v>23</v>
      </c>
      <c r="I174" s="142">
        <f t="shared" ref="I174:I185" si="16">SUM(B174:H174)</f>
        <v>244</v>
      </c>
    </row>
    <row r="175" spans="1:9">
      <c r="A175" s="99">
        <v>2011</v>
      </c>
      <c r="B175" s="79" t="s">
        <v>23</v>
      </c>
      <c r="C175" s="24">
        <v>900</v>
      </c>
      <c r="D175" s="24">
        <v>164</v>
      </c>
      <c r="E175" s="24">
        <v>873</v>
      </c>
      <c r="F175" s="24">
        <v>394</v>
      </c>
      <c r="G175" s="24">
        <v>459</v>
      </c>
      <c r="H175" s="18">
        <v>117</v>
      </c>
      <c r="I175" s="142">
        <f t="shared" si="16"/>
        <v>2907</v>
      </c>
    </row>
    <row r="176" spans="1:9">
      <c r="A176" s="99">
        <v>2012</v>
      </c>
      <c r="B176" s="79" t="s">
        <v>23</v>
      </c>
      <c r="C176" s="24">
        <v>1723</v>
      </c>
      <c r="D176" s="24">
        <v>686</v>
      </c>
      <c r="E176" s="24">
        <v>2199</v>
      </c>
      <c r="F176" s="24">
        <v>1422</v>
      </c>
      <c r="G176" s="24">
        <v>1006</v>
      </c>
      <c r="H176" s="18">
        <v>469</v>
      </c>
      <c r="I176" s="142">
        <f t="shared" si="16"/>
        <v>7505</v>
      </c>
    </row>
    <row r="177" spans="1:9">
      <c r="A177" s="99">
        <v>2013</v>
      </c>
      <c r="B177" s="79" t="s">
        <v>23</v>
      </c>
      <c r="C177" s="24">
        <v>2401</v>
      </c>
      <c r="D177" s="24">
        <v>2062</v>
      </c>
      <c r="E177" s="24">
        <v>1358</v>
      </c>
      <c r="F177" s="24">
        <v>1269</v>
      </c>
      <c r="G177" s="24">
        <v>1014</v>
      </c>
      <c r="H177" s="18">
        <v>223</v>
      </c>
      <c r="I177" s="142">
        <f t="shared" si="16"/>
        <v>8327</v>
      </c>
    </row>
    <row r="178" spans="1:9">
      <c r="A178" s="99">
        <v>2014</v>
      </c>
      <c r="B178" s="79" t="s">
        <v>23</v>
      </c>
      <c r="C178" s="24">
        <v>2187</v>
      </c>
      <c r="D178" s="24">
        <v>1200</v>
      </c>
      <c r="E178" s="24">
        <v>761</v>
      </c>
      <c r="F178" s="24">
        <v>2058</v>
      </c>
      <c r="G178" s="24">
        <v>1660</v>
      </c>
      <c r="H178" s="18">
        <v>575</v>
      </c>
      <c r="I178" s="142">
        <f t="shared" si="16"/>
        <v>8441</v>
      </c>
    </row>
    <row r="179" spans="1:9">
      <c r="A179" s="99">
        <v>2015</v>
      </c>
      <c r="B179" s="79" t="s">
        <v>23</v>
      </c>
      <c r="C179" s="24">
        <v>839</v>
      </c>
      <c r="D179" s="24">
        <v>745</v>
      </c>
      <c r="E179" s="24">
        <v>639</v>
      </c>
      <c r="F179" s="24">
        <v>1250</v>
      </c>
      <c r="G179" s="24">
        <v>1478</v>
      </c>
      <c r="H179" s="18">
        <v>515</v>
      </c>
      <c r="I179" s="142">
        <f>SUM(B179:H179)</f>
        <v>5466</v>
      </c>
    </row>
    <row r="180" spans="1:9">
      <c r="A180" s="99">
        <v>2016</v>
      </c>
      <c r="B180" s="79" t="s">
        <v>23</v>
      </c>
      <c r="C180" s="24">
        <v>581</v>
      </c>
      <c r="D180" s="24">
        <v>148</v>
      </c>
      <c r="E180" s="24" t="s">
        <v>23</v>
      </c>
      <c r="F180" s="24">
        <v>1832</v>
      </c>
      <c r="G180" s="24">
        <v>1358</v>
      </c>
      <c r="H180" s="18">
        <v>174</v>
      </c>
      <c r="I180" s="142">
        <f>SUM(B180:H180)</f>
        <v>4093</v>
      </c>
    </row>
    <row r="181" spans="1:9">
      <c r="A181" s="99">
        <v>2017</v>
      </c>
      <c r="B181" s="79" t="s">
        <v>23</v>
      </c>
      <c r="C181" s="24" t="s">
        <v>23</v>
      </c>
      <c r="D181" s="24" t="s">
        <v>23</v>
      </c>
      <c r="E181" s="24" t="s">
        <v>23</v>
      </c>
      <c r="F181" s="24">
        <v>2610</v>
      </c>
      <c r="G181" s="24">
        <v>1544</v>
      </c>
      <c r="H181" s="18">
        <v>220</v>
      </c>
      <c r="I181" s="142">
        <f>SUM(B181:H181)</f>
        <v>4374</v>
      </c>
    </row>
    <row r="182" spans="1:9">
      <c r="A182" s="99">
        <v>2018</v>
      </c>
      <c r="B182" s="79" t="s">
        <v>23</v>
      </c>
      <c r="C182" s="24" t="s">
        <v>23</v>
      </c>
      <c r="D182" s="24" t="s">
        <v>23</v>
      </c>
      <c r="E182" s="24">
        <v>519</v>
      </c>
      <c r="F182" s="24">
        <v>2298</v>
      </c>
      <c r="G182" s="24">
        <v>1489</v>
      </c>
      <c r="H182" s="18">
        <v>441</v>
      </c>
      <c r="I182" s="142">
        <f>SUM(B182:H182)</f>
        <v>4747</v>
      </c>
    </row>
    <row r="183" spans="1:9">
      <c r="A183" s="99">
        <v>2019</v>
      </c>
      <c r="B183" s="79" t="s">
        <v>23</v>
      </c>
      <c r="C183" s="24">
        <v>683</v>
      </c>
      <c r="D183" s="24">
        <v>2014</v>
      </c>
      <c r="E183" s="24">
        <v>1801</v>
      </c>
      <c r="F183" s="24">
        <v>2379</v>
      </c>
      <c r="G183" s="24">
        <v>1108</v>
      </c>
      <c r="H183" s="18">
        <v>251</v>
      </c>
      <c r="I183" s="142">
        <f t="shared" ref="I183:I184" si="17">SUM(B183:H183)</f>
        <v>8236</v>
      </c>
    </row>
    <row r="184" spans="1:9">
      <c r="A184" s="99">
        <v>2020</v>
      </c>
      <c r="B184" s="79" t="s">
        <v>23</v>
      </c>
      <c r="C184" s="24">
        <v>1363</v>
      </c>
      <c r="D184" s="24">
        <v>2515</v>
      </c>
      <c r="E184" s="24">
        <v>2521</v>
      </c>
      <c r="F184" s="24">
        <v>1491</v>
      </c>
      <c r="G184" s="24">
        <v>993</v>
      </c>
      <c r="H184" s="18">
        <v>568</v>
      </c>
      <c r="I184" s="142">
        <f t="shared" si="17"/>
        <v>9451</v>
      </c>
    </row>
    <row r="185" spans="1:9" ht="13">
      <c r="A185" s="99" t="s">
        <v>314</v>
      </c>
      <c r="B185" s="26" t="s">
        <v>23</v>
      </c>
      <c r="C185" s="26" t="s">
        <v>23</v>
      </c>
      <c r="D185" s="24">
        <v>2109</v>
      </c>
      <c r="E185" s="24">
        <v>570</v>
      </c>
      <c r="F185" s="24">
        <v>998</v>
      </c>
      <c r="G185" s="24">
        <v>1086</v>
      </c>
      <c r="H185" s="18">
        <v>317</v>
      </c>
      <c r="I185" s="142">
        <f t="shared" si="16"/>
        <v>5080</v>
      </c>
    </row>
    <row r="186" spans="1:9">
      <c r="B186" s="81"/>
    </row>
    <row r="187" spans="1:9">
      <c r="A187" s="94" t="s">
        <v>20</v>
      </c>
      <c r="B187" s="81"/>
    </row>
    <row r="188" spans="1:9">
      <c r="A188" s="99">
        <v>1978</v>
      </c>
      <c r="B188" s="26">
        <v>2047</v>
      </c>
      <c r="C188" s="24">
        <v>6056</v>
      </c>
      <c r="D188" s="24">
        <v>7244</v>
      </c>
      <c r="E188" s="24">
        <v>5471</v>
      </c>
      <c r="F188" s="24">
        <v>2060</v>
      </c>
      <c r="G188" s="24">
        <v>867</v>
      </c>
      <c r="H188" s="18" t="s">
        <v>23</v>
      </c>
      <c r="I188" s="142">
        <f t="shared" ref="I188:I217" si="18">SUM(B188:H188)</f>
        <v>23745</v>
      </c>
    </row>
    <row r="189" spans="1:9">
      <c r="A189" s="99">
        <v>1979</v>
      </c>
      <c r="B189" s="26">
        <v>0</v>
      </c>
      <c r="C189" s="24">
        <v>3875</v>
      </c>
      <c r="D189" s="24">
        <v>1375</v>
      </c>
      <c r="E189" s="24">
        <v>2805</v>
      </c>
      <c r="F189" s="24">
        <v>1443</v>
      </c>
      <c r="G189" s="24">
        <v>419</v>
      </c>
      <c r="H189" s="18" t="s">
        <v>23</v>
      </c>
      <c r="I189" s="142">
        <f t="shared" si="18"/>
        <v>9917</v>
      </c>
    </row>
    <row r="190" spans="1:9">
      <c r="A190" s="99">
        <v>1980</v>
      </c>
      <c r="B190" s="26" t="s">
        <v>23</v>
      </c>
      <c r="C190" s="24">
        <v>5949</v>
      </c>
      <c r="D190" s="24" t="s">
        <v>23</v>
      </c>
      <c r="E190" s="24">
        <v>5468</v>
      </c>
      <c r="F190" s="24">
        <v>3156</v>
      </c>
      <c r="G190" s="24">
        <v>1333</v>
      </c>
      <c r="H190" s="18" t="s">
        <v>23</v>
      </c>
      <c r="I190" s="142">
        <f t="shared" si="18"/>
        <v>15906</v>
      </c>
    </row>
    <row r="191" spans="1:9">
      <c r="A191" s="99">
        <v>1981</v>
      </c>
      <c r="B191" s="26" t="s">
        <v>23</v>
      </c>
      <c r="C191" s="24">
        <v>5139</v>
      </c>
      <c r="D191" s="24">
        <v>752</v>
      </c>
      <c r="E191" s="24">
        <v>3294</v>
      </c>
      <c r="F191" s="24">
        <v>1586</v>
      </c>
      <c r="G191" s="24">
        <v>366</v>
      </c>
      <c r="H191" s="18" t="s">
        <v>23</v>
      </c>
      <c r="I191" s="142">
        <f t="shared" si="18"/>
        <v>11137</v>
      </c>
    </row>
    <row r="192" spans="1:9">
      <c r="A192" s="99">
        <v>1982</v>
      </c>
      <c r="B192" s="26">
        <v>2367</v>
      </c>
      <c r="C192" s="24">
        <v>4403</v>
      </c>
      <c r="D192" s="24">
        <v>1940</v>
      </c>
      <c r="E192" s="24">
        <v>4179</v>
      </c>
      <c r="F192" s="24">
        <v>2254</v>
      </c>
      <c r="G192" s="24">
        <v>686</v>
      </c>
      <c r="H192" s="18" t="s">
        <v>23</v>
      </c>
      <c r="I192" s="142">
        <f t="shared" si="18"/>
        <v>15829</v>
      </c>
    </row>
    <row r="193" spans="1:9">
      <c r="A193" s="99">
        <v>1983</v>
      </c>
      <c r="B193" s="26">
        <v>254</v>
      </c>
      <c r="C193" s="24">
        <v>5227</v>
      </c>
      <c r="D193" s="24">
        <v>3242</v>
      </c>
      <c r="E193" s="24">
        <v>4204</v>
      </c>
      <c r="F193" s="24">
        <v>454</v>
      </c>
      <c r="G193" s="24">
        <v>50</v>
      </c>
      <c r="H193" s="18" t="s">
        <v>23</v>
      </c>
      <c r="I193" s="142">
        <f t="shared" si="18"/>
        <v>13431</v>
      </c>
    </row>
    <row r="194" spans="1:9">
      <c r="A194" s="99">
        <v>1984</v>
      </c>
      <c r="B194" s="26" t="s">
        <v>23</v>
      </c>
      <c r="C194" s="24">
        <v>3238</v>
      </c>
      <c r="D194" s="24">
        <v>5115</v>
      </c>
      <c r="E194" s="24">
        <v>1365</v>
      </c>
      <c r="F194" s="24">
        <v>406</v>
      </c>
      <c r="G194" s="24">
        <v>27</v>
      </c>
      <c r="H194" s="18" t="s">
        <v>23</v>
      </c>
      <c r="I194" s="142">
        <f t="shared" si="18"/>
        <v>10151</v>
      </c>
    </row>
    <row r="195" spans="1:9">
      <c r="A195" s="99">
        <v>1985</v>
      </c>
      <c r="B195" s="26" t="s">
        <v>23</v>
      </c>
      <c r="C195" s="24">
        <v>3218</v>
      </c>
      <c r="D195" s="24">
        <v>2786</v>
      </c>
      <c r="E195" s="24">
        <v>689</v>
      </c>
      <c r="F195" s="24">
        <v>121</v>
      </c>
      <c r="G195" s="24">
        <v>50</v>
      </c>
      <c r="H195" s="18" t="s">
        <v>23</v>
      </c>
      <c r="I195" s="142">
        <f t="shared" si="18"/>
        <v>6864</v>
      </c>
    </row>
    <row r="196" spans="1:9">
      <c r="A196" s="99">
        <v>1986</v>
      </c>
      <c r="B196" s="26" t="s">
        <v>23</v>
      </c>
      <c r="C196" s="24">
        <v>7055</v>
      </c>
      <c r="D196" s="24">
        <v>5386</v>
      </c>
      <c r="E196" s="24">
        <v>3574</v>
      </c>
      <c r="F196" s="24">
        <v>1060</v>
      </c>
      <c r="G196" s="24">
        <v>286</v>
      </c>
      <c r="H196" s="18" t="s">
        <v>23</v>
      </c>
      <c r="I196" s="142">
        <f t="shared" si="18"/>
        <v>17361</v>
      </c>
    </row>
    <row r="197" spans="1:9">
      <c r="A197" s="99">
        <v>1987</v>
      </c>
      <c r="B197" s="26" t="s">
        <v>23</v>
      </c>
      <c r="C197" s="24">
        <v>4352</v>
      </c>
      <c r="D197" s="24">
        <v>2461</v>
      </c>
      <c r="E197" s="24">
        <v>2955</v>
      </c>
      <c r="F197" s="24">
        <v>1122</v>
      </c>
      <c r="G197" s="24">
        <v>155</v>
      </c>
      <c r="H197" s="18" t="s">
        <v>23</v>
      </c>
      <c r="I197" s="142">
        <f t="shared" si="18"/>
        <v>11045</v>
      </c>
    </row>
    <row r="198" spans="1:9">
      <c r="A198" s="99">
        <v>1988</v>
      </c>
      <c r="B198" s="26" t="s">
        <v>23</v>
      </c>
      <c r="C198" s="24">
        <v>4247</v>
      </c>
      <c r="D198" s="24">
        <v>4574</v>
      </c>
      <c r="E198" s="24">
        <v>3704</v>
      </c>
      <c r="F198" s="24">
        <v>1562</v>
      </c>
      <c r="G198" s="24">
        <v>110</v>
      </c>
      <c r="H198" s="18" t="s">
        <v>23</v>
      </c>
      <c r="I198" s="142">
        <f t="shared" si="18"/>
        <v>14197</v>
      </c>
    </row>
    <row r="199" spans="1:9">
      <c r="A199" s="99">
        <v>1989</v>
      </c>
      <c r="B199" s="26" t="s">
        <v>23</v>
      </c>
      <c r="C199" s="24">
        <v>5029</v>
      </c>
      <c r="D199" s="24">
        <v>4318</v>
      </c>
      <c r="E199" s="24">
        <v>3410</v>
      </c>
      <c r="F199" s="24">
        <v>2355</v>
      </c>
      <c r="G199" s="24">
        <v>346</v>
      </c>
      <c r="H199" s="18" t="s">
        <v>23</v>
      </c>
      <c r="I199" s="142">
        <f t="shared" si="18"/>
        <v>15458</v>
      </c>
    </row>
    <row r="200" spans="1:9">
      <c r="A200" s="99">
        <v>1990</v>
      </c>
      <c r="B200" s="26" t="s">
        <v>23</v>
      </c>
      <c r="C200" s="24">
        <v>5494</v>
      </c>
      <c r="D200" s="24">
        <v>4536</v>
      </c>
      <c r="E200" s="24">
        <v>3194</v>
      </c>
      <c r="F200" s="24">
        <v>574</v>
      </c>
      <c r="G200" s="24">
        <v>95</v>
      </c>
      <c r="H200" s="18" t="s">
        <v>23</v>
      </c>
      <c r="I200" s="142">
        <f t="shared" si="18"/>
        <v>13893</v>
      </c>
    </row>
    <row r="201" spans="1:9">
      <c r="A201" s="99">
        <v>1991</v>
      </c>
      <c r="B201" s="26" t="s">
        <v>23</v>
      </c>
      <c r="C201" s="24">
        <v>3200</v>
      </c>
      <c r="D201" s="24">
        <v>5500</v>
      </c>
      <c r="E201" s="24">
        <v>3100</v>
      </c>
      <c r="F201" s="24">
        <v>400</v>
      </c>
      <c r="G201" s="24">
        <v>200</v>
      </c>
      <c r="H201" s="18" t="s">
        <v>23</v>
      </c>
      <c r="I201" s="142">
        <f t="shared" si="18"/>
        <v>12400</v>
      </c>
    </row>
    <row r="202" spans="1:9">
      <c r="A202" s="99">
        <v>1992</v>
      </c>
      <c r="B202" s="26" t="s">
        <v>23</v>
      </c>
      <c r="C202" s="24">
        <v>4900</v>
      </c>
      <c r="D202" s="24">
        <v>2800</v>
      </c>
      <c r="E202" s="24">
        <v>1500</v>
      </c>
      <c r="F202" s="24">
        <v>800</v>
      </c>
      <c r="G202" s="24">
        <v>100</v>
      </c>
      <c r="H202" s="18" t="s">
        <v>23</v>
      </c>
      <c r="I202" s="142">
        <f t="shared" si="18"/>
        <v>10100</v>
      </c>
    </row>
    <row r="203" spans="1:9">
      <c r="A203" s="99">
        <v>1993</v>
      </c>
      <c r="B203" s="26" t="s">
        <v>23</v>
      </c>
      <c r="C203" s="24">
        <v>5200</v>
      </c>
      <c r="D203" s="24">
        <v>2900</v>
      </c>
      <c r="E203" s="24">
        <v>2600</v>
      </c>
      <c r="F203" s="24">
        <v>900</v>
      </c>
      <c r="G203" s="24">
        <v>100</v>
      </c>
      <c r="H203" s="18" t="s">
        <v>23</v>
      </c>
      <c r="I203" s="142">
        <f t="shared" si="18"/>
        <v>11700</v>
      </c>
    </row>
    <row r="204" spans="1:9">
      <c r="A204" s="99">
        <v>1994</v>
      </c>
      <c r="B204" s="26" t="s">
        <v>23</v>
      </c>
      <c r="C204" s="24">
        <v>3400</v>
      </c>
      <c r="D204" s="24">
        <v>1400</v>
      </c>
      <c r="E204" s="24">
        <v>2600</v>
      </c>
      <c r="F204" s="24">
        <v>400</v>
      </c>
      <c r="G204" s="24">
        <v>100</v>
      </c>
      <c r="H204" s="18" t="s">
        <v>23</v>
      </c>
      <c r="I204" s="142">
        <f t="shared" si="18"/>
        <v>7900</v>
      </c>
    </row>
    <row r="205" spans="1:9">
      <c r="A205" s="99">
        <v>1995</v>
      </c>
      <c r="B205" s="26" t="s">
        <v>23</v>
      </c>
      <c r="C205" s="24">
        <v>5100</v>
      </c>
      <c r="D205" s="24">
        <v>2800</v>
      </c>
      <c r="E205" s="24">
        <v>2500</v>
      </c>
      <c r="F205" s="24">
        <v>1400</v>
      </c>
      <c r="G205" s="24">
        <v>200</v>
      </c>
      <c r="H205" s="18" t="s">
        <v>23</v>
      </c>
      <c r="I205" s="142">
        <f t="shared" si="18"/>
        <v>12000</v>
      </c>
    </row>
    <row r="206" spans="1:9">
      <c r="A206" s="99">
        <v>1996</v>
      </c>
      <c r="B206" s="26" t="s">
        <v>23</v>
      </c>
      <c r="C206" s="24">
        <v>3700</v>
      </c>
      <c r="D206" s="24">
        <v>3400</v>
      </c>
      <c r="E206" s="24">
        <v>3100</v>
      </c>
      <c r="F206" s="24">
        <v>300</v>
      </c>
      <c r="G206" s="24">
        <v>25</v>
      </c>
      <c r="H206" s="18" t="s">
        <v>23</v>
      </c>
      <c r="I206" s="142">
        <f t="shared" si="18"/>
        <v>10525</v>
      </c>
    </row>
    <row r="207" spans="1:9">
      <c r="A207" s="99">
        <v>1997</v>
      </c>
      <c r="B207" s="26">
        <v>600</v>
      </c>
      <c r="C207" s="24">
        <v>3800</v>
      </c>
      <c r="D207" s="24">
        <v>1700</v>
      </c>
      <c r="E207" s="24">
        <v>2900</v>
      </c>
      <c r="F207" s="24" t="s">
        <v>23</v>
      </c>
      <c r="G207" s="24">
        <v>50</v>
      </c>
      <c r="H207" s="18" t="s">
        <v>23</v>
      </c>
      <c r="I207" s="142">
        <f t="shared" si="18"/>
        <v>9050</v>
      </c>
    </row>
    <row r="208" spans="1:9">
      <c r="A208" s="99">
        <v>1998</v>
      </c>
      <c r="B208" s="26" t="s">
        <v>23</v>
      </c>
      <c r="C208" s="24">
        <v>3400</v>
      </c>
      <c r="D208" s="24">
        <v>1300</v>
      </c>
      <c r="E208" s="24">
        <v>900</v>
      </c>
      <c r="F208" s="24">
        <v>100</v>
      </c>
      <c r="G208" s="24">
        <v>100</v>
      </c>
      <c r="H208" s="18" t="s">
        <v>23</v>
      </c>
      <c r="I208" s="142">
        <f t="shared" si="18"/>
        <v>5800</v>
      </c>
    </row>
    <row r="209" spans="1:9">
      <c r="A209" s="99">
        <v>1999</v>
      </c>
      <c r="B209" s="26">
        <v>25</v>
      </c>
      <c r="C209" s="24">
        <v>1300</v>
      </c>
      <c r="D209" s="24">
        <v>2500</v>
      </c>
      <c r="E209" s="24">
        <v>1100</v>
      </c>
      <c r="F209" s="24">
        <v>100</v>
      </c>
      <c r="G209" s="24">
        <v>200</v>
      </c>
      <c r="H209" s="18" t="s">
        <v>23</v>
      </c>
      <c r="I209" s="142">
        <f t="shared" si="18"/>
        <v>5225</v>
      </c>
    </row>
    <row r="210" spans="1:9">
      <c r="A210" s="99">
        <v>2000</v>
      </c>
      <c r="B210" s="26" t="s">
        <v>23</v>
      </c>
      <c r="C210" s="24">
        <v>3387</v>
      </c>
      <c r="D210" s="24">
        <v>3304</v>
      </c>
      <c r="E210" s="24">
        <v>1199</v>
      </c>
      <c r="F210" s="24">
        <v>211</v>
      </c>
      <c r="G210" s="24" t="s">
        <v>23</v>
      </c>
      <c r="H210" s="18" t="s">
        <v>23</v>
      </c>
      <c r="I210" s="142">
        <f t="shared" si="18"/>
        <v>8101</v>
      </c>
    </row>
    <row r="211" spans="1:9">
      <c r="A211" s="99">
        <v>2001</v>
      </c>
      <c r="B211" s="26" t="s">
        <v>23</v>
      </c>
      <c r="C211" s="24">
        <v>2688</v>
      </c>
      <c r="D211" s="24">
        <v>674</v>
      </c>
      <c r="E211" s="24">
        <v>348</v>
      </c>
      <c r="F211" s="24">
        <v>27</v>
      </c>
      <c r="G211" s="24">
        <v>22</v>
      </c>
      <c r="H211" s="18" t="s">
        <v>23</v>
      </c>
      <c r="I211" s="142">
        <f t="shared" si="18"/>
        <v>3759</v>
      </c>
    </row>
    <row r="212" spans="1:9">
      <c r="A212" s="99">
        <v>2002</v>
      </c>
      <c r="B212" s="26" t="s">
        <v>23</v>
      </c>
      <c r="C212" s="24">
        <v>1988</v>
      </c>
      <c r="D212" s="24">
        <v>1617</v>
      </c>
      <c r="E212" s="24">
        <v>1592</v>
      </c>
      <c r="F212" s="24">
        <v>291</v>
      </c>
      <c r="G212" s="24">
        <v>41</v>
      </c>
      <c r="H212" s="18" t="s">
        <v>23</v>
      </c>
      <c r="I212" s="142">
        <f t="shared" si="18"/>
        <v>5529</v>
      </c>
    </row>
    <row r="213" spans="1:9">
      <c r="A213" s="99">
        <v>2003</v>
      </c>
      <c r="B213" s="26" t="s">
        <v>23</v>
      </c>
      <c r="C213" s="24">
        <v>1006</v>
      </c>
      <c r="D213" s="24">
        <v>499</v>
      </c>
      <c r="E213" s="24">
        <v>791</v>
      </c>
      <c r="F213" s="24">
        <v>178</v>
      </c>
      <c r="G213" s="24">
        <v>270</v>
      </c>
      <c r="H213" s="18" t="s">
        <v>23</v>
      </c>
      <c r="I213" s="142">
        <f t="shared" si="18"/>
        <v>2744</v>
      </c>
    </row>
    <row r="214" spans="1:9">
      <c r="A214" s="99">
        <v>2004</v>
      </c>
      <c r="B214" s="26" t="s">
        <v>23</v>
      </c>
      <c r="C214" s="24">
        <v>2026</v>
      </c>
      <c r="D214" s="24">
        <v>1092</v>
      </c>
      <c r="E214" s="24">
        <v>1147</v>
      </c>
      <c r="F214" s="24">
        <v>299</v>
      </c>
      <c r="G214" s="24">
        <v>205</v>
      </c>
      <c r="H214" s="18" t="s">
        <v>23</v>
      </c>
      <c r="I214" s="142">
        <f t="shared" si="18"/>
        <v>4769</v>
      </c>
    </row>
    <row r="215" spans="1:9">
      <c r="A215" s="99">
        <v>2005</v>
      </c>
      <c r="B215" s="26" t="s">
        <v>23</v>
      </c>
      <c r="C215" s="24">
        <v>3881</v>
      </c>
      <c r="D215" s="24">
        <v>377</v>
      </c>
      <c r="E215" s="24">
        <v>1468</v>
      </c>
      <c r="F215" s="24">
        <v>779</v>
      </c>
      <c r="G215" s="24">
        <v>64</v>
      </c>
      <c r="H215" s="18" t="s">
        <v>23</v>
      </c>
      <c r="I215" s="142">
        <f t="shared" si="18"/>
        <v>6569</v>
      </c>
    </row>
    <row r="216" spans="1:9">
      <c r="A216" s="99">
        <v>2006</v>
      </c>
      <c r="B216" s="26" t="s">
        <v>23</v>
      </c>
      <c r="C216" s="24">
        <v>2062</v>
      </c>
      <c r="D216" s="24">
        <v>103</v>
      </c>
      <c r="E216" s="24">
        <v>34</v>
      </c>
      <c r="F216" s="24">
        <v>44</v>
      </c>
      <c r="G216" s="24">
        <v>94</v>
      </c>
      <c r="H216" s="18" t="s">
        <v>23</v>
      </c>
      <c r="I216" s="142">
        <f t="shared" si="18"/>
        <v>2337</v>
      </c>
    </row>
    <row r="217" spans="1:9">
      <c r="A217" s="99">
        <v>2007</v>
      </c>
      <c r="B217" s="26" t="s">
        <v>23</v>
      </c>
      <c r="C217" s="24">
        <v>1476</v>
      </c>
      <c r="D217" s="24">
        <v>29</v>
      </c>
      <c r="E217" s="24">
        <v>334</v>
      </c>
      <c r="F217" s="24">
        <v>255</v>
      </c>
      <c r="G217" s="24">
        <v>84</v>
      </c>
      <c r="H217" s="18" t="s">
        <v>23</v>
      </c>
      <c r="I217" s="142">
        <f t="shared" si="18"/>
        <v>2178</v>
      </c>
    </row>
    <row r="218" spans="1:9">
      <c r="A218" s="99">
        <v>2008</v>
      </c>
      <c r="B218" s="79" t="s">
        <v>23</v>
      </c>
      <c r="C218" s="24" t="s">
        <v>23</v>
      </c>
      <c r="D218" s="24" t="s">
        <v>23</v>
      </c>
      <c r="E218" s="24" t="s">
        <v>23</v>
      </c>
      <c r="F218" s="24" t="s">
        <v>23</v>
      </c>
      <c r="G218" s="24" t="s">
        <v>23</v>
      </c>
      <c r="H218" s="18" t="s">
        <v>23</v>
      </c>
      <c r="I218" s="142" t="s">
        <v>23</v>
      </c>
    </row>
    <row r="219" spans="1:9">
      <c r="A219" s="99">
        <v>2009</v>
      </c>
      <c r="B219" s="79" t="s">
        <v>23</v>
      </c>
      <c r="C219" s="24" t="s">
        <v>23</v>
      </c>
      <c r="D219" s="24" t="s">
        <v>23</v>
      </c>
      <c r="E219" s="24" t="s">
        <v>23</v>
      </c>
      <c r="F219" s="24" t="s">
        <v>23</v>
      </c>
      <c r="G219" s="24" t="s">
        <v>23</v>
      </c>
      <c r="H219" s="18" t="s">
        <v>23</v>
      </c>
      <c r="I219" s="142" t="s">
        <v>23</v>
      </c>
    </row>
    <row r="220" spans="1:9">
      <c r="A220" s="99">
        <v>2010</v>
      </c>
      <c r="B220" s="79" t="s">
        <v>23</v>
      </c>
      <c r="C220" s="24" t="s">
        <v>23</v>
      </c>
      <c r="D220" s="24" t="s">
        <v>23</v>
      </c>
      <c r="E220" s="24">
        <v>245</v>
      </c>
      <c r="F220" s="24" t="s">
        <v>23</v>
      </c>
      <c r="G220" s="24" t="s">
        <v>23</v>
      </c>
      <c r="H220" s="18" t="s">
        <v>23</v>
      </c>
      <c r="I220" s="142">
        <f t="shared" ref="I220:I231" si="19">SUM(B220:H220)</f>
        <v>245</v>
      </c>
    </row>
    <row r="221" spans="1:9">
      <c r="A221" s="99">
        <v>2011</v>
      </c>
      <c r="B221" s="79" t="s">
        <v>23</v>
      </c>
      <c r="C221" s="24">
        <v>979</v>
      </c>
      <c r="D221" s="24">
        <v>340</v>
      </c>
      <c r="E221" s="24">
        <v>268</v>
      </c>
      <c r="F221" s="24">
        <v>117</v>
      </c>
      <c r="G221" s="24">
        <v>18</v>
      </c>
      <c r="H221" s="18" t="s">
        <v>23</v>
      </c>
      <c r="I221" s="142">
        <f t="shared" si="19"/>
        <v>1722</v>
      </c>
    </row>
    <row r="222" spans="1:9">
      <c r="A222" s="99">
        <v>2012</v>
      </c>
      <c r="B222" s="79" t="s">
        <v>23</v>
      </c>
      <c r="C222" s="24">
        <v>2015</v>
      </c>
      <c r="D222" s="24">
        <v>907</v>
      </c>
      <c r="E222" s="24">
        <v>1247</v>
      </c>
      <c r="F222" s="24">
        <v>255</v>
      </c>
      <c r="G222" s="24">
        <v>67</v>
      </c>
      <c r="H222" s="18" t="s">
        <v>23</v>
      </c>
      <c r="I222" s="142">
        <f t="shared" si="19"/>
        <v>4491</v>
      </c>
    </row>
    <row r="223" spans="1:9">
      <c r="A223" s="99">
        <v>2013</v>
      </c>
      <c r="B223" s="79" t="s">
        <v>23</v>
      </c>
      <c r="C223" s="24">
        <v>1590</v>
      </c>
      <c r="D223" s="24">
        <v>810</v>
      </c>
      <c r="E223" s="24">
        <v>400</v>
      </c>
      <c r="F223" s="24">
        <v>118</v>
      </c>
      <c r="G223" s="24">
        <v>46</v>
      </c>
      <c r="H223" s="18" t="s">
        <v>23</v>
      </c>
      <c r="I223" s="142">
        <f t="shared" si="19"/>
        <v>2964</v>
      </c>
    </row>
    <row r="224" spans="1:9">
      <c r="A224" s="99">
        <v>2014</v>
      </c>
      <c r="B224" s="79" t="s">
        <v>23</v>
      </c>
      <c r="C224" s="24">
        <v>824</v>
      </c>
      <c r="D224" s="24">
        <v>353</v>
      </c>
      <c r="E224" s="24">
        <v>312</v>
      </c>
      <c r="F224" s="24">
        <v>104</v>
      </c>
      <c r="G224" s="24" t="s">
        <v>23</v>
      </c>
      <c r="H224" s="18" t="s">
        <v>23</v>
      </c>
      <c r="I224" s="142">
        <f t="shared" si="19"/>
        <v>1593</v>
      </c>
    </row>
    <row r="225" spans="1:9">
      <c r="A225" s="99">
        <v>2015</v>
      </c>
      <c r="B225" s="79" t="s">
        <v>23</v>
      </c>
      <c r="C225" s="24">
        <v>1219</v>
      </c>
      <c r="D225" s="24">
        <v>660</v>
      </c>
      <c r="E225" s="24">
        <v>536</v>
      </c>
      <c r="F225" s="24">
        <v>127</v>
      </c>
      <c r="G225" s="24" t="s">
        <v>23</v>
      </c>
      <c r="H225" s="18" t="s">
        <v>23</v>
      </c>
      <c r="I225" s="142">
        <f>SUM(B225:H225)</f>
        <v>2542</v>
      </c>
    </row>
    <row r="226" spans="1:9">
      <c r="A226" s="99">
        <v>2016</v>
      </c>
      <c r="B226" s="79" t="s">
        <v>23</v>
      </c>
      <c r="C226" s="24">
        <v>1081</v>
      </c>
      <c r="D226" s="24">
        <v>479</v>
      </c>
      <c r="E226" s="24" t="s">
        <v>23</v>
      </c>
      <c r="F226" s="24" t="s">
        <v>23</v>
      </c>
      <c r="G226" s="24" t="s">
        <v>23</v>
      </c>
      <c r="H226" s="18" t="s">
        <v>23</v>
      </c>
      <c r="I226" s="142">
        <f>SUM(B226:H226)</f>
        <v>1560</v>
      </c>
    </row>
    <row r="227" spans="1:9">
      <c r="A227" s="99">
        <v>2017</v>
      </c>
      <c r="B227" s="79" t="s">
        <v>23</v>
      </c>
      <c r="C227" s="24">
        <v>874</v>
      </c>
      <c r="D227" s="24">
        <v>1210</v>
      </c>
      <c r="E227" s="24" t="s">
        <v>23</v>
      </c>
      <c r="F227" s="24" t="s">
        <v>23</v>
      </c>
      <c r="G227" s="24" t="s">
        <v>23</v>
      </c>
      <c r="H227" s="18" t="s">
        <v>23</v>
      </c>
      <c r="I227" s="142">
        <f>SUM(B227:H227)</f>
        <v>2084</v>
      </c>
    </row>
    <row r="228" spans="1:9">
      <c r="A228" s="99">
        <v>2018</v>
      </c>
      <c r="B228" s="79" t="s">
        <v>23</v>
      </c>
      <c r="C228" s="24">
        <v>473</v>
      </c>
      <c r="D228" s="24">
        <v>839</v>
      </c>
      <c r="E228" s="24" t="s">
        <v>23</v>
      </c>
      <c r="F228" s="24" t="s">
        <v>23</v>
      </c>
      <c r="G228" s="24" t="s">
        <v>23</v>
      </c>
      <c r="H228" s="18" t="s">
        <v>23</v>
      </c>
      <c r="I228" s="142">
        <f>SUM(B228:H228)</f>
        <v>1312</v>
      </c>
    </row>
    <row r="229" spans="1:9">
      <c r="A229" s="99">
        <v>2019</v>
      </c>
      <c r="B229" s="79" t="s">
        <v>23</v>
      </c>
      <c r="C229" s="24">
        <v>3189</v>
      </c>
      <c r="D229" s="24">
        <v>2050</v>
      </c>
      <c r="E229" s="24">
        <v>971</v>
      </c>
      <c r="F229" s="24" t="s">
        <v>23</v>
      </c>
      <c r="G229" s="24" t="s">
        <v>23</v>
      </c>
      <c r="H229" s="18" t="s">
        <v>23</v>
      </c>
      <c r="I229" s="142">
        <f t="shared" ref="I229:I230" si="20">SUM(B229:H229)</f>
        <v>6210</v>
      </c>
    </row>
    <row r="230" spans="1:9">
      <c r="A230" s="99">
        <v>2020</v>
      </c>
      <c r="B230" s="79" t="s">
        <v>23</v>
      </c>
      <c r="C230" s="24">
        <v>1302</v>
      </c>
      <c r="D230" s="24">
        <v>844</v>
      </c>
      <c r="E230" s="24">
        <v>374</v>
      </c>
      <c r="F230" s="24">
        <v>96</v>
      </c>
      <c r="G230" s="24" t="s">
        <v>23</v>
      </c>
      <c r="H230" s="18" t="s">
        <v>23</v>
      </c>
      <c r="I230" s="142">
        <f t="shared" si="20"/>
        <v>2616</v>
      </c>
    </row>
    <row r="231" spans="1:9" ht="13">
      <c r="A231" s="99" t="s">
        <v>314</v>
      </c>
      <c r="B231" s="26" t="s">
        <v>23</v>
      </c>
      <c r="C231" s="24">
        <v>2525</v>
      </c>
      <c r="D231" s="24">
        <v>483</v>
      </c>
      <c r="E231" s="24">
        <v>197</v>
      </c>
      <c r="F231" s="24">
        <v>56</v>
      </c>
      <c r="G231" s="24" t="s">
        <v>23</v>
      </c>
      <c r="H231" s="18" t="s">
        <v>23</v>
      </c>
      <c r="I231" s="142">
        <f t="shared" si="19"/>
        <v>3261</v>
      </c>
    </row>
    <row r="232" spans="1:9">
      <c r="B232" s="82"/>
    </row>
    <row r="233" spans="1:9" ht="13">
      <c r="A233" s="97" t="s">
        <v>242</v>
      </c>
      <c r="B233" s="82"/>
    </row>
    <row r="234" spans="1:9">
      <c r="A234" s="99">
        <v>1978</v>
      </c>
      <c r="B234" s="24">
        <f t="shared" ref="B234:I243" si="21">IF(AND(B188="-",B142="-",B96="-",B50="-",B4="-"),"-",SUM(B188,B142,B96,B50,B4))</f>
        <v>3424</v>
      </c>
      <c r="C234" s="24">
        <f t="shared" si="21"/>
        <v>20201</v>
      </c>
      <c r="D234" s="24">
        <f t="shared" si="21"/>
        <v>37136</v>
      </c>
      <c r="E234" s="24">
        <f t="shared" si="21"/>
        <v>25037</v>
      </c>
      <c r="F234" s="24">
        <f t="shared" si="21"/>
        <v>8973</v>
      </c>
      <c r="G234" s="24">
        <f t="shared" si="21"/>
        <v>3606</v>
      </c>
      <c r="H234" s="18" t="str">
        <f t="shared" si="21"/>
        <v>-</v>
      </c>
      <c r="I234" s="17">
        <f t="shared" si="21"/>
        <v>98377</v>
      </c>
    </row>
    <row r="235" spans="1:9">
      <c r="A235" s="99">
        <v>1979</v>
      </c>
      <c r="B235" s="24">
        <f t="shared" si="21"/>
        <v>12</v>
      </c>
      <c r="C235" s="24">
        <f t="shared" si="21"/>
        <v>17652</v>
      </c>
      <c r="D235" s="24">
        <f t="shared" si="21"/>
        <v>14145</v>
      </c>
      <c r="E235" s="24">
        <f t="shared" si="21"/>
        <v>39362</v>
      </c>
      <c r="F235" s="24">
        <f t="shared" si="21"/>
        <v>25416</v>
      </c>
      <c r="G235" s="24">
        <f t="shared" si="21"/>
        <v>7561</v>
      </c>
      <c r="H235" s="18" t="str">
        <f t="shared" si="21"/>
        <v>-</v>
      </c>
      <c r="I235" s="17">
        <f t="shared" si="21"/>
        <v>104148</v>
      </c>
    </row>
    <row r="236" spans="1:9">
      <c r="A236" s="99">
        <v>1980</v>
      </c>
      <c r="B236" s="24" t="str">
        <f t="shared" si="21"/>
        <v>-</v>
      </c>
      <c r="C236" s="24">
        <f t="shared" si="21"/>
        <v>25406</v>
      </c>
      <c r="D236" s="24" t="str">
        <f t="shared" si="21"/>
        <v>-</v>
      </c>
      <c r="E236" s="24">
        <f t="shared" si="21"/>
        <v>31828</v>
      </c>
      <c r="F236" s="24">
        <f t="shared" si="21"/>
        <v>14613</v>
      </c>
      <c r="G236" s="24">
        <f t="shared" si="21"/>
        <v>10638</v>
      </c>
      <c r="H236" s="18" t="str">
        <f t="shared" si="21"/>
        <v>-</v>
      </c>
      <c r="I236" s="17">
        <f t="shared" si="21"/>
        <v>82485</v>
      </c>
    </row>
    <row r="237" spans="1:9">
      <c r="A237" s="99">
        <v>1981</v>
      </c>
      <c r="B237" s="24" t="str">
        <f t="shared" si="21"/>
        <v>-</v>
      </c>
      <c r="C237" s="24">
        <f t="shared" si="21"/>
        <v>19146</v>
      </c>
      <c r="D237" s="24">
        <f t="shared" si="21"/>
        <v>6284</v>
      </c>
      <c r="E237" s="24">
        <f t="shared" si="21"/>
        <v>21659</v>
      </c>
      <c r="F237" s="24">
        <f t="shared" si="21"/>
        <v>14712</v>
      </c>
      <c r="G237" s="24">
        <f t="shared" si="21"/>
        <v>6730</v>
      </c>
      <c r="H237" s="18" t="str">
        <f t="shared" si="21"/>
        <v>-</v>
      </c>
      <c r="I237" s="17">
        <f t="shared" si="21"/>
        <v>68531</v>
      </c>
    </row>
    <row r="238" spans="1:9">
      <c r="A238" s="99">
        <v>1982</v>
      </c>
      <c r="B238" s="24">
        <f t="shared" si="21"/>
        <v>3755</v>
      </c>
      <c r="C238" s="24">
        <f t="shared" si="21"/>
        <v>17749</v>
      </c>
      <c r="D238" s="24">
        <f t="shared" si="21"/>
        <v>9739</v>
      </c>
      <c r="E238" s="24">
        <f t="shared" si="21"/>
        <v>31952</v>
      </c>
      <c r="F238" s="24">
        <f t="shared" si="21"/>
        <v>21559</v>
      </c>
      <c r="G238" s="24">
        <f t="shared" si="21"/>
        <v>8301</v>
      </c>
      <c r="H238" s="18" t="str">
        <f t="shared" si="21"/>
        <v>-</v>
      </c>
      <c r="I238" s="17">
        <f t="shared" si="21"/>
        <v>93055</v>
      </c>
    </row>
    <row r="239" spans="1:9">
      <c r="A239" s="99">
        <v>1983</v>
      </c>
      <c r="B239" s="24">
        <f t="shared" si="21"/>
        <v>319</v>
      </c>
      <c r="C239" s="24">
        <f t="shared" si="21"/>
        <v>10195</v>
      </c>
      <c r="D239" s="24">
        <f t="shared" si="21"/>
        <v>11633</v>
      </c>
      <c r="E239" s="24">
        <f t="shared" si="21"/>
        <v>13916</v>
      </c>
      <c r="F239" s="24">
        <f t="shared" si="21"/>
        <v>6128</v>
      </c>
      <c r="G239" s="24">
        <f t="shared" si="21"/>
        <v>1270</v>
      </c>
      <c r="H239" s="18" t="str">
        <f t="shared" si="21"/>
        <v>-</v>
      </c>
      <c r="I239" s="17">
        <f t="shared" si="21"/>
        <v>43461</v>
      </c>
    </row>
    <row r="240" spans="1:9">
      <c r="A240" s="99">
        <v>1984</v>
      </c>
      <c r="B240" s="24" t="str">
        <f t="shared" si="21"/>
        <v>-</v>
      </c>
      <c r="C240" s="24">
        <f t="shared" si="21"/>
        <v>5506</v>
      </c>
      <c r="D240" s="24">
        <f t="shared" si="21"/>
        <v>8471</v>
      </c>
      <c r="E240" s="24">
        <f t="shared" si="21"/>
        <v>12931</v>
      </c>
      <c r="F240" s="24">
        <f t="shared" si="21"/>
        <v>9857</v>
      </c>
      <c r="G240" s="24">
        <f t="shared" si="21"/>
        <v>5435</v>
      </c>
      <c r="H240" s="18" t="str">
        <f t="shared" si="21"/>
        <v>-</v>
      </c>
      <c r="I240" s="17">
        <f t="shared" si="21"/>
        <v>42200</v>
      </c>
    </row>
    <row r="241" spans="1:9">
      <c r="A241" s="99">
        <v>1985</v>
      </c>
      <c r="B241" s="24" t="str">
        <f t="shared" si="21"/>
        <v>-</v>
      </c>
      <c r="C241" s="24">
        <f t="shared" si="21"/>
        <v>12098</v>
      </c>
      <c r="D241" s="24">
        <f t="shared" si="21"/>
        <v>11422</v>
      </c>
      <c r="E241" s="24">
        <f t="shared" si="21"/>
        <v>13223</v>
      </c>
      <c r="F241" s="24">
        <f t="shared" si="21"/>
        <v>8508</v>
      </c>
      <c r="G241" s="24">
        <f t="shared" si="21"/>
        <v>6327</v>
      </c>
      <c r="H241" s="18" t="str">
        <f t="shared" si="21"/>
        <v>-</v>
      </c>
      <c r="I241" s="17">
        <f t="shared" si="21"/>
        <v>51578</v>
      </c>
    </row>
    <row r="242" spans="1:9">
      <c r="A242" s="99">
        <v>1986</v>
      </c>
      <c r="B242" s="24" t="str">
        <f t="shared" si="21"/>
        <v>-</v>
      </c>
      <c r="C242" s="24">
        <f t="shared" si="21"/>
        <v>14022</v>
      </c>
      <c r="D242" s="24">
        <f t="shared" si="21"/>
        <v>14016</v>
      </c>
      <c r="E242" s="24">
        <f t="shared" si="21"/>
        <v>14799</v>
      </c>
      <c r="F242" s="24">
        <f t="shared" si="21"/>
        <v>9661</v>
      </c>
      <c r="G242" s="24">
        <f t="shared" si="21"/>
        <v>2155</v>
      </c>
      <c r="H242" s="18" t="str">
        <f t="shared" si="21"/>
        <v>-</v>
      </c>
      <c r="I242" s="17">
        <f t="shared" si="21"/>
        <v>54653</v>
      </c>
    </row>
    <row r="243" spans="1:9">
      <c r="A243" s="99">
        <v>1987</v>
      </c>
      <c r="B243" s="24" t="str">
        <f t="shared" si="21"/>
        <v>-</v>
      </c>
      <c r="C243" s="24">
        <f t="shared" si="21"/>
        <v>14869</v>
      </c>
      <c r="D243" s="24">
        <f t="shared" si="21"/>
        <v>16009</v>
      </c>
      <c r="E243" s="24">
        <f t="shared" si="21"/>
        <v>14876.078658355596</v>
      </c>
      <c r="F243" s="24">
        <f t="shared" si="21"/>
        <v>9280</v>
      </c>
      <c r="G243" s="24">
        <f t="shared" si="21"/>
        <v>3593.9999999999995</v>
      </c>
      <c r="H243" s="18" t="str">
        <f t="shared" si="21"/>
        <v>-</v>
      </c>
      <c r="I243" s="17">
        <f t="shared" si="21"/>
        <v>58628.078658355596</v>
      </c>
    </row>
    <row r="244" spans="1:9">
      <c r="A244" s="99">
        <v>1988</v>
      </c>
      <c r="B244" s="24" t="str">
        <f t="shared" ref="B244:I253" si="22">IF(AND(B198="-",B152="-",B106="-",B60="-",B14="-"),"-",SUM(B198,B152,B106,B60,B14))</f>
        <v>-</v>
      </c>
      <c r="C244" s="24">
        <f t="shared" si="22"/>
        <v>16998.282235939645</v>
      </c>
      <c r="D244" s="24">
        <f t="shared" si="22"/>
        <v>20211.000000000004</v>
      </c>
      <c r="E244" s="24">
        <f t="shared" si="22"/>
        <v>19960</v>
      </c>
      <c r="F244" s="24">
        <f t="shared" si="22"/>
        <v>12536</v>
      </c>
      <c r="G244" s="24">
        <f t="shared" si="22"/>
        <v>6010</v>
      </c>
      <c r="H244" s="18" t="str">
        <f t="shared" si="22"/>
        <v>-</v>
      </c>
      <c r="I244" s="17">
        <f t="shared" si="22"/>
        <v>75715.282235939638</v>
      </c>
    </row>
    <row r="245" spans="1:9">
      <c r="A245" s="99">
        <v>1989</v>
      </c>
      <c r="B245" s="24" t="str">
        <f t="shared" si="22"/>
        <v>-</v>
      </c>
      <c r="C245" s="24">
        <f t="shared" si="22"/>
        <v>14063</v>
      </c>
      <c r="D245" s="24">
        <f t="shared" si="22"/>
        <v>15777.000000000002</v>
      </c>
      <c r="E245" s="24">
        <f t="shared" si="22"/>
        <v>11774</v>
      </c>
      <c r="F245" s="24">
        <f t="shared" si="22"/>
        <v>11754.000000000002</v>
      </c>
      <c r="G245" s="24">
        <f t="shared" si="22"/>
        <v>3872</v>
      </c>
      <c r="H245" s="18">
        <f t="shared" si="22"/>
        <v>118</v>
      </c>
      <c r="I245" s="17">
        <f t="shared" si="22"/>
        <v>57358</v>
      </c>
    </row>
    <row r="246" spans="1:9">
      <c r="A246" s="99">
        <v>1990</v>
      </c>
      <c r="B246" s="24" t="str">
        <f t="shared" si="22"/>
        <v>-</v>
      </c>
      <c r="C246" s="24">
        <f t="shared" si="22"/>
        <v>12669</v>
      </c>
      <c r="D246" s="24">
        <f t="shared" si="22"/>
        <v>15219</v>
      </c>
      <c r="E246" s="24">
        <f t="shared" si="22"/>
        <v>11880</v>
      </c>
      <c r="F246" s="24">
        <f t="shared" si="22"/>
        <v>5475</v>
      </c>
      <c r="G246" s="24">
        <f t="shared" si="22"/>
        <v>948</v>
      </c>
      <c r="H246" s="18">
        <f t="shared" si="22"/>
        <v>10</v>
      </c>
      <c r="I246" s="17">
        <f t="shared" si="22"/>
        <v>46201</v>
      </c>
    </row>
    <row r="247" spans="1:9">
      <c r="A247" s="99">
        <v>1991</v>
      </c>
      <c r="B247" s="24" t="str">
        <f t="shared" si="22"/>
        <v>-</v>
      </c>
      <c r="C247" s="24">
        <f t="shared" si="22"/>
        <v>8400</v>
      </c>
      <c r="D247" s="24">
        <f t="shared" si="22"/>
        <v>10900</v>
      </c>
      <c r="E247" s="24">
        <f t="shared" si="22"/>
        <v>6400</v>
      </c>
      <c r="F247" s="24">
        <f t="shared" si="22"/>
        <v>7100</v>
      </c>
      <c r="G247" s="24">
        <f t="shared" si="22"/>
        <v>2400</v>
      </c>
      <c r="H247" s="18">
        <f t="shared" si="22"/>
        <v>100</v>
      </c>
      <c r="I247" s="17">
        <f t="shared" si="22"/>
        <v>35300</v>
      </c>
    </row>
    <row r="248" spans="1:9">
      <c r="A248" s="99">
        <v>1992</v>
      </c>
      <c r="B248" s="24" t="str">
        <f t="shared" si="22"/>
        <v>-</v>
      </c>
      <c r="C248" s="24">
        <f t="shared" si="22"/>
        <v>6600</v>
      </c>
      <c r="D248" s="24">
        <f t="shared" si="22"/>
        <v>3400</v>
      </c>
      <c r="E248" s="24">
        <f t="shared" si="22"/>
        <v>2700</v>
      </c>
      <c r="F248" s="24">
        <f t="shared" si="22"/>
        <v>4500</v>
      </c>
      <c r="G248" s="24">
        <f t="shared" si="22"/>
        <v>3100</v>
      </c>
      <c r="H248" s="18" t="str">
        <f t="shared" si="22"/>
        <v>-</v>
      </c>
      <c r="I248" s="17">
        <f t="shared" si="22"/>
        <v>20300</v>
      </c>
    </row>
    <row r="249" spans="1:9">
      <c r="A249" s="99">
        <v>1993</v>
      </c>
      <c r="B249" s="24" t="str">
        <f t="shared" si="22"/>
        <v>-</v>
      </c>
      <c r="C249" s="24">
        <f t="shared" si="22"/>
        <v>9300</v>
      </c>
      <c r="D249" s="24">
        <f t="shared" si="22"/>
        <v>4000</v>
      </c>
      <c r="E249" s="24">
        <f t="shared" si="22"/>
        <v>5700</v>
      </c>
      <c r="F249" s="24">
        <f t="shared" si="22"/>
        <v>4400</v>
      </c>
      <c r="G249" s="24">
        <f t="shared" si="22"/>
        <v>2500</v>
      </c>
      <c r="H249" s="18" t="str">
        <f t="shared" si="22"/>
        <v>-</v>
      </c>
      <c r="I249" s="17">
        <f t="shared" si="22"/>
        <v>25900</v>
      </c>
    </row>
    <row r="250" spans="1:9">
      <c r="A250" s="99">
        <v>1994</v>
      </c>
      <c r="B250" s="24" t="str">
        <f t="shared" si="22"/>
        <v>-</v>
      </c>
      <c r="C250" s="24">
        <f t="shared" si="22"/>
        <v>6500</v>
      </c>
      <c r="D250" s="24">
        <f t="shared" si="22"/>
        <v>4600</v>
      </c>
      <c r="E250" s="24">
        <f t="shared" si="22"/>
        <v>5400</v>
      </c>
      <c r="F250" s="24">
        <f t="shared" si="22"/>
        <v>2400</v>
      </c>
      <c r="G250" s="24">
        <f t="shared" si="22"/>
        <v>2300</v>
      </c>
      <c r="H250" s="18" t="str">
        <f t="shared" si="22"/>
        <v>-</v>
      </c>
      <c r="I250" s="17">
        <f t="shared" si="22"/>
        <v>21200</v>
      </c>
    </row>
    <row r="251" spans="1:9">
      <c r="A251" s="99">
        <v>1995</v>
      </c>
      <c r="B251" s="24" t="str">
        <f t="shared" si="22"/>
        <v>-</v>
      </c>
      <c r="C251" s="24">
        <f t="shared" si="22"/>
        <v>8500</v>
      </c>
      <c r="D251" s="24">
        <f t="shared" si="22"/>
        <v>5200</v>
      </c>
      <c r="E251" s="24">
        <f t="shared" si="22"/>
        <v>5600</v>
      </c>
      <c r="F251" s="24">
        <f t="shared" si="22"/>
        <v>3200</v>
      </c>
      <c r="G251" s="24">
        <f t="shared" si="22"/>
        <v>3300</v>
      </c>
      <c r="H251" s="18" t="str">
        <f t="shared" si="22"/>
        <v>-</v>
      </c>
      <c r="I251" s="17">
        <f t="shared" si="22"/>
        <v>25800</v>
      </c>
    </row>
    <row r="252" spans="1:9">
      <c r="A252" s="99">
        <v>1996</v>
      </c>
      <c r="B252" s="24" t="str">
        <f t="shared" si="22"/>
        <v>-</v>
      </c>
      <c r="C252" s="24">
        <f t="shared" si="22"/>
        <v>4700</v>
      </c>
      <c r="D252" s="24">
        <f t="shared" si="22"/>
        <v>5900</v>
      </c>
      <c r="E252" s="24">
        <f t="shared" si="22"/>
        <v>5300</v>
      </c>
      <c r="F252" s="24">
        <f t="shared" si="22"/>
        <v>3038</v>
      </c>
      <c r="G252" s="24">
        <f t="shared" si="22"/>
        <v>2223</v>
      </c>
      <c r="H252" s="18" t="str">
        <f t="shared" si="22"/>
        <v>-</v>
      </c>
      <c r="I252" s="17">
        <f t="shared" si="22"/>
        <v>21161</v>
      </c>
    </row>
    <row r="253" spans="1:9">
      <c r="A253" s="99">
        <v>1997</v>
      </c>
      <c r="B253" s="24">
        <f t="shared" si="22"/>
        <v>600</v>
      </c>
      <c r="C253" s="24">
        <f t="shared" si="22"/>
        <v>6500</v>
      </c>
      <c r="D253" s="24">
        <f t="shared" si="22"/>
        <v>2000</v>
      </c>
      <c r="E253" s="24">
        <f t="shared" si="22"/>
        <v>5700</v>
      </c>
      <c r="F253" s="24">
        <f t="shared" si="22"/>
        <v>2300</v>
      </c>
      <c r="G253" s="24">
        <f t="shared" si="22"/>
        <v>1856</v>
      </c>
      <c r="H253" s="18" t="str">
        <f t="shared" si="22"/>
        <v>-</v>
      </c>
      <c r="I253" s="17">
        <f t="shared" si="22"/>
        <v>18956</v>
      </c>
    </row>
    <row r="254" spans="1:9">
      <c r="A254" s="99">
        <v>1998</v>
      </c>
      <c r="B254" s="24" t="str">
        <f t="shared" ref="B254:I263" si="23">IF(AND(B208="-",B162="-",B116="-",B70="-",B24="-"),"-",SUM(B208,B162,B116,B70,B24))</f>
        <v>-</v>
      </c>
      <c r="C254" s="24">
        <f t="shared" si="23"/>
        <v>4300</v>
      </c>
      <c r="D254" s="24">
        <f t="shared" si="23"/>
        <v>2100</v>
      </c>
      <c r="E254" s="24">
        <f t="shared" si="23"/>
        <v>3900</v>
      </c>
      <c r="F254" s="24">
        <f t="shared" si="23"/>
        <v>1800</v>
      </c>
      <c r="G254" s="24">
        <f t="shared" si="23"/>
        <v>2464</v>
      </c>
      <c r="H254" s="18" t="str">
        <f t="shared" si="23"/>
        <v>-</v>
      </c>
      <c r="I254" s="17">
        <f t="shared" si="23"/>
        <v>14564</v>
      </c>
    </row>
    <row r="255" spans="1:9">
      <c r="A255" s="99">
        <v>1999</v>
      </c>
      <c r="B255" s="24">
        <f t="shared" si="23"/>
        <v>125</v>
      </c>
      <c r="C255" s="24">
        <f t="shared" si="23"/>
        <v>2500</v>
      </c>
      <c r="D255" s="24">
        <f t="shared" si="23"/>
        <v>5000</v>
      </c>
      <c r="E255" s="24">
        <f t="shared" si="23"/>
        <v>4700</v>
      </c>
      <c r="F255" s="24">
        <f t="shared" si="23"/>
        <v>2200</v>
      </c>
      <c r="G255" s="24">
        <f t="shared" si="23"/>
        <v>1836</v>
      </c>
      <c r="H255" s="18" t="str">
        <f t="shared" si="23"/>
        <v>-</v>
      </c>
      <c r="I255" s="17">
        <f t="shared" si="23"/>
        <v>16361</v>
      </c>
    </row>
    <row r="256" spans="1:9">
      <c r="A256" s="99">
        <v>2000</v>
      </c>
      <c r="B256" s="24" t="str">
        <f t="shared" si="23"/>
        <v>-</v>
      </c>
      <c r="C256" s="24">
        <f t="shared" si="23"/>
        <v>5210</v>
      </c>
      <c r="D256" s="24">
        <f t="shared" si="23"/>
        <v>5863</v>
      </c>
      <c r="E256" s="24">
        <f t="shared" si="23"/>
        <v>3248</v>
      </c>
      <c r="F256" s="24">
        <f t="shared" si="23"/>
        <v>2390</v>
      </c>
      <c r="G256" s="24">
        <f t="shared" si="23"/>
        <v>3742</v>
      </c>
      <c r="H256" s="18" t="str">
        <f t="shared" si="23"/>
        <v>-</v>
      </c>
      <c r="I256" s="17">
        <f t="shared" si="23"/>
        <v>20453</v>
      </c>
    </row>
    <row r="257" spans="1:9">
      <c r="A257" s="99">
        <v>2001</v>
      </c>
      <c r="B257" s="24" t="str">
        <f t="shared" si="23"/>
        <v>-</v>
      </c>
      <c r="C257" s="24">
        <f t="shared" si="23"/>
        <v>4894</v>
      </c>
      <c r="D257" s="24">
        <f t="shared" si="23"/>
        <v>1448</v>
      </c>
      <c r="E257" s="24">
        <f t="shared" si="23"/>
        <v>3042</v>
      </c>
      <c r="F257" s="24">
        <f t="shared" si="23"/>
        <v>1419</v>
      </c>
      <c r="G257" s="24">
        <f t="shared" si="23"/>
        <v>2537</v>
      </c>
      <c r="H257" s="18">
        <f t="shared" si="23"/>
        <v>501</v>
      </c>
      <c r="I257" s="17">
        <f t="shared" si="23"/>
        <v>13841</v>
      </c>
    </row>
    <row r="258" spans="1:9">
      <c r="A258" s="99">
        <v>2002</v>
      </c>
      <c r="B258" s="24" t="str">
        <f t="shared" si="23"/>
        <v>-</v>
      </c>
      <c r="C258" s="24">
        <f t="shared" si="23"/>
        <v>4246</v>
      </c>
      <c r="D258" s="24">
        <f t="shared" si="23"/>
        <v>3247</v>
      </c>
      <c r="E258" s="24">
        <f t="shared" si="23"/>
        <v>4664</v>
      </c>
      <c r="F258" s="24">
        <f t="shared" si="23"/>
        <v>2937</v>
      </c>
      <c r="G258" s="24">
        <f t="shared" si="23"/>
        <v>2164</v>
      </c>
      <c r="H258" s="18">
        <f t="shared" si="23"/>
        <v>145</v>
      </c>
      <c r="I258" s="17">
        <f t="shared" si="23"/>
        <v>17403</v>
      </c>
    </row>
    <row r="259" spans="1:9">
      <c r="A259" s="99">
        <v>2003</v>
      </c>
      <c r="B259" s="24">
        <f t="shared" si="23"/>
        <v>14</v>
      </c>
      <c r="C259" s="24">
        <f t="shared" si="23"/>
        <v>3076</v>
      </c>
      <c r="D259" s="24">
        <f t="shared" si="23"/>
        <v>2731</v>
      </c>
      <c r="E259" s="24">
        <f t="shared" si="23"/>
        <v>3697</v>
      </c>
      <c r="F259" s="24">
        <f t="shared" si="23"/>
        <v>3745</v>
      </c>
      <c r="G259" s="24">
        <f t="shared" si="23"/>
        <v>2536</v>
      </c>
      <c r="H259" s="18">
        <f t="shared" si="23"/>
        <v>142</v>
      </c>
      <c r="I259" s="17">
        <f t="shared" si="23"/>
        <v>15941</v>
      </c>
    </row>
    <row r="260" spans="1:9">
      <c r="A260" s="99">
        <v>2004</v>
      </c>
      <c r="B260" s="24">
        <f t="shared" si="23"/>
        <v>22</v>
      </c>
      <c r="C260" s="24">
        <f t="shared" si="23"/>
        <v>5146</v>
      </c>
      <c r="D260" s="24">
        <f t="shared" si="23"/>
        <v>4036</v>
      </c>
      <c r="E260" s="24">
        <f t="shared" si="23"/>
        <v>6333</v>
      </c>
      <c r="F260" s="24">
        <f t="shared" si="23"/>
        <v>3637</v>
      </c>
      <c r="G260" s="24">
        <f t="shared" si="23"/>
        <v>2269</v>
      </c>
      <c r="H260" s="18">
        <f t="shared" si="23"/>
        <v>290</v>
      </c>
      <c r="I260" s="17">
        <f t="shared" si="23"/>
        <v>21733</v>
      </c>
    </row>
    <row r="261" spans="1:9">
      <c r="A261" s="99">
        <v>2005</v>
      </c>
      <c r="B261" s="24" t="str">
        <f t="shared" si="23"/>
        <v>-</v>
      </c>
      <c r="C261" s="24">
        <f t="shared" si="23"/>
        <v>3881</v>
      </c>
      <c r="D261" s="24">
        <f t="shared" si="23"/>
        <v>377</v>
      </c>
      <c r="E261" s="24">
        <f t="shared" si="23"/>
        <v>5001</v>
      </c>
      <c r="F261" s="24">
        <f t="shared" si="23"/>
        <v>3365</v>
      </c>
      <c r="G261" s="24">
        <f t="shared" si="23"/>
        <v>3993</v>
      </c>
      <c r="H261" s="18">
        <f t="shared" si="23"/>
        <v>401</v>
      </c>
      <c r="I261" s="17">
        <f t="shared" si="23"/>
        <v>17018</v>
      </c>
    </row>
    <row r="262" spans="1:9">
      <c r="A262" s="99">
        <v>2006</v>
      </c>
      <c r="B262" s="24" t="str">
        <f t="shared" si="23"/>
        <v>-</v>
      </c>
      <c r="C262" s="24">
        <f t="shared" si="23"/>
        <v>2062</v>
      </c>
      <c r="D262" s="24">
        <f t="shared" si="23"/>
        <v>103</v>
      </c>
      <c r="E262" s="24">
        <f t="shared" si="23"/>
        <v>650</v>
      </c>
      <c r="F262" s="24">
        <f t="shared" si="23"/>
        <v>2593</v>
      </c>
      <c r="G262" s="24">
        <f t="shared" si="23"/>
        <v>2477</v>
      </c>
      <c r="H262" s="18">
        <f t="shared" si="23"/>
        <v>374</v>
      </c>
      <c r="I262" s="17">
        <f t="shared" si="23"/>
        <v>8259</v>
      </c>
    </row>
    <row r="263" spans="1:9">
      <c r="A263" s="99">
        <v>2007</v>
      </c>
      <c r="B263" s="24">
        <f t="shared" si="23"/>
        <v>106</v>
      </c>
      <c r="C263" s="24">
        <f t="shared" si="23"/>
        <v>3132</v>
      </c>
      <c r="D263" s="24">
        <f t="shared" si="23"/>
        <v>29</v>
      </c>
      <c r="E263" s="24">
        <f t="shared" si="23"/>
        <v>3288</v>
      </c>
      <c r="F263" s="24">
        <f t="shared" si="23"/>
        <v>2659</v>
      </c>
      <c r="G263" s="24">
        <f t="shared" si="23"/>
        <v>1289</v>
      </c>
      <c r="H263" s="18">
        <f t="shared" si="23"/>
        <v>168</v>
      </c>
      <c r="I263" s="17">
        <f t="shared" si="23"/>
        <v>10671</v>
      </c>
    </row>
    <row r="264" spans="1:9">
      <c r="A264" s="99">
        <v>2008</v>
      </c>
      <c r="B264" s="24" t="str">
        <f t="shared" ref="B264:I273" si="24">IF(AND(B218="-",B172="-",B126="-",B80="-",B34="-"),"-",SUM(B218,B172,B126,B80,B34))</f>
        <v>-</v>
      </c>
      <c r="C264" s="24" t="str">
        <f t="shared" si="24"/>
        <v>-</v>
      </c>
      <c r="D264" s="24" t="str">
        <f t="shared" si="24"/>
        <v>-</v>
      </c>
      <c r="E264" s="24" t="str">
        <f t="shared" si="24"/>
        <v>-</v>
      </c>
      <c r="F264" s="24" t="str">
        <f t="shared" si="24"/>
        <v>-</v>
      </c>
      <c r="G264" s="24" t="str">
        <f t="shared" si="24"/>
        <v>-</v>
      </c>
      <c r="H264" s="18" t="str">
        <f t="shared" si="24"/>
        <v>-</v>
      </c>
      <c r="I264" s="24" t="str">
        <f t="shared" si="24"/>
        <v>-</v>
      </c>
    </row>
    <row r="265" spans="1:9">
      <c r="A265" s="99">
        <v>2009</v>
      </c>
      <c r="B265" s="24" t="str">
        <f t="shared" si="24"/>
        <v>-</v>
      </c>
      <c r="C265" s="24" t="str">
        <f t="shared" si="24"/>
        <v>-</v>
      </c>
      <c r="D265" s="24" t="str">
        <f t="shared" si="24"/>
        <v>-</v>
      </c>
      <c r="E265" s="24" t="str">
        <f t="shared" si="24"/>
        <v>-</v>
      </c>
      <c r="F265" s="24" t="str">
        <f t="shared" si="24"/>
        <v>-</v>
      </c>
      <c r="G265" s="24" t="str">
        <f t="shared" si="24"/>
        <v>-</v>
      </c>
      <c r="H265" s="18" t="str">
        <f t="shared" si="24"/>
        <v>-</v>
      </c>
      <c r="I265" s="24" t="str">
        <f t="shared" si="24"/>
        <v>-</v>
      </c>
    </row>
    <row r="266" spans="1:9">
      <c r="A266" s="99">
        <v>2010</v>
      </c>
      <c r="B266" s="24" t="str">
        <f t="shared" si="24"/>
        <v>-</v>
      </c>
      <c r="C266" s="24" t="str">
        <f t="shared" si="24"/>
        <v>-</v>
      </c>
      <c r="D266" s="24" t="str">
        <f t="shared" si="24"/>
        <v>-</v>
      </c>
      <c r="E266" s="24">
        <f t="shared" si="24"/>
        <v>1105</v>
      </c>
      <c r="F266" s="24">
        <f t="shared" si="24"/>
        <v>870</v>
      </c>
      <c r="G266" s="24" t="str">
        <f t="shared" si="24"/>
        <v>-</v>
      </c>
      <c r="H266" s="18" t="str">
        <f t="shared" si="24"/>
        <v>-</v>
      </c>
      <c r="I266" s="142">
        <f t="shared" si="24"/>
        <v>1975</v>
      </c>
    </row>
    <row r="267" spans="1:9">
      <c r="A267" s="99">
        <v>2011</v>
      </c>
      <c r="B267" s="24" t="str">
        <f t="shared" si="24"/>
        <v>-</v>
      </c>
      <c r="C267" s="24">
        <f t="shared" si="24"/>
        <v>1879</v>
      </c>
      <c r="D267" s="24">
        <f t="shared" si="24"/>
        <v>504</v>
      </c>
      <c r="E267" s="24">
        <f t="shared" si="24"/>
        <v>1889</v>
      </c>
      <c r="F267" s="24">
        <f t="shared" si="24"/>
        <v>1946</v>
      </c>
      <c r="G267" s="24">
        <f t="shared" si="24"/>
        <v>638</v>
      </c>
      <c r="H267" s="18">
        <f t="shared" si="24"/>
        <v>117</v>
      </c>
      <c r="I267" s="142">
        <f t="shared" si="24"/>
        <v>6973</v>
      </c>
    </row>
    <row r="268" spans="1:9">
      <c r="A268" s="99">
        <v>2012</v>
      </c>
      <c r="B268" s="24" t="str">
        <f t="shared" si="24"/>
        <v>-</v>
      </c>
      <c r="C268" s="24">
        <f t="shared" si="24"/>
        <v>3738</v>
      </c>
      <c r="D268" s="24">
        <f t="shared" si="24"/>
        <v>1593</v>
      </c>
      <c r="E268" s="24">
        <f t="shared" si="24"/>
        <v>4406</v>
      </c>
      <c r="F268" s="24">
        <f t="shared" si="24"/>
        <v>2650</v>
      </c>
      <c r="G268" s="24">
        <f t="shared" si="24"/>
        <v>1666</v>
      </c>
      <c r="H268" s="18">
        <f t="shared" si="24"/>
        <v>469</v>
      </c>
      <c r="I268" s="142">
        <f t="shared" si="24"/>
        <v>14522</v>
      </c>
    </row>
    <row r="269" spans="1:9">
      <c r="A269" s="99">
        <v>2013</v>
      </c>
      <c r="B269" s="24" t="str">
        <f t="shared" si="24"/>
        <v>-</v>
      </c>
      <c r="C269" s="24">
        <f t="shared" si="24"/>
        <v>4450</v>
      </c>
      <c r="D269" s="24">
        <f t="shared" si="24"/>
        <v>4064</v>
      </c>
      <c r="E269" s="24">
        <f t="shared" si="24"/>
        <v>4136</v>
      </c>
      <c r="F269" s="24">
        <f t="shared" si="24"/>
        <v>2751</v>
      </c>
      <c r="G269" s="24">
        <f t="shared" si="24"/>
        <v>1669</v>
      </c>
      <c r="H269" s="18">
        <f t="shared" si="24"/>
        <v>223</v>
      </c>
      <c r="I269" s="142">
        <f t="shared" si="24"/>
        <v>17293</v>
      </c>
    </row>
    <row r="270" spans="1:9">
      <c r="A270" s="99">
        <v>2014</v>
      </c>
      <c r="B270" s="24" t="str">
        <f t="shared" si="24"/>
        <v>-</v>
      </c>
      <c r="C270" s="24">
        <f t="shared" si="24"/>
        <v>3011</v>
      </c>
      <c r="D270" s="24">
        <f t="shared" si="24"/>
        <v>2682</v>
      </c>
      <c r="E270" s="24">
        <f t="shared" si="24"/>
        <v>3281</v>
      </c>
      <c r="F270" s="24">
        <f t="shared" si="24"/>
        <v>2987</v>
      </c>
      <c r="G270" s="24">
        <f t="shared" si="24"/>
        <v>1858</v>
      </c>
      <c r="H270" s="18">
        <f t="shared" si="24"/>
        <v>575</v>
      </c>
      <c r="I270" s="142">
        <f t="shared" si="24"/>
        <v>14394</v>
      </c>
    </row>
    <row r="271" spans="1:9">
      <c r="A271" s="99">
        <v>2015</v>
      </c>
      <c r="B271" s="24" t="str">
        <f t="shared" si="24"/>
        <v>-</v>
      </c>
      <c r="C271" s="24">
        <f t="shared" si="24"/>
        <v>4434</v>
      </c>
      <c r="D271" s="24">
        <f t="shared" si="24"/>
        <v>2392</v>
      </c>
      <c r="E271" s="24">
        <f t="shared" si="24"/>
        <v>1943</v>
      </c>
      <c r="F271" s="24">
        <f t="shared" si="24"/>
        <v>2000</v>
      </c>
      <c r="G271" s="24">
        <f t="shared" si="24"/>
        <v>1727</v>
      </c>
      <c r="H271" s="18">
        <f t="shared" si="24"/>
        <v>515</v>
      </c>
      <c r="I271" s="142">
        <f t="shared" si="24"/>
        <v>13011</v>
      </c>
    </row>
    <row r="272" spans="1:9">
      <c r="A272" s="99">
        <v>2016</v>
      </c>
      <c r="B272" s="24" t="str">
        <f t="shared" si="24"/>
        <v>-</v>
      </c>
      <c r="C272" s="24">
        <f t="shared" si="24"/>
        <v>1662</v>
      </c>
      <c r="D272" s="24">
        <f t="shared" si="24"/>
        <v>1290</v>
      </c>
      <c r="E272" s="24" t="str">
        <f t="shared" si="24"/>
        <v>-</v>
      </c>
      <c r="F272" s="24">
        <f t="shared" si="24"/>
        <v>2450</v>
      </c>
      <c r="G272" s="24">
        <f t="shared" si="24"/>
        <v>1622</v>
      </c>
      <c r="H272" s="18">
        <f t="shared" si="24"/>
        <v>174</v>
      </c>
      <c r="I272" s="142">
        <f t="shared" si="24"/>
        <v>7198</v>
      </c>
    </row>
    <row r="273" spans="1:18">
      <c r="A273" s="99">
        <v>2017</v>
      </c>
      <c r="B273" s="24" t="str">
        <f t="shared" si="24"/>
        <v>-</v>
      </c>
      <c r="C273" s="24">
        <f t="shared" si="24"/>
        <v>874</v>
      </c>
      <c r="D273" s="24">
        <f t="shared" si="24"/>
        <v>1210</v>
      </c>
      <c r="E273" s="24" t="str">
        <f t="shared" si="24"/>
        <v>-</v>
      </c>
      <c r="F273" s="24">
        <f t="shared" si="24"/>
        <v>2610</v>
      </c>
      <c r="G273" s="24">
        <f t="shared" si="24"/>
        <v>1811</v>
      </c>
      <c r="H273" s="18">
        <f t="shared" si="24"/>
        <v>220</v>
      </c>
      <c r="I273" s="142">
        <f t="shared" si="24"/>
        <v>6725</v>
      </c>
    </row>
    <row r="274" spans="1:18">
      <c r="A274" s="99">
        <v>2018</v>
      </c>
      <c r="B274" s="24" t="str">
        <f t="shared" ref="B274:I274" si="25">IF(AND(B228="-",B182="-",B136="-",B90="-",B44="-"),"-",SUM(B228,B182,B136,B90,B44))</f>
        <v>-</v>
      </c>
      <c r="C274" s="24">
        <f t="shared" si="25"/>
        <v>603</v>
      </c>
      <c r="D274" s="24">
        <f t="shared" si="25"/>
        <v>1063</v>
      </c>
      <c r="E274" s="24">
        <f t="shared" si="25"/>
        <v>986</v>
      </c>
      <c r="F274" s="24">
        <f t="shared" si="25"/>
        <v>2933</v>
      </c>
      <c r="G274" s="24">
        <f t="shared" si="25"/>
        <v>1551</v>
      </c>
      <c r="H274" s="18">
        <f t="shared" si="25"/>
        <v>441</v>
      </c>
      <c r="I274" s="142">
        <f t="shared" si="25"/>
        <v>7577</v>
      </c>
    </row>
    <row r="275" spans="1:18">
      <c r="A275" s="99">
        <v>2019</v>
      </c>
      <c r="B275" s="24" t="str">
        <f t="shared" ref="B275:I275" si="26">IF(AND(B229="-",B183="-",B137="-",B91="-",B45="-"),"-",SUM(B229,B183,B137,B91,B45))</f>
        <v>-</v>
      </c>
      <c r="C275" s="24">
        <f t="shared" si="26"/>
        <v>3872</v>
      </c>
      <c r="D275" s="24">
        <f t="shared" si="26"/>
        <v>4457</v>
      </c>
      <c r="E275" s="24">
        <f t="shared" si="26"/>
        <v>3160</v>
      </c>
      <c r="F275" s="24">
        <f t="shared" si="26"/>
        <v>2942</v>
      </c>
      <c r="G275" s="24">
        <f t="shared" si="26"/>
        <v>1108</v>
      </c>
      <c r="H275" s="18">
        <f t="shared" si="26"/>
        <v>251</v>
      </c>
      <c r="I275" s="142">
        <f t="shared" si="26"/>
        <v>15790</v>
      </c>
    </row>
    <row r="276" spans="1:18">
      <c r="A276" s="99">
        <v>2020</v>
      </c>
      <c r="B276" s="24" t="str">
        <f t="shared" ref="B276:I277" si="27">IF(AND(B230="-",B184="-",B138="-",B92="-",B46="-"),"-",SUM(B230,B184,B138,B92,B46))</f>
        <v>-</v>
      </c>
      <c r="C276" s="24">
        <f>IF(AND(C230="-",C184="-",C138="-",C92="-",C46="-"),"-",SUM(C230,C184,C138,C92,C46))</f>
        <v>2665</v>
      </c>
      <c r="D276" s="24">
        <f t="shared" si="27"/>
        <v>3359</v>
      </c>
      <c r="E276" s="24">
        <f t="shared" si="27"/>
        <v>2895</v>
      </c>
      <c r="F276" s="24">
        <f t="shared" si="27"/>
        <v>1713</v>
      </c>
      <c r="G276" s="24">
        <f t="shared" si="27"/>
        <v>1086</v>
      </c>
      <c r="H276" s="18">
        <f t="shared" si="27"/>
        <v>568</v>
      </c>
      <c r="I276" s="142">
        <f t="shared" si="27"/>
        <v>12286</v>
      </c>
    </row>
    <row r="277" spans="1:18" ht="13">
      <c r="A277" s="99" t="s">
        <v>314</v>
      </c>
      <c r="B277" s="24" t="str">
        <f t="shared" si="27"/>
        <v>-</v>
      </c>
      <c r="C277" s="24">
        <f>IF(AND(C231="-",C185="-",C139="-",C93="-",C47="-"),"-",SUM(C231,C185,C139,C93,C47))</f>
        <v>2525</v>
      </c>
      <c r="D277" s="24">
        <f t="shared" si="27"/>
        <v>2592</v>
      </c>
      <c r="E277" s="24">
        <f t="shared" si="27"/>
        <v>767</v>
      </c>
      <c r="F277" s="24">
        <f t="shared" si="27"/>
        <v>2392</v>
      </c>
      <c r="G277" s="24">
        <f t="shared" si="27"/>
        <v>1324</v>
      </c>
      <c r="H277" s="18">
        <f t="shared" si="27"/>
        <v>317</v>
      </c>
      <c r="I277" s="142">
        <f t="shared" si="27"/>
        <v>9917</v>
      </c>
    </row>
    <row r="278" spans="1:18">
      <c r="A278" s="223" t="s">
        <v>100</v>
      </c>
      <c r="B278" s="223"/>
      <c r="C278" s="223"/>
      <c r="D278" s="223"/>
      <c r="E278" s="223"/>
      <c r="F278" s="223"/>
      <c r="G278" s="223"/>
      <c r="H278" s="223"/>
      <c r="I278" s="223"/>
    </row>
    <row r="279" spans="1:18">
      <c r="A279" s="280" t="s">
        <v>182</v>
      </c>
      <c r="B279" s="280"/>
      <c r="C279" s="280"/>
      <c r="D279" s="280"/>
      <c r="E279" s="280"/>
      <c r="F279" s="280"/>
      <c r="G279" s="280"/>
      <c r="H279" s="280"/>
      <c r="I279" s="1"/>
    </row>
    <row r="280" spans="1:18">
      <c r="A280" s="280"/>
      <c r="B280" s="280"/>
      <c r="C280" s="280"/>
      <c r="D280" s="280"/>
      <c r="E280" s="280"/>
      <c r="F280" s="280"/>
      <c r="G280" s="280"/>
      <c r="H280" s="280"/>
      <c r="I280" s="1"/>
    </row>
    <row r="281" spans="1:18" ht="9.5" customHeight="1">
      <c r="A281" s="71" t="s">
        <v>41</v>
      </c>
      <c r="B281" s="227"/>
      <c r="C281" s="227"/>
      <c r="D281" s="227"/>
      <c r="E281" s="227"/>
      <c r="F281" s="227"/>
      <c r="G281" s="227"/>
      <c r="H281" s="227"/>
      <c r="I281" s="227"/>
      <c r="J281" s="71"/>
      <c r="K281" s="71"/>
      <c r="L281" s="71"/>
      <c r="M281" s="71"/>
      <c r="N281" s="71"/>
      <c r="O281" s="71"/>
      <c r="P281" s="71"/>
      <c r="Q281" s="71"/>
      <c r="R281" s="71"/>
    </row>
    <row r="282" spans="1:18" ht="9.5" customHeight="1">
      <c r="B282" s="71"/>
      <c r="C282" s="71"/>
      <c r="D282" s="71"/>
      <c r="E282" s="71"/>
      <c r="F282" s="71"/>
      <c r="G282" s="71"/>
      <c r="H282" s="71"/>
      <c r="I282" s="71"/>
    </row>
    <row r="284" spans="1:18" s="199" customFormat="1">
      <c r="A284" s="158"/>
      <c r="B284" s="174"/>
      <c r="C284" s="174"/>
      <c r="D284" s="174"/>
      <c r="E284" s="174"/>
      <c r="F284" s="174"/>
      <c r="G284" s="174"/>
      <c r="H284" s="175"/>
      <c r="I284" s="176"/>
    </row>
    <row r="304" spans="1:10" ht="11.25" customHeight="1">
      <c r="A304" s="281" t="s">
        <v>156</v>
      </c>
      <c r="B304" s="281"/>
      <c r="C304" s="281"/>
      <c r="D304" s="281"/>
      <c r="E304" s="281"/>
      <c r="F304" s="281"/>
      <c r="G304" s="281"/>
      <c r="H304" s="281"/>
      <c r="I304" s="281"/>
      <c r="J304" s="281"/>
    </row>
    <row r="305" spans="1:10" ht="11.25" customHeight="1">
      <c r="A305" s="98" t="s">
        <v>27</v>
      </c>
      <c r="B305" s="251" t="s">
        <v>28</v>
      </c>
      <c r="C305" s="251" t="s">
        <v>29</v>
      </c>
      <c r="D305" s="251" t="s">
        <v>30</v>
      </c>
      <c r="E305" s="251" t="s">
        <v>31</v>
      </c>
      <c r="F305" s="251" t="s">
        <v>32</v>
      </c>
      <c r="G305" s="251" t="s">
        <v>33</v>
      </c>
      <c r="H305" s="117" t="s">
        <v>34</v>
      </c>
      <c r="I305" s="116" t="s">
        <v>22</v>
      </c>
      <c r="J305" s="119"/>
    </row>
    <row r="306" spans="1:10" ht="12" customHeight="1">
      <c r="A306" s="252" t="s">
        <v>305</v>
      </c>
    </row>
    <row r="307" spans="1:10" ht="11.25" customHeight="1">
      <c r="A307" s="99" t="s">
        <v>78</v>
      </c>
      <c r="B307" s="24" t="s">
        <v>23</v>
      </c>
      <c r="C307" s="24">
        <f>AVERAGE(C12:C16)</f>
        <v>9</v>
      </c>
      <c r="D307" s="24">
        <f>AVERAGE(D12:D16)</f>
        <v>360.0938795224763</v>
      </c>
      <c r="E307" s="24">
        <f>AVERAGE(E12:E16)</f>
        <v>219.4653593455003</v>
      </c>
      <c r="F307" s="24">
        <f>AVERAGE(F12:F16)</f>
        <v>252.9030404320664</v>
      </c>
      <c r="G307" s="24">
        <f>AVERAGE(G12:G16)</f>
        <v>9.8068822817049686</v>
      </c>
      <c r="H307" s="18" t="s">
        <v>23</v>
      </c>
      <c r="I307" s="142">
        <f>IF(SUM(I12:I16)&gt;0,AVERAGE(I12:I16),"-")</f>
        <v>544.60995389712593</v>
      </c>
    </row>
    <row r="308" spans="1:10" ht="11.25" customHeight="1">
      <c r="A308" s="99" t="s">
        <v>10</v>
      </c>
      <c r="B308" s="24" t="s">
        <v>23</v>
      </c>
      <c r="C308" s="24" t="s">
        <v>23</v>
      </c>
      <c r="D308" s="24" t="s">
        <v>23</v>
      </c>
      <c r="E308" s="24" t="s">
        <v>23</v>
      </c>
      <c r="F308" s="24" t="s">
        <v>23</v>
      </c>
      <c r="G308" s="24" t="s">
        <v>23</v>
      </c>
      <c r="H308" s="18" t="s">
        <v>23</v>
      </c>
      <c r="I308" s="142" t="str">
        <f>IF(SUM(I17:I21)&gt;0,AVERAGE(I17:I21),"-")</f>
        <v>-</v>
      </c>
    </row>
    <row r="309" spans="1:10" ht="11.25" customHeight="1">
      <c r="A309" s="99" t="s">
        <v>144</v>
      </c>
      <c r="B309" s="24" t="s">
        <v>23</v>
      </c>
      <c r="C309" s="24" t="s">
        <v>23</v>
      </c>
      <c r="D309" s="24" t="s">
        <v>23</v>
      </c>
      <c r="E309" s="24" t="s">
        <v>23</v>
      </c>
      <c r="F309" s="24">
        <f>AVERAGE(F22:F26)</f>
        <v>10</v>
      </c>
      <c r="G309" s="24">
        <f>AVERAGE(G22:G26)</f>
        <v>12.6</v>
      </c>
      <c r="H309" s="18" t="s">
        <v>23</v>
      </c>
      <c r="I309" s="142">
        <f>IF(SUM(I22:I26)&gt;0,AVERAGE(I22:I26),"-")</f>
        <v>14.6</v>
      </c>
    </row>
    <row r="310" spans="1:10" ht="11.25" customHeight="1">
      <c r="A310" s="99" t="s">
        <v>286</v>
      </c>
      <c r="B310" s="24">
        <f>AVERAGE(B27:B31)</f>
        <v>18</v>
      </c>
      <c r="C310" s="24">
        <f t="shared" ref="C310:I310" si="28">AVERAGE(C27:C31)</f>
        <v>2</v>
      </c>
      <c r="D310" s="24">
        <f t="shared" si="28"/>
        <v>3</v>
      </c>
      <c r="E310" s="24">
        <f t="shared" si="28"/>
        <v>36</v>
      </c>
      <c r="F310" s="24">
        <f t="shared" si="28"/>
        <v>97</v>
      </c>
      <c r="G310" s="24">
        <f t="shared" si="28"/>
        <v>61.4</v>
      </c>
      <c r="H310" s="18">
        <f t="shared" si="28"/>
        <v>6</v>
      </c>
      <c r="I310" s="17">
        <f t="shared" si="28"/>
        <v>118.6</v>
      </c>
    </row>
    <row r="311" spans="1:10" ht="11.25" customHeight="1">
      <c r="A311" s="99" t="s">
        <v>315</v>
      </c>
      <c r="B311" s="24" t="s">
        <v>23</v>
      </c>
      <c r="C311" s="24" t="s">
        <v>23</v>
      </c>
      <c r="D311" s="24" t="s">
        <v>23</v>
      </c>
      <c r="E311" s="24" t="s">
        <v>23</v>
      </c>
      <c r="F311" s="24" t="s">
        <v>23</v>
      </c>
      <c r="G311" s="24">
        <f t="shared" ref="G311:I311" si="29">AVERAGE(G32:G36)</f>
        <v>87</v>
      </c>
      <c r="H311" s="18" t="s">
        <v>23</v>
      </c>
      <c r="I311" s="17">
        <f t="shared" si="29"/>
        <v>87</v>
      </c>
    </row>
    <row r="312" spans="1:10" ht="11.25" customHeight="1">
      <c r="A312" s="99">
        <v>2011</v>
      </c>
      <c r="B312" s="24" t="str">
        <f t="shared" ref="B312:B320" si="30">B37</f>
        <v>-</v>
      </c>
      <c r="C312" s="24" t="str">
        <f t="shared" ref="C312:H312" si="31">C37</f>
        <v>-</v>
      </c>
      <c r="D312" s="24" t="str">
        <f t="shared" si="31"/>
        <v>-</v>
      </c>
      <c r="E312" s="24">
        <f t="shared" si="31"/>
        <v>4</v>
      </c>
      <c r="F312" s="24">
        <f t="shared" si="31"/>
        <v>16</v>
      </c>
      <c r="G312" s="24" t="str">
        <f t="shared" si="31"/>
        <v>-</v>
      </c>
      <c r="H312" s="18" t="str">
        <f t="shared" si="31"/>
        <v>-</v>
      </c>
      <c r="I312" s="142">
        <f t="shared" ref="I312:I320" si="32">I37</f>
        <v>20</v>
      </c>
      <c r="J312" s="83"/>
    </row>
    <row r="313" spans="1:10" ht="11.25" customHeight="1">
      <c r="A313" s="99">
        <v>2012</v>
      </c>
      <c r="B313" s="24" t="str">
        <f t="shared" si="30"/>
        <v>-</v>
      </c>
      <c r="C313" s="24" t="str">
        <f t="shared" ref="C313:H313" si="33">C38</f>
        <v>-</v>
      </c>
      <c r="D313" s="24" t="str">
        <f t="shared" si="33"/>
        <v>-</v>
      </c>
      <c r="E313" s="24" t="str">
        <f t="shared" si="33"/>
        <v>-</v>
      </c>
      <c r="F313" s="24" t="str">
        <f t="shared" si="33"/>
        <v>-</v>
      </c>
      <c r="G313" s="24">
        <f t="shared" si="33"/>
        <v>45</v>
      </c>
      <c r="H313" s="18" t="str">
        <f t="shared" si="33"/>
        <v>-</v>
      </c>
      <c r="I313" s="142">
        <f t="shared" si="32"/>
        <v>45</v>
      </c>
      <c r="J313" s="83"/>
    </row>
    <row r="314" spans="1:10" ht="11.25" customHeight="1">
      <c r="A314" s="99">
        <v>2013</v>
      </c>
      <c r="B314" s="24" t="str">
        <f t="shared" si="30"/>
        <v>-</v>
      </c>
      <c r="C314" s="24">
        <f t="shared" ref="C314:H314" si="34">C39</f>
        <v>8</v>
      </c>
      <c r="D314" s="24">
        <f t="shared" si="34"/>
        <v>31</v>
      </c>
      <c r="E314" s="24">
        <f t="shared" si="34"/>
        <v>46</v>
      </c>
      <c r="F314" s="24">
        <f t="shared" si="34"/>
        <v>10</v>
      </c>
      <c r="G314" s="24">
        <f t="shared" si="34"/>
        <v>3</v>
      </c>
      <c r="H314" s="18" t="str">
        <f t="shared" si="34"/>
        <v>-</v>
      </c>
      <c r="I314" s="142">
        <f t="shared" si="32"/>
        <v>98</v>
      </c>
      <c r="J314" s="83"/>
    </row>
    <row r="315" spans="1:10" ht="11.25" customHeight="1">
      <c r="A315" s="99">
        <v>2014</v>
      </c>
      <c r="B315" s="24" t="str">
        <f t="shared" si="30"/>
        <v>-</v>
      </c>
      <c r="C315" s="24" t="str">
        <f t="shared" ref="C315:H315" si="35">C40</f>
        <v>-</v>
      </c>
      <c r="D315" s="24" t="str">
        <f t="shared" si="35"/>
        <v>-</v>
      </c>
      <c r="E315" s="24" t="str">
        <f t="shared" si="35"/>
        <v>-</v>
      </c>
      <c r="F315" s="24" t="str">
        <f t="shared" si="35"/>
        <v>-</v>
      </c>
      <c r="G315" s="24">
        <f t="shared" si="35"/>
        <v>7</v>
      </c>
      <c r="H315" s="18" t="str">
        <f t="shared" si="35"/>
        <v>-</v>
      </c>
      <c r="I315" s="142">
        <f t="shared" si="32"/>
        <v>7</v>
      </c>
      <c r="J315" s="83"/>
    </row>
    <row r="316" spans="1:10" ht="11.25" customHeight="1">
      <c r="A316" s="99">
        <v>2015</v>
      </c>
      <c r="B316" s="24" t="str">
        <f t="shared" si="30"/>
        <v>-</v>
      </c>
      <c r="C316" s="24" t="str">
        <f t="shared" ref="C316:H316" si="36">C41</f>
        <v>-</v>
      </c>
      <c r="D316" s="24" t="str">
        <f t="shared" si="36"/>
        <v>-</v>
      </c>
      <c r="E316" s="24" t="str">
        <f t="shared" si="36"/>
        <v>-</v>
      </c>
      <c r="F316" s="24" t="str">
        <f t="shared" si="36"/>
        <v>-</v>
      </c>
      <c r="G316" s="24">
        <f t="shared" si="36"/>
        <v>10</v>
      </c>
      <c r="H316" s="18" t="str">
        <f t="shared" si="36"/>
        <v>-</v>
      </c>
      <c r="I316" s="142">
        <f t="shared" si="32"/>
        <v>10</v>
      </c>
      <c r="J316" s="83"/>
    </row>
    <row r="317" spans="1:10" ht="11.25" customHeight="1">
      <c r="A317" s="99">
        <v>2016</v>
      </c>
      <c r="B317" s="24" t="str">
        <f t="shared" si="30"/>
        <v>-</v>
      </c>
      <c r="C317" s="24" t="str">
        <f t="shared" ref="C317:H317" si="37">C42</f>
        <v>-</v>
      </c>
      <c r="D317" s="24" t="str">
        <f t="shared" si="37"/>
        <v>-</v>
      </c>
      <c r="E317" s="24" t="str">
        <f t="shared" si="37"/>
        <v>-</v>
      </c>
      <c r="F317" s="24" t="str">
        <f t="shared" si="37"/>
        <v>-</v>
      </c>
      <c r="G317" s="24">
        <f t="shared" si="37"/>
        <v>7</v>
      </c>
      <c r="H317" s="18" t="str">
        <f t="shared" si="37"/>
        <v>-</v>
      </c>
      <c r="I317" s="142">
        <f t="shared" si="32"/>
        <v>7</v>
      </c>
      <c r="J317" s="83"/>
    </row>
    <row r="318" spans="1:10" ht="11.25" customHeight="1">
      <c r="A318" s="99">
        <v>2017</v>
      </c>
      <c r="B318" s="24" t="str">
        <f t="shared" si="30"/>
        <v>-</v>
      </c>
      <c r="C318" s="24" t="str">
        <f t="shared" ref="C318:H318" si="38">C43</f>
        <v>-</v>
      </c>
      <c r="D318" s="24" t="str">
        <f t="shared" si="38"/>
        <v>-</v>
      </c>
      <c r="E318" s="24" t="str">
        <f t="shared" si="38"/>
        <v>-</v>
      </c>
      <c r="F318" s="24" t="str">
        <f t="shared" si="38"/>
        <v>-</v>
      </c>
      <c r="G318" s="24" t="str">
        <f t="shared" si="38"/>
        <v>-</v>
      </c>
      <c r="H318" s="18" t="str">
        <f t="shared" si="38"/>
        <v>-</v>
      </c>
      <c r="I318" s="142" t="str">
        <f t="shared" si="32"/>
        <v>-</v>
      </c>
      <c r="J318" s="83"/>
    </row>
    <row r="319" spans="1:10" ht="11.25" customHeight="1">
      <c r="A319" s="99">
        <v>2018</v>
      </c>
      <c r="B319" s="24" t="str">
        <f t="shared" si="30"/>
        <v>-</v>
      </c>
      <c r="C319" s="24">
        <f t="shared" ref="C319:H319" si="39">C44</f>
        <v>20</v>
      </c>
      <c r="D319" s="24">
        <f t="shared" si="39"/>
        <v>108</v>
      </c>
      <c r="E319" s="24">
        <f t="shared" si="39"/>
        <v>42</v>
      </c>
      <c r="F319" s="24">
        <f t="shared" si="39"/>
        <v>68</v>
      </c>
      <c r="G319" s="24" t="str">
        <f t="shared" si="39"/>
        <v>-</v>
      </c>
      <c r="H319" s="18" t="str">
        <f t="shared" si="39"/>
        <v>-</v>
      </c>
      <c r="I319" s="142">
        <f t="shared" si="32"/>
        <v>238</v>
      </c>
      <c r="J319" s="83"/>
    </row>
    <row r="320" spans="1:10" ht="11.25" customHeight="1">
      <c r="A320" s="99">
        <v>2019</v>
      </c>
      <c r="B320" s="24" t="str">
        <f t="shared" si="30"/>
        <v>-</v>
      </c>
      <c r="C320" s="24" t="str">
        <f t="shared" ref="C320:H320" si="40">C45</f>
        <v>-</v>
      </c>
      <c r="D320" s="24">
        <f t="shared" si="40"/>
        <v>13</v>
      </c>
      <c r="E320" s="24">
        <f t="shared" si="40"/>
        <v>50</v>
      </c>
      <c r="F320" s="24">
        <f t="shared" si="40"/>
        <v>90</v>
      </c>
      <c r="G320" s="24" t="str">
        <f t="shared" si="40"/>
        <v>-</v>
      </c>
      <c r="H320" s="18" t="str">
        <f t="shared" si="40"/>
        <v>-</v>
      </c>
      <c r="I320" s="142">
        <f t="shared" si="32"/>
        <v>153</v>
      </c>
      <c r="J320" s="83"/>
    </row>
    <row r="321" spans="1:10" ht="11.25" customHeight="1">
      <c r="A321" s="99">
        <v>2020</v>
      </c>
      <c r="B321" s="24" t="str">
        <f t="shared" ref="B321:H322" si="41">B46</f>
        <v>-</v>
      </c>
      <c r="C321" s="24" t="str">
        <f t="shared" si="41"/>
        <v>-</v>
      </c>
      <c r="D321" s="24" t="str">
        <f t="shared" si="41"/>
        <v>-</v>
      </c>
      <c r="E321" s="24" t="str">
        <f t="shared" si="41"/>
        <v>-</v>
      </c>
      <c r="F321" s="24" t="str">
        <f t="shared" si="41"/>
        <v>-</v>
      </c>
      <c r="G321" s="24" t="str">
        <f t="shared" si="41"/>
        <v>-</v>
      </c>
      <c r="H321" s="18" t="str">
        <f t="shared" si="41"/>
        <v>-</v>
      </c>
      <c r="I321" s="142" t="str">
        <f t="shared" ref="I321:I322" si="42">I46</f>
        <v>-</v>
      </c>
      <c r="J321" s="83"/>
    </row>
    <row r="322" spans="1:10" ht="11.25" customHeight="1">
      <c r="A322" s="99" t="s">
        <v>314</v>
      </c>
      <c r="B322" s="24" t="str">
        <f t="shared" si="41"/>
        <v>-</v>
      </c>
      <c r="C322" s="24" t="str">
        <f t="shared" si="41"/>
        <v>-</v>
      </c>
      <c r="D322" s="24" t="str">
        <f t="shared" si="41"/>
        <v>-</v>
      </c>
      <c r="E322" s="24" t="str">
        <f t="shared" si="41"/>
        <v>-</v>
      </c>
      <c r="F322" s="24" t="str">
        <f t="shared" si="41"/>
        <v>-</v>
      </c>
      <c r="G322" s="24" t="str">
        <f t="shared" si="41"/>
        <v>-</v>
      </c>
      <c r="H322" s="18" t="str">
        <f t="shared" si="41"/>
        <v>-</v>
      </c>
      <c r="I322" s="142" t="str">
        <f t="shared" si="42"/>
        <v>-</v>
      </c>
      <c r="J322" s="83"/>
    </row>
    <row r="323" spans="1:10" ht="6" customHeight="1">
      <c r="B323" s="24"/>
      <c r="C323" s="24"/>
      <c r="D323" s="24"/>
      <c r="E323" s="24"/>
      <c r="F323" s="24"/>
      <c r="G323" s="24"/>
      <c r="H323" s="18"/>
      <c r="I323" s="142"/>
    </row>
    <row r="324" spans="1:10" ht="11.25" customHeight="1">
      <c r="A324" s="94" t="str">
        <f>A49</f>
        <v>Eureka</v>
      </c>
      <c r="B324" s="24"/>
      <c r="C324" s="24"/>
      <c r="D324" s="24"/>
      <c r="E324" s="24"/>
      <c r="F324" s="24"/>
      <c r="G324" s="24"/>
      <c r="H324" s="18"/>
      <c r="I324" s="142"/>
    </row>
    <row r="325" spans="1:10" ht="11.25" customHeight="1">
      <c r="A325" s="99" t="s">
        <v>78</v>
      </c>
      <c r="B325" s="24" t="s">
        <v>23</v>
      </c>
      <c r="C325" s="24" t="s">
        <v>23</v>
      </c>
      <c r="D325" s="24">
        <f>AVERAGE(D58:D62)</f>
        <v>881.98870178715515</v>
      </c>
      <c r="E325" s="24">
        <f>AVERAGE(E58:E62)</f>
        <v>517.56916803020761</v>
      </c>
      <c r="F325" s="24">
        <f>AVERAGE(F58:F62)</f>
        <v>546.52180240920973</v>
      </c>
      <c r="G325" s="24">
        <f>AVERAGE(G58:G62)</f>
        <v>466.57605698993683</v>
      </c>
      <c r="H325" s="18">
        <f>AVERAGE(H58:H62)</f>
        <v>64</v>
      </c>
      <c r="I325" s="142">
        <f>IF(SUM(I58:I62)&gt;0,AVERAGE(I58:I62),"-")</f>
        <v>1629.1939334712283</v>
      </c>
    </row>
    <row r="326" spans="1:10" ht="11.25" customHeight="1">
      <c r="A326" s="99" t="s">
        <v>10</v>
      </c>
      <c r="B326" s="24" t="s">
        <v>23</v>
      </c>
      <c r="C326" s="24" t="s">
        <v>23</v>
      </c>
      <c r="D326" s="24" t="s">
        <v>23</v>
      </c>
      <c r="E326" s="24" t="s">
        <v>23</v>
      </c>
      <c r="F326" s="24" t="s">
        <v>23</v>
      </c>
      <c r="G326" s="24">
        <f>AVERAGE(G63:G67)</f>
        <v>500</v>
      </c>
      <c r="H326" s="18">
        <f>AVERAGE(H63:H67)</f>
        <v>100</v>
      </c>
      <c r="I326" s="142">
        <f>IF(SUM(I63:I67)&gt;0,AVERAGE(I63:I67),"-")</f>
        <v>600</v>
      </c>
    </row>
    <row r="327" spans="1:10" ht="11.25" customHeight="1">
      <c r="A327" s="99" t="s">
        <v>144</v>
      </c>
      <c r="B327" s="24" t="s">
        <v>23</v>
      </c>
      <c r="C327" s="24" t="s">
        <v>23</v>
      </c>
      <c r="D327" s="24" t="s">
        <v>23</v>
      </c>
      <c r="E327" s="24" t="s">
        <v>23</v>
      </c>
      <c r="F327" s="24">
        <f>AVERAGE(F68:F72)</f>
        <v>128</v>
      </c>
      <c r="G327" s="24">
        <f>AVERAGE(G68:G72)</f>
        <v>176.6</v>
      </c>
      <c r="H327" s="18" t="s">
        <v>23</v>
      </c>
      <c r="I327" s="142">
        <f>IF(SUM(I68:I72)&gt;0,AVERAGE(I68:I72),"-")</f>
        <v>202.2</v>
      </c>
    </row>
    <row r="328" spans="1:10" ht="11.25" customHeight="1">
      <c r="A328" s="99" t="s">
        <v>166</v>
      </c>
      <c r="B328" s="24" t="str">
        <f t="shared" ref="B328:H328" si="43">B73</f>
        <v>-</v>
      </c>
      <c r="C328" s="24" t="str">
        <f t="shared" si="43"/>
        <v>-</v>
      </c>
      <c r="D328" s="24" t="str">
        <f t="shared" si="43"/>
        <v>-</v>
      </c>
      <c r="E328" s="24" t="str">
        <f t="shared" si="43"/>
        <v>-</v>
      </c>
      <c r="F328" s="24">
        <f>AVERAGE(F73:F77)</f>
        <v>94</v>
      </c>
      <c r="G328" s="24">
        <f>AVERAGE(G73:G77)</f>
        <v>242.4</v>
      </c>
      <c r="H328" s="18" t="str">
        <f t="shared" si="43"/>
        <v>-</v>
      </c>
      <c r="I328" s="142">
        <f>AVERAGE(I73:I77)</f>
        <v>261.2</v>
      </c>
    </row>
    <row r="329" spans="1:10" ht="11.25" customHeight="1">
      <c r="A329" s="99" t="s">
        <v>315</v>
      </c>
      <c r="B329" s="24" t="s">
        <v>23</v>
      </c>
      <c r="C329" s="24" t="s">
        <v>23</v>
      </c>
      <c r="D329" s="24" t="s">
        <v>23</v>
      </c>
      <c r="E329" s="24" t="s">
        <v>23</v>
      </c>
      <c r="F329" s="24" t="s">
        <v>23</v>
      </c>
      <c r="G329" s="24">
        <f t="shared" ref="G329:I329" si="44">AVERAGE(G78:G82)</f>
        <v>270</v>
      </c>
      <c r="H329" s="18" t="s">
        <v>23</v>
      </c>
      <c r="I329" s="142">
        <f t="shared" si="44"/>
        <v>270</v>
      </c>
    </row>
    <row r="330" spans="1:10" ht="11.25" customHeight="1">
      <c r="A330" s="99">
        <v>2011</v>
      </c>
      <c r="B330" s="24" t="str">
        <f t="shared" ref="B330:H330" si="45">B83</f>
        <v>-</v>
      </c>
      <c r="C330" s="24" t="str">
        <f t="shared" si="45"/>
        <v>-</v>
      </c>
      <c r="D330" s="24" t="str">
        <f t="shared" si="45"/>
        <v>-</v>
      </c>
      <c r="E330" s="24">
        <f t="shared" si="45"/>
        <v>148</v>
      </c>
      <c r="F330" s="24">
        <f t="shared" si="45"/>
        <v>33</v>
      </c>
      <c r="G330" s="24" t="str">
        <f t="shared" si="45"/>
        <v>-</v>
      </c>
      <c r="H330" s="18" t="str">
        <f t="shared" si="45"/>
        <v>-</v>
      </c>
      <c r="I330" s="142">
        <f t="shared" ref="I330:I338" si="46">I83</f>
        <v>181</v>
      </c>
    </row>
    <row r="331" spans="1:10" ht="11.25" customHeight="1">
      <c r="A331" s="99">
        <v>2012</v>
      </c>
      <c r="B331" s="24" t="str">
        <f t="shared" ref="B331:H331" si="47">B84</f>
        <v>-</v>
      </c>
      <c r="C331" s="24" t="str">
        <f t="shared" si="47"/>
        <v>-</v>
      </c>
      <c r="D331" s="24" t="str">
        <f t="shared" si="47"/>
        <v>-</v>
      </c>
      <c r="E331" s="24" t="str">
        <f t="shared" si="47"/>
        <v>-</v>
      </c>
      <c r="F331" s="24" t="str">
        <f t="shared" si="47"/>
        <v>-</v>
      </c>
      <c r="G331" s="24">
        <f t="shared" si="47"/>
        <v>260</v>
      </c>
      <c r="H331" s="18" t="str">
        <f t="shared" si="47"/>
        <v>-</v>
      </c>
      <c r="I331" s="142">
        <f t="shared" si="46"/>
        <v>260</v>
      </c>
    </row>
    <row r="332" spans="1:10" ht="11.25" customHeight="1">
      <c r="A332" s="99">
        <v>2013</v>
      </c>
      <c r="B332" s="24" t="str">
        <f t="shared" ref="B332:H332" si="48">B85</f>
        <v>-</v>
      </c>
      <c r="C332" s="24">
        <f t="shared" si="48"/>
        <v>174</v>
      </c>
      <c r="D332" s="24">
        <f t="shared" si="48"/>
        <v>129</v>
      </c>
      <c r="E332" s="24">
        <f t="shared" si="48"/>
        <v>111</v>
      </c>
      <c r="F332" s="24">
        <f t="shared" si="48"/>
        <v>103</v>
      </c>
      <c r="G332" s="24">
        <f t="shared" si="48"/>
        <v>46</v>
      </c>
      <c r="H332" s="18" t="str">
        <f t="shared" si="48"/>
        <v>-</v>
      </c>
      <c r="I332" s="142">
        <f t="shared" si="46"/>
        <v>563</v>
      </c>
    </row>
    <row r="333" spans="1:10" ht="11.25" customHeight="1">
      <c r="A333" s="99">
        <v>2014</v>
      </c>
      <c r="B333" s="24" t="str">
        <f t="shared" ref="B333:H333" si="49">B86</f>
        <v>-</v>
      </c>
      <c r="C333" s="24" t="str">
        <f t="shared" si="49"/>
        <v>-</v>
      </c>
      <c r="D333" s="24" t="str">
        <f t="shared" si="49"/>
        <v>-</v>
      </c>
      <c r="E333" s="24" t="str">
        <f t="shared" si="49"/>
        <v>-</v>
      </c>
      <c r="F333" s="24" t="str">
        <f t="shared" si="49"/>
        <v>-</v>
      </c>
      <c r="G333" s="24">
        <f t="shared" si="49"/>
        <v>92</v>
      </c>
      <c r="H333" s="18" t="str">
        <f t="shared" si="49"/>
        <v>-</v>
      </c>
      <c r="I333" s="142">
        <f t="shared" si="46"/>
        <v>92</v>
      </c>
    </row>
    <row r="334" spans="1:10" ht="11.25" customHeight="1">
      <c r="A334" s="99">
        <v>2015</v>
      </c>
      <c r="B334" s="24" t="str">
        <f t="shared" ref="B334:H334" si="50">B87</f>
        <v>-</v>
      </c>
      <c r="C334" s="24" t="str">
        <f t="shared" si="50"/>
        <v>-</v>
      </c>
      <c r="D334" s="24" t="str">
        <f t="shared" si="50"/>
        <v>-</v>
      </c>
      <c r="E334" s="24" t="str">
        <f t="shared" si="50"/>
        <v>-</v>
      </c>
      <c r="F334" s="24" t="str">
        <f t="shared" si="50"/>
        <v>-</v>
      </c>
      <c r="G334" s="24">
        <f t="shared" si="50"/>
        <v>22</v>
      </c>
      <c r="H334" s="18" t="str">
        <f t="shared" si="50"/>
        <v>-</v>
      </c>
      <c r="I334" s="142">
        <f t="shared" si="46"/>
        <v>22</v>
      </c>
    </row>
    <row r="335" spans="1:10" ht="11.25" customHeight="1">
      <c r="A335" s="99">
        <v>2016</v>
      </c>
      <c r="B335" s="24" t="str">
        <f t="shared" ref="B335:H335" si="51">B88</f>
        <v>-</v>
      </c>
      <c r="C335" s="24" t="str">
        <f t="shared" si="51"/>
        <v>-</v>
      </c>
      <c r="D335" s="24" t="str">
        <f t="shared" si="51"/>
        <v>-</v>
      </c>
      <c r="E335" s="24" t="str">
        <f t="shared" si="51"/>
        <v>-</v>
      </c>
      <c r="F335" s="24" t="str">
        <f t="shared" si="51"/>
        <v>-</v>
      </c>
      <c r="G335" s="24">
        <f t="shared" si="51"/>
        <v>52</v>
      </c>
      <c r="H335" s="18" t="str">
        <f t="shared" si="51"/>
        <v>-</v>
      </c>
      <c r="I335" s="142">
        <f t="shared" si="46"/>
        <v>52</v>
      </c>
    </row>
    <row r="336" spans="1:10" ht="11.25" customHeight="1">
      <c r="A336" s="99">
        <v>2017</v>
      </c>
      <c r="B336" s="24" t="str">
        <f t="shared" ref="B336:H336" si="52">B89</f>
        <v>-</v>
      </c>
      <c r="C336" s="24" t="str">
        <f t="shared" si="52"/>
        <v>-</v>
      </c>
      <c r="D336" s="24" t="str">
        <f t="shared" si="52"/>
        <v>-</v>
      </c>
      <c r="E336" s="24" t="str">
        <f t="shared" si="52"/>
        <v>-</v>
      </c>
      <c r="F336" s="24" t="str">
        <f t="shared" si="52"/>
        <v>-</v>
      </c>
      <c r="G336" s="24" t="str">
        <f t="shared" si="52"/>
        <v>-</v>
      </c>
      <c r="H336" s="18" t="str">
        <f t="shared" si="52"/>
        <v>-</v>
      </c>
      <c r="I336" s="142" t="str">
        <f t="shared" si="46"/>
        <v>-</v>
      </c>
    </row>
    <row r="337" spans="1:9" ht="11.25" customHeight="1">
      <c r="A337" s="99">
        <v>2018</v>
      </c>
      <c r="B337" s="24" t="str">
        <f t="shared" ref="B337:H337" si="53">B90</f>
        <v>-</v>
      </c>
      <c r="C337" s="24">
        <f t="shared" si="53"/>
        <v>110</v>
      </c>
      <c r="D337" s="24">
        <f t="shared" si="53"/>
        <v>116</v>
      </c>
      <c r="E337" s="24">
        <f t="shared" si="53"/>
        <v>121</v>
      </c>
      <c r="F337" s="24">
        <f t="shared" si="53"/>
        <v>114</v>
      </c>
      <c r="G337" s="24" t="str">
        <f t="shared" si="53"/>
        <v>-</v>
      </c>
      <c r="H337" s="18" t="str">
        <f t="shared" si="53"/>
        <v>-</v>
      </c>
      <c r="I337" s="142">
        <f t="shared" si="46"/>
        <v>461</v>
      </c>
    </row>
    <row r="338" spans="1:9" ht="11.25" customHeight="1">
      <c r="A338" s="99">
        <v>2019</v>
      </c>
      <c r="B338" s="24" t="str">
        <f t="shared" ref="B338:H338" si="54">B91</f>
        <v>-</v>
      </c>
      <c r="C338" s="24" t="str">
        <f t="shared" si="54"/>
        <v>-</v>
      </c>
      <c r="D338" s="24">
        <f t="shared" si="54"/>
        <v>74</v>
      </c>
      <c r="E338" s="24">
        <f t="shared" si="54"/>
        <v>19</v>
      </c>
      <c r="F338" s="24">
        <f t="shared" si="54"/>
        <v>58</v>
      </c>
      <c r="G338" s="24" t="str">
        <f t="shared" si="54"/>
        <v>-</v>
      </c>
      <c r="H338" s="18" t="str">
        <f t="shared" si="54"/>
        <v>-</v>
      </c>
      <c r="I338" s="142">
        <f t="shared" si="46"/>
        <v>151</v>
      </c>
    </row>
    <row r="339" spans="1:9" ht="11.25" customHeight="1">
      <c r="A339" s="99">
        <v>2020</v>
      </c>
      <c r="B339" s="24" t="str">
        <f t="shared" ref="B339:H340" si="55">B92</f>
        <v>-</v>
      </c>
      <c r="C339" s="24" t="str">
        <f t="shared" si="55"/>
        <v>-</v>
      </c>
      <c r="D339" s="24" t="str">
        <f t="shared" si="55"/>
        <v>-</v>
      </c>
      <c r="E339" s="24" t="str">
        <f t="shared" si="55"/>
        <v>-</v>
      </c>
      <c r="F339" s="24" t="str">
        <f t="shared" si="55"/>
        <v>-</v>
      </c>
      <c r="G339" s="24" t="str">
        <f t="shared" si="55"/>
        <v>-</v>
      </c>
      <c r="H339" s="18" t="str">
        <f t="shared" si="55"/>
        <v>-</v>
      </c>
      <c r="I339" s="142" t="str">
        <f t="shared" ref="I339:I340" si="56">I92</f>
        <v>-</v>
      </c>
    </row>
    <row r="340" spans="1:9" ht="11.25" customHeight="1">
      <c r="A340" s="99" t="s">
        <v>314</v>
      </c>
      <c r="B340" s="24" t="str">
        <f t="shared" si="55"/>
        <v>-</v>
      </c>
      <c r="C340" s="24" t="str">
        <f t="shared" si="55"/>
        <v>-</v>
      </c>
      <c r="D340" s="24" t="str">
        <f t="shared" si="55"/>
        <v>-</v>
      </c>
      <c r="E340" s="24" t="str">
        <f t="shared" si="55"/>
        <v>-</v>
      </c>
      <c r="F340" s="24" t="str">
        <f t="shared" si="55"/>
        <v>-</v>
      </c>
      <c r="G340" s="24" t="str">
        <f t="shared" si="55"/>
        <v>-</v>
      </c>
      <c r="H340" s="18" t="str">
        <f t="shared" si="55"/>
        <v>-</v>
      </c>
      <c r="I340" s="142" t="str">
        <f t="shared" si="56"/>
        <v>-</v>
      </c>
    </row>
    <row r="341" spans="1:9" ht="6" customHeight="1">
      <c r="B341" s="24"/>
      <c r="C341" s="24"/>
      <c r="D341" s="24"/>
      <c r="E341" s="24"/>
      <c r="F341" s="24"/>
      <c r="G341" s="24"/>
      <c r="H341" s="18"/>
      <c r="I341" s="142"/>
    </row>
    <row r="342" spans="1:9" ht="11.25" customHeight="1">
      <c r="A342" s="247" t="str">
        <f>A95</f>
        <v>Fort Bragg</v>
      </c>
      <c r="B342" s="24"/>
      <c r="C342" s="24"/>
      <c r="D342" s="24"/>
      <c r="E342" s="24"/>
      <c r="F342" s="24"/>
      <c r="G342" s="24"/>
      <c r="H342" s="18"/>
      <c r="I342" s="142"/>
    </row>
    <row r="343" spans="1:9" ht="11.25" customHeight="1">
      <c r="A343" s="99" t="s">
        <v>78</v>
      </c>
      <c r="B343" s="24" t="s">
        <v>23</v>
      </c>
      <c r="C343" s="24">
        <f>AVERAGE(C104:C108)</f>
        <v>2775.2564471879286</v>
      </c>
      <c r="D343" s="24">
        <f>AVERAGE(D104:D108)</f>
        <v>3887.1339349522946</v>
      </c>
      <c r="E343" s="24">
        <f>AVERAGE(E104:E108)</f>
        <v>5151.3157543268771</v>
      </c>
      <c r="F343" s="24">
        <f>AVERAGE(F104:F108)</f>
        <v>3801.5450942952348</v>
      </c>
      <c r="G343" s="24">
        <f>AVERAGE(G104:G108)</f>
        <v>776.61706072835818</v>
      </c>
      <c r="H343" s="18" t="s">
        <v>23</v>
      </c>
      <c r="I343" s="142">
        <f>IF(SUM(I104:I108)&gt;0,AVERAGE(I104:I108),"-")</f>
        <v>16391.868291490693</v>
      </c>
    </row>
    <row r="344" spans="1:9" ht="11.25" customHeight="1">
      <c r="A344" s="99" t="s">
        <v>10</v>
      </c>
      <c r="B344" s="24" t="s">
        <v>23</v>
      </c>
      <c r="C344" s="24">
        <f>AVERAGE(C109:C113)</f>
        <v>100</v>
      </c>
      <c r="D344" s="24" t="s">
        <v>23</v>
      </c>
      <c r="E344" s="24" t="s">
        <v>23</v>
      </c>
      <c r="F344" s="24">
        <f>AVERAGE(F109:F113)</f>
        <v>3500</v>
      </c>
      <c r="G344" s="24">
        <f>AVERAGE(G109:G113)</f>
        <v>875</v>
      </c>
      <c r="H344" s="18" t="s">
        <v>23</v>
      </c>
      <c r="I344" s="142">
        <f>IF(SUM(I109:I113)&gt;0,AVERAGE(I109:I113),"-")</f>
        <v>1775</v>
      </c>
    </row>
    <row r="345" spans="1:9" ht="11.25" customHeight="1">
      <c r="A345" s="99" t="s">
        <v>144</v>
      </c>
      <c r="B345" s="24" t="s">
        <v>23</v>
      </c>
      <c r="C345" s="24" t="s">
        <v>23</v>
      </c>
      <c r="D345" s="24" t="s">
        <v>23</v>
      </c>
      <c r="E345" s="24" t="s">
        <v>23</v>
      </c>
      <c r="F345" s="24">
        <f>AVERAGE(F114:F118)</f>
        <v>1300</v>
      </c>
      <c r="G345" s="24">
        <f>AVERAGE(G114:G118)</f>
        <v>535.79999999999995</v>
      </c>
      <c r="H345" s="18" t="s">
        <v>23</v>
      </c>
      <c r="I345" s="142">
        <f>IF(SUM(I114:I118)&gt;0,AVERAGE(I114:I118),"-")</f>
        <v>795.8</v>
      </c>
    </row>
    <row r="346" spans="1:9" ht="11.25" customHeight="1">
      <c r="A346" s="99" t="s">
        <v>166</v>
      </c>
      <c r="B346" s="24" t="str">
        <f>B119</f>
        <v>-</v>
      </c>
      <c r="C346" s="24">
        <f>AVERAGE(C119:C123)</f>
        <v>614</v>
      </c>
      <c r="D346" s="24" t="str">
        <f>D119</f>
        <v>-</v>
      </c>
      <c r="E346" s="24">
        <f>AVERAGE(E119:E123)</f>
        <v>1379.6666666666667</v>
      </c>
      <c r="F346" s="24">
        <f>AVERAGE(F119:F123)</f>
        <v>1925.6666666666667</v>
      </c>
      <c r="G346" s="24">
        <f>AVERAGE(G119:G123)</f>
        <v>1026.2</v>
      </c>
      <c r="H346" s="18" t="str">
        <f>H119</f>
        <v>-</v>
      </c>
      <c r="I346" s="142">
        <f>AVERAGE(I119:I123)</f>
        <v>3255</v>
      </c>
    </row>
    <row r="347" spans="1:9" ht="11.25" customHeight="1">
      <c r="A347" s="99" t="s">
        <v>315</v>
      </c>
      <c r="B347" s="24">
        <f>AVERAGE(B124:B128)</f>
        <v>106</v>
      </c>
      <c r="C347" s="24" t="str">
        <f t="shared" ref="C347:D347" si="57">C124</f>
        <v>-</v>
      </c>
      <c r="D347" s="24" t="str">
        <f t="shared" si="57"/>
        <v>-</v>
      </c>
      <c r="E347" s="24">
        <f t="shared" ref="E347:I347" si="58">AVERAGE(E124:E128)</f>
        <v>616</v>
      </c>
      <c r="F347" s="24">
        <f t="shared" si="58"/>
        <v>1061</v>
      </c>
      <c r="G347" s="24">
        <f t="shared" si="58"/>
        <v>238</v>
      </c>
      <c r="H347" s="18" t="str">
        <f>H124</f>
        <v>-</v>
      </c>
      <c r="I347" s="142">
        <f t="shared" si="58"/>
        <v>1106.6666666666667</v>
      </c>
    </row>
    <row r="348" spans="1:9" ht="11.25" customHeight="1">
      <c r="A348" s="99">
        <v>2011</v>
      </c>
      <c r="B348" s="24" t="str">
        <f t="shared" ref="B348:H348" si="59">B129</f>
        <v>-</v>
      </c>
      <c r="C348" s="24" t="str">
        <f t="shared" si="59"/>
        <v>-</v>
      </c>
      <c r="D348" s="24" t="str">
        <f t="shared" si="59"/>
        <v>-</v>
      </c>
      <c r="E348" s="24">
        <f t="shared" si="59"/>
        <v>596</v>
      </c>
      <c r="F348" s="24">
        <f t="shared" si="59"/>
        <v>1386</v>
      </c>
      <c r="G348" s="24">
        <f t="shared" si="59"/>
        <v>161</v>
      </c>
      <c r="H348" s="18" t="str">
        <f t="shared" si="59"/>
        <v>-</v>
      </c>
      <c r="I348" s="142">
        <f t="shared" ref="I348:I356" si="60">I129</f>
        <v>2143</v>
      </c>
    </row>
    <row r="349" spans="1:9" ht="11.25" customHeight="1">
      <c r="A349" s="99">
        <v>2012</v>
      </c>
      <c r="B349" s="24" t="str">
        <f t="shared" ref="B349:H349" si="61">B130</f>
        <v>-</v>
      </c>
      <c r="C349" s="24" t="str">
        <f t="shared" si="61"/>
        <v>-</v>
      </c>
      <c r="D349" s="24" t="str">
        <f t="shared" si="61"/>
        <v>-</v>
      </c>
      <c r="E349" s="24">
        <f t="shared" si="61"/>
        <v>960</v>
      </c>
      <c r="F349" s="24">
        <f t="shared" si="61"/>
        <v>973</v>
      </c>
      <c r="G349" s="24">
        <f t="shared" si="61"/>
        <v>288</v>
      </c>
      <c r="H349" s="18" t="str">
        <f t="shared" si="61"/>
        <v>-</v>
      </c>
      <c r="I349" s="142">
        <f t="shared" si="60"/>
        <v>2221</v>
      </c>
    </row>
    <row r="350" spans="1:9" ht="11.25" customHeight="1">
      <c r="A350" s="99">
        <v>2013</v>
      </c>
      <c r="B350" s="24" t="str">
        <f t="shared" ref="B350:H350" si="62">B131</f>
        <v>-</v>
      </c>
      <c r="C350" s="24">
        <f t="shared" si="62"/>
        <v>277</v>
      </c>
      <c r="D350" s="24">
        <f t="shared" si="62"/>
        <v>1032</v>
      </c>
      <c r="E350" s="24">
        <f t="shared" si="62"/>
        <v>2221</v>
      </c>
      <c r="F350" s="24">
        <f t="shared" si="62"/>
        <v>1251</v>
      </c>
      <c r="G350" s="24">
        <f t="shared" si="62"/>
        <v>560</v>
      </c>
      <c r="H350" s="18" t="str">
        <f t="shared" si="62"/>
        <v>-</v>
      </c>
      <c r="I350" s="142">
        <f t="shared" si="60"/>
        <v>5341</v>
      </c>
    </row>
    <row r="351" spans="1:9" ht="11.25" customHeight="1">
      <c r="A351" s="99">
        <v>2014</v>
      </c>
      <c r="B351" s="24" t="str">
        <f t="shared" ref="B351:H351" si="63">B132</f>
        <v>-</v>
      </c>
      <c r="C351" s="24" t="str">
        <f t="shared" si="63"/>
        <v>-</v>
      </c>
      <c r="D351" s="24">
        <f t="shared" si="63"/>
        <v>1129</v>
      </c>
      <c r="E351" s="24">
        <f t="shared" si="63"/>
        <v>2208</v>
      </c>
      <c r="F351" s="24">
        <f t="shared" si="63"/>
        <v>825</v>
      </c>
      <c r="G351" s="24">
        <f t="shared" si="63"/>
        <v>99</v>
      </c>
      <c r="H351" s="18" t="str">
        <f t="shared" si="63"/>
        <v>-</v>
      </c>
      <c r="I351" s="142">
        <f t="shared" si="60"/>
        <v>4261</v>
      </c>
    </row>
    <row r="352" spans="1:9" ht="11.25" customHeight="1">
      <c r="A352" s="99">
        <v>2015</v>
      </c>
      <c r="B352" s="24" t="str">
        <f t="shared" ref="B352:H352" si="64">B133</f>
        <v>-</v>
      </c>
      <c r="C352" s="24">
        <f t="shared" si="64"/>
        <v>2376</v>
      </c>
      <c r="D352" s="24">
        <f t="shared" si="64"/>
        <v>987</v>
      </c>
      <c r="E352" s="24">
        <f t="shared" si="64"/>
        <v>768</v>
      </c>
      <c r="F352" s="24">
        <f t="shared" si="64"/>
        <v>623</v>
      </c>
      <c r="G352" s="24">
        <f t="shared" si="64"/>
        <v>217</v>
      </c>
      <c r="H352" s="18" t="str">
        <f t="shared" si="64"/>
        <v>-</v>
      </c>
      <c r="I352" s="142">
        <f t="shared" si="60"/>
        <v>4971</v>
      </c>
    </row>
    <row r="353" spans="1:10" ht="11.25" customHeight="1">
      <c r="A353" s="99">
        <v>2016</v>
      </c>
      <c r="B353" s="24" t="str">
        <f t="shared" ref="B353:H353" si="65">B134</f>
        <v>-</v>
      </c>
      <c r="C353" s="24" t="str">
        <f t="shared" si="65"/>
        <v>-</v>
      </c>
      <c r="D353" s="24">
        <f t="shared" si="65"/>
        <v>663</v>
      </c>
      <c r="E353" s="24" t="str">
        <f t="shared" si="65"/>
        <v>-</v>
      </c>
      <c r="F353" s="24">
        <f t="shared" si="65"/>
        <v>618</v>
      </c>
      <c r="G353" s="24">
        <f t="shared" si="65"/>
        <v>205</v>
      </c>
      <c r="H353" s="18" t="str">
        <f t="shared" si="65"/>
        <v>-</v>
      </c>
      <c r="I353" s="142">
        <f t="shared" si="60"/>
        <v>1486</v>
      </c>
    </row>
    <row r="354" spans="1:10" ht="11.25" customHeight="1">
      <c r="A354" s="99">
        <v>2017</v>
      </c>
      <c r="B354" s="24" t="str">
        <f t="shared" ref="B354:H354" si="66">B135</f>
        <v>-</v>
      </c>
      <c r="C354" s="24" t="str">
        <f t="shared" si="66"/>
        <v>-</v>
      </c>
      <c r="D354" s="24" t="str">
        <f t="shared" si="66"/>
        <v>-</v>
      </c>
      <c r="E354" s="24" t="str">
        <f t="shared" si="66"/>
        <v>-</v>
      </c>
      <c r="F354" s="24" t="str">
        <f t="shared" si="66"/>
        <v>-</v>
      </c>
      <c r="G354" s="24">
        <f t="shared" si="66"/>
        <v>267</v>
      </c>
      <c r="H354" s="18" t="str">
        <f t="shared" si="66"/>
        <v>-</v>
      </c>
      <c r="I354" s="142">
        <f t="shared" si="60"/>
        <v>267</v>
      </c>
    </row>
    <row r="355" spans="1:10" ht="11.25" customHeight="1">
      <c r="A355" s="99">
        <v>2018</v>
      </c>
      <c r="B355" s="24" t="str">
        <f t="shared" ref="B355:H355" si="67">B136</f>
        <v>-</v>
      </c>
      <c r="C355" s="24" t="str">
        <f t="shared" si="67"/>
        <v>-</v>
      </c>
      <c r="D355" s="24" t="str">
        <f t="shared" si="67"/>
        <v>-</v>
      </c>
      <c r="E355" s="24">
        <f t="shared" si="67"/>
        <v>304</v>
      </c>
      <c r="F355" s="24">
        <f t="shared" si="67"/>
        <v>453</v>
      </c>
      <c r="G355" s="24">
        <f t="shared" si="67"/>
        <v>62</v>
      </c>
      <c r="H355" s="18" t="str">
        <f t="shared" si="67"/>
        <v>-</v>
      </c>
      <c r="I355" s="142">
        <f t="shared" si="60"/>
        <v>819</v>
      </c>
    </row>
    <row r="356" spans="1:10" ht="11.25" customHeight="1">
      <c r="A356" s="99">
        <v>2019</v>
      </c>
      <c r="B356" s="24" t="str">
        <f t="shared" ref="B356:H356" si="68">B137</f>
        <v>-</v>
      </c>
      <c r="C356" s="24" t="str">
        <f t="shared" si="68"/>
        <v>-</v>
      </c>
      <c r="D356" s="24">
        <f t="shared" si="68"/>
        <v>306</v>
      </c>
      <c r="E356" s="24">
        <f t="shared" si="68"/>
        <v>319</v>
      </c>
      <c r="F356" s="24">
        <f t="shared" si="68"/>
        <v>415</v>
      </c>
      <c r="G356" s="24" t="str">
        <f t="shared" si="68"/>
        <v>-</v>
      </c>
      <c r="H356" s="18" t="str">
        <f t="shared" si="68"/>
        <v>-</v>
      </c>
      <c r="I356" s="142">
        <f t="shared" si="60"/>
        <v>1040</v>
      </c>
    </row>
    <row r="357" spans="1:10" ht="11.25" customHeight="1">
      <c r="A357" s="99">
        <v>2020</v>
      </c>
      <c r="B357" s="24" t="str">
        <f t="shared" ref="B357:H358" si="69">B138</f>
        <v>-</v>
      </c>
      <c r="C357" s="24" t="str">
        <f t="shared" si="69"/>
        <v>-</v>
      </c>
      <c r="D357" s="24" t="str">
        <f t="shared" si="69"/>
        <v>-</v>
      </c>
      <c r="E357" s="24" t="str">
        <f t="shared" si="69"/>
        <v>-</v>
      </c>
      <c r="F357" s="24">
        <f t="shared" si="69"/>
        <v>126</v>
      </c>
      <c r="G357" s="24">
        <f t="shared" si="69"/>
        <v>93</v>
      </c>
      <c r="H357" s="18" t="str">
        <f t="shared" si="69"/>
        <v>-</v>
      </c>
      <c r="I357" s="142">
        <f t="shared" ref="I357:I358" si="70">I138</f>
        <v>219</v>
      </c>
    </row>
    <row r="358" spans="1:10" ht="11.25" customHeight="1">
      <c r="A358" s="99" t="s">
        <v>314</v>
      </c>
      <c r="B358" s="24" t="str">
        <f t="shared" si="69"/>
        <v>-</v>
      </c>
      <c r="C358" s="24" t="str">
        <f t="shared" si="69"/>
        <v>-</v>
      </c>
      <c r="D358" s="24" t="str">
        <f t="shared" si="69"/>
        <v>-</v>
      </c>
      <c r="E358" s="24" t="str">
        <f t="shared" si="69"/>
        <v>-</v>
      </c>
      <c r="F358" s="24">
        <f t="shared" si="69"/>
        <v>1338</v>
      </c>
      <c r="G358" s="24">
        <f t="shared" si="69"/>
        <v>238</v>
      </c>
      <c r="H358" s="18" t="str">
        <f t="shared" si="69"/>
        <v>-</v>
      </c>
      <c r="I358" s="142">
        <f t="shared" si="70"/>
        <v>1576</v>
      </c>
    </row>
    <row r="359" spans="1:10" ht="6.75" customHeight="1">
      <c r="B359" s="24"/>
      <c r="C359" s="24"/>
      <c r="D359" s="24"/>
      <c r="E359" s="24"/>
      <c r="F359" s="24"/>
      <c r="G359" s="24"/>
      <c r="H359" s="18"/>
      <c r="I359" s="142"/>
    </row>
    <row r="360" spans="1:10" ht="11.25" customHeight="1">
      <c r="A360" s="279" t="s">
        <v>154</v>
      </c>
      <c r="B360" s="279"/>
      <c r="C360" s="279"/>
      <c r="D360" s="279"/>
      <c r="E360" s="279"/>
      <c r="F360" s="279"/>
      <c r="G360" s="279"/>
      <c r="H360" s="279"/>
      <c r="I360" s="279"/>
      <c r="J360" s="279"/>
    </row>
    <row r="361" spans="1:10" ht="11.25" customHeight="1">
      <c r="A361" s="96" t="s">
        <v>27</v>
      </c>
      <c r="B361" s="253" t="s">
        <v>28</v>
      </c>
      <c r="C361" s="253" t="s">
        <v>29</v>
      </c>
      <c r="D361" s="253" t="s">
        <v>30</v>
      </c>
      <c r="E361" s="253" t="s">
        <v>31</v>
      </c>
      <c r="F361" s="253" t="s">
        <v>32</v>
      </c>
      <c r="G361" s="253" t="s">
        <v>33</v>
      </c>
      <c r="H361" s="254" t="s">
        <v>34</v>
      </c>
      <c r="I361" s="255" t="s">
        <v>22</v>
      </c>
      <c r="J361" s="119"/>
    </row>
    <row r="362" spans="1:10" ht="11.25" customHeight="1">
      <c r="A362" s="247" t="str">
        <f>A141</f>
        <v>San Francisco</v>
      </c>
      <c r="B362" s="24"/>
      <c r="C362" s="24"/>
      <c r="D362" s="24"/>
      <c r="E362" s="24"/>
      <c r="F362" s="24"/>
      <c r="G362" s="24"/>
      <c r="H362" s="18"/>
      <c r="I362" s="142"/>
    </row>
    <row r="363" spans="1:10" ht="11.25" customHeight="1">
      <c r="A363" s="99" t="s">
        <v>78</v>
      </c>
      <c r="B363" s="24" t="s">
        <v>23</v>
      </c>
      <c r="C363" s="24">
        <f>AVERAGE(C150:C154)</f>
        <v>6506.4</v>
      </c>
      <c r="D363" s="24">
        <f>AVERAGE(D150:D154)</f>
        <v>7110.6</v>
      </c>
      <c r="E363" s="24">
        <f>AVERAGE(E150:E154)</f>
        <v>5947.8</v>
      </c>
      <c r="F363" s="24">
        <f>AVERAGE(F150:F154)</f>
        <v>4125.3999999999996</v>
      </c>
      <c r="G363" s="24">
        <f>AVERAGE(G150:G154)</f>
        <v>1864.4</v>
      </c>
      <c r="H363" s="18" t="s">
        <v>23</v>
      </c>
      <c r="I363" s="142">
        <f>IF(SUM(I150:I154)&gt;0,AVERAGE(I150:I154),"-")</f>
        <v>25554.6</v>
      </c>
    </row>
    <row r="364" spans="1:10" ht="11.25" customHeight="1">
      <c r="A364" s="99" t="s">
        <v>10</v>
      </c>
      <c r="B364" s="24" t="s">
        <v>23</v>
      </c>
      <c r="C364" s="24">
        <f>AVERAGE(C155:C159)</f>
        <v>3480</v>
      </c>
      <c r="D364" s="24">
        <f>AVERAGE(D155:D159)</f>
        <v>2540</v>
      </c>
      <c r="E364" s="24">
        <f>AVERAGE(E155:E159)</f>
        <v>2700</v>
      </c>
      <c r="F364" s="24">
        <f>AVERAGE(F155:F159)</f>
        <v>2840</v>
      </c>
      <c r="G364" s="24">
        <f>AVERAGE(G155:G159)</f>
        <v>1780</v>
      </c>
      <c r="H364" s="18" t="s">
        <v>23</v>
      </c>
      <c r="I364" s="142">
        <f>IF(SUM(I155:I159)&gt;0,AVERAGE(I155:I159),"-")</f>
        <v>13340</v>
      </c>
    </row>
    <row r="365" spans="1:10" ht="11.25" customHeight="1">
      <c r="A365" s="99" t="s">
        <v>144</v>
      </c>
      <c r="B365" s="24">
        <f t="shared" ref="B365:G365" si="71">AVERAGE(B160:B164)</f>
        <v>100</v>
      </c>
      <c r="C365" s="24">
        <f t="shared" si="71"/>
        <v>1524.6</v>
      </c>
      <c r="D365" s="24">
        <f t="shared" si="71"/>
        <v>1731.8</v>
      </c>
      <c r="E365" s="24">
        <f t="shared" si="71"/>
        <v>2729.8</v>
      </c>
      <c r="F365" s="24">
        <f t="shared" si="71"/>
        <v>1915.8</v>
      </c>
      <c r="G365" s="24">
        <f t="shared" si="71"/>
        <v>1624.2</v>
      </c>
      <c r="H365" s="18" t="s">
        <v>23</v>
      </c>
      <c r="I365" s="142">
        <f>IF(SUM(I160:I164)&gt;0,AVERAGE(I160:I164),"-")</f>
        <v>9546.2000000000007</v>
      </c>
    </row>
    <row r="366" spans="1:10" ht="11.25" customHeight="1">
      <c r="A366" s="99" t="s">
        <v>166</v>
      </c>
      <c r="B366" s="24" t="str">
        <f>B165</f>
        <v>-</v>
      </c>
      <c r="C366" s="24">
        <f t="shared" ref="C366:I366" si="72">AVERAGE(C165:C169)</f>
        <v>2106</v>
      </c>
      <c r="D366" s="24">
        <f t="shared" si="72"/>
        <v>1893.5</v>
      </c>
      <c r="E366" s="24">
        <f t="shared" si="72"/>
        <v>2643.2</v>
      </c>
      <c r="F366" s="24">
        <f t="shared" si="72"/>
        <v>1492.8</v>
      </c>
      <c r="G366" s="24">
        <f t="shared" si="72"/>
        <v>1249.4000000000001</v>
      </c>
      <c r="H366" s="18">
        <f t="shared" si="72"/>
        <v>293.39999999999998</v>
      </c>
      <c r="I366" s="142">
        <f t="shared" si="72"/>
        <v>8878.4</v>
      </c>
    </row>
    <row r="367" spans="1:10" ht="11.25" customHeight="1">
      <c r="A367" s="99" t="s">
        <v>315</v>
      </c>
      <c r="B367" s="24" t="str">
        <f>B170</f>
        <v>-</v>
      </c>
      <c r="C367" s="24">
        <f>AVERAGE(C170:C174)</f>
        <v>1656</v>
      </c>
      <c r="D367" s="24" t="str">
        <f t="shared" ref="D367" si="73">D170</f>
        <v>-</v>
      </c>
      <c r="E367" s="24">
        <f>AVERAGE(E170:E174)</f>
        <v>1271.3333333333333</v>
      </c>
      <c r="F367" s="24">
        <f t="shared" ref="F367:I367" si="74">AVERAGE(F170:F174)</f>
        <v>1850.5</v>
      </c>
      <c r="G367" s="24">
        <f t="shared" si="74"/>
        <v>1377.5</v>
      </c>
      <c r="H367" s="18">
        <f t="shared" si="74"/>
        <v>271</v>
      </c>
      <c r="I367" s="142">
        <f t="shared" si="74"/>
        <v>4156</v>
      </c>
    </row>
    <row r="368" spans="1:10" ht="11.25" customHeight="1">
      <c r="A368" s="99">
        <v>2011</v>
      </c>
      <c r="B368" s="24" t="str">
        <f t="shared" ref="B368:H368" si="75">B175</f>
        <v>-</v>
      </c>
      <c r="C368" s="24">
        <f t="shared" si="75"/>
        <v>900</v>
      </c>
      <c r="D368" s="24">
        <f t="shared" si="75"/>
        <v>164</v>
      </c>
      <c r="E368" s="24">
        <f t="shared" si="75"/>
        <v>873</v>
      </c>
      <c r="F368" s="24">
        <f t="shared" si="75"/>
        <v>394</v>
      </c>
      <c r="G368" s="24">
        <f t="shared" si="75"/>
        <v>459</v>
      </c>
      <c r="H368" s="18">
        <f t="shared" si="75"/>
        <v>117</v>
      </c>
      <c r="I368" s="142">
        <f t="shared" ref="I368:I376" si="76">I175</f>
        <v>2907</v>
      </c>
    </row>
    <row r="369" spans="1:9" ht="11.25" customHeight="1">
      <c r="A369" s="99">
        <v>2012</v>
      </c>
      <c r="B369" s="24" t="str">
        <f t="shared" ref="B369:H369" si="77">B176</f>
        <v>-</v>
      </c>
      <c r="C369" s="24">
        <f t="shared" si="77"/>
        <v>1723</v>
      </c>
      <c r="D369" s="24">
        <f t="shared" si="77"/>
        <v>686</v>
      </c>
      <c r="E369" s="24">
        <f t="shared" si="77"/>
        <v>2199</v>
      </c>
      <c r="F369" s="24">
        <f t="shared" si="77"/>
        <v>1422</v>
      </c>
      <c r="G369" s="24">
        <f t="shared" si="77"/>
        <v>1006</v>
      </c>
      <c r="H369" s="18">
        <f t="shared" si="77"/>
        <v>469</v>
      </c>
      <c r="I369" s="142">
        <f t="shared" si="76"/>
        <v>7505</v>
      </c>
    </row>
    <row r="370" spans="1:9" ht="11.25" customHeight="1">
      <c r="A370" s="99">
        <v>2013</v>
      </c>
      <c r="B370" s="24" t="str">
        <f t="shared" ref="B370:H370" si="78">B177</f>
        <v>-</v>
      </c>
      <c r="C370" s="24">
        <f t="shared" si="78"/>
        <v>2401</v>
      </c>
      <c r="D370" s="24">
        <f t="shared" si="78"/>
        <v>2062</v>
      </c>
      <c r="E370" s="24">
        <f t="shared" si="78"/>
        <v>1358</v>
      </c>
      <c r="F370" s="24">
        <f t="shared" si="78"/>
        <v>1269</v>
      </c>
      <c r="G370" s="24">
        <f t="shared" si="78"/>
        <v>1014</v>
      </c>
      <c r="H370" s="18">
        <f t="shared" si="78"/>
        <v>223</v>
      </c>
      <c r="I370" s="142">
        <f t="shared" si="76"/>
        <v>8327</v>
      </c>
    </row>
    <row r="371" spans="1:9" ht="11.25" customHeight="1">
      <c r="A371" s="99">
        <v>2014</v>
      </c>
      <c r="B371" s="24" t="str">
        <f t="shared" ref="B371:H371" si="79">B178</f>
        <v>-</v>
      </c>
      <c r="C371" s="24">
        <f t="shared" si="79"/>
        <v>2187</v>
      </c>
      <c r="D371" s="24">
        <f t="shared" si="79"/>
        <v>1200</v>
      </c>
      <c r="E371" s="24">
        <f t="shared" si="79"/>
        <v>761</v>
      </c>
      <c r="F371" s="24">
        <f t="shared" si="79"/>
        <v>2058</v>
      </c>
      <c r="G371" s="24">
        <f t="shared" si="79"/>
        <v>1660</v>
      </c>
      <c r="H371" s="18">
        <f t="shared" si="79"/>
        <v>575</v>
      </c>
      <c r="I371" s="142">
        <f t="shared" si="76"/>
        <v>8441</v>
      </c>
    </row>
    <row r="372" spans="1:9" ht="11.25" customHeight="1">
      <c r="A372" s="99">
        <v>2015</v>
      </c>
      <c r="B372" s="24" t="str">
        <f t="shared" ref="B372:H372" si="80">B179</f>
        <v>-</v>
      </c>
      <c r="C372" s="24">
        <f t="shared" si="80"/>
        <v>839</v>
      </c>
      <c r="D372" s="24">
        <f t="shared" si="80"/>
        <v>745</v>
      </c>
      <c r="E372" s="24">
        <f t="shared" si="80"/>
        <v>639</v>
      </c>
      <c r="F372" s="24">
        <f t="shared" si="80"/>
        <v>1250</v>
      </c>
      <c r="G372" s="24">
        <f t="shared" si="80"/>
        <v>1478</v>
      </c>
      <c r="H372" s="18">
        <f t="shared" si="80"/>
        <v>515</v>
      </c>
      <c r="I372" s="142">
        <f t="shared" si="76"/>
        <v>5466</v>
      </c>
    </row>
    <row r="373" spans="1:9" ht="11.25" customHeight="1">
      <c r="A373" s="99">
        <v>2016</v>
      </c>
      <c r="B373" s="24" t="str">
        <f t="shared" ref="B373:H373" si="81">B180</f>
        <v>-</v>
      </c>
      <c r="C373" s="24">
        <f t="shared" si="81"/>
        <v>581</v>
      </c>
      <c r="D373" s="24">
        <f t="shared" si="81"/>
        <v>148</v>
      </c>
      <c r="E373" s="24" t="str">
        <f t="shared" si="81"/>
        <v>-</v>
      </c>
      <c r="F373" s="24">
        <f t="shared" si="81"/>
        <v>1832</v>
      </c>
      <c r="G373" s="24">
        <f t="shared" si="81"/>
        <v>1358</v>
      </c>
      <c r="H373" s="18">
        <f t="shared" si="81"/>
        <v>174</v>
      </c>
      <c r="I373" s="142">
        <f t="shared" si="76"/>
        <v>4093</v>
      </c>
    </row>
    <row r="374" spans="1:9" ht="11.25" customHeight="1">
      <c r="A374" s="99">
        <v>2017</v>
      </c>
      <c r="B374" s="24" t="str">
        <f t="shared" ref="B374:H374" si="82">B181</f>
        <v>-</v>
      </c>
      <c r="C374" s="24" t="str">
        <f t="shared" si="82"/>
        <v>-</v>
      </c>
      <c r="D374" s="24" t="str">
        <f t="shared" si="82"/>
        <v>-</v>
      </c>
      <c r="E374" s="24" t="str">
        <f t="shared" si="82"/>
        <v>-</v>
      </c>
      <c r="F374" s="24">
        <f t="shared" si="82"/>
        <v>2610</v>
      </c>
      <c r="G374" s="24">
        <f t="shared" si="82"/>
        <v>1544</v>
      </c>
      <c r="H374" s="18">
        <f t="shared" si="82"/>
        <v>220</v>
      </c>
      <c r="I374" s="142">
        <f t="shared" si="76"/>
        <v>4374</v>
      </c>
    </row>
    <row r="375" spans="1:9" ht="11.25" customHeight="1">
      <c r="A375" s="99">
        <v>2018</v>
      </c>
      <c r="B375" s="24" t="str">
        <f t="shared" ref="B375:H375" si="83">B182</f>
        <v>-</v>
      </c>
      <c r="C375" s="24" t="str">
        <f t="shared" si="83"/>
        <v>-</v>
      </c>
      <c r="D375" s="24" t="str">
        <f t="shared" si="83"/>
        <v>-</v>
      </c>
      <c r="E375" s="24">
        <f t="shared" si="83"/>
        <v>519</v>
      </c>
      <c r="F375" s="24">
        <f t="shared" si="83"/>
        <v>2298</v>
      </c>
      <c r="G375" s="24">
        <f t="shared" si="83"/>
        <v>1489</v>
      </c>
      <c r="H375" s="18">
        <f t="shared" si="83"/>
        <v>441</v>
      </c>
      <c r="I375" s="142">
        <f t="shared" si="76"/>
        <v>4747</v>
      </c>
    </row>
    <row r="376" spans="1:9" ht="11.25" customHeight="1">
      <c r="A376" s="99">
        <v>2019</v>
      </c>
      <c r="B376" s="24" t="str">
        <f t="shared" ref="B376:H376" si="84">B183</f>
        <v>-</v>
      </c>
      <c r="C376" s="24">
        <f t="shared" si="84"/>
        <v>683</v>
      </c>
      <c r="D376" s="24">
        <f t="shared" si="84"/>
        <v>2014</v>
      </c>
      <c r="E376" s="24">
        <f t="shared" si="84"/>
        <v>1801</v>
      </c>
      <c r="F376" s="24">
        <f t="shared" si="84"/>
        <v>2379</v>
      </c>
      <c r="G376" s="24">
        <f t="shared" si="84"/>
        <v>1108</v>
      </c>
      <c r="H376" s="18">
        <f t="shared" si="84"/>
        <v>251</v>
      </c>
      <c r="I376" s="142">
        <f t="shared" si="76"/>
        <v>8236</v>
      </c>
    </row>
    <row r="377" spans="1:9" ht="11.25" customHeight="1">
      <c r="A377" s="99">
        <v>2020</v>
      </c>
      <c r="B377" s="24" t="str">
        <f t="shared" ref="B377:H378" si="85">B184</f>
        <v>-</v>
      </c>
      <c r="C377" s="24">
        <f t="shared" si="85"/>
        <v>1363</v>
      </c>
      <c r="D377" s="24">
        <f t="shared" si="85"/>
        <v>2515</v>
      </c>
      <c r="E377" s="24">
        <f t="shared" si="85"/>
        <v>2521</v>
      </c>
      <c r="F377" s="24">
        <f t="shared" si="85"/>
        <v>1491</v>
      </c>
      <c r="G377" s="24">
        <f t="shared" si="85"/>
        <v>993</v>
      </c>
      <c r="H377" s="18">
        <f t="shared" si="85"/>
        <v>568</v>
      </c>
      <c r="I377" s="142">
        <f t="shared" ref="I377:I378" si="86">I184</f>
        <v>9451</v>
      </c>
    </row>
    <row r="378" spans="1:9" ht="11.25" customHeight="1">
      <c r="A378" s="99" t="s">
        <v>314</v>
      </c>
      <c r="B378" s="24" t="str">
        <f t="shared" si="85"/>
        <v>-</v>
      </c>
      <c r="C378" s="24" t="str">
        <f t="shared" si="85"/>
        <v>-</v>
      </c>
      <c r="D378" s="24">
        <f t="shared" si="85"/>
        <v>2109</v>
      </c>
      <c r="E378" s="24">
        <f t="shared" si="85"/>
        <v>570</v>
      </c>
      <c r="F378" s="24">
        <f t="shared" si="85"/>
        <v>998</v>
      </c>
      <c r="G378" s="24">
        <f t="shared" si="85"/>
        <v>1086</v>
      </c>
      <c r="H378" s="18">
        <f t="shared" si="85"/>
        <v>317</v>
      </c>
      <c r="I378" s="142">
        <f t="shared" si="86"/>
        <v>5080</v>
      </c>
    </row>
    <row r="379" spans="1:9" ht="3" customHeight="1">
      <c r="B379" s="24"/>
      <c r="C379" s="24"/>
      <c r="D379" s="24"/>
      <c r="E379" s="24"/>
      <c r="F379" s="24"/>
      <c r="G379" s="24"/>
      <c r="H379" s="18"/>
      <c r="I379" s="142"/>
    </row>
    <row r="380" spans="1:9" ht="11.25" customHeight="1">
      <c r="A380" s="247" t="str">
        <f>A187</f>
        <v>Monterey</v>
      </c>
      <c r="B380" s="24"/>
      <c r="C380" s="24"/>
      <c r="D380" s="24"/>
      <c r="E380" s="24"/>
      <c r="F380" s="24"/>
      <c r="G380" s="24"/>
      <c r="H380" s="18"/>
      <c r="I380" s="142"/>
    </row>
    <row r="381" spans="1:9" ht="11.25" customHeight="1">
      <c r="A381" s="99" t="s">
        <v>78</v>
      </c>
      <c r="B381" s="24" t="s">
        <v>23</v>
      </c>
      <c r="C381" s="24">
        <f>AVERAGE(C196:C200)</f>
        <v>5235.3999999999996</v>
      </c>
      <c r="D381" s="24">
        <f>AVERAGE(D196:D200)</f>
        <v>4255</v>
      </c>
      <c r="E381" s="24">
        <f>AVERAGE(E196:E200)</f>
        <v>3367.4</v>
      </c>
      <c r="F381" s="24">
        <f>AVERAGE(F196:F200)</f>
        <v>1334.6</v>
      </c>
      <c r="G381" s="24">
        <f>AVERAGE(G196:G200)</f>
        <v>198.4</v>
      </c>
      <c r="H381" s="18" t="s">
        <v>23</v>
      </c>
      <c r="I381" s="142">
        <f>IF(SUM(I196:I200)&gt;0,AVERAGE(I196:I200),"-")</f>
        <v>14390.8</v>
      </c>
    </row>
    <row r="382" spans="1:9" ht="11.25" customHeight="1">
      <c r="A382" s="99" t="s">
        <v>10</v>
      </c>
      <c r="B382" s="24" t="s">
        <v>23</v>
      </c>
      <c r="C382" s="24">
        <f>AVERAGE(C201:C205)</f>
        <v>4360</v>
      </c>
      <c r="D382" s="24">
        <f>AVERAGE(D201:D205)</f>
        <v>3080</v>
      </c>
      <c r="E382" s="24">
        <f>AVERAGE(E201:E205)</f>
        <v>2460</v>
      </c>
      <c r="F382" s="24">
        <f>AVERAGE(F201:F205)</f>
        <v>780</v>
      </c>
      <c r="G382" s="24">
        <f>AVERAGE(G201:G205)</f>
        <v>140</v>
      </c>
      <c r="H382" s="18" t="s">
        <v>23</v>
      </c>
      <c r="I382" s="142">
        <f>IF(SUM(I201:I205)&gt;0,AVERAGE(I201:I205),"-")</f>
        <v>10820</v>
      </c>
    </row>
    <row r="383" spans="1:9" ht="11.25" customHeight="1">
      <c r="A383" s="99" t="s">
        <v>144</v>
      </c>
      <c r="B383" s="24">
        <f t="shared" ref="B383:G383" si="87">AVERAGE(B206:B210)</f>
        <v>312.5</v>
      </c>
      <c r="C383" s="24">
        <f t="shared" si="87"/>
        <v>3117.4</v>
      </c>
      <c r="D383" s="24">
        <f t="shared" si="87"/>
        <v>2440.8000000000002</v>
      </c>
      <c r="E383" s="24">
        <f t="shared" si="87"/>
        <v>1839.8</v>
      </c>
      <c r="F383" s="24">
        <f t="shared" si="87"/>
        <v>177.75</v>
      </c>
      <c r="G383" s="24">
        <f t="shared" si="87"/>
        <v>93.75</v>
      </c>
      <c r="H383" s="18" t="s">
        <v>23</v>
      </c>
      <c r="I383" s="142">
        <f>IF(SUM(I206:I210)&gt;0,AVERAGE(I206:I210),"-")</f>
        <v>7740.2</v>
      </c>
    </row>
    <row r="384" spans="1:9" ht="11.25" customHeight="1">
      <c r="A384" s="99" t="s">
        <v>166</v>
      </c>
      <c r="B384" s="24" t="str">
        <f>B211</f>
        <v>-</v>
      </c>
      <c r="C384" s="24">
        <f>AVERAGE(C211:C215)</f>
        <v>2317.8000000000002</v>
      </c>
      <c r="D384" s="24">
        <f>AVERAGE(D211:D215)</f>
        <v>851.8</v>
      </c>
      <c r="E384" s="24">
        <f>AVERAGE(E211:E215)</f>
        <v>1069.2</v>
      </c>
      <c r="F384" s="24">
        <f>AVERAGE(F211:F215)</f>
        <v>314.8</v>
      </c>
      <c r="G384" s="24">
        <f>AVERAGE(G211:G215)</f>
        <v>120.4</v>
      </c>
      <c r="H384" s="18" t="str">
        <f>H211</f>
        <v>-</v>
      </c>
      <c r="I384" s="142">
        <f>AVERAGE(I211:I215)</f>
        <v>4674</v>
      </c>
    </row>
    <row r="385" spans="1:9" ht="11.25" customHeight="1">
      <c r="A385" s="99" t="s">
        <v>315</v>
      </c>
      <c r="B385" s="24" t="str">
        <f>B216</f>
        <v>-</v>
      </c>
      <c r="C385" s="24">
        <f>AVERAGE(C216:C220)</f>
        <v>1769</v>
      </c>
      <c r="D385" s="24">
        <f t="shared" ref="D385:I385" si="88">AVERAGE(D216:D220)</f>
        <v>66</v>
      </c>
      <c r="E385" s="24">
        <f t="shared" si="88"/>
        <v>204.33333333333334</v>
      </c>
      <c r="F385" s="24">
        <f t="shared" si="88"/>
        <v>149.5</v>
      </c>
      <c r="G385" s="24">
        <f t="shared" si="88"/>
        <v>89</v>
      </c>
      <c r="H385" s="18" t="str">
        <f>H216</f>
        <v>-</v>
      </c>
      <c r="I385" s="142">
        <f t="shared" si="88"/>
        <v>1586.6666666666667</v>
      </c>
    </row>
    <row r="386" spans="1:9" ht="11.25" customHeight="1">
      <c r="A386" s="99">
        <v>2011</v>
      </c>
      <c r="B386" s="24" t="str">
        <f t="shared" ref="B386:H386" si="89">B221</f>
        <v>-</v>
      </c>
      <c r="C386" s="24">
        <f t="shared" si="89"/>
        <v>979</v>
      </c>
      <c r="D386" s="24">
        <f t="shared" si="89"/>
        <v>340</v>
      </c>
      <c r="E386" s="24">
        <f t="shared" si="89"/>
        <v>268</v>
      </c>
      <c r="F386" s="24">
        <f t="shared" si="89"/>
        <v>117</v>
      </c>
      <c r="G386" s="24">
        <f t="shared" si="89"/>
        <v>18</v>
      </c>
      <c r="H386" s="18" t="str">
        <f t="shared" si="89"/>
        <v>-</v>
      </c>
      <c r="I386" s="142">
        <f t="shared" ref="I386:I394" si="90">I221</f>
        <v>1722</v>
      </c>
    </row>
    <row r="387" spans="1:9" ht="11.25" customHeight="1">
      <c r="A387" s="99">
        <v>2012</v>
      </c>
      <c r="B387" s="24" t="str">
        <f t="shared" ref="B387:H387" si="91">B222</f>
        <v>-</v>
      </c>
      <c r="C387" s="24">
        <f t="shared" si="91"/>
        <v>2015</v>
      </c>
      <c r="D387" s="24">
        <f t="shared" si="91"/>
        <v>907</v>
      </c>
      <c r="E387" s="24">
        <f t="shared" si="91"/>
        <v>1247</v>
      </c>
      <c r="F387" s="24">
        <f t="shared" si="91"/>
        <v>255</v>
      </c>
      <c r="G387" s="24">
        <f t="shared" si="91"/>
        <v>67</v>
      </c>
      <c r="H387" s="18" t="str">
        <f t="shared" si="91"/>
        <v>-</v>
      </c>
      <c r="I387" s="142">
        <f t="shared" si="90"/>
        <v>4491</v>
      </c>
    </row>
    <row r="388" spans="1:9" ht="11.25" customHeight="1">
      <c r="A388" s="99">
        <v>2013</v>
      </c>
      <c r="B388" s="24" t="str">
        <f t="shared" ref="B388:H388" si="92">B223</f>
        <v>-</v>
      </c>
      <c r="C388" s="24">
        <f t="shared" si="92"/>
        <v>1590</v>
      </c>
      <c r="D388" s="24">
        <f t="shared" si="92"/>
        <v>810</v>
      </c>
      <c r="E388" s="24">
        <f t="shared" si="92"/>
        <v>400</v>
      </c>
      <c r="F388" s="24">
        <f t="shared" si="92"/>
        <v>118</v>
      </c>
      <c r="G388" s="24">
        <f t="shared" si="92"/>
        <v>46</v>
      </c>
      <c r="H388" s="18" t="str">
        <f t="shared" si="92"/>
        <v>-</v>
      </c>
      <c r="I388" s="142">
        <f t="shared" si="90"/>
        <v>2964</v>
      </c>
    </row>
    <row r="389" spans="1:9" ht="11.25" customHeight="1">
      <c r="A389" s="99">
        <v>2014</v>
      </c>
      <c r="B389" s="24" t="str">
        <f t="shared" ref="B389:H389" si="93">B224</f>
        <v>-</v>
      </c>
      <c r="C389" s="24">
        <f t="shared" si="93"/>
        <v>824</v>
      </c>
      <c r="D389" s="24">
        <f t="shared" si="93"/>
        <v>353</v>
      </c>
      <c r="E389" s="24">
        <f t="shared" si="93"/>
        <v>312</v>
      </c>
      <c r="F389" s="24">
        <f t="shared" si="93"/>
        <v>104</v>
      </c>
      <c r="G389" s="24" t="str">
        <f t="shared" si="93"/>
        <v>-</v>
      </c>
      <c r="H389" s="18" t="str">
        <f t="shared" si="93"/>
        <v>-</v>
      </c>
      <c r="I389" s="142">
        <f t="shared" si="90"/>
        <v>1593</v>
      </c>
    </row>
    <row r="390" spans="1:9" ht="12.75" customHeight="1">
      <c r="A390" s="99">
        <v>2015</v>
      </c>
      <c r="B390" s="24" t="str">
        <f t="shared" ref="B390:H390" si="94">B225</f>
        <v>-</v>
      </c>
      <c r="C390" s="24">
        <f t="shared" si="94"/>
        <v>1219</v>
      </c>
      <c r="D390" s="24">
        <f t="shared" si="94"/>
        <v>660</v>
      </c>
      <c r="E390" s="24">
        <f t="shared" si="94"/>
        <v>536</v>
      </c>
      <c r="F390" s="24">
        <f t="shared" si="94"/>
        <v>127</v>
      </c>
      <c r="G390" s="24" t="str">
        <f t="shared" si="94"/>
        <v>-</v>
      </c>
      <c r="H390" s="18" t="str">
        <f t="shared" si="94"/>
        <v>-</v>
      </c>
      <c r="I390" s="142">
        <f t="shared" si="90"/>
        <v>2542</v>
      </c>
    </row>
    <row r="391" spans="1:9" ht="11.25" customHeight="1">
      <c r="A391" s="99">
        <v>2016</v>
      </c>
      <c r="B391" s="24" t="str">
        <f t="shared" ref="B391:H391" si="95">B226</f>
        <v>-</v>
      </c>
      <c r="C391" s="24">
        <f t="shared" si="95"/>
        <v>1081</v>
      </c>
      <c r="D391" s="24">
        <f t="shared" si="95"/>
        <v>479</v>
      </c>
      <c r="E391" s="24" t="str">
        <f t="shared" si="95"/>
        <v>-</v>
      </c>
      <c r="F391" s="24" t="str">
        <f t="shared" si="95"/>
        <v>-</v>
      </c>
      <c r="G391" s="24" t="str">
        <f t="shared" si="95"/>
        <v>-</v>
      </c>
      <c r="H391" s="18" t="str">
        <f t="shared" si="95"/>
        <v>-</v>
      </c>
      <c r="I391" s="142">
        <f t="shared" si="90"/>
        <v>1560</v>
      </c>
    </row>
    <row r="392" spans="1:9" ht="11.25" customHeight="1">
      <c r="A392" s="99">
        <v>2017</v>
      </c>
      <c r="B392" s="24" t="str">
        <f t="shared" ref="B392:H392" si="96">B227</f>
        <v>-</v>
      </c>
      <c r="C392" s="24">
        <f t="shared" si="96"/>
        <v>874</v>
      </c>
      <c r="D392" s="24">
        <f t="shared" si="96"/>
        <v>1210</v>
      </c>
      <c r="E392" s="24" t="str">
        <f t="shared" si="96"/>
        <v>-</v>
      </c>
      <c r="F392" s="24" t="str">
        <f t="shared" si="96"/>
        <v>-</v>
      </c>
      <c r="G392" s="24" t="str">
        <f t="shared" si="96"/>
        <v>-</v>
      </c>
      <c r="H392" s="18" t="str">
        <f t="shared" si="96"/>
        <v>-</v>
      </c>
      <c r="I392" s="142">
        <f t="shared" si="90"/>
        <v>2084</v>
      </c>
    </row>
    <row r="393" spans="1:9" ht="11.25" customHeight="1">
      <c r="A393" s="99">
        <v>2018</v>
      </c>
      <c r="B393" s="24" t="str">
        <f t="shared" ref="B393:H393" si="97">B228</f>
        <v>-</v>
      </c>
      <c r="C393" s="24">
        <f t="shared" si="97"/>
        <v>473</v>
      </c>
      <c r="D393" s="24">
        <f t="shared" si="97"/>
        <v>839</v>
      </c>
      <c r="E393" s="24" t="str">
        <f t="shared" si="97"/>
        <v>-</v>
      </c>
      <c r="F393" s="24" t="str">
        <f t="shared" si="97"/>
        <v>-</v>
      </c>
      <c r="G393" s="24" t="str">
        <f t="shared" si="97"/>
        <v>-</v>
      </c>
      <c r="H393" s="18" t="str">
        <f t="shared" si="97"/>
        <v>-</v>
      </c>
      <c r="I393" s="142">
        <f t="shared" si="90"/>
        <v>1312</v>
      </c>
    </row>
    <row r="394" spans="1:9" ht="11.25" customHeight="1">
      <c r="A394" s="99">
        <v>2019</v>
      </c>
      <c r="B394" s="24" t="str">
        <f t="shared" ref="B394:H394" si="98">B229</f>
        <v>-</v>
      </c>
      <c r="C394" s="24">
        <f t="shared" si="98"/>
        <v>3189</v>
      </c>
      <c r="D394" s="24">
        <f t="shared" si="98"/>
        <v>2050</v>
      </c>
      <c r="E394" s="24">
        <f t="shared" si="98"/>
        <v>971</v>
      </c>
      <c r="F394" s="24" t="str">
        <f t="shared" si="98"/>
        <v>-</v>
      </c>
      <c r="G394" s="24" t="str">
        <f t="shared" si="98"/>
        <v>-</v>
      </c>
      <c r="H394" s="18" t="str">
        <f t="shared" si="98"/>
        <v>-</v>
      </c>
      <c r="I394" s="142">
        <f t="shared" si="90"/>
        <v>6210</v>
      </c>
    </row>
    <row r="395" spans="1:9" ht="11.25" customHeight="1">
      <c r="A395" s="99">
        <v>2020</v>
      </c>
      <c r="B395" s="24" t="str">
        <f t="shared" ref="B395:H396" si="99">B230</f>
        <v>-</v>
      </c>
      <c r="C395" s="24">
        <f t="shared" si="99"/>
        <v>1302</v>
      </c>
      <c r="D395" s="24">
        <f t="shared" si="99"/>
        <v>844</v>
      </c>
      <c r="E395" s="24">
        <f t="shared" si="99"/>
        <v>374</v>
      </c>
      <c r="F395" s="24">
        <f t="shared" si="99"/>
        <v>96</v>
      </c>
      <c r="G395" s="24" t="str">
        <f t="shared" si="99"/>
        <v>-</v>
      </c>
      <c r="H395" s="18" t="str">
        <f t="shared" si="99"/>
        <v>-</v>
      </c>
      <c r="I395" s="142">
        <f t="shared" ref="I395:I396" si="100">I230</f>
        <v>2616</v>
      </c>
    </row>
    <row r="396" spans="1:9" ht="11.25" customHeight="1">
      <c r="A396" s="99" t="s">
        <v>314</v>
      </c>
      <c r="B396" s="24" t="str">
        <f t="shared" si="99"/>
        <v>-</v>
      </c>
      <c r="C396" s="24">
        <f t="shared" si="99"/>
        <v>2525</v>
      </c>
      <c r="D396" s="24">
        <f t="shared" si="99"/>
        <v>483</v>
      </c>
      <c r="E396" s="24">
        <f t="shared" si="99"/>
        <v>197</v>
      </c>
      <c r="F396" s="24">
        <f t="shared" si="99"/>
        <v>56</v>
      </c>
      <c r="G396" s="24" t="str">
        <f t="shared" si="99"/>
        <v>-</v>
      </c>
      <c r="H396" s="18" t="str">
        <f t="shared" si="99"/>
        <v>-</v>
      </c>
      <c r="I396" s="142">
        <f t="shared" si="100"/>
        <v>3261</v>
      </c>
    </row>
    <row r="397" spans="1:9" ht="3" customHeight="1">
      <c r="B397" s="24"/>
      <c r="C397" s="24"/>
      <c r="D397" s="24"/>
      <c r="E397" s="24"/>
      <c r="F397" s="24"/>
      <c r="G397" s="24"/>
      <c r="H397" s="18"/>
      <c r="I397" s="142"/>
    </row>
    <row r="398" spans="1:9" ht="11.25" customHeight="1">
      <c r="A398" s="103" t="s">
        <v>287</v>
      </c>
      <c r="B398" s="24"/>
      <c r="C398" s="24"/>
      <c r="D398" s="24"/>
      <c r="E398" s="24"/>
      <c r="F398" s="24"/>
      <c r="G398" s="24"/>
      <c r="H398" s="18"/>
      <c r="I398" s="142"/>
    </row>
    <row r="399" spans="1:9" ht="11.25" customHeight="1">
      <c r="A399" s="99" t="s">
        <v>78</v>
      </c>
      <c r="B399" s="24" t="s">
        <v>23</v>
      </c>
      <c r="C399" s="24">
        <f t="shared" ref="C399:H399" si="101">AVERAGE(C242:C246)</f>
        <v>14524.256447187927</v>
      </c>
      <c r="D399" s="24">
        <f t="shared" si="101"/>
        <v>16246.4</v>
      </c>
      <c r="E399" s="24">
        <f t="shared" si="101"/>
        <v>14657.81573167112</v>
      </c>
      <c r="F399" s="24">
        <f t="shared" si="101"/>
        <v>9741.2000000000007</v>
      </c>
      <c r="G399" s="24">
        <f t="shared" si="101"/>
        <v>3315.8</v>
      </c>
      <c r="H399" s="18">
        <f t="shared" si="101"/>
        <v>64</v>
      </c>
      <c r="I399" s="142">
        <f>IF(SUM(I242:I246)&gt;0,AVERAGE(I242:I246),"-")</f>
        <v>58511.072178859053</v>
      </c>
    </row>
    <row r="400" spans="1:9" ht="11.25" customHeight="1">
      <c r="A400" s="99" t="s">
        <v>10</v>
      </c>
      <c r="B400" s="24" t="s">
        <v>23</v>
      </c>
      <c r="C400" s="24">
        <f t="shared" ref="C400:H400" si="102">AVERAGE(C247:C251)</f>
        <v>7860</v>
      </c>
      <c r="D400" s="24">
        <f t="shared" si="102"/>
        <v>5620</v>
      </c>
      <c r="E400" s="24">
        <f t="shared" si="102"/>
        <v>5160</v>
      </c>
      <c r="F400" s="24">
        <f t="shared" si="102"/>
        <v>4320</v>
      </c>
      <c r="G400" s="24">
        <f t="shared" si="102"/>
        <v>2720</v>
      </c>
      <c r="H400" s="18">
        <f t="shared" si="102"/>
        <v>100</v>
      </c>
      <c r="I400" s="142">
        <f>IF(SUM(I247:I251)&gt;0,AVERAGE(I247:I251),"-")</f>
        <v>25700</v>
      </c>
    </row>
    <row r="401" spans="1:10" ht="11.25" customHeight="1">
      <c r="A401" s="99" t="s">
        <v>144</v>
      </c>
      <c r="B401" s="24">
        <f t="shared" ref="B401:G401" si="103">AVERAGE(B252:B256)</f>
        <v>362.5</v>
      </c>
      <c r="C401" s="24">
        <f t="shared" si="103"/>
        <v>4642</v>
      </c>
      <c r="D401" s="24">
        <f t="shared" si="103"/>
        <v>4172.6000000000004</v>
      </c>
      <c r="E401" s="24">
        <f t="shared" si="103"/>
        <v>4569.6000000000004</v>
      </c>
      <c r="F401" s="24">
        <f t="shared" si="103"/>
        <v>2345.6</v>
      </c>
      <c r="G401" s="24">
        <f t="shared" si="103"/>
        <v>2424.1999999999998</v>
      </c>
      <c r="H401" s="18" t="s">
        <v>23</v>
      </c>
      <c r="I401" s="142">
        <f>IF(SUM(I252:I256)&gt;0,AVERAGE(I252:I256),"-")</f>
        <v>18299</v>
      </c>
    </row>
    <row r="402" spans="1:10" ht="11.25" customHeight="1">
      <c r="A402" s="99" t="s">
        <v>166</v>
      </c>
      <c r="B402" s="24">
        <f t="shared" ref="B402:I402" si="104">AVERAGE(B257:B261)</f>
        <v>18</v>
      </c>
      <c r="C402" s="24">
        <f>AVERAGE(C257:C261)</f>
        <v>4248.6000000000004</v>
      </c>
      <c r="D402" s="24">
        <f t="shared" si="104"/>
        <v>2367.8000000000002</v>
      </c>
      <c r="E402" s="24">
        <f t="shared" si="104"/>
        <v>4547.3999999999996</v>
      </c>
      <c r="F402" s="24">
        <f t="shared" si="104"/>
        <v>3020.6</v>
      </c>
      <c r="G402" s="24">
        <f t="shared" si="104"/>
        <v>2699.8</v>
      </c>
      <c r="H402" s="18">
        <f t="shared" si="104"/>
        <v>295.8</v>
      </c>
      <c r="I402" s="142">
        <f t="shared" si="104"/>
        <v>17187.2</v>
      </c>
    </row>
    <row r="403" spans="1:10" ht="11.25" customHeight="1">
      <c r="A403" s="99" t="s">
        <v>315</v>
      </c>
      <c r="B403" s="24">
        <f>AVERAGE(B262:B266)</f>
        <v>106</v>
      </c>
      <c r="C403" s="24">
        <f t="shared" ref="C403:I403" si="105">AVERAGE(C262:C266)</f>
        <v>2597</v>
      </c>
      <c r="D403" s="24">
        <f t="shared" si="105"/>
        <v>66</v>
      </c>
      <c r="E403" s="24">
        <f t="shared" si="105"/>
        <v>1681</v>
      </c>
      <c r="F403" s="24">
        <f t="shared" si="105"/>
        <v>2040.6666666666667</v>
      </c>
      <c r="G403" s="24">
        <f t="shared" si="105"/>
        <v>1883</v>
      </c>
      <c r="H403" s="18">
        <f t="shared" si="105"/>
        <v>271</v>
      </c>
      <c r="I403" s="142">
        <f t="shared" si="105"/>
        <v>6968.333333333333</v>
      </c>
    </row>
    <row r="404" spans="1:10" ht="11.25" customHeight="1">
      <c r="A404" s="99">
        <v>2011</v>
      </c>
      <c r="B404" s="24" t="str">
        <f t="shared" ref="B404:H404" si="106">B267</f>
        <v>-</v>
      </c>
      <c r="C404" s="24">
        <f t="shared" si="106"/>
        <v>1879</v>
      </c>
      <c r="D404" s="24">
        <f t="shared" si="106"/>
        <v>504</v>
      </c>
      <c r="E404" s="24">
        <f t="shared" si="106"/>
        <v>1889</v>
      </c>
      <c r="F404" s="24">
        <f t="shared" si="106"/>
        <v>1946</v>
      </c>
      <c r="G404" s="24">
        <f t="shared" si="106"/>
        <v>638</v>
      </c>
      <c r="H404" s="18">
        <f t="shared" si="106"/>
        <v>117</v>
      </c>
      <c r="I404" s="142">
        <f t="shared" ref="I404:I412" si="107">I267</f>
        <v>6973</v>
      </c>
    </row>
    <row r="405" spans="1:10" ht="11.25" customHeight="1">
      <c r="A405" s="99">
        <v>2012</v>
      </c>
      <c r="B405" s="24" t="str">
        <f t="shared" ref="B405:H405" si="108">B268</f>
        <v>-</v>
      </c>
      <c r="C405" s="24">
        <f t="shared" si="108"/>
        <v>3738</v>
      </c>
      <c r="D405" s="24">
        <f t="shared" si="108"/>
        <v>1593</v>
      </c>
      <c r="E405" s="24">
        <f t="shared" si="108"/>
        <v>4406</v>
      </c>
      <c r="F405" s="24">
        <f t="shared" si="108"/>
        <v>2650</v>
      </c>
      <c r="G405" s="24">
        <f t="shared" si="108"/>
        <v>1666</v>
      </c>
      <c r="H405" s="18">
        <f t="shared" si="108"/>
        <v>469</v>
      </c>
      <c r="I405" s="142">
        <f t="shared" si="107"/>
        <v>14522</v>
      </c>
    </row>
    <row r="406" spans="1:10" ht="11.25" customHeight="1">
      <c r="A406" s="99">
        <v>2013</v>
      </c>
      <c r="B406" s="24" t="str">
        <f t="shared" ref="B406:H406" si="109">B269</f>
        <v>-</v>
      </c>
      <c r="C406" s="24">
        <f t="shared" si="109"/>
        <v>4450</v>
      </c>
      <c r="D406" s="24">
        <f t="shared" si="109"/>
        <v>4064</v>
      </c>
      <c r="E406" s="24">
        <f t="shared" si="109"/>
        <v>4136</v>
      </c>
      <c r="F406" s="24">
        <f t="shared" si="109"/>
        <v>2751</v>
      </c>
      <c r="G406" s="24">
        <f t="shared" si="109"/>
        <v>1669</v>
      </c>
      <c r="H406" s="18">
        <f t="shared" si="109"/>
        <v>223</v>
      </c>
      <c r="I406" s="142">
        <f t="shared" si="107"/>
        <v>17293</v>
      </c>
    </row>
    <row r="407" spans="1:10" ht="11.25" customHeight="1">
      <c r="A407" s="99">
        <v>2014</v>
      </c>
      <c r="B407" s="24" t="str">
        <f t="shared" ref="B407:H407" si="110">B270</f>
        <v>-</v>
      </c>
      <c r="C407" s="24">
        <f t="shared" si="110"/>
        <v>3011</v>
      </c>
      <c r="D407" s="24">
        <f t="shared" si="110"/>
        <v>2682</v>
      </c>
      <c r="E407" s="24">
        <f t="shared" si="110"/>
        <v>3281</v>
      </c>
      <c r="F407" s="24">
        <f t="shared" si="110"/>
        <v>2987</v>
      </c>
      <c r="G407" s="24">
        <f t="shared" si="110"/>
        <v>1858</v>
      </c>
      <c r="H407" s="18">
        <f t="shared" si="110"/>
        <v>575</v>
      </c>
      <c r="I407" s="142">
        <f t="shared" si="107"/>
        <v>14394</v>
      </c>
    </row>
    <row r="408" spans="1:10" ht="11.25" customHeight="1">
      <c r="A408" s="99">
        <v>2015</v>
      </c>
      <c r="B408" s="24" t="str">
        <f t="shared" ref="B408:H408" si="111">B271</f>
        <v>-</v>
      </c>
      <c r="C408" s="24">
        <f t="shared" si="111"/>
        <v>4434</v>
      </c>
      <c r="D408" s="24">
        <f t="shared" si="111"/>
        <v>2392</v>
      </c>
      <c r="E408" s="24">
        <f t="shared" si="111"/>
        <v>1943</v>
      </c>
      <c r="F408" s="24">
        <f t="shared" si="111"/>
        <v>2000</v>
      </c>
      <c r="G408" s="24">
        <f t="shared" si="111"/>
        <v>1727</v>
      </c>
      <c r="H408" s="18">
        <f t="shared" si="111"/>
        <v>515</v>
      </c>
      <c r="I408" s="142">
        <f t="shared" si="107"/>
        <v>13011</v>
      </c>
    </row>
    <row r="409" spans="1:10" ht="11.25" customHeight="1">
      <c r="A409" s="99">
        <v>2016</v>
      </c>
      <c r="B409" s="24" t="str">
        <f t="shared" ref="B409:H409" si="112">B272</f>
        <v>-</v>
      </c>
      <c r="C409" s="24">
        <f t="shared" si="112"/>
        <v>1662</v>
      </c>
      <c r="D409" s="24">
        <f t="shared" si="112"/>
        <v>1290</v>
      </c>
      <c r="E409" s="24" t="str">
        <f t="shared" si="112"/>
        <v>-</v>
      </c>
      <c r="F409" s="24">
        <f t="shared" si="112"/>
        <v>2450</v>
      </c>
      <c r="G409" s="24">
        <f t="shared" si="112"/>
        <v>1622</v>
      </c>
      <c r="H409" s="18">
        <f t="shared" si="112"/>
        <v>174</v>
      </c>
      <c r="I409" s="142">
        <f t="shared" si="107"/>
        <v>7198</v>
      </c>
    </row>
    <row r="410" spans="1:10" ht="11.25" customHeight="1">
      <c r="A410" s="99">
        <v>2017</v>
      </c>
      <c r="B410" s="24" t="str">
        <f t="shared" ref="B410:H410" si="113">B273</f>
        <v>-</v>
      </c>
      <c r="C410" s="24">
        <f t="shared" si="113"/>
        <v>874</v>
      </c>
      <c r="D410" s="24">
        <f t="shared" si="113"/>
        <v>1210</v>
      </c>
      <c r="E410" s="24" t="str">
        <f t="shared" si="113"/>
        <v>-</v>
      </c>
      <c r="F410" s="24">
        <f t="shared" si="113"/>
        <v>2610</v>
      </c>
      <c r="G410" s="24">
        <f t="shared" si="113"/>
        <v>1811</v>
      </c>
      <c r="H410" s="18">
        <f t="shared" si="113"/>
        <v>220</v>
      </c>
      <c r="I410" s="142">
        <f t="shared" si="107"/>
        <v>6725</v>
      </c>
    </row>
    <row r="411" spans="1:10" ht="11.25" customHeight="1">
      <c r="A411" s="99">
        <v>2018</v>
      </c>
      <c r="B411" s="24" t="str">
        <f t="shared" ref="B411:H411" si="114">B274</f>
        <v>-</v>
      </c>
      <c r="C411" s="24">
        <f t="shared" si="114"/>
        <v>603</v>
      </c>
      <c r="D411" s="24">
        <f t="shared" si="114"/>
        <v>1063</v>
      </c>
      <c r="E411" s="24">
        <f t="shared" si="114"/>
        <v>986</v>
      </c>
      <c r="F411" s="24">
        <f t="shared" si="114"/>
        <v>2933</v>
      </c>
      <c r="G411" s="24">
        <f t="shared" si="114"/>
        <v>1551</v>
      </c>
      <c r="H411" s="18">
        <f t="shared" si="114"/>
        <v>441</v>
      </c>
      <c r="I411" s="142">
        <f t="shared" si="107"/>
        <v>7577</v>
      </c>
    </row>
    <row r="412" spans="1:10" ht="11.25" customHeight="1">
      <c r="A412" s="99">
        <v>2019</v>
      </c>
      <c r="B412" s="24" t="str">
        <f t="shared" ref="B412:H412" si="115">B275</f>
        <v>-</v>
      </c>
      <c r="C412" s="24">
        <f t="shared" si="115"/>
        <v>3872</v>
      </c>
      <c r="D412" s="24">
        <f t="shared" si="115"/>
        <v>4457</v>
      </c>
      <c r="E412" s="24">
        <f t="shared" si="115"/>
        <v>3160</v>
      </c>
      <c r="F412" s="24">
        <f t="shared" si="115"/>
        <v>2942</v>
      </c>
      <c r="G412" s="24">
        <f t="shared" si="115"/>
        <v>1108</v>
      </c>
      <c r="H412" s="18">
        <f t="shared" si="115"/>
        <v>251</v>
      </c>
      <c r="I412" s="142">
        <f t="shared" si="107"/>
        <v>15790</v>
      </c>
    </row>
    <row r="413" spans="1:10" ht="11.25" customHeight="1">
      <c r="A413" s="99">
        <v>2020</v>
      </c>
      <c r="B413" s="24" t="str">
        <f t="shared" ref="B413:H414" si="116">B276</f>
        <v>-</v>
      </c>
      <c r="C413" s="24">
        <f>C276</f>
        <v>2665</v>
      </c>
      <c r="D413" s="24">
        <f t="shared" si="116"/>
        <v>3359</v>
      </c>
      <c r="E413" s="24">
        <f t="shared" si="116"/>
        <v>2895</v>
      </c>
      <c r="F413" s="24">
        <f t="shared" si="116"/>
        <v>1713</v>
      </c>
      <c r="G413" s="24">
        <f t="shared" si="116"/>
        <v>1086</v>
      </c>
      <c r="H413" s="18">
        <f t="shared" si="116"/>
        <v>568</v>
      </c>
      <c r="I413" s="142">
        <f t="shared" ref="I413:I414" si="117">I276</f>
        <v>12286</v>
      </c>
    </row>
    <row r="414" spans="1:10" ht="11.25" customHeight="1">
      <c r="A414" s="99" t="s">
        <v>314</v>
      </c>
      <c r="B414" s="24" t="str">
        <f t="shared" si="116"/>
        <v>-</v>
      </c>
      <c r="C414" s="24">
        <f>C277</f>
        <v>2525</v>
      </c>
      <c r="D414" s="24">
        <f t="shared" si="116"/>
        <v>2592</v>
      </c>
      <c r="E414" s="24">
        <f t="shared" si="116"/>
        <v>767</v>
      </c>
      <c r="F414" s="24">
        <f t="shared" si="116"/>
        <v>2392</v>
      </c>
      <c r="G414" s="24">
        <f t="shared" si="116"/>
        <v>1324</v>
      </c>
      <c r="H414" s="18">
        <f t="shared" si="116"/>
        <v>317</v>
      </c>
      <c r="I414" s="142">
        <f t="shared" si="117"/>
        <v>9917</v>
      </c>
      <c r="J414" s="195"/>
    </row>
    <row r="415" spans="1:10">
      <c r="A415" s="223" t="str">
        <f>A278</f>
        <v>a/  Includes minor effort off Oregon for fish landed in California.</v>
      </c>
      <c r="B415" s="223"/>
      <c r="C415" s="223"/>
      <c r="D415" s="223"/>
      <c r="E415" s="223"/>
      <c r="F415" s="223"/>
      <c r="G415" s="223"/>
      <c r="H415" s="223"/>
      <c r="I415" s="223"/>
    </row>
    <row r="416" spans="1:10">
      <c r="A416" s="280" t="s">
        <v>182</v>
      </c>
      <c r="B416" s="280"/>
      <c r="C416" s="280"/>
      <c r="D416" s="280"/>
      <c r="E416" s="280"/>
      <c r="F416" s="280"/>
      <c r="G416" s="280"/>
      <c r="H416" s="280"/>
      <c r="I416" s="1"/>
    </row>
    <row r="417" spans="1:18">
      <c r="A417" s="280"/>
      <c r="B417" s="280"/>
      <c r="C417" s="280"/>
      <c r="D417" s="280"/>
      <c r="E417" s="280"/>
      <c r="F417" s="280"/>
      <c r="G417" s="280"/>
      <c r="H417" s="280"/>
      <c r="I417" s="1"/>
    </row>
    <row r="418" spans="1:18" ht="9.75" customHeight="1">
      <c r="A418" s="71" t="str">
        <f>A281</f>
        <v>c/  Preliminary.</v>
      </c>
      <c r="B418" s="227"/>
      <c r="C418" s="227"/>
      <c r="D418" s="227"/>
      <c r="E418" s="227"/>
      <c r="F418" s="227"/>
      <c r="G418" s="227"/>
      <c r="H418" s="227"/>
      <c r="I418" s="227"/>
      <c r="J418" s="71"/>
      <c r="K418" s="71"/>
      <c r="L418" s="71"/>
      <c r="M418" s="71"/>
      <c r="N418" s="71"/>
      <c r="O418" s="71"/>
      <c r="P418" s="71"/>
      <c r="Q418" s="71"/>
      <c r="R418" s="71"/>
    </row>
    <row r="419" spans="1:18" ht="12" customHeight="1">
      <c r="A419" s="278"/>
      <c r="B419" s="278"/>
      <c r="C419" s="278"/>
      <c r="D419" s="278"/>
      <c r="E419" s="278"/>
      <c r="F419" s="278"/>
      <c r="G419" s="278"/>
      <c r="H419" s="278"/>
      <c r="I419" s="278"/>
      <c r="J419" s="122"/>
    </row>
    <row r="420" spans="1:18" ht="12" customHeight="1">
      <c r="A420" s="256"/>
      <c r="B420" s="256"/>
      <c r="C420" s="256"/>
      <c r="D420" s="256"/>
      <c r="E420" s="256"/>
      <c r="F420" s="256"/>
      <c r="G420" s="256"/>
      <c r="H420" s="256"/>
      <c r="I420" s="256"/>
      <c r="J420" s="257"/>
    </row>
    <row r="421" spans="1:18" ht="12" customHeight="1">
      <c r="A421" s="256"/>
      <c r="B421" s="256"/>
      <c r="C421" s="256"/>
      <c r="D421" s="256"/>
      <c r="E421" s="256"/>
      <c r="F421" s="256"/>
      <c r="G421" s="256"/>
      <c r="H421" s="256"/>
      <c r="I421" s="256"/>
      <c r="J421" s="122"/>
    </row>
    <row r="422" spans="1:18" ht="11.25" customHeight="1">
      <c r="A422" s="258"/>
      <c r="B422" s="258"/>
      <c r="C422" s="258"/>
      <c r="D422" s="258"/>
      <c r="E422" s="258"/>
      <c r="F422" s="258"/>
      <c r="G422" s="258"/>
      <c r="H422" s="258"/>
      <c r="I422" s="258"/>
    </row>
    <row r="423" spans="1:18" ht="11.25" customHeight="1">
      <c r="A423" s="259"/>
    </row>
    <row r="424" spans="1:18" ht="11.25" customHeight="1">
      <c r="A424" s="259"/>
    </row>
    <row r="425" spans="1:18" ht="11.25" customHeight="1"/>
    <row r="426" spans="1:18" ht="11.25" customHeight="1"/>
    <row r="427" spans="1:18" ht="11.25" customHeight="1"/>
    <row r="428" spans="1:18" ht="11.25" customHeight="1"/>
    <row r="429" spans="1:18" ht="11.25" customHeight="1"/>
    <row r="430" spans="1:18" ht="11.25" customHeight="1"/>
    <row r="431" spans="1:18" ht="11.25" customHeight="1"/>
    <row r="432" spans="1:18" ht="11.25" customHeight="1"/>
    <row r="433" ht="11.25" customHeight="1"/>
    <row r="434" ht="11.25" customHeight="1"/>
    <row r="435" ht="11.25" customHeight="1"/>
    <row r="436" ht="11.25" customHeight="1"/>
    <row r="437" ht="11.25" customHeight="1"/>
    <row r="438" ht="11.25" customHeight="1"/>
    <row r="439" ht="11.25" customHeight="1"/>
    <row r="440" ht="11.25" customHeight="1"/>
    <row r="441" ht="11.25" customHeight="1"/>
    <row r="442" ht="11.25" customHeight="1"/>
    <row r="443" ht="11.25" customHeight="1"/>
    <row r="444" ht="11.25" customHeight="1"/>
    <row r="445" ht="11.25" customHeight="1"/>
    <row r="446" ht="11.25" customHeight="1"/>
    <row r="447" ht="11.25" customHeight="1"/>
    <row r="448" ht="11.25" customHeight="1"/>
    <row r="449" ht="11.25" customHeight="1"/>
    <row r="450" ht="11.25" customHeight="1"/>
    <row r="451" ht="11.25" customHeight="1"/>
    <row r="452" ht="11.25" customHeight="1"/>
    <row r="453" ht="11.25" customHeight="1"/>
    <row r="454" ht="11.25" customHeight="1"/>
    <row r="455" ht="11.25" customHeight="1"/>
    <row r="456" ht="11.25" customHeight="1"/>
    <row r="457" ht="11.25" customHeight="1"/>
    <row r="458" ht="11.25" customHeight="1"/>
    <row r="459" ht="11.25" customHeight="1"/>
    <row r="460" ht="11.25" customHeight="1"/>
    <row r="461" ht="11.25" customHeight="1"/>
    <row r="462" ht="11.25" customHeight="1"/>
    <row r="463" ht="11.25" customHeight="1"/>
    <row r="464" ht="11.25" customHeight="1"/>
    <row r="465" ht="11.25" customHeight="1"/>
    <row r="466" ht="11.25" customHeight="1"/>
    <row r="467" ht="11.25" customHeight="1"/>
    <row r="468" ht="11.25" customHeight="1"/>
    <row r="469" ht="11.25" customHeight="1"/>
    <row r="470" ht="11.25" customHeight="1"/>
    <row r="471" ht="11.25" customHeight="1"/>
    <row r="472" ht="11.25" customHeight="1"/>
    <row r="473" ht="11.25" customHeight="1"/>
    <row r="474" ht="11.25" customHeight="1"/>
    <row r="475" ht="11.25" customHeight="1"/>
    <row r="476" ht="11.25" customHeight="1"/>
    <row r="477" ht="11.25" customHeight="1"/>
    <row r="478" ht="11.25" customHeight="1"/>
    <row r="479" ht="11.25" customHeight="1"/>
    <row r="480" ht="11.25" customHeight="1"/>
    <row r="481" ht="11.25" customHeight="1"/>
    <row r="482" ht="11.25" customHeight="1"/>
    <row r="483" ht="11.25" customHeight="1"/>
    <row r="484" ht="11.25" customHeight="1"/>
    <row r="485" ht="11.25" customHeight="1"/>
    <row r="486" ht="11.25" customHeight="1"/>
    <row r="487" ht="11.25" customHeight="1"/>
    <row r="488" ht="11.25" customHeight="1"/>
    <row r="489" ht="11.25" customHeight="1"/>
    <row r="490" ht="11.25" customHeight="1"/>
    <row r="491" ht="11.25" customHeight="1"/>
    <row r="492" ht="11.25" customHeight="1"/>
    <row r="493" ht="11.25" customHeight="1"/>
    <row r="494" ht="11.25" customHeight="1"/>
    <row r="495" ht="11.25" customHeight="1"/>
    <row r="496" ht="11.25" customHeight="1"/>
    <row r="497" ht="11.25" customHeight="1"/>
    <row r="498" ht="11.25" customHeight="1"/>
    <row r="499" ht="11.25" customHeight="1"/>
    <row r="500" ht="11.25" customHeight="1"/>
    <row r="501" ht="11.25" customHeight="1"/>
    <row r="502" ht="11.25" customHeight="1"/>
    <row r="503" ht="11.25" customHeight="1"/>
    <row r="504" ht="11.25" customHeight="1"/>
    <row r="505" ht="11.25" customHeight="1"/>
    <row r="506" ht="11.25" customHeight="1"/>
    <row r="507" ht="11.25" customHeight="1"/>
    <row r="508" ht="11.25" customHeight="1"/>
    <row r="509" ht="11.25" customHeight="1"/>
    <row r="510" ht="11.25" customHeight="1"/>
    <row r="511" ht="11.25" customHeight="1"/>
    <row r="512"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row r="529" ht="11.25" customHeight="1"/>
    <row r="530" ht="11.25" customHeight="1"/>
    <row r="531" ht="11.25" customHeight="1"/>
    <row r="532" ht="11.25" customHeight="1"/>
    <row r="533" ht="11.25" customHeight="1"/>
    <row r="534" ht="11.25" customHeight="1"/>
    <row r="535" ht="11.25" customHeight="1"/>
    <row r="536" ht="11.25" customHeight="1"/>
    <row r="537" ht="11.25" customHeight="1"/>
    <row r="538" ht="11.25" customHeight="1"/>
    <row r="539" ht="11.25" customHeight="1"/>
    <row r="540" ht="11.25" customHeight="1"/>
    <row r="541" ht="11.25" customHeight="1"/>
    <row r="542" ht="11.25" customHeight="1"/>
    <row r="543" ht="11.25" customHeight="1"/>
    <row r="544" ht="11.25" customHeight="1"/>
    <row r="545" ht="11.25" customHeight="1"/>
    <row r="546" ht="11.25" customHeight="1"/>
    <row r="547" ht="11.25" customHeight="1"/>
    <row r="548" ht="11.25" customHeight="1"/>
    <row r="549" ht="11.25" customHeight="1"/>
    <row r="550" ht="11.25" customHeight="1"/>
  </sheetData>
  <mergeCells count="6">
    <mergeCell ref="A419:I419"/>
    <mergeCell ref="A1:I1"/>
    <mergeCell ref="A279:H280"/>
    <mergeCell ref="A304:J304"/>
    <mergeCell ref="A360:J360"/>
    <mergeCell ref="A416:H417"/>
  </mergeCells>
  <pageMargins left="0.7" right="0.7" top="0.75" bottom="0.75" header="0.3" footer="0.3"/>
  <pageSetup scale="95" orientation="portrait" r:id="rId1"/>
  <rowBreaks count="2" manualBreakCount="2">
    <brk id="359" max="9" man="1"/>
    <brk id="418" max="9"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6"/>
  <dimension ref="A1:AL429"/>
  <sheetViews>
    <sheetView showGridLines="0" zoomScaleNormal="100" zoomScaleSheetLayoutView="100" workbookViewId="0">
      <selection activeCell="N421" sqref="N421"/>
    </sheetView>
  </sheetViews>
  <sheetFormatPr baseColWidth="10" defaultColWidth="9" defaultRowHeight="11"/>
  <cols>
    <col min="1" max="1" width="8.1640625" style="99" customWidth="1"/>
    <col min="2" max="8" width="6.33203125" style="142" customWidth="1"/>
    <col min="9" max="9" width="6.83203125" style="142" bestFit="1" customWidth="1"/>
    <col min="10" max="10" width="1.6640625" style="142" customWidth="1"/>
    <col min="11" max="11" width="4.1640625" style="142" customWidth="1"/>
    <col min="12" max="16" width="6.33203125" style="142" customWidth="1"/>
    <col min="17" max="17" width="6" style="142" customWidth="1"/>
    <col min="18" max="18" width="6.33203125" style="142" customWidth="1"/>
    <col min="19" max="16384" width="9" style="1"/>
  </cols>
  <sheetData>
    <row r="1" spans="1:38">
      <c r="A1" s="283" t="s">
        <v>158</v>
      </c>
      <c r="B1" s="283"/>
      <c r="C1" s="283"/>
      <c r="D1" s="283"/>
      <c r="E1" s="283"/>
      <c r="F1" s="283"/>
      <c r="G1" s="283"/>
      <c r="H1" s="283"/>
      <c r="I1" s="283"/>
      <c r="J1" s="283"/>
      <c r="K1" s="283"/>
      <c r="L1" s="283"/>
      <c r="M1" s="283"/>
      <c r="N1" s="283"/>
      <c r="O1" s="283"/>
      <c r="P1" s="283"/>
      <c r="Q1" s="283"/>
      <c r="R1" s="283"/>
      <c r="T1" s="71" t="s">
        <v>124</v>
      </c>
    </row>
    <row r="2" spans="1:38" s="119" customFormat="1">
      <c r="A2" s="2" t="s">
        <v>27</v>
      </c>
      <c r="B2" s="46" t="s">
        <v>28</v>
      </c>
      <c r="C2" s="46" t="s">
        <v>29</v>
      </c>
      <c r="D2" s="46" t="s">
        <v>30</v>
      </c>
      <c r="E2" s="46" t="s">
        <v>31</v>
      </c>
      <c r="F2" s="46" t="s">
        <v>32</v>
      </c>
      <c r="G2" s="46" t="s">
        <v>33</v>
      </c>
      <c r="H2" s="46" t="s">
        <v>34</v>
      </c>
      <c r="I2" s="284" t="s">
        <v>22</v>
      </c>
      <c r="J2" s="284"/>
      <c r="K2" s="46" t="s">
        <v>28</v>
      </c>
      <c r="L2" s="46" t="s">
        <v>29</v>
      </c>
      <c r="M2" s="46" t="s">
        <v>30</v>
      </c>
      <c r="N2" s="46" t="s">
        <v>31</v>
      </c>
      <c r="O2" s="46" t="s">
        <v>32</v>
      </c>
      <c r="P2" s="46" t="s">
        <v>33</v>
      </c>
      <c r="Q2" s="46" t="s">
        <v>34</v>
      </c>
      <c r="R2" s="46" t="s">
        <v>22</v>
      </c>
      <c r="T2" s="115" t="s">
        <v>114</v>
      </c>
      <c r="U2" s="115" t="s">
        <v>114</v>
      </c>
      <c r="V2" s="115" t="s">
        <v>114</v>
      </c>
      <c r="W2" s="115" t="s">
        <v>114</v>
      </c>
      <c r="X2" s="115" t="s">
        <v>114</v>
      </c>
      <c r="Y2" s="115" t="s">
        <v>114</v>
      </c>
      <c r="Z2" s="115" t="s">
        <v>114</v>
      </c>
      <c r="AA2" s="115" t="s">
        <v>114</v>
      </c>
      <c r="AB2" s="115" t="s">
        <v>114</v>
      </c>
      <c r="AD2" s="71" t="s">
        <v>125</v>
      </c>
      <c r="AE2" s="1"/>
      <c r="AF2" s="1"/>
      <c r="AG2" s="1"/>
      <c r="AH2" s="1"/>
      <c r="AI2" s="1"/>
      <c r="AJ2" s="1"/>
      <c r="AK2" s="1"/>
      <c r="AL2" s="1"/>
    </row>
    <row r="3" spans="1:38" ht="9.75" customHeight="1">
      <c r="B3" s="285" t="s">
        <v>61</v>
      </c>
      <c r="C3" s="285"/>
      <c r="D3" s="285"/>
      <c r="E3" s="285"/>
      <c r="F3" s="285"/>
      <c r="G3" s="285"/>
      <c r="H3" s="285"/>
      <c r="I3" s="285"/>
      <c r="J3" s="14"/>
      <c r="K3" s="285" t="s">
        <v>62</v>
      </c>
      <c r="L3" s="285"/>
      <c r="M3" s="285"/>
      <c r="N3" s="285"/>
      <c r="O3" s="285"/>
      <c r="P3" s="285"/>
      <c r="Q3" s="285"/>
      <c r="R3" s="285"/>
      <c r="T3" s="6" t="s">
        <v>115</v>
      </c>
      <c r="U3" s="6" t="s">
        <v>116</v>
      </c>
      <c r="V3" s="6" t="s">
        <v>117</v>
      </c>
      <c r="W3" s="73" t="s">
        <v>118</v>
      </c>
      <c r="X3" s="73" t="s">
        <v>119</v>
      </c>
      <c r="Y3" s="73" t="s">
        <v>120</v>
      </c>
      <c r="Z3" s="73" t="s">
        <v>121</v>
      </c>
      <c r="AA3" s="73" t="s">
        <v>122</v>
      </c>
      <c r="AB3" s="73" t="s">
        <v>123</v>
      </c>
      <c r="AD3" s="72" t="s">
        <v>114</v>
      </c>
      <c r="AE3" s="72" t="s">
        <v>114</v>
      </c>
      <c r="AF3" s="72" t="s">
        <v>114</v>
      </c>
      <c r="AG3" s="72" t="s">
        <v>114</v>
      </c>
      <c r="AH3" s="72" t="s">
        <v>114</v>
      </c>
      <c r="AI3" s="72" t="s">
        <v>114</v>
      </c>
      <c r="AJ3" s="72" t="s">
        <v>114</v>
      </c>
      <c r="AK3" s="72" t="s">
        <v>114</v>
      </c>
      <c r="AL3" s="72" t="s">
        <v>114</v>
      </c>
    </row>
    <row r="4" spans="1:38" ht="15" customHeight="1">
      <c r="A4" s="94" t="s">
        <v>243</v>
      </c>
      <c r="AD4" s="6" t="s">
        <v>115</v>
      </c>
      <c r="AE4" s="6" t="s">
        <v>116</v>
      </c>
      <c r="AF4" s="6" t="s">
        <v>117</v>
      </c>
      <c r="AG4" s="73" t="s">
        <v>118</v>
      </c>
      <c r="AH4" s="73" t="s">
        <v>119</v>
      </c>
      <c r="AI4" s="73" t="s">
        <v>120</v>
      </c>
      <c r="AJ4" s="73" t="s">
        <v>121</v>
      </c>
      <c r="AK4" s="73" t="s">
        <v>122</v>
      </c>
      <c r="AL4" s="73" t="s">
        <v>123</v>
      </c>
    </row>
    <row r="5" spans="1:38">
      <c r="A5" s="99">
        <v>1976</v>
      </c>
      <c r="B5" s="142">
        <v>55</v>
      </c>
      <c r="C5" s="142">
        <v>4129</v>
      </c>
      <c r="D5" s="142">
        <v>9894</v>
      </c>
      <c r="E5" s="142">
        <v>2977</v>
      </c>
      <c r="F5" s="142">
        <v>3382</v>
      </c>
      <c r="G5" s="142">
        <v>534</v>
      </c>
      <c r="H5" s="142" t="s">
        <v>23</v>
      </c>
      <c r="I5" s="57">
        <f t="shared" ref="I5:I13" si="0">SUM(B5:H5)</f>
        <v>20971</v>
      </c>
      <c r="K5" s="142" t="s">
        <v>23</v>
      </c>
      <c r="L5" s="142">
        <v>24964</v>
      </c>
      <c r="M5" s="142">
        <v>77293</v>
      </c>
      <c r="N5" s="142">
        <v>26460</v>
      </c>
      <c r="O5" s="142">
        <v>3729</v>
      </c>
      <c r="P5" s="142">
        <v>608</v>
      </c>
      <c r="Q5" s="142" t="s">
        <v>23</v>
      </c>
      <c r="R5" s="57">
        <f t="shared" ref="R5:R13" si="1">SUM(K5:Q5)</f>
        <v>133054</v>
      </c>
      <c r="T5" s="31">
        <v>1976</v>
      </c>
      <c r="U5" s="1">
        <v>0</v>
      </c>
      <c r="V5" s="1">
        <v>0</v>
      </c>
      <c r="W5" s="1">
        <v>0</v>
      </c>
      <c r="X5" s="1">
        <v>0</v>
      </c>
      <c r="Y5" s="1">
        <v>0</v>
      </c>
      <c r="Z5" s="1">
        <v>0</v>
      </c>
      <c r="AA5" s="1">
        <v>0</v>
      </c>
      <c r="AB5" s="74">
        <f t="shared" ref="AB5:AB19" si="2">SUM(U5:AA5)</f>
        <v>0</v>
      </c>
      <c r="AD5" s="99">
        <v>1976</v>
      </c>
      <c r="AE5" s="1">
        <v>0</v>
      </c>
      <c r="AF5" s="1">
        <v>0</v>
      </c>
      <c r="AG5" s="1">
        <v>0</v>
      </c>
      <c r="AH5" s="1">
        <v>0</v>
      </c>
      <c r="AI5" s="1">
        <v>0</v>
      </c>
      <c r="AJ5" s="1">
        <v>0</v>
      </c>
      <c r="AK5" s="1">
        <v>0</v>
      </c>
      <c r="AL5" s="74">
        <f t="shared" ref="AL5:AL19" si="3">SUM(AE5:AK5)</f>
        <v>0</v>
      </c>
    </row>
    <row r="6" spans="1:38">
      <c r="A6" s="99">
        <v>1977</v>
      </c>
      <c r="B6" s="142">
        <v>556</v>
      </c>
      <c r="C6" s="142">
        <v>12608</v>
      </c>
      <c r="D6" s="142">
        <v>5836</v>
      </c>
      <c r="E6" s="142">
        <v>8950</v>
      </c>
      <c r="F6" s="142">
        <v>7098</v>
      </c>
      <c r="G6" s="142">
        <v>1237</v>
      </c>
      <c r="H6" s="142" t="s">
        <v>23</v>
      </c>
      <c r="I6" s="57">
        <f t="shared" si="0"/>
        <v>36285</v>
      </c>
      <c r="K6" s="142" t="s">
        <v>23</v>
      </c>
      <c r="L6" s="142">
        <v>2729</v>
      </c>
      <c r="M6" s="142">
        <v>4607</v>
      </c>
      <c r="N6" s="142">
        <v>8519</v>
      </c>
      <c r="O6" s="142">
        <v>2823</v>
      </c>
      <c r="P6" s="142">
        <v>47</v>
      </c>
      <c r="Q6" s="142" t="s">
        <v>23</v>
      </c>
      <c r="R6" s="57">
        <f t="shared" si="1"/>
        <v>18725</v>
      </c>
      <c r="T6" s="31">
        <v>1977</v>
      </c>
      <c r="U6" s="1">
        <v>0</v>
      </c>
      <c r="V6" s="1">
        <v>0</v>
      </c>
      <c r="W6" s="1">
        <v>0</v>
      </c>
      <c r="X6" s="1">
        <v>0</v>
      </c>
      <c r="Y6" s="1">
        <v>0</v>
      </c>
      <c r="Z6" s="1">
        <v>0</v>
      </c>
      <c r="AA6" s="1">
        <v>0</v>
      </c>
      <c r="AB6" s="74">
        <f t="shared" si="2"/>
        <v>0</v>
      </c>
      <c r="AD6" s="99">
        <v>1977</v>
      </c>
      <c r="AE6" s="1">
        <v>0</v>
      </c>
      <c r="AF6" s="1">
        <v>0</v>
      </c>
      <c r="AG6" s="1">
        <v>0</v>
      </c>
      <c r="AH6" s="1">
        <v>0</v>
      </c>
      <c r="AI6" s="1">
        <v>0</v>
      </c>
      <c r="AJ6" s="1">
        <v>0</v>
      </c>
      <c r="AK6" s="1">
        <v>0</v>
      </c>
      <c r="AL6" s="74">
        <f t="shared" si="3"/>
        <v>0</v>
      </c>
    </row>
    <row r="7" spans="1:38">
      <c r="A7" s="99">
        <v>1978</v>
      </c>
      <c r="B7" s="57">
        <v>1053</v>
      </c>
      <c r="C7" s="57">
        <v>25472</v>
      </c>
      <c r="D7" s="57">
        <v>28342</v>
      </c>
      <c r="E7" s="57">
        <v>2438</v>
      </c>
      <c r="F7" s="57">
        <v>1649</v>
      </c>
      <c r="G7" s="57">
        <v>682</v>
      </c>
      <c r="H7" s="57" t="s">
        <v>23</v>
      </c>
      <c r="I7" s="57">
        <f t="shared" si="0"/>
        <v>59636</v>
      </c>
      <c r="J7" s="57"/>
      <c r="K7" s="57" t="s">
        <v>23</v>
      </c>
      <c r="L7" s="57">
        <v>14019</v>
      </c>
      <c r="M7" s="57">
        <v>87060</v>
      </c>
      <c r="N7" s="57">
        <v>12163</v>
      </c>
      <c r="O7" s="57">
        <v>2592</v>
      </c>
      <c r="P7" s="57">
        <v>490</v>
      </c>
      <c r="Q7" s="57" t="s">
        <v>23</v>
      </c>
      <c r="R7" s="57">
        <f t="shared" si="1"/>
        <v>116324</v>
      </c>
      <c r="T7" s="31">
        <v>1978</v>
      </c>
      <c r="U7" s="1">
        <v>0</v>
      </c>
      <c r="V7" s="1">
        <v>0</v>
      </c>
      <c r="W7" s="1">
        <v>0</v>
      </c>
      <c r="X7" s="1">
        <v>0</v>
      </c>
      <c r="Y7" s="1">
        <v>0</v>
      </c>
      <c r="Z7" s="1">
        <v>0</v>
      </c>
      <c r="AA7" s="1">
        <v>0</v>
      </c>
      <c r="AB7" s="74">
        <f t="shared" si="2"/>
        <v>0</v>
      </c>
      <c r="AD7" s="99">
        <v>1978</v>
      </c>
      <c r="AE7" s="1">
        <v>0</v>
      </c>
      <c r="AF7" s="1">
        <v>0</v>
      </c>
      <c r="AG7" s="1">
        <v>0</v>
      </c>
      <c r="AH7" s="1">
        <v>0</v>
      </c>
      <c r="AI7" s="1">
        <v>0</v>
      </c>
      <c r="AJ7" s="1">
        <v>0</v>
      </c>
      <c r="AK7" s="1">
        <v>0</v>
      </c>
      <c r="AL7" s="74">
        <f t="shared" si="3"/>
        <v>0</v>
      </c>
    </row>
    <row r="8" spans="1:38">
      <c r="A8" s="99">
        <v>1979</v>
      </c>
      <c r="B8" s="57">
        <v>0</v>
      </c>
      <c r="C8" s="57">
        <v>11464</v>
      </c>
      <c r="D8" s="57">
        <v>11043</v>
      </c>
      <c r="E8" s="57">
        <v>32189</v>
      </c>
      <c r="F8" s="57">
        <v>15321</v>
      </c>
      <c r="G8" s="57">
        <v>1766</v>
      </c>
      <c r="H8" s="57" t="s">
        <v>23</v>
      </c>
      <c r="I8" s="57">
        <f t="shared" si="0"/>
        <v>71783</v>
      </c>
      <c r="J8" s="57"/>
      <c r="K8" s="57" t="s">
        <v>23</v>
      </c>
      <c r="L8" s="57">
        <v>7610</v>
      </c>
      <c r="M8" s="57">
        <v>17549</v>
      </c>
      <c r="N8" s="57">
        <v>46028</v>
      </c>
      <c r="O8" s="57">
        <v>4784</v>
      </c>
      <c r="P8" s="57">
        <v>245</v>
      </c>
      <c r="Q8" s="57" t="s">
        <v>23</v>
      </c>
      <c r="R8" s="57">
        <f t="shared" si="1"/>
        <v>76216</v>
      </c>
      <c r="T8" s="31">
        <v>1979</v>
      </c>
      <c r="U8" s="1">
        <v>0</v>
      </c>
      <c r="V8" s="1">
        <v>0</v>
      </c>
      <c r="W8" s="1">
        <v>0</v>
      </c>
      <c r="X8" s="1">
        <v>0</v>
      </c>
      <c r="Y8" s="1">
        <v>0</v>
      </c>
      <c r="Z8" s="1">
        <v>0</v>
      </c>
      <c r="AA8" s="1">
        <v>0</v>
      </c>
      <c r="AB8" s="74">
        <f t="shared" si="2"/>
        <v>0</v>
      </c>
      <c r="AD8" s="99">
        <v>1979</v>
      </c>
      <c r="AE8" s="1">
        <v>0</v>
      </c>
      <c r="AF8" s="1">
        <v>0</v>
      </c>
      <c r="AG8" s="1">
        <v>0</v>
      </c>
      <c r="AH8" s="1">
        <v>0</v>
      </c>
      <c r="AI8" s="1">
        <v>0</v>
      </c>
      <c r="AJ8" s="1">
        <v>0</v>
      </c>
      <c r="AK8" s="1">
        <v>0</v>
      </c>
      <c r="AL8" s="74">
        <f t="shared" si="3"/>
        <v>0</v>
      </c>
    </row>
    <row r="9" spans="1:38">
      <c r="A9" s="99">
        <v>1980</v>
      </c>
      <c r="B9" s="57" t="s">
        <v>23</v>
      </c>
      <c r="C9" s="57">
        <v>16919</v>
      </c>
      <c r="D9" s="57" t="s">
        <v>23</v>
      </c>
      <c r="E9" s="57">
        <v>4849</v>
      </c>
      <c r="F9" s="57">
        <v>5277</v>
      </c>
      <c r="G9" s="57">
        <v>5577</v>
      </c>
      <c r="H9" s="57" t="s">
        <v>23</v>
      </c>
      <c r="I9" s="57">
        <f t="shared" si="0"/>
        <v>32622</v>
      </c>
      <c r="J9" s="57"/>
      <c r="K9" s="57" t="s">
        <v>23</v>
      </c>
      <c r="L9" s="57">
        <v>745</v>
      </c>
      <c r="M9" s="57" t="s">
        <v>23</v>
      </c>
      <c r="N9" s="57">
        <v>9025</v>
      </c>
      <c r="O9" s="57">
        <v>3504</v>
      </c>
      <c r="P9" s="57">
        <v>3071</v>
      </c>
      <c r="Q9" s="57" t="s">
        <v>23</v>
      </c>
      <c r="R9" s="57">
        <f t="shared" si="1"/>
        <v>16345</v>
      </c>
      <c r="T9" s="31">
        <v>1980</v>
      </c>
      <c r="U9" s="1">
        <v>0</v>
      </c>
      <c r="V9" s="1">
        <v>0</v>
      </c>
      <c r="W9" s="1">
        <v>0</v>
      </c>
      <c r="X9" s="1">
        <v>0</v>
      </c>
      <c r="Y9" s="1">
        <v>0</v>
      </c>
      <c r="Z9" s="1">
        <v>0</v>
      </c>
      <c r="AA9" s="1">
        <v>0</v>
      </c>
      <c r="AB9" s="74">
        <f t="shared" si="2"/>
        <v>0</v>
      </c>
      <c r="AD9" s="99">
        <v>1980</v>
      </c>
      <c r="AE9" s="1">
        <v>0</v>
      </c>
      <c r="AF9" s="1">
        <v>0</v>
      </c>
      <c r="AG9" s="1">
        <v>0</v>
      </c>
      <c r="AH9" s="1">
        <v>0</v>
      </c>
      <c r="AI9" s="1">
        <v>0</v>
      </c>
      <c r="AJ9" s="1">
        <v>0</v>
      </c>
      <c r="AK9" s="1">
        <v>0</v>
      </c>
      <c r="AL9" s="74">
        <f t="shared" si="3"/>
        <v>0</v>
      </c>
    </row>
    <row r="10" spans="1:38">
      <c r="A10" s="99">
        <v>1981</v>
      </c>
      <c r="B10" s="57" t="s">
        <v>23</v>
      </c>
      <c r="C10" s="57">
        <v>27868</v>
      </c>
      <c r="D10" s="57">
        <v>2676</v>
      </c>
      <c r="E10" s="57">
        <v>6623</v>
      </c>
      <c r="F10" s="57">
        <v>31230</v>
      </c>
      <c r="G10" s="57">
        <v>13424</v>
      </c>
      <c r="H10" s="57" t="s">
        <v>23</v>
      </c>
      <c r="I10" s="57">
        <f t="shared" si="0"/>
        <v>81821</v>
      </c>
      <c r="J10" s="57"/>
      <c r="K10" s="57" t="s">
        <v>23</v>
      </c>
      <c r="L10" s="57">
        <v>10827</v>
      </c>
      <c r="M10" s="57">
        <v>3079</v>
      </c>
      <c r="N10" s="57">
        <v>5571</v>
      </c>
      <c r="O10" s="57">
        <v>14123</v>
      </c>
      <c r="P10" s="57">
        <v>1790</v>
      </c>
      <c r="Q10" s="57" t="s">
        <v>23</v>
      </c>
      <c r="R10" s="57">
        <f t="shared" si="1"/>
        <v>35390</v>
      </c>
      <c r="T10" s="31">
        <v>1981</v>
      </c>
      <c r="U10" s="1">
        <v>0</v>
      </c>
      <c r="V10" s="1">
        <v>0</v>
      </c>
      <c r="W10" s="1">
        <v>0</v>
      </c>
      <c r="X10" s="1">
        <v>0</v>
      </c>
      <c r="Y10" s="1">
        <v>0</v>
      </c>
      <c r="Z10" s="1">
        <v>0</v>
      </c>
      <c r="AA10" s="1">
        <v>0</v>
      </c>
      <c r="AB10" s="74">
        <f t="shared" si="2"/>
        <v>0</v>
      </c>
      <c r="AD10" s="99">
        <v>1981</v>
      </c>
      <c r="AE10" s="1">
        <v>0</v>
      </c>
      <c r="AF10" s="1">
        <v>0</v>
      </c>
      <c r="AG10" s="1">
        <v>0</v>
      </c>
      <c r="AH10" s="1">
        <v>0</v>
      </c>
      <c r="AI10" s="1">
        <v>0</v>
      </c>
      <c r="AJ10" s="1">
        <v>0</v>
      </c>
      <c r="AK10" s="1">
        <v>0</v>
      </c>
      <c r="AL10" s="74">
        <f t="shared" si="3"/>
        <v>0</v>
      </c>
    </row>
    <row r="11" spans="1:38">
      <c r="A11" s="99">
        <v>1982</v>
      </c>
      <c r="B11" s="57" t="s">
        <v>23</v>
      </c>
      <c r="C11" s="57">
        <v>9725</v>
      </c>
      <c r="D11" s="57">
        <v>8084</v>
      </c>
      <c r="E11" s="57">
        <v>18780</v>
      </c>
      <c r="F11" s="57">
        <v>33044</v>
      </c>
      <c r="G11" s="57">
        <v>3684</v>
      </c>
      <c r="H11" s="57" t="s">
        <v>23</v>
      </c>
      <c r="I11" s="57">
        <f t="shared" si="0"/>
        <v>73317</v>
      </c>
      <c r="J11" s="57"/>
      <c r="K11" s="57" t="s">
        <v>23</v>
      </c>
      <c r="L11" s="57">
        <v>69</v>
      </c>
      <c r="M11" s="57">
        <v>3822</v>
      </c>
      <c r="N11" s="57">
        <v>14958</v>
      </c>
      <c r="O11" s="57">
        <v>6718</v>
      </c>
      <c r="P11" s="57">
        <v>923</v>
      </c>
      <c r="Q11" s="57" t="s">
        <v>23</v>
      </c>
      <c r="R11" s="57">
        <f t="shared" si="1"/>
        <v>26490</v>
      </c>
      <c r="T11" s="31">
        <v>1982</v>
      </c>
      <c r="U11" s="1">
        <v>0</v>
      </c>
      <c r="V11" s="1">
        <v>0</v>
      </c>
      <c r="W11" s="1">
        <v>0</v>
      </c>
      <c r="X11" s="1">
        <v>0</v>
      </c>
      <c r="Y11" s="1">
        <v>0</v>
      </c>
      <c r="Z11" s="1">
        <v>0</v>
      </c>
      <c r="AA11" s="1">
        <v>0</v>
      </c>
      <c r="AB11" s="74">
        <f t="shared" si="2"/>
        <v>0</v>
      </c>
      <c r="AD11" s="99">
        <v>1982</v>
      </c>
      <c r="AE11" s="1">
        <v>0</v>
      </c>
      <c r="AF11" s="1">
        <v>0</v>
      </c>
      <c r="AG11" s="1">
        <v>0</v>
      </c>
      <c r="AH11" s="1">
        <v>0</v>
      </c>
      <c r="AI11" s="1">
        <v>0</v>
      </c>
      <c r="AJ11" s="1">
        <v>0</v>
      </c>
      <c r="AK11" s="1">
        <v>0</v>
      </c>
      <c r="AL11" s="74">
        <f t="shared" si="3"/>
        <v>0</v>
      </c>
    </row>
    <row r="12" spans="1:38">
      <c r="A12" s="99">
        <v>1983</v>
      </c>
      <c r="B12" s="57" t="s">
        <v>23</v>
      </c>
      <c r="C12" s="57">
        <v>2619</v>
      </c>
      <c r="D12" s="57">
        <v>15909</v>
      </c>
      <c r="E12" s="57">
        <v>4094</v>
      </c>
      <c r="F12" s="57">
        <v>2064</v>
      </c>
      <c r="G12" s="57" t="s">
        <v>23</v>
      </c>
      <c r="H12" s="57" t="s">
        <v>23</v>
      </c>
      <c r="I12" s="57">
        <f t="shared" si="0"/>
        <v>24686</v>
      </c>
      <c r="J12" s="57"/>
      <c r="K12" s="57" t="s">
        <v>23</v>
      </c>
      <c r="L12" s="57" t="s">
        <v>23</v>
      </c>
      <c r="M12" s="57">
        <v>8739</v>
      </c>
      <c r="N12" s="57">
        <v>5645</v>
      </c>
      <c r="O12" s="57">
        <v>1645</v>
      </c>
      <c r="P12" s="57" t="s">
        <v>23</v>
      </c>
      <c r="Q12" s="57" t="s">
        <v>23</v>
      </c>
      <c r="R12" s="57">
        <f t="shared" si="1"/>
        <v>16029</v>
      </c>
      <c r="T12" s="31">
        <v>1983</v>
      </c>
      <c r="U12" s="1">
        <v>0</v>
      </c>
      <c r="V12" s="1">
        <v>0</v>
      </c>
      <c r="W12" s="1">
        <v>0</v>
      </c>
      <c r="X12" s="1">
        <v>0</v>
      </c>
      <c r="Y12" s="1">
        <v>0</v>
      </c>
      <c r="Z12" s="1">
        <v>0</v>
      </c>
      <c r="AA12" s="1">
        <v>0</v>
      </c>
      <c r="AB12" s="74">
        <f t="shared" si="2"/>
        <v>0</v>
      </c>
      <c r="AD12" s="99">
        <v>1983</v>
      </c>
      <c r="AE12" s="1">
        <v>0</v>
      </c>
      <c r="AF12" s="1">
        <v>0</v>
      </c>
      <c r="AG12" s="1">
        <v>0</v>
      </c>
      <c r="AH12" s="1">
        <v>0</v>
      </c>
      <c r="AI12" s="1">
        <v>0</v>
      </c>
      <c r="AJ12" s="1">
        <v>0</v>
      </c>
      <c r="AK12" s="1">
        <v>0</v>
      </c>
      <c r="AL12" s="74">
        <f t="shared" si="3"/>
        <v>0</v>
      </c>
    </row>
    <row r="13" spans="1:38">
      <c r="A13" s="99">
        <v>1984</v>
      </c>
      <c r="B13" s="57" t="s">
        <v>23</v>
      </c>
      <c r="C13" s="57">
        <v>2872</v>
      </c>
      <c r="D13" s="57">
        <v>768</v>
      </c>
      <c r="E13" s="57">
        <v>5869</v>
      </c>
      <c r="F13" s="57">
        <v>4860</v>
      </c>
      <c r="G13" s="57" t="s">
        <v>23</v>
      </c>
      <c r="H13" s="57" t="s">
        <v>23</v>
      </c>
      <c r="I13" s="57">
        <f t="shared" si="0"/>
        <v>14369</v>
      </c>
      <c r="J13" s="57"/>
      <c r="K13" s="57" t="s">
        <v>23</v>
      </c>
      <c r="L13" s="57" t="s">
        <v>23</v>
      </c>
      <c r="M13" s="57" t="s">
        <v>23</v>
      </c>
      <c r="N13" s="57" t="s">
        <v>23</v>
      </c>
      <c r="O13" s="57">
        <v>2465</v>
      </c>
      <c r="P13" s="57" t="s">
        <v>23</v>
      </c>
      <c r="Q13" s="57" t="s">
        <v>23</v>
      </c>
      <c r="R13" s="57">
        <f t="shared" si="1"/>
        <v>2465</v>
      </c>
      <c r="T13" s="31">
        <v>1984</v>
      </c>
      <c r="U13" s="1">
        <v>0</v>
      </c>
      <c r="V13" s="1">
        <v>0</v>
      </c>
      <c r="W13" s="1">
        <v>0</v>
      </c>
      <c r="X13" s="1">
        <v>0</v>
      </c>
      <c r="Y13" s="1">
        <v>0</v>
      </c>
      <c r="Z13" s="1">
        <v>0</v>
      </c>
      <c r="AA13" s="1">
        <v>0</v>
      </c>
      <c r="AB13" s="74">
        <f t="shared" si="2"/>
        <v>0</v>
      </c>
      <c r="AD13" s="99">
        <v>1984</v>
      </c>
      <c r="AE13" s="1">
        <v>0</v>
      </c>
      <c r="AF13" s="1">
        <v>0</v>
      </c>
      <c r="AG13" s="1">
        <v>0</v>
      </c>
      <c r="AH13" s="1">
        <v>0</v>
      </c>
      <c r="AI13" s="1">
        <v>0</v>
      </c>
      <c r="AJ13" s="1">
        <v>0</v>
      </c>
      <c r="AK13" s="1">
        <v>0</v>
      </c>
      <c r="AL13" s="74">
        <f t="shared" si="3"/>
        <v>0</v>
      </c>
    </row>
    <row r="14" spans="1:38">
      <c r="A14" s="99">
        <v>1985</v>
      </c>
      <c r="B14" s="57" t="s">
        <v>23</v>
      </c>
      <c r="C14" s="57" t="s">
        <v>23</v>
      </c>
      <c r="D14" s="57" t="s">
        <v>23</v>
      </c>
      <c r="E14" s="57" t="s">
        <v>23</v>
      </c>
      <c r="F14" s="57" t="s">
        <v>23</v>
      </c>
      <c r="G14" s="57" t="s">
        <v>23</v>
      </c>
      <c r="H14" s="57" t="s">
        <v>23</v>
      </c>
      <c r="I14" s="57" t="s">
        <v>23</v>
      </c>
      <c r="J14" s="57"/>
      <c r="K14" s="57" t="s">
        <v>23</v>
      </c>
      <c r="L14" s="57" t="s">
        <v>23</v>
      </c>
      <c r="M14" s="57" t="s">
        <v>23</v>
      </c>
      <c r="N14" s="57" t="s">
        <v>23</v>
      </c>
      <c r="O14" s="57" t="s">
        <v>23</v>
      </c>
      <c r="P14" s="57" t="s">
        <v>23</v>
      </c>
      <c r="Q14" s="57" t="s">
        <v>23</v>
      </c>
      <c r="R14" s="57" t="s">
        <v>23</v>
      </c>
      <c r="T14" s="31">
        <v>1985</v>
      </c>
      <c r="U14" s="74" t="s">
        <v>23</v>
      </c>
      <c r="V14" s="74" t="s">
        <v>23</v>
      </c>
      <c r="W14" s="74" t="s">
        <v>23</v>
      </c>
      <c r="X14" s="74" t="s">
        <v>23</v>
      </c>
      <c r="Y14" s="74" t="s">
        <v>23</v>
      </c>
      <c r="Z14" s="74" t="s">
        <v>23</v>
      </c>
      <c r="AA14" s="74" t="s">
        <v>23</v>
      </c>
      <c r="AB14" s="74">
        <f t="shared" si="2"/>
        <v>0</v>
      </c>
      <c r="AD14" s="99">
        <v>1985</v>
      </c>
      <c r="AE14" s="1">
        <v>0</v>
      </c>
      <c r="AF14" s="1">
        <v>0</v>
      </c>
      <c r="AG14" s="1">
        <v>0</v>
      </c>
      <c r="AH14" s="1">
        <v>0</v>
      </c>
      <c r="AI14" s="1">
        <v>0</v>
      </c>
      <c r="AJ14" s="1">
        <v>0</v>
      </c>
      <c r="AK14" s="1">
        <v>0</v>
      </c>
      <c r="AL14" s="74">
        <f t="shared" si="3"/>
        <v>0</v>
      </c>
    </row>
    <row r="15" spans="1:38">
      <c r="A15" s="99">
        <v>1986</v>
      </c>
      <c r="B15" s="57" t="s">
        <v>23</v>
      </c>
      <c r="C15" s="86">
        <v>208</v>
      </c>
      <c r="D15" s="57">
        <v>4597.974023229779</v>
      </c>
      <c r="E15" s="57">
        <v>2823.2679269981118</v>
      </c>
      <c r="F15" s="57">
        <v>5583.7552850152651</v>
      </c>
      <c r="G15" s="57">
        <v>763</v>
      </c>
      <c r="H15" s="57" t="s">
        <v>23</v>
      </c>
      <c r="I15" s="57">
        <f>SUM(B15:H15)</f>
        <v>13975.997235243156</v>
      </c>
      <c r="J15" s="57"/>
      <c r="K15" s="57" t="s">
        <v>23</v>
      </c>
      <c r="L15" s="57" t="s">
        <v>23</v>
      </c>
      <c r="M15" s="57">
        <v>3535.4200013993841</v>
      </c>
      <c r="N15" s="57">
        <v>1262.473404657017</v>
      </c>
      <c r="O15" s="57" t="s">
        <v>23</v>
      </c>
      <c r="P15" s="57" t="s">
        <v>23</v>
      </c>
      <c r="Q15" s="57" t="s">
        <v>23</v>
      </c>
      <c r="R15" s="57">
        <f>SUM(K15:Q15)</f>
        <v>4797.8934060564006</v>
      </c>
      <c r="T15" s="1">
        <v>1986</v>
      </c>
      <c r="U15" s="74">
        <v>0</v>
      </c>
      <c r="V15" s="74">
        <v>208</v>
      </c>
      <c r="W15" s="74">
        <v>0</v>
      </c>
      <c r="X15" s="74">
        <v>0</v>
      </c>
      <c r="Y15" s="74">
        <v>0</v>
      </c>
      <c r="Z15" s="74">
        <v>0</v>
      </c>
      <c r="AA15" s="74">
        <v>0</v>
      </c>
      <c r="AB15" s="74">
        <f t="shared" si="2"/>
        <v>208</v>
      </c>
      <c r="AD15" s="1">
        <v>1986</v>
      </c>
      <c r="AE15" s="74">
        <v>0</v>
      </c>
      <c r="AF15" s="74">
        <v>0</v>
      </c>
      <c r="AG15" s="74">
        <v>0</v>
      </c>
      <c r="AH15" s="74">
        <v>0</v>
      </c>
      <c r="AI15" s="74">
        <v>0</v>
      </c>
      <c r="AJ15" s="74">
        <v>0</v>
      </c>
      <c r="AK15" s="74">
        <v>0</v>
      </c>
      <c r="AL15" s="74">
        <f t="shared" si="3"/>
        <v>0</v>
      </c>
    </row>
    <row r="16" spans="1:38">
      <c r="A16" s="99">
        <v>1987</v>
      </c>
      <c r="B16" s="57" t="s">
        <v>23</v>
      </c>
      <c r="C16" s="86">
        <v>781</v>
      </c>
      <c r="D16" s="57">
        <v>29165.124075715448</v>
      </c>
      <c r="E16" s="86">
        <v>3211</v>
      </c>
      <c r="F16" s="57" t="s">
        <v>23</v>
      </c>
      <c r="G16" s="57">
        <v>377.63327859879581</v>
      </c>
      <c r="H16" s="57" t="s">
        <v>23</v>
      </c>
      <c r="I16" s="57">
        <f>SUM(B16:H16)</f>
        <v>33534.757354314243</v>
      </c>
      <c r="J16" s="57"/>
      <c r="K16" s="57" t="s">
        <v>23</v>
      </c>
      <c r="L16" s="57" t="s">
        <v>23</v>
      </c>
      <c r="M16" s="57">
        <v>5514.5195905829214</v>
      </c>
      <c r="N16" s="57" t="s">
        <v>23</v>
      </c>
      <c r="O16" s="57" t="s">
        <v>23</v>
      </c>
      <c r="P16" s="57">
        <v>58.233169129720849</v>
      </c>
      <c r="Q16" s="57" t="s">
        <v>23</v>
      </c>
      <c r="R16" s="57">
        <f>SUM(K16:Q16)</f>
        <v>5572.7527597126418</v>
      </c>
      <c r="T16" s="1">
        <v>1987</v>
      </c>
      <c r="U16" s="74">
        <v>0</v>
      </c>
      <c r="V16" s="74">
        <v>781</v>
      </c>
      <c r="W16" s="74">
        <v>0</v>
      </c>
      <c r="X16" s="74">
        <v>3211</v>
      </c>
      <c r="Y16" s="74">
        <v>0</v>
      </c>
      <c r="Z16" s="74">
        <v>0</v>
      </c>
      <c r="AA16" s="74">
        <v>0</v>
      </c>
      <c r="AB16" s="74">
        <f t="shared" si="2"/>
        <v>3992</v>
      </c>
      <c r="AD16" s="1">
        <v>1987</v>
      </c>
      <c r="AE16" s="74">
        <v>0</v>
      </c>
      <c r="AF16" s="74">
        <v>0</v>
      </c>
      <c r="AG16" s="74">
        <v>0</v>
      </c>
      <c r="AH16" s="74">
        <v>192.52656574651232</v>
      </c>
      <c r="AI16" s="74">
        <v>0</v>
      </c>
      <c r="AJ16" s="74">
        <v>0</v>
      </c>
      <c r="AK16" s="74">
        <v>0</v>
      </c>
      <c r="AL16" s="74">
        <f t="shared" si="3"/>
        <v>192.52656574651232</v>
      </c>
    </row>
    <row r="17" spans="1:38">
      <c r="A17" s="99">
        <v>1988</v>
      </c>
      <c r="B17" s="57" t="s">
        <v>23</v>
      </c>
      <c r="C17" s="86">
        <v>727</v>
      </c>
      <c r="D17" s="57">
        <v>13770.314892444549</v>
      </c>
      <c r="E17" s="57" t="s">
        <v>23</v>
      </c>
      <c r="F17" s="57" t="s">
        <v>23</v>
      </c>
      <c r="G17" s="57">
        <v>1121.5257755871266</v>
      </c>
      <c r="H17" s="57" t="s">
        <v>23</v>
      </c>
      <c r="I17" s="57">
        <f>SUM(B17:H17)</f>
        <v>15618.840668031675</v>
      </c>
      <c r="J17" s="57"/>
      <c r="K17" s="57" t="s">
        <v>23</v>
      </c>
      <c r="L17" s="57" t="s">
        <v>23</v>
      </c>
      <c r="M17" s="57">
        <v>2776.1785833776153</v>
      </c>
      <c r="N17" s="57" t="s">
        <v>23</v>
      </c>
      <c r="O17" s="57" t="s">
        <v>23</v>
      </c>
      <c r="P17" s="57">
        <v>15.214496955639316</v>
      </c>
      <c r="Q17" s="57" t="s">
        <v>23</v>
      </c>
      <c r="R17" s="57">
        <f>SUM(K17:Q17)</f>
        <v>2791.3930803332546</v>
      </c>
      <c r="T17" s="1">
        <v>1988</v>
      </c>
      <c r="U17" s="74">
        <v>0</v>
      </c>
      <c r="V17" s="74">
        <v>727</v>
      </c>
      <c r="W17" s="74">
        <v>0</v>
      </c>
      <c r="X17" s="74">
        <v>0</v>
      </c>
      <c r="Y17" s="74">
        <v>0</v>
      </c>
      <c r="Z17" s="74">
        <v>0</v>
      </c>
      <c r="AA17" s="74">
        <v>0</v>
      </c>
      <c r="AB17" s="74">
        <f t="shared" si="2"/>
        <v>727</v>
      </c>
      <c r="AD17" s="1">
        <v>1988</v>
      </c>
      <c r="AE17" s="74">
        <v>0</v>
      </c>
      <c r="AF17" s="74">
        <v>0</v>
      </c>
      <c r="AG17" s="74">
        <v>0</v>
      </c>
      <c r="AH17" s="74">
        <v>0</v>
      </c>
      <c r="AI17" s="74">
        <v>0</v>
      </c>
      <c r="AJ17" s="74">
        <v>0</v>
      </c>
      <c r="AK17" s="74">
        <v>0</v>
      </c>
      <c r="AL17" s="74">
        <f t="shared" si="3"/>
        <v>0</v>
      </c>
    </row>
    <row r="18" spans="1:38">
      <c r="A18" s="99">
        <v>1989</v>
      </c>
      <c r="B18" s="57" t="s">
        <v>23</v>
      </c>
      <c r="C18" s="86">
        <v>392</v>
      </c>
      <c r="D18" s="57">
        <v>4446.5718025919623</v>
      </c>
      <c r="E18" s="57" t="s">
        <v>23</v>
      </c>
      <c r="F18" s="57">
        <v>631.06816306321173</v>
      </c>
      <c r="G18" s="57">
        <v>0</v>
      </c>
      <c r="H18" s="57" t="s">
        <v>23</v>
      </c>
      <c r="I18" s="57">
        <f>SUM(B18:H18)</f>
        <v>5469.6399656551739</v>
      </c>
      <c r="J18" s="57"/>
      <c r="K18" s="57" t="s">
        <v>23</v>
      </c>
      <c r="L18" s="57" t="s">
        <v>23</v>
      </c>
      <c r="M18" s="57">
        <v>5807.271370598246</v>
      </c>
      <c r="N18" s="57" t="s">
        <v>23</v>
      </c>
      <c r="O18" s="57">
        <v>4.8273642515266548</v>
      </c>
      <c r="P18" s="57">
        <v>0</v>
      </c>
      <c r="Q18" s="57" t="s">
        <v>23</v>
      </c>
      <c r="R18" s="57">
        <f>SUM(K18:Q18)</f>
        <v>5812.0987348497729</v>
      </c>
      <c r="T18" s="1">
        <v>1989</v>
      </c>
      <c r="U18" s="74">
        <v>0</v>
      </c>
      <c r="V18" s="74">
        <v>392</v>
      </c>
      <c r="W18" s="74">
        <v>0</v>
      </c>
      <c r="X18" s="74">
        <v>0</v>
      </c>
      <c r="Y18" s="74">
        <v>0</v>
      </c>
      <c r="Z18" s="74">
        <v>0</v>
      </c>
      <c r="AA18" s="74">
        <v>0</v>
      </c>
      <c r="AB18" s="74">
        <f t="shared" si="2"/>
        <v>392</v>
      </c>
      <c r="AD18" s="1">
        <v>1989</v>
      </c>
      <c r="AE18" s="74">
        <v>0</v>
      </c>
      <c r="AF18" s="74">
        <v>0</v>
      </c>
      <c r="AG18" s="74">
        <v>0</v>
      </c>
      <c r="AH18" s="74">
        <v>0</v>
      </c>
      <c r="AI18" s="74">
        <v>0</v>
      </c>
      <c r="AJ18" s="74">
        <v>0</v>
      </c>
      <c r="AK18" s="74">
        <v>0</v>
      </c>
      <c r="AL18" s="74">
        <f t="shared" si="3"/>
        <v>0</v>
      </c>
    </row>
    <row r="19" spans="1:38">
      <c r="A19" s="99">
        <v>1990</v>
      </c>
      <c r="B19" s="57" t="s">
        <v>23</v>
      </c>
      <c r="C19" s="57" t="s">
        <v>23</v>
      </c>
      <c r="D19" s="57" t="s">
        <v>23</v>
      </c>
      <c r="E19" s="57" t="s">
        <v>23</v>
      </c>
      <c r="F19" s="57">
        <v>1386</v>
      </c>
      <c r="G19" s="57">
        <v>0</v>
      </c>
      <c r="H19" s="57" t="s">
        <v>23</v>
      </c>
      <c r="I19" s="57">
        <f>SUM(B19:H19)</f>
        <v>1386</v>
      </c>
      <c r="J19" s="57"/>
      <c r="K19" s="57" t="s">
        <v>23</v>
      </c>
      <c r="L19" s="57" t="s">
        <v>23</v>
      </c>
      <c r="M19" s="57" t="s">
        <v>23</v>
      </c>
      <c r="N19" s="57" t="s">
        <v>23</v>
      </c>
      <c r="O19" s="57" t="s">
        <v>23</v>
      </c>
      <c r="P19" s="57">
        <v>0</v>
      </c>
      <c r="Q19" s="57">
        <v>0</v>
      </c>
      <c r="R19" s="57">
        <f>SUM(K19:Q19)</f>
        <v>0</v>
      </c>
      <c r="T19" s="1">
        <v>1990</v>
      </c>
      <c r="U19" s="74">
        <v>0</v>
      </c>
      <c r="V19" s="74">
        <v>0</v>
      </c>
      <c r="W19" s="74">
        <v>0</v>
      </c>
      <c r="X19" s="74">
        <v>0</v>
      </c>
      <c r="Y19" s="74">
        <v>0</v>
      </c>
      <c r="Z19" s="74">
        <v>0</v>
      </c>
      <c r="AA19" s="74">
        <v>0</v>
      </c>
      <c r="AB19" s="74">
        <f t="shared" si="2"/>
        <v>0</v>
      </c>
      <c r="AD19" s="1">
        <v>1990</v>
      </c>
      <c r="AE19" s="74">
        <v>0</v>
      </c>
      <c r="AF19" s="74">
        <v>0</v>
      </c>
      <c r="AG19" s="74">
        <v>0</v>
      </c>
      <c r="AH19" s="74">
        <v>0</v>
      </c>
      <c r="AI19" s="74">
        <v>0</v>
      </c>
      <c r="AJ19" s="74">
        <v>0</v>
      </c>
      <c r="AK19" s="74">
        <v>0</v>
      </c>
      <c r="AL19" s="74">
        <f t="shared" si="3"/>
        <v>0</v>
      </c>
    </row>
    <row r="20" spans="1:38">
      <c r="A20" s="99">
        <v>1991</v>
      </c>
      <c r="B20" s="57" t="s">
        <v>23</v>
      </c>
      <c r="C20" s="57" t="s">
        <v>23</v>
      </c>
      <c r="D20" s="57" t="s">
        <v>23</v>
      </c>
      <c r="E20" s="57" t="s">
        <v>23</v>
      </c>
      <c r="F20" s="57" t="s">
        <v>23</v>
      </c>
      <c r="G20" s="57" t="s">
        <v>23</v>
      </c>
      <c r="H20" s="57" t="s">
        <v>23</v>
      </c>
      <c r="I20" s="57" t="s">
        <v>23</v>
      </c>
      <c r="J20" s="57"/>
      <c r="K20" s="57" t="s">
        <v>23</v>
      </c>
      <c r="L20" s="57" t="s">
        <v>23</v>
      </c>
      <c r="M20" s="57" t="s">
        <v>23</v>
      </c>
      <c r="N20" s="57" t="s">
        <v>23</v>
      </c>
      <c r="O20" s="57" t="s">
        <v>23</v>
      </c>
      <c r="P20" s="57" t="s">
        <v>23</v>
      </c>
      <c r="Q20" s="57" t="s">
        <v>23</v>
      </c>
      <c r="R20" s="57" t="s">
        <v>23</v>
      </c>
      <c r="T20" s="75">
        <v>1991</v>
      </c>
      <c r="U20" s="121" t="s">
        <v>23</v>
      </c>
      <c r="V20" s="121" t="s">
        <v>23</v>
      </c>
      <c r="W20" s="121" t="s">
        <v>23</v>
      </c>
      <c r="X20" s="121" t="s">
        <v>23</v>
      </c>
      <c r="Y20" s="121" t="s">
        <v>23</v>
      </c>
      <c r="Z20" s="121" t="s">
        <v>23</v>
      </c>
      <c r="AA20" s="121" t="s">
        <v>23</v>
      </c>
      <c r="AB20" s="121" t="s">
        <v>23</v>
      </c>
      <c r="AD20" s="75">
        <v>1991</v>
      </c>
      <c r="AE20" s="121" t="s">
        <v>23</v>
      </c>
      <c r="AF20" s="121" t="s">
        <v>23</v>
      </c>
      <c r="AG20" s="121" t="s">
        <v>23</v>
      </c>
      <c r="AH20" s="121" t="s">
        <v>23</v>
      </c>
      <c r="AI20" s="121" t="s">
        <v>23</v>
      </c>
      <c r="AJ20" s="121" t="s">
        <v>23</v>
      </c>
      <c r="AK20" s="121" t="s">
        <v>23</v>
      </c>
      <c r="AL20" s="121" t="s">
        <v>23</v>
      </c>
    </row>
    <row r="21" spans="1:38">
      <c r="A21" s="99">
        <v>1992</v>
      </c>
      <c r="B21" s="57" t="s">
        <v>23</v>
      </c>
      <c r="C21" s="57" t="s">
        <v>23</v>
      </c>
      <c r="D21" s="57" t="s">
        <v>23</v>
      </c>
      <c r="E21" s="57" t="s">
        <v>23</v>
      </c>
      <c r="F21" s="57" t="s">
        <v>23</v>
      </c>
      <c r="G21" s="57" t="s">
        <v>23</v>
      </c>
      <c r="H21" s="57" t="s">
        <v>23</v>
      </c>
      <c r="I21" s="57" t="s">
        <v>23</v>
      </c>
      <c r="J21" s="57"/>
      <c r="K21" s="57" t="s">
        <v>23</v>
      </c>
      <c r="L21" s="57" t="s">
        <v>23</v>
      </c>
      <c r="M21" s="57" t="s">
        <v>23</v>
      </c>
      <c r="N21" s="57" t="s">
        <v>23</v>
      </c>
      <c r="O21" s="57" t="s">
        <v>23</v>
      </c>
      <c r="P21" s="57" t="s">
        <v>23</v>
      </c>
      <c r="Q21" s="57" t="s">
        <v>23</v>
      </c>
      <c r="R21" s="57" t="s">
        <v>23</v>
      </c>
      <c r="T21" s="75">
        <v>1992</v>
      </c>
      <c r="U21" s="121" t="s">
        <v>23</v>
      </c>
      <c r="V21" s="121" t="s">
        <v>23</v>
      </c>
      <c r="W21" s="121" t="s">
        <v>23</v>
      </c>
      <c r="X21" s="121" t="s">
        <v>23</v>
      </c>
      <c r="Y21" s="121" t="s">
        <v>23</v>
      </c>
      <c r="Z21" s="121" t="s">
        <v>23</v>
      </c>
      <c r="AA21" s="121" t="s">
        <v>23</v>
      </c>
      <c r="AB21" s="121" t="s">
        <v>23</v>
      </c>
      <c r="AD21" s="75">
        <v>1992</v>
      </c>
      <c r="AE21" s="121" t="s">
        <v>23</v>
      </c>
      <c r="AF21" s="121" t="s">
        <v>23</v>
      </c>
      <c r="AG21" s="121" t="s">
        <v>23</v>
      </c>
      <c r="AH21" s="121" t="s">
        <v>23</v>
      </c>
      <c r="AI21" s="121" t="s">
        <v>23</v>
      </c>
      <c r="AJ21" s="121" t="s">
        <v>23</v>
      </c>
      <c r="AK21" s="121" t="s">
        <v>23</v>
      </c>
      <c r="AL21" s="121" t="s">
        <v>23</v>
      </c>
    </row>
    <row r="22" spans="1:38">
      <c r="A22" s="99">
        <v>1993</v>
      </c>
      <c r="B22" s="57" t="s">
        <v>23</v>
      </c>
      <c r="C22" s="57" t="s">
        <v>23</v>
      </c>
      <c r="D22" s="57" t="s">
        <v>23</v>
      </c>
      <c r="E22" s="57" t="s">
        <v>23</v>
      </c>
      <c r="F22" s="57" t="s">
        <v>23</v>
      </c>
      <c r="G22" s="57" t="s">
        <v>23</v>
      </c>
      <c r="H22" s="57" t="s">
        <v>23</v>
      </c>
      <c r="I22" s="57" t="s">
        <v>23</v>
      </c>
      <c r="J22" s="57"/>
      <c r="K22" s="57" t="s">
        <v>23</v>
      </c>
      <c r="L22" s="57" t="s">
        <v>23</v>
      </c>
      <c r="M22" s="57" t="s">
        <v>23</v>
      </c>
      <c r="N22" s="57" t="s">
        <v>23</v>
      </c>
      <c r="O22" s="57" t="s">
        <v>23</v>
      </c>
      <c r="P22" s="57" t="s">
        <v>23</v>
      </c>
      <c r="Q22" s="57" t="s">
        <v>23</v>
      </c>
      <c r="R22" s="57" t="s">
        <v>23</v>
      </c>
      <c r="T22" s="75">
        <v>1993</v>
      </c>
      <c r="U22" s="121" t="s">
        <v>23</v>
      </c>
      <c r="V22" s="121" t="s">
        <v>23</v>
      </c>
      <c r="W22" s="121" t="s">
        <v>23</v>
      </c>
      <c r="X22" s="121" t="s">
        <v>23</v>
      </c>
      <c r="Y22" s="121" t="s">
        <v>23</v>
      </c>
      <c r="Z22" s="121" t="s">
        <v>23</v>
      </c>
      <c r="AA22" s="121" t="s">
        <v>23</v>
      </c>
      <c r="AB22" s="121" t="s">
        <v>23</v>
      </c>
      <c r="AD22" s="1">
        <v>1993</v>
      </c>
      <c r="AE22" s="121" t="s">
        <v>23</v>
      </c>
      <c r="AF22" s="121" t="s">
        <v>23</v>
      </c>
      <c r="AG22" s="121" t="s">
        <v>23</v>
      </c>
      <c r="AH22" s="121" t="s">
        <v>23</v>
      </c>
      <c r="AI22" s="121" t="s">
        <v>23</v>
      </c>
      <c r="AJ22" s="121" t="s">
        <v>23</v>
      </c>
      <c r="AK22" s="121" t="s">
        <v>23</v>
      </c>
      <c r="AL22" s="121" t="s">
        <v>23</v>
      </c>
    </row>
    <row r="23" spans="1:38">
      <c r="A23" s="99">
        <v>1994</v>
      </c>
      <c r="B23" s="57" t="s">
        <v>23</v>
      </c>
      <c r="C23" s="57" t="s">
        <v>23</v>
      </c>
      <c r="D23" s="57" t="s">
        <v>23</v>
      </c>
      <c r="E23" s="57" t="s">
        <v>23</v>
      </c>
      <c r="F23" s="57" t="s">
        <v>23</v>
      </c>
      <c r="G23" s="57" t="s">
        <v>23</v>
      </c>
      <c r="H23" s="57" t="s">
        <v>23</v>
      </c>
      <c r="I23" s="57" t="s">
        <v>23</v>
      </c>
      <c r="J23" s="57"/>
      <c r="K23" s="57" t="s">
        <v>23</v>
      </c>
      <c r="L23" s="57" t="s">
        <v>23</v>
      </c>
      <c r="M23" s="57" t="s">
        <v>23</v>
      </c>
      <c r="N23" s="57" t="s">
        <v>23</v>
      </c>
      <c r="O23" s="57" t="s">
        <v>23</v>
      </c>
      <c r="P23" s="57" t="s">
        <v>23</v>
      </c>
      <c r="Q23" s="57" t="s">
        <v>23</v>
      </c>
      <c r="R23" s="57" t="s">
        <v>23</v>
      </c>
      <c r="T23" s="75">
        <v>1994</v>
      </c>
      <c r="U23" s="121" t="s">
        <v>23</v>
      </c>
      <c r="V23" s="121" t="s">
        <v>23</v>
      </c>
      <c r="W23" s="121" t="s">
        <v>23</v>
      </c>
      <c r="X23" s="121" t="s">
        <v>23</v>
      </c>
      <c r="Y23" s="121" t="s">
        <v>23</v>
      </c>
      <c r="Z23" s="121" t="s">
        <v>23</v>
      </c>
      <c r="AA23" s="121" t="s">
        <v>23</v>
      </c>
      <c r="AB23" s="121" t="s">
        <v>23</v>
      </c>
      <c r="AD23" s="1">
        <v>1994</v>
      </c>
      <c r="AE23" s="121" t="s">
        <v>23</v>
      </c>
      <c r="AF23" s="121" t="s">
        <v>23</v>
      </c>
      <c r="AG23" s="121" t="s">
        <v>23</v>
      </c>
      <c r="AH23" s="121" t="s">
        <v>23</v>
      </c>
      <c r="AI23" s="121" t="s">
        <v>23</v>
      </c>
      <c r="AJ23" s="121" t="s">
        <v>23</v>
      </c>
      <c r="AK23" s="121" t="s">
        <v>23</v>
      </c>
      <c r="AL23" s="121" t="s">
        <v>23</v>
      </c>
    </row>
    <row r="24" spans="1:38">
      <c r="A24" s="99">
        <v>1995</v>
      </c>
      <c r="B24" s="57" t="s">
        <v>23</v>
      </c>
      <c r="C24" s="57" t="s">
        <v>23</v>
      </c>
      <c r="D24" s="57" t="s">
        <v>23</v>
      </c>
      <c r="E24" s="57" t="s">
        <v>23</v>
      </c>
      <c r="F24" s="57" t="s">
        <v>23</v>
      </c>
      <c r="G24" s="57" t="s">
        <v>23</v>
      </c>
      <c r="H24" s="57" t="s">
        <v>23</v>
      </c>
      <c r="I24" s="57" t="s">
        <v>23</v>
      </c>
      <c r="J24" s="57"/>
      <c r="K24" s="57" t="s">
        <v>23</v>
      </c>
      <c r="L24" s="57" t="s">
        <v>23</v>
      </c>
      <c r="M24" s="57" t="s">
        <v>23</v>
      </c>
      <c r="N24" s="57" t="s">
        <v>23</v>
      </c>
      <c r="O24" s="57" t="s">
        <v>23</v>
      </c>
      <c r="P24" s="57" t="s">
        <v>23</v>
      </c>
      <c r="Q24" s="57" t="s">
        <v>23</v>
      </c>
      <c r="R24" s="57" t="s">
        <v>23</v>
      </c>
      <c r="T24" s="75">
        <v>1995</v>
      </c>
      <c r="U24" s="121" t="s">
        <v>23</v>
      </c>
      <c r="V24" s="121" t="s">
        <v>23</v>
      </c>
      <c r="W24" s="121" t="s">
        <v>23</v>
      </c>
      <c r="X24" s="121" t="s">
        <v>23</v>
      </c>
      <c r="Y24" s="121" t="s">
        <v>23</v>
      </c>
      <c r="Z24" s="121" t="s">
        <v>23</v>
      </c>
      <c r="AA24" s="121" t="s">
        <v>23</v>
      </c>
      <c r="AB24" s="121" t="s">
        <v>23</v>
      </c>
      <c r="AD24" s="1">
        <v>1995</v>
      </c>
      <c r="AE24" s="121" t="s">
        <v>23</v>
      </c>
      <c r="AF24" s="121" t="s">
        <v>23</v>
      </c>
      <c r="AG24" s="121" t="s">
        <v>23</v>
      </c>
      <c r="AH24" s="121" t="s">
        <v>23</v>
      </c>
      <c r="AI24" s="121" t="s">
        <v>23</v>
      </c>
      <c r="AJ24" s="121" t="s">
        <v>23</v>
      </c>
      <c r="AK24" s="121" t="s">
        <v>23</v>
      </c>
      <c r="AL24" s="121" t="s">
        <v>23</v>
      </c>
    </row>
    <row r="25" spans="1:38">
      <c r="A25" s="99">
        <v>1996</v>
      </c>
      <c r="B25" s="57" t="s">
        <v>23</v>
      </c>
      <c r="C25" s="57" t="s">
        <v>23</v>
      </c>
      <c r="D25" s="57" t="s">
        <v>23</v>
      </c>
      <c r="E25" s="57" t="s">
        <v>23</v>
      </c>
      <c r="F25" s="57">
        <v>98</v>
      </c>
      <c r="G25" s="57">
        <v>156</v>
      </c>
      <c r="H25" s="57" t="s">
        <v>23</v>
      </c>
      <c r="I25" s="57">
        <f t="shared" ref="I25:I34" si="4">SUM(B25:H25)</f>
        <v>254</v>
      </c>
      <c r="J25" s="57"/>
      <c r="K25" s="57" t="s">
        <v>23</v>
      </c>
      <c r="L25" s="57" t="s">
        <v>23</v>
      </c>
      <c r="M25" s="57" t="s">
        <v>23</v>
      </c>
      <c r="N25" s="57" t="s">
        <v>23</v>
      </c>
      <c r="O25" s="57" t="s">
        <v>23</v>
      </c>
      <c r="P25" s="57" t="s">
        <v>23</v>
      </c>
      <c r="Q25" s="57" t="s">
        <v>23</v>
      </c>
      <c r="R25" s="57" t="s">
        <v>23</v>
      </c>
      <c r="T25" s="75">
        <v>1996</v>
      </c>
      <c r="U25" s="74">
        <v>0</v>
      </c>
      <c r="V25" s="74">
        <v>0</v>
      </c>
      <c r="W25" s="74">
        <v>0</v>
      </c>
      <c r="X25" s="74">
        <v>0</v>
      </c>
      <c r="Y25" s="74">
        <v>0</v>
      </c>
      <c r="Z25" s="74">
        <v>0</v>
      </c>
      <c r="AA25" s="74">
        <v>0</v>
      </c>
      <c r="AB25" s="74">
        <f t="shared" ref="AB25:AB33" si="5">SUM(U25:AA25)</f>
        <v>0</v>
      </c>
      <c r="AD25" s="1">
        <v>1996</v>
      </c>
      <c r="AE25" s="121" t="s">
        <v>23</v>
      </c>
      <c r="AF25" s="121" t="s">
        <v>23</v>
      </c>
      <c r="AG25" s="121" t="s">
        <v>23</v>
      </c>
      <c r="AH25" s="121" t="s">
        <v>23</v>
      </c>
      <c r="AI25" s="121" t="s">
        <v>23</v>
      </c>
      <c r="AJ25" s="121" t="s">
        <v>23</v>
      </c>
      <c r="AK25" s="121" t="s">
        <v>23</v>
      </c>
      <c r="AL25" s="121" t="s">
        <v>23</v>
      </c>
    </row>
    <row r="26" spans="1:38">
      <c r="A26" s="99">
        <v>1997</v>
      </c>
      <c r="B26" s="57" t="s">
        <v>23</v>
      </c>
      <c r="C26" s="57" t="s">
        <v>23</v>
      </c>
      <c r="D26" s="57" t="s">
        <v>23</v>
      </c>
      <c r="E26" s="57" t="s">
        <v>23</v>
      </c>
      <c r="F26" s="57" t="s">
        <v>23</v>
      </c>
      <c r="G26" s="57">
        <v>0</v>
      </c>
      <c r="H26" s="57" t="s">
        <v>23</v>
      </c>
      <c r="I26" s="57">
        <f t="shared" si="4"/>
        <v>0</v>
      </c>
      <c r="J26" s="57"/>
      <c r="K26" s="57" t="s">
        <v>23</v>
      </c>
      <c r="L26" s="57" t="s">
        <v>23</v>
      </c>
      <c r="M26" s="57" t="s">
        <v>23</v>
      </c>
      <c r="N26" s="57" t="s">
        <v>23</v>
      </c>
      <c r="O26" s="57" t="s">
        <v>23</v>
      </c>
      <c r="P26" s="57" t="s">
        <v>23</v>
      </c>
      <c r="Q26" s="57" t="s">
        <v>23</v>
      </c>
      <c r="R26" s="57" t="s">
        <v>23</v>
      </c>
      <c r="T26" s="75">
        <v>1997</v>
      </c>
      <c r="U26" s="74">
        <v>0</v>
      </c>
      <c r="V26" s="74">
        <v>0</v>
      </c>
      <c r="W26" s="74">
        <v>0</v>
      </c>
      <c r="X26" s="74">
        <v>0</v>
      </c>
      <c r="Y26" s="74">
        <v>0</v>
      </c>
      <c r="Z26" s="74">
        <v>0</v>
      </c>
      <c r="AA26" s="74">
        <v>0</v>
      </c>
      <c r="AB26" s="74">
        <f t="shared" si="5"/>
        <v>0</v>
      </c>
      <c r="AD26" s="1">
        <v>1997</v>
      </c>
      <c r="AE26" s="121" t="s">
        <v>23</v>
      </c>
      <c r="AF26" s="121" t="s">
        <v>23</v>
      </c>
      <c r="AG26" s="121" t="s">
        <v>23</v>
      </c>
      <c r="AH26" s="121" t="s">
        <v>23</v>
      </c>
      <c r="AI26" s="121" t="s">
        <v>23</v>
      </c>
      <c r="AJ26" s="121" t="s">
        <v>23</v>
      </c>
      <c r="AK26" s="121" t="s">
        <v>23</v>
      </c>
      <c r="AL26" s="121" t="s">
        <v>23</v>
      </c>
    </row>
    <row r="27" spans="1:38">
      <c r="A27" s="99">
        <v>1998</v>
      </c>
      <c r="B27" s="57" t="s">
        <v>23</v>
      </c>
      <c r="C27" s="57" t="s">
        <v>23</v>
      </c>
      <c r="D27" s="57" t="s">
        <v>23</v>
      </c>
      <c r="E27" s="57" t="s">
        <v>23</v>
      </c>
      <c r="F27" s="57" t="s">
        <v>23</v>
      </c>
      <c r="G27" s="57">
        <v>0</v>
      </c>
      <c r="H27" s="57" t="s">
        <v>23</v>
      </c>
      <c r="I27" s="57">
        <f t="shared" si="4"/>
        <v>0</v>
      </c>
      <c r="J27" s="57"/>
      <c r="K27" s="57" t="s">
        <v>23</v>
      </c>
      <c r="L27" s="57" t="s">
        <v>23</v>
      </c>
      <c r="M27" s="57" t="s">
        <v>23</v>
      </c>
      <c r="N27" s="57" t="s">
        <v>23</v>
      </c>
      <c r="O27" s="57" t="s">
        <v>23</v>
      </c>
      <c r="P27" s="57" t="s">
        <v>23</v>
      </c>
      <c r="Q27" s="57" t="s">
        <v>23</v>
      </c>
      <c r="R27" s="57" t="s">
        <v>23</v>
      </c>
      <c r="T27" s="75">
        <v>1998</v>
      </c>
      <c r="U27" s="74">
        <v>0</v>
      </c>
      <c r="V27" s="74">
        <v>0</v>
      </c>
      <c r="W27" s="74">
        <v>0</v>
      </c>
      <c r="X27" s="74">
        <v>0</v>
      </c>
      <c r="Y27" s="74">
        <v>0</v>
      </c>
      <c r="Z27" s="74">
        <v>0</v>
      </c>
      <c r="AA27" s="74">
        <v>0</v>
      </c>
      <c r="AB27" s="74">
        <f t="shared" si="5"/>
        <v>0</v>
      </c>
      <c r="AD27" s="1">
        <v>1998</v>
      </c>
      <c r="AE27" s="121" t="s">
        <v>23</v>
      </c>
      <c r="AF27" s="121" t="s">
        <v>23</v>
      </c>
      <c r="AG27" s="121" t="s">
        <v>23</v>
      </c>
      <c r="AH27" s="121" t="s">
        <v>23</v>
      </c>
      <c r="AI27" s="121" t="s">
        <v>23</v>
      </c>
      <c r="AJ27" s="121" t="s">
        <v>23</v>
      </c>
      <c r="AK27" s="121" t="s">
        <v>23</v>
      </c>
      <c r="AL27" s="121" t="s">
        <v>23</v>
      </c>
    </row>
    <row r="28" spans="1:38">
      <c r="A28" s="99">
        <v>1999</v>
      </c>
      <c r="B28" s="57" t="s">
        <v>23</v>
      </c>
      <c r="C28" s="57" t="s">
        <v>23</v>
      </c>
      <c r="D28" s="57" t="s">
        <v>23</v>
      </c>
      <c r="E28" s="57" t="s">
        <v>23</v>
      </c>
      <c r="F28" s="57" t="s">
        <v>23</v>
      </c>
      <c r="G28" s="57">
        <v>125</v>
      </c>
      <c r="H28" s="57" t="s">
        <v>23</v>
      </c>
      <c r="I28" s="57">
        <f t="shared" si="4"/>
        <v>125</v>
      </c>
      <c r="J28" s="57"/>
      <c r="K28" s="57" t="s">
        <v>23</v>
      </c>
      <c r="L28" s="57" t="s">
        <v>23</v>
      </c>
      <c r="M28" s="57" t="s">
        <v>23</v>
      </c>
      <c r="N28" s="57" t="s">
        <v>23</v>
      </c>
      <c r="O28" s="57" t="s">
        <v>23</v>
      </c>
      <c r="P28" s="57" t="s">
        <v>23</v>
      </c>
      <c r="Q28" s="57" t="s">
        <v>23</v>
      </c>
      <c r="R28" s="57" t="s">
        <v>23</v>
      </c>
      <c r="T28" s="75">
        <v>1999</v>
      </c>
      <c r="U28" s="74">
        <v>0</v>
      </c>
      <c r="V28" s="74">
        <v>0</v>
      </c>
      <c r="W28" s="74">
        <v>0</v>
      </c>
      <c r="X28" s="74">
        <v>0</v>
      </c>
      <c r="Y28" s="74">
        <v>0</v>
      </c>
      <c r="Z28" s="74">
        <v>0</v>
      </c>
      <c r="AA28" s="74">
        <v>0</v>
      </c>
      <c r="AB28" s="74">
        <f t="shared" si="5"/>
        <v>0</v>
      </c>
      <c r="AD28" s="1">
        <v>1999</v>
      </c>
      <c r="AE28" s="121" t="s">
        <v>23</v>
      </c>
      <c r="AF28" s="121" t="s">
        <v>23</v>
      </c>
      <c r="AG28" s="121" t="s">
        <v>23</v>
      </c>
      <c r="AH28" s="121" t="s">
        <v>23</v>
      </c>
      <c r="AI28" s="121" t="s">
        <v>23</v>
      </c>
      <c r="AJ28" s="121" t="s">
        <v>23</v>
      </c>
      <c r="AK28" s="121" t="s">
        <v>23</v>
      </c>
      <c r="AL28" s="121" t="s">
        <v>23</v>
      </c>
    </row>
    <row r="29" spans="1:38">
      <c r="A29" s="99">
        <v>2000</v>
      </c>
      <c r="B29" s="57" t="s">
        <v>23</v>
      </c>
      <c r="C29" s="57" t="s">
        <v>23</v>
      </c>
      <c r="D29" s="57" t="s">
        <v>23</v>
      </c>
      <c r="E29" s="57" t="s">
        <v>23</v>
      </c>
      <c r="F29" s="57" t="s">
        <v>23</v>
      </c>
      <c r="G29" s="57">
        <v>251</v>
      </c>
      <c r="H29" s="57" t="s">
        <v>23</v>
      </c>
      <c r="I29" s="57">
        <f t="shared" si="4"/>
        <v>251</v>
      </c>
      <c r="J29" s="57"/>
      <c r="K29" s="57" t="s">
        <v>23</v>
      </c>
      <c r="L29" s="57" t="s">
        <v>23</v>
      </c>
      <c r="M29" s="57" t="s">
        <v>23</v>
      </c>
      <c r="N29" s="57" t="s">
        <v>23</v>
      </c>
      <c r="O29" s="57" t="s">
        <v>23</v>
      </c>
      <c r="P29" s="57" t="s">
        <v>23</v>
      </c>
      <c r="Q29" s="57" t="s">
        <v>23</v>
      </c>
      <c r="R29" s="57" t="s">
        <v>23</v>
      </c>
      <c r="T29" s="75">
        <v>2000</v>
      </c>
      <c r="U29" s="74">
        <v>0</v>
      </c>
      <c r="V29" s="74">
        <v>0</v>
      </c>
      <c r="W29" s="74">
        <v>0</v>
      </c>
      <c r="X29" s="74">
        <v>0</v>
      </c>
      <c r="Y29" s="74">
        <v>0</v>
      </c>
      <c r="Z29" s="74">
        <v>0</v>
      </c>
      <c r="AA29" s="74">
        <v>0</v>
      </c>
      <c r="AB29" s="74">
        <f t="shared" si="5"/>
        <v>0</v>
      </c>
      <c r="AD29" s="1">
        <v>2000</v>
      </c>
      <c r="AE29" s="121" t="s">
        <v>23</v>
      </c>
      <c r="AF29" s="121" t="s">
        <v>23</v>
      </c>
      <c r="AG29" s="121" t="s">
        <v>23</v>
      </c>
      <c r="AH29" s="121" t="s">
        <v>23</v>
      </c>
      <c r="AI29" s="121" t="s">
        <v>23</v>
      </c>
      <c r="AJ29" s="121" t="s">
        <v>23</v>
      </c>
      <c r="AK29" s="121" t="s">
        <v>23</v>
      </c>
      <c r="AL29" s="121" t="s">
        <v>23</v>
      </c>
    </row>
    <row r="30" spans="1:38">
      <c r="A30" s="99">
        <v>2001</v>
      </c>
      <c r="B30" s="57" t="s">
        <v>23</v>
      </c>
      <c r="C30" s="57" t="s">
        <v>23</v>
      </c>
      <c r="D30" s="57" t="s">
        <v>23</v>
      </c>
      <c r="E30" s="57" t="s">
        <v>23</v>
      </c>
      <c r="F30" s="57" t="s">
        <v>23</v>
      </c>
      <c r="G30" s="57">
        <v>223</v>
      </c>
      <c r="H30" s="57" t="s">
        <v>23</v>
      </c>
      <c r="I30" s="57">
        <f t="shared" si="4"/>
        <v>223</v>
      </c>
      <c r="J30" s="57"/>
      <c r="K30" s="57" t="s">
        <v>23</v>
      </c>
      <c r="L30" s="57" t="s">
        <v>23</v>
      </c>
      <c r="M30" s="57" t="s">
        <v>23</v>
      </c>
      <c r="N30" s="57" t="s">
        <v>23</v>
      </c>
      <c r="O30" s="57" t="s">
        <v>23</v>
      </c>
      <c r="P30" s="57" t="s">
        <v>23</v>
      </c>
      <c r="Q30" s="57" t="s">
        <v>23</v>
      </c>
      <c r="R30" s="57" t="s">
        <v>23</v>
      </c>
      <c r="T30" s="1">
        <v>2001</v>
      </c>
      <c r="U30" s="74">
        <v>0</v>
      </c>
      <c r="V30" s="74">
        <v>0</v>
      </c>
      <c r="W30" s="74">
        <v>0</v>
      </c>
      <c r="X30" s="74">
        <v>0</v>
      </c>
      <c r="Y30" s="74">
        <v>0</v>
      </c>
      <c r="Z30" s="74">
        <v>0</v>
      </c>
      <c r="AA30" s="74">
        <v>0</v>
      </c>
      <c r="AB30" s="74">
        <f t="shared" si="5"/>
        <v>0</v>
      </c>
      <c r="AD30" s="1">
        <v>2001</v>
      </c>
      <c r="AE30" s="121" t="s">
        <v>23</v>
      </c>
      <c r="AF30" s="121" t="s">
        <v>23</v>
      </c>
      <c r="AG30" s="121" t="s">
        <v>23</v>
      </c>
      <c r="AH30" s="121" t="s">
        <v>23</v>
      </c>
      <c r="AI30" s="121" t="s">
        <v>23</v>
      </c>
      <c r="AJ30" s="121" t="s">
        <v>23</v>
      </c>
      <c r="AK30" s="121" t="s">
        <v>23</v>
      </c>
      <c r="AL30" s="121" t="s">
        <v>23</v>
      </c>
    </row>
    <row r="31" spans="1:38" ht="13">
      <c r="A31" s="99">
        <v>2002</v>
      </c>
      <c r="B31" s="57" t="s">
        <v>23</v>
      </c>
      <c r="C31" s="57" t="s">
        <v>23</v>
      </c>
      <c r="D31" s="57" t="s">
        <v>23</v>
      </c>
      <c r="E31" s="57" t="s">
        <v>23</v>
      </c>
      <c r="F31" s="57">
        <v>681</v>
      </c>
      <c r="G31" s="87">
        <v>3354</v>
      </c>
      <c r="H31" s="86">
        <v>424</v>
      </c>
      <c r="I31" s="57">
        <f t="shared" si="4"/>
        <v>4459</v>
      </c>
      <c r="J31" s="76" t="s">
        <v>25</v>
      </c>
      <c r="K31" s="57" t="s">
        <v>23</v>
      </c>
      <c r="L31" s="57" t="s">
        <v>23</v>
      </c>
      <c r="M31" s="57" t="s">
        <v>23</v>
      </c>
      <c r="N31" s="57" t="s">
        <v>23</v>
      </c>
      <c r="O31" s="57" t="s">
        <v>23</v>
      </c>
      <c r="P31" s="57" t="s">
        <v>23</v>
      </c>
      <c r="Q31" s="57" t="s">
        <v>23</v>
      </c>
      <c r="R31" s="57" t="s">
        <v>23</v>
      </c>
      <c r="T31" s="1">
        <v>2002</v>
      </c>
      <c r="U31" s="1">
        <v>0</v>
      </c>
      <c r="V31" s="1">
        <v>0</v>
      </c>
      <c r="W31" s="1">
        <v>0</v>
      </c>
      <c r="X31" s="1">
        <v>0</v>
      </c>
      <c r="Y31" s="1">
        <v>0</v>
      </c>
      <c r="Z31" s="1">
        <v>372</v>
      </c>
      <c r="AA31" s="1">
        <v>424</v>
      </c>
      <c r="AB31" s="74">
        <f t="shared" si="5"/>
        <v>796</v>
      </c>
      <c r="AD31" s="1">
        <v>2002</v>
      </c>
      <c r="AE31" s="121" t="s">
        <v>23</v>
      </c>
      <c r="AF31" s="121" t="s">
        <v>23</v>
      </c>
      <c r="AG31" s="121" t="s">
        <v>23</v>
      </c>
      <c r="AH31" s="121" t="s">
        <v>23</v>
      </c>
      <c r="AI31" s="121" t="s">
        <v>23</v>
      </c>
      <c r="AJ31" s="121" t="s">
        <v>23</v>
      </c>
      <c r="AK31" s="121" t="s">
        <v>23</v>
      </c>
      <c r="AL31" s="121" t="s">
        <v>23</v>
      </c>
    </row>
    <row r="32" spans="1:38" ht="13">
      <c r="A32" s="99">
        <v>2003</v>
      </c>
      <c r="B32" s="86">
        <v>1654</v>
      </c>
      <c r="C32" s="86">
        <v>84</v>
      </c>
      <c r="D32" s="86">
        <v>100</v>
      </c>
      <c r="E32" s="57" t="s">
        <v>23</v>
      </c>
      <c r="F32" s="57" t="s">
        <v>23</v>
      </c>
      <c r="G32" s="57">
        <v>1356</v>
      </c>
      <c r="H32" s="57">
        <v>162</v>
      </c>
      <c r="I32" s="57">
        <f t="shared" si="4"/>
        <v>3356</v>
      </c>
      <c r="J32" s="76" t="s">
        <v>25</v>
      </c>
      <c r="K32" s="57" t="s">
        <v>23</v>
      </c>
      <c r="L32" s="57" t="s">
        <v>23</v>
      </c>
      <c r="M32" s="57" t="s">
        <v>23</v>
      </c>
      <c r="N32" s="57" t="s">
        <v>23</v>
      </c>
      <c r="O32" s="57" t="s">
        <v>23</v>
      </c>
      <c r="P32" s="57" t="s">
        <v>23</v>
      </c>
      <c r="Q32" s="57" t="s">
        <v>23</v>
      </c>
      <c r="R32" s="57" t="s">
        <v>23</v>
      </c>
      <c r="T32" s="1">
        <v>2003</v>
      </c>
      <c r="U32" s="1">
        <v>1654</v>
      </c>
      <c r="V32" s="1">
        <v>84</v>
      </c>
      <c r="W32" s="1">
        <v>100</v>
      </c>
      <c r="X32" s="1">
        <v>0</v>
      </c>
      <c r="Y32" s="1">
        <v>0</v>
      </c>
      <c r="Z32" s="1">
        <v>0</v>
      </c>
      <c r="AA32" s="1">
        <v>162</v>
      </c>
      <c r="AB32" s="74">
        <f t="shared" si="5"/>
        <v>2000</v>
      </c>
      <c r="AD32" s="1">
        <v>2003</v>
      </c>
      <c r="AE32" s="121" t="s">
        <v>23</v>
      </c>
      <c r="AF32" s="121" t="s">
        <v>23</v>
      </c>
      <c r="AG32" s="121" t="s">
        <v>23</v>
      </c>
      <c r="AH32" s="121" t="s">
        <v>23</v>
      </c>
      <c r="AI32" s="121" t="s">
        <v>23</v>
      </c>
      <c r="AJ32" s="121" t="s">
        <v>23</v>
      </c>
      <c r="AK32" s="121" t="s">
        <v>23</v>
      </c>
      <c r="AL32" s="121" t="s">
        <v>23</v>
      </c>
    </row>
    <row r="33" spans="1:38" ht="13">
      <c r="A33" s="99">
        <v>2004</v>
      </c>
      <c r="B33" s="86">
        <v>718</v>
      </c>
      <c r="C33" s="57" t="s">
        <v>23</v>
      </c>
      <c r="D33" s="86">
        <v>6</v>
      </c>
      <c r="E33" s="86">
        <v>5245</v>
      </c>
      <c r="F33" s="86">
        <v>19686</v>
      </c>
      <c r="G33" s="57">
        <v>565</v>
      </c>
      <c r="H33" s="57" t="s">
        <v>23</v>
      </c>
      <c r="I33" s="57">
        <f t="shared" si="4"/>
        <v>26220</v>
      </c>
      <c r="J33" s="76" t="s">
        <v>25</v>
      </c>
      <c r="K33" s="57" t="s">
        <v>23</v>
      </c>
      <c r="L33" s="57" t="s">
        <v>23</v>
      </c>
      <c r="M33" s="57" t="s">
        <v>23</v>
      </c>
      <c r="N33" s="57" t="s">
        <v>23</v>
      </c>
      <c r="O33" s="57" t="s">
        <v>23</v>
      </c>
      <c r="P33" s="57" t="s">
        <v>23</v>
      </c>
      <c r="Q33" s="57" t="s">
        <v>23</v>
      </c>
      <c r="R33" s="57" t="s">
        <v>23</v>
      </c>
      <c r="T33" s="1">
        <v>2004</v>
      </c>
      <c r="U33" s="1">
        <v>718</v>
      </c>
      <c r="V33" s="1">
        <v>0</v>
      </c>
      <c r="W33" s="1">
        <v>6</v>
      </c>
      <c r="X33" s="1">
        <v>5245</v>
      </c>
      <c r="Y33" s="1">
        <v>19686</v>
      </c>
      <c r="Z33" s="1">
        <v>0</v>
      </c>
      <c r="AA33" s="1">
        <v>0</v>
      </c>
      <c r="AB33" s="74">
        <f t="shared" si="5"/>
        <v>25655</v>
      </c>
      <c r="AD33" s="1">
        <v>2004</v>
      </c>
      <c r="AE33" s="121" t="s">
        <v>23</v>
      </c>
      <c r="AF33" s="121" t="s">
        <v>23</v>
      </c>
      <c r="AG33" s="121" t="s">
        <v>23</v>
      </c>
      <c r="AH33" s="121" t="s">
        <v>23</v>
      </c>
      <c r="AI33" s="121" t="s">
        <v>23</v>
      </c>
      <c r="AJ33" s="121" t="s">
        <v>23</v>
      </c>
      <c r="AK33" s="121" t="s">
        <v>23</v>
      </c>
      <c r="AL33" s="121" t="s">
        <v>23</v>
      </c>
    </row>
    <row r="34" spans="1:38" ht="13">
      <c r="A34" s="99">
        <v>2005</v>
      </c>
      <c r="B34" s="57" t="s">
        <v>23</v>
      </c>
      <c r="C34" s="57" t="s">
        <v>23</v>
      </c>
      <c r="D34" s="57" t="s">
        <v>23</v>
      </c>
      <c r="E34" s="57" t="s">
        <v>23</v>
      </c>
      <c r="F34" s="57" t="s">
        <v>23</v>
      </c>
      <c r="G34" s="57">
        <v>1255</v>
      </c>
      <c r="H34" s="57" t="s">
        <v>23</v>
      </c>
      <c r="I34" s="57">
        <f t="shared" si="4"/>
        <v>1255</v>
      </c>
      <c r="J34" s="76"/>
      <c r="K34" s="57" t="s">
        <v>23</v>
      </c>
      <c r="L34" s="57" t="s">
        <v>23</v>
      </c>
      <c r="M34" s="57" t="s">
        <v>23</v>
      </c>
      <c r="N34" s="57" t="s">
        <v>23</v>
      </c>
      <c r="O34" s="57" t="s">
        <v>23</v>
      </c>
      <c r="P34" s="57" t="s">
        <v>23</v>
      </c>
      <c r="Q34" s="57" t="s">
        <v>23</v>
      </c>
      <c r="R34" s="57" t="s">
        <v>23</v>
      </c>
      <c r="U34" s="16"/>
      <c r="V34" s="16"/>
      <c r="W34" s="16"/>
      <c r="X34" s="16"/>
      <c r="Y34" s="16"/>
      <c r="Z34" s="16"/>
      <c r="AA34" s="16"/>
      <c r="AB34" s="74"/>
      <c r="AE34" s="121" t="s">
        <v>23</v>
      </c>
      <c r="AF34" s="121" t="s">
        <v>23</v>
      </c>
      <c r="AG34" s="121" t="s">
        <v>23</v>
      </c>
      <c r="AH34" s="121" t="s">
        <v>23</v>
      </c>
      <c r="AI34" s="121" t="s">
        <v>23</v>
      </c>
      <c r="AJ34" s="121" t="s">
        <v>23</v>
      </c>
      <c r="AK34" s="121" t="s">
        <v>23</v>
      </c>
      <c r="AL34" s="121" t="s">
        <v>23</v>
      </c>
    </row>
    <row r="35" spans="1:38" ht="13">
      <c r="A35" s="99">
        <v>2006</v>
      </c>
      <c r="B35" s="57" t="s">
        <v>23</v>
      </c>
      <c r="C35" s="57" t="s">
        <v>23</v>
      </c>
      <c r="D35" s="57" t="s">
        <v>23</v>
      </c>
      <c r="E35" s="57" t="s">
        <v>23</v>
      </c>
      <c r="F35" s="57" t="s">
        <v>23</v>
      </c>
      <c r="G35" s="57" t="s">
        <v>23</v>
      </c>
      <c r="H35" s="57" t="s">
        <v>23</v>
      </c>
      <c r="I35" s="57" t="s">
        <v>23</v>
      </c>
      <c r="J35" s="76"/>
      <c r="K35" s="57" t="s">
        <v>23</v>
      </c>
      <c r="L35" s="57" t="s">
        <v>23</v>
      </c>
      <c r="M35" s="57" t="s">
        <v>23</v>
      </c>
      <c r="N35" s="57" t="s">
        <v>23</v>
      </c>
      <c r="O35" s="57" t="s">
        <v>23</v>
      </c>
      <c r="P35" s="57" t="s">
        <v>23</v>
      </c>
      <c r="Q35" s="57" t="s">
        <v>23</v>
      </c>
      <c r="R35" s="57" t="s">
        <v>23</v>
      </c>
      <c r="U35" s="16"/>
      <c r="V35" s="16"/>
      <c r="W35" s="16"/>
      <c r="X35" s="16"/>
      <c r="Y35" s="16"/>
      <c r="Z35" s="16"/>
      <c r="AA35" s="16"/>
      <c r="AB35" s="74"/>
      <c r="AE35" s="121" t="s">
        <v>23</v>
      </c>
      <c r="AF35" s="121" t="s">
        <v>23</v>
      </c>
      <c r="AG35" s="121" t="s">
        <v>23</v>
      </c>
      <c r="AH35" s="121" t="s">
        <v>23</v>
      </c>
      <c r="AI35" s="121" t="s">
        <v>23</v>
      </c>
      <c r="AJ35" s="121" t="s">
        <v>23</v>
      </c>
      <c r="AK35" s="121" t="s">
        <v>23</v>
      </c>
      <c r="AL35" s="121" t="s">
        <v>23</v>
      </c>
    </row>
    <row r="36" spans="1:38" ht="13">
      <c r="A36" s="99">
        <v>2007</v>
      </c>
      <c r="B36" s="77" t="s">
        <v>23</v>
      </c>
      <c r="C36" s="77" t="s">
        <v>23</v>
      </c>
      <c r="D36" s="77" t="s">
        <v>23</v>
      </c>
      <c r="E36" s="77" t="s">
        <v>23</v>
      </c>
      <c r="F36" s="77" t="s">
        <v>23</v>
      </c>
      <c r="G36" s="77">
        <v>2367</v>
      </c>
      <c r="H36" s="77" t="s">
        <v>23</v>
      </c>
      <c r="I36" s="77">
        <f>SUM(B36:H36)</f>
        <v>2367</v>
      </c>
      <c r="J36" s="127"/>
      <c r="K36" s="77" t="s">
        <v>23</v>
      </c>
      <c r="L36" s="77" t="s">
        <v>23</v>
      </c>
      <c r="M36" s="77" t="s">
        <v>23</v>
      </c>
      <c r="N36" s="77" t="s">
        <v>23</v>
      </c>
      <c r="O36" s="77" t="s">
        <v>23</v>
      </c>
      <c r="P36" s="77" t="s">
        <v>23</v>
      </c>
      <c r="Q36" s="77" t="s">
        <v>23</v>
      </c>
      <c r="R36" s="77" t="s">
        <v>23</v>
      </c>
      <c r="U36" s="59"/>
      <c r="V36" s="59"/>
      <c r="W36" s="59"/>
      <c r="X36" s="59"/>
      <c r="Y36" s="59"/>
      <c r="Z36" s="59"/>
      <c r="AA36" s="59"/>
      <c r="AB36" s="74"/>
      <c r="AE36" s="31" t="s">
        <v>23</v>
      </c>
      <c r="AF36" s="31" t="s">
        <v>23</v>
      </c>
      <c r="AG36" s="31" t="s">
        <v>23</v>
      </c>
      <c r="AH36" s="31" t="s">
        <v>23</v>
      </c>
      <c r="AI36" s="31" t="s">
        <v>23</v>
      </c>
      <c r="AJ36" s="31" t="s">
        <v>23</v>
      </c>
      <c r="AK36" s="31" t="s">
        <v>23</v>
      </c>
      <c r="AL36" s="121" t="s">
        <v>23</v>
      </c>
    </row>
    <row r="37" spans="1:38" ht="13">
      <c r="A37" s="99">
        <v>2008</v>
      </c>
      <c r="B37" s="77" t="s">
        <v>23</v>
      </c>
      <c r="C37" s="77" t="s">
        <v>23</v>
      </c>
      <c r="D37" s="77" t="s">
        <v>23</v>
      </c>
      <c r="E37" s="77" t="s">
        <v>23</v>
      </c>
      <c r="F37" s="77" t="s">
        <v>23</v>
      </c>
      <c r="G37" s="77" t="s">
        <v>23</v>
      </c>
      <c r="H37" s="77" t="s">
        <v>23</v>
      </c>
      <c r="I37" s="77" t="s">
        <v>23</v>
      </c>
      <c r="J37" s="127"/>
      <c r="K37" s="77" t="s">
        <v>23</v>
      </c>
      <c r="L37" s="77" t="s">
        <v>23</v>
      </c>
      <c r="M37" s="77" t="s">
        <v>23</v>
      </c>
      <c r="N37" s="77" t="s">
        <v>23</v>
      </c>
      <c r="O37" s="77" t="s">
        <v>23</v>
      </c>
      <c r="P37" s="77" t="s">
        <v>23</v>
      </c>
      <c r="Q37" s="77" t="s">
        <v>23</v>
      </c>
      <c r="R37" s="77" t="s">
        <v>23</v>
      </c>
      <c r="U37" s="59"/>
      <c r="V37" s="59"/>
      <c r="W37" s="59"/>
      <c r="X37" s="59"/>
      <c r="Y37" s="59"/>
      <c r="Z37" s="59"/>
      <c r="AA37" s="59"/>
      <c r="AB37" s="74"/>
      <c r="AE37" s="31" t="s">
        <v>23</v>
      </c>
      <c r="AF37" s="31" t="s">
        <v>23</v>
      </c>
      <c r="AG37" s="31" t="s">
        <v>23</v>
      </c>
      <c r="AH37" s="31" t="s">
        <v>23</v>
      </c>
      <c r="AI37" s="31" t="s">
        <v>23</v>
      </c>
      <c r="AJ37" s="31" t="s">
        <v>23</v>
      </c>
      <c r="AK37" s="31" t="s">
        <v>23</v>
      </c>
      <c r="AL37" s="121" t="s">
        <v>23</v>
      </c>
    </row>
    <row r="38" spans="1:38" ht="13">
      <c r="A38" s="99">
        <v>2009</v>
      </c>
      <c r="B38" s="77" t="s">
        <v>23</v>
      </c>
      <c r="C38" s="77" t="s">
        <v>23</v>
      </c>
      <c r="D38" s="77" t="s">
        <v>23</v>
      </c>
      <c r="E38" s="77" t="s">
        <v>23</v>
      </c>
      <c r="F38" s="77" t="s">
        <v>23</v>
      </c>
      <c r="G38" s="77" t="s">
        <v>23</v>
      </c>
      <c r="H38" s="77" t="s">
        <v>23</v>
      </c>
      <c r="I38" s="77" t="s">
        <v>23</v>
      </c>
      <c r="J38" s="127"/>
      <c r="K38" s="77" t="s">
        <v>23</v>
      </c>
      <c r="L38" s="77" t="s">
        <v>23</v>
      </c>
      <c r="M38" s="77" t="s">
        <v>23</v>
      </c>
      <c r="N38" s="77" t="s">
        <v>23</v>
      </c>
      <c r="O38" s="77" t="s">
        <v>23</v>
      </c>
      <c r="P38" s="77" t="s">
        <v>23</v>
      </c>
      <c r="Q38" s="77" t="s">
        <v>23</v>
      </c>
      <c r="R38" s="77" t="s">
        <v>23</v>
      </c>
      <c r="U38" s="59"/>
      <c r="V38" s="59"/>
      <c r="W38" s="59"/>
      <c r="X38" s="59"/>
      <c r="Y38" s="59"/>
      <c r="Z38" s="59"/>
      <c r="AA38" s="59"/>
      <c r="AB38" s="74"/>
      <c r="AE38" s="31" t="s">
        <v>23</v>
      </c>
      <c r="AF38" s="31" t="s">
        <v>23</v>
      </c>
      <c r="AG38" s="31" t="s">
        <v>23</v>
      </c>
      <c r="AH38" s="31" t="s">
        <v>23</v>
      </c>
      <c r="AI38" s="31" t="s">
        <v>23</v>
      </c>
      <c r="AJ38" s="31" t="s">
        <v>23</v>
      </c>
      <c r="AK38" s="31" t="s">
        <v>23</v>
      </c>
      <c r="AL38" s="121" t="s">
        <v>23</v>
      </c>
    </row>
    <row r="39" spans="1:38" ht="13">
      <c r="A39" s="99">
        <v>2010</v>
      </c>
      <c r="B39" s="77" t="s">
        <v>23</v>
      </c>
      <c r="C39" s="77" t="s">
        <v>23</v>
      </c>
      <c r="D39" s="77" t="s">
        <v>23</v>
      </c>
      <c r="E39" s="77" t="s">
        <v>23</v>
      </c>
      <c r="F39" s="77" t="s">
        <v>23</v>
      </c>
      <c r="G39" s="77" t="s">
        <v>23</v>
      </c>
      <c r="H39" s="77" t="s">
        <v>23</v>
      </c>
      <c r="I39" s="77" t="s">
        <v>23</v>
      </c>
      <c r="J39" s="127"/>
      <c r="K39" s="77" t="s">
        <v>23</v>
      </c>
      <c r="L39" s="77" t="s">
        <v>23</v>
      </c>
      <c r="M39" s="77" t="s">
        <v>23</v>
      </c>
      <c r="N39" s="77" t="s">
        <v>23</v>
      </c>
      <c r="O39" s="77" t="s">
        <v>23</v>
      </c>
      <c r="P39" s="77" t="s">
        <v>23</v>
      </c>
      <c r="Q39" s="77" t="s">
        <v>23</v>
      </c>
      <c r="R39" s="77" t="s">
        <v>23</v>
      </c>
      <c r="U39" s="59"/>
      <c r="V39" s="59"/>
      <c r="W39" s="59"/>
      <c r="X39" s="59"/>
      <c r="Y39" s="59"/>
      <c r="Z39" s="59"/>
      <c r="AA39" s="59"/>
      <c r="AB39" s="74"/>
      <c r="AE39" s="31" t="s">
        <v>23</v>
      </c>
      <c r="AF39" s="31" t="s">
        <v>23</v>
      </c>
      <c r="AG39" s="31" t="s">
        <v>23</v>
      </c>
      <c r="AH39" s="31" t="s">
        <v>23</v>
      </c>
      <c r="AI39" s="31" t="s">
        <v>23</v>
      </c>
      <c r="AJ39" s="31" t="s">
        <v>23</v>
      </c>
      <c r="AK39" s="31" t="s">
        <v>23</v>
      </c>
      <c r="AL39" s="121" t="s">
        <v>23</v>
      </c>
    </row>
    <row r="40" spans="1:38" ht="13">
      <c r="A40" s="99">
        <v>2011</v>
      </c>
      <c r="B40" s="77" t="s">
        <v>23</v>
      </c>
      <c r="C40" s="77" t="s">
        <v>23</v>
      </c>
      <c r="D40" s="77" t="s">
        <v>23</v>
      </c>
      <c r="E40" s="77">
        <v>11</v>
      </c>
      <c r="F40" s="77">
        <v>406</v>
      </c>
      <c r="G40" s="77" t="s">
        <v>23</v>
      </c>
      <c r="H40" s="77" t="s">
        <v>23</v>
      </c>
      <c r="I40" s="77">
        <f t="shared" ref="I40:I47" si="6">SUM(B40:H40)</f>
        <v>417</v>
      </c>
      <c r="J40" s="127"/>
      <c r="K40" s="77" t="s">
        <v>23</v>
      </c>
      <c r="L40" s="77" t="s">
        <v>23</v>
      </c>
      <c r="M40" s="77" t="s">
        <v>23</v>
      </c>
      <c r="N40" s="77" t="s">
        <v>23</v>
      </c>
      <c r="O40" s="77" t="s">
        <v>23</v>
      </c>
      <c r="P40" s="77" t="s">
        <v>23</v>
      </c>
      <c r="Q40" s="77" t="s">
        <v>23</v>
      </c>
      <c r="R40" s="77" t="s">
        <v>23</v>
      </c>
      <c r="U40" s="59"/>
      <c r="V40" s="59"/>
      <c r="W40" s="59"/>
      <c r="X40" s="59"/>
      <c r="Y40" s="59"/>
      <c r="Z40" s="59"/>
      <c r="AA40" s="59"/>
      <c r="AB40" s="74"/>
      <c r="AE40" s="31" t="s">
        <v>23</v>
      </c>
      <c r="AF40" s="31" t="s">
        <v>23</v>
      </c>
      <c r="AG40" s="31" t="s">
        <v>23</v>
      </c>
      <c r="AH40" s="31" t="s">
        <v>23</v>
      </c>
      <c r="AI40" s="31" t="s">
        <v>23</v>
      </c>
      <c r="AJ40" s="31" t="s">
        <v>23</v>
      </c>
      <c r="AK40" s="31" t="s">
        <v>23</v>
      </c>
      <c r="AL40" s="121" t="s">
        <v>23</v>
      </c>
    </row>
    <row r="41" spans="1:38" ht="13">
      <c r="A41" s="99">
        <v>2012</v>
      </c>
      <c r="B41" s="77" t="s">
        <v>23</v>
      </c>
      <c r="C41" s="77" t="s">
        <v>23</v>
      </c>
      <c r="D41" s="77" t="s">
        <v>23</v>
      </c>
      <c r="E41" s="77" t="s">
        <v>23</v>
      </c>
      <c r="F41" s="77" t="s">
        <v>23</v>
      </c>
      <c r="G41" s="77">
        <v>400</v>
      </c>
      <c r="H41" s="77" t="s">
        <v>23</v>
      </c>
      <c r="I41" s="77">
        <f t="shared" si="6"/>
        <v>400</v>
      </c>
      <c r="J41" s="127"/>
      <c r="K41" s="77" t="s">
        <v>23</v>
      </c>
      <c r="L41" s="77" t="s">
        <v>23</v>
      </c>
      <c r="M41" s="77" t="s">
        <v>23</v>
      </c>
      <c r="N41" s="77" t="s">
        <v>23</v>
      </c>
      <c r="O41" s="77" t="s">
        <v>23</v>
      </c>
      <c r="P41" s="77" t="s">
        <v>23</v>
      </c>
      <c r="Q41" s="77" t="s">
        <v>23</v>
      </c>
      <c r="R41" s="77" t="s">
        <v>23</v>
      </c>
      <c r="U41" s="59"/>
      <c r="V41" s="59"/>
      <c r="W41" s="59"/>
      <c r="X41" s="59"/>
      <c r="Y41" s="59"/>
      <c r="Z41" s="59"/>
      <c r="AA41" s="59"/>
      <c r="AB41" s="74"/>
      <c r="AE41" s="31" t="s">
        <v>23</v>
      </c>
      <c r="AF41" s="31" t="s">
        <v>23</v>
      </c>
      <c r="AG41" s="31" t="s">
        <v>23</v>
      </c>
      <c r="AH41" s="31" t="s">
        <v>23</v>
      </c>
      <c r="AI41" s="31" t="s">
        <v>23</v>
      </c>
      <c r="AJ41" s="31" t="s">
        <v>23</v>
      </c>
      <c r="AK41" s="31" t="s">
        <v>23</v>
      </c>
      <c r="AL41" s="121" t="s">
        <v>23</v>
      </c>
    </row>
    <row r="42" spans="1:38" ht="13">
      <c r="A42" s="99">
        <v>2013</v>
      </c>
      <c r="B42" s="77" t="s">
        <v>23</v>
      </c>
      <c r="C42" s="77">
        <v>85</v>
      </c>
      <c r="D42" s="77">
        <v>524</v>
      </c>
      <c r="E42" s="77">
        <v>487</v>
      </c>
      <c r="F42" s="77">
        <v>116</v>
      </c>
      <c r="G42" s="77">
        <v>13</v>
      </c>
      <c r="H42" s="77" t="s">
        <v>23</v>
      </c>
      <c r="I42" s="77">
        <f t="shared" si="6"/>
        <v>1225</v>
      </c>
      <c r="J42" s="127"/>
      <c r="K42" s="77" t="s">
        <v>23</v>
      </c>
      <c r="L42" s="77" t="s">
        <v>23</v>
      </c>
      <c r="M42" s="77" t="s">
        <v>23</v>
      </c>
      <c r="N42" s="77" t="s">
        <v>23</v>
      </c>
      <c r="O42" s="77" t="s">
        <v>23</v>
      </c>
      <c r="P42" s="77" t="s">
        <v>23</v>
      </c>
      <c r="Q42" s="77" t="s">
        <v>23</v>
      </c>
      <c r="R42" s="77" t="s">
        <v>23</v>
      </c>
      <c r="U42" s="59"/>
      <c r="V42" s="59"/>
      <c r="W42" s="59"/>
      <c r="X42" s="59"/>
      <c r="Y42" s="59"/>
      <c r="Z42" s="59"/>
      <c r="AA42" s="59"/>
      <c r="AB42" s="74"/>
      <c r="AE42" s="31" t="s">
        <v>23</v>
      </c>
      <c r="AF42" s="31" t="s">
        <v>23</v>
      </c>
      <c r="AG42" s="31" t="s">
        <v>23</v>
      </c>
      <c r="AH42" s="31" t="s">
        <v>23</v>
      </c>
      <c r="AI42" s="31" t="s">
        <v>23</v>
      </c>
      <c r="AJ42" s="31" t="s">
        <v>23</v>
      </c>
      <c r="AK42" s="31" t="s">
        <v>23</v>
      </c>
      <c r="AL42" s="121" t="s">
        <v>23</v>
      </c>
    </row>
    <row r="43" spans="1:38" ht="13">
      <c r="A43" s="99">
        <v>2014</v>
      </c>
      <c r="B43" s="77" t="s">
        <v>23</v>
      </c>
      <c r="C43" s="77" t="s">
        <v>23</v>
      </c>
      <c r="D43" s="77" t="s">
        <v>23</v>
      </c>
      <c r="E43" s="77" t="s">
        <v>23</v>
      </c>
      <c r="F43" s="77" t="s">
        <v>23</v>
      </c>
      <c r="G43" s="77">
        <v>21</v>
      </c>
      <c r="H43" s="77" t="s">
        <v>23</v>
      </c>
      <c r="I43" s="77">
        <f t="shared" si="6"/>
        <v>21</v>
      </c>
      <c r="J43" s="127"/>
      <c r="K43" s="77" t="s">
        <v>23</v>
      </c>
      <c r="L43" s="77" t="s">
        <v>23</v>
      </c>
      <c r="M43" s="77" t="s">
        <v>23</v>
      </c>
      <c r="N43" s="77" t="s">
        <v>23</v>
      </c>
      <c r="O43" s="77" t="s">
        <v>23</v>
      </c>
      <c r="P43" s="77" t="s">
        <v>23</v>
      </c>
      <c r="Q43" s="77" t="s">
        <v>23</v>
      </c>
      <c r="R43" s="77" t="s">
        <v>23</v>
      </c>
      <c r="U43" s="59"/>
      <c r="V43" s="59"/>
      <c r="W43" s="59"/>
      <c r="X43" s="59"/>
      <c r="Y43" s="59"/>
      <c r="Z43" s="59"/>
      <c r="AA43" s="59"/>
      <c r="AB43" s="74"/>
      <c r="AE43" s="31" t="s">
        <v>23</v>
      </c>
      <c r="AF43" s="31" t="s">
        <v>23</v>
      </c>
      <c r="AG43" s="31" t="s">
        <v>23</v>
      </c>
      <c r="AH43" s="31" t="s">
        <v>23</v>
      </c>
      <c r="AI43" s="31" t="s">
        <v>23</v>
      </c>
      <c r="AJ43" s="31" t="s">
        <v>23</v>
      </c>
      <c r="AK43" s="31" t="s">
        <v>23</v>
      </c>
      <c r="AL43" s="121" t="s">
        <v>23</v>
      </c>
    </row>
    <row r="44" spans="1:38" ht="13">
      <c r="A44" s="99">
        <v>2015</v>
      </c>
      <c r="B44" s="77" t="s">
        <v>23</v>
      </c>
      <c r="C44" s="77" t="s">
        <v>23</v>
      </c>
      <c r="D44" s="77" t="s">
        <v>23</v>
      </c>
      <c r="E44" s="77" t="s">
        <v>23</v>
      </c>
      <c r="F44" s="77" t="s">
        <v>23</v>
      </c>
      <c r="G44" s="77">
        <v>36</v>
      </c>
      <c r="H44" s="77" t="s">
        <v>23</v>
      </c>
      <c r="I44" s="77">
        <f t="shared" si="6"/>
        <v>36</v>
      </c>
      <c r="J44" s="127"/>
      <c r="K44" s="77" t="s">
        <v>23</v>
      </c>
      <c r="L44" s="77" t="s">
        <v>23</v>
      </c>
      <c r="M44" s="77" t="s">
        <v>23</v>
      </c>
      <c r="N44" s="77" t="s">
        <v>23</v>
      </c>
      <c r="O44" s="77" t="s">
        <v>23</v>
      </c>
      <c r="P44" s="77" t="s">
        <v>23</v>
      </c>
      <c r="Q44" s="77" t="s">
        <v>23</v>
      </c>
      <c r="R44" s="77" t="s">
        <v>23</v>
      </c>
      <c r="U44" s="59"/>
      <c r="V44" s="59"/>
      <c r="W44" s="59"/>
      <c r="X44" s="59"/>
      <c r="Y44" s="59"/>
      <c r="Z44" s="59"/>
      <c r="AA44" s="59"/>
      <c r="AB44" s="74"/>
      <c r="AE44" s="31" t="s">
        <v>23</v>
      </c>
      <c r="AF44" s="31" t="s">
        <v>23</v>
      </c>
      <c r="AG44" s="31" t="s">
        <v>23</v>
      </c>
      <c r="AH44" s="31" t="s">
        <v>23</v>
      </c>
      <c r="AI44" s="31" t="s">
        <v>23</v>
      </c>
      <c r="AJ44" s="31" t="s">
        <v>23</v>
      </c>
      <c r="AK44" s="31" t="s">
        <v>23</v>
      </c>
      <c r="AL44" s="121" t="s">
        <v>23</v>
      </c>
    </row>
    <row r="45" spans="1:38" ht="13">
      <c r="A45" s="99">
        <v>2016</v>
      </c>
      <c r="B45" s="77" t="s">
        <v>23</v>
      </c>
      <c r="C45" s="77" t="s">
        <v>23</v>
      </c>
      <c r="D45" s="77" t="s">
        <v>23</v>
      </c>
      <c r="E45" s="77" t="s">
        <v>23</v>
      </c>
      <c r="F45" s="77" t="s">
        <v>23</v>
      </c>
      <c r="G45" s="77">
        <v>6</v>
      </c>
      <c r="H45" s="77" t="s">
        <v>23</v>
      </c>
      <c r="I45" s="77">
        <f t="shared" si="6"/>
        <v>6</v>
      </c>
      <c r="J45" s="127"/>
      <c r="K45" s="77" t="s">
        <v>23</v>
      </c>
      <c r="L45" s="77" t="s">
        <v>23</v>
      </c>
      <c r="M45" s="77" t="s">
        <v>23</v>
      </c>
      <c r="N45" s="77" t="s">
        <v>23</v>
      </c>
      <c r="O45" s="77" t="s">
        <v>23</v>
      </c>
      <c r="P45" s="77" t="s">
        <v>23</v>
      </c>
      <c r="Q45" s="77" t="s">
        <v>23</v>
      </c>
      <c r="R45" s="77" t="s">
        <v>23</v>
      </c>
      <c r="U45" s="59"/>
      <c r="V45" s="59"/>
      <c r="W45" s="59"/>
      <c r="X45" s="59"/>
      <c r="Y45" s="59"/>
      <c r="Z45" s="59"/>
      <c r="AA45" s="59"/>
      <c r="AB45" s="74"/>
      <c r="AE45" s="31" t="s">
        <v>23</v>
      </c>
      <c r="AF45" s="31" t="s">
        <v>23</v>
      </c>
      <c r="AG45" s="31" t="s">
        <v>23</v>
      </c>
      <c r="AH45" s="31" t="s">
        <v>23</v>
      </c>
      <c r="AI45" s="31" t="s">
        <v>23</v>
      </c>
      <c r="AJ45" s="31" t="s">
        <v>23</v>
      </c>
      <c r="AK45" s="31" t="s">
        <v>23</v>
      </c>
      <c r="AL45" s="121" t="s">
        <v>23</v>
      </c>
    </row>
    <row r="46" spans="1:38" ht="13">
      <c r="A46" s="99">
        <v>2017</v>
      </c>
      <c r="B46" s="77" t="s">
        <v>23</v>
      </c>
      <c r="C46" s="77" t="s">
        <v>23</v>
      </c>
      <c r="D46" s="77" t="s">
        <v>23</v>
      </c>
      <c r="E46" s="77" t="s">
        <v>23</v>
      </c>
      <c r="F46" s="77" t="s">
        <v>23</v>
      </c>
      <c r="G46" s="77" t="s">
        <v>23</v>
      </c>
      <c r="H46" s="77" t="s">
        <v>23</v>
      </c>
      <c r="I46" s="77" t="s">
        <v>23</v>
      </c>
      <c r="J46" s="127"/>
      <c r="K46" s="77" t="s">
        <v>23</v>
      </c>
      <c r="L46" s="77" t="s">
        <v>23</v>
      </c>
      <c r="M46" s="77" t="s">
        <v>23</v>
      </c>
      <c r="N46" s="77" t="s">
        <v>23</v>
      </c>
      <c r="O46" s="77" t="s">
        <v>23</v>
      </c>
      <c r="P46" s="77" t="s">
        <v>23</v>
      </c>
      <c r="Q46" s="77" t="s">
        <v>23</v>
      </c>
      <c r="R46" s="77" t="s">
        <v>23</v>
      </c>
      <c r="U46" s="59"/>
      <c r="V46" s="59"/>
      <c r="W46" s="59"/>
      <c r="X46" s="59"/>
      <c r="Y46" s="59"/>
      <c r="Z46" s="59"/>
      <c r="AA46" s="59"/>
      <c r="AB46" s="74"/>
      <c r="AE46" s="31" t="s">
        <v>23</v>
      </c>
      <c r="AF46" s="31" t="s">
        <v>23</v>
      </c>
      <c r="AG46" s="31" t="s">
        <v>23</v>
      </c>
      <c r="AH46" s="31" t="s">
        <v>23</v>
      </c>
      <c r="AI46" s="31" t="s">
        <v>23</v>
      </c>
      <c r="AJ46" s="31" t="s">
        <v>23</v>
      </c>
      <c r="AK46" s="31" t="s">
        <v>23</v>
      </c>
      <c r="AL46" s="121" t="s">
        <v>23</v>
      </c>
    </row>
    <row r="47" spans="1:38" ht="13">
      <c r="A47" s="99">
        <v>2018</v>
      </c>
      <c r="B47" s="77" t="s">
        <v>23</v>
      </c>
      <c r="C47" s="77">
        <v>241</v>
      </c>
      <c r="D47" s="77">
        <v>1497</v>
      </c>
      <c r="E47" s="77">
        <v>775</v>
      </c>
      <c r="F47" s="77">
        <v>1899</v>
      </c>
      <c r="G47" s="77" t="s">
        <v>23</v>
      </c>
      <c r="H47" s="77" t="s">
        <v>23</v>
      </c>
      <c r="I47" s="77">
        <f t="shared" si="6"/>
        <v>4412</v>
      </c>
      <c r="J47" s="127"/>
      <c r="K47" s="77" t="s">
        <v>23</v>
      </c>
      <c r="L47" s="77" t="s">
        <v>23</v>
      </c>
      <c r="M47" s="77" t="s">
        <v>23</v>
      </c>
      <c r="N47" s="77" t="s">
        <v>23</v>
      </c>
      <c r="O47" s="77" t="s">
        <v>23</v>
      </c>
      <c r="P47" s="77" t="s">
        <v>23</v>
      </c>
      <c r="Q47" s="77" t="s">
        <v>23</v>
      </c>
      <c r="R47" s="77" t="s">
        <v>23</v>
      </c>
      <c r="U47" s="59"/>
      <c r="V47" s="59"/>
      <c r="W47" s="59"/>
      <c r="X47" s="59"/>
      <c r="Y47" s="59"/>
      <c r="Z47" s="59"/>
      <c r="AA47" s="59"/>
      <c r="AB47" s="74"/>
      <c r="AE47" s="31" t="s">
        <v>23</v>
      </c>
      <c r="AF47" s="31" t="s">
        <v>23</v>
      </c>
      <c r="AG47" s="31" t="s">
        <v>23</v>
      </c>
      <c r="AH47" s="31" t="s">
        <v>23</v>
      </c>
      <c r="AI47" s="31" t="s">
        <v>23</v>
      </c>
      <c r="AJ47" s="31" t="s">
        <v>23</v>
      </c>
      <c r="AK47" s="31" t="s">
        <v>23</v>
      </c>
      <c r="AL47" s="121" t="s">
        <v>23</v>
      </c>
    </row>
    <row r="48" spans="1:38" ht="10.5" customHeight="1">
      <c r="A48" s="99">
        <v>2019</v>
      </c>
      <c r="B48" s="77" t="s">
        <v>23</v>
      </c>
      <c r="C48" s="77" t="s">
        <v>23</v>
      </c>
      <c r="D48" s="77">
        <v>114</v>
      </c>
      <c r="E48" s="77">
        <v>1311</v>
      </c>
      <c r="F48" s="77">
        <v>2810</v>
      </c>
      <c r="G48" s="77" t="s">
        <v>23</v>
      </c>
      <c r="H48" s="77" t="s">
        <v>23</v>
      </c>
      <c r="I48" s="77">
        <f t="shared" ref="I48" si="7">SUM(B48:H48)</f>
        <v>4235</v>
      </c>
      <c r="J48" s="127"/>
      <c r="K48" s="77" t="s">
        <v>23</v>
      </c>
      <c r="L48" s="77" t="s">
        <v>23</v>
      </c>
      <c r="M48" s="77" t="s">
        <v>23</v>
      </c>
      <c r="N48" s="77" t="s">
        <v>23</v>
      </c>
      <c r="O48" s="77" t="s">
        <v>23</v>
      </c>
      <c r="P48" s="77" t="s">
        <v>23</v>
      </c>
      <c r="Q48" s="77" t="s">
        <v>23</v>
      </c>
      <c r="R48" s="77" t="s">
        <v>23</v>
      </c>
      <c r="U48" s="59"/>
      <c r="V48" s="59"/>
      <c r="W48" s="59"/>
      <c r="X48" s="59"/>
      <c r="Y48" s="59"/>
      <c r="Z48" s="59"/>
      <c r="AA48" s="59"/>
      <c r="AB48" s="74"/>
      <c r="AE48" s="31" t="s">
        <v>23</v>
      </c>
      <c r="AF48" s="31" t="s">
        <v>23</v>
      </c>
      <c r="AG48" s="31" t="s">
        <v>23</v>
      </c>
      <c r="AH48" s="31" t="s">
        <v>23</v>
      </c>
      <c r="AI48" s="31" t="s">
        <v>23</v>
      </c>
      <c r="AJ48" s="31" t="s">
        <v>23</v>
      </c>
      <c r="AK48" s="31" t="s">
        <v>23</v>
      </c>
      <c r="AL48" s="121" t="s">
        <v>23</v>
      </c>
    </row>
    <row r="49" spans="1:38" ht="13">
      <c r="A49" s="99">
        <v>2020</v>
      </c>
      <c r="B49" s="77" t="s">
        <v>23</v>
      </c>
      <c r="C49" s="77" t="s">
        <v>23</v>
      </c>
      <c r="D49" s="77" t="s">
        <v>23</v>
      </c>
      <c r="E49" s="77" t="s">
        <v>23</v>
      </c>
      <c r="F49" s="77" t="s">
        <v>23</v>
      </c>
      <c r="G49" s="77" t="s">
        <v>23</v>
      </c>
      <c r="H49" s="77" t="s">
        <v>23</v>
      </c>
      <c r="I49" s="77" t="s">
        <v>23</v>
      </c>
      <c r="J49" s="127"/>
      <c r="K49" s="77" t="s">
        <v>23</v>
      </c>
      <c r="L49" s="77" t="s">
        <v>23</v>
      </c>
      <c r="M49" s="77" t="s">
        <v>23</v>
      </c>
      <c r="N49" s="77" t="s">
        <v>23</v>
      </c>
      <c r="O49" s="77" t="s">
        <v>23</v>
      </c>
      <c r="P49" s="77" t="s">
        <v>23</v>
      </c>
      <c r="Q49" s="77" t="s">
        <v>23</v>
      </c>
      <c r="R49" s="77" t="s">
        <v>23</v>
      </c>
      <c r="U49" s="59"/>
      <c r="V49" s="59"/>
      <c r="W49" s="59"/>
      <c r="X49" s="59"/>
      <c r="Y49" s="59"/>
      <c r="Z49" s="59"/>
      <c r="AA49" s="59"/>
      <c r="AB49" s="74"/>
      <c r="AE49" s="31" t="s">
        <v>23</v>
      </c>
      <c r="AF49" s="31" t="s">
        <v>23</v>
      </c>
      <c r="AG49" s="31" t="s">
        <v>23</v>
      </c>
      <c r="AH49" s="31" t="s">
        <v>23</v>
      </c>
      <c r="AI49" s="31" t="s">
        <v>23</v>
      </c>
      <c r="AJ49" s="31" t="s">
        <v>23</v>
      </c>
      <c r="AK49" s="31" t="s">
        <v>23</v>
      </c>
      <c r="AL49" s="121" t="s">
        <v>23</v>
      </c>
    </row>
    <row r="50" spans="1:38" ht="13">
      <c r="A50" s="99">
        <v>2021</v>
      </c>
      <c r="B50" s="57" t="s">
        <v>23</v>
      </c>
      <c r="C50" s="57" t="s">
        <v>23</v>
      </c>
      <c r="D50" s="57" t="s">
        <v>23</v>
      </c>
      <c r="E50" s="57" t="s">
        <v>23</v>
      </c>
      <c r="F50" s="57" t="s">
        <v>23</v>
      </c>
      <c r="G50" s="57" t="s">
        <v>23</v>
      </c>
      <c r="H50" s="57" t="s">
        <v>23</v>
      </c>
      <c r="I50" s="57" t="s">
        <v>23</v>
      </c>
      <c r="J50" s="76"/>
      <c r="K50" s="57" t="s">
        <v>23</v>
      </c>
      <c r="L50" s="57" t="s">
        <v>23</v>
      </c>
      <c r="M50" s="57" t="s">
        <v>23</v>
      </c>
      <c r="N50" s="57" t="s">
        <v>23</v>
      </c>
      <c r="O50" s="57" t="s">
        <v>23</v>
      </c>
      <c r="P50" s="57" t="s">
        <v>23</v>
      </c>
      <c r="Q50" s="57" t="s">
        <v>23</v>
      </c>
      <c r="R50" s="57" t="s">
        <v>23</v>
      </c>
      <c r="U50" s="16"/>
      <c r="V50" s="16"/>
      <c r="W50" s="16"/>
      <c r="X50" s="16"/>
      <c r="Y50" s="16"/>
      <c r="Z50" s="16"/>
      <c r="AA50" s="16"/>
      <c r="AB50" s="74"/>
      <c r="AE50" s="31" t="s">
        <v>23</v>
      </c>
      <c r="AF50" s="31" t="s">
        <v>23</v>
      </c>
      <c r="AG50" s="31" t="s">
        <v>23</v>
      </c>
      <c r="AH50" s="31" t="s">
        <v>23</v>
      </c>
      <c r="AI50" s="31" t="s">
        <v>23</v>
      </c>
      <c r="AJ50" s="31" t="s">
        <v>23</v>
      </c>
      <c r="AK50" s="31" t="s">
        <v>23</v>
      </c>
      <c r="AL50" s="121" t="s">
        <v>23</v>
      </c>
    </row>
    <row r="51" spans="1:38">
      <c r="B51" s="57"/>
      <c r="C51" s="57"/>
      <c r="D51" s="57"/>
      <c r="E51" s="57"/>
      <c r="F51" s="57"/>
      <c r="G51" s="57"/>
      <c r="H51" s="57"/>
      <c r="I51" s="57"/>
      <c r="J51" s="57"/>
      <c r="K51" s="57"/>
      <c r="L51" s="57"/>
      <c r="M51" s="57"/>
      <c r="N51" s="57"/>
      <c r="O51" s="57"/>
      <c r="P51" s="57"/>
      <c r="Q51" s="57"/>
      <c r="R51" s="57"/>
    </row>
    <row r="52" spans="1:38">
      <c r="A52" s="94" t="s">
        <v>17</v>
      </c>
      <c r="B52" s="57"/>
      <c r="C52" s="57"/>
      <c r="D52" s="57"/>
      <c r="E52" s="57"/>
      <c r="F52" s="57"/>
      <c r="G52" s="57"/>
      <c r="H52" s="57"/>
      <c r="I52" s="57"/>
      <c r="J52" s="57"/>
      <c r="K52" s="57"/>
      <c r="L52" s="57"/>
      <c r="M52" s="57"/>
      <c r="N52" s="57"/>
      <c r="O52" s="57"/>
      <c r="P52" s="57"/>
      <c r="Q52" s="57"/>
      <c r="R52" s="57"/>
    </row>
    <row r="53" spans="1:38">
      <c r="A53" s="99">
        <v>1976</v>
      </c>
      <c r="B53" s="57">
        <v>2608</v>
      </c>
      <c r="C53" s="57">
        <v>53950</v>
      </c>
      <c r="D53" s="57">
        <v>40957</v>
      </c>
      <c r="E53" s="57">
        <v>65896</v>
      </c>
      <c r="F53" s="57">
        <v>1040</v>
      </c>
      <c r="G53" s="57">
        <v>968</v>
      </c>
      <c r="H53" s="57" t="s">
        <v>23</v>
      </c>
      <c r="I53" s="57">
        <f t="shared" ref="I53:I61" si="8">SUM(B53:H53)</f>
        <v>165419</v>
      </c>
      <c r="J53" s="57"/>
      <c r="K53" s="57" t="s">
        <v>23</v>
      </c>
      <c r="L53" s="57">
        <v>105217</v>
      </c>
      <c r="M53" s="57">
        <v>83447</v>
      </c>
      <c r="N53" s="57">
        <v>9164</v>
      </c>
      <c r="O53" s="57">
        <v>7007</v>
      </c>
      <c r="P53" s="57">
        <v>0</v>
      </c>
      <c r="Q53" s="57" t="s">
        <v>23</v>
      </c>
      <c r="R53" s="57">
        <f t="shared" ref="R53:R61" si="9">SUM(K53:Q53)</f>
        <v>204835</v>
      </c>
    </row>
    <row r="54" spans="1:38">
      <c r="A54" s="99">
        <v>1977</v>
      </c>
      <c r="B54" s="57">
        <v>22112</v>
      </c>
      <c r="C54" s="57">
        <v>56224</v>
      </c>
      <c r="D54" s="57">
        <v>32448</v>
      </c>
      <c r="E54" s="57">
        <v>40810</v>
      </c>
      <c r="F54" s="57">
        <v>9029</v>
      </c>
      <c r="G54" s="57">
        <v>552</v>
      </c>
      <c r="H54" s="57" t="s">
        <v>23</v>
      </c>
      <c r="I54" s="57">
        <f t="shared" si="8"/>
        <v>161175</v>
      </c>
      <c r="J54" s="57"/>
      <c r="K54" s="57" t="s">
        <v>23</v>
      </c>
      <c r="L54" s="57">
        <v>7929</v>
      </c>
      <c r="M54" s="57">
        <v>576</v>
      </c>
      <c r="N54" s="57">
        <v>4849</v>
      </c>
      <c r="O54" s="57">
        <v>5807</v>
      </c>
      <c r="P54" s="57">
        <v>97</v>
      </c>
      <c r="Q54" s="57" t="s">
        <v>23</v>
      </c>
      <c r="R54" s="57">
        <f t="shared" si="9"/>
        <v>19258</v>
      </c>
    </row>
    <row r="55" spans="1:38">
      <c r="A55" s="99">
        <v>1978</v>
      </c>
      <c r="B55" s="57">
        <v>7734</v>
      </c>
      <c r="C55" s="57">
        <v>88448</v>
      </c>
      <c r="D55" s="57">
        <v>46945</v>
      </c>
      <c r="E55" s="57">
        <v>10305</v>
      </c>
      <c r="F55" s="57">
        <v>1279</v>
      </c>
      <c r="G55" s="57">
        <v>457</v>
      </c>
      <c r="H55" s="57" t="s">
        <v>23</v>
      </c>
      <c r="I55" s="57">
        <f t="shared" si="8"/>
        <v>155168</v>
      </c>
      <c r="J55" s="57"/>
      <c r="K55" s="57">
        <v>12</v>
      </c>
      <c r="L55" s="57">
        <v>34454</v>
      </c>
      <c r="M55" s="57">
        <v>84863</v>
      </c>
      <c r="N55" s="57">
        <v>18829</v>
      </c>
      <c r="O55" s="57">
        <v>1736</v>
      </c>
      <c r="P55" s="57">
        <v>387</v>
      </c>
      <c r="Q55" s="57" t="s">
        <v>23</v>
      </c>
      <c r="R55" s="57">
        <f t="shared" si="9"/>
        <v>140281</v>
      </c>
    </row>
    <row r="56" spans="1:38">
      <c r="A56" s="99">
        <v>1979</v>
      </c>
      <c r="B56" s="57">
        <v>0</v>
      </c>
      <c r="C56" s="57">
        <v>101380</v>
      </c>
      <c r="D56" s="57">
        <v>22598</v>
      </c>
      <c r="E56" s="57">
        <v>35614</v>
      </c>
      <c r="F56" s="57">
        <v>42898</v>
      </c>
      <c r="G56" s="57">
        <v>15873</v>
      </c>
      <c r="H56" s="57" t="s">
        <v>23</v>
      </c>
      <c r="I56" s="57">
        <f t="shared" si="8"/>
        <v>218363</v>
      </c>
      <c r="J56" s="57"/>
      <c r="K56" s="57" t="s">
        <v>23</v>
      </c>
      <c r="L56" s="57">
        <v>6691</v>
      </c>
      <c r="M56" s="57">
        <v>29666</v>
      </c>
      <c r="N56" s="57">
        <v>23507</v>
      </c>
      <c r="O56" s="57">
        <v>5951</v>
      </c>
      <c r="P56" s="57">
        <v>138</v>
      </c>
      <c r="Q56" s="57" t="s">
        <v>23</v>
      </c>
      <c r="R56" s="57">
        <f t="shared" si="9"/>
        <v>65953</v>
      </c>
    </row>
    <row r="57" spans="1:38">
      <c r="A57" s="99">
        <v>1980</v>
      </c>
      <c r="B57" s="57" t="s">
        <v>23</v>
      </c>
      <c r="C57" s="57">
        <v>89492</v>
      </c>
      <c r="D57" s="57" t="s">
        <v>23</v>
      </c>
      <c r="E57" s="57">
        <v>20264</v>
      </c>
      <c r="F57" s="57">
        <v>10846</v>
      </c>
      <c r="G57" s="57">
        <v>10681</v>
      </c>
      <c r="H57" s="57" t="s">
        <v>23</v>
      </c>
      <c r="I57" s="57">
        <f t="shared" si="8"/>
        <v>131283</v>
      </c>
      <c r="J57" s="57"/>
      <c r="K57" s="57" t="s">
        <v>23</v>
      </c>
      <c r="L57" s="57">
        <v>189</v>
      </c>
      <c r="M57" s="57" t="s">
        <v>23</v>
      </c>
      <c r="N57" s="57">
        <v>12070</v>
      </c>
      <c r="O57" s="57">
        <v>5140</v>
      </c>
      <c r="P57" s="57">
        <v>2392</v>
      </c>
      <c r="Q57" s="57" t="s">
        <v>23</v>
      </c>
      <c r="R57" s="57">
        <f t="shared" si="9"/>
        <v>19791</v>
      </c>
    </row>
    <row r="58" spans="1:38">
      <c r="A58" s="99">
        <v>1981</v>
      </c>
      <c r="B58" s="57" t="s">
        <v>23</v>
      </c>
      <c r="C58" s="57">
        <v>49196</v>
      </c>
      <c r="D58" s="57">
        <v>4149</v>
      </c>
      <c r="E58" s="57">
        <v>10845</v>
      </c>
      <c r="F58" s="57">
        <v>28315</v>
      </c>
      <c r="G58" s="57">
        <v>7204</v>
      </c>
      <c r="H58" s="57" t="s">
        <v>23</v>
      </c>
      <c r="I58" s="57">
        <f t="shared" si="8"/>
        <v>99709</v>
      </c>
      <c r="J58" s="57"/>
      <c r="K58" s="57" t="s">
        <v>23</v>
      </c>
      <c r="L58" s="57">
        <v>6261</v>
      </c>
      <c r="M58" s="57">
        <v>2435</v>
      </c>
      <c r="N58" s="57">
        <v>12313</v>
      </c>
      <c r="O58" s="57">
        <v>13863</v>
      </c>
      <c r="P58" s="57">
        <v>986</v>
      </c>
      <c r="Q58" s="57" t="s">
        <v>23</v>
      </c>
      <c r="R58" s="57">
        <f t="shared" si="9"/>
        <v>35858</v>
      </c>
    </row>
    <row r="59" spans="1:38">
      <c r="A59" s="99">
        <v>1982</v>
      </c>
      <c r="B59" s="57" t="s">
        <v>23</v>
      </c>
      <c r="C59" s="57">
        <v>39618</v>
      </c>
      <c r="D59" s="57">
        <v>9364</v>
      </c>
      <c r="E59" s="57">
        <v>24348</v>
      </c>
      <c r="F59" s="57">
        <v>15952</v>
      </c>
      <c r="G59" s="57">
        <v>6372</v>
      </c>
      <c r="H59" s="57" t="s">
        <v>23</v>
      </c>
      <c r="I59" s="57">
        <f t="shared" si="8"/>
        <v>95654</v>
      </c>
      <c r="J59" s="57"/>
      <c r="K59" s="57" t="s">
        <v>23</v>
      </c>
      <c r="L59" s="57">
        <v>475</v>
      </c>
      <c r="M59" s="57">
        <v>4295</v>
      </c>
      <c r="N59" s="57">
        <v>19027</v>
      </c>
      <c r="O59" s="57">
        <v>4460</v>
      </c>
      <c r="P59" s="57">
        <v>315</v>
      </c>
      <c r="Q59" s="57" t="s">
        <v>23</v>
      </c>
      <c r="R59" s="57">
        <f t="shared" si="9"/>
        <v>28572</v>
      </c>
    </row>
    <row r="60" spans="1:38">
      <c r="A60" s="99">
        <v>1983</v>
      </c>
      <c r="B60" s="57" t="s">
        <v>23</v>
      </c>
      <c r="C60" s="57">
        <v>9292</v>
      </c>
      <c r="D60" s="57">
        <v>16381</v>
      </c>
      <c r="E60" s="57">
        <v>5841</v>
      </c>
      <c r="F60" s="57">
        <v>3663</v>
      </c>
      <c r="G60" s="57" t="s">
        <v>23</v>
      </c>
      <c r="H60" s="57" t="s">
        <v>23</v>
      </c>
      <c r="I60" s="57">
        <f t="shared" si="8"/>
        <v>35177</v>
      </c>
      <c r="J60" s="57"/>
      <c r="K60" s="57" t="s">
        <v>23</v>
      </c>
      <c r="L60" s="57">
        <v>1</v>
      </c>
      <c r="M60" s="57">
        <v>13544</v>
      </c>
      <c r="N60" s="57">
        <v>8044</v>
      </c>
      <c r="O60" s="57">
        <v>5008</v>
      </c>
      <c r="P60" s="57" t="s">
        <v>23</v>
      </c>
      <c r="Q60" s="57" t="s">
        <v>23</v>
      </c>
      <c r="R60" s="57">
        <f t="shared" si="9"/>
        <v>26597</v>
      </c>
    </row>
    <row r="61" spans="1:38">
      <c r="A61" s="99">
        <v>1984</v>
      </c>
      <c r="B61" s="57" t="s">
        <v>23</v>
      </c>
      <c r="C61" s="57">
        <v>6203</v>
      </c>
      <c r="D61" s="57">
        <v>296</v>
      </c>
      <c r="E61" s="57">
        <v>4703</v>
      </c>
      <c r="F61" s="57">
        <v>2777</v>
      </c>
      <c r="G61" s="57" t="s">
        <v>23</v>
      </c>
      <c r="H61" s="57" t="s">
        <v>23</v>
      </c>
      <c r="I61" s="57">
        <f t="shared" si="8"/>
        <v>13979</v>
      </c>
      <c r="J61" s="57"/>
      <c r="K61" s="57" t="s">
        <v>23</v>
      </c>
      <c r="L61" s="57" t="s">
        <v>23</v>
      </c>
      <c r="M61" s="57" t="s">
        <v>23</v>
      </c>
      <c r="N61" s="57">
        <v>699</v>
      </c>
      <c r="O61" s="57">
        <v>2972</v>
      </c>
      <c r="P61" s="57" t="s">
        <v>23</v>
      </c>
      <c r="Q61" s="57" t="s">
        <v>23</v>
      </c>
      <c r="R61" s="57">
        <f t="shared" si="9"/>
        <v>3671</v>
      </c>
    </row>
    <row r="62" spans="1:38">
      <c r="A62" s="99">
        <v>1985</v>
      </c>
      <c r="B62" s="57" t="s">
        <v>23</v>
      </c>
      <c r="C62" s="57" t="s">
        <v>23</v>
      </c>
      <c r="D62" s="57" t="s">
        <v>23</v>
      </c>
      <c r="E62" s="57" t="s">
        <v>23</v>
      </c>
      <c r="F62" s="57" t="s">
        <v>23</v>
      </c>
      <c r="G62" s="57" t="s">
        <v>23</v>
      </c>
      <c r="H62" s="57" t="s">
        <v>23</v>
      </c>
      <c r="I62" s="57" t="s">
        <v>23</v>
      </c>
      <c r="J62" s="57"/>
      <c r="K62" s="57" t="s">
        <v>23</v>
      </c>
      <c r="L62" s="57" t="s">
        <v>23</v>
      </c>
      <c r="M62" s="57" t="s">
        <v>23</v>
      </c>
      <c r="N62" s="57" t="s">
        <v>23</v>
      </c>
      <c r="O62" s="57" t="s">
        <v>23</v>
      </c>
      <c r="P62" s="57" t="s">
        <v>23</v>
      </c>
      <c r="Q62" s="57" t="s">
        <v>23</v>
      </c>
      <c r="R62" s="57" t="s">
        <v>23</v>
      </c>
    </row>
    <row r="63" spans="1:38">
      <c r="A63" s="99">
        <v>1986</v>
      </c>
      <c r="B63" s="57" t="s">
        <v>23</v>
      </c>
      <c r="C63" s="57" t="s">
        <v>23</v>
      </c>
      <c r="D63" s="57">
        <v>15813.345976770221</v>
      </c>
      <c r="E63" s="57">
        <v>4315.7720730018882</v>
      </c>
      <c r="F63" s="57">
        <v>13802.504714984736</v>
      </c>
      <c r="G63" s="57">
        <v>2806</v>
      </c>
      <c r="H63" s="57" t="s">
        <v>23</v>
      </c>
      <c r="I63" s="57">
        <f t="shared" ref="I63:I68" si="10">SUM(B63:H63)</f>
        <v>36737.622764756845</v>
      </c>
      <c r="J63" s="57"/>
      <c r="K63" s="57" t="s">
        <v>23</v>
      </c>
      <c r="L63" s="57" t="s">
        <v>23</v>
      </c>
      <c r="M63" s="57">
        <v>3211.2267716204869</v>
      </c>
      <c r="N63" s="57">
        <v>823.07874638137184</v>
      </c>
      <c r="O63" s="57">
        <v>235.12255447283678</v>
      </c>
      <c r="P63" s="57">
        <v>48</v>
      </c>
      <c r="Q63" s="57" t="s">
        <v>23</v>
      </c>
      <c r="R63" s="57">
        <f t="shared" ref="R63:R68" si="11">SUM(K63:Q63)</f>
        <v>4317.428072474695</v>
      </c>
    </row>
    <row r="64" spans="1:38">
      <c r="A64" s="99">
        <v>1987</v>
      </c>
      <c r="B64" s="57" t="s">
        <v>23</v>
      </c>
      <c r="C64" s="57" t="s">
        <v>23</v>
      </c>
      <c r="D64" s="57">
        <v>50278.875924284555</v>
      </c>
      <c r="E64" s="57" t="s">
        <v>23</v>
      </c>
      <c r="F64" s="57" t="s">
        <v>23</v>
      </c>
      <c r="G64" s="57">
        <v>4458.3667214012039</v>
      </c>
      <c r="H64" s="57" t="s">
        <v>23</v>
      </c>
      <c r="I64" s="57">
        <f t="shared" si="10"/>
        <v>54737.242645685757</v>
      </c>
      <c r="J64" s="57"/>
      <c r="K64" s="57" t="s">
        <v>23</v>
      </c>
      <c r="L64" s="57" t="s">
        <v>23</v>
      </c>
      <c r="M64" s="57">
        <v>9555.1567368050419</v>
      </c>
      <c r="N64" s="57">
        <v>193</v>
      </c>
      <c r="O64" s="57" t="s">
        <v>23</v>
      </c>
      <c r="P64" s="57">
        <v>1199.0738916256157</v>
      </c>
      <c r="Q64" s="57" t="s">
        <v>23</v>
      </c>
      <c r="R64" s="57">
        <f t="shared" si="11"/>
        <v>10947.230628430658</v>
      </c>
    </row>
    <row r="65" spans="1:18">
      <c r="A65" s="99">
        <v>1988</v>
      </c>
      <c r="B65" s="57" t="s">
        <v>23</v>
      </c>
      <c r="C65" s="57" t="s">
        <v>23</v>
      </c>
      <c r="D65" s="57">
        <v>28794.685107555451</v>
      </c>
      <c r="E65" s="57" t="s">
        <v>23</v>
      </c>
      <c r="F65" s="57" t="s">
        <v>23</v>
      </c>
      <c r="G65" s="57">
        <v>17619.474224412872</v>
      </c>
      <c r="H65" s="57" t="s">
        <v>23</v>
      </c>
      <c r="I65" s="57">
        <f t="shared" si="10"/>
        <v>46414.159331968323</v>
      </c>
      <c r="J65" s="57"/>
      <c r="K65" s="57" t="s">
        <v>23</v>
      </c>
      <c r="L65" s="57" t="s">
        <v>23</v>
      </c>
      <c r="M65" s="57">
        <v>8588.2265651138532</v>
      </c>
      <c r="N65" s="57" t="s">
        <v>23</v>
      </c>
      <c r="O65" s="57" t="s">
        <v>23</v>
      </c>
      <c r="P65" s="57">
        <v>1502</v>
      </c>
      <c r="Q65" s="57" t="s">
        <v>23</v>
      </c>
      <c r="R65" s="57">
        <f t="shared" si="11"/>
        <v>10090.226565113853</v>
      </c>
    </row>
    <row r="66" spans="1:18">
      <c r="A66" s="99">
        <v>1989</v>
      </c>
      <c r="B66" s="57" t="s">
        <v>23</v>
      </c>
      <c r="C66" s="57" t="s">
        <v>23</v>
      </c>
      <c r="D66" s="57">
        <v>9831.4281974080386</v>
      </c>
      <c r="E66" s="57" t="s">
        <v>23</v>
      </c>
      <c r="F66" s="57">
        <v>2027.9318369367884</v>
      </c>
      <c r="G66" s="57">
        <v>4702</v>
      </c>
      <c r="H66" s="57">
        <v>906</v>
      </c>
      <c r="I66" s="57">
        <f t="shared" si="10"/>
        <v>17467.360034344827</v>
      </c>
      <c r="J66" s="57"/>
      <c r="K66" s="57" t="s">
        <v>23</v>
      </c>
      <c r="L66" s="57" t="s">
        <v>23</v>
      </c>
      <c r="M66" s="57">
        <v>2436.3624820002619</v>
      </c>
      <c r="N66" s="57" t="s">
        <v>23</v>
      </c>
      <c r="O66" s="57">
        <v>337.91549760686581</v>
      </c>
      <c r="P66" s="57">
        <v>371</v>
      </c>
      <c r="Q66" s="57">
        <v>245</v>
      </c>
      <c r="R66" s="57">
        <f t="shared" si="11"/>
        <v>3390.2779796071277</v>
      </c>
    </row>
    <row r="67" spans="1:18">
      <c r="A67" s="99">
        <v>1990</v>
      </c>
      <c r="B67" s="57" t="s">
        <v>23</v>
      </c>
      <c r="C67" s="57" t="s">
        <v>23</v>
      </c>
      <c r="D67" s="57" t="s">
        <v>23</v>
      </c>
      <c r="E67" s="57" t="s">
        <v>23</v>
      </c>
      <c r="F67" s="57">
        <v>4349</v>
      </c>
      <c r="G67" s="57">
        <v>1887</v>
      </c>
      <c r="H67" s="57">
        <v>53</v>
      </c>
      <c r="I67" s="57">
        <f t="shared" si="10"/>
        <v>6289</v>
      </c>
      <c r="J67" s="57"/>
      <c r="K67" s="57" t="s">
        <v>23</v>
      </c>
      <c r="L67" s="57" t="s">
        <v>23</v>
      </c>
      <c r="M67" s="57" t="s">
        <v>23</v>
      </c>
      <c r="N67" s="57" t="s">
        <v>23</v>
      </c>
      <c r="O67" s="57">
        <v>59</v>
      </c>
      <c r="P67" s="57">
        <v>1181</v>
      </c>
      <c r="Q67" s="57">
        <v>5</v>
      </c>
      <c r="R67" s="57">
        <f t="shared" si="11"/>
        <v>1245</v>
      </c>
    </row>
    <row r="68" spans="1:18">
      <c r="A68" s="99">
        <v>1991</v>
      </c>
      <c r="B68" s="57" t="s">
        <v>23</v>
      </c>
      <c r="C68" s="57" t="s">
        <v>23</v>
      </c>
      <c r="D68" s="57" t="s">
        <v>23</v>
      </c>
      <c r="E68" s="57" t="s">
        <v>23</v>
      </c>
      <c r="F68" s="57" t="s">
        <v>23</v>
      </c>
      <c r="G68" s="57">
        <v>4300</v>
      </c>
      <c r="H68" s="57">
        <v>400</v>
      </c>
      <c r="I68" s="57">
        <f t="shared" si="10"/>
        <v>4700</v>
      </c>
      <c r="J68" s="57"/>
      <c r="K68" s="57" t="s">
        <v>23</v>
      </c>
      <c r="L68" s="57" t="s">
        <v>23</v>
      </c>
      <c r="M68" s="57" t="s">
        <v>23</v>
      </c>
      <c r="N68" s="57" t="s">
        <v>23</v>
      </c>
      <c r="O68" s="57" t="s">
        <v>23</v>
      </c>
      <c r="P68" s="57">
        <v>3000</v>
      </c>
      <c r="Q68" s="57">
        <v>100</v>
      </c>
      <c r="R68" s="57">
        <f t="shared" si="11"/>
        <v>3100</v>
      </c>
    </row>
    <row r="69" spans="1:18">
      <c r="A69" s="99">
        <v>1992</v>
      </c>
      <c r="B69" s="57" t="s">
        <v>23</v>
      </c>
      <c r="C69" s="57" t="s">
        <v>23</v>
      </c>
      <c r="D69" s="57" t="s">
        <v>23</v>
      </c>
      <c r="E69" s="57" t="s">
        <v>23</v>
      </c>
      <c r="F69" s="57" t="s">
        <v>23</v>
      </c>
      <c r="G69" s="57" t="s">
        <v>23</v>
      </c>
      <c r="H69" s="57" t="s">
        <v>23</v>
      </c>
      <c r="I69" s="57" t="s">
        <v>23</v>
      </c>
      <c r="J69" s="57"/>
      <c r="K69" s="57" t="s">
        <v>23</v>
      </c>
      <c r="L69" s="57" t="s">
        <v>23</v>
      </c>
      <c r="M69" s="57" t="s">
        <v>23</v>
      </c>
      <c r="N69" s="57" t="s">
        <v>23</v>
      </c>
      <c r="O69" s="57" t="s">
        <v>23</v>
      </c>
      <c r="P69" s="57" t="s">
        <v>23</v>
      </c>
      <c r="Q69" s="57" t="s">
        <v>23</v>
      </c>
      <c r="R69" s="57" t="s">
        <v>23</v>
      </c>
    </row>
    <row r="70" spans="1:18">
      <c r="A70" s="99">
        <v>1993</v>
      </c>
      <c r="B70" s="57" t="s">
        <v>23</v>
      </c>
      <c r="C70" s="57" t="s">
        <v>23</v>
      </c>
      <c r="D70" s="57" t="s">
        <v>23</v>
      </c>
      <c r="E70" s="57" t="s">
        <v>23</v>
      </c>
      <c r="F70" s="57" t="s">
        <v>23</v>
      </c>
      <c r="G70" s="57" t="s">
        <v>23</v>
      </c>
      <c r="H70" s="57" t="s">
        <v>23</v>
      </c>
      <c r="I70" s="57" t="s">
        <v>23</v>
      </c>
      <c r="J70" s="57"/>
      <c r="K70" s="57" t="s">
        <v>23</v>
      </c>
      <c r="L70" s="57" t="s">
        <v>23</v>
      </c>
      <c r="M70" s="57" t="s">
        <v>23</v>
      </c>
      <c r="N70" s="57" t="s">
        <v>23</v>
      </c>
      <c r="O70" s="57" t="s">
        <v>23</v>
      </c>
      <c r="P70" s="57" t="s">
        <v>23</v>
      </c>
      <c r="Q70" s="57" t="s">
        <v>23</v>
      </c>
      <c r="R70" s="57" t="s">
        <v>23</v>
      </c>
    </row>
    <row r="71" spans="1:18">
      <c r="A71" s="99">
        <v>1994</v>
      </c>
      <c r="B71" s="57" t="s">
        <v>23</v>
      </c>
      <c r="C71" s="57" t="s">
        <v>23</v>
      </c>
      <c r="D71" s="57" t="s">
        <v>23</v>
      </c>
      <c r="E71" s="57" t="s">
        <v>23</v>
      </c>
      <c r="F71" s="57" t="s">
        <v>23</v>
      </c>
      <c r="G71" s="57" t="s">
        <v>23</v>
      </c>
      <c r="H71" s="57" t="s">
        <v>23</v>
      </c>
      <c r="I71" s="57" t="s">
        <v>23</v>
      </c>
      <c r="J71" s="57"/>
      <c r="K71" s="57" t="s">
        <v>23</v>
      </c>
      <c r="L71" s="57" t="s">
        <v>23</v>
      </c>
      <c r="M71" s="57" t="s">
        <v>23</v>
      </c>
      <c r="N71" s="57" t="s">
        <v>23</v>
      </c>
      <c r="O71" s="57" t="s">
        <v>23</v>
      </c>
      <c r="P71" s="57" t="s">
        <v>23</v>
      </c>
      <c r="Q71" s="57" t="s">
        <v>23</v>
      </c>
      <c r="R71" s="57" t="s">
        <v>23</v>
      </c>
    </row>
    <row r="72" spans="1:18">
      <c r="A72" s="99">
        <v>1995</v>
      </c>
      <c r="B72" s="57" t="s">
        <v>23</v>
      </c>
      <c r="C72" s="57" t="s">
        <v>23</v>
      </c>
      <c r="D72" s="57" t="s">
        <v>23</v>
      </c>
      <c r="E72" s="57" t="s">
        <v>23</v>
      </c>
      <c r="F72" s="57" t="s">
        <v>23</v>
      </c>
      <c r="G72" s="57" t="s">
        <v>23</v>
      </c>
      <c r="H72" s="57" t="s">
        <v>23</v>
      </c>
      <c r="I72" s="57" t="s">
        <v>23</v>
      </c>
      <c r="J72" s="57"/>
      <c r="K72" s="57" t="s">
        <v>23</v>
      </c>
      <c r="L72" s="57" t="s">
        <v>23</v>
      </c>
      <c r="M72" s="57" t="s">
        <v>23</v>
      </c>
      <c r="N72" s="57" t="s">
        <v>23</v>
      </c>
      <c r="O72" s="57" t="s">
        <v>23</v>
      </c>
      <c r="P72" s="57" t="s">
        <v>23</v>
      </c>
      <c r="Q72" s="57" t="s">
        <v>23</v>
      </c>
      <c r="R72" s="57" t="s">
        <v>23</v>
      </c>
    </row>
    <row r="73" spans="1:18">
      <c r="A73" s="99">
        <v>1996</v>
      </c>
      <c r="B73" s="57" t="s">
        <v>23</v>
      </c>
      <c r="C73" s="57" t="s">
        <v>23</v>
      </c>
      <c r="D73" s="57" t="s">
        <v>23</v>
      </c>
      <c r="E73" s="57" t="s">
        <v>23</v>
      </c>
      <c r="F73" s="57">
        <v>2599</v>
      </c>
      <c r="G73" s="57">
        <v>6222</v>
      </c>
      <c r="H73" s="57" t="s">
        <v>23</v>
      </c>
      <c r="I73" s="57">
        <f t="shared" ref="I73:I82" si="12">SUM(B73:H73)</f>
        <v>8821</v>
      </c>
      <c r="J73" s="57"/>
      <c r="K73" s="57" t="s">
        <v>23</v>
      </c>
      <c r="L73" s="57" t="s">
        <v>23</v>
      </c>
      <c r="M73" s="57" t="s">
        <v>23</v>
      </c>
      <c r="N73" s="57" t="s">
        <v>23</v>
      </c>
      <c r="O73" s="57" t="s">
        <v>23</v>
      </c>
      <c r="P73" s="57" t="s">
        <v>23</v>
      </c>
      <c r="Q73" s="57" t="s">
        <v>23</v>
      </c>
      <c r="R73" s="57" t="s">
        <v>23</v>
      </c>
    </row>
    <row r="74" spans="1:18">
      <c r="A74" s="99">
        <v>1997</v>
      </c>
      <c r="B74" s="57" t="s">
        <v>23</v>
      </c>
      <c r="C74" s="57" t="s">
        <v>23</v>
      </c>
      <c r="D74" s="57" t="s">
        <v>23</v>
      </c>
      <c r="E74" s="57" t="s">
        <v>23</v>
      </c>
      <c r="F74" s="57" t="s">
        <v>23</v>
      </c>
      <c r="G74" s="57">
        <v>1424</v>
      </c>
      <c r="H74" s="57" t="s">
        <v>23</v>
      </c>
      <c r="I74" s="57">
        <f t="shared" si="12"/>
        <v>1424</v>
      </c>
      <c r="J74" s="57"/>
      <c r="K74" s="57" t="s">
        <v>23</v>
      </c>
      <c r="L74" s="57" t="s">
        <v>23</v>
      </c>
      <c r="M74" s="57" t="s">
        <v>23</v>
      </c>
      <c r="N74" s="57" t="s">
        <v>23</v>
      </c>
      <c r="O74" s="57" t="s">
        <v>23</v>
      </c>
      <c r="P74" s="57" t="s">
        <v>23</v>
      </c>
      <c r="Q74" s="57" t="s">
        <v>23</v>
      </c>
      <c r="R74" s="57" t="s">
        <v>23</v>
      </c>
    </row>
    <row r="75" spans="1:18">
      <c r="A75" s="99">
        <v>1998</v>
      </c>
      <c r="B75" s="57" t="s">
        <v>23</v>
      </c>
      <c r="C75" s="57" t="s">
        <v>23</v>
      </c>
      <c r="D75" s="57" t="s">
        <v>23</v>
      </c>
      <c r="E75" s="57" t="s">
        <v>23</v>
      </c>
      <c r="F75" s="57" t="s">
        <v>23</v>
      </c>
      <c r="G75" s="57">
        <v>2501</v>
      </c>
      <c r="H75" s="57" t="s">
        <v>23</v>
      </c>
      <c r="I75" s="57">
        <f t="shared" si="12"/>
        <v>2501</v>
      </c>
      <c r="J75" s="57"/>
      <c r="K75" s="57" t="s">
        <v>23</v>
      </c>
      <c r="L75" s="57" t="s">
        <v>23</v>
      </c>
      <c r="M75" s="57" t="s">
        <v>23</v>
      </c>
      <c r="N75" s="57" t="s">
        <v>23</v>
      </c>
      <c r="O75" s="57" t="s">
        <v>23</v>
      </c>
      <c r="P75" s="57" t="s">
        <v>23</v>
      </c>
      <c r="Q75" s="57" t="s">
        <v>23</v>
      </c>
      <c r="R75" s="57" t="s">
        <v>23</v>
      </c>
    </row>
    <row r="76" spans="1:18">
      <c r="A76" s="99">
        <v>1999</v>
      </c>
      <c r="B76" s="57" t="s">
        <v>23</v>
      </c>
      <c r="C76" s="57" t="s">
        <v>23</v>
      </c>
      <c r="D76" s="57" t="s">
        <v>23</v>
      </c>
      <c r="E76" s="57" t="s">
        <v>23</v>
      </c>
      <c r="F76" s="57" t="s">
        <v>23</v>
      </c>
      <c r="G76" s="57">
        <v>2375</v>
      </c>
      <c r="H76" s="57" t="s">
        <v>23</v>
      </c>
      <c r="I76" s="57">
        <f t="shared" si="12"/>
        <v>2375</v>
      </c>
      <c r="J76" s="57"/>
      <c r="K76" s="57" t="s">
        <v>23</v>
      </c>
      <c r="L76" s="57" t="s">
        <v>23</v>
      </c>
      <c r="M76" s="57" t="s">
        <v>23</v>
      </c>
      <c r="N76" s="57" t="s">
        <v>23</v>
      </c>
      <c r="O76" s="57" t="s">
        <v>23</v>
      </c>
      <c r="P76" s="57" t="s">
        <v>23</v>
      </c>
      <c r="Q76" s="57" t="s">
        <v>23</v>
      </c>
      <c r="R76" s="57" t="s">
        <v>23</v>
      </c>
    </row>
    <row r="77" spans="1:18">
      <c r="A77" s="99">
        <v>2000</v>
      </c>
      <c r="B77" s="57" t="s">
        <v>23</v>
      </c>
      <c r="C77" s="57" t="s">
        <v>23</v>
      </c>
      <c r="D77" s="57" t="s">
        <v>23</v>
      </c>
      <c r="E77" s="57" t="s">
        <v>23</v>
      </c>
      <c r="F77" s="57" t="s">
        <v>23</v>
      </c>
      <c r="G77" s="57">
        <v>1776</v>
      </c>
      <c r="H77" s="57" t="s">
        <v>23</v>
      </c>
      <c r="I77" s="57">
        <f t="shared" si="12"/>
        <v>1776</v>
      </c>
      <c r="J77" s="57"/>
      <c r="K77" s="57" t="s">
        <v>23</v>
      </c>
      <c r="L77" s="57" t="s">
        <v>23</v>
      </c>
      <c r="M77" s="57" t="s">
        <v>23</v>
      </c>
      <c r="N77" s="57" t="s">
        <v>23</v>
      </c>
      <c r="O77" s="57" t="s">
        <v>23</v>
      </c>
      <c r="P77" s="57" t="s">
        <v>23</v>
      </c>
      <c r="Q77" s="57" t="s">
        <v>23</v>
      </c>
      <c r="R77" s="57" t="s">
        <v>23</v>
      </c>
    </row>
    <row r="78" spans="1:18">
      <c r="A78" s="99">
        <v>2001</v>
      </c>
      <c r="B78" s="57" t="s">
        <v>23</v>
      </c>
      <c r="C78" s="57" t="s">
        <v>23</v>
      </c>
      <c r="D78" s="57" t="s">
        <v>23</v>
      </c>
      <c r="E78" s="57" t="s">
        <v>23</v>
      </c>
      <c r="F78" s="57" t="s">
        <v>23</v>
      </c>
      <c r="G78" s="57">
        <v>5300</v>
      </c>
      <c r="H78" s="57" t="s">
        <v>23</v>
      </c>
      <c r="I78" s="57">
        <f t="shared" si="12"/>
        <v>5300</v>
      </c>
      <c r="J78" s="57"/>
      <c r="K78" s="57" t="s">
        <v>23</v>
      </c>
      <c r="L78" s="57" t="s">
        <v>23</v>
      </c>
      <c r="M78" s="57" t="s">
        <v>23</v>
      </c>
      <c r="N78" s="57" t="s">
        <v>23</v>
      </c>
      <c r="O78" s="57" t="s">
        <v>23</v>
      </c>
      <c r="P78" s="57" t="s">
        <v>23</v>
      </c>
      <c r="Q78" s="57" t="s">
        <v>23</v>
      </c>
      <c r="R78" s="57" t="s">
        <v>23</v>
      </c>
    </row>
    <row r="79" spans="1:18">
      <c r="A79" s="99">
        <v>2002</v>
      </c>
      <c r="B79" s="57" t="s">
        <v>23</v>
      </c>
      <c r="C79" s="57" t="s">
        <v>23</v>
      </c>
      <c r="D79" s="57" t="s">
        <v>23</v>
      </c>
      <c r="E79" s="57" t="s">
        <v>23</v>
      </c>
      <c r="F79" s="57">
        <v>1392</v>
      </c>
      <c r="G79" s="57">
        <v>7616</v>
      </c>
      <c r="H79" s="57" t="s">
        <v>23</v>
      </c>
      <c r="I79" s="57">
        <f t="shared" si="12"/>
        <v>9008</v>
      </c>
      <c r="J79" s="57"/>
      <c r="K79" s="57" t="s">
        <v>23</v>
      </c>
      <c r="L79" s="57" t="s">
        <v>23</v>
      </c>
      <c r="M79" s="57" t="s">
        <v>23</v>
      </c>
      <c r="N79" s="57" t="s">
        <v>23</v>
      </c>
      <c r="O79" s="57" t="s">
        <v>23</v>
      </c>
      <c r="P79" s="57" t="s">
        <v>23</v>
      </c>
      <c r="Q79" s="57" t="s">
        <v>23</v>
      </c>
      <c r="R79" s="57" t="s">
        <v>23</v>
      </c>
    </row>
    <row r="80" spans="1:18">
      <c r="A80" s="99">
        <v>2003</v>
      </c>
      <c r="B80" s="57" t="s">
        <v>23</v>
      </c>
      <c r="C80" s="57" t="s">
        <v>23</v>
      </c>
      <c r="D80" s="57" t="s">
        <v>23</v>
      </c>
      <c r="E80" s="57" t="s">
        <v>23</v>
      </c>
      <c r="F80" s="57" t="s">
        <v>23</v>
      </c>
      <c r="G80" s="57">
        <v>688</v>
      </c>
      <c r="H80" s="57" t="s">
        <v>23</v>
      </c>
      <c r="I80" s="57">
        <f t="shared" si="12"/>
        <v>688</v>
      </c>
      <c r="J80" s="57"/>
      <c r="K80" s="57" t="s">
        <v>23</v>
      </c>
      <c r="L80" s="57" t="s">
        <v>23</v>
      </c>
      <c r="M80" s="57" t="s">
        <v>23</v>
      </c>
      <c r="N80" s="57" t="s">
        <v>23</v>
      </c>
      <c r="O80" s="57" t="s">
        <v>23</v>
      </c>
      <c r="P80" s="57" t="s">
        <v>23</v>
      </c>
      <c r="Q80" s="57" t="s">
        <v>23</v>
      </c>
      <c r="R80" s="57" t="s">
        <v>23</v>
      </c>
    </row>
    <row r="81" spans="1:18">
      <c r="A81" s="99">
        <v>2004</v>
      </c>
      <c r="B81" s="57" t="s">
        <v>23</v>
      </c>
      <c r="C81" s="57" t="s">
        <v>23</v>
      </c>
      <c r="D81" s="57" t="s">
        <v>23</v>
      </c>
      <c r="E81" s="57" t="s">
        <v>23</v>
      </c>
      <c r="F81" s="57" t="s">
        <v>23</v>
      </c>
      <c r="G81" s="57">
        <v>5695</v>
      </c>
      <c r="H81" s="57" t="s">
        <v>23</v>
      </c>
      <c r="I81" s="57">
        <f t="shared" si="12"/>
        <v>5695</v>
      </c>
      <c r="J81" s="57"/>
      <c r="K81" s="57" t="s">
        <v>23</v>
      </c>
      <c r="L81" s="57" t="s">
        <v>23</v>
      </c>
      <c r="M81" s="57" t="s">
        <v>23</v>
      </c>
      <c r="N81" s="57" t="s">
        <v>23</v>
      </c>
      <c r="O81" s="57" t="s">
        <v>23</v>
      </c>
      <c r="P81" s="57" t="s">
        <v>23</v>
      </c>
      <c r="Q81" s="57" t="s">
        <v>23</v>
      </c>
      <c r="R81" s="57" t="s">
        <v>23</v>
      </c>
    </row>
    <row r="82" spans="1:18">
      <c r="A82" s="99">
        <v>2005</v>
      </c>
      <c r="B82" s="57" t="s">
        <v>23</v>
      </c>
      <c r="C82" s="57" t="s">
        <v>23</v>
      </c>
      <c r="D82" s="57" t="s">
        <v>23</v>
      </c>
      <c r="E82" s="57" t="s">
        <v>23</v>
      </c>
      <c r="F82" s="57" t="s">
        <v>23</v>
      </c>
      <c r="G82" s="57">
        <v>5799</v>
      </c>
      <c r="H82" s="57" t="s">
        <v>23</v>
      </c>
      <c r="I82" s="57">
        <f t="shared" si="12"/>
        <v>5799</v>
      </c>
      <c r="J82" s="57"/>
      <c r="K82" s="57" t="s">
        <v>23</v>
      </c>
      <c r="L82" s="57" t="s">
        <v>23</v>
      </c>
      <c r="M82" s="57" t="s">
        <v>23</v>
      </c>
      <c r="N82" s="57" t="s">
        <v>23</v>
      </c>
      <c r="O82" s="57" t="s">
        <v>23</v>
      </c>
      <c r="P82" s="57" t="s">
        <v>23</v>
      </c>
      <c r="Q82" s="57" t="s">
        <v>23</v>
      </c>
      <c r="R82" s="57" t="s">
        <v>23</v>
      </c>
    </row>
    <row r="83" spans="1:18">
      <c r="A83" s="99">
        <v>2006</v>
      </c>
      <c r="B83" s="57" t="s">
        <v>23</v>
      </c>
      <c r="C83" s="57" t="s">
        <v>23</v>
      </c>
      <c r="D83" s="57" t="s">
        <v>23</v>
      </c>
      <c r="E83" s="57" t="s">
        <v>23</v>
      </c>
      <c r="F83" s="57" t="s">
        <v>23</v>
      </c>
      <c r="G83" s="57" t="s">
        <v>23</v>
      </c>
      <c r="H83" s="57" t="s">
        <v>23</v>
      </c>
      <c r="I83" s="57" t="s">
        <v>23</v>
      </c>
      <c r="J83" s="57"/>
      <c r="K83" s="57" t="s">
        <v>23</v>
      </c>
      <c r="L83" s="57" t="s">
        <v>23</v>
      </c>
      <c r="M83" s="57" t="s">
        <v>23</v>
      </c>
      <c r="N83" s="57" t="s">
        <v>23</v>
      </c>
      <c r="O83" s="57" t="s">
        <v>23</v>
      </c>
      <c r="P83" s="57" t="s">
        <v>23</v>
      </c>
      <c r="Q83" s="57" t="s">
        <v>23</v>
      </c>
      <c r="R83" s="57" t="s">
        <v>23</v>
      </c>
    </row>
    <row r="84" spans="1:18">
      <c r="A84" s="99">
        <v>2007</v>
      </c>
      <c r="B84" s="77" t="s">
        <v>23</v>
      </c>
      <c r="C84" s="77" t="s">
        <v>23</v>
      </c>
      <c r="D84" s="77" t="s">
        <v>23</v>
      </c>
      <c r="E84" s="77" t="s">
        <v>23</v>
      </c>
      <c r="F84" s="77" t="s">
        <v>23</v>
      </c>
      <c r="G84" s="77">
        <v>6395</v>
      </c>
      <c r="H84" s="77" t="s">
        <v>23</v>
      </c>
      <c r="I84" s="77">
        <f>SUM(B84:H84)</f>
        <v>6395</v>
      </c>
      <c r="J84" s="77"/>
      <c r="K84" s="77" t="s">
        <v>23</v>
      </c>
      <c r="L84" s="77" t="s">
        <v>23</v>
      </c>
      <c r="M84" s="77" t="s">
        <v>23</v>
      </c>
      <c r="N84" s="77" t="s">
        <v>23</v>
      </c>
      <c r="O84" s="77" t="s">
        <v>23</v>
      </c>
      <c r="P84" s="77" t="s">
        <v>23</v>
      </c>
      <c r="Q84" s="77" t="s">
        <v>23</v>
      </c>
      <c r="R84" s="77" t="s">
        <v>23</v>
      </c>
    </row>
    <row r="85" spans="1:18">
      <c r="A85" s="99">
        <v>2008</v>
      </c>
      <c r="B85" s="77" t="s">
        <v>23</v>
      </c>
      <c r="C85" s="77" t="s">
        <v>23</v>
      </c>
      <c r="D85" s="77" t="s">
        <v>23</v>
      </c>
      <c r="E85" s="77" t="s">
        <v>23</v>
      </c>
      <c r="F85" s="77" t="s">
        <v>23</v>
      </c>
      <c r="G85" s="77" t="s">
        <v>23</v>
      </c>
      <c r="H85" s="77" t="s">
        <v>23</v>
      </c>
      <c r="I85" s="77" t="s">
        <v>23</v>
      </c>
      <c r="J85" s="77"/>
      <c r="K85" s="77" t="s">
        <v>23</v>
      </c>
      <c r="L85" s="77" t="s">
        <v>23</v>
      </c>
      <c r="M85" s="77" t="s">
        <v>23</v>
      </c>
      <c r="N85" s="77" t="s">
        <v>23</v>
      </c>
      <c r="O85" s="77" t="s">
        <v>23</v>
      </c>
      <c r="P85" s="77" t="s">
        <v>23</v>
      </c>
      <c r="Q85" s="77" t="s">
        <v>23</v>
      </c>
      <c r="R85" s="77" t="s">
        <v>23</v>
      </c>
    </row>
    <row r="86" spans="1:18">
      <c r="A86" s="99">
        <v>2009</v>
      </c>
      <c r="B86" s="77" t="s">
        <v>23</v>
      </c>
      <c r="C86" s="77" t="s">
        <v>23</v>
      </c>
      <c r="D86" s="77" t="s">
        <v>23</v>
      </c>
      <c r="E86" s="77" t="s">
        <v>23</v>
      </c>
      <c r="F86" s="77" t="s">
        <v>23</v>
      </c>
      <c r="G86" s="77" t="s">
        <v>23</v>
      </c>
      <c r="H86" s="77" t="s">
        <v>23</v>
      </c>
      <c r="I86" s="77" t="s">
        <v>23</v>
      </c>
      <c r="J86" s="77"/>
      <c r="K86" s="77" t="s">
        <v>23</v>
      </c>
      <c r="L86" s="77" t="s">
        <v>23</v>
      </c>
      <c r="M86" s="77" t="s">
        <v>23</v>
      </c>
      <c r="N86" s="77" t="s">
        <v>23</v>
      </c>
      <c r="O86" s="77" t="s">
        <v>23</v>
      </c>
      <c r="P86" s="77" t="s">
        <v>23</v>
      </c>
      <c r="Q86" s="77" t="s">
        <v>23</v>
      </c>
      <c r="R86" s="77" t="s">
        <v>23</v>
      </c>
    </row>
    <row r="87" spans="1:18">
      <c r="A87" s="99">
        <v>2010</v>
      </c>
      <c r="B87" s="77" t="s">
        <v>23</v>
      </c>
      <c r="C87" s="77" t="s">
        <v>23</v>
      </c>
      <c r="D87" s="77" t="s">
        <v>23</v>
      </c>
      <c r="E87" s="77" t="s">
        <v>23</v>
      </c>
      <c r="F87" s="77" t="s">
        <v>23</v>
      </c>
      <c r="G87" s="77" t="s">
        <v>23</v>
      </c>
      <c r="H87" s="77" t="s">
        <v>23</v>
      </c>
      <c r="I87" s="77" t="s">
        <v>23</v>
      </c>
      <c r="J87" s="77"/>
      <c r="K87" s="77" t="s">
        <v>23</v>
      </c>
      <c r="L87" s="77" t="s">
        <v>23</v>
      </c>
      <c r="M87" s="77" t="s">
        <v>23</v>
      </c>
      <c r="N87" s="77" t="s">
        <v>23</v>
      </c>
      <c r="O87" s="77" t="s">
        <v>23</v>
      </c>
      <c r="P87" s="77" t="s">
        <v>23</v>
      </c>
      <c r="Q87" s="77" t="s">
        <v>23</v>
      </c>
      <c r="R87" s="77" t="s">
        <v>23</v>
      </c>
    </row>
    <row r="88" spans="1:18">
      <c r="A88" s="99">
        <v>2011</v>
      </c>
      <c r="B88" s="77" t="s">
        <v>23</v>
      </c>
      <c r="C88" s="77" t="s">
        <v>23</v>
      </c>
      <c r="D88" s="77" t="s">
        <v>23</v>
      </c>
      <c r="E88" s="77">
        <v>1573</v>
      </c>
      <c r="F88" s="77">
        <v>401</v>
      </c>
      <c r="G88" s="77" t="s">
        <v>23</v>
      </c>
      <c r="H88" s="77" t="s">
        <v>23</v>
      </c>
      <c r="I88" s="77">
        <f t="shared" ref="I88:I95" si="13">SUM(B88:H88)</f>
        <v>1974</v>
      </c>
      <c r="J88" s="77"/>
      <c r="K88" s="77" t="s">
        <v>23</v>
      </c>
      <c r="L88" s="77" t="s">
        <v>23</v>
      </c>
      <c r="M88" s="77" t="s">
        <v>23</v>
      </c>
      <c r="N88" s="77" t="s">
        <v>23</v>
      </c>
      <c r="O88" s="77" t="s">
        <v>23</v>
      </c>
      <c r="P88" s="77" t="s">
        <v>23</v>
      </c>
      <c r="Q88" s="77" t="s">
        <v>23</v>
      </c>
      <c r="R88" s="77" t="s">
        <v>23</v>
      </c>
    </row>
    <row r="89" spans="1:18">
      <c r="A89" s="99">
        <v>2012</v>
      </c>
      <c r="B89" s="77" t="s">
        <v>23</v>
      </c>
      <c r="C89" s="77" t="s">
        <v>23</v>
      </c>
      <c r="D89" s="77" t="s">
        <v>23</v>
      </c>
      <c r="E89" s="77" t="s">
        <v>23</v>
      </c>
      <c r="F89" s="77" t="s">
        <v>23</v>
      </c>
      <c r="G89" s="77">
        <v>4831</v>
      </c>
      <c r="H89" s="77" t="s">
        <v>23</v>
      </c>
      <c r="I89" s="77">
        <f t="shared" si="13"/>
        <v>4831</v>
      </c>
      <c r="J89" s="77"/>
      <c r="K89" s="77" t="s">
        <v>23</v>
      </c>
      <c r="L89" s="77" t="s">
        <v>23</v>
      </c>
      <c r="M89" s="77" t="s">
        <v>23</v>
      </c>
      <c r="N89" s="77" t="s">
        <v>23</v>
      </c>
      <c r="O89" s="77" t="s">
        <v>23</v>
      </c>
      <c r="P89" s="77" t="s">
        <v>23</v>
      </c>
      <c r="Q89" s="77" t="s">
        <v>23</v>
      </c>
      <c r="R89" s="77" t="s">
        <v>23</v>
      </c>
    </row>
    <row r="90" spans="1:18">
      <c r="A90" s="99">
        <v>2013</v>
      </c>
      <c r="B90" s="77" t="s">
        <v>23</v>
      </c>
      <c r="C90" s="77">
        <v>2603</v>
      </c>
      <c r="D90" s="77">
        <v>2400</v>
      </c>
      <c r="E90" s="77">
        <v>1887</v>
      </c>
      <c r="F90" s="77">
        <v>1892</v>
      </c>
      <c r="G90" s="77">
        <v>171</v>
      </c>
      <c r="H90" s="77" t="s">
        <v>23</v>
      </c>
      <c r="I90" s="77">
        <f t="shared" si="13"/>
        <v>8953</v>
      </c>
      <c r="J90" s="77"/>
      <c r="K90" s="77" t="s">
        <v>23</v>
      </c>
      <c r="L90" s="77" t="s">
        <v>23</v>
      </c>
      <c r="M90" s="77" t="s">
        <v>23</v>
      </c>
      <c r="N90" s="77" t="s">
        <v>23</v>
      </c>
      <c r="O90" s="77" t="s">
        <v>23</v>
      </c>
      <c r="P90" s="77" t="s">
        <v>23</v>
      </c>
      <c r="Q90" s="77" t="s">
        <v>23</v>
      </c>
      <c r="R90" s="77" t="s">
        <v>23</v>
      </c>
    </row>
    <row r="91" spans="1:18">
      <c r="A91" s="99">
        <v>2014</v>
      </c>
      <c r="B91" s="77" t="s">
        <v>23</v>
      </c>
      <c r="C91" s="77" t="s">
        <v>23</v>
      </c>
      <c r="D91" s="77" t="s">
        <v>23</v>
      </c>
      <c r="E91" s="77" t="s">
        <v>23</v>
      </c>
      <c r="F91" s="77" t="s">
        <v>23</v>
      </c>
      <c r="G91" s="77">
        <v>599</v>
      </c>
      <c r="H91" s="77" t="s">
        <v>23</v>
      </c>
      <c r="I91" s="77">
        <f t="shared" si="13"/>
        <v>599</v>
      </c>
      <c r="J91" s="77"/>
      <c r="K91" s="77" t="s">
        <v>23</v>
      </c>
      <c r="L91" s="77" t="s">
        <v>23</v>
      </c>
      <c r="M91" s="77" t="s">
        <v>23</v>
      </c>
      <c r="N91" s="77" t="s">
        <v>23</v>
      </c>
      <c r="O91" s="77" t="s">
        <v>23</v>
      </c>
      <c r="P91" s="77" t="s">
        <v>23</v>
      </c>
      <c r="Q91" s="77" t="s">
        <v>23</v>
      </c>
      <c r="R91" s="77" t="s">
        <v>23</v>
      </c>
    </row>
    <row r="92" spans="1:18">
      <c r="A92" s="99">
        <v>2015</v>
      </c>
      <c r="B92" s="77" t="s">
        <v>23</v>
      </c>
      <c r="C92" s="77" t="s">
        <v>23</v>
      </c>
      <c r="D92" s="77" t="s">
        <v>23</v>
      </c>
      <c r="E92" s="77" t="s">
        <v>23</v>
      </c>
      <c r="F92" s="77" t="s">
        <v>23</v>
      </c>
      <c r="G92" s="77">
        <v>10</v>
      </c>
      <c r="H92" s="77" t="s">
        <v>23</v>
      </c>
      <c r="I92" s="77">
        <f t="shared" si="13"/>
        <v>10</v>
      </c>
      <c r="J92" s="77"/>
      <c r="K92" s="77" t="s">
        <v>23</v>
      </c>
      <c r="L92" s="77" t="s">
        <v>23</v>
      </c>
      <c r="M92" s="77" t="s">
        <v>23</v>
      </c>
      <c r="N92" s="77" t="s">
        <v>23</v>
      </c>
      <c r="O92" s="77" t="s">
        <v>23</v>
      </c>
      <c r="P92" s="77" t="s">
        <v>23</v>
      </c>
      <c r="Q92" s="77" t="s">
        <v>23</v>
      </c>
      <c r="R92" s="77" t="s">
        <v>23</v>
      </c>
    </row>
    <row r="93" spans="1:18">
      <c r="A93" s="99">
        <v>2016</v>
      </c>
      <c r="B93" s="77" t="s">
        <v>23</v>
      </c>
      <c r="C93" s="77" t="s">
        <v>23</v>
      </c>
      <c r="D93" s="77" t="s">
        <v>23</v>
      </c>
      <c r="E93" s="77" t="s">
        <v>23</v>
      </c>
      <c r="F93" s="77" t="s">
        <v>23</v>
      </c>
      <c r="G93" s="77">
        <v>190</v>
      </c>
      <c r="H93" s="77" t="s">
        <v>23</v>
      </c>
      <c r="I93" s="77">
        <f t="shared" si="13"/>
        <v>190</v>
      </c>
      <c r="J93" s="77"/>
      <c r="K93" s="77" t="s">
        <v>23</v>
      </c>
      <c r="L93" s="77" t="s">
        <v>23</v>
      </c>
      <c r="M93" s="77" t="s">
        <v>23</v>
      </c>
      <c r="N93" s="77" t="s">
        <v>23</v>
      </c>
      <c r="O93" s="77" t="s">
        <v>23</v>
      </c>
      <c r="P93" s="77" t="s">
        <v>23</v>
      </c>
      <c r="Q93" s="77" t="s">
        <v>23</v>
      </c>
      <c r="R93" s="77" t="s">
        <v>23</v>
      </c>
    </row>
    <row r="94" spans="1:18">
      <c r="A94" s="99">
        <v>2017</v>
      </c>
      <c r="B94" s="77" t="s">
        <v>23</v>
      </c>
      <c r="C94" s="77" t="s">
        <v>23</v>
      </c>
      <c r="D94" s="77" t="s">
        <v>23</v>
      </c>
      <c r="E94" s="77" t="s">
        <v>23</v>
      </c>
      <c r="F94" s="77" t="s">
        <v>23</v>
      </c>
      <c r="G94" s="77" t="s">
        <v>23</v>
      </c>
      <c r="H94" s="77" t="s">
        <v>23</v>
      </c>
      <c r="I94" s="77" t="s">
        <v>23</v>
      </c>
      <c r="J94" s="77"/>
      <c r="K94" s="77" t="s">
        <v>23</v>
      </c>
      <c r="L94" s="77" t="s">
        <v>23</v>
      </c>
      <c r="M94" s="77" t="s">
        <v>23</v>
      </c>
      <c r="N94" s="77" t="s">
        <v>23</v>
      </c>
      <c r="O94" s="77" t="s">
        <v>23</v>
      </c>
      <c r="P94" s="77" t="s">
        <v>23</v>
      </c>
      <c r="Q94" s="77" t="s">
        <v>23</v>
      </c>
      <c r="R94" s="77" t="s">
        <v>23</v>
      </c>
    </row>
    <row r="95" spans="1:18">
      <c r="A95" s="99">
        <v>2018</v>
      </c>
      <c r="B95" s="77" t="s">
        <v>23</v>
      </c>
      <c r="C95" s="77">
        <v>696</v>
      </c>
      <c r="D95" s="77">
        <v>980</v>
      </c>
      <c r="E95" s="77">
        <v>1045</v>
      </c>
      <c r="F95" s="77">
        <v>1878</v>
      </c>
      <c r="G95" s="77" t="s">
        <v>23</v>
      </c>
      <c r="H95" s="77" t="s">
        <v>23</v>
      </c>
      <c r="I95" s="77">
        <f t="shared" si="13"/>
        <v>4599</v>
      </c>
      <c r="J95" s="77"/>
      <c r="K95" s="77" t="s">
        <v>23</v>
      </c>
      <c r="L95" s="77" t="s">
        <v>23</v>
      </c>
      <c r="M95" s="77" t="s">
        <v>23</v>
      </c>
      <c r="N95" s="77" t="s">
        <v>23</v>
      </c>
      <c r="O95" s="77" t="s">
        <v>23</v>
      </c>
      <c r="P95" s="77" t="s">
        <v>23</v>
      </c>
      <c r="Q95" s="77" t="s">
        <v>23</v>
      </c>
      <c r="R95" s="77" t="s">
        <v>23</v>
      </c>
    </row>
    <row r="96" spans="1:18">
      <c r="A96" s="99">
        <v>2019</v>
      </c>
      <c r="B96" s="77" t="s">
        <v>23</v>
      </c>
      <c r="C96" s="77" t="s">
        <v>23</v>
      </c>
      <c r="D96" s="77">
        <v>623</v>
      </c>
      <c r="E96" s="77">
        <v>164</v>
      </c>
      <c r="F96" s="77">
        <v>835</v>
      </c>
      <c r="G96" s="77" t="s">
        <v>23</v>
      </c>
      <c r="H96" s="77" t="s">
        <v>23</v>
      </c>
      <c r="I96" s="77">
        <f t="shared" ref="I96" si="14">SUM(B96:H96)</f>
        <v>1622</v>
      </c>
      <c r="J96" s="77"/>
      <c r="K96" s="77" t="s">
        <v>23</v>
      </c>
      <c r="L96" s="77" t="s">
        <v>23</v>
      </c>
      <c r="M96" s="77" t="s">
        <v>23</v>
      </c>
      <c r="N96" s="77" t="s">
        <v>23</v>
      </c>
      <c r="O96" s="77" t="s">
        <v>23</v>
      </c>
      <c r="P96" s="77" t="s">
        <v>23</v>
      </c>
      <c r="Q96" s="77" t="s">
        <v>23</v>
      </c>
      <c r="R96" s="77" t="s">
        <v>23</v>
      </c>
    </row>
    <row r="97" spans="1:18">
      <c r="A97" s="99">
        <v>2020</v>
      </c>
      <c r="B97" s="77" t="s">
        <v>23</v>
      </c>
      <c r="C97" s="77" t="s">
        <v>23</v>
      </c>
      <c r="D97" s="77" t="s">
        <v>23</v>
      </c>
      <c r="E97" s="77" t="s">
        <v>23</v>
      </c>
      <c r="F97" s="77" t="s">
        <v>23</v>
      </c>
      <c r="G97" s="77" t="s">
        <v>23</v>
      </c>
      <c r="H97" s="77" t="s">
        <v>23</v>
      </c>
      <c r="I97" s="77" t="s">
        <v>23</v>
      </c>
      <c r="J97" s="77"/>
      <c r="K97" s="77" t="s">
        <v>23</v>
      </c>
      <c r="L97" s="77" t="s">
        <v>23</v>
      </c>
      <c r="M97" s="77" t="s">
        <v>23</v>
      </c>
      <c r="N97" s="77" t="s">
        <v>23</v>
      </c>
      <c r="O97" s="77" t="s">
        <v>23</v>
      </c>
      <c r="P97" s="77" t="s">
        <v>23</v>
      </c>
      <c r="Q97" s="77" t="s">
        <v>23</v>
      </c>
      <c r="R97" s="77" t="s">
        <v>23</v>
      </c>
    </row>
    <row r="98" spans="1:18">
      <c r="A98" s="99">
        <v>2021</v>
      </c>
      <c r="B98" s="57" t="s">
        <v>23</v>
      </c>
      <c r="C98" s="57" t="s">
        <v>23</v>
      </c>
      <c r="D98" s="57" t="s">
        <v>23</v>
      </c>
      <c r="E98" s="57" t="s">
        <v>23</v>
      </c>
      <c r="F98" s="57" t="s">
        <v>23</v>
      </c>
      <c r="G98" s="57" t="s">
        <v>23</v>
      </c>
      <c r="H98" s="57" t="s">
        <v>23</v>
      </c>
      <c r="I98" s="57" t="s">
        <v>23</v>
      </c>
      <c r="J98" s="57"/>
      <c r="K98" s="57" t="s">
        <v>23</v>
      </c>
      <c r="L98" s="57" t="s">
        <v>23</v>
      </c>
      <c r="M98" s="57" t="s">
        <v>23</v>
      </c>
      <c r="N98" s="57" t="s">
        <v>23</v>
      </c>
      <c r="O98" s="57" t="s">
        <v>23</v>
      </c>
      <c r="P98" s="57" t="s">
        <v>23</v>
      </c>
      <c r="Q98" s="57" t="s">
        <v>23</v>
      </c>
      <c r="R98" s="57" t="s">
        <v>23</v>
      </c>
    </row>
    <row r="99" spans="1:18">
      <c r="B99" s="57"/>
      <c r="C99" s="57"/>
      <c r="D99" s="57"/>
      <c r="E99" s="57"/>
      <c r="F99" s="57"/>
      <c r="G99" s="57"/>
      <c r="H99" s="57"/>
      <c r="I99" s="57"/>
      <c r="J99" s="57"/>
      <c r="K99" s="57"/>
      <c r="L99" s="57"/>
      <c r="M99" s="57"/>
      <c r="N99" s="57"/>
      <c r="O99" s="57"/>
      <c r="P99" s="57"/>
      <c r="Q99" s="57"/>
      <c r="R99" s="57"/>
    </row>
    <row r="100" spans="1:18">
      <c r="A100" s="94" t="s">
        <v>18</v>
      </c>
      <c r="B100" s="57"/>
      <c r="C100" s="57"/>
      <c r="D100" s="57"/>
      <c r="E100" s="57"/>
      <c r="F100" s="57"/>
      <c r="G100" s="57"/>
      <c r="H100" s="57"/>
      <c r="I100" s="57"/>
      <c r="J100" s="57"/>
      <c r="K100" s="57"/>
      <c r="L100" s="57"/>
      <c r="M100" s="57"/>
      <c r="N100" s="57"/>
      <c r="O100" s="57"/>
      <c r="P100" s="57"/>
      <c r="Q100" s="57"/>
      <c r="R100" s="57"/>
    </row>
    <row r="101" spans="1:18">
      <c r="A101" s="99">
        <v>1976</v>
      </c>
      <c r="B101" s="57">
        <v>1844</v>
      </c>
      <c r="C101" s="57">
        <v>13928</v>
      </c>
      <c r="D101" s="57">
        <v>31835</v>
      </c>
      <c r="E101" s="57">
        <v>53992</v>
      </c>
      <c r="F101" s="57">
        <v>9906</v>
      </c>
      <c r="G101" s="57">
        <v>4178</v>
      </c>
      <c r="H101" s="57" t="s">
        <v>23</v>
      </c>
      <c r="I101" s="57">
        <f t="shared" ref="I101:I116" si="15">SUM(B101:H101)</f>
        <v>115683</v>
      </c>
      <c r="J101" s="57"/>
      <c r="K101" s="57" t="s">
        <v>23</v>
      </c>
      <c r="L101" s="57">
        <v>21399</v>
      </c>
      <c r="M101" s="57">
        <v>101420</v>
      </c>
      <c r="N101" s="57">
        <v>29613</v>
      </c>
      <c r="O101" s="57">
        <v>6827</v>
      </c>
      <c r="P101" s="57">
        <v>0</v>
      </c>
      <c r="Q101" s="57" t="s">
        <v>23</v>
      </c>
      <c r="R101" s="57"/>
    </row>
    <row r="102" spans="1:18">
      <c r="A102" s="99">
        <v>1977</v>
      </c>
      <c r="B102" s="57">
        <v>2943</v>
      </c>
      <c r="C102" s="57">
        <v>28357</v>
      </c>
      <c r="D102" s="57">
        <v>19284</v>
      </c>
      <c r="E102" s="57">
        <v>33689</v>
      </c>
      <c r="F102" s="57">
        <v>40283</v>
      </c>
      <c r="G102" s="57">
        <v>14330</v>
      </c>
      <c r="H102" s="57" t="s">
        <v>23</v>
      </c>
      <c r="I102" s="57">
        <f t="shared" si="15"/>
        <v>138886</v>
      </c>
      <c r="J102" s="57"/>
      <c r="K102" s="57" t="s">
        <v>23</v>
      </c>
      <c r="L102" s="57">
        <v>943</v>
      </c>
      <c r="M102" s="57">
        <v>3505</v>
      </c>
      <c r="N102" s="57">
        <v>841</v>
      </c>
      <c r="O102" s="57">
        <v>822</v>
      </c>
      <c r="P102" s="57">
        <v>22</v>
      </c>
      <c r="Q102" s="57" t="s">
        <v>23</v>
      </c>
      <c r="R102" s="57"/>
    </row>
    <row r="103" spans="1:18">
      <c r="A103" s="99">
        <v>1978</v>
      </c>
      <c r="B103" s="57">
        <v>1916</v>
      </c>
      <c r="C103" s="57">
        <v>30980</v>
      </c>
      <c r="D103" s="57">
        <v>45602</v>
      </c>
      <c r="E103" s="57">
        <v>34587</v>
      </c>
      <c r="F103" s="57">
        <v>12330</v>
      </c>
      <c r="G103" s="57">
        <v>6439</v>
      </c>
      <c r="H103" s="57" t="s">
        <v>23</v>
      </c>
      <c r="I103" s="57">
        <f t="shared" si="15"/>
        <v>131854</v>
      </c>
      <c r="J103" s="57"/>
      <c r="K103" s="57">
        <v>8</v>
      </c>
      <c r="L103" s="57">
        <v>2700</v>
      </c>
      <c r="M103" s="57">
        <v>31839</v>
      </c>
      <c r="N103" s="57">
        <v>13015</v>
      </c>
      <c r="O103" s="57">
        <v>1419</v>
      </c>
      <c r="P103" s="57">
        <v>165</v>
      </c>
      <c r="Q103" s="57" t="s">
        <v>23</v>
      </c>
      <c r="R103" s="57">
        <f t="shared" ref="R103:R110" si="16">SUM(K103:Q103)</f>
        <v>49146</v>
      </c>
    </row>
    <row r="104" spans="1:18">
      <c r="A104" s="99">
        <v>1979</v>
      </c>
      <c r="B104" s="57">
        <v>2</v>
      </c>
      <c r="C104" s="57">
        <v>30367</v>
      </c>
      <c r="D104" s="57">
        <v>7789</v>
      </c>
      <c r="E104" s="57">
        <v>80180</v>
      </c>
      <c r="F104" s="57">
        <v>57586</v>
      </c>
      <c r="G104" s="57">
        <v>26543</v>
      </c>
      <c r="H104" s="57" t="s">
        <v>23</v>
      </c>
      <c r="I104" s="57">
        <f t="shared" si="15"/>
        <v>202467</v>
      </c>
      <c r="J104" s="57"/>
      <c r="K104" s="57">
        <v>3</v>
      </c>
      <c r="L104" s="57">
        <v>793</v>
      </c>
      <c r="M104" s="57">
        <v>3399</v>
      </c>
      <c r="N104" s="57">
        <v>20822</v>
      </c>
      <c r="O104" s="57">
        <v>4067</v>
      </c>
      <c r="P104" s="57">
        <v>182</v>
      </c>
      <c r="Q104" s="57" t="s">
        <v>23</v>
      </c>
      <c r="R104" s="57">
        <f t="shared" si="16"/>
        <v>29266</v>
      </c>
    </row>
    <row r="105" spans="1:18">
      <c r="A105" s="99">
        <v>1980</v>
      </c>
      <c r="B105" s="57" t="s">
        <v>23</v>
      </c>
      <c r="C105" s="57">
        <v>20268</v>
      </c>
      <c r="D105" s="57" t="s">
        <v>23</v>
      </c>
      <c r="E105" s="57">
        <v>82602</v>
      </c>
      <c r="F105" s="57">
        <v>14102</v>
      </c>
      <c r="G105" s="57">
        <v>13471</v>
      </c>
      <c r="H105" s="57" t="s">
        <v>23</v>
      </c>
      <c r="I105" s="57">
        <f t="shared" si="15"/>
        <v>130443</v>
      </c>
      <c r="J105" s="57"/>
      <c r="K105" s="57" t="s">
        <v>23</v>
      </c>
      <c r="L105" s="57">
        <v>216</v>
      </c>
      <c r="M105" s="57" t="s">
        <v>23</v>
      </c>
      <c r="N105" s="57">
        <v>8211</v>
      </c>
      <c r="O105" s="57">
        <v>2331</v>
      </c>
      <c r="P105" s="57">
        <v>584</v>
      </c>
      <c r="Q105" s="57" t="s">
        <v>23</v>
      </c>
      <c r="R105" s="57">
        <f t="shared" si="16"/>
        <v>11342</v>
      </c>
    </row>
    <row r="106" spans="1:18">
      <c r="A106" s="99">
        <v>1981</v>
      </c>
      <c r="B106" s="57" t="s">
        <v>23</v>
      </c>
      <c r="C106" s="57">
        <v>22485</v>
      </c>
      <c r="D106" s="57">
        <v>31675</v>
      </c>
      <c r="E106" s="57">
        <v>36661</v>
      </c>
      <c r="F106" s="57">
        <v>19081</v>
      </c>
      <c r="G106" s="57">
        <v>6722</v>
      </c>
      <c r="H106" s="57" t="s">
        <v>23</v>
      </c>
      <c r="I106" s="57">
        <f t="shared" si="15"/>
        <v>116624</v>
      </c>
      <c r="J106" s="57"/>
      <c r="K106" s="57" t="s">
        <v>23</v>
      </c>
      <c r="L106" s="57">
        <v>692</v>
      </c>
      <c r="M106" s="57">
        <v>2412</v>
      </c>
      <c r="N106" s="57">
        <v>5674</v>
      </c>
      <c r="O106" s="57">
        <v>1814</v>
      </c>
      <c r="P106" s="57">
        <v>236</v>
      </c>
      <c r="Q106" s="57" t="s">
        <v>23</v>
      </c>
      <c r="R106" s="57">
        <f t="shared" si="16"/>
        <v>10828</v>
      </c>
    </row>
    <row r="107" spans="1:18">
      <c r="A107" s="99">
        <v>1982</v>
      </c>
      <c r="B107" s="57" t="s">
        <v>23</v>
      </c>
      <c r="C107" s="57">
        <v>25005</v>
      </c>
      <c r="D107" s="57">
        <v>19140</v>
      </c>
      <c r="E107" s="57">
        <v>100081</v>
      </c>
      <c r="F107" s="57">
        <v>17822</v>
      </c>
      <c r="G107" s="57">
        <v>8001</v>
      </c>
      <c r="H107" s="57" t="s">
        <v>23</v>
      </c>
      <c r="I107" s="57">
        <f t="shared" si="15"/>
        <v>170049</v>
      </c>
      <c r="J107" s="57"/>
      <c r="K107" s="57" t="s">
        <v>23</v>
      </c>
      <c r="L107" s="57">
        <v>117</v>
      </c>
      <c r="M107" s="57">
        <v>2529</v>
      </c>
      <c r="N107" s="57">
        <v>22198</v>
      </c>
      <c r="O107" s="57">
        <v>2358</v>
      </c>
      <c r="P107" s="57">
        <v>335</v>
      </c>
      <c r="Q107" s="57" t="s">
        <v>23</v>
      </c>
      <c r="R107" s="57">
        <f t="shared" si="16"/>
        <v>27537</v>
      </c>
    </row>
    <row r="108" spans="1:18">
      <c r="A108" s="99">
        <v>1983</v>
      </c>
      <c r="B108" s="57" t="s">
        <v>23</v>
      </c>
      <c r="C108" s="57">
        <v>8238</v>
      </c>
      <c r="D108" s="57">
        <v>21764</v>
      </c>
      <c r="E108" s="57">
        <v>18124</v>
      </c>
      <c r="F108" s="57">
        <v>7620</v>
      </c>
      <c r="G108" s="57">
        <v>140</v>
      </c>
      <c r="H108" s="57" t="s">
        <v>23</v>
      </c>
      <c r="I108" s="57">
        <f t="shared" si="15"/>
        <v>55886</v>
      </c>
      <c r="J108" s="57"/>
      <c r="K108" s="57" t="s">
        <v>23</v>
      </c>
      <c r="L108" s="57">
        <v>2</v>
      </c>
      <c r="M108" s="57">
        <v>6111</v>
      </c>
      <c r="N108" s="57">
        <v>4578</v>
      </c>
      <c r="O108" s="57">
        <v>2355</v>
      </c>
      <c r="P108" s="57">
        <v>31</v>
      </c>
      <c r="Q108" s="57" t="s">
        <v>23</v>
      </c>
      <c r="R108" s="57">
        <f t="shared" si="16"/>
        <v>13077</v>
      </c>
    </row>
    <row r="109" spans="1:18">
      <c r="A109" s="99">
        <v>1984</v>
      </c>
      <c r="B109" s="57" t="s">
        <v>23</v>
      </c>
      <c r="C109" s="57">
        <v>4438</v>
      </c>
      <c r="D109" s="57">
        <v>3579</v>
      </c>
      <c r="E109" s="57">
        <v>24292</v>
      </c>
      <c r="F109" s="57">
        <v>4118</v>
      </c>
      <c r="G109" s="57">
        <v>13324</v>
      </c>
      <c r="H109" s="57" t="s">
        <v>23</v>
      </c>
      <c r="I109" s="57">
        <f t="shared" si="15"/>
        <v>49751</v>
      </c>
      <c r="J109" s="57"/>
      <c r="K109" s="57" t="s">
        <v>23</v>
      </c>
      <c r="L109" s="57" t="s">
        <v>23</v>
      </c>
      <c r="M109" s="57">
        <v>279</v>
      </c>
      <c r="N109" s="57">
        <v>10926</v>
      </c>
      <c r="O109" s="57">
        <v>556</v>
      </c>
      <c r="P109" s="57">
        <v>314</v>
      </c>
      <c r="Q109" s="57" t="s">
        <v>23</v>
      </c>
      <c r="R109" s="57">
        <f t="shared" si="16"/>
        <v>12075</v>
      </c>
    </row>
    <row r="110" spans="1:18">
      <c r="A110" s="99">
        <v>1985</v>
      </c>
      <c r="B110" s="57" t="s">
        <v>23</v>
      </c>
      <c r="C110" s="57">
        <v>17269</v>
      </c>
      <c r="D110" s="57">
        <v>29524</v>
      </c>
      <c r="E110" s="57">
        <v>65724</v>
      </c>
      <c r="F110" s="57">
        <v>35816</v>
      </c>
      <c r="G110" s="57">
        <v>5647</v>
      </c>
      <c r="H110" s="57" t="s">
        <v>23</v>
      </c>
      <c r="I110" s="57">
        <f t="shared" si="15"/>
        <v>153980</v>
      </c>
      <c r="J110" s="57"/>
      <c r="K110" s="57" t="s">
        <v>23</v>
      </c>
      <c r="L110" s="57">
        <v>9</v>
      </c>
      <c r="M110" s="57">
        <v>2143</v>
      </c>
      <c r="N110" s="57">
        <v>6203</v>
      </c>
      <c r="O110" s="57">
        <v>1213</v>
      </c>
      <c r="P110" s="57">
        <v>53</v>
      </c>
      <c r="Q110" s="57" t="s">
        <v>23</v>
      </c>
      <c r="R110" s="57">
        <f t="shared" si="16"/>
        <v>9621</v>
      </c>
    </row>
    <row r="111" spans="1:18">
      <c r="A111" s="99">
        <v>1986</v>
      </c>
      <c r="B111" s="57" t="s">
        <v>23</v>
      </c>
      <c r="C111" s="57">
        <v>57019</v>
      </c>
      <c r="D111" s="57">
        <v>96524.68</v>
      </c>
      <c r="E111" s="57">
        <v>90196.96</v>
      </c>
      <c r="F111" s="57">
        <v>28103.74</v>
      </c>
      <c r="G111" s="57">
        <v>574</v>
      </c>
      <c r="H111" s="57" t="s">
        <v>23</v>
      </c>
      <c r="I111" s="57">
        <f t="shared" si="15"/>
        <v>272418.38</v>
      </c>
      <c r="J111" s="57"/>
      <c r="K111" s="57" t="s">
        <v>23</v>
      </c>
      <c r="L111" s="57" t="s">
        <v>23</v>
      </c>
      <c r="M111" s="57">
        <v>6892.353226980129</v>
      </c>
      <c r="N111" s="57">
        <v>12355.44784896161</v>
      </c>
      <c r="O111" s="57">
        <v>1581.8774455271632</v>
      </c>
      <c r="P111" s="57">
        <v>8</v>
      </c>
      <c r="Q111" s="57" t="s">
        <v>23</v>
      </c>
      <c r="R111" s="57">
        <v>20800</v>
      </c>
    </row>
    <row r="112" spans="1:18">
      <c r="A112" s="99">
        <v>1987</v>
      </c>
      <c r="B112" s="57" t="s">
        <v>23</v>
      </c>
      <c r="C112" s="57">
        <v>71544</v>
      </c>
      <c r="D112" s="57">
        <v>89448</v>
      </c>
      <c r="E112" s="57">
        <v>127588</v>
      </c>
      <c r="F112" s="57">
        <v>49204</v>
      </c>
      <c r="G112" s="57">
        <v>3432</v>
      </c>
      <c r="H112" s="57" t="s">
        <v>23</v>
      </c>
      <c r="I112" s="57">
        <f t="shared" si="15"/>
        <v>341216</v>
      </c>
      <c r="J112" s="57"/>
      <c r="K112" s="57" t="s">
        <v>23</v>
      </c>
      <c r="L112" s="57" t="s">
        <v>23</v>
      </c>
      <c r="M112" s="57">
        <v>9094.3236726120376</v>
      </c>
      <c r="N112" s="57">
        <v>16599.473434253487</v>
      </c>
      <c r="O112" s="57" t="s">
        <v>23</v>
      </c>
      <c r="P112" s="57">
        <v>176.69293924466345</v>
      </c>
      <c r="Q112" s="57" t="s">
        <v>23</v>
      </c>
      <c r="R112" s="57">
        <v>25900</v>
      </c>
    </row>
    <row r="113" spans="1:18">
      <c r="A113" s="99">
        <v>1988</v>
      </c>
      <c r="B113" s="57" t="s">
        <v>23</v>
      </c>
      <c r="C113" s="57">
        <v>91548</v>
      </c>
      <c r="D113" s="57">
        <v>110116</v>
      </c>
      <c r="E113" s="57">
        <v>157350</v>
      </c>
      <c r="F113" s="57">
        <v>52196</v>
      </c>
      <c r="G113" s="57">
        <v>13453</v>
      </c>
      <c r="H113" s="57" t="s">
        <v>23</v>
      </c>
      <c r="I113" s="57">
        <f t="shared" si="15"/>
        <v>424663</v>
      </c>
      <c r="J113" s="57"/>
      <c r="K113" s="57" t="s">
        <v>23</v>
      </c>
      <c r="L113" s="57" t="s">
        <v>23</v>
      </c>
      <c r="M113" s="57">
        <v>8980.5948515085311</v>
      </c>
      <c r="N113" s="57">
        <v>20132</v>
      </c>
      <c r="O113" s="57">
        <v>1779</v>
      </c>
      <c r="P113" s="57">
        <v>54.785503044360688</v>
      </c>
      <c r="Q113" s="57" t="s">
        <v>23</v>
      </c>
      <c r="R113" s="57">
        <v>30900</v>
      </c>
    </row>
    <row r="114" spans="1:18">
      <c r="A114" s="99">
        <v>1989</v>
      </c>
      <c r="B114" s="57" t="s">
        <v>23</v>
      </c>
      <c r="C114" s="57">
        <v>7445</v>
      </c>
      <c r="D114" s="57">
        <v>20453</v>
      </c>
      <c r="E114" s="57">
        <v>64369</v>
      </c>
      <c r="F114" s="57">
        <v>46334</v>
      </c>
      <c r="G114" s="57">
        <v>5628</v>
      </c>
      <c r="H114" s="57" t="s">
        <v>23</v>
      </c>
      <c r="I114" s="57">
        <f t="shared" si="15"/>
        <v>144229</v>
      </c>
      <c r="J114" s="57"/>
      <c r="K114" s="57" t="s">
        <v>23</v>
      </c>
      <c r="L114" s="57" t="s">
        <v>23</v>
      </c>
      <c r="M114" s="57">
        <v>3929.3661474014921</v>
      </c>
      <c r="N114" s="57">
        <v>13643</v>
      </c>
      <c r="O114" s="57">
        <v>7865.2571381416074</v>
      </c>
      <c r="P114" s="57">
        <v>321</v>
      </c>
      <c r="Q114" s="57" t="s">
        <v>23</v>
      </c>
      <c r="R114" s="57">
        <v>25800</v>
      </c>
    </row>
    <row r="115" spans="1:18">
      <c r="A115" s="99">
        <v>1990</v>
      </c>
      <c r="B115" s="57" t="s">
        <v>23</v>
      </c>
      <c r="C115" s="57">
        <v>6782</v>
      </c>
      <c r="D115" s="57">
        <v>45549</v>
      </c>
      <c r="E115" s="57">
        <v>19802</v>
      </c>
      <c r="F115" s="57">
        <v>5030</v>
      </c>
      <c r="G115" s="57">
        <v>2390</v>
      </c>
      <c r="H115" s="57" t="s">
        <v>23</v>
      </c>
      <c r="I115" s="57">
        <f t="shared" si="15"/>
        <v>79553</v>
      </c>
      <c r="J115" s="57"/>
      <c r="K115" s="57" t="s">
        <v>23</v>
      </c>
      <c r="L115" s="57" t="s">
        <v>23</v>
      </c>
      <c r="M115" s="57">
        <v>16633</v>
      </c>
      <c r="N115" s="57">
        <v>7339</v>
      </c>
      <c r="O115" s="57">
        <v>2277</v>
      </c>
      <c r="P115" s="57">
        <v>389</v>
      </c>
      <c r="Q115" s="57" t="s">
        <v>23</v>
      </c>
      <c r="R115" s="57">
        <v>26600</v>
      </c>
    </row>
    <row r="116" spans="1:18">
      <c r="A116" s="99">
        <v>1991</v>
      </c>
      <c r="B116" s="57" t="s">
        <v>23</v>
      </c>
      <c r="C116" s="57" t="s">
        <v>23</v>
      </c>
      <c r="D116" s="57" t="s">
        <v>23</v>
      </c>
      <c r="E116" s="57" t="s">
        <v>23</v>
      </c>
      <c r="F116" s="57">
        <v>34300</v>
      </c>
      <c r="G116" s="57">
        <v>1300</v>
      </c>
      <c r="H116" s="57" t="s">
        <v>23</v>
      </c>
      <c r="I116" s="57">
        <f t="shared" si="15"/>
        <v>35600</v>
      </c>
      <c r="J116" s="57"/>
      <c r="K116" s="57" t="s">
        <v>23</v>
      </c>
      <c r="L116" s="57" t="s">
        <v>23</v>
      </c>
      <c r="M116" s="57" t="s">
        <v>23</v>
      </c>
      <c r="N116" s="57" t="s">
        <v>23</v>
      </c>
      <c r="O116" s="57">
        <v>4500</v>
      </c>
      <c r="P116" s="57" t="s">
        <v>23</v>
      </c>
      <c r="Q116" s="57" t="s">
        <v>23</v>
      </c>
      <c r="R116" s="57">
        <v>4500</v>
      </c>
    </row>
    <row r="117" spans="1:18">
      <c r="A117" s="99">
        <v>1992</v>
      </c>
      <c r="B117" s="57" t="s">
        <v>23</v>
      </c>
      <c r="C117" s="57" t="s">
        <v>23</v>
      </c>
      <c r="D117" s="57" t="s">
        <v>23</v>
      </c>
      <c r="E117" s="57" t="s">
        <v>23</v>
      </c>
      <c r="F117" s="57" t="s">
        <v>23</v>
      </c>
      <c r="G117" s="57" t="s">
        <v>23</v>
      </c>
      <c r="H117" s="57" t="s">
        <v>23</v>
      </c>
      <c r="I117" s="57" t="s">
        <v>23</v>
      </c>
      <c r="J117" s="57"/>
      <c r="K117" s="57" t="s">
        <v>23</v>
      </c>
      <c r="L117" s="57" t="s">
        <v>23</v>
      </c>
      <c r="M117" s="57" t="s">
        <v>23</v>
      </c>
      <c r="N117" s="57" t="s">
        <v>23</v>
      </c>
      <c r="O117" s="57" t="s">
        <v>23</v>
      </c>
      <c r="P117" s="57" t="s">
        <v>23</v>
      </c>
      <c r="Q117" s="57" t="s">
        <v>23</v>
      </c>
      <c r="R117" s="57" t="s">
        <v>23</v>
      </c>
    </row>
    <row r="118" spans="1:18">
      <c r="A118" s="99">
        <v>1993</v>
      </c>
      <c r="B118" s="57" t="s">
        <v>23</v>
      </c>
      <c r="C118" s="57">
        <v>388</v>
      </c>
      <c r="D118" s="57" t="s">
        <v>23</v>
      </c>
      <c r="E118" s="57" t="s">
        <v>23</v>
      </c>
      <c r="F118" s="57" t="s">
        <v>23</v>
      </c>
      <c r="G118" s="57">
        <v>19503</v>
      </c>
      <c r="H118" s="57" t="s">
        <v>23</v>
      </c>
      <c r="I118" s="57">
        <f t="shared" ref="I118:I132" si="17">SUM(B118:H118)</f>
        <v>19891</v>
      </c>
      <c r="J118" s="57"/>
      <c r="K118" s="57" t="s">
        <v>23</v>
      </c>
      <c r="L118" s="57" t="s">
        <v>23</v>
      </c>
      <c r="M118" s="57" t="s">
        <v>23</v>
      </c>
      <c r="N118" s="57" t="s">
        <v>23</v>
      </c>
      <c r="O118" s="57" t="s">
        <v>23</v>
      </c>
      <c r="P118" s="57" t="s">
        <v>23</v>
      </c>
      <c r="Q118" s="57" t="s">
        <v>23</v>
      </c>
      <c r="R118" s="57" t="s">
        <v>23</v>
      </c>
    </row>
    <row r="119" spans="1:18">
      <c r="A119" s="99">
        <v>1994</v>
      </c>
      <c r="B119" s="57" t="s">
        <v>23</v>
      </c>
      <c r="C119" s="57" t="s">
        <v>23</v>
      </c>
      <c r="D119" s="57" t="s">
        <v>23</v>
      </c>
      <c r="E119" s="57" t="s">
        <v>23</v>
      </c>
      <c r="F119" s="57" t="s">
        <v>23</v>
      </c>
      <c r="G119" s="57">
        <v>5210</v>
      </c>
      <c r="H119" s="57" t="s">
        <v>23</v>
      </c>
      <c r="I119" s="57">
        <f t="shared" si="17"/>
        <v>5210</v>
      </c>
      <c r="J119" s="57"/>
      <c r="K119" s="57" t="s">
        <v>23</v>
      </c>
      <c r="L119" s="57" t="s">
        <v>23</v>
      </c>
      <c r="M119" s="57" t="s">
        <v>23</v>
      </c>
      <c r="N119" s="57" t="s">
        <v>23</v>
      </c>
      <c r="O119" s="57" t="s">
        <v>23</v>
      </c>
      <c r="P119" s="57" t="s">
        <v>23</v>
      </c>
      <c r="Q119" s="57" t="s">
        <v>23</v>
      </c>
      <c r="R119" s="57" t="s">
        <v>23</v>
      </c>
    </row>
    <row r="120" spans="1:18">
      <c r="A120" s="99">
        <v>1995</v>
      </c>
      <c r="B120" s="57" t="s">
        <v>23</v>
      </c>
      <c r="C120" s="57" t="s">
        <v>23</v>
      </c>
      <c r="D120" s="57" t="s">
        <v>23</v>
      </c>
      <c r="E120" s="57" t="s">
        <v>23</v>
      </c>
      <c r="F120" s="57" t="s">
        <v>23</v>
      </c>
      <c r="G120" s="57">
        <v>8714</v>
      </c>
      <c r="H120" s="57" t="s">
        <v>23</v>
      </c>
      <c r="I120" s="57">
        <f t="shared" si="17"/>
        <v>8714</v>
      </c>
      <c r="J120" s="57"/>
      <c r="K120" s="57" t="s">
        <v>23</v>
      </c>
      <c r="L120" s="57" t="s">
        <v>23</v>
      </c>
      <c r="M120" s="57" t="s">
        <v>23</v>
      </c>
      <c r="N120" s="57" t="s">
        <v>23</v>
      </c>
      <c r="O120" s="57" t="s">
        <v>23</v>
      </c>
      <c r="P120" s="57" t="s">
        <v>23</v>
      </c>
      <c r="Q120" s="57" t="s">
        <v>23</v>
      </c>
      <c r="R120" s="57" t="s">
        <v>23</v>
      </c>
    </row>
    <row r="121" spans="1:18">
      <c r="A121" s="99">
        <v>1996</v>
      </c>
      <c r="B121" s="57" t="s">
        <v>23</v>
      </c>
      <c r="C121" s="57" t="s">
        <v>23</v>
      </c>
      <c r="D121" s="57" t="s">
        <v>23</v>
      </c>
      <c r="E121" s="57" t="s">
        <v>23</v>
      </c>
      <c r="F121" s="57">
        <v>14443</v>
      </c>
      <c r="G121" s="57">
        <v>8487</v>
      </c>
      <c r="H121" s="57" t="s">
        <v>23</v>
      </c>
      <c r="I121" s="57">
        <f t="shared" si="17"/>
        <v>22930</v>
      </c>
      <c r="J121" s="57"/>
      <c r="K121" s="57" t="s">
        <v>23</v>
      </c>
      <c r="L121" s="57" t="s">
        <v>23</v>
      </c>
      <c r="M121" s="57" t="s">
        <v>23</v>
      </c>
      <c r="N121" s="57" t="s">
        <v>23</v>
      </c>
      <c r="O121" s="57" t="s">
        <v>23</v>
      </c>
      <c r="P121" s="57" t="s">
        <v>23</v>
      </c>
      <c r="Q121" s="57" t="s">
        <v>23</v>
      </c>
      <c r="R121" s="57" t="s">
        <v>23</v>
      </c>
    </row>
    <row r="122" spans="1:18">
      <c r="A122" s="99">
        <v>1997</v>
      </c>
      <c r="B122" s="57" t="s">
        <v>23</v>
      </c>
      <c r="C122" s="57" t="s">
        <v>23</v>
      </c>
      <c r="D122" s="57" t="s">
        <v>23</v>
      </c>
      <c r="E122" s="57" t="s">
        <v>23</v>
      </c>
      <c r="F122" s="57" t="s">
        <v>23</v>
      </c>
      <c r="G122" s="57">
        <v>3776</v>
      </c>
      <c r="H122" s="57" t="s">
        <v>23</v>
      </c>
      <c r="I122" s="57">
        <f t="shared" si="17"/>
        <v>3776</v>
      </c>
      <c r="J122" s="57"/>
      <c r="K122" s="57" t="s">
        <v>23</v>
      </c>
      <c r="L122" s="57" t="s">
        <v>23</v>
      </c>
      <c r="M122" s="57" t="s">
        <v>23</v>
      </c>
      <c r="N122" s="57" t="s">
        <v>23</v>
      </c>
      <c r="O122" s="57" t="s">
        <v>23</v>
      </c>
      <c r="P122" s="57" t="s">
        <v>23</v>
      </c>
      <c r="Q122" s="57" t="s">
        <v>23</v>
      </c>
      <c r="R122" s="57" t="s">
        <v>23</v>
      </c>
    </row>
    <row r="123" spans="1:18">
      <c r="A123" s="99">
        <v>1998</v>
      </c>
      <c r="B123" s="57" t="s">
        <v>23</v>
      </c>
      <c r="C123" s="57" t="s">
        <v>23</v>
      </c>
      <c r="D123" s="57" t="s">
        <v>23</v>
      </c>
      <c r="E123" s="57" t="s">
        <v>23</v>
      </c>
      <c r="F123" s="57" t="s">
        <v>23</v>
      </c>
      <c r="G123" s="57">
        <v>2882</v>
      </c>
      <c r="H123" s="57" t="s">
        <v>23</v>
      </c>
      <c r="I123" s="57">
        <f t="shared" si="17"/>
        <v>2882</v>
      </c>
      <c r="J123" s="57"/>
      <c r="K123" s="57" t="s">
        <v>23</v>
      </c>
      <c r="L123" s="57" t="s">
        <v>23</v>
      </c>
      <c r="M123" s="57" t="s">
        <v>23</v>
      </c>
      <c r="N123" s="57" t="s">
        <v>23</v>
      </c>
      <c r="O123" s="57" t="s">
        <v>23</v>
      </c>
      <c r="P123" s="57" t="s">
        <v>23</v>
      </c>
      <c r="Q123" s="57" t="s">
        <v>23</v>
      </c>
      <c r="R123" s="57" t="s">
        <v>23</v>
      </c>
    </row>
    <row r="124" spans="1:18">
      <c r="A124" s="99">
        <v>1999</v>
      </c>
      <c r="B124" s="57" t="s">
        <v>23</v>
      </c>
      <c r="C124" s="57" t="s">
        <v>23</v>
      </c>
      <c r="D124" s="57" t="s">
        <v>23</v>
      </c>
      <c r="E124" s="57" t="s">
        <v>23</v>
      </c>
      <c r="F124" s="57" t="s">
        <v>23</v>
      </c>
      <c r="G124" s="57">
        <v>2283</v>
      </c>
      <c r="H124" s="57" t="s">
        <v>23</v>
      </c>
      <c r="I124" s="57">
        <f t="shared" si="17"/>
        <v>2283</v>
      </c>
      <c r="J124" s="57"/>
      <c r="K124" s="57" t="s">
        <v>23</v>
      </c>
      <c r="L124" s="57" t="s">
        <v>23</v>
      </c>
      <c r="M124" s="57" t="s">
        <v>23</v>
      </c>
      <c r="N124" s="57" t="s">
        <v>23</v>
      </c>
      <c r="O124" s="57" t="s">
        <v>23</v>
      </c>
      <c r="P124" s="57" t="s">
        <v>23</v>
      </c>
      <c r="Q124" s="57" t="s">
        <v>23</v>
      </c>
      <c r="R124" s="57" t="s">
        <v>23</v>
      </c>
    </row>
    <row r="125" spans="1:18">
      <c r="A125" s="99">
        <v>2000</v>
      </c>
      <c r="B125" s="57" t="s">
        <v>23</v>
      </c>
      <c r="C125" s="57" t="s">
        <v>23</v>
      </c>
      <c r="D125" s="57" t="s">
        <v>23</v>
      </c>
      <c r="E125" s="57" t="s">
        <v>23</v>
      </c>
      <c r="F125" s="57" t="s">
        <v>23</v>
      </c>
      <c r="G125" s="57">
        <v>30773</v>
      </c>
      <c r="H125" s="57" t="s">
        <v>23</v>
      </c>
      <c r="I125" s="57">
        <f t="shared" si="17"/>
        <v>30773</v>
      </c>
      <c r="J125" s="57"/>
      <c r="K125" s="57" t="s">
        <v>23</v>
      </c>
      <c r="L125" s="57" t="s">
        <v>23</v>
      </c>
      <c r="M125" s="57" t="s">
        <v>23</v>
      </c>
      <c r="N125" s="57" t="s">
        <v>23</v>
      </c>
      <c r="O125" s="57" t="s">
        <v>23</v>
      </c>
      <c r="P125" s="57" t="s">
        <v>23</v>
      </c>
      <c r="Q125" s="57" t="s">
        <v>23</v>
      </c>
      <c r="R125" s="57" t="s">
        <v>23</v>
      </c>
    </row>
    <row r="126" spans="1:18">
      <c r="A126" s="99">
        <v>2001</v>
      </c>
      <c r="B126" s="57" t="s">
        <v>23</v>
      </c>
      <c r="C126" s="57">
        <v>4297</v>
      </c>
      <c r="D126" s="57" t="s">
        <v>23</v>
      </c>
      <c r="E126" s="57" t="s">
        <v>23</v>
      </c>
      <c r="F126" s="57" t="s">
        <v>23</v>
      </c>
      <c r="G126" s="57">
        <v>10696</v>
      </c>
      <c r="H126" s="57" t="s">
        <v>23</v>
      </c>
      <c r="I126" s="57">
        <f t="shared" si="17"/>
        <v>14993</v>
      </c>
      <c r="J126" s="57"/>
      <c r="K126" s="57" t="s">
        <v>23</v>
      </c>
      <c r="L126" s="57" t="s">
        <v>23</v>
      </c>
      <c r="M126" s="57" t="s">
        <v>23</v>
      </c>
      <c r="N126" s="57" t="s">
        <v>23</v>
      </c>
      <c r="O126" s="57" t="s">
        <v>23</v>
      </c>
      <c r="P126" s="57" t="s">
        <v>23</v>
      </c>
      <c r="Q126" s="57" t="s">
        <v>23</v>
      </c>
      <c r="R126" s="57" t="s">
        <v>23</v>
      </c>
    </row>
    <row r="127" spans="1:18">
      <c r="A127" s="99">
        <v>2002</v>
      </c>
      <c r="B127" s="57" t="s">
        <v>23</v>
      </c>
      <c r="C127" s="57" t="s">
        <v>23</v>
      </c>
      <c r="D127" s="57" t="s">
        <v>23</v>
      </c>
      <c r="E127" s="57">
        <v>18627</v>
      </c>
      <c r="F127" s="57">
        <v>40788</v>
      </c>
      <c r="G127" s="57">
        <v>5921</v>
      </c>
      <c r="H127" s="57" t="s">
        <v>23</v>
      </c>
      <c r="I127" s="57">
        <f t="shared" si="17"/>
        <v>65336</v>
      </c>
      <c r="J127" s="57"/>
      <c r="K127" s="57" t="s">
        <v>23</v>
      </c>
      <c r="L127" s="57" t="s">
        <v>23</v>
      </c>
      <c r="M127" s="57" t="s">
        <v>23</v>
      </c>
      <c r="N127" s="57" t="s">
        <v>23</v>
      </c>
      <c r="O127" s="57" t="s">
        <v>23</v>
      </c>
      <c r="P127" s="57" t="s">
        <v>23</v>
      </c>
      <c r="Q127" s="57" t="s">
        <v>23</v>
      </c>
      <c r="R127" s="57" t="s">
        <v>23</v>
      </c>
    </row>
    <row r="128" spans="1:18">
      <c r="A128" s="99">
        <v>2003</v>
      </c>
      <c r="B128" s="57" t="s">
        <v>23</v>
      </c>
      <c r="C128" s="57">
        <v>31132</v>
      </c>
      <c r="D128" s="57" t="s">
        <v>23</v>
      </c>
      <c r="E128" s="57">
        <v>70542</v>
      </c>
      <c r="F128" s="57">
        <v>84285</v>
      </c>
      <c r="G128" s="57">
        <v>62916</v>
      </c>
      <c r="H128" s="57" t="s">
        <v>23</v>
      </c>
      <c r="I128" s="57">
        <f t="shared" si="17"/>
        <v>248875</v>
      </c>
      <c r="J128" s="57"/>
      <c r="K128" s="57" t="s">
        <v>23</v>
      </c>
      <c r="L128" s="57" t="s">
        <v>23</v>
      </c>
      <c r="M128" s="57" t="s">
        <v>23</v>
      </c>
      <c r="N128" s="57" t="s">
        <v>23</v>
      </c>
      <c r="O128" s="57" t="s">
        <v>23</v>
      </c>
      <c r="P128" s="57" t="s">
        <v>23</v>
      </c>
      <c r="Q128" s="57" t="s">
        <v>23</v>
      </c>
      <c r="R128" s="57" t="s">
        <v>23</v>
      </c>
    </row>
    <row r="129" spans="1:18">
      <c r="A129" s="99">
        <v>2004</v>
      </c>
      <c r="B129" s="57" t="s">
        <v>23</v>
      </c>
      <c r="C129" s="57" t="s">
        <v>23</v>
      </c>
      <c r="D129" s="57" t="s">
        <v>23</v>
      </c>
      <c r="E129" s="57">
        <v>65937</v>
      </c>
      <c r="F129" s="57">
        <v>30487</v>
      </c>
      <c r="G129" s="57">
        <v>10835</v>
      </c>
      <c r="H129" s="57" t="s">
        <v>23</v>
      </c>
      <c r="I129" s="57">
        <f t="shared" si="17"/>
        <v>107259</v>
      </c>
      <c r="J129" s="57"/>
      <c r="K129" s="57" t="s">
        <v>23</v>
      </c>
      <c r="L129" s="57" t="s">
        <v>23</v>
      </c>
      <c r="M129" s="57" t="s">
        <v>23</v>
      </c>
      <c r="N129" s="57" t="s">
        <v>23</v>
      </c>
      <c r="O129" s="57" t="s">
        <v>23</v>
      </c>
      <c r="P129" s="57" t="s">
        <v>23</v>
      </c>
      <c r="Q129" s="57" t="s">
        <v>23</v>
      </c>
      <c r="R129" s="57" t="s">
        <v>23</v>
      </c>
    </row>
    <row r="130" spans="1:18">
      <c r="A130" s="99">
        <v>2005</v>
      </c>
      <c r="B130" s="57" t="s">
        <v>23</v>
      </c>
      <c r="C130" s="57" t="s">
        <v>23</v>
      </c>
      <c r="D130" s="57" t="s">
        <v>23</v>
      </c>
      <c r="E130" s="57" t="s">
        <v>23</v>
      </c>
      <c r="F130" s="57" t="s">
        <v>23</v>
      </c>
      <c r="G130" s="57">
        <v>45869</v>
      </c>
      <c r="H130" s="57" t="s">
        <v>23</v>
      </c>
      <c r="I130" s="57">
        <f t="shared" si="17"/>
        <v>45869</v>
      </c>
      <c r="J130" s="57"/>
      <c r="K130" s="57" t="s">
        <v>23</v>
      </c>
      <c r="L130" s="57" t="s">
        <v>23</v>
      </c>
      <c r="M130" s="57" t="s">
        <v>23</v>
      </c>
      <c r="N130" s="57" t="s">
        <v>23</v>
      </c>
      <c r="O130" s="57" t="s">
        <v>23</v>
      </c>
      <c r="P130" s="57" t="s">
        <v>23</v>
      </c>
      <c r="Q130" s="57" t="s">
        <v>23</v>
      </c>
      <c r="R130" s="57" t="s">
        <v>23</v>
      </c>
    </row>
    <row r="131" spans="1:18">
      <c r="A131" s="99">
        <v>2006</v>
      </c>
      <c r="B131" s="57" t="s">
        <v>23</v>
      </c>
      <c r="C131" s="57" t="s">
        <v>23</v>
      </c>
      <c r="D131" s="57" t="s">
        <v>23</v>
      </c>
      <c r="E131" s="57" t="s">
        <v>23</v>
      </c>
      <c r="F131" s="57" t="s">
        <v>23</v>
      </c>
      <c r="G131" s="57">
        <v>10835</v>
      </c>
      <c r="H131" s="57" t="s">
        <v>23</v>
      </c>
      <c r="I131" s="57">
        <f t="shared" si="17"/>
        <v>10835</v>
      </c>
      <c r="J131" s="57"/>
      <c r="K131" s="57" t="s">
        <v>23</v>
      </c>
      <c r="L131" s="57" t="s">
        <v>23</v>
      </c>
      <c r="M131" s="57" t="s">
        <v>23</v>
      </c>
      <c r="N131" s="57" t="s">
        <v>23</v>
      </c>
      <c r="O131" s="57" t="s">
        <v>23</v>
      </c>
      <c r="P131" s="57" t="s">
        <v>23</v>
      </c>
      <c r="Q131" s="57" t="s">
        <v>23</v>
      </c>
      <c r="R131" s="57" t="s">
        <v>23</v>
      </c>
    </row>
    <row r="132" spans="1:18">
      <c r="A132" s="99">
        <v>2007</v>
      </c>
      <c r="B132" s="77">
        <v>748</v>
      </c>
      <c r="C132" s="77" t="s">
        <v>23</v>
      </c>
      <c r="D132" s="77" t="s">
        <v>23</v>
      </c>
      <c r="E132" s="77" t="s">
        <v>23</v>
      </c>
      <c r="F132" s="77">
        <v>15173</v>
      </c>
      <c r="G132" s="77">
        <v>195</v>
      </c>
      <c r="H132" s="77" t="s">
        <v>23</v>
      </c>
      <c r="I132" s="77">
        <f t="shared" si="17"/>
        <v>16116</v>
      </c>
      <c r="J132" s="77"/>
      <c r="K132" s="77" t="s">
        <v>23</v>
      </c>
      <c r="L132" s="77" t="s">
        <v>23</v>
      </c>
      <c r="M132" s="77" t="s">
        <v>23</v>
      </c>
      <c r="N132" s="77" t="s">
        <v>23</v>
      </c>
      <c r="O132" s="77" t="s">
        <v>23</v>
      </c>
      <c r="P132" s="77" t="s">
        <v>23</v>
      </c>
      <c r="Q132" s="77" t="s">
        <v>23</v>
      </c>
      <c r="R132" s="77" t="s">
        <v>23</v>
      </c>
    </row>
    <row r="133" spans="1:18">
      <c r="A133" s="99">
        <v>2008</v>
      </c>
      <c r="B133" s="77" t="s">
        <v>23</v>
      </c>
      <c r="C133" s="77" t="s">
        <v>23</v>
      </c>
      <c r="D133" s="77" t="s">
        <v>23</v>
      </c>
      <c r="E133" s="77" t="s">
        <v>23</v>
      </c>
      <c r="F133" s="77" t="s">
        <v>23</v>
      </c>
      <c r="G133" s="77" t="s">
        <v>23</v>
      </c>
      <c r="H133" s="77" t="s">
        <v>23</v>
      </c>
      <c r="I133" s="77" t="s">
        <v>23</v>
      </c>
      <c r="J133" s="77"/>
      <c r="K133" s="77" t="s">
        <v>23</v>
      </c>
      <c r="L133" s="77" t="s">
        <v>23</v>
      </c>
      <c r="M133" s="77" t="s">
        <v>23</v>
      </c>
      <c r="N133" s="77" t="s">
        <v>23</v>
      </c>
      <c r="O133" s="77" t="s">
        <v>23</v>
      </c>
      <c r="P133" s="77" t="s">
        <v>23</v>
      </c>
      <c r="Q133" s="77" t="s">
        <v>23</v>
      </c>
      <c r="R133" s="77" t="s">
        <v>23</v>
      </c>
    </row>
    <row r="134" spans="1:18">
      <c r="A134" s="99">
        <v>2009</v>
      </c>
      <c r="B134" s="77" t="s">
        <v>23</v>
      </c>
      <c r="C134" s="77" t="s">
        <v>23</v>
      </c>
      <c r="D134" s="77" t="s">
        <v>23</v>
      </c>
      <c r="E134" s="77" t="s">
        <v>23</v>
      </c>
      <c r="F134" s="77" t="s">
        <v>23</v>
      </c>
      <c r="G134" s="77" t="s">
        <v>23</v>
      </c>
      <c r="H134" s="77" t="s">
        <v>23</v>
      </c>
      <c r="I134" s="77" t="s">
        <v>23</v>
      </c>
      <c r="J134" s="77"/>
      <c r="K134" s="77" t="s">
        <v>23</v>
      </c>
      <c r="L134" s="77" t="s">
        <v>23</v>
      </c>
      <c r="M134" s="77" t="s">
        <v>23</v>
      </c>
      <c r="N134" s="77" t="s">
        <v>23</v>
      </c>
      <c r="O134" s="77" t="s">
        <v>23</v>
      </c>
      <c r="P134" s="77" t="s">
        <v>23</v>
      </c>
      <c r="Q134" s="77" t="s">
        <v>23</v>
      </c>
      <c r="R134" s="77" t="s">
        <v>23</v>
      </c>
    </row>
    <row r="135" spans="1:18">
      <c r="A135" s="99">
        <v>2010</v>
      </c>
      <c r="B135" s="77" t="s">
        <v>23</v>
      </c>
      <c r="C135" s="77" t="s">
        <v>23</v>
      </c>
      <c r="D135" s="77" t="s">
        <v>23</v>
      </c>
      <c r="E135" s="77">
        <v>6371</v>
      </c>
      <c r="F135" s="77">
        <v>6182</v>
      </c>
      <c r="G135" s="77" t="s">
        <v>23</v>
      </c>
      <c r="H135" s="77" t="s">
        <v>23</v>
      </c>
      <c r="I135" s="77">
        <f t="shared" ref="I135:I146" si="18">SUM(B135:H135)</f>
        <v>12553</v>
      </c>
      <c r="J135" s="77"/>
      <c r="K135" s="77" t="s">
        <v>23</v>
      </c>
      <c r="L135" s="77" t="s">
        <v>23</v>
      </c>
      <c r="M135" s="77" t="s">
        <v>23</v>
      </c>
      <c r="N135" s="77" t="s">
        <v>23</v>
      </c>
      <c r="O135" s="77" t="s">
        <v>23</v>
      </c>
      <c r="P135" s="77" t="s">
        <v>23</v>
      </c>
      <c r="Q135" s="77" t="s">
        <v>23</v>
      </c>
      <c r="R135" s="77" t="s">
        <v>23</v>
      </c>
    </row>
    <row r="136" spans="1:18">
      <c r="A136" s="99">
        <v>2011</v>
      </c>
      <c r="B136" s="77" t="s">
        <v>23</v>
      </c>
      <c r="C136" s="77" t="s">
        <v>23</v>
      </c>
      <c r="D136" s="77" t="s">
        <v>23</v>
      </c>
      <c r="E136" s="77">
        <v>21085</v>
      </c>
      <c r="F136" s="77">
        <v>17766</v>
      </c>
      <c r="G136" s="77">
        <v>460</v>
      </c>
      <c r="H136" s="77" t="s">
        <v>23</v>
      </c>
      <c r="I136" s="77">
        <f t="shared" si="18"/>
        <v>39311</v>
      </c>
      <c r="J136" s="77"/>
      <c r="K136" s="77" t="s">
        <v>23</v>
      </c>
      <c r="L136" s="77" t="s">
        <v>23</v>
      </c>
      <c r="M136" s="77" t="s">
        <v>23</v>
      </c>
      <c r="N136" s="77" t="s">
        <v>23</v>
      </c>
      <c r="O136" s="77" t="s">
        <v>23</v>
      </c>
      <c r="P136" s="77" t="s">
        <v>23</v>
      </c>
      <c r="Q136" s="77" t="s">
        <v>23</v>
      </c>
      <c r="R136" s="77" t="s">
        <v>23</v>
      </c>
    </row>
    <row r="137" spans="1:18">
      <c r="A137" s="99">
        <v>2012</v>
      </c>
      <c r="B137" s="77" t="s">
        <v>23</v>
      </c>
      <c r="C137" s="77" t="s">
        <v>23</v>
      </c>
      <c r="D137" s="77" t="s">
        <v>23</v>
      </c>
      <c r="E137" s="77">
        <v>24324</v>
      </c>
      <c r="F137" s="77">
        <v>12304</v>
      </c>
      <c r="G137" s="77">
        <v>1654</v>
      </c>
      <c r="H137" s="77" t="s">
        <v>23</v>
      </c>
      <c r="I137" s="77">
        <f t="shared" si="18"/>
        <v>38282</v>
      </c>
      <c r="J137" s="77"/>
      <c r="K137" s="77" t="s">
        <v>23</v>
      </c>
      <c r="L137" s="77" t="s">
        <v>23</v>
      </c>
      <c r="M137" s="77" t="s">
        <v>23</v>
      </c>
      <c r="N137" s="77" t="s">
        <v>23</v>
      </c>
      <c r="O137" s="77" t="s">
        <v>23</v>
      </c>
      <c r="P137" s="77" t="s">
        <v>23</v>
      </c>
      <c r="Q137" s="77" t="s">
        <v>23</v>
      </c>
      <c r="R137" s="77" t="s">
        <v>23</v>
      </c>
    </row>
    <row r="138" spans="1:18">
      <c r="A138" s="99">
        <v>2013</v>
      </c>
      <c r="B138" s="77" t="s">
        <v>23</v>
      </c>
      <c r="C138" s="77">
        <v>4352</v>
      </c>
      <c r="D138" s="77">
        <v>23785</v>
      </c>
      <c r="E138" s="77">
        <v>68781</v>
      </c>
      <c r="F138" s="77">
        <v>14916</v>
      </c>
      <c r="G138" s="77">
        <v>4324</v>
      </c>
      <c r="H138" s="77" t="s">
        <v>23</v>
      </c>
      <c r="I138" s="77">
        <f t="shared" si="18"/>
        <v>116158</v>
      </c>
      <c r="J138" s="77"/>
      <c r="K138" s="77" t="s">
        <v>23</v>
      </c>
      <c r="L138" s="77" t="s">
        <v>23</v>
      </c>
      <c r="M138" s="77" t="s">
        <v>23</v>
      </c>
      <c r="N138" s="77" t="s">
        <v>23</v>
      </c>
      <c r="O138" s="77" t="s">
        <v>23</v>
      </c>
      <c r="P138" s="77" t="s">
        <v>23</v>
      </c>
      <c r="Q138" s="77" t="s">
        <v>23</v>
      </c>
      <c r="R138" s="77" t="s">
        <v>23</v>
      </c>
    </row>
    <row r="139" spans="1:18">
      <c r="A139" s="99">
        <v>2014</v>
      </c>
      <c r="B139" s="77" t="s">
        <v>23</v>
      </c>
      <c r="C139" s="77" t="s">
        <v>23</v>
      </c>
      <c r="D139" s="77">
        <v>23126</v>
      </c>
      <c r="E139" s="77">
        <v>45563</v>
      </c>
      <c r="F139" s="77">
        <v>7788</v>
      </c>
      <c r="G139" s="77">
        <v>454</v>
      </c>
      <c r="H139" s="77" t="s">
        <v>23</v>
      </c>
      <c r="I139" s="77">
        <f t="shared" si="18"/>
        <v>76931</v>
      </c>
      <c r="J139" s="77"/>
      <c r="K139" s="77" t="s">
        <v>23</v>
      </c>
      <c r="L139" s="77" t="s">
        <v>23</v>
      </c>
      <c r="M139" s="77" t="s">
        <v>23</v>
      </c>
      <c r="N139" s="77" t="s">
        <v>23</v>
      </c>
      <c r="O139" s="77" t="s">
        <v>23</v>
      </c>
      <c r="P139" s="77" t="s">
        <v>23</v>
      </c>
      <c r="Q139" s="77" t="s">
        <v>23</v>
      </c>
      <c r="R139" s="77" t="s">
        <v>23</v>
      </c>
    </row>
    <row r="140" spans="1:18">
      <c r="A140" s="99">
        <v>2015</v>
      </c>
      <c r="B140" s="77" t="s">
        <v>23</v>
      </c>
      <c r="C140" s="77">
        <v>38546</v>
      </c>
      <c r="D140" s="77">
        <v>11317</v>
      </c>
      <c r="E140" s="77">
        <v>5333</v>
      </c>
      <c r="F140" s="77">
        <v>3848</v>
      </c>
      <c r="G140" s="77">
        <v>1008</v>
      </c>
      <c r="H140" s="77" t="s">
        <v>23</v>
      </c>
      <c r="I140" s="77">
        <f>SUM(B140:H140)</f>
        <v>60052</v>
      </c>
      <c r="J140" s="77"/>
      <c r="K140" s="77" t="s">
        <v>23</v>
      </c>
      <c r="L140" s="77" t="s">
        <v>23</v>
      </c>
      <c r="M140" s="77" t="s">
        <v>23</v>
      </c>
      <c r="N140" s="77" t="s">
        <v>23</v>
      </c>
      <c r="O140" s="77" t="s">
        <v>23</v>
      </c>
      <c r="P140" s="77" t="s">
        <v>23</v>
      </c>
      <c r="Q140" s="77" t="s">
        <v>23</v>
      </c>
      <c r="R140" s="77" t="s">
        <v>23</v>
      </c>
    </row>
    <row r="141" spans="1:18">
      <c r="A141" s="99">
        <v>2016</v>
      </c>
      <c r="B141" s="77" t="s">
        <v>23</v>
      </c>
      <c r="C141" s="77" t="s">
        <v>23</v>
      </c>
      <c r="D141" s="77">
        <v>9956</v>
      </c>
      <c r="E141" s="77" t="s">
        <v>23</v>
      </c>
      <c r="F141" s="77">
        <v>4515</v>
      </c>
      <c r="G141" s="77">
        <v>909</v>
      </c>
      <c r="H141" s="77" t="s">
        <v>23</v>
      </c>
      <c r="I141" s="77">
        <f>SUM(B141:H141)</f>
        <v>15380</v>
      </c>
      <c r="J141" s="77"/>
      <c r="K141" s="77" t="s">
        <v>23</v>
      </c>
      <c r="L141" s="77" t="s">
        <v>23</v>
      </c>
      <c r="M141" s="77" t="s">
        <v>23</v>
      </c>
      <c r="N141" s="77" t="s">
        <v>23</v>
      </c>
      <c r="O141" s="77" t="s">
        <v>23</v>
      </c>
      <c r="P141" s="77" t="s">
        <v>23</v>
      </c>
      <c r="Q141" s="77" t="s">
        <v>23</v>
      </c>
      <c r="R141" s="77" t="s">
        <v>23</v>
      </c>
    </row>
    <row r="142" spans="1:18">
      <c r="A142" s="99">
        <v>2017</v>
      </c>
      <c r="B142" s="77" t="s">
        <v>23</v>
      </c>
      <c r="C142" s="77" t="s">
        <v>23</v>
      </c>
      <c r="D142" s="77" t="s">
        <v>23</v>
      </c>
      <c r="E142" s="77" t="s">
        <v>23</v>
      </c>
      <c r="F142" s="77" t="s">
        <v>23</v>
      </c>
      <c r="G142" s="77">
        <v>1935</v>
      </c>
      <c r="H142" s="77" t="s">
        <v>23</v>
      </c>
      <c r="I142" s="77">
        <f>SUM(B142:H142)</f>
        <v>1935</v>
      </c>
      <c r="J142" s="77"/>
      <c r="K142" s="77" t="s">
        <v>23</v>
      </c>
      <c r="L142" s="77" t="s">
        <v>23</v>
      </c>
      <c r="M142" s="77" t="s">
        <v>23</v>
      </c>
      <c r="N142" s="77" t="s">
        <v>23</v>
      </c>
      <c r="O142" s="77" t="s">
        <v>23</v>
      </c>
      <c r="P142" s="77" t="s">
        <v>23</v>
      </c>
      <c r="Q142" s="77" t="s">
        <v>23</v>
      </c>
      <c r="R142" s="77" t="s">
        <v>23</v>
      </c>
    </row>
    <row r="143" spans="1:18">
      <c r="A143" s="99">
        <v>2018</v>
      </c>
      <c r="B143" s="77" t="s">
        <v>23</v>
      </c>
      <c r="C143" s="77" t="s">
        <v>23</v>
      </c>
      <c r="D143" s="77" t="s">
        <v>23</v>
      </c>
      <c r="E143" s="77">
        <v>6081</v>
      </c>
      <c r="F143" s="77">
        <v>4137</v>
      </c>
      <c r="G143" s="77">
        <v>333</v>
      </c>
      <c r="H143" s="77" t="s">
        <v>23</v>
      </c>
      <c r="I143" s="77">
        <f>SUM(B143:H143)</f>
        <v>10551</v>
      </c>
      <c r="J143" s="77"/>
      <c r="K143" s="77" t="s">
        <v>23</v>
      </c>
      <c r="L143" s="77" t="s">
        <v>23</v>
      </c>
      <c r="M143" s="77" t="s">
        <v>23</v>
      </c>
      <c r="N143" s="77" t="s">
        <v>23</v>
      </c>
      <c r="O143" s="77" t="s">
        <v>23</v>
      </c>
      <c r="P143" s="77" t="s">
        <v>23</v>
      </c>
      <c r="Q143" s="77" t="s">
        <v>23</v>
      </c>
      <c r="R143" s="77" t="s">
        <v>23</v>
      </c>
    </row>
    <row r="144" spans="1:18">
      <c r="A144" s="239">
        <v>2019</v>
      </c>
      <c r="B144" s="77" t="s">
        <v>23</v>
      </c>
      <c r="C144" s="77" t="s">
        <v>23</v>
      </c>
      <c r="D144" s="77">
        <v>3581</v>
      </c>
      <c r="E144" s="77">
        <v>2894</v>
      </c>
      <c r="F144" s="77">
        <v>2806</v>
      </c>
      <c r="G144" s="77" t="s">
        <v>23</v>
      </c>
      <c r="H144" s="77" t="s">
        <v>23</v>
      </c>
      <c r="I144" s="77">
        <f t="shared" ref="I144:I145" si="19">SUM(B144:H144)</f>
        <v>9281</v>
      </c>
      <c r="J144" s="77"/>
      <c r="K144" s="77" t="s">
        <v>23</v>
      </c>
      <c r="L144" s="77" t="s">
        <v>23</v>
      </c>
      <c r="M144" s="77" t="s">
        <v>23</v>
      </c>
      <c r="N144" s="77" t="s">
        <v>23</v>
      </c>
      <c r="O144" s="77" t="s">
        <v>23</v>
      </c>
      <c r="P144" s="77" t="s">
        <v>23</v>
      </c>
      <c r="Q144" s="77" t="s">
        <v>23</v>
      </c>
      <c r="R144" s="77" t="s">
        <v>23</v>
      </c>
    </row>
    <row r="145" spans="1:18">
      <c r="A145" s="239">
        <v>2020</v>
      </c>
      <c r="B145" s="77" t="s">
        <v>23</v>
      </c>
      <c r="C145" s="77" t="s">
        <v>23</v>
      </c>
      <c r="D145" s="77" t="s">
        <v>23</v>
      </c>
      <c r="E145" s="77" t="s">
        <v>23</v>
      </c>
      <c r="F145" s="77">
        <v>1617</v>
      </c>
      <c r="G145" s="77">
        <v>232</v>
      </c>
      <c r="H145" s="77" t="s">
        <v>23</v>
      </c>
      <c r="I145" s="77">
        <f t="shared" si="19"/>
        <v>1849</v>
      </c>
      <c r="J145" s="77"/>
      <c r="K145" s="77" t="s">
        <v>23</v>
      </c>
      <c r="L145" s="77" t="s">
        <v>23</v>
      </c>
      <c r="M145" s="77" t="s">
        <v>23</v>
      </c>
      <c r="N145" s="77" t="s">
        <v>23</v>
      </c>
      <c r="O145" s="77" t="s">
        <v>23</v>
      </c>
      <c r="P145" s="77" t="s">
        <v>23</v>
      </c>
      <c r="Q145" s="77" t="s">
        <v>23</v>
      </c>
      <c r="R145" s="77" t="s">
        <v>23</v>
      </c>
    </row>
    <row r="146" spans="1:18" ht="13">
      <c r="A146" s="239" t="s">
        <v>314</v>
      </c>
      <c r="B146" s="57" t="s">
        <v>23</v>
      </c>
      <c r="C146" s="57" t="s">
        <v>23</v>
      </c>
      <c r="D146" s="57" t="s">
        <v>23</v>
      </c>
      <c r="E146" s="57" t="s">
        <v>23</v>
      </c>
      <c r="F146" s="57">
        <v>41814</v>
      </c>
      <c r="G146" s="57">
        <v>1908</v>
      </c>
      <c r="H146" s="57" t="s">
        <v>23</v>
      </c>
      <c r="I146" s="77">
        <f t="shared" si="18"/>
        <v>43722</v>
      </c>
      <c r="J146" s="57"/>
      <c r="K146" s="57" t="s">
        <v>23</v>
      </c>
      <c r="L146" s="57" t="s">
        <v>23</v>
      </c>
      <c r="M146" s="57" t="s">
        <v>23</v>
      </c>
      <c r="N146" s="57" t="s">
        <v>23</v>
      </c>
      <c r="O146" s="57" t="s">
        <v>23</v>
      </c>
      <c r="P146" s="57" t="s">
        <v>23</v>
      </c>
      <c r="Q146" s="57" t="s">
        <v>23</v>
      </c>
      <c r="R146" s="57" t="s">
        <v>23</v>
      </c>
    </row>
    <row r="147" spans="1:18">
      <c r="B147" s="57"/>
      <c r="C147" s="57"/>
      <c r="D147" s="57"/>
      <c r="E147" s="57"/>
      <c r="F147" s="57"/>
      <c r="G147" s="57"/>
      <c r="H147" s="57"/>
      <c r="I147" s="57"/>
      <c r="J147" s="57"/>
      <c r="K147" s="57"/>
      <c r="L147" s="57"/>
      <c r="M147" s="57"/>
      <c r="N147" s="57"/>
      <c r="O147" s="57"/>
      <c r="P147" s="57"/>
      <c r="Q147" s="57"/>
      <c r="R147" s="57"/>
    </row>
    <row r="148" spans="1:18">
      <c r="A148" s="94" t="s">
        <v>19</v>
      </c>
      <c r="B148" s="57"/>
      <c r="C148" s="57"/>
      <c r="D148" s="57"/>
      <c r="E148" s="57"/>
      <c r="F148" s="57"/>
      <c r="G148" s="57"/>
      <c r="H148" s="57"/>
      <c r="I148" s="57"/>
      <c r="J148" s="57"/>
      <c r="K148" s="57"/>
      <c r="L148" s="57"/>
      <c r="M148" s="57"/>
      <c r="N148" s="57"/>
      <c r="O148" s="57"/>
      <c r="P148" s="57"/>
      <c r="Q148" s="57"/>
      <c r="R148" s="57"/>
    </row>
    <row r="149" spans="1:18">
      <c r="A149" s="99">
        <v>1976</v>
      </c>
      <c r="B149" s="57">
        <v>28918</v>
      </c>
      <c r="C149" s="57">
        <v>42226</v>
      </c>
      <c r="D149" s="57">
        <v>31434</v>
      </c>
      <c r="E149" s="57">
        <v>17022</v>
      </c>
      <c r="F149" s="57">
        <v>8195</v>
      </c>
      <c r="G149" s="57">
        <v>10436</v>
      </c>
      <c r="H149" s="57" t="s">
        <v>23</v>
      </c>
      <c r="I149" s="57">
        <f t="shared" ref="I149:I180" si="20">SUM(B149:H149)</f>
        <v>138231</v>
      </c>
      <c r="J149" s="57"/>
      <c r="K149" s="57" t="s">
        <v>23</v>
      </c>
      <c r="L149" s="57">
        <v>24802</v>
      </c>
      <c r="M149" s="57">
        <v>44596</v>
      </c>
      <c r="N149" s="57">
        <v>9727</v>
      </c>
      <c r="O149" s="57">
        <v>2980</v>
      </c>
      <c r="P149" s="57">
        <v>1141</v>
      </c>
      <c r="Q149" s="57" t="s">
        <v>23</v>
      </c>
      <c r="R149" s="57">
        <f t="shared" ref="R149:R165" si="21">SUM(K149:Q149)</f>
        <v>83246</v>
      </c>
    </row>
    <row r="150" spans="1:18">
      <c r="A150" s="99">
        <v>1977</v>
      </c>
      <c r="B150" s="57">
        <v>41645</v>
      </c>
      <c r="C150" s="57">
        <v>47678</v>
      </c>
      <c r="D150" s="57">
        <v>28007</v>
      </c>
      <c r="E150" s="57">
        <v>45951</v>
      </c>
      <c r="F150" s="57">
        <v>13501</v>
      </c>
      <c r="G150" s="57">
        <v>8382</v>
      </c>
      <c r="H150" s="57" t="s">
        <v>23</v>
      </c>
      <c r="I150" s="57">
        <f t="shared" si="20"/>
        <v>185164</v>
      </c>
      <c r="J150" s="57"/>
      <c r="K150" s="57" t="s">
        <v>23</v>
      </c>
      <c r="L150" s="57">
        <v>75</v>
      </c>
      <c r="M150" s="57">
        <v>334</v>
      </c>
      <c r="N150" s="57">
        <v>347</v>
      </c>
      <c r="O150" s="57">
        <v>49</v>
      </c>
      <c r="P150" s="57">
        <v>37</v>
      </c>
      <c r="Q150" s="57" t="s">
        <v>23</v>
      </c>
      <c r="R150" s="57">
        <f t="shared" si="21"/>
        <v>842</v>
      </c>
    </row>
    <row r="151" spans="1:18">
      <c r="A151" s="99">
        <v>1978</v>
      </c>
      <c r="B151" s="57">
        <v>10219</v>
      </c>
      <c r="C151" s="57">
        <v>50900</v>
      </c>
      <c r="D151" s="57">
        <v>46294</v>
      </c>
      <c r="E151" s="57">
        <v>31019</v>
      </c>
      <c r="F151" s="57">
        <v>11493</v>
      </c>
      <c r="G151" s="57">
        <v>8233</v>
      </c>
      <c r="H151" s="57" t="s">
        <v>23</v>
      </c>
      <c r="I151" s="57">
        <f t="shared" si="20"/>
        <v>158158</v>
      </c>
      <c r="J151" s="57"/>
      <c r="K151" s="57">
        <v>6</v>
      </c>
      <c r="L151" s="57">
        <v>850</v>
      </c>
      <c r="M151" s="57">
        <v>3898</v>
      </c>
      <c r="N151" s="57">
        <v>1732</v>
      </c>
      <c r="O151" s="57">
        <v>212</v>
      </c>
      <c r="P151" s="57">
        <v>72</v>
      </c>
      <c r="Q151" s="57" t="s">
        <v>23</v>
      </c>
      <c r="R151" s="57">
        <f t="shared" si="21"/>
        <v>6770</v>
      </c>
    </row>
    <row r="152" spans="1:18">
      <c r="A152" s="99">
        <v>1979</v>
      </c>
      <c r="B152" s="57">
        <v>36</v>
      </c>
      <c r="C152" s="57">
        <v>52402</v>
      </c>
      <c r="D152" s="57">
        <v>42723</v>
      </c>
      <c r="E152" s="57">
        <v>57344</v>
      </c>
      <c r="F152" s="57">
        <v>15096</v>
      </c>
      <c r="G152" s="57">
        <v>12486</v>
      </c>
      <c r="H152" s="57" t="s">
        <v>23</v>
      </c>
      <c r="I152" s="57">
        <f t="shared" si="20"/>
        <v>180087</v>
      </c>
      <c r="J152" s="57"/>
      <c r="K152" s="57">
        <v>9</v>
      </c>
      <c r="L152" s="57">
        <v>315</v>
      </c>
      <c r="M152" s="57">
        <v>3634</v>
      </c>
      <c r="N152" s="57">
        <v>4616</v>
      </c>
      <c r="O152" s="57">
        <v>2289</v>
      </c>
      <c r="P152" s="57">
        <v>221</v>
      </c>
      <c r="Q152" s="57" t="s">
        <v>23</v>
      </c>
      <c r="R152" s="57">
        <f t="shared" si="21"/>
        <v>11084</v>
      </c>
    </row>
    <row r="153" spans="1:18">
      <c r="A153" s="99">
        <v>1980</v>
      </c>
      <c r="B153" s="57" t="s">
        <v>23</v>
      </c>
      <c r="C153" s="57">
        <v>75287</v>
      </c>
      <c r="D153" s="57" t="s">
        <v>23</v>
      </c>
      <c r="E153" s="57">
        <v>115499</v>
      </c>
      <c r="F153" s="57">
        <v>12343</v>
      </c>
      <c r="G153" s="57">
        <v>8649</v>
      </c>
      <c r="H153" s="57" t="s">
        <v>23</v>
      </c>
      <c r="I153" s="57">
        <f t="shared" si="20"/>
        <v>211778</v>
      </c>
      <c r="J153" s="57"/>
      <c r="K153" s="57" t="s">
        <v>23</v>
      </c>
      <c r="L153" s="57">
        <v>153</v>
      </c>
      <c r="M153" s="57" t="s">
        <v>23</v>
      </c>
      <c r="N153" s="57">
        <v>1509</v>
      </c>
      <c r="O153" s="57">
        <v>179</v>
      </c>
      <c r="P153" s="57">
        <v>105</v>
      </c>
      <c r="Q153" s="57" t="s">
        <v>23</v>
      </c>
      <c r="R153" s="57">
        <f t="shared" si="21"/>
        <v>1946</v>
      </c>
    </row>
    <row r="154" spans="1:18">
      <c r="A154" s="99">
        <v>1981</v>
      </c>
      <c r="B154" s="57" t="s">
        <v>23</v>
      </c>
      <c r="C154" s="57">
        <v>49499</v>
      </c>
      <c r="D154" s="57">
        <v>15908</v>
      </c>
      <c r="E154" s="57">
        <v>96108</v>
      </c>
      <c r="F154" s="57">
        <v>26918</v>
      </c>
      <c r="G154" s="57">
        <v>11477</v>
      </c>
      <c r="H154" s="57" t="s">
        <v>23</v>
      </c>
      <c r="I154" s="57">
        <f t="shared" si="20"/>
        <v>199910</v>
      </c>
      <c r="J154" s="57"/>
      <c r="K154" s="57" t="s">
        <v>23</v>
      </c>
      <c r="L154" s="57">
        <v>181</v>
      </c>
      <c r="M154" s="57">
        <v>133</v>
      </c>
      <c r="N154" s="57">
        <v>793</v>
      </c>
      <c r="O154" s="57">
        <v>470</v>
      </c>
      <c r="P154" s="57">
        <v>47</v>
      </c>
      <c r="Q154" s="57" t="s">
        <v>23</v>
      </c>
      <c r="R154" s="57">
        <f t="shared" si="21"/>
        <v>1624</v>
      </c>
    </row>
    <row r="155" spans="1:18">
      <c r="A155" s="99">
        <v>1982</v>
      </c>
      <c r="B155" s="57">
        <f>22944+7701</f>
        <v>30645</v>
      </c>
      <c r="C155" s="57">
        <v>86013</v>
      </c>
      <c r="D155" s="57">
        <v>27919</v>
      </c>
      <c r="E155" s="57">
        <v>74276</v>
      </c>
      <c r="F155" s="57">
        <v>58215</v>
      </c>
      <c r="G155" s="57">
        <v>12394</v>
      </c>
      <c r="H155" s="57" t="s">
        <v>23</v>
      </c>
      <c r="I155" s="57">
        <f t="shared" si="20"/>
        <v>289462</v>
      </c>
      <c r="J155" s="57"/>
      <c r="K155" s="57">
        <v>11</v>
      </c>
      <c r="L155" s="57">
        <v>876</v>
      </c>
      <c r="M155" s="57">
        <v>2152</v>
      </c>
      <c r="N155" s="57">
        <v>3949</v>
      </c>
      <c r="O155" s="57">
        <v>1380</v>
      </c>
      <c r="P155" s="57">
        <v>203</v>
      </c>
      <c r="Q155" s="57" t="s">
        <v>23</v>
      </c>
      <c r="R155" s="57">
        <f t="shared" si="21"/>
        <v>8571</v>
      </c>
    </row>
    <row r="156" spans="1:18">
      <c r="A156" s="99">
        <v>1983</v>
      </c>
      <c r="B156" s="57">
        <v>763</v>
      </c>
      <c r="C156" s="57">
        <v>30087</v>
      </c>
      <c r="D156" s="57">
        <v>5394</v>
      </c>
      <c r="E156" s="57">
        <v>25274</v>
      </c>
      <c r="F156" s="57">
        <v>10025</v>
      </c>
      <c r="G156" s="57">
        <v>3476</v>
      </c>
      <c r="H156" s="57" t="s">
        <v>23</v>
      </c>
      <c r="I156" s="57">
        <f t="shared" si="20"/>
        <v>75019</v>
      </c>
      <c r="J156" s="57"/>
      <c r="K156" s="57">
        <v>5</v>
      </c>
      <c r="L156" s="57">
        <v>183</v>
      </c>
      <c r="M156" s="57">
        <v>397</v>
      </c>
      <c r="N156" s="57">
        <v>1935</v>
      </c>
      <c r="O156" s="57">
        <v>327</v>
      </c>
      <c r="P156" s="57">
        <v>75</v>
      </c>
      <c r="Q156" s="57" t="s">
        <v>23</v>
      </c>
      <c r="R156" s="57">
        <f t="shared" si="21"/>
        <v>2922</v>
      </c>
    </row>
    <row r="157" spans="1:18">
      <c r="A157" s="99">
        <v>1984</v>
      </c>
      <c r="B157" s="57" t="s">
        <v>23</v>
      </c>
      <c r="C157" s="57">
        <v>2642</v>
      </c>
      <c r="D157" s="57">
        <v>26439</v>
      </c>
      <c r="E157" s="57">
        <v>71452</v>
      </c>
      <c r="F157" s="57">
        <v>58590</v>
      </c>
      <c r="G157" s="57">
        <v>8545</v>
      </c>
      <c r="H157" s="57" t="s">
        <v>23</v>
      </c>
      <c r="I157" s="57">
        <f t="shared" si="20"/>
        <v>167668</v>
      </c>
      <c r="J157" s="57"/>
      <c r="K157" s="57" t="s">
        <v>23</v>
      </c>
      <c r="L157" s="57" t="s">
        <v>23</v>
      </c>
      <c r="M157" s="57">
        <v>7450</v>
      </c>
      <c r="N157" s="57">
        <v>16690</v>
      </c>
      <c r="O157" s="57">
        <v>231</v>
      </c>
      <c r="P157" s="57">
        <v>19</v>
      </c>
      <c r="Q157" s="57" t="s">
        <v>23</v>
      </c>
      <c r="R157" s="57">
        <f t="shared" si="21"/>
        <v>24390</v>
      </c>
    </row>
    <row r="158" spans="1:18">
      <c r="A158" s="99">
        <v>1985</v>
      </c>
      <c r="B158" s="57" t="s">
        <v>23</v>
      </c>
      <c r="C158" s="57">
        <v>54983</v>
      </c>
      <c r="D158" s="57">
        <v>50384</v>
      </c>
      <c r="E158" s="57">
        <v>35644</v>
      </c>
      <c r="F158" s="57">
        <v>22455</v>
      </c>
      <c r="G158" s="57">
        <v>12215</v>
      </c>
      <c r="H158" s="57" t="s">
        <v>23</v>
      </c>
      <c r="I158" s="57">
        <f t="shared" si="20"/>
        <v>175681</v>
      </c>
      <c r="J158" s="57"/>
      <c r="K158" s="57" t="s">
        <v>23</v>
      </c>
      <c r="L158" s="57">
        <v>6</v>
      </c>
      <c r="M158" s="57">
        <v>739</v>
      </c>
      <c r="N158" s="57">
        <v>317</v>
      </c>
      <c r="O158" s="57">
        <v>65</v>
      </c>
      <c r="P158" s="57">
        <v>7</v>
      </c>
      <c r="Q158" s="57" t="s">
        <v>23</v>
      </c>
      <c r="R158" s="57">
        <f t="shared" si="21"/>
        <v>1134</v>
      </c>
    </row>
    <row r="159" spans="1:18">
      <c r="A159" s="99">
        <v>1986</v>
      </c>
      <c r="B159" s="57" t="s">
        <v>23</v>
      </c>
      <c r="C159" s="57">
        <v>72877</v>
      </c>
      <c r="D159" s="57">
        <v>119597</v>
      </c>
      <c r="E159" s="57">
        <v>79771</v>
      </c>
      <c r="F159" s="57">
        <v>26983</v>
      </c>
      <c r="G159" s="57">
        <v>3074</v>
      </c>
      <c r="H159" s="57" t="s">
        <v>23</v>
      </c>
      <c r="I159" s="57">
        <f t="shared" si="20"/>
        <v>302302</v>
      </c>
      <c r="J159" s="57"/>
      <c r="K159" s="57" t="s">
        <v>23</v>
      </c>
      <c r="L159" s="57" t="s">
        <v>23</v>
      </c>
      <c r="M159" s="57">
        <v>1729</v>
      </c>
      <c r="N159" s="57">
        <v>3164</v>
      </c>
      <c r="O159" s="57">
        <v>138</v>
      </c>
      <c r="P159" s="57">
        <v>72</v>
      </c>
      <c r="Q159" s="57" t="s">
        <v>23</v>
      </c>
      <c r="R159" s="57">
        <f t="shared" si="21"/>
        <v>5103</v>
      </c>
    </row>
    <row r="160" spans="1:18">
      <c r="A160" s="99">
        <v>1987</v>
      </c>
      <c r="B160" s="57" t="s">
        <v>23</v>
      </c>
      <c r="C160" s="57">
        <v>157648</v>
      </c>
      <c r="D160" s="57">
        <v>110099</v>
      </c>
      <c r="E160" s="57">
        <v>49824</v>
      </c>
      <c r="F160" s="57">
        <v>28544</v>
      </c>
      <c r="G160" s="57">
        <v>9500</v>
      </c>
      <c r="H160" s="57" t="s">
        <v>23</v>
      </c>
      <c r="I160" s="57">
        <f t="shared" si="20"/>
        <v>355615</v>
      </c>
      <c r="J160" s="57"/>
      <c r="K160" s="57" t="s">
        <v>23</v>
      </c>
      <c r="L160" s="57" t="s">
        <v>23</v>
      </c>
      <c r="M160" s="57">
        <v>700</v>
      </c>
      <c r="N160" s="57">
        <v>465</v>
      </c>
      <c r="O160" s="57" t="s">
        <v>23</v>
      </c>
      <c r="P160" s="57" t="s">
        <v>23</v>
      </c>
      <c r="Q160" s="57" t="s">
        <v>23</v>
      </c>
      <c r="R160" s="57">
        <f t="shared" si="21"/>
        <v>1165</v>
      </c>
    </row>
    <row r="161" spans="1:18">
      <c r="A161" s="99">
        <v>1988</v>
      </c>
      <c r="B161" s="57" t="s">
        <v>23</v>
      </c>
      <c r="C161" s="57">
        <v>220664</v>
      </c>
      <c r="D161" s="57">
        <v>173728</v>
      </c>
      <c r="E161" s="57">
        <v>175382</v>
      </c>
      <c r="F161" s="57">
        <v>47103</v>
      </c>
      <c r="G161" s="57">
        <v>25816</v>
      </c>
      <c r="H161" s="57" t="s">
        <v>23</v>
      </c>
      <c r="I161" s="57">
        <f t="shared" si="20"/>
        <v>642693</v>
      </c>
      <c r="J161" s="57"/>
      <c r="K161" s="57" t="s">
        <v>23</v>
      </c>
      <c r="L161" s="57" t="s">
        <v>23</v>
      </c>
      <c r="M161" s="57">
        <v>2772</v>
      </c>
      <c r="N161" s="57">
        <v>3446</v>
      </c>
      <c r="O161" s="57">
        <v>480</v>
      </c>
      <c r="P161" s="57">
        <v>35</v>
      </c>
      <c r="Q161" s="57" t="s">
        <v>23</v>
      </c>
      <c r="R161" s="57">
        <f t="shared" si="21"/>
        <v>6733</v>
      </c>
    </row>
    <row r="162" spans="1:18">
      <c r="A162" s="99">
        <v>1989</v>
      </c>
      <c r="B162" s="57" t="s">
        <v>23</v>
      </c>
      <c r="C162" s="57">
        <v>121304</v>
      </c>
      <c r="D162" s="57">
        <v>77751</v>
      </c>
      <c r="E162" s="57">
        <v>25550</v>
      </c>
      <c r="F162" s="57">
        <v>20889</v>
      </c>
      <c r="G162" s="57">
        <v>10323</v>
      </c>
      <c r="H162" s="57" t="s">
        <v>23</v>
      </c>
      <c r="I162" s="57">
        <f t="shared" si="20"/>
        <v>255817</v>
      </c>
      <c r="J162" s="57"/>
      <c r="K162" s="57" t="s">
        <v>23</v>
      </c>
      <c r="L162" s="57" t="s">
        <v>23</v>
      </c>
      <c r="M162" s="57">
        <v>3635</v>
      </c>
      <c r="N162" s="57">
        <v>2101</v>
      </c>
      <c r="O162" s="57">
        <v>588</v>
      </c>
      <c r="P162" s="57">
        <v>126</v>
      </c>
      <c r="Q162" s="57" t="s">
        <v>23</v>
      </c>
      <c r="R162" s="57">
        <f t="shared" si="21"/>
        <v>6450</v>
      </c>
    </row>
    <row r="163" spans="1:18">
      <c r="A163" s="99">
        <v>1990</v>
      </c>
      <c r="B163" s="57" t="s">
        <v>23</v>
      </c>
      <c r="C163" s="57">
        <v>84317</v>
      </c>
      <c r="D163" s="57">
        <v>78515</v>
      </c>
      <c r="E163" s="57">
        <v>25545</v>
      </c>
      <c r="F163" s="57">
        <v>9233</v>
      </c>
      <c r="G163" s="57">
        <v>1537</v>
      </c>
      <c r="H163" s="57" t="s">
        <v>23</v>
      </c>
      <c r="I163" s="57">
        <f t="shared" si="20"/>
        <v>199147</v>
      </c>
      <c r="J163" s="57"/>
      <c r="K163" s="57" t="s">
        <v>23</v>
      </c>
      <c r="L163" s="57" t="s">
        <v>23</v>
      </c>
      <c r="M163" s="57">
        <v>18040</v>
      </c>
      <c r="N163" s="57">
        <v>7225</v>
      </c>
      <c r="O163" s="57">
        <v>2072</v>
      </c>
      <c r="P163" s="57">
        <v>96</v>
      </c>
      <c r="Q163" s="57" t="s">
        <v>23</v>
      </c>
      <c r="R163" s="57">
        <f t="shared" si="21"/>
        <v>27433</v>
      </c>
    </row>
    <row r="164" spans="1:18">
      <c r="A164" s="99">
        <v>1991</v>
      </c>
      <c r="B164" s="57" t="s">
        <v>23</v>
      </c>
      <c r="C164" s="57">
        <v>58300</v>
      </c>
      <c r="D164" s="57">
        <v>52200</v>
      </c>
      <c r="E164" s="57">
        <v>30500</v>
      </c>
      <c r="F164" s="57">
        <v>28300</v>
      </c>
      <c r="G164" s="57">
        <v>5500</v>
      </c>
      <c r="H164" s="57" t="s">
        <v>23</v>
      </c>
      <c r="I164" s="57">
        <f t="shared" si="20"/>
        <v>174800</v>
      </c>
      <c r="J164" s="57"/>
      <c r="K164" s="57" t="s">
        <v>23</v>
      </c>
      <c r="L164" s="57" t="s">
        <v>23</v>
      </c>
      <c r="M164" s="57">
        <v>33100</v>
      </c>
      <c r="N164" s="57">
        <v>19700</v>
      </c>
      <c r="O164" s="57">
        <v>600</v>
      </c>
      <c r="P164" s="57" t="s">
        <v>23</v>
      </c>
      <c r="Q164" s="57" t="s">
        <v>23</v>
      </c>
      <c r="R164" s="57">
        <f t="shared" si="21"/>
        <v>53400</v>
      </c>
    </row>
    <row r="165" spans="1:18">
      <c r="A165" s="99">
        <v>1992</v>
      </c>
      <c r="B165" s="57" t="s">
        <v>23</v>
      </c>
      <c r="C165" s="57">
        <v>16800</v>
      </c>
      <c r="D165" s="57">
        <v>4500</v>
      </c>
      <c r="E165" s="57">
        <v>10300</v>
      </c>
      <c r="F165" s="57">
        <v>37700</v>
      </c>
      <c r="G165" s="57">
        <v>26500</v>
      </c>
      <c r="H165" s="57" t="s">
        <v>23</v>
      </c>
      <c r="I165" s="57">
        <f t="shared" si="20"/>
        <v>95800</v>
      </c>
      <c r="J165" s="57"/>
      <c r="K165" s="57" t="s">
        <v>23</v>
      </c>
      <c r="L165" s="57" t="s">
        <v>23</v>
      </c>
      <c r="M165" s="57" t="s">
        <v>23</v>
      </c>
      <c r="N165" s="57" t="s">
        <v>23</v>
      </c>
      <c r="O165" s="57">
        <v>400</v>
      </c>
      <c r="P165" s="57" t="s">
        <v>23</v>
      </c>
      <c r="Q165" s="57" t="s">
        <v>23</v>
      </c>
      <c r="R165" s="57">
        <f t="shared" si="21"/>
        <v>400</v>
      </c>
    </row>
    <row r="166" spans="1:18">
      <c r="A166" s="99">
        <v>1993</v>
      </c>
      <c r="B166" s="57" t="s">
        <v>23</v>
      </c>
      <c r="C166" s="57">
        <v>60823</v>
      </c>
      <c r="D166" s="57">
        <v>14827</v>
      </c>
      <c r="E166" s="57">
        <v>35500</v>
      </c>
      <c r="F166" s="57">
        <v>40253</v>
      </c>
      <c r="G166" s="57">
        <v>3596</v>
      </c>
      <c r="H166" s="57" t="s">
        <v>23</v>
      </c>
      <c r="I166" s="57">
        <f t="shared" si="20"/>
        <v>154999</v>
      </c>
      <c r="J166" s="57"/>
      <c r="K166" s="57" t="s">
        <v>23</v>
      </c>
      <c r="L166" s="57" t="s">
        <v>23</v>
      </c>
      <c r="M166" s="57" t="s">
        <v>23</v>
      </c>
      <c r="N166" s="57" t="s">
        <v>23</v>
      </c>
      <c r="O166" s="57" t="s">
        <v>23</v>
      </c>
      <c r="P166" s="57" t="s">
        <v>23</v>
      </c>
      <c r="Q166" s="57" t="s">
        <v>23</v>
      </c>
      <c r="R166" s="57" t="s">
        <v>23</v>
      </c>
    </row>
    <row r="167" spans="1:18">
      <c r="A167" s="99">
        <v>1994</v>
      </c>
      <c r="B167" s="57" t="s">
        <v>23</v>
      </c>
      <c r="C167" s="57">
        <v>54498</v>
      </c>
      <c r="D167" s="57">
        <v>69505</v>
      </c>
      <c r="E167" s="57">
        <v>56963</v>
      </c>
      <c r="F167" s="57">
        <v>26272</v>
      </c>
      <c r="G167" s="57">
        <v>12618</v>
      </c>
      <c r="H167" s="57" t="s">
        <v>23</v>
      </c>
      <c r="I167" s="57">
        <f t="shared" si="20"/>
        <v>219856</v>
      </c>
      <c r="J167" s="57"/>
      <c r="K167" s="57" t="s">
        <v>23</v>
      </c>
      <c r="L167" s="57" t="s">
        <v>23</v>
      </c>
      <c r="M167" s="57" t="s">
        <v>23</v>
      </c>
      <c r="N167" s="57" t="s">
        <v>23</v>
      </c>
      <c r="O167" s="57" t="s">
        <v>23</v>
      </c>
      <c r="P167" s="57" t="s">
        <v>23</v>
      </c>
      <c r="Q167" s="57" t="s">
        <v>23</v>
      </c>
      <c r="R167" s="57" t="s">
        <v>23</v>
      </c>
    </row>
    <row r="168" spans="1:18">
      <c r="A168" s="99">
        <v>1995</v>
      </c>
      <c r="B168" s="57" t="s">
        <v>23</v>
      </c>
      <c r="C168" s="57">
        <v>157026</v>
      </c>
      <c r="D168" s="57">
        <v>78024</v>
      </c>
      <c r="E168" s="57">
        <v>84257</v>
      </c>
      <c r="F168" s="57">
        <v>17030</v>
      </c>
      <c r="G168" s="57">
        <v>21149</v>
      </c>
      <c r="H168" s="57" t="s">
        <v>23</v>
      </c>
      <c r="I168" s="57">
        <f t="shared" si="20"/>
        <v>357486</v>
      </c>
      <c r="J168" s="57"/>
      <c r="K168" s="57" t="s">
        <v>23</v>
      </c>
      <c r="L168" s="57" t="s">
        <v>23</v>
      </c>
      <c r="M168" s="57" t="s">
        <v>23</v>
      </c>
      <c r="N168" s="57" t="s">
        <v>23</v>
      </c>
      <c r="O168" s="57" t="s">
        <v>23</v>
      </c>
      <c r="P168" s="57" t="s">
        <v>23</v>
      </c>
      <c r="Q168" s="57" t="s">
        <v>23</v>
      </c>
      <c r="R168" s="57" t="s">
        <v>23</v>
      </c>
    </row>
    <row r="169" spans="1:18">
      <c r="A169" s="99">
        <v>1996</v>
      </c>
      <c r="B169" s="57" t="s">
        <v>23</v>
      </c>
      <c r="C169" s="57">
        <v>21978</v>
      </c>
      <c r="D169" s="57">
        <v>77988</v>
      </c>
      <c r="E169" s="57">
        <v>43546</v>
      </c>
      <c r="F169" s="57">
        <v>11979</v>
      </c>
      <c r="G169" s="57">
        <v>11888</v>
      </c>
      <c r="H169" s="57" t="s">
        <v>23</v>
      </c>
      <c r="I169" s="57">
        <f t="shared" si="20"/>
        <v>167379</v>
      </c>
      <c r="J169" s="57"/>
      <c r="K169" s="57" t="s">
        <v>23</v>
      </c>
      <c r="L169" s="57" t="s">
        <v>23</v>
      </c>
      <c r="M169" s="57" t="s">
        <v>23</v>
      </c>
      <c r="N169" s="57" t="s">
        <v>23</v>
      </c>
      <c r="O169" s="57" t="s">
        <v>23</v>
      </c>
      <c r="P169" s="57" t="s">
        <v>23</v>
      </c>
      <c r="Q169" s="57" t="s">
        <v>23</v>
      </c>
      <c r="R169" s="57" t="s">
        <v>23</v>
      </c>
    </row>
    <row r="170" spans="1:18">
      <c r="A170" s="99">
        <v>1997</v>
      </c>
      <c r="B170" s="57" t="s">
        <v>23</v>
      </c>
      <c r="C170" s="57">
        <v>112347</v>
      </c>
      <c r="D170" s="57">
        <v>14225</v>
      </c>
      <c r="E170" s="57">
        <v>84230</v>
      </c>
      <c r="F170" s="57">
        <v>24737</v>
      </c>
      <c r="G170" s="57">
        <v>17945</v>
      </c>
      <c r="H170" s="57" t="s">
        <v>23</v>
      </c>
      <c r="I170" s="57">
        <f t="shared" si="20"/>
        <v>253484</v>
      </c>
      <c r="J170" s="57"/>
      <c r="K170" s="57" t="s">
        <v>23</v>
      </c>
      <c r="L170" s="57" t="s">
        <v>23</v>
      </c>
      <c r="M170" s="57" t="s">
        <v>23</v>
      </c>
      <c r="N170" s="57" t="s">
        <v>23</v>
      </c>
      <c r="O170" s="57" t="s">
        <v>23</v>
      </c>
      <c r="P170" s="57" t="s">
        <v>23</v>
      </c>
      <c r="Q170" s="57" t="s">
        <v>23</v>
      </c>
      <c r="R170" s="57" t="s">
        <v>23</v>
      </c>
    </row>
    <row r="171" spans="1:18">
      <c r="A171" s="99">
        <v>1998</v>
      </c>
      <c r="B171" s="57" t="s">
        <v>23</v>
      </c>
      <c r="C171" s="57">
        <v>15215</v>
      </c>
      <c r="D171" s="57">
        <v>18849</v>
      </c>
      <c r="E171" s="57">
        <v>62242</v>
      </c>
      <c r="F171" s="57">
        <v>15307</v>
      </c>
      <c r="G171" s="57">
        <v>14507</v>
      </c>
      <c r="H171" s="57" t="s">
        <v>23</v>
      </c>
      <c r="I171" s="57">
        <f t="shared" si="20"/>
        <v>126120</v>
      </c>
      <c r="J171" s="57"/>
      <c r="K171" s="57" t="s">
        <v>23</v>
      </c>
      <c r="L171" s="57" t="s">
        <v>23</v>
      </c>
      <c r="M171" s="57" t="s">
        <v>23</v>
      </c>
      <c r="N171" s="57" t="s">
        <v>23</v>
      </c>
      <c r="O171" s="57" t="s">
        <v>23</v>
      </c>
      <c r="P171" s="57" t="s">
        <v>23</v>
      </c>
      <c r="Q171" s="57" t="s">
        <v>23</v>
      </c>
      <c r="R171" s="57" t="s">
        <v>23</v>
      </c>
    </row>
    <row r="172" spans="1:18">
      <c r="A172" s="99">
        <v>1999</v>
      </c>
      <c r="B172" s="57">
        <v>3266</v>
      </c>
      <c r="C172" s="57">
        <v>16766</v>
      </c>
      <c r="D172" s="57">
        <v>71091</v>
      </c>
      <c r="E172" s="57">
        <v>62629</v>
      </c>
      <c r="F172" s="57">
        <v>23555</v>
      </c>
      <c r="G172" s="57">
        <v>3653</v>
      </c>
      <c r="H172" s="57" t="s">
        <v>23</v>
      </c>
      <c r="I172" s="57">
        <f t="shared" si="20"/>
        <v>180960</v>
      </c>
      <c r="J172" s="57"/>
      <c r="K172" s="57" t="s">
        <v>23</v>
      </c>
      <c r="L172" s="57" t="s">
        <v>23</v>
      </c>
      <c r="M172" s="57" t="s">
        <v>23</v>
      </c>
      <c r="N172" s="57" t="s">
        <v>23</v>
      </c>
      <c r="O172" s="57" t="s">
        <v>23</v>
      </c>
      <c r="P172" s="57" t="s">
        <v>23</v>
      </c>
      <c r="Q172" s="57" t="s">
        <v>23</v>
      </c>
      <c r="R172" s="57" t="s">
        <v>23</v>
      </c>
    </row>
    <row r="173" spans="1:18">
      <c r="A173" s="99">
        <v>2000</v>
      </c>
      <c r="B173" s="57" t="s">
        <v>23</v>
      </c>
      <c r="C173" s="57">
        <v>83347</v>
      </c>
      <c r="D173" s="57">
        <v>76141</v>
      </c>
      <c r="E173" s="57">
        <v>36125</v>
      </c>
      <c r="F173" s="57">
        <v>25743</v>
      </c>
      <c r="G173" s="57">
        <v>29012</v>
      </c>
      <c r="H173" s="57" t="s">
        <v>23</v>
      </c>
      <c r="I173" s="57">
        <f t="shared" si="20"/>
        <v>250368</v>
      </c>
      <c r="J173" s="57"/>
      <c r="K173" s="57" t="s">
        <v>23</v>
      </c>
      <c r="L173" s="57" t="s">
        <v>23</v>
      </c>
      <c r="M173" s="57" t="s">
        <v>23</v>
      </c>
      <c r="N173" s="57" t="s">
        <v>23</v>
      </c>
      <c r="O173" s="57" t="s">
        <v>23</v>
      </c>
      <c r="P173" s="57" t="s">
        <v>23</v>
      </c>
      <c r="Q173" s="57" t="s">
        <v>23</v>
      </c>
      <c r="R173" s="57" t="s">
        <v>23</v>
      </c>
    </row>
    <row r="174" spans="1:18">
      <c r="A174" s="99">
        <v>2001</v>
      </c>
      <c r="B174" s="57" t="s">
        <v>23</v>
      </c>
      <c r="C174" s="57">
        <v>38710</v>
      </c>
      <c r="D174" s="57">
        <v>8122</v>
      </c>
      <c r="E174" s="57">
        <v>60701</v>
      </c>
      <c r="F174" s="57">
        <v>14056</v>
      </c>
      <c r="G174" s="57">
        <v>11386</v>
      </c>
      <c r="H174" s="57">
        <v>3655</v>
      </c>
      <c r="I174" s="57">
        <f t="shared" si="20"/>
        <v>136630</v>
      </c>
      <c r="J174" s="57"/>
      <c r="K174" s="57" t="s">
        <v>23</v>
      </c>
      <c r="L174" s="57" t="s">
        <v>23</v>
      </c>
      <c r="M174" s="57" t="s">
        <v>23</v>
      </c>
      <c r="N174" s="57" t="s">
        <v>23</v>
      </c>
      <c r="O174" s="57" t="s">
        <v>23</v>
      </c>
      <c r="P174" s="57" t="s">
        <v>23</v>
      </c>
      <c r="Q174" s="57" t="s">
        <v>23</v>
      </c>
      <c r="R174" s="57" t="s">
        <v>23</v>
      </c>
    </row>
    <row r="175" spans="1:18">
      <c r="A175" s="99">
        <v>2002</v>
      </c>
      <c r="B175" s="57" t="s">
        <v>23</v>
      </c>
      <c r="C175" s="57">
        <v>64569</v>
      </c>
      <c r="D175" s="57">
        <v>68773</v>
      </c>
      <c r="E175" s="57">
        <v>88077</v>
      </c>
      <c r="F175" s="57">
        <v>13584</v>
      </c>
      <c r="G175" s="57">
        <v>7399</v>
      </c>
      <c r="H175" s="57">
        <v>470</v>
      </c>
      <c r="I175" s="57">
        <f t="shared" si="20"/>
        <v>242872</v>
      </c>
      <c r="J175" s="57"/>
      <c r="K175" s="57" t="s">
        <v>23</v>
      </c>
      <c r="L175" s="57" t="s">
        <v>23</v>
      </c>
      <c r="M175" s="57" t="s">
        <v>23</v>
      </c>
      <c r="N175" s="57" t="s">
        <v>23</v>
      </c>
      <c r="O175" s="57" t="s">
        <v>23</v>
      </c>
      <c r="P175" s="57" t="s">
        <v>23</v>
      </c>
      <c r="Q175" s="57" t="s">
        <v>23</v>
      </c>
      <c r="R175" s="57" t="s">
        <v>23</v>
      </c>
    </row>
    <row r="176" spans="1:18">
      <c r="A176" s="99">
        <v>2003</v>
      </c>
      <c r="B176" s="57" t="s">
        <v>23</v>
      </c>
      <c r="C176" s="57">
        <v>31148</v>
      </c>
      <c r="D176" s="57">
        <v>94684</v>
      </c>
      <c r="E176" s="57">
        <v>39442</v>
      </c>
      <c r="F176" s="57">
        <v>25978</v>
      </c>
      <c r="G176" s="57">
        <v>9742</v>
      </c>
      <c r="H176" s="57">
        <v>1882</v>
      </c>
      <c r="I176" s="57">
        <f t="shared" si="20"/>
        <v>202876</v>
      </c>
      <c r="J176" s="57"/>
      <c r="K176" s="57" t="s">
        <v>23</v>
      </c>
      <c r="L176" s="57" t="s">
        <v>23</v>
      </c>
      <c r="M176" s="57" t="s">
        <v>23</v>
      </c>
      <c r="N176" s="57" t="s">
        <v>23</v>
      </c>
      <c r="O176" s="57" t="s">
        <v>23</v>
      </c>
      <c r="P176" s="57" t="s">
        <v>23</v>
      </c>
      <c r="Q176" s="57" t="s">
        <v>23</v>
      </c>
      <c r="R176" s="57" t="s">
        <v>23</v>
      </c>
    </row>
    <row r="177" spans="1:18">
      <c r="A177" s="99">
        <v>2004</v>
      </c>
      <c r="B177" s="57" t="s">
        <v>23</v>
      </c>
      <c r="C177" s="57">
        <v>75176</v>
      </c>
      <c r="D177" s="57">
        <v>127403</v>
      </c>
      <c r="E177" s="57">
        <v>77267</v>
      </c>
      <c r="F177" s="57">
        <v>12843</v>
      </c>
      <c r="G177" s="57">
        <v>4329</v>
      </c>
      <c r="H177" s="57">
        <v>1211</v>
      </c>
      <c r="I177" s="57">
        <f t="shared" si="20"/>
        <v>298229</v>
      </c>
      <c r="J177" s="57"/>
      <c r="K177" s="57" t="s">
        <v>23</v>
      </c>
      <c r="L177" s="57" t="s">
        <v>23</v>
      </c>
      <c r="M177" s="57" t="s">
        <v>23</v>
      </c>
      <c r="N177" s="57" t="s">
        <v>23</v>
      </c>
      <c r="O177" s="57" t="s">
        <v>23</v>
      </c>
      <c r="P177" s="57" t="s">
        <v>23</v>
      </c>
      <c r="Q177" s="57" t="s">
        <v>23</v>
      </c>
      <c r="R177" s="57" t="s">
        <v>23</v>
      </c>
    </row>
    <row r="178" spans="1:18">
      <c r="A178" s="99">
        <v>2005</v>
      </c>
      <c r="B178" s="57" t="s">
        <v>23</v>
      </c>
      <c r="C178" s="57" t="s">
        <v>23</v>
      </c>
      <c r="D178" s="57" t="s">
        <v>23</v>
      </c>
      <c r="E178" s="57">
        <v>110823</v>
      </c>
      <c r="F178" s="57">
        <v>29468</v>
      </c>
      <c r="G178" s="57">
        <v>27935</v>
      </c>
      <c r="H178" s="57">
        <v>2305</v>
      </c>
      <c r="I178" s="57">
        <f t="shared" si="20"/>
        <v>170531</v>
      </c>
      <c r="J178" s="57"/>
      <c r="K178" s="57" t="s">
        <v>23</v>
      </c>
      <c r="L178" s="57" t="s">
        <v>23</v>
      </c>
      <c r="M178" s="57" t="s">
        <v>23</v>
      </c>
      <c r="N178" s="57" t="s">
        <v>23</v>
      </c>
      <c r="O178" s="57" t="s">
        <v>23</v>
      </c>
      <c r="P178" s="57" t="s">
        <v>23</v>
      </c>
      <c r="Q178" s="57" t="s">
        <v>23</v>
      </c>
      <c r="R178" s="57" t="s">
        <v>23</v>
      </c>
    </row>
    <row r="179" spans="1:18">
      <c r="A179" s="99">
        <v>2006</v>
      </c>
      <c r="B179" s="57" t="s">
        <v>23</v>
      </c>
      <c r="C179" s="57" t="s">
        <v>23</v>
      </c>
      <c r="D179" s="57" t="s">
        <v>23</v>
      </c>
      <c r="E179" s="57">
        <v>16437</v>
      </c>
      <c r="F179" s="57">
        <v>18341</v>
      </c>
      <c r="G179" s="57">
        <v>11839</v>
      </c>
      <c r="H179" s="57">
        <v>1072</v>
      </c>
      <c r="I179" s="57">
        <f t="shared" si="20"/>
        <v>47689</v>
      </c>
      <c r="J179" s="57"/>
      <c r="K179" s="57" t="s">
        <v>23</v>
      </c>
      <c r="L179" s="57" t="s">
        <v>23</v>
      </c>
      <c r="M179" s="57" t="s">
        <v>23</v>
      </c>
      <c r="N179" s="57" t="s">
        <v>23</v>
      </c>
      <c r="O179" s="57" t="s">
        <v>23</v>
      </c>
      <c r="P179" s="57" t="s">
        <v>23</v>
      </c>
      <c r="Q179" s="57" t="s">
        <v>23</v>
      </c>
      <c r="R179" s="57" t="s">
        <v>23</v>
      </c>
    </row>
    <row r="180" spans="1:18">
      <c r="A180" s="99">
        <v>2007</v>
      </c>
      <c r="B180" s="77" t="s">
        <v>23</v>
      </c>
      <c r="C180" s="77">
        <v>25396</v>
      </c>
      <c r="D180" s="77" t="s">
        <v>23</v>
      </c>
      <c r="E180" s="77">
        <v>39878</v>
      </c>
      <c r="F180" s="77">
        <v>7434</v>
      </c>
      <c r="G180" s="77">
        <v>2194</v>
      </c>
      <c r="H180" s="77">
        <v>352</v>
      </c>
      <c r="I180" s="77">
        <f t="shared" si="20"/>
        <v>75254</v>
      </c>
      <c r="J180" s="77"/>
      <c r="K180" s="77" t="s">
        <v>23</v>
      </c>
      <c r="L180" s="77" t="s">
        <v>23</v>
      </c>
      <c r="M180" s="77" t="s">
        <v>23</v>
      </c>
      <c r="N180" s="77" t="s">
        <v>23</v>
      </c>
      <c r="O180" s="77" t="s">
        <v>23</v>
      </c>
      <c r="P180" s="77" t="s">
        <v>23</v>
      </c>
      <c r="Q180" s="77" t="s">
        <v>23</v>
      </c>
      <c r="R180" s="77" t="s">
        <v>23</v>
      </c>
    </row>
    <row r="181" spans="1:18">
      <c r="A181" s="99">
        <v>2008</v>
      </c>
      <c r="B181" s="77" t="s">
        <v>23</v>
      </c>
      <c r="C181" s="77" t="s">
        <v>23</v>
      </c>
      <c r="D181" s="77" t="s">
        <v>23</v>
      </c>
      <c r="E181" s="77" t="s">
        <v>23</v>
      </c>
      <c r="F181" s="77" t="s">
        <v>23</v>
      </c>
      <c r="G181" s="77" t="s">
        <v>23</v>
      </c>
      <c r="H181" s="77" t="s">
        <v>23</v>
      </c>
      <c r="I181" s="77" t="s">
        <v>23</v>
      </c>
      <c r="J181" s="77"/>
      <c r="K181" s="77" t="s">
        <v>23</v>
      </c>
      <c r="L181" s="77" t="s">
        <v>23</v>
      </c>
      <c r="M181" s="77" t="s">
        <v>23</v>
      </c>
      <c r="N181" s="77" t="s">
        <v>23</v>
      </c>
      <c r="O181" s="77" t="s">
        <v>23</v>
      </c>
      <c r="P181" s="77" t="s">
        <v>23</v>
      </c>
      <c r="Q181" s="77" t="s">
        <v>23</v>
      </c>
      <c r="R181" s="77" t="s">
        <v>23</v>
      </c>
    </row>
    <row r="182" spans="1:18">
      <c r="A182" s="99">
        <v>2009</v>
      </c>
      <c r="B182" s="77" t="s">
        <v>23</v>
      </c>
      <c r="C182" s="77" t="s">
        <v>23</v>
      </c>
      <c r="D182" s="77" t="s">
        <v>23</v>
      </c>
      <c r="E182" s="77" t="s">
        <v>23</v>
      </c>
      <c r="F182" s="77" t="s">
        <v>23</v>
      </c>
      <c r="G182" s="77" t="s">
        <v>23</v>
      </c>
      <c r="H182" s="77" t="s">
        <v>23</v>
      </c>
      <c r="I182" s="77" t="s">
        <v>23</v>
      </c>
      <c r="J182" s="77"/>
      <c r="K182" s="77" t="s">
        <v>23</v>
      </c>
      <c r="L182" s="77" t="s">
        <v>23</v>
      </c>
      <c r="M182" s="77" t="s">
        <v>23</v>
      </c>
      <c r="N182" s="77" t="s">
        <v>23</v>
      </c>
      <c r="O182" s="77" t="s">
        <v>23</v>
      </c>
      <c r="P182" s="77" t="s">
        <v>23</v>
      </c>
      <c r="Q182" s="77" t="s">
        <v>23</v>
      </c>
      <c r="R182" s="77" t="s">
        <v>23</v>
      </c>
    </row>
    <row r="183" spans="1:18">
      <c r="A183" s="99">
        <v>2010</v>
      </c>
      <c r="B183" s="77" t="s">
        <v>23</v>
      </c>
      <c r="C183" s="77" t="s">
        <v>23</v>
      </c>
      <c r="D183" s="77" t="s">
        <v>23</v>
      </c>
      <c r="E183" s="77">
        <v>1105</v>
      </c>
      <c r="F183" s="77" t="s">
        <v>23</v>
      </c>
      <c r="G183" s="77" t="s">
        <v>23</v>
      </c>
      <c r="H183" s="77" t="s">
        <v>23</v>
      </c>
      <c r="I183" s="77">
        <f t="shared" ref="I183:I194" si="22">SUM(B183:H183)</f>
        <v>1105</v>
      </c>
      <c r="J183" s="77"/>
      <c r="K183" s="77" t="s">
        <v>23</v>
      </c>
      <c r="L183" s="77" t="s">
        <v>23</v>
      </c>
      <c r="M183" s="77" t="s">
        <v>23</v>
      </c>
      <c r="N183" s="77" t="s">
        <v>23</v>
      </c>
      <c r="O183" s="77" t="s">
        <v>23</v>
      </c>
      <c r="P183" s="77" t="s">
        <v>23</v>
      </c>
      <c r="Q183" s="77" t="s">
        <v>23</v>
      </c>
      <c r="R183" s="77" t="s">
        <v>23</v>
      </c>
    </row>
    <row r="184" spans="1:18">
      <c r="A184" s="99">
        <v>2011</v>
      </c>
      <c r="B184" s="77" t="s">
        <v>23</v>
      </c>
      <c r="C184" s="77">
        <v>7753</v>
      </c>
      <c r="D184" s="77">
        <v>2830</v>
      </c>
      <c r="E184" s="77">
        <v>8305</v>
      </c>
      <c r="F184" s="77">
        <v>1395</v>
      </c>
      <c r="G184" s="77">
        <v>1312</v>
      </c>
      <c r="H184" s="77">
        <v>317</v>
      </c>
      <c r="I184" s="77">
        <f t="shared" si="22"/>
        <v>21912</v>
      </c>
      <c r="J184" s="77"/>
      <c r="K184" s="77" t="s">
        <v>23</v>
      </c>
      <c r="L184" s="77" t="s">
        <v>23</v>
      </c>
      <c r="M184" s="77" t="s">
        <v>23</v>
      </c>
      <c r="N184" s="77" t="s">
        <v>23</v>
      </c>
      <c r="O184" s="77" t="s">
        <v>23</v>
      </c>
      <c r="P184" s="77" t="s">
        <v>23</v>
      </c>
      <c r="Q184" s="77" t="s">
        <v>23</v>
      </c>
      <c r="R184" s="77" t="s">
        <v>23</v>
      </c>
    </row>
    <row r="185" spans="1:18">
      <c r="A185" s="99">
        <v>2012</v>
      </c>
      <c r="B185" s="77" t="s">
        <v>23</v>
      </c>
      <c r="C185" s="77">
        <v>34005</v>
      </c>
      <c r="D185" s="77">
        <v>10090</v>
      </c>
      <c r="E185" s="77">
        <v>51592</v>
      </c>
      <c r="F185" s="77">
        <v>14292</v>
      </c>
      <c r="G185" s="77">
        <v>5808</v>
      </c>
      <c r="H185" s="77">
        <v>3313</v>
      </c>
      <c r="I185" s="77">
        <f t="shared" si="22"/>
        <v>119100</v>
      </c>
      <c r="J185" s="77"/>
      <c r="K185" s="77" t="s">
        <v>23</v>
      </c>
      <c r="L185" s="77" t="s">
        <v>23</v>
      </c>
      <c r="M185" s="77" t="s">
        <v>23</v>
      </c>
      <c r="N185" s="77" t="s">
        <v>23</v>
      </c>
      <c r="O185" s="77" t="s">
        <v>23</v>
      </c>
      <c r="P185" s="77" t="s">
        <v>23</v>
      </c>
      <c r="Q185" s="77" t="s">
        <v>23</v>
      </c>
      <c r="R185" s="77" t="s">
        <v>23</v>
      </c>
    </row>
    <row r="186" spans="1:18">
      <c r="A186" s="99">
        <v>2013</v>
      </c>
      <c r="B186" s="77" t="s">
        <v>23</v>
      </c>
      <c r="C186" s="77">
        <v>56365</v>
      </c>
      <c r="D186" s="77">
        <v>47837</v>
      </c>
      <c r="E186" s="77">
        <v>24215</v>
      </c>
      <c r="F186" s="77">
        <v>7819</v>
      </c>
      <c r="G186" s="77">
        <v>6477</v>
      </c>
      <c r="H186" s="77">
        <v>941</v>
      </c>
      <c r="I186" s="77">
        <f t="shared" si="22"/>
        <v>143654</v>
      </c>
      <c r="J186" s="77"/>
      <c r="K186" s="77" t="s">
        <v>23</v>
      </c>
      <c r="L186" s="77" t="s">
        <v>23</v>
      </c>
      <c r="M186" s="77" t="s">
        <v>23</v>
      </c>
      <c r="N186" s="77" t="s">
        <v>23</v>
      </c>
      <c r="O186" s="77" t="s">
        <v>23</v>
      </c>
      <c r="P186" s="77" t="s">
        <v>23</v>
      </c>
      <c r="Q186" s="77" t="s">
        <v>23</v>
      </c>
      <c r="R186" s="77" t="s">
        <v>23</v>
      </c>
    </row>
    <row r="187" spans="1:18">
      <c r="A187" s="99">
        <v>2014</v>
      </c>
      <c r="B187" s="77" t="s">
        <v>23</v>
      </c>
      <c r="C187" s="77">
        <v>30605</v>
      </c>
      <c r="D187" s="77">
        <v>14917</v>
      </c>
      <c r="E187" s="77">
        <v>6994</v>
      </c>
      <c r="F187" s="77">
        <v>15879</v>
      </c>
      <c r="G187" s="77">
        <v>11044</v>
      </c>
      <c r="H187" s="77">
        <v>2985</v>
      </c>
      <c r="I187" s="77">
        <f t="shared" si="22"/>
        <v>82424</v>
      </c>
      <c r="J187" s="77"/>
      <c r="K187" s="77" t="s">
        <v>23</v>
      </c>
      <c r="L187" s="77" t="s">
        <v>23</v>
      </c>
      <c r="M187" s="77" t="s">
        <v>23</v>
      </c>
      <c r="N187" s="77" t="s">
        <v>23</v>
      </c>
      <c r="O187" s="77" t="s">
        <v>23</v>
      </c>
      <c r="P187" s="77" t="s">
        <v>23</v>
      </c>
      <c r="Q187" s="77" t="s">
        <v>23</v>
      </c>
      <c r="R187" s="77" t="s">
        <v>23</v>
      </c>
    </row>
    <row r="188" spans="1:18">
      <c r="A188" s="99">
        <v>2015</v>
      </c>
      <c r="B188" s="77" t="s">
        <v>23</v>
      </c>
      <c r="C188" s="77">
        <v>7407</v>
      </c>
      <c r="D188" s="77">
        <v>4762</v>
      </c>
      <c r="E188" s="77">
        <v>4456</v>
      </c>
      <c r="F188" s="77">
        <v>7055</v>
      </c>
      <c r="G188" s="77">
        <v>9399</v>
      </c>
      <c r="H188" s="77">
        <v>2617</v>
      </c>
      <c r="I188" s="77">
        <f>SUM(B188:H188)</f>
        <v>35696</v>
      </c>
      <c r="J188" s="77"/>
      <c r="K188" s="77" t="s">
        <v>23</v>
      </c>
      <c r="L188" s="77" t="s">
        <v>23</v>
      </c>
      <c r="M188" s="77" t="s">
        <v>23</v>
      </c>
      <c r="N188" s="77" t="s">
        <v>23</v>
      </c>
      <c r="O188" s="77" t="s">
        <v>23</v>
      </c>
      <c r="P188" s="77" t="s">
        <v>23</v>
      </c>
      <c r="Q188" s="77" t="s">
        <v>23</v>
      </c>
      <c r="R188" s="77" t="s">
        <v>23</v>
      </c>
    </row>
    <row r="189" spans="1:18">
      <c r="A189" s="99">
        <v>2016</v>
      </c>
      <c r="B189" s="77" t="s">
        <v>23</v>
      </c>
      <c r="C189" s="77">
        <v>3147</v>
      </c>
      <c r="D189" s="77">
        <v>446</v>
      </c>
      <c r="E189" s="77" t="s">
        <v>23</v>
      </c>
      <c r="F189" s="77">
        <v>13819</v>
      </c>
      <c r="G189" s="77">
        <v>8362</v>
      </c>
      <c r="H189" s="77">
        <v>589</v>
      </c>
      <c r="I189" s="77">
        <f>SUM(B189:H189)</f>
        <v>26363</v>
      </c>
      <c r="J189" s="77"/>
      <c r="K189" s="77" t="s">
        <v>23</v>
      </c>
      <c r="L189" s="77" t="s">
        <v>23</v>
      </c>
      <c r="M189" s="77" t="s">
        <v>23</v>
      </c>
      <c r="N189" s="77" t="s">
        <v>23</v>
      </c>
      <c r="O189" s="77" t="s">
        <v>23</v>
      </c>
      <c r="P189" s="77" t="s">
        <v>23</v>
      </c>
      <c r="Q189" s="77" t="s">
        <v>23</v>
      </c>
      <c r="R189" s="77" t="s">
        <v>23</v>
      </c>
    </row>
    <row r="190" spans="1:18">
      <c r="A190" s="99">
        <v>2017</v>
      </c>
      <c r="B190" s="77" t="s">
        <v>23</v>
      </c>
      <c r="C190" s="77" t="s">
        <v>23</v>
      </c>
      <c r="D190" s="77" t="s">
        <v>23</v>
      </c>
      <c r="E190" s="77" t="s">
        <v>23</v>
      </c>
      <c r="F190" s="77">
        <v>18336</v>
      </c>
      <c r="G190" s="77">
        <v>8297</v>
      </c>
      <c r="H190" s="77">
        <v>1279</v>
      </c>
      <c r="I190" s="77">
        <f>SUM(B190:H190)</f>
        <v>27912</v>
      </c>
      <c r="J190" s="77"/>
      <c r="K190" s="77" t="s">
        <v>23</v>
      </c>
      <c r="L190" s="77" t="s">
        <v>23</v>
      </c>
      <c r="M190" s="77" t="s">
        <v>23</v>
      </c>
      <c r="N190" s="77" t="s">
        <v>23</v>
      </c>
      <c r="O190" s="77" t="s">
        <v>23</v>
      </c>
      <c r="P190" s="77" t="s">
        <v>23</v>
      </c>
      <c r="Q190" s="77" t="s">
        <v>23</v>
      </c>
      <c r="R190" s="77" t="s">
        <v>23</v>
      </c>
    </row>
    <row r="191" spans="1:18">
      <c r="A191" s="99">
        <v>2018</v>
      </c>
      <c r="B191" s="77" t="s">
        <v>23</v>
      </c>
      <c r="C191" s="77" t="s">
        <v>23</v>
      </c>
      <c r="D191" s="77" t="s">
        <v>23</v>
      </c>
      <c r="E191" s="77">
        <v>7015</v>
      </c>
      <c r="F191" s="77">
        <v>19790</v>
      </c>
      <c r="G191" s="77">
        <v>10593</v>
      </c>
      <c r="H191" s="77">
        <v>2031</v>
      </c>
      <c r="I191" s="77">
        <f>SUM(B191:H191)</f>
        <v>39429</v>
      </c>
      <c r="J191" s="77"/>
      <c r="K191" s="77" t="s">
        <v>23</v>
      </c>
      <c r="L191" s="77" t="s">
        <v>23</v>
      </c>
      <c r="M191" s="77" t="s">
        <v>23</v>
      </c>
      <c r="N191" s="77" t="s">
        <v>23</v>
      </c>
      <c r="O191" s="77" t="s">
        <v>23</v>
      </c>
      <c r="P191" s="77" t="s">
        <v>23</v>
      </c>
      <c r="Q191" s="77" t="s">
        <v>23</v>
      </c>
      <c r="R191" s="77" t="s">
        <v>23</v>
      </c>
    </row>
    <row r="192" spans="1:18">
      <c r="A192" s="239">
        <v>2019</v>
      </c>
      <c r="B192" s="77" t="s">
        <v>23</v>
      </c>
      <c r="C192" s="77">
        <v>16076</v>
      </c>
      <c r="D192" s="77">
        <v>59859</v>
      </c>
      <c r="E192" s="77">
        <v>25141</v>
      </c>
      <c r="F192" s="77">
        <v>50416</v>
      </c>
      <c r="G192" s="77">
        <v>6099</v>
      </c>
      <c r="H192" s="77">
        <v>801</v>
      </c>
      <c r="I192" s="77">
        <f t="shared" ref="I192:I193" si="23">SUM(B192:H192)</f>
        <v>158392</v>
      </c>
      <c r="J192" s="77"/>
      <c r="K192" s="77" t="s">
        <v>23</v>
      </c>
      <c r="L192" s="77" t="s">
        <v>23</v>
      </c>
      <c r="M192" s="77" t="s">
        <v>23</v>
      </c>
      <c r="N192" s="77" t="s">
        <v>23</v>
      </c>
      <c r="O192" s="77" t="s">
        <v>23</v>
      </c>
      <c r="P192" s="77" t="s">
        <v>23</v>
      </c>
      <c r="Q192" s="77" t="s">
        <v>23</v>
      </c>
      <c r="R192" s="77" t="s">
        <v>23</v>
      </c>
    </row>
    <row r="193" spans="1:18">
      <c r="A193" s="239">
        <v>2020</v>
      </c>
      <c r="B193" s="77" t="s">
        <v>23</v>
      </c>
      <c r="C193" s="77">
        <v>12572</v>
      </c>
      <c r="D193" s="77">
        <v>41698</v>
      </c>
      <c r="E193" s="77">
        <v>63138</v>
      </c>
      <c r="F193" s="77">
        <v>17658</v>
      </c>
      <c r="G193" s="77">
        <v>8240</v>
      </c>
      <c r="H193" s="77">
        <v>2435</v>
      </c>
      <c r="I193" s="77">
        <f t="shared" si="23"/>
        <v>145741</v>
      </c>
      <c r="J193" s="77"/>
      <c r="K193" s="77" t="s">
        <v>23</v>
      </c>
      <c r="L193" s="77" t="s">
        <v>23</v>
      </c>
      <c r="M193" s="77" t="s">
        <v>23</v>
      </c>
      <c r="N193" s="77" t="s">
        <v>23</v>
      </c>
      <c r="O193" s="77" t="s">
        <v>23</v>
      </c>
      <c r="P193" s="77" t="s">
        <v>23</v>
      </c>
      <c r="Q193" s="77" t="s">
        <v>23</v>
      </c>
      <c r="R193" s="77" t="s">
        <v>23</v>
      </c>
    </row>
    <row r="194" spans="1:18" ht="13">
      <c r="A194" s="239" t="s">
        <v>314</v>
      </c>
      <c r="B194" s="57" t="s">
        <v>23</v>
      </c>
      <c r="C194" s="57" t="s">
        <v>23</v>
      </c>
      <c r="D194" s="57">
        <v>72832</v>
      </c>
      <c r="E194" s="57">
        <v>10988</v>
      </c>
      <c r="F194" s="57">
        <v>14384</v>
      </c>
      <c r="G194" s="57">
        <v>5649</v>
      </c>
      <c r="H194" s="57">
        <v>1040</v>
      </c>
      <c r="I194" s="77">
        <f t="shared" si="22"/>
        <v>104893</v>
      </c>
      <c r="J194" s="57"/>
      <c r="K194" s="57" t="s">
        <v>23</v>
      </c>
      <c r="L194" s="57" t="s">
        <v>23</v>
      </c>
      <c r="M194" s="57" t="s">
        <v>23</v>
      </c>
      <c r="N194" s="57" t="s">
        <v>23</v>
      </c>
      <c r="O194" s="57" t="s">
        <v>23</v>
      </c>
      <c r="P194" s="57" t="s">
        <v>23</v>
      </c>
      <c r="Q194" s="57" t="s">
        <v>23</v>
      </c>
      <c r="R194" s="57" t="s">
        <v>23</v>
      </c>
    </row>
    <row r="195" spans="1:18">
      <c r="B195" s="57"/>
      <c r="C195" s="57"/>
      <c r="D195" s="57"/>
      <c r="E195" s="57"/>
      <c r="F195" s="57"/>
      <c r="G195" s="57"/>
      <c r="H195" s="57"/>
      <c r="I195" s="57"/>
      <c r="J195" s="57"/>
      <c r="K195" s="57"/>
      <c r="L195" s="57"/>
      <c r="M195" s="57"/>
      <c r="N195" s="57"/>
      <c r="O195" s="57"/>
      <c r="P195" s="57"/>
      <c r="Q195" s="57"/>
      <c r="R195" s="57"/>
    </row>
    <row r="196" spans="1:18">
      <c r="A196" s="94" t="s">
        <v>20</v>
      </c>
      <c r="B196" s="57"/>
      <c r="C196" s="57"/>
      <c r="D196" s="57"/>
      <c r="E196" s="57"/>
      <c r="F196" s="57"/>
      <c r="G196" s="57"/>
      <c r="H196" s="57"/>
      <c r="I196" s="57"/>
      <c r="J196" s="57"/>
      <c r="K196" s="57"/>
      <c r="L196" s="57"/>
      <c r="M196" s="57"/>
      <c r="N196" s="57"/>
      <c r="O196" s="57"/>
      <c r="P196" s="57"/>
      <c r="Q196" s="57"/>
      <c r="R196" s="57"/>
    </row>
    <row r="197" spans="1:18">
      <c r="A197" s="99">
        <v>1976</v>
      </c>
      <c r="B197" s="57">
        <v>23269</v>
      </c>
      <c r="C197" s="57">
        <v>30053</v>
      </c>
      <c r="D197" s="57">
        <v>18239</v>
      </c>
      <c r="E197" s="57">
        <v>9500</v>
      </c>
      <c r="F197" s="57">
        <v>14271</v>
      </c>
      <c r="G197" s="57">
        <v>4294</v>
      </c>
      <c r="H197" s="57" t="s">
        <v>23</v>
      </c>
      <c r="I197" s="57">
        <f t="shared" ref="I197:I228" si="24">SUM(B197:H197)</f>
        <v>99626</v>
      </c>
      <c r="J197" s="57"/>
      <c r="K197" s="57" t="s">
        <v>23</v>
      </c>
      <c r="L197" s="57">
        <v>16775</v>
      </c>
      <c r="M197" s="57">
        <v>16852</v>
      </c>
      <c r="N197" s="57">
        <v>7734</v>
      </c>
      <c r="O197" s="57">
        <v>23</v>
      </c>
      <c r="P197" s="57">
        <v>0</v>
      </c>
      <c r="Q197" s="57" t="s">
        <v>23</v>
      </c>
      <c r="R197" s="57">
        <f t="shared" ref="R197:R213" si="25">SUM(K197:Q197)</f>
        <v>41384</v>
      </c>
    </row>
    <row r="198" spans="1:18">
      <c r="A198" s="99">
        <v>1977</v>
      </c>
      <c r="B198" s="57">
        <v>15385</v>
      </c>
      <c r="C198" s="57">
        <v>24660</v>
      </c>
      <c r="D198" s="57">
        <v>15958</v>
      </c>
      <c r="E198" s="57">
        <v>11148</v>
      </c>
      <c r="F198" s="57">
        <v>8278</v>
      </c>
      <c r="G198" s="57">
        <v>3246</v>
      </c>
      <c r="H198" s="57" t="s">
        <v>23</v>
      </c>
      <c r="I198" s="57">
        <f t="shared" si="24"/>
        <v>78675</v>
      </c>
      <c r="J198" s="57"/>
      <c r="K198" s="57" t="s">
        <v>23</v>
      </c>
      <c r="L198" s="57">
        <v>14</v>
      </c>
      <c r="M198" s="57">
        <v>110</v>
      </c>
      <c r="N198" s="57">
        <v>58</v>
      </c>
      <c r="O198" s="57">
        <v>10</v>
      </c>
      <c r="P198" s="57">
        <v>0</v>
      </c>
      <c r="Q198" s="57" t="s">
        <v>23</v>
      </c>
      <c r="R198" s="57">
        <f t="shared" si="25"/>
        <v>192</v>
      </c>
    </row>
    <row r="199" spans="1:18">
      <c r="A199" s="99">
        <v>1978</v>
      </c>
      <c r="B199" s="57">
        <v>10600</v>
      </c>
      <c r="C199" s="57">
        <v>36146</v>
      </c>
      <c r="D199" s="57">
        <v>51010</v>
      </c>
      <c r="E199" s="57">
        <v>23440</v>
      </c>
      <c r="F199" s="57">
        <v>7189</v>
      </c>
      <c r="G199" s="57">
        <v>4457</v>
      </c>
      <c r="H199" s="57" t="s">
        <v>23</v>
      </c>
      <c r="I199" s="57">
        <f t="shared" si="24"/>
        <v>132842</v>
      </c>
      <c r="J199" s="57"/>
      <c r="K199" s="57">
        <v>37</v>
      </c>
      <c r="L199" s="57">
        <v>465</v>
      </c>
      <c r="M199" s="57">
        <v>2002</v>
      </c>
      <c r="N199" s="57">
        <v>555</v>
      </c>
      <c r="O199" s="57">
        <v>50</v>
      </c>
      <c r="P199" s="57">
        <v>133</v>
      </c>
      <c r="Q199" s="57" t="s">
        <v>23</v>
      </c>
      <c r="R199" s="57">
        <f t="shared" si="25"/>
        <v>3242</v>
      </c>
    </row>
    <row r="200" spans="1:18">
      <c r="A200" s="99">
        <v>1979</v>
      </c>
      <c r="B200" s="57">
        <v>0</v>
      </c>
      <c r="C200" s="57">
        <v>24517</v>
      </c>
      <c r="D200" s="57">
        <v>10535</v>
      </c>
      <c r="E200" s="57">
        <v>12325</v>
      </c>
      <c r="F200" s="57">
        <v>4773</v>
      </c>
      <c r="G200" s="57">
        <v>1910</v>
      </c>
      <c r="H200" s="57" t="s">
        <v>23</v>
      </c>
      <c r="I200" s="57">
        <f t="shared" si="24"/>
        <v>54060</v>
      </c>
      <c r="J200" s="57"/>
      <c r="K200" s="57" t="s">
        <v>23</v>
      </c>
      <c r="L200" s="57">
        <v>395</v>
      </c>
      <c r="M200" s="57">
        <v>980</v>
      </c>
      <c r="N200" s="57">
        <v>427</v>
      </c>
      <c r="O200" s="57">
        <v>76</v>
      </c>
      <c r="P200" s="57">
        <v>8</v>
      </c>
      <c r="Q200" s="57" t="s">
        <v>23</v>
      </c>
      <c r="R200" s="57">
        <f t="shared" si="25"/>
        <v>1886</v>
      </c>
    </row>
    <row r="201" spans="1:18">
      <c r="A201" s="99">
        <v>1980</v>
      </c>
      <c r="B201" s="57" t="s">
        <v>23</v>
      </c>
      <c r="C201" s="57">
        <v>32317</v>
      </c>
      <c r="D201" s="57" t="s">
        <v>23</v>
      </c>
      <c r="E201" s="57">
        <v>34172</v>
      </c>
      <c r="F201" s="57">
        <v>12395</v>
      </c>
      <c r="G201" s="57">
        <v>3640</v>
      </c>
      <c r="H201" s="57" t="s">
        <v>23</v>
      </c>
      <c r="I201" s="57">
        <f t="shared" si="24"/>
        <v>82524</v>
      </c>
      <c r="J201" s="57"/>
      <c r="K201" s="57" t="s">
        <v>23</v>
      </c>
      <c r="L201" s="57">
        <v>44</v>
      </c>
      <c r="M201" s="57" t="s">
        <v>23</v>
      </c>
      <c r="N201" s="57">
        <v>115</v>
      </c>
      <c r="O201" s="57">
        <v>199</v>
      </c>
      <c r="P201" s="57">
        <v>29</v>
      </c>
      <c r="Q201" s="57" t="s">
        <v>23</v>
      </c>
      <c r="R201" s="57">
        <f t="shared" si="25"/>
        <v>387</v>
      </c>
    </row>
    <row r="202" spans="1:18">
      <c r="A202" s="99">
        <v>1981</v>
      </c>
      <c r="B202" s="57" t="s">
        <v>23</v>
      </c>
      <c r="C202" s="57">
        <v>53891</v>
      </c>
      <c r="D202" s="57">
        <v>4654</v>
      </c>
      <c r="E202" s="57">
        <v>25010</v>
      </c>
      <c r="F202" s="57">
        <v>5647</v>
      </c>
      <c r="G202" s="57">
        <v>793</v>
      </c>
      <c r="H202" s="57" t="s">
        <v>23</v>
      </c>
      <c r="I202" s="57">
        <f t="shared" si="24"/>
        <v>89995</v>
      </c>
      <c r="J202" s="57"/>
      <c r="K202" s="57" t="s">
        <v>23</v>
      </c>
      <c r="L202" s="57">
        <v>2</v>
      </c>
      <c r="M202" s="57">
        <v>1</v>
      </c>
      <c r="N202" s="57">
        <v>24</v>
      </c>
      <c r="O202" s="57">
        <v>148</v>
      </c>
      <c r="P202" s="57">
        <v>2</v>
      </c>
      <c r="Q202" s="57" t="s">
        <v>23</v>
      </c>
      <c r="R202" s="57">
        <f t="shared" si="25"/>
        <v>177</v>
      </c>
    </row>
    <row r="203" spans="1:18">
      <c r="A203" s="99">
        <v>1982</v>
      </c>
      <c r="B203" s="57">
        <v>29199</v>
      </c>
      <c r="C203" s="57">
        <v>40888</v>
      </c>
      <c r="D203" s="57">
        <v>19686</v>
      </c>
      <c r="E203" s="57">
        <v>29902</v>
      </c>
      <c r="F203" s="57">
        <v>14340</v>
      </c>
      <c r="G203" s="57">
        <v>2663</v>
      </c>
      <c r="H203" s="57" t="s">
        <v>23</v>
      </c>
      <c r="I203" s="57">
        <f t="shared" si="24"/>
        <v>136678</v>
      </c>
      <c r="J203" s="57"/>
      <c r="K203" s="57">
        <v>104</v>
      </c>
      <c r="L203" s="57">
        <v>267</v>
      </c>
      <c r="M203" s="57">
        <v>99</v>
      </c>
      <c r="N203" s="57">
        <v>122</v>
      </c>
      <c r="O203" s="57">
        <v>99</v>
      </c>
      <c r="P203" s="57">
        <v>24</v>
      </c>
      <c r="Q203" s="57" t="s">
        <v>23</v>
      </c>
      <c r="R203" s="57">
        <f t="shared" si="25"/>
        <v>715</v>
      </c>
    </row>
    <row r="204" spans="1:18">
      <c r="A204" s="99">
        <v>1983</v>
      </c>
      <c r="B204" s="57">
        <v>1424</v>
      </c>
      <c r="C204" s="57">
        <v>43216</v>
      </c>
      <c r="D204" s="57">
        <v>24628</v>
      </c>
      <c r="E204" s="57">
        <v>30282</v>
      </c>
      <c r="F204" s="57">
        <v>3469</v>
      </c>
      <c r="G204" s="57">
        <v>196</v>
      </c>
      <c r="H204" s="57" t="s">
        <v>23</v>
      </c>
      <c r="I204" s="57">
        <f t="shared" si="24"/>
        <v>103215</v>
      </c>
      <c r="J204" s="57"/>
      <c r="K204" s="57">
        <v>63</v>
      </c>
      <c r="L204" s="57">
        <v>179</v>
      </c>
      <c r="M204" s="57">
        <v>802</v>
      </c>
      <c r="N204" s="57">
        <v>188</v>
      </c>
      <c r="O204" s="57">
        <v>7</v>
      </c>
      <c r="P204" s="57">
        <v>30</v>
      </c>
      <c r="Q204" s="57" t="s">
        <v>23</v>
      </c>
      <c r="R204" s="57">
        <f t="shared" si="25"/>
        <v>1269</v>
      </c>
    </row>
    <row r="205" spans="1:18">
      <c r="A205" s="99">
        <v>1984</v>
      </c>
      <c r="B205" s="57" t="s">
        <v>23</v>
      </c>
      <c r="C205" s="57">
        <v>16699</v>
      </c>
      <c r="D205" s="57">
        <v>26434</v>
      </c>
      <c r="E205" s="57">
        <v>6941</v>
      </c>
      <c r="F205" s="57">
        <v>3743</v>
      </c>
      <c r="G205" s="57">
        <v>175</v>
      </c>
      <c r="H205" s="57" t="s">
        <v>23</v>
      </c>
      <c r="I205" s="57">
        <f t="shared" si="24"/>
        <v>53992</v>
      </c>
      <c r="J205" s="57"/>
      <c r="K205" s="57" t="s">
        <v>23</v>
      </c>
      <c r="L205" s="57" t="s">
        <v>23</v>
      </c>
      <c r="M205" s="57">
        <v>3503</v>
      </c>
      <c r="N205" s="57">
        <v>856</v>
      </c>
      <c r="O205" s="57">
        <v>62</v>
      </c>
      <c r="P205" s="57">
        <v>0</v>
      </c>
      <c r="Q205" s="57" t="s">
        <v>23</v>
      </c>
      <c r="R205" s="57">
        <f t="shared" si="25"/>
        <v>4421</v>
      </c>
    </row>
    <row r="206" spans="1:18">
      <c r="A206" s="99">
        <v>1985</v>
      </c>
      <c r="B206" s="57" t="s">
        <v>23</v>
      </c>
      <c r="C206" s="57">
        <v>20197</v>
      </c>
      <c r="D206" s="57">
        <v>8858</v>
      </c>
      <c r="E206" s="57">
        <v>4776</v>
      </c>
      <c r="F206" s="57">
        <v>895</v>
      </c>
      <c r="G206" s="57">
        <v>1911</v>
      </c>
      <c r="H206" s="57" t="s">
        <v>23</v>
      </c>
      <c r="I206" s="57">
        <f t="shared" si="24"/>
        <v>36637</v>
      </c>
      <c r="J206" s="57"/>
      <c r="K206" s="57" t="s">
        <v>23</v>
      </c>
      <c r="L206" s="57" t="s">
        <v>23</v>
      </c>
      <c r="M206" s="57">
        <v>75</v>
      </c>
      <c r="N206" s="57">
        <v>110</v>
      </c>
      <c r="O206" s="57">
        <v>8</v>
      </c>
      <c r="P206" s="57">
        <v>6</v>
      </c>
      <c r="Q206" s="57" t="s">
        <v>23</v>
      </c>
      <c r="R206" s="57">
        <f t="shared" si="25"/>
        <v>199</v>
      </c>
    </row>
    <row r="207" spans="1:18">
      <c r="A207" s="99">
        <v>1986</v>
      </c>
      <c r="B207" s="57" t="s">
        <v>23</v>
      </c>
      <c r="C207" s="57">
        <v>93517</v>
      </c>
      <c r="D207" s="57">
        <v>56667</v>
      </c>
      <c r="E207" s="57">
        <v>38026</v>
      </c>
      <c r="F207" s="57">
        <v>10060</v>
      </c>
      <c r="G207" s="57">
        <v>1884</v>
      </c>
      <c r="H207" s="57" t="s">
        <v>23</v>
      </c>
      <c r="I207" s="57">
        <f t="shared" si="24"/>
        <v>200154</v>
      </c>
      <c r="J207" s="57"/>
      <c r="K207" s="57" t="s">
        <v>23</v>
      </c>
      <c r="L207" s="57" t="s">
        <v>23</v>
      </c>
      <c r="M207" s="57">
        <v>587</v>
      </c>
      <c r="N207" s="57">
        <v>589</v>
      </c>
      <c r="O207" s="57">
        <v>122</v>
      </c>
      <c r="P207" s="57">
        <v>1</v>
      </c>
      <c r="Q207" s="57" t="s">
        <v>23</v>
      </c>
      <c r="R207" s="57">
        <f t="shared" si="25"/>
        <v>1299</v>
      </c>
    </row>
    <row r="208" spans="1:18">
      <c r="A208" s="99">
        <v>1987</v>
      </c>
      <c r="B208" s="57" t="s">
        <v>23</v>
      </c>
      <c r="C208" s="57">
        <v>34950</v>
      </c>
      <c r="D208" s="57">
        <v>22643</v>
      </c>
      <c r="E208" s="57">
        <v>24782</v>
      </c>
      <c r="F208" s="57">
        <v>6394</v>
      </c>
      <c r="G208" s="57">
        <v>2462</v>
      </c>
      <c r="H208" s="57" t="s">
        <v>23</v>
      </c>
      <c r="I208" s="57">
        <f t="shared" si="24"/>
        <v>91231</v>
      </c>
      <c r="J208" s="57"/>
      <c r="K208" s="57" t="s">
        <v>23</v>
      </c>
      <c r="L208" s="57" t="s">
        <v>23</v>
      </c>
      <c r="M208" s="57">
        <v>59</v>
      </c>
      <c r="N208" s="57">
        <v>51</v>
      </c>
      <c r="O208" s="57" t="s">
        <v>23</v>
      </c>
      <c r="P208" s="57">
        <v>8</v>
      </c>
      <c r="Q208" s="57" t="s">
        <v>23</v>
      </c>
      <c r="R208" s="57">
        <f t="shared" si="25"/>
        <v>118</v>
      </c>
    </row>
    <row r="209" spans="1:18">
      <c r="A209" s="99">
        <v>1988</v>
      </c>
      <c r="B209" s="57" t="s">
        <v>23</v>
      </c>
      <c r="C209" s="57">
        <v>77845</v>
      </c>
      <c r="D209" s="57">
        <v>56377</v>
      </c>
      <c r="E209" s="57">
        <v>38210</v>
      </c>
      <c r="F209" s="57">
        <v>12582</v>
      </c>
      <c r="G209" s="57">
        <v>2804</v>
      </c>
      <c r="H209" s="57" t="s">
        <v>23</v>
      </c>
      <c r="I209" s="57">
        <f t="shared" si="24"/>
        <v>187818</v>
      </c>
      <c r="J209" s="57"/>
      <c r="K209" s="57" t="s">
        <v>23</v>
      </c>
      <c r="L209" s="57" t="s">
        <v>23</v>
      </c>
      <c r="M209" s="57">
        <v>331</v>
      </c>
      <c r="N209" s="57">
        <v>34</v>
      </c>
      <c r="O209" s="57">
        <v>35</v>
      </c>
      <c r="P209" s="57" t="s">
        <v>23</v>
      </c>
      <c r="Q209" s="57" t="s">
        <v>23</v>
      </c>
      <c r="R209" s="57">
        <f t="shared" si="25"/>
        <v>400</v>
      </c>
    </row>
    <row r="210" spans="1:18">
      <c r="A210" s="99">
        <v>1989</v>
      </c>
      <c r="B210" s="57" t="s">
        <v>23</v>
      </c>
      <c r="C210" s="57">
        <v>47011</v>
      </c>
      <c r="D210" s="57">
        <v>25101</v>
      </c>
      <c r="E210" s="57">
        <v>22547</v>
      </c>
      <c r="F210" s="57">
        <v>10632</v>
      </c>
      <c r="G210" s="57">
        <v>2664</v>
      </c>
      <c r="H210" s="57" t="s">
        <v>23</v>
      </c>
      <c r="I210" s="57">
        <f t="shared" si="24"/>
        <v>107955</v>
      </c>
      <c r="J210" s="57"/>
      <c r="K210" s="57" t="s">
        <v>23</v>
      </c>
      <c r="L210" s="57" t="s">
        <v>23</v>
      </c>
      <c r="M210" s="57">
        <v>228</v>
      </c>
      <c r="N210" s="57">
        <v>169</v>
      </c>
      <c r="O210" s="57">
        <v>130</v>
      </c>
      <c r="P210" s="57">
        <v>11</v>
      </c>
      <c r="Q210" s="57" t="s">
        <v>23</v>
      </c>
      <c r="R210" s="57">
        <f t="shared" si="25"/>
        <v>538</v>
      </c>
    </row>
    <row r="211" spans="1:18">
      <c r="A211" s="99">
        <v>1990</v>
      </c>
      <c r="B211" s="57" t="s">
        <v>23</v>
      </c>
      <c r="C211" s="57">
        <v>54098</v>
      </c>
      <c r="D211" s="57">
        <v>49907</v>
      </c>
      <c r="E211" s="57">
        <v>26396</v>
      </c>
      <c r="F211" s="57">
        <v>5386</v>
      </c>
      <c r="G211" s="57">
        <v>1285</v>
      </c>
      <c r="H211" s="57" t="s">
        <v>23</v>
      </c>
      <c r="I211" s="57">
        <f t="shared" si="24"/>
        <v>137072</v>
      </c>
      <c r="J211" s="57"/>
      <c r="K211" s="57" t="s">
        <v>23</v>
      </c>
      <c r="L211" s="57" t="s">
        <v>23</v>
      </c>
      <c r="M211" s="57">
        <v>3915</v>
      </c>
      <c r="N211" s="57">
        <v>1696</v>
      </c>
      <c r="O211" s="57">
        <v>69</v>
      </c>
      <c r="P211" s="57">
        <v>18</v>
      </c>
      <c r="Q211" s="57" t="s">
        <v>23</v>
      </c>
      <c r="R211" s="57">
        <f t="shared" si="25"/>
        <v>5698</v>
      </c>
    </row>
    <row r="212" spans="1:18">
      <c r="A212" s="99">
        <v>1991</v>
      </c>
      <c r="B212" s="57" t="s">
        <v>23</v>
      </c>
      <c r="C212" s="57">
        <v>21800</v>
      </c>
      <c r="D212" s="57">
        <v>34900</v>
      </c>
      <c r="E212" s="57">
        <v>19100</v>
      </c>
      <c r="F212" s="57">
        <v>3000</v>
      </c>
      <c r="G212" s="57">
        <v>1000</v>
      </c>
      <c r="H212" s="57" t="s">
        <v>23</v>
      </c>
      <c r="I212" s="57">
        <f t="shared" si="24"/>
        <v>79800</v>
      </c>
      <c r="J212" s="57"/>
      <c r="K212" s="57" t="s">
        <v>23</v>
      </c>
      <c r="L212" s="57" t="s">
        <v>23</v>
      </c>
      <c r="M212" s="57">
        <v>17100</v>
      </c>
      <c r="N212" s="57">
        <v>4300</v>
      </c>
      <c r="O212" s="57">
        <v>100</v>
      </c>
      <c r="P212" s="57" t="s">
        <v>23</v>
      </c>
      <c r="Q212" s="57" t="s">
        <v>23</v>
      </c>
      <c r="R212" s="57">
        <f t="shared" si="25"/>
        <v>21500</v>
      </c>
    </row>
    <row r="213" spans="1:18">
      <c r="A213" s="99">
        <v>1992</v>
      </c>
      <c r="B213" s="57" t="s">
        <v>23</v>
      </c>
      <c r="C213" s="57">
        <v>34600</v>
      </c>
      <c r="D213" s="57">
        <v>14400</v>
      </c>
      <c r="E213" s="57">
        <v>10300</v>
      </c>
      <c r="F213" s="57">
        <v>3600</v>
      </c>
      <c r="G213" s="57">
        <v>1600</v>
      </c>
      <c r="H213" s="57" t="s">
        <v>23</v>
      </c>
      <c r="I213" s="57">
        <f t="shared" si="24"/>
        <v>64500</v>
      </c>
      <c r="J213" s="57"/>
      <c r="K213" s="57" t="s">
        <v>23</v>
      </c>
      <c r="L213" s="57" t="s">
        <v>23</v>
      </c>
      <c r="M213" s="57">
        <v>1500</v>
      </c>
      <c r="N213" s="57">
        <v>500</v>
      </c>
      <c r="O213" s="57">
        <v>50</v>
      </c>
      <c r="P213" s="57" t="s">
        <v>23</v>
      </c>
      <c r="Q213" s="57" t="s">
        <v>23</v>
      </c>
      <c r="R213" s="57">
        <f t="shared" si="25"/>
        <v>2050</v>
      </c>
    </row>
    <row r="214" spans="1:18">
      <c r="A214" s="99">
        <v>1993</v>
      </c>
      <c r="B214" s="57" t="s">
        <v>23</v>
      </c>
      <c r="C214" s="57">
        <v>49867</v>
      </c>
      <c r="D214" s="57">
        <v>25526</v>
      </c>
      <c r="E214" s="57">
        <v>20255</v>
      </c>
      <c r="F214" s="57">
        <v>8124</v>
      </c>
      <c r="G214" s="57">
        <v>891</v>
      </c>
      <c r="H214" s="57" t="s">
        <v>23</v>
      </c>
      <c r="I214" s="57">
        <f t="shared" si="24"/>
        <v>104663</v>
      </c>
      <c r="J214" s="57"/>
      <c r="K214" s="57" t="s">
        <v>23</v>
      </c>
      <c r="L214" s="57" t="s">
        <v>23</v>
      </c>
      <c r="M214" s="57" t="s">
        <v>23</v>
      </c>
      <c r="N214" s="57" t="s">
        <v>23</v>
      </c>
      <c r="O214" s="57" t="s">
        <v>23</v>
      </c>
      <c r="P214" s="57" t="s">
        <v>23</v>
      </c>
      <c r="Q214" s="57" t="s">
        <v>23</v>
      </c>
      <c r="R214" s="57" t="s">
        <v>23</v>
      </c>
    </row>
    <row r="215" spans="1:18">
      <c r="A215" s="99">
        <v>1994</v>
      </c>
      <c r="B215" s="57" t="s">
        <v>23</v>
      </c>
      <c r="C215" s="57">
        <v>24331</v>
      </c>
      <c r="D215" s="57">
        <v>11614</v>
      </c>
      <c r="E215" s="57">
        <v>32212</v>
      </c>
      <c r="F215" s="57">
        <v>1107</v>
      </c>
      <c r="G215" s="57">
        <v>1244</v>
      </c>
      <c r="H215" s="57" t="s">
        <v>23</v>
      </c>
      <c r="I215" s="57">
        <f t="shared" si="24"/>
        <v>70508</v>
      </c>
      <c r="J215" s="57"/>
      <c r="K215" s="57" t="s">
        <v>23</v>
      </c>
      <c r="L215" s="57" t="s">
        <v>23</v>
      </c>
      <c r="M215" s="57" t="s">
        <v>23</v>
      </c>
      <c r="N215" s="57" t="s">
        <v>23</v>
      </c>
      <c r="O215" s="57" t="s">
        <v>23</v>
      </c>
      <c r="P215" s="57" t="s">
        <v>23</v>
      </c>
      <c r="Q215" s="57" t="s">
        <v>23</v>
      </c>
      <c r="R215" s="57" t="s">
        <v>23</v>
      </c>
    </row>
    <row r="216" spans="1:18">
      <c r="A216" s="99">
        <v>1995</v>
      </c>
      <c r="B216" s="57" t="s">
        <v>23</v>
      </c>
      <c r="C216" s="57">
        <v>128431</v>
      </c>
      <c r="D216" s="57">
        <v>64203</v>
      </c>
      <c r="E216" s="57">
        <v>105365</v>
      </c>
      <c r="F216" s="57">
        <v>13850</v>
      </c>
      <c r="G216" s="57">
        <v>1263</v>
      </c>
      <c r="H216" s="57" t="s">
        <v>23</v>
      </c>
      <c r="I216" s="57">
        <f t="shared" si="24"/>
        <v>313112</v>
      </c>
      <c r="J216" s="57"/>
      <c r="K216" s="57" t="s">
        <v>23</v>
      </c>
      <c r="L216" s="57" t="s">
        <v>23</v>
      </c>
      <c r="M216" s="57" t="s">
        <v>23</v>
      </c>
      <c r="N216" s="57" t="s">
        <v>23</v>
      </c>
      <c r="O216" s="57" t="s">
        <v>23</v>
      </c>
      <c r="P216" s="57" t="s">
        <v>23</v>
      </c>
      <c r="Q216" s="57" t="s">
        <v>23</v>
      </c>
      <c r="R216" s="57" t="s">
        <v>23</v>
      </c>
    </row>
    <row r="217" spans="1:18">
      <c r="A217" s="99">
        <v>1996</v>
      </c>
      <c r="B217" s="57" t="s">
        <v>23</v>
      </c>
      <c r="C217" s="57">
        <v>75097</v>
      </c>
      <c r="D217" s="57">
        <v>52296</v>
      </c>
      <c r="E217" s="57">
        <v>51871</v>
      </c>
      <c r="F217" s="57">
        <v>2159</v>
      </c>
      <c r="G217" s="57">
        <v>44</v>
      </c>
      <c r="H217" s="57" t="s">
        <v>23</v>
      </c>
      <c r="I217" s="57">
        <f t="shared" si="24"/>
        <v>181467</v>
      </c>
      <c r="J217" s="57"/>
      <c r="K217" s="57" t="s">
        <v>23</v>
      </c>
      <c r="L217" s="57" t="s">
        <v>23</v>
      </c>
      <c r="M217" s="57" t="s">
        <v>23</v>
      </c>
      <c r="N217" s="57" t="s">
        <v>23</v>
      </c>
      <c r="O217" s="57" t="s">
        <v>23</v>
      </c>
      <c r="P217" s="57" t="s">
        <v>23</v>
      </c>
      <c r="Q217" s="57" t="s">
        <v>23</v>
      </c>
      <c r="R217" s="57" t="s">
        <v>23</v>
      </c>
    </row>
    <row r="218" spans="1:18">
      <c r="A218" s="99">
        <v>1997</v>
      </c>
      <c r="B218" s="57">
        <v>11891</v>
      </c>
      <c r="C218" s="57">
        <v>86710</v>
      </c>
      <c r="D218" s="57">
        <v>60351</v>
      </c>
      <c r="E218" s="57">
        <v>69710</v>
      </c>
      <c r="F218" s="57" t="s">
        <v>23</v>
      </c>
      <c r="G218" s="57">
        <v>69</v>
      </c>
      <c r="H218" s="57" t="s">
        <v>23</v>
      </c>
      <c r="I218" s="57">
        <f t="shared" si="24"/>
        <v>228731</v>
      </c>
      <c r="J218" s="57"/>
      <c r="K218" s="57" t="s">
        <v>23</v>
      </c>
      <c r="L218" s="57" t="s">
        <v>23</v>
      </c>
      <c r="M218" s="57" t="s">
        <v>23</v>
      </c>
      <c r="N218" s="57" t="s">
        <v>23</v>
      </c>
      <c r="O218" s="57" t="s">
        <v>23</v>
      </c>
      <c r="P218" s="57" t="s">
        <v>23</v>
      </c>
      <c r="Q218" s="57" t="s">
        <v>23</v>
      </c>
      <c r="R218" s="57" t="s">
        <v>23</v>
      </c>
    </row>
    <row r="219" spans="1:18">
      <c r="A219" s="99">
        <v>1998</v>
      </c>
      <c r="B219" s="57" t="s">
        <v>23</v>
      </c>
      <c r="C219" s="57">
        <v>61051</v>
      </c>
      <c r="D219" s="57">
        <v>20589</v>
      </c>
      <c r="E219" s="57">
        <v>12689</v>
      </c>
      <c r="F219" s="57">
        <v>593</v>
      </c>
      <c r="G219" s="57">
        <v>511</v>
      </c>
      <c r="H219" s="57" t="s">
        <v>23</v>
      </c>
      <c r="I219" s="57">
        <f t="shared" si="24"/>
        <v>95433</v>
      </c>
      <c r="J219" s="57"/>
      <c r="K219" s="57" t="s">
        <v>23</v>
      </c>
      <c r="L219" s="57" t="s">
        <v>23</v>
      </c>
      <c r="M219" s="57" t="s">
        <v>23</v>
      </c>
      <c r="N219" s="57" t="s">
        <v>23</v>
      </c>
      <c r="O219" s="57" t="s">
        <v>23</v>
      </c>
      <c r="P219" s="57" t="s">
        <v>23</v>
      </c>
      <c r="Q219" s="57" t="s">
        <v>23</v>
      </c>
      <c r="R219" s="57" t="s">
        <v>23</v>
      </c>
    </row>
    <row r="220" spans="1:18">
      <c r="A220" s="99">
        <v>1999</v>
      </c>
      <c r="B220" s="57">
        <v>2</v>
      </c>
      <c r="C220" s="57">
        <v>13788</v>
      </c>
      <c r="D220" s="57">
        <v>54538</v>
      </c>
      <c r="E220" s="57">
        <v>8840</v>
      </c>
      <c r="F220" s="57">
        <v>480</v>
      </c>
      <c r="G220" s="57">
        <v>1061</v>
      </c>
      <c r="H220" s="57" t="s">
        <v>23</v>
      </c>
      <c r="I220" s="57">
        <f t="shared" si="24"/>
        <v>78709</v>
      </c>
      <c r="J220" s="57"/>
      <c r="K220" s="57" t="s">
        <v>23</v>
      </c>
      <c r="L220" s="57" t="s">
        <v>23</v>
      </c>
      <c r="M220" s="57" t="s">
        <v>23</v>
      </c>
      <c r="N220" s="57" t="s">
        <v>23</v>
      </c>
      <c r="O220" s="57" t="s">
        <v>23</v>
      </c>
      <c r="P220" s="57" t="s">
        <v>23</v>
      </c>
      <c r="Q220" s="57" t="s">
        <v>23</v>
      </c>
      <c r="R220" s="57" t="s">
        <v>23</v>
      </c>
    </row>
    <row r="221" spans="1:18">
      <c r="A221" s="99">
        <v>2000</v>
      </c>
      <c r="B221" s="57" t="s">
        <v>23</v>
      </c>
      <c r="C221" s="57">
        <v>122287</v>
      </c>
      <c r="D221" s="57">
        <v>62329</v>
      </c>
      <c r="E221" s="57">
        <v>11278</v>
      </c>
      <c r="F221" s="57">
        <v>1290</v>
      </c>
      <c r="G221" s="57" t="s">
        <v>23</v>
      </c>
      <c r="H221" s="57" t="s">
        <v>23</v>
      </c>
      <c r="I221" s="57">
        <f t="shared" si="24"/>
        <v>197184</v>
      </c>
      <c r="J221" s="57"/>
      <c r="K221" s="57" t="s">
        <v>23</v>
      </c>
      <c r="L221" s="57" t="s">
        <v>23</v>
      </c>
      <c r="M221" s="57" t="s">
        <v>23</v>
      </c>
      <c r="N221" s="57" t="s">
        <v>23</v>
      </c>
      <c r="O221" s="57" t="s">
        <v>23</v>
      </c>
      <c r="P221" s="57" t="s">
        <v>23</v>
      </c>
      <c r="Q221" s="57" t="s">
        <v>23</v>
      </c>
      <c r="R221" s="57" t="s">
        <v>23</v>
      </c>
    </row>
    <row r="222" spans="1:18">
      <c r="A222" s="99">
        <v>2001</v>
      </c>
      <c r="B222" s="57" t="s">
        <v>23</v>
      </c>
      <c r="C222" s="57">
        <v>30037</v>
      </c>
      <c r="D222" s="57">
        <v>3375</v>
      </c>
      <c r="E222" s="57">
        <v>2383</v>
      </c>
      <c r="F222" s="57">
        <v>116</v>
      </c>
      <c r="G222" s="57">
        <v>29</v>
      </c>
      <c r="H222" s="57" t="s">
        <v>23</v>
      </c>
      <c r="I222" s="57">
        <f t="shared" si="24"/>
        <v>35940</v>
      </c>
      <c r="J222" s="57"/>
      <c r="K222" s="57" t="s">
        <v>23</v>
      </c>
      <c r="L222" s="57" t="s">
        <v>23</v>
      </c>
      <c r="M222" s="57" t="s">
        <v>23</v>
      </c>
      <c r="N222" s="57" t="s">
        <v>23</v>
      </c>
      <c r="O222" s="57" t="s">
        <v>23</v>
      </c>
      <c r="P222" s="57" t="s">
        <v>23</v>
      </c>
      <c r="Q222" s="57" t="s">
        <v>23</v>
      </c>
      <c r="R222" s="57" t="s">
        <v>23</v>
      </c>
    </row>
    <row r="223" spans="1:18">
      <c r="A223" s="99">
        <v>2002</v>
      </c>
      <c r="B223" s="57" t="s">
        <v>23</v>
      </c>
      <c r="C223" s="57">
        <v>21551</v>
      </c>
      <c r="D223" s="57">
        <v>24441</v>
      </c>
      <c r="E223" s="57">
        <v>21328</v>
      </c>
      <c r="F223" s="57">
        <v>2524</v>
      </c>
      <c r="G223" s="57">
        <v>136</v>
      </c>
      <c r="H223" s="57" t="s">
        <v>23</v>
      </c>
      <c r="I223" s="57">
        <f t="shared" si="24"/>
        <v>69980</v>
      </c>
      <c r="J223" s="57"/>
      <c r="K223" s="57" t="s">
        <v>23</v>
      </c>
      <c r="L223" s="57" t="s">
        <v>23</v>
      </c>
      <c r="M223" s="57" t="s">
        <v>23</v>
      </c>
      <c r="N223" s="57" t="s">
        <v>23</v>
      </c>
      <c r="O223" s="57" t="s">
        <v>23</v>
      </c>
      <c r="P223" s="57" t="s">
        <v>23</v>
      </c>
      <c r="Q223" s="57" t="s">
        <v>23</v>
      </c>
      <c r="R223" s="57" t="s">
        <v>23</v>
      </c>
    </row>
    <row r="224" spans="1:18">
      <c r="A224" s="99">
        <v>2003</v>
      </c>
      <c r="B224" s="57" t="s">
        <v>23</v>
      </c>
      <c r="C224" s="57">
        <v>10954</v>
      </c>
      <c r="D224" s="57">
        <v>9517</v>
      </c>
      <c r="E224" s="57">
        <v>13728</v>
      </c>
      <c r="F224" s="57">
        <v>823</v>
      </c>
      <c r="G224" s="57">
        <v>1077</v>
      </c>
      <c r="H224" s="57" t="s">
        <v>23</v>
      </c>
      <c r="I224" s="57">
        <f t="shared" si="24"/>
        <v>36099</v>
      </c>
      <c r="J224" s="57"/>
      <c r="K224" s="57" t="s">
        <v>23</v>
      </c>
      <c r="L224" s="57" t="s">
        <v>23</v>
      </c>
      <c r="M224" s="57" t="s">
        <v>23</v>
      </c>
      <c r="N224" s="57" t="s">
        <v>23</v>
      </c>
      <c r="O224" s="57" t="s">
        <v>23</v>
      </c>
      <c r="P224" s="57" t="s">
        <v>23</v>
      </c>
      <c r="Q224" s="57" t="s">
        <v>23</v>
      </c>
      <c r="R224" s="57" t="s">
        <v>23</v>
      </c>
    </row>
    <row r="225" spans="1:18">
      <c r="A225" s="99">
        <v>2004</v>
      </c>
      <c r="B225" s="57" t="s">
        <v>23</v>
      </c>
      <c r="C225" s="57">
        <v>22420</v>
      </c>
      <c r="D225" s="57">
        <v>26772</v>
      </c>
      <c r="E225" s="57">
        <v>14033</v>
      </c>
      <c r="F225" s="57">
        <v>1195</v>
      </c>
      <c r="G225" s="57">
        <v>287</v>
      </c>
      <c r="H225" s="57" t="s">
        <v>23</v>
      </c>
      <c r="I225" s="57">
        <f t="shared" si="24"/>
        <v>64707</v>
      </c>
      <c r="J225" s="57"/>
      <c r="K225" s="57" t="s">
        <v>23</v>
      </c>
      <c r="L225" s="57" t="s">
        <v>23</v>
      </c>
      <c r="M225" s="57" t="s">
        <v>23</v>
      </c>
      <c r="N225" s="57" t="s">
        <v>23</v>
      </c>
      <c r="O225" s="57" t="s">
        <v>23</v>
      </c>
      <c r="P225" s="57" t="s">
        <v>23</v>
      </c>
      <c r="Q225" s="57" t="s">
        <v>23</v>
      </c>
      <c r="R225" s="57" t="s">
        <v>23</v>
      </c>
    </row>
    <row r="226" spans="1:18">
      <c r="A226" s="99">
        <v>2005</v>
      </c>
      <c r="B226" s="57" t="s">
        <v>23</v>
      </c>
      <c r="C226" s="57">
        <v>76855</v>
      </c>
      <c r="D226" s="57">
        <v>5001</v>
      </c>
      <c r="E226" s="57">
        <v>29105</v>
      </c>
      <c r="F226" s="57">
        <v>5578</v>
      </c>
      <c r="G226" s="57">
        <v>869</v>
      </c>
      <c r="H226" s="57" t="s">
        <v>23</v>
      </c>
      <c r="I226" s="57">
        <f t="shared" si="24"/>
        <v>117408</v>
      </c>
      <c r="J226" s="57"/>
      <c r="K226" s="57" t="s">
        <v>23</v>
      </c>
      <c r="L226" s="57" t="s">
        <v>23</v>
      </c>
      <c r="M226" s="57" t="s">
        <v>23</v>
      </c>
      <c r="N226" s="57" t="s">
        <v>23</v>
      </c>
      <c r="O226" s="57" t="s">
        <v>23</v>
      </c>
      <c r="P226" s="57" t="s">
        <v>23</v>
      </c>
      <c r="Q226" s="57" t="s">
        <v>23</v>
      </c>
      <c r="R226" s="57" t="s">
        <v>23</v>
      </c>
    </row>
    <row r="227" spans="1:18">
      <c r="A227" s="99">
        <v>2006</v>
      </c>
      <c r="B227" s="57" t="s">
        <v>23</v>
      </c>
      <c r="C227" s="57">
        <v>9911</v>
      </c>
      <c r="D227" s="57">
        <v>391</v>
      </c>
      <c r="E227" s="57">
        <v>346</v>
      </c>
      <c r="F227" s="57">
        <v>248</v>
      </c>
      <c r="G227" s="57">
        <v>308</v>
      </c>
      <c r="H227" s="57" t="s">
        <v>23</v>
      </c>
      <c r="I227" s="57">
        <f t="shared" si="24"/>
        <v>11204</v>
      </c>
      <c r="J227" s="57"/>
      <c r="K227" s="57" t="s">
        <v>23</v>
      </c>
      <c r="L227" s="57" t="s">
        <v>23</v>
      </c>
      <c r="M227" s="57" t="s">
        <v>23</v>
      </c>
      <c r="N227" s="57" t="s">
        <v>23</v>
      </c>
      <c r="O227" s="57" t="s">
        <v>23</v>
      </c>
      <c r="P227" s="57" t="s">
        <v>23</v>
      </c>
      <c r="Q227" s="57" t="s">
        <v>23</v>
      </c>
      <c r="R227" s="57" t="s">
        <v>23</v>
      </c>
    </row>
    <row r="228" spans="1:18">
      <c r="A228" s="99">
        <v>2007</v>
      </c>
      <c r="B228" s="77" t="s">
        <v>23</v>
      </c>
      <c r="C228" s="77">
        <v>11202</v>
      </c>
      <c r="D228" s="77">
        <v>156</v>
      </c>
      <c r="E228" s="77">
        <v>1930</v>
      </c>
      <c r="F228" s="77">
        <v>605</v>
      </c>
      <c r="G228" s="77">
        <v>116</v>
      </c>
      <c r="H228" s="77" t="s">
        <v>23</v>
      </c>
      <c r="I228" s="77">
        <f t="shared" si="24"/>
        <v>14009</v>
      </c>
      <c r="J228" s="77"/>
      <c r="K228" s="77" t="s">
        <v>23</v>
      </c>
      <c r="L228" s="77" t="s">
        <v>23</v>
      </c>
      <c r="M228" s="77" t="s">
        <v>23</v>
      </c>
      <c r="N228" s="77" t="s">
        <v>23</v>
      </c>
      <c r="O228" s="77" t="s">
        <v>23</v>
      </c>
      <c r="P228" s="77" t="s">
        <v>23</v>
      </c>
      <c r="Q228" s="77" t="s">
        <v>23</v>
      </c>
      <c r="R228" s="77" t="s">
        <v>23</v>
      </c>
    </row>
    <row r="229" spans="1:18">
      <c r="A229" s="99">
        <v>2008</v>
      </c>
      <c r="B229" s="77" t="s">
        <v>23</v>
      </c>
      <c r="C229" s="77" t="s">
        <v>23</v>
      </c>
      <c r="D229" s="77" t="s">
        <v>23</v>
      </c>
      <c r="E229" s="77" t="s">
        <v>23</v>
      </c>
      <c r="F229" s="77" t="s">
        <v>23</v>
      </c>
      <c r="G229" s="77" t="s">
        <v>23</v>
      </c>
      <c r="H229" s="77" t="s">
        <v>23</v>
      </c>
      <c r="I229" s="77" t="s">
        <v>23</v>
      </c>
      <c r="J229" s="77"/>
      <c r="K229" s="77" t="s">
        <v>23</v>
      </c>
      <c r="L229" s="77" t="s">
        <v>23</v>
      </c>
      <c r="M229" s="77" t="s">
        <v>23</v>
      </c>
      <c r="N229" s="77" t="s">
        <v>23</v>
      </c>
      <c r="O229" s="77" t="s">
        <v>23</v>
      </c>
      <c r="P229" s="77" t="s">
        <v>23</v>
      </c>
      <c r="Q229" s="77" t="s">
        <v>23</v>
      </c>
      <c r="R229" s="77" t="s">
        <v>23</v>
      </c>
    </row>
    <row r="230" spans="1:18">
      <c r="A230" s="99">
        <v>2009</v>
      </c>
      <c r="B230" s="77" t="s">
        <v>23</v>
      </c>
      <c r="C230" s="77" t="s">
        <v>23</v>
      </c>
      <c r="D230" s="77" t="s">
        <v>23</v>
      </c>
      <c r="E230" s="77" t="s">
        <v>23</v>
      </c>
      <c r="F230" s="77" t="s">
        <v>23</v>
      </c>
      <c r="G230" s="77" t="s">
        <v>23</v>
      </c>
      <c r="H230" s="77" t="s">
        <v>23</v>
      </c>
      <c r="I230" s="77" t="s">
        <v>23</v>
      </c>
      <c r="J230" s="77"/>
      <c r="K230" s="77" t="s">
        <v>23</v>
      </c>
      <c r="L230" s="77" t="s">
        <v>23</v>
      </c>
      <c r="M230" s="77" t="s">
        <v>23</v>
      </c>
      <c r="N230" s="77" t="s">
        <v>23</v>
      </c>
      <c r="O230" s="77" t="s">
        <v>23</v>
      </c>
      <c r="P230" s="77" t="s">
        <v>23</v>
      </c>
      <c r="Q230" s="77" t="s">
        <v>23</v>
      </c>
      <c r="R230" s="77" t="s">
        <v>23</v>
      </c>
    </row>
    <row r="231" spans="1:18">
      <c r="A231" s="99">
        <v>2010</v>
      </c>
      <c r="B231" s="77" t="s">
        <v>23</v>
      </c>
      <c r="C231" s="77" t="s">
        <v>23</v>
      </c>
      <c r="D231" s="77" t="s">
        <v>23</v>
      </c>
      <c r="E231" s="77">
        <v>1430</v>
      </c>
      <c r="F231" s="77" t="s">
        <v>23</v>
      </c>
      <c r="G231" s="77" t="s">
        <v>23</v>
      </c>
      <c r="H231" s="77" t="s">
        <v>23</v>
      </c>
      <c r="I231" s="77">
        <f t="shared" ref="I231:I242" si="26">SUM(B231:H231)</f>
        <v>1430</v>
      </c>
      <c r="J231" s="77"/>
      <c r="K231" s="77" t="s">
        <v>23</v>
      </c>
      <c r="L231" s="77" t="s">
        <v>23</v>
      </c>
      <c r="M231" s="77" t="s">
        <v>23</v>
      </c>
      <c r="N231" s="77" t="s">
        <v>23</v>
      </c>
      <c r="O231" s="77" t="s">
        <v>23</v>
      </c>
      <c r="P231" s="77" t="s">
        <v>23</v>
      </c>
      <c r="Q231" s="77" t="s">
        <v>23</v>
      </c>
      <c r="R231" s="77" t="s">
        <v>23</v>
      </c>
    </row>
    <row r="232" spans="1:18">
      <c r="A232" s="99">
        <v>2011</v>
      </c>
      <c r="B232" s="77" t="s">
        <v>23</v>
      </c>
      <c r="C232" s="77">
        <v>3979</v>
      </c>
      <c r="D232" s="77">
        <v>1359</v>
      </c>
      <c r="E232" s="77">
        <v>695</v>
      </c>
      <c r="F232" s="77">
        <v>333</v>
      </c>
      <c r="G232" s="77">
        <v>48</v>
      </c>
      <c r="H232" s="77" t="s">
        <v>23</v>
      </c>
      <c r="I232" s="77">
        <f t="shared" si="26"/>
        <v>6414</v>
      </c>
      <c r="J232" s="77"/>
      <c r="K232" s="77" t="s">
        <v>23</v>
      </c>
      <c r="L232" s="77" t="s">
        <v>23</v>
      </c>
      <c r="M232" s="77" t="s">
        <v>23</v>
      </c>
      <c r="N232" s="77" t="s">
        <v>23</v>
      </c>
      <c r="O232" s="77" t="s">
        <v>23</v>
      </c>
      <c r="P232" s="77" t="s">
        <v>23</v>
      </c>
      <c r="Q232" s="77" t="s">
        <v>23</v>
      </c>
      <c r="R232" s="77" t="s">
        <v>23</v>
      </c>
    </row>
    <row r="233" spans="1:18">
      <c r="A233" s="99">
        <v>2012</v>
      </c>
      <c r="B233" s="77" t="s">
        <v>23</v>
      </c>
      <c r="C233" s="77">
        <v>24852</v>
      </c>
      <c r="D233" s="77">
        <v>9295</v>
      </c>
      <c r="E233" s="77">
        <v>16926</v>
      </c>
      <c r="F233" s="77">
        <v>1670</v>
      </c>
      <c r="G233" s="77">
        <v>229</v>
      </c>
      <c r="H233" s="77" t="s">
        <v>23</v>
      </c>
      <c r="I233" s="77">
        <f t="shared" si="26"/>
        <v>52972</v>
      </c>
      <c r="J233" s="77"/>
      <c r="K233" s="77" t="s">
        <v>23</v>
      </c>
      <c r="L233" s="77" t="s">
        <v>23</v>
      </c>
      <c r="M233" s="77" t="s">
        <v>23</v>
      </c>
      <c r="N233" s="77" t="s">
        <v>23</v>
      </c>
      <c r="O233" s="77" t="s">
        <v>23</v>
      </c>
      <c r="P233" s="77" t="s">
        <v>23</v>
      </c>
      <c r="Q233" s="77" t="s">
        <v>23</v>
      </c>
      <c r="R233" s="77" t="s">
        <v>23</v>
      </c>
    </row>
    <row r="234" spans="1:18">
      <c r="A234" s="99">
        <v>2013</v>
      </c>
      <c r="B234" s="77" t="s">
        <v>23</v>
      </c>
      <c r="C234" s="77">
        <v>14111</v>
      </c>
      <c r="D234" s="77">
        <v>10003</v>
      </c>
      <c r="E234" s="77">
        <v>2900</v>
      </c>
      <c r="F234" s="77">
        <v>514</v>
      </c>
      <c r="G234" s="77">
        <v>109</v>
      </c>
      <c r="H234" s="77" t="s">
        <v>23</v>
      </c>
      <c r="I234" s="77">
        <f t="shared" si="26"/>
        <v>27637</v>
      </c>
      <c r="J234" s="77"/>
      <c r="K234" s="77" t="s">
        <v>23</v>
      </c>
      <c r="L234" s="77" t="s">
        <v>23</v>
      </c>
      <c r="M234" s="77" t="s">
        <v>23</v>
      </c>
      <c r="N234" s="77" t="s">
        <v>23</v>
      </c>
      <c r="O234" s="77" t="s">
        <v>23</v>
      </c>
      <c r="P234" s="77" t="s">
        <v>23</v>
      </c>
      <c r="Q234" s="77" t="s">
        <v>23</v>
      </c>
      <c r="R234" s="77" t="s">
        <v>23</v>
      </c>
    </row>
    <row r="235" spans="1:18">
      <c r="A235" s="99">
        <v>2014</v>
      </c>
      <c r="B235" s="77" t="s">
        <v>23</v>
      </c>
      <c r="C235" s="77">
        <v>4341</v>
      </c>
      <c r="D235" s="77">
        <v>1538</v>
      </c>
      <c r="E235" s="77">
        <v>2011</v>
      </c>
      <c r="F235" s="77">
        <v>418</v>
      </c>
      <c r="G235" s="77" t="s">
        <v>23</v>
      </c>
      <c r="H235" s="77" t="s">
        <v>23</v>
      </c>
      <c r="I235" s="77">
        <f t="shared" si="26"/>
        <v>8308</v>
      </c>
      <c r="J235" s="77"/>
      <c r="K235" s="77" t="s">
        <v>23</v>
      </c>
      <c r="L235" s="77" t="s">
        <v>23</v>
      </c>
      <c r="M235" s="77" t="s">
        <v>23</v>
      </c>
      <c r="N235" s="77" t="s">
        <v>23</v>
      </c>
      <c r="O235" s="77" t="s">
        <v>23</v>
      </c>
      <c r="P235" s="77" t="s">
        <v>23</v>
      </c>
      <c r="Q235" s="77" t="s">
        <v>23</v>
      </c>
      <c r="R235" s="77" t="s">
        <v>23</v>
      </c>
    </row>
    <row r="236" spans="1:18">
      <c r="A236" s="99">
        <v>2015</v>
      </c>
      <c r="B236" s="77" t="s">
        <v>23</v>
      </c>
      <c r="C236" s="77">
        <v>7608</v>
      </c>
      <c r="D236" s="77">
        <v>3410</v>
      </c>
      <c r="E236" s="77">
        <v>3131</v>
      </c>
      <c r="F236" s="77">
        <v>564</v>
      </c>
      <c r="G236" s="77" t="s">
        <v>23</v>
      </c>
      <c r="H236" s="77" t="s">
        <v>23</v>
      </c>
      <c r="I236" s="77">
        <f>SUM(B236:H236)</f>
        <v>14713</v>
      </c>
      <c r="J236" s="77"/>
      <c r="K236" s="77" t="s">
        <v>23</v>
      </c>
      <c r="L236" s="77" t="s">
        <v>23</v>
      </c>
      <c r="M236" s="77" t="s">
        <v>23</v>
      </c>
      <c r="N236" s="77" t="s">
        <v>23</v>
      </c>
      <c r="O236" s="77" t="s">
        <v>23</v>
      </c>
      <c r="P236" s="77" t="s">
        <v>23</v>
      </c>
      <c r="Q236" s="77" t="s">
        <v>23</v>
      </c>
      <c r="R236" s="77" t="s">
        <v>23</v>
      </c>
    </row>
    <row r="237" spans="1:18">
      <c r="A237" s="99">
        <v>2016</v>
      </c>
      <c r="B237" s="77" t="s">
        <v>23</v>
      </c>
      <c r="C237" s="77">
        <v>10220</v>
      </c>
      <c r="D237" s="77">
        <v>3026</v>
      </c>
      <c r="E237" s="77" t="s">
        <v>23</v>
      </c>
      <c r="F237" s="77" t="s">
        <v>23</v>
      </c>
      <c r="G237" s="77" t="s">
        <v>23</v>
      </c>
      <c r="H237" s="77" t="s">
        <v>23</v>
      </c>
      <c r="I237" s="77">
        <f>SUM(B237:H237)</f>
        <v>13246</v>
      </c>
      <c r="J237" s="77"/>
      <c r="K237" s="77" t="s">
        <v>23</v>
      </c>
      <c r="L237" s="77" t="s">
        <v>23</v>
      </c>
      <c r="M237" s="77" t="s">
        <v>23</v>
      </c>
      <c r="N237" s="77" t="s">
        <v>23</v>
      </c>
      <c r="O237" s="77" t="s">
        <v>23</v>
      </c>
      <c r="P237" s="77" t="s">
        <v>23</v>
      </c>
      <c r="Q237" s="77" t="s">
        <v>23</v>
      </c>
      <c r="R237" s="77" t="s">
        <v>23</v>
      </c>
    </row>
    <row r="238" spans="1:18">
      <c r="A238" s="99">
        <v>2017</v>
      </c>
      <c r="B238" s="77" t="s">
        <v>23</v>
      </c>
      <c r="C238" s="77">
        <v>5588</v>
      </c>
      <c r="D238" s="77">
        <v>6891</v>
      </c>
      <c r="E238" s="77" t="s">
        <v>23</v>
      </c>
      <c r="F238" s="77" t="s">
        <v>23</v>
      </c>
      <c r="G238" s="77" t="s">
        <v>23</v>
      </c>
      <c r="H238" s="77" t="s">
        <v>23</v>
      </c>
      <c r="I238" s="77">
        <f>SUM(B238:H238)</f>
        <v>12479</v>
      </c>
      <c r="J238" s="77"/>
      <c r="K238" s="77" t="s">
        <v>23</v>
      </c>
      <c r="L238" s="77" t="s">
        <v>23</v>
      </c>
      <c r="M238" s="77" t="s">
        <v>23</v>
      </c>
      <c r="N238" s="77" t="s">
        <v>23</v>
      </c>
      <c r="O238" s="77" t="s">
        <v>23</v>
      </c>
      <c r="P238" s="77" t="s">
        <v>23</v>
      </c>
      <c r="Q238" s="77" t="s">
        <v>23</v>
      </c>
      <c r="R238" s="77" t="s">
        <v>23</v>
      </c>
    </row>
    <row r="239" spans="1:18">
      <c r="A239" s="99">
        <v>2018</v>
      </c>
      <c r="B239" s="77" t="s">
        <v>23</v>
      </c>
      <c r="C239" s="77">
        <v>4566</v>
      </c>
      <c r="D239" s="77">
        <v>14859</v>
      </c>
      <c r="E239" s="77" t="s">
        <v>23</v>
      </c>
      <c r="F239" s="77" t="s">
        <v>23</v>
      </c>
      <c r="G239" s="77" t="s">
        <v>23</v>
      </c>
      <c r="H239" s="77" t="s">
        <v>23</v>
      </c>
      <c r="I239" s="77">
        <f>SUM(B239:H239)</f>
        <v>19425</v>
      </c>
      <c r="J239" s="77"/>
      <c r="K239" s="77" t="s">
        <v>23</v>
      </c>
      <c r="L239" s="77" t="s">
        <v>23</v>
      </c>
      <c r="M239" s="77" t="s">
        <v>23</v>
      </c>
      <c r="N239" s="77" t="s">
        <v>23</v>
      </c>
      <c r="O239" s="77" t="s">
        <v>23</v>
      </c>
      <c r="P239" s="77" t="s">
        <v>23</v>
      </c>
      <c r="Q239" s="77" t="s">
        <v>23</v>
      </c>
      <c r="R239" s="77" t="s">
        <v>23</v>
      </c>
    </row>
    <row r="240" spans="1:18">
      <c r="A240" s="239">
        <v>2019</v>
      </c>
      <c r="B240" s="77" t="s">
        <v>23</v>
      </c>
      <c r="C240" s="77">
        <v>54925</v>
      </c>
      <c r="D240" s="77">
        <v>33706</v>
      </c>
      <c r="E240" s="77">
        <v>9328</v>
      </c>
      <c r="F240" s="77" t="s">
        <v>23</v>
      </c>
      <c r="G240" s="77" t="s">
        <v>23</v>
      </c>
      <c r="H240" s="77" t="s">
        <v>23</v>
      </c>
      <c r="I240" s="77">
        <f t="shared" ref="I240:I241" si="27">SUM(B240:H240)</f>
        <v>97959</v>
      </c>
      <c r="J240" s="77"/>
      <c r="K240" s="77" t="s">
        <v>23</v>
      </c>
      <c r="L240" s="77" t="s">
        <v>23</v>
      </c>
      <c r="M240" s="77" t="s">
        <v>23</v>
      </c>
      <c r="N240" s="77" t="s">
        <v>23</v>
      </c>
      <c r="O240" s="77" t="s">
        <v>23</v>
      </c>
      <c r="P240" s="77" t="s">
        <v>23</v>
      </c>
      <c r="Q240" s="77" t="s">
        <v>23</v>
      </c>
      <c r="R240" s="77" t="s">
        <v>23</v>
      </c>
    </row>
    <row r="241" spans="1:18">
      <c r="A241" s="239">
        <v>2020</v>
      </c>
      <c r="B241" s="77" t="s">
        <v>23</v>
      </c>
      <c r="C241" s="77">
        <v>19944</v>
      </c>
      <c r="D241" s="77">
        <v>7559</v>
      </c>
      <c r="E241" s="77">
        <v>2367</v>
      </c>
      <c r="F241" s="77">
        <v>340</v>
      </c>
      <c r="G241" s="77" t="s">
        <v>23</v>
      </c>
      <c r="H241" s="77" t="s">
        <v>23</v>
      </c>
      <c r="I241" s="77">
        <f t="shared" si="27"/>
        <v>30210</v>
      </c>
      <c r="J241" s="77"/>
      <c r="K241" s="77" t="s">
        <v>23</v>
      </c>
      <c r="L241" s="77" t="s">
        <v>23</v>
      </c>
      <c r="M241" s="77" t="s">
        <v>23</v>
      </c>
      <c r="N241" s="77" t="s">
        <v>23</v>
      </c>
      <c r="O241" s="77" t="s">
        <v>23</v>
      </c>
      <c r="P241" s="77" t="s">
        <v>23</v>
      </c>
      <c r="Q241" s="77" t="s">
        <v>23</v>
      </c>
      <c r="R241" s="77" t="s">
        <v>23</v>
      </c>
    </row>
    <row r="242" spans="1:18" ht="13">
      <c r="A242" s="239" t="s">
        <v>314</v>
      </c>
      <c r="B242" s="57" t="s">
        <v>23</v>
      </c>
      <c r="C242" s="57">
        <v>46848</v>
      </c>
      <c r="D242" s="57">
        <v>3891</v>
      </c>
      <c r="E242" s="57">
        <v>1644</v>
      </c>
      <c r="F242" s="57">
        <v>421</v>
      </c>
      <c r="G242" s="57" t="s">
        <v>23</v>
      </c>
      <c r="H242" s="57" t="s">
        <v>23</v>
      </c>
      <c r="I242" s="77">
        <f t="shared" si="26"/>
        <v>52804</v>
      </c>
      <c r="J242" s="57"/>
      <c r="K242" s="57" t="s">
        <v>23</v>
      </c>
      <c r="L242" s="57" t="s">
        <v>23</v>
      </c>
      <c r="M242" s="57" t="s">
        <v>23</v>
      </c>
      <c r="N242" s="57" t="s">
        <v>23</v>
      </c>
      <c r="O242" s="57" t="s">
        <v>23</v>
      </c>
      <c r="P242" s="57" t="s">
        <v>23</v>
      </c>
      <c r="Q242" s="57" t="s">
        <v>23</v>
      </c>
      <c r="R242" s="57" t="s">
        <v>23</v>
      </c>
    </row>
    <row r="243" spans="1:18">
      <c r="B243" s="57"/>
      <c r="C243" s="57"/>
      <c r="D243" s="57"/>
      <c r="E243" s="57"/>
      <c r="F243" s="57"/>
      <c r="G243" s="57"/>
      <c r="H243" s="57"/>
      <c r="I243" s="57"/>
      <c r="J243" s="57"/>
      <c r="K243" s="57"/>
      <c r="L243" s="57"/>
      <c r="M243" s="57"/>
      <c r="N243" s="57"/>
      <c r="O243" s="57"/>
      <c r="P243" s="57"/>
      <c r="Q243" s="57"/>
      <c r="R243" s="57"/>
    </row>
    <row r="244" spans="1:18" ht="13">
      <c r="A244" s="97" t="s">
        <v>244</v>
      </c>
      <c r="B244" s="57"/>
      <c r="C244" s="57"/>
      <c r="D244" s="57"/>
      <c r="E244" s="57"/>
      <c r="F244" s="57"/>
      <c r="G244" s="57"/>
      <c r="H244" s="57"/>
      <c r="I244" s="57"/>
      <c r="J244" s="57"/>
      <c r="K244" s="57"/>
      <c r="L244" s="57"/>
      <c r="M244" s="57"/>
      <c r="N244" s="57"/>
      <c r="O244" s="57"/>
      <c r="P244" s="57"/>
      <c r="Q244" s="57"/>
      <c r="R244" s="57"/>
    </row>
    <row r="245" spans="1:18">
      <c r="A245" s="99">
        <v>1976</v>
      </c>
      <c r="B245" s="57">
        <f t="shared" ref="B245:I254" si="28">IF(AND(B197="-",B149="-",B101="-",B53="-",B5="-"),"-",SUM(B197,B149,B101,B53,B5))</f>
        <v>56694</v>
      </c>
      <c r="C245" s="57">
        <f t="shared" si="28"/>
        <v>144286</v>
      </c>
      <c r="D245" s="57">
        <f t="shared" si="28"/>
        <v>132359</v>
      </c>
      <c r="E245" s="57">
        <f t="shared" si="28"/>
        <v>149387</v>
      </c>
      <c r="F245" s="57">
        <f t="shared" si="28"/>
        <v>36794</v>
      </c>
      <c r="G245" s="57">
        <f t="shared" si="28"/>
        <v>20410</v>
      </c>
      <c r="H245" s="57" t="str">
        <f t="shared" si="28"/>
        <v>-</v>
      </c>
      <c r="I245" s="57">
        <f t="shared" si="28"/>
        <v>539930</v>
      </c>
      <c r="J245" s="57"/>
      <c r="K245" s="57" t="str">
        <f t="shared" ref="K245:R254" si="29">IF(AND(K197="-",K149="-",K101="-",K53="-",K5="-"),"-",SUM(K197,K149,K101,K53,K5))</f>
        <v>-</v>
      </c>
      <c r="L245" s="57">
        <f t="shared" si="29"/>
        <v>193157</v>
      </c>
      <c r="M245" s="57">
        <f t="shared" si="29"/>
        <v>323608</v>
      </c>
      <c r="N245" s="57">
        <f t="shared" si="29"/>
        <v>82698</v>
      </c>
      <c r="O245" s="57">
        <f t="shared" si="29"/>
        <v>20566</v>
      </c>
      <c r="P245" s="57">
        <f t="shared" si="29"/>
        <v>1749</v>
      </c>
      <c r="Q245" s="57" t="str">
        <f t="shared" si="29"/>
        <v>-</v>
      </c>
      <c r="R245" s="57">
        <f t="shared" si="29"/>
        <v>462519</v>
      </c>
    </row>
    <row r="246" spans="1:18">
      <c r="A246" s="99">
        <v>1977</v>
      </c>
      <c r="B246" s="57">
        <f t="shared" si="28"/>
        <v>82641</v>
      </c>
      <c r="C246" s="57">
        <f t="shared" si="28"/>
        <v>169527</v>
      </c>
      <c r="D246" s="57">
        <f t="shared" si="28"/>
        <v>101533</v>
      </c>
      <c r="E246" s="57">
        <f t="shared" si="28"/>
        <v>140548</v>
      </c>
      <c r="F246" s="57">
        <f t="shared" si="28"/>
        <v>78189</v>
      </c>
      <c r="G246" s="57">
        <f t="shared" si="28"/>
        <v>27747</v>
      </c>
      <c r="H246" s="57" t="str">
        <f t="shared" si="28"/>
        <v>-</v>
      </c>
      <c r="I246" s="57">
        <f t="shared" si="28"/>
        <v>600185</v>
      </c>
      <c r="J246" s="57"/>
      <c r="K246" s="57" t="str">
        <f t="shared" si="29"/>
        <v>-</v>
      </c>
      <c r="L246" s="57">
        <f t="shared" si="29"/>
        <v>11690</v>
      </c>
      <c r="M246" s="57">
        <f t="shared" si="29"/>
        <v>9132</v>
      </c>
      <c r="N246" s="57">
        <f t="shared" si="29"/>
        <v>14614</v>
      </c>
      <c r="O246" s="57">
        <f t="shared" si="29"/>
        <v>9511</v>
      </c>
      <c r="P246" s="57">
        <f t="shared" si="29"/>
        <v>203</v>
      </c>
      <c r="Q246" s="57" t="str">
        <f t="shared" si="29"/>
        <v>-</v>
      </c>
      <c r="R246" s="57">
        <f t="shared" si="29"/>
        <v>39017</v>
      </c>
    </row>
    <row r="247" spans="1:18">
      <c r="A247" s="99">
        <v>1978</v>
      </c>
      <c r="B247" s="57">
        <f t="shared" si="28"/>
        <v>31522</v>
      </c>
      <c r="C247" s="57">
        <f t="shared" si="28"/>
        <v>231946</v>
      </c>
      <c r="D247" s="57">
        <f t="shared" si="28"/>
        <v>218193</v>
      </c>
      <c r="E247" s="57">
        <f t="shared" si="28"/>
        <v>101789</v>
      </c>
      <c r="F247" s="57">
        <f t="shared" si="28"/>
        <v>33940</v>
      </c>
      <c r="G247" s="57">
        <f t="shared" si="28"/>
        <v>20268</v>
      </c>
      <c r="H247" s="57" t="str">
        <f t="shared" si="28"/>
        <v>-</v>
      </c>
      <c r="I247" s="57">
        <f t="shared" si="28"/>
        <v>637658</v>
      </c>
      <c r="J247" s="57"/>
      <c r="K247" s="57">
        <f t="shared" si="29"/>
        <v>63</v>
      </c>
      <c r="L247" s="57">
        <f t="shared" si="29"/>
        <v>52488</v>
      </c>
      <c r="M247" s="57">
        <f t="shared" si="29"/>
        <v>209662</v>
      </c>
      <c r="N247" s="57">
        <f t="shared" si="29"/>
        <v>46294</v>
      </c>
      <c r="O247" s="57">
        <f t="shared" si="29"/>
        <v>6009</v>
      </c>
      <c r="P247" s="57">
        <f t="shared" si="29"/>
        <v>1247</v>
      </c>
      <c r="Q247" s="57" t="str">
        <f t="shared" si="29"/>
        <v>-</v>
      </c>
      <c r="R247" s="57">
        <f t="shared" si="29"/>
        <v>315763</v>
      </c>
    </row>
    <row r="248" spans="1:18">
      <c r="A248" s="99">
        <v>1979</v>
      </c>
      <c r="B248" s="57">
        <f t="shared" si="28"/>
        <v>38</v>
      </c>
      <c r="C248" s="57">
        <f t="shared" si="28"/>
        <v>220130</v>
      </c>
      <c r="D248" s="57">
        <f t="shared" si="28"/>
        <v>94688</v>
      </c>
      <c r="E248" s="57">
        <f t="shared" si="28"/>
        <v>217652</v>
      </c>
      <c r="F248" s="57">
        <f t="shared" si="28"/>
        <v>135674</v>
      </c>
      <c r="G248" s="57">
        <f t="shared" si="28"/>
        <v>58578</v>
      </c>
      <c r="H248" s="57" t="str">
        <f t="shared" si="28"/>
        <v>-</v>
      </c>
      <c r="I248" s="57">
        <f t="shared" si="28"/>
        <v>726760</v>
      </c>
      <c r="J248" s="57"/>
      <c r="K248" s="57">
        <f t="shared" si="29"/>
        <v>12</v>
      </c>
      <c r="L248" s="57">
        <f t="shared" si="29"/>
        <v>15804</v>
      </c>
      <c r="M248" s="57">
        <f t="shared" si="29"/>
        <v>55228</v>
      </c>
      <c r="N248" s="57">
        <f t="shared" si="29"/>
        <v>95400</v>
      </c>
      <c r="O248" s="57">
        <f t="shared" si="29"/>
        <v>17167</v>
      </c>
      <c r="P248" s="57">
        <f t="shared" si="29"/>
        <v>794</v>
      </c>
      <c r="Q248" s="57" t="str">
        <f t="shared" si="29"/>
        <v>-</v>
      </c>
      <c r="R248" s="57">
        <f t="shared" si="29"/>
        <v>184405</v>
      </c>
    </row>
    <row r="249" spans="1:18">
      <c r="A249" s="99">
        <v>1980</v>
      </c>
      <c r="B249" s="57" t="str">
        <f t="shared" si="28"/>
        <v>-</v>
      </c>
      <c r="C249" s="57">
        <f t="shared" si="28"/>
        <v>234283</v>
      </c>
      <c r="D249" s="57" t="str">
        <f t="shared" si="28"/>
        <v>-</v>
      </c>
      <c r="E249" s="57">
        <f t="shared" si="28"/>
        <v>257386</v>
      </c>
      <c r="F249" s="57">
        <f t="shared" si="28"/>
        <v>54963</v>
      </c>
      <c r="G249" s="57">
        <f t="shared" si="28"/>
        <v>42018</v>
      </c>
      <c r="H249" s="57" t="str">
        <f t="shared" si="28"/>
        <v>-</v>
      </c>
      <c r="I249" s="57">
        <f t="shared" si="28"/>
        <v>588650</v>
      </c>
      <c r="J249" s="57"/>
      <c r="K249" s="57" t="str">
        <f t="shared" si="29"/>
        <v>-</v>
      </c>
      <c r="L249" s="57">
        <f t="shared" si="29"/>
        <v>1347</v>
      </c>
      <c r="M249" s="57" t="str">
        <f t="shared" si="29"/>
        <v>-</v>
      </c>
      <c r="N249" s="57">
        <f t="shared" si="29"/>
        <v>30930</v>
      </c>
      <c r="O249" s="57">
        <f t="shared" si="29"/>
        <v>11353</v>
      </c>
      <c r="P249" s="57">
        <f t="shared" si="29"/>
        <v>6181</v>
      </c>
      <c r="Q249" s="57" t="str">
        <f t="shared" si="29"/>
        <v>-</v>
      </c>
      <c r="R249" s="57">
        <f t="shared" si="29"/>
        <v>49811</v>
      </c>
    </row>
    <row r="250" spans="1:18">
      <c r="A250" s="99">
        <v>1981</v>
      </c>
      <c r="B250" s="57" t="str">
        <f t="shared" si="28"/>
        <v>-</v>
      </c>
      <c r="C250" s="57">
        <f t="shared" si="28"/>
        <v>202939</v>
      </c>
      <c r="D250" s="57">
        <f t="shared" si="28"/>
        <v>59062</v>
      </c>
      <c r="E250" s="57">
        <f t="shared" si="28"/>
        <v>175247</v>
      </c>
      <c r="F250" s="57">
        <f t="shared" si="28"/>
        <v>111191</v>
      </c>
      <c r="G250" s="57">
        <f t="shared" si="28"/>
        <v>39620</v>
      </c>
      <c r="H250" s="57" t="str">
        <f t="shared" si="28"/>
        <v>-</v>
      </c>
      <c r="I250" s="57">
        <f t="shared" si="28"/>
        <v>588059</v>
      </c>
      <c r="J250" s="57"/>
      <c r="K250" s="57" t="str">
        <f t="shared" si="29"/>
        <v>-</v>
      </c>
      <c r="L250" s="57">
        <f t="shared" si="29"/>
        <v>17963</v>
      </c>
      <c r="M250" s="57">
        <f t="shared" si="29"/>
        <v>8060</v>
      </c>
      <c r="N250" s="57">
        <f t="shared" si="29"/>
        <v>24375</v>
      </c>
      <c r="O250" s="57">
        <f t="shared" si="29"/>
        <v>30418</v>
      </c>
      <c r="P250" s="57">
        <f t="shared" si="29"/>
        <v>3061</v>
      </c>
      <c r="Q250" s="57" t="str">
        <f t="shared" si="29"/>
        <v>-</v>
      </c>
      <c r="R250" s="57">
        <f t="shared" si="29"/>
        <v>83877</v>
      </c>
    </row>
    <row r="251" spans="1:18">
      <c r="A251" s="99">
        <v>1982</v>
      </c>
      <c r="B251" s="57">
        <f t="shared" si="28"/>
        <v>59844</v>
      </c>
      <c r="C251" s="57">
        <f t="shared" si="28"/>
        <v>201249</v>
      </c>
      <c r="D251" s="57">
        <f t="shared" si="28"/>
        <v>84193</v>
      </c>
      <c r="E251" s="57">
        <f t="shared" si="28"/>
        <v>247387</v>
      </c>
      <c r="F251" s="57">
        <f t="shared" si="28"/>
        <v>139373</v>
      </c>
      <c r="G251" s="57">
        <f t="shared" si="28"/>
        <v>33114</v>
      </c>
      <c r="H251" s="57" t="str">
        <f t="shared" si="28"/>
        <v>-</v>
      </c>
      <c r="I251" s="57">
        <f t="shared" si="28"/>
        <v>765160</v>
      </c>
      <c r="J251" s="57"/>
      <c r="K251" s="57">
        <f t="shared" si="29"/>
        <v>115</v>
      </c>
      <c r="L251" s="57">
        <f t="shared" si="29"/>
        <v>1804</v>
      </c>
      <c r="M251" s="57">
        <f t="shared" si="29"/>
        <v>12897</v>
      </c>
      <c r="N251" s="57">
        <f t="shared" si="29"/>
        <v>60254</v>
      </c>
      <c r="O251" s="57">
        <f t="shared" si="29"/>
        <v>15015</v>
      </c>
      <c r="P251" s="57">
        <f t="shared" si="29"/>
        <v>1800</v>
      </c>
      <c r="Q251" s="57" t="str">
        <f t="shared" si="29"/>
        <v>-</v>
      </c>
      <c r="R251" s="57">
        <f t="shared" si="29"/>
        <v>91885</v>
      </c>
    </row>
    <row r="252" spans="1:18">
      <c r="A252" s="99">
        <v>1983</v>
      </c>
      <c r="B252" s="57">
        <f t="shared" si="28"/>
        <v>2187</v>
      </c>
      <c r="C252" s="57">
        <f t="shared" si="28"/>
        <v>93452</v>
      </c>
      <c r="D252" s="57">
        <f t="shared" si="28"/>
        <v>84076</v>
      </c>
      <c r="E252" s="57">
        <f t="shared" si="28"/>
        <v>83615</v>
      </c>
      <c r="F252" s="57">
        <f t="shared" si="28"/>
        <v>26841</v>
      </c>
      <c r="G252" s="57">
        <f t="shared" si="28"/>
        <v>3812</v>
      </c>
      <c r="H252" s="57" t="str">
        <f t="shared" si="28"/>
        <v>-</v>
      </c>
      <c r="I252" s="57">
        <f t="shared" si="28"/>
        <v>293983</v>
      </c>
      <c r="J252" s="57"/>
      <c r="K252" s="57">
        <f t="shared" si="29"/>
        <v>68</v>
      </c>
      <c r="L252" s="57">
        <f t="shared" si="29"/>
        <v>365</v>
      </c>
      <c r="M252" s="57">
        <f t="shared" si="29"/>
        <v>29593</v>
      </c>
      <c r="N252" s="57">
        <f t="shared" si="29"/>
        <v>20390</v>
      </c>
      <c r="O252" s="57">
        <f t="shared" si="29"/>
        <v>9342</v>
      </c>
      <c r="P252" s="57">
        <f t="shared" si="29"/>
        <v>136</v>
      </c>
      <c r="Q252" s="57" t="str">
        <f t="shared" si="29"/>
        <v>-</v>
      </c>
      <c r="R252" s="57">
        <f t="shared" si="29"/>
        <v>59894</v>
      </c>
    </row>
    <row r="253" spans="1:18">
      <c r="A253" s="99">
        <v>1984</v>
      </c>
      <c r="B253" s="57" t="str">
        <f t="shared" si="28"/>
        <v>-</v>
      </c>
      <c r="C253" s="57">
        <f t="shared" si="28"/>
        <v>32854</v>
      </c>
      <c r="D253" s="57">
        <f t="shared" si="28"/>
        <v>57516</v>
      </c>
      <c r="E253" s="57">
        <f t="shared" si="28"/>
        <v>113257</v>
      </c>
      <c r="F253" s="57">
        <f t="shared" si="28"/>
        <v>74088</v>
      </c>
      <c r="G253" s="57">
        <f t="shared" si="28"/>
        <v>22044</v>
      </c>
      <c r="H253" s="57" t="str">
        <f t="shared" si="28"/>
        <v>-</v>
      </c>
      <c r="I253" s="57">
        <f t="shared" si="28"/>
        <v>299759</v>
      </c>
      <c r="J253" s="57"/>
      <c r="K253" s="57" t="str">
        <f t="shared" si="29"/>
        <v>-</v>
      </c>
      <c r="L253" s="57" t="str">
        <f t="shared" si="29"/>
        <v>-</v>
      </c>
      <c r="M253" s="57">
        <f t="shared" si="29"/>
        <v>11232</v>
      </c>
      <c r="N253" s="57">
        <f t="shared" si="29"/>
        <v>29171</v>
      </c>
      <c r="O253" s="57">
        <f t="shared" si="29"/>
        <v>6286</v>
      </c>
      <c r="P253" s="57">
        <f t="shared" si="29"/>
        <v>333</v>
      </c>
      <c r="Q253" s="57" t="str">
        <f t="shared" si="29"/>
        <v>-</v>
      </c>
      <c r="R253" s="57">
        <f t="shared" si="29"/>
        <v>47022</v>
      </c>
    </row>
    <row r="254" spans="1:18">
      <c r="A254" s="99">
        <v>1985</v>
      </c>
      <c r="B254" s="57" t="str">
        <f t="shared" si="28"/>
        <v>-</v>
      </c>
      <c r="C254" s="57">
        <f t="shared" si="28"/>
        <v>92449</v>
      </c>
      <c r="D254" s="57">
        <f t="shared" si="28"/>
        <v>88766</v>
      </c>
      <c r="E254" s="57">
        <f t="shared" si="28"/>
        <v>106144</v>
      </c>
      <c r="F254" s="57">
        <f t="shared" si="28"/>
        <v>59166</v>
      </c>
      <c r="G254" s="57">
        <f t="shared" si="28"/>
        <v>19773</v>
      </c>
      <c r="H254" s="57" t="str">
        <f t="shared" si="28"/>
        <v>-</v>
      </c>
      <c r="I254" s="57">
        <f t="shared" si="28"/>
        <v>366298</v>
      </c>
      <c r="J254" s="57"/>
      <c r="K254" s="57" t="str">
        <f t="shared" si="29"/>
        <v>-</v>
      </c>
      <c r="L254" s="57">
        <f t="shared" si="29"/>
        <v>15</v>
      </c>
      <c r="M254" s="57">
        <f t="shared" si="29"/>
        <v>2957</v>
      </c>
      <c r="N254" s="57">
        <f t="shared" si="29"/>
        <v>6630</v>
      </c>
      <c r="O254" s="57">
        <f t="shared" si="29"/>
        <v>1286</v>
      </c>
      <c r="P254" s="57">
        <f t="shared" si="29"/>
        <v>66</v>
      </c>
      <c r="Q254" s="57" t="str">
        <f t="shared" si="29"/>
        <v>-</v>
      </c>
      <c r="R254" s="57">
        <f t="shared" si="29"/>
        <v>10954</v>
      </c>
    </row>
    <row r="255" spans="1:18">
      <c r="A255" s="99">
        <v>1986</v>
      </c>
      <c r="B255" s="57" t="str">
        <f t="shared" ref="B255:I264" si="30">IF(AND(B207="-",B159="-",B111="-",B63="-",B15="-"),"-",SUM(B207,B159,B111,B63,B15))</f>
        <v>-</v>
      </c>
      <c r="C255" s="57">
        <f t="shared" si="30"/>
        <v>223621</v>
      </c>
      <c r="D255" s="57">
        <f t="shared" si="30"/>
        <v>293200</v>
      </c>
      <c r="E255" s="57">
        <f t="shared" si="30"/>
        <v>215133.00000000003</v>
      </c>
      <c r="F255" s="57">
        <f t="shared" si="30"/>
        <v>84533.000000000015</v>
      </c>
      <c r="G255" s="57">
        <f t="shared" si="30"/>
        <v>9101</v>
      </c>
      <c r="H255" s="57" t="str">
        <f t="shared" si="30"/>
        <v>-</v>
      </c>
      <c r="I255" s="57">
        <f t="shared" si="30"/>
        <v>825588</v>
      </c>
      <c r="J255" s="57"/>
      <c r="K255" s="57" t="str">
        <f t="shared" ref="K255:R264" si="31">IF(AND(K207="-",K159="-",K111="-",K63="-",K15="-"),"-",SUM(K207,K159,K111,K63,K15))</f>
        <v>-</v>
      </c>
      <c r="L255" s="57" t="str">
        <f t="shared" si="31"/>
        <v>-</v>
      </c>
      <c r="M255" s="57">
        <f t="shared" si="31"/>
        <v>15955</v>
      </c>
      <c r="N255" s="57">
        <f t="shared" si="31"/>
        <v>18193.999999999996</v>
      </c>
      <c r="O255" s="57">
        <f t="shared" si="31"/>
        <v>2077</v>
      </c>
      <c r="P255" s="57">
        <f t="shared" si="31"/>
        <v>129</v>
      </c>
      <c r="Q255" s="57" t="str">
        <f t="shared" si="31"/>
        <v>-</v>
      </c>
      <c r="R255" s="57">
        <f t="shared" si="31"/>
        <v>36317.321478531092</v>
      </c>
    </row>
    <row r="256" spans="1:18">
      <c r="A256" s="99">
        <v>1987</v>
      </c>
      <c r="B256" s="57" t="str">
        <f t="shared" si="30"/>
        <v>-</v>
      </c>
      <c r="C256" s="57">
        <f t="shared" si="30"/>
        <v>264923</v>
      </c>
      <c r="D256" s="57">
        <f t="shared" si="30"/>
        <v>301634</v>
      </c>
      <c r="E256" s="57">
        <f t="shared" si="30"/>
        <v>205405</v>
      </c>
      <c r="F256" s="57">
        <f t="shared" si="30"/>
        <v>84142</v>
      </c>
      <c r="G256" s="57">
        <f t="shared" si="30"/>
        <v>20229.999999999996</v>
      </c>
      <c r="H256" s="57" t="str">
        <f t="shared" si="30"/>
        <v>-</v>
      </c>
      <c r="I256" s="57">
        <f t="shared" si="30"/>
        <v>876334</v>
      </c>
      <c r="J256" s="57"/>
      <c r="K256" s="57" t="str">
        <f t="shared" si="31"/>
        <v>-</v>
      </c>
      <c r="L256" s="57" t="str">
        <f t="shared" si="31"/>
        <v>-</v>
      </c>
      <c r="M256" s="57">
        <f t="shared" si="31"/>
        <v>24923</v>
      </c>
      <c r="N256" s="57">
        <f t="shared" si="31"/>
        <v>17308.473434253487</v>
      </c>
      <c r="O256" s="57" t="str">
        <f t="shared" si="31"/>
        <v>-</v>
      </c>
      <c r="P256" s="57">
        <f t="shared" si="31"/>
        <v>1442</v>
      </c>
      <c r="Q256" s="57" t="str">
        <f t="shared" si="31"/>
        <v>-</v>
      </c>
      <c r="R256" s="57">
        <f t="shared" si="31"/>
        <v>43702.983388143293</v>
      </c>
    </row>
    <row r="257" spans="1:18">
      <c r="A257" s="99">
        <v>1988</v>
      </c>
      <c r="B257" s="57" t="str">
        <f t="shared" si="30"/>
        <v>-</v>
      </c>
      <c r="C257" s="57">
        <f t="shared" si="30"/>
        <v>390784</v>
      </c>
      <c r="D257" s="57">
        <f t="shared" si="30"/>
        <v>382786</v>
      </c>
      <c r="E257" s="57">
        <f t="shared" si="30"/>
        <v>370942</v>
      </c>
      <c r="F257" s="57">
        <f t="shared" si="30"/>
        <v>111881</v>
      </c>
      <c r="G257" s="57">
        <f t="shared" si="30"/>
        <v>60814</v>
      </c>
      <c r="H257" s="57" t="str">
        <f t="shared" si="30"/>
        <v>-</v>
      </c>
      <c r="I257" s="57">
        <f t="shared" si="30"/>
        <v>1317207</v>
      </c>
      <c r="J257" s="57"/>
      <c r="K257" s="57" t="str">
        <f t="shared" si="31"/>
        <v>-</v>
      </c>
      <c r="L257" s="57" t="str">
        <f t="shared" si="31"/>
        <v>-</v>
      </c>
      <c r="M257" s="57">
        <f t="shared" si="31"/>
        <v>23448</v>
      </c>
      <c r="N257" s="57">
        <f t="shared" si="31"/>
        <v>23612</v>
      </c>
      <c r="O257" s="57">
        <f t="shared" si="31"/>
        <v>2294</v>
      </c>
      <c r="P257" s="57">
        <f t="shared" si="31"/>
        <v>1607</v>
      </c>
      <c r="Q257" s="57" t="str">
        <f t="shared" si="31"/>
        <v>-</v>
      </c>
      <c r="R257" s="57">
        <f t="shared" si="31"/>
        <v>50914.619645447106</v>
      </c>
    </row>
    <row r="258" spans="1:18">
      <c r="A258" s="99">
        <v>1989</v>
      </c>
      <c r="B258" s="57" t="str">
        <f t="shared" si="30"/>
        <v>-</v>
      </c>
      <c r="C258" s="57">
        <f t="shared" si="30"/>
        <v>176152</v>
      </c>
      <c r="D258" s="57">
        <f t="shared" si="30"/>
        <v>137583</v>
      </c>
      <c r="E258" s="57">
        <f t="shared" si="30"/>
        <v>112466</v>
      </c>
      <c r="F258" s="57">
        <f t="shared" si="30"/>
        <v>80514</v>
      </c>
      <c r="G258" s="57">
        <f t="shared" si="30"/>
        <v>23317</v>
      </c>
      <c r="H258" s="57">
        <f t="shared" si="30"/>
        <v>906</v>
      </c>
      <c r="I258" s="57">
        <f t="shared" si="30"/>
        <v>530938</v>
      </c>
      <c r="J258" s="57"/>
      <c r="K258" s="57" t="str">
        <f t="shared" si="31"/>
        <v>-</v>
      </c>
      <c r="L258" s="57" t="str">
        <f t="shared" si="31"/>
        <v>-</v>
      </c>
      <c r="M258" s="57">
        <f t="shared" si="31"/>
        <v>16036</v>
      </c>
      <c r="N258" s="57">
        <f t="shared" si="31"/>
        <v>15913</v>
      </c>
      <c r="O258" s="57">
        <f t="shared" si="31"/>
        <v>8926</v>
      </c>
      <c r="P258" s="57">
        <f t="shared" si="31"/>
        <v>829</v>
      </c>
      <c r="Q258" s="57">
        <f t="shared" si="31"/>
        <v>245</v>
      </c>
      <c r="R258" s="57">
        <f t="shared" si="31"/>
        <v>41990.376714456899</v>
      </c>
    </row>
    <row r="259" spans="1:18">
      <c r="A259" s="99">
        <v>1990</v>
      </c>
      <c r="B259" s="57" t="str">
        <f t="shared" si="30"/>
        <v>-</v>
      </c>
      <c r="C259" s="57">
        <f t="shared" si="30"/>
        <v>145197</v>
      </c>
      <c r="D259" s="57">
        <f t="shared" si="30"/>
        <v>173971</v>
      </c>
      <c r="E259" s="57">
        <f t="shared" si="30"/>
        <v>71743</v>
      </c>
      <c r="F259" s="57">
        <f t="shared" si="30"/>
        <v>25384</v>
      </c>
      <c r="G259" s="57">
        <f t="shared" si="30"/>
        <v>7099</v>
      </c>
      <c r="H259" s="57">
        <f t="shared" si="30"/>
        <v>53</v>
      </c>
      <c r="I259" s="57">
        <f t="shared" si="30"/>
        <v>423447</v>
      </c>
      <c r="J259" s="57"/>
      <c r="K259" s="57" t="str">
        <f t="shared" si="31"/>
        <v>-</v>
      </c>
      <c r="L259" s="57" t="str">
        <f t="shared" si="31"/>
        <v>-</v>
      </c>
      <c r="M259" s="57">
        <f t="shared" si="31"/>
        <v>38588</v>
      </c>
      <c r="N259" s="57">
        <f t="shared" si="31"/>
        <v>16260</v>
      </c>
      <c r="O259" s="57">
        <f t="shared" si="31"/>
        <v>4477</v>
      </c>
      <c r="P259" s="57">
        <f t="shared" si="31"/>
        <v>1684</v>
      </c>
      <c r="Q259" s="57">
        <f t="shared" si="31"/>
        <v>5</v>
      </c>
      <c r="R259" s="57">
        <f t="shared" si="31"/>
        <v>60976</v>
      </c>
    </row>
    <row r="260" spans="1:18">
      <c r="A260" s="99">
        <v>1991</v>
      </c>
      <c r="B260" s="57" t="str">
        <f t="shared" si="30"/>
        <v>-</v>
      </c>
      <c r="C260" s="57">
        <f t="shared" si="30"/>
        <v>80100</v>
      </c>
      <c r="D260" s="57">
        <f t="shared" si="30"/>
        <v>87100</v>
      </c>
      <c r="E260" s="57">
        <f t="shared" si="30"/>
        <v>49600</v>
      </c>
      <c r="F260" s="57">
        <f t="shared" si="30"/>
        <v>65600</v>
      </c>
      <c r="G260" s="57">
        <f t="shared" si="30"/>
        <v>12100</v>
      </c>
      <c r="H260" s="57">
        <f t="shared" si="30"/>
        <v>400</v>
      </c>
      <c r="I260" s="57">
        <f t="shared" si="30"/>
        <v>294900</v>
      </c>
      <c r="J260" s="57"/>
      <c r="K260" s="57" t="str">
        <f t="shared" si="31"/>
        <v>-</v>
      </c>
      <c r="L260" s="57" t="str">
        <f t="shared" si="31"/>
        <v>-</v>
      </c>
      <c r="M260" s="57">
        <f t="shared" si="31"/>
        <v>50200</v>
      </c>
      <c r="N260" s="57">
        <f t="shared" si="31"/>
        <v>24000</v>
      </c>
      <c r="O260" s="57">
        <f t="shared" si="31"/>
        <v>5200</v>
      </c>
      <c r="P260" s="57">
        <f t="shared" si="31"/>
        <v>3000</v>
      </c>
      <c r="Q260" s="57">
        <f t="shared" si="31"/>
        <v>100</v>
      </c>
      <c r="R260" s="57">
        <f t="shared" si="31"/>
        <v>82500</v>
      </c>
    </row>
    <row r="261" spans="1:18">
      <c r="A261" s="99">
        <v>1992</v>
      </c>
      <c r="B261" s="57" t="str">
        <f t="shared" si="30"/>
        <v>-</v>
      </c>
      <c r="C261" s="57">
        <f t="shared" si="30"/>
        <v>51400</v>
      </c>
      <c r="D261" s="57">
        <f t="shared" si="30"/>
        <v>18900</v>
      </c>
      <c r="E261" s="57">
        <f t="shared" si="30"/>
        <v>20600</v>
      </c>
      <c r="F261" s="57">
        <f t="shared" si="30"/>
        <v>41300</v>
      </c>
      <c r="G261" s="57">
        <f t="shared" si="30"/>
        <v>28100</v>
      </c>
      <c r="H261" s="57" t="str">
        <f t="shared" si="30"/>
        <v>-</v>
      </c>
      <c r="I261" s="57">
        <f t="shared" si="30"/>
        <v>160300</v>
      </c>
      <c r="J261" s="57"/>
      <c r="K261" s="57" t="str">
        <f t="shared" si="31"/>
        <v>-</v>
      </c>
      <c r="L261" s="57" t="str">
        <f t="shared" si="31"/>
        <v>-</v>
      </c>
      <c r="M261" s="57">
        <f t="shared" si="31"/>
        <v>1500</v>
      </c>
      <c r="N261" s="57">
        <f t="shared" si="31"/>
        <v>500</v>
      </c>
      <c r="O261" s="57">
        <f t="shared" si="31"/>
        <v>450</v>
      </c>
      <c r="P261" s="57" t="str">
        <f t="shared" si="31"/>
        <v>-</v>
      </c>
      <c r="Q261" s="57" t="str">
        <f t="shared" si="31"/>
        <v>-</v>
      </c>
      <c r="R261" s="57">
        <f t="shared" si="31"/>
        <v>2450</v>
      </c>
    </row>
    <row r="262" spans="1:18">
      <c r="A262" s="99">
        <v>1993</v>
      </c>
      <c r="B262" s="57" t="str">
        <f t="shared" si="30"/>
        <v>-</v>
      </c>
      <c r="C262" s="57">
        <f t="shared" si="30"/>
        <v>111078</v>
      </c>
      <c r="D262" s="57">
        <f t="shared" si="30"/>
        <v>40353</v>
      </c>
      <c r="E262" s="57">
        <f t="shared" si="30"/>
        <v>55755</v>
      </c>
      <c r="F262" s="57">
        <f t="shared" si="30"/>
        <v>48377</v>
      </c>
      <c r="G262" s="57">
        <f t="shared" si="30"/>
        <v>23990</v>
      </c>
      <c r="H262" s="57" t="str">
        <f t="shared" si="30"/>
        <v>-</v>
      </c>
      <c r="I262" s="57">
        <f t="shared" si="30"/>
        <v>279553</v>
      </c>
      <c r="J262" s="57"/>
      <c r="K262" s="57" t="str">
        <f t="shared" si="31"/>
        <v>-</v>
      </c>
      <c r="L262" s="57" t="str">
        <f t="shared" si="31"/>
        <v>-</v>
      </c>
      <c r="M262" s="57" t="str">
        <f t="shared" si="31"/>
        <v>-</v>
      </c>
      <c r="N262" s="57" t="str">
        <f t="shared" si="31"/>
        <v>-</v>
      </c>
      <c r="O262" s="57" t="str">
        <f t="shared" si="31"/>
        <v>-</v>
      </c>
      <c r="P262" s="57" t="str">
        <f t="shared" si="31"/>
        <v>-</v>
      </c>
      <c r="Q262" s="57" t="str">
        <f t="shared" si="31"/>
        <v>-</v>
      </c>
      <c r="R262" s="57" t="str">
        <f t="shared" si="31"/>
        <v>-</v>
      </c>
    </row>
    <row r="263" spans="1:18">
      <c r="A263" s="99">
        <v>1994</v>
      </c>
      <c r="B263" s="57" t="str">
        <f t="shared" si="30"/>
        <v>-</v>
      </c>
      <c r="C263" s="57">
        <f t="shared" si="30"/>
        <v>78829</v>
      </c>
      <c r="D263" s="57">
        <f t="shared" si="30"/>
        <v>81119</v>
      </c>
      <c r="E263" s="57">
        <f t="shared" si="30"/>
        <v>89175</v>
      </c>
      <c r="F263" s="57">
        <f t="shared" si="30"/>
        <v>27379</v>
      </c>
      <c r="G263" s="57">
        <f t="shared" si="30"/>
        <v>19072</v>
      </c>
      <c r="H263" s="57" t="str">
        <f t="shared" si="30"/>
        <v>-</v>
      </c>
      <c r="I263" s="57">
        <f t="shared" si="30"/>
        <v>295574</v>
      </c>
      <c r="J263" s="57"/>
      <c r="K263" s="57" t="str">
        <f t="shared" si="31"/>
        <v>-</v>
      </c>
      <c r="L263" s="57" t="str">
        <f t="shared" si="31"/>
        <v>-</v>
      </c>
      <c r="M263" s="57" t="str">
        <f t="shared" si="31"/>
        <v>-</v>
      </c>
      <c r="N263" s="57" t="str">
        <f t="shared" si="31"/>
        <v>-</v>
      </c>
      <c r="O263" s="57" t="str">
        <f t="shared" si="31"/>
        <v>-</v>
      </c>
      <c r="P263" s="57" t="str">
        <f t="shared" si="31"/>
        <v>-</v>
      </c>
      <c r="Q263" s="57" t="str">
        <f t="shared" si="31"/>
        <v>-</v>
      </c>
      <c r="R263" s="57" t="str">
        <f t="shared" si="31"/>
        <v>-</v>
      </c>
    </row>
    <row r="264" spans="1:18">
      <c r="A264" s="99">
        <v>1995</v>
      </c>
      <c r="B264" s="57" t="str">
        <f t="shared" si="30"/>
        <v>-</v>
      </c>
      <c r="C264" s="57">
        <f t="shared" si="30"/>
        <v>285457</v>
      </c>
      <c r="D264" s="57">
        <f t="shared" si="30"/>
        <v>142227</v>
      </c>
      <c r="E264" s="57">
        <f t="shared" si="30"/>
        <v>189622</v>
      </c>
      <c r="F264" s="57">
        <f t="shared" si="30"/>
        <v>30880</v>
      </c>
      <c r="G264" s="57">
        <f t="shared" si="30"/>
        <v>31126</v>
      </c>
      <c r="H264" s="57" t="str">
        <f t="shared" si="30"/>
        <v>-</v>
      </c>
      <c r="I264" s="57">
        <f t="shared" si="30"/>
        <v>679312</v>
      </c>
      <c r="J264" s="57"/>
      <c r="K264" s="57" t="str">
        <f t="shared" si="31"/>
        <v>-</v>
      </c>
      <c r="L264" s="57" t="str">
        <f t="shared" si="31"/>
        <v>-</v>
      </c>
      <c r="M264" s="57" t="str">
        <f t="shared" si="31"/>
        <v>-</v>
      </c>
      <c r="N264" s="57" t="str">
        <f t="shared" si="31"/>
        <v>-</v>
      </c>
      <c r="O264" s="57" t="str">
        <f t="shared" si="31"/>
        <v>-</v>
      </c>
      <c r="P264" s="57" t="str">
        <f t="shared" si="31"/>
        <v>-</v>
      </c>
      <c r="Q264" s="57" t="str">
        <f t="shared" si="31"/>
        <v>-</v>
      </c>
      <c r="R264" s="57" t="str">
        <f t="shared" si="31"/>
        <v>-</v>
      </c>
    </row>
    <row r="265" spans="1:18">
      <c r="A265" s="99">
        <v>1996</v>
      </c>
      <c r="B265" s="57" t="str">
        <f t="shared" ref="B265:I274" si="32">IF(AND(B217="-",B169="-",B121="-",B73="-",B25="-"),"-",SUM(B217,B169,B121,B73,B25))</f>
        <v>-</v>
      </c>
      <c r="C265" s="57">
        <f t="shared" si="32"/>
        <v>97075</v>
      </c>
      <c r="D265" s="57">
        <f t="shared" si="32"/>
        <v>130284</v>
      </c>
      <c r="E265" s="57">
        <f t="shared" si="32"/>
        <v>95417</v>
      </c>
      <c r="F265" s="57">
        <f t="shared" si="32"/>
        <v>31278</v>
      </c>
      <c r="G265" s="57">
        <f t="shared" si="32"/>
        <v>26797</v>
      </c>
      <c r="H265" s="57" t="str">
        <f t="shared" si="32"/>
        <v>-</v>
      </c>
      <c r="I265" s="57">
        <f t="shared" si="32"/>
        <v>380851</v>
      </c>
      <c r="J265" s="57"/>
      <c r="K265" s="57" t="str">
        <f t="shared" ref="K265:R274" si="33">IF(AND(K217="-",K169="-",K121="-",K73="-",K25="-"),"-",SUM(K217,K169,K121,K73,K25))</f>
        <v>-</v>
      </c>
      <c r="L265" s="57" t="str">
        <f t="shared" si="33"/>
        <v>-</v>
      </c>
      <c r="M265" s="57" t="str">
        <f t="shared" si="33"/>
        <v>-</v>
      </c>
      <c r="N265" s="57" t="str">
        <f t="shared" si="33"/>
        <v>-</v>
      </c>
      <c r="O265" s="57" t="str">
        <f t="shared" si="33"/>
        <v>-</v>
      </c>
      <c r="P265" s="57" t="str">
        <f t="shared" si="33"/>
        <v>-</v>
      </c>
      <c r="Q265" s="57" t="str">
        <f t="shared" si="33"/>
        <v>-</v>
      </c>
      <c r="R265" s="57" t="str">
        <f t="shared" si="33"/>
        <v>-</v>
      </c>
    </row>
    <row r="266" spans="1:18">
      <c r="A266" s="99">
        <v>1997</v>
      </c>
      <c r="B266" s="57">
        <f t="shared" si="32"/>
        <v>11891</v>
      </c>
      <c r="C266" s="57">
        <f t="shared" si="32"/>
        <v>199057</v>
      </c>
      <c r="D266" s="57">
        <f t="shared" si="32"/>
        <v>74576</v>
      </c>
      <c r="E266" s="57">
        <f t="shared" si="32"/>
        <v>153940</v>
      </c>
      <c r="F266" s="57">
        <f t="shared" si="32"/>
        <v>24737</v>
      </c>
      <c r="G266" s="57">
        <f t="shared" si="32"/>
        <v>23214</v>
      </c>
      <c r="H266" s="57" t="str">
        <f t="shared" si="32"/>
        <v>-</v>
      </c>
      <c r="I266" s="57">
        <f t="shared" si="32"/>
        <v>487415</v>
      </c>
      <c r="J266" s="57"/>
      <c r="K266" s="57" t="str">
        <f t="shared" si="33"/>
        <v>-</v>
      </c>
      <c r="L266" s="57" t="str">
        <f t="shared" si="33"/>
        <v>-</v>
      </c>
      <c r="M266" s="57" t="str">
        <f t="shared" si="33"/>
        <v>-</v>
      </c>
      <c r="N266" s="57" t="str">
        <f t="shared" si="33"/>
        <v>-</v>
      </c>
      <c r="O266" s="57" t="str">
        <f t="shared" si="33"/>
        <v>-</v>
      </c>
      <c r="P266" s="57" t="str">
        <f t="shared" si="33"/>
        <v>-</v>
      </c>
      <c r="Q266" s="57" t="str">
        <f t="shared" si="33"/>
        <v>-</v>
      </c>
      <c r="R266" s="57" t="str">
        <f t="shared" si="33"/>
        <v>-</v>
      </c>
    </row>
    <row r="267" spans="1:18">
      <c r="A267" s="99">
        <v>1998</v>
      </c>
      <c r="B267" s="57" t="str">
        <f t="shared" si="32"/>
        <v>-</v>
      </c>
      <c r="C267" s="57">
        <f t="shared" si="32"/>
        <v>76266</v>
      </c>
      <c r="D267" s="57">
        <f t="shared" si="32"/>
        <v>39438</v>
      </c>
      <c r="E267" s="57">
        <f t="shared" si="32"/>
        <v>74931</v>
      </c>
      <c r="F267" s="57">
        <f t="shared" si="32"/>
        <v>15900</v>
      </c>
      <c r="G267" s="57">
        <f t="shared" si="32"/>
        <v>20401</v>
      </c>
      <c r="H267" s="57" t="str">
        <f t="shared" si="32"/>
        <v>-</v>
      </c>
      <c r="I267" s="57">
        <f t="shared" si="32"/>
        <v>226936</v>
      </c>
      <c r="J267" s="57"/>
      <c r="K267" s="57" t="str">
        <f t="shared" si="33"/>
        <v>-</v>
      </c>
      <c r="L267" s="57" t="str">
        <f t="shared" si="33"/>
        <v>-</v>
      </c>
      <c r="M267" s="57" t="str">
        <f t="shared" si="33"/>
        <v>-</v>
      </c>
      <c r="N267" s="57" t="str">
        <f t="shared" si="33"/>
        <v>-</v>
      </c>
      <c r="O267" s="57" t="str">
        <f t="shared" si="33"/>
        <v>-</v>
      </c>
      <c r="P267" s="57" t="str">
        <f t="shared" si="33"/>
        <v>-</v>
      </c>
      <c r="Q267" s="57" t="str">
        <f t="shared" si="33"/>
        <v>-</v>
      </c>
      <c r="R267" s="57" t="str">
        <f t="shared" si="33"/>
        <v>-</v>
      </c>
    </row>
    <row r="268" spans="1:18">
      <c r="A268" s="99">
        <v>1999</v>
      </c>
      <c r="B268" s="57">
        <f t="shared" si="32"/>
        <v>3268</v>
      </c>
      <c r="C268" s="57">
        <f t="shared" si="32"/>
        <v>30554</v>
      </c>
      <c r="D268" s="57">
        <f t="shared" si="32"/>
        <v>125629</v>
      </c>
      <c r="E268" s="57">
        <f t="shared" si="32"/>
        <v>71469</v>
      </c>
      <c r="F268" s="57">
        <f t="shared" si="32"/>
        <v>24035</v>
      </c>
      <c r="G268" s="57">
        <f t="shared" si="32"/>
        <v>9497</v>
      </c>
      <c r="H268" s="57" t="str">
        <f t="shared" si="32"/>
        <v>-</v>
      </c>
      <c r="I268" s="57">
        <f t="shared" si="32"/>
        <v>264452</v>
      </c>
      <c r="J268" s="57"/>
      <c r="K268" s="57" t="str">
        <f t="shared" si="33"/>
        <v>-</v>
      </c>
      <c r="L268" s="57" t="str">
        <f t="shared" si="33"/>
        <v>-</v>
      </c>
      <c r="M268" s="57" t="str">
        <f t="shared" si="33"/>
        <v>-</v>
      </c>
      <c r="N268" s="57" t="str">
        <f t="shared" si="33"/>
        <v>-</v>
      </c>
      <c r="O268" s="57" t="str">
        <f t="shared" si="33"/>
        <v>-</v>
      </c>
      <c r="P268" s="57" t="str">
        <f t="shared" si="33"/>
        <v>-</v>
      </c>
      <c r="Q268" s="57" t="str">
        <f t="shared" si="33"/>
        <v>-</v>
      </c>
      <c r="R268" s="57" t="str">
        <f t="shared" si="33"/>
        <v>-</v>
      </c>
    </row>
    <row r="269" spans="1:18">
      <c r="A269" s="99">
        <v>2000</v>
      </c>
      <c r="B269" s="57" t="str">
        <f t="shared" si="32"/>
        <v>-</v>
      </c>
      <c r="C269" s="57">
        <f t="shared" si="32"/>
        <v>205634</v>
      </c>
      <c r="D269" s="57">
        <f t="shared" si="32"/>
        <v>138470</v>
      </c>
      <c r="E269" s="57">
        <f t="shared" si="32"/>
        <v>47403</v>
      </c>
      <c r="F269" s="57">
        <f t="shared" si="32"/>
        <v>27033</v>
      </c>
      <c r="G269" s="57">
        <f t="shared" si="32"/>
        <v>61812</v>
      </c>
      <c r="H269" s="57" t="str">
        <f t="shared" si="32"/>
        <v>-</v>
      </c>
      <c r="I269" s="57">
        <f t="shared" si="32"/>
        <v>480352</v>
      </c>
      <c r="J269" s="57"/>
      <c r="K269" s="57" t="str">
        <f t="shared" si="33"/>
        <v>-</v>
      </c>
      <c r="L269" s="57" t="str">
        <f t="shared" si="33"/>
        <v>-</v>
      </c>
      <c r="M269" s="57" t="str">
        <f t="shared" si="33"/>
        <v>-</v>
      </c>
      <c r="N269" s="57" t="str">
        <f t="shared" si="33"/>
        <v>-</v>
      </c>
      <c r="O269" s="57" t="str">
        <f t="shared" si="33"/>
        <v>-</v>
      </c>
      <c r="P269" s="57" t="str">
        <f t="shared" si="33"/>
        <v>-</v>
      </c>
      <c r="Q269" s="57" t="str">
        <f t="shared" si="33"/>
        <v>-</v>
      </c>
      <c r="R269" s="57" t="str">
        <f t="shared" si="33"/>
        <v>-</v>
      </c>
    </row>
    <row r="270" spans="1:18">
      <c r="A270" s="99">
        <v>2001</v>
      </c>
      <c r="B270" s="57" t="str">
        <f t="shared" si="32"/>
        <v>-</v>
      </c>
      <c r="C270" s="57">
        <f t="shared" si="32"/>
        <v>73044</v>
      </c>
      <c r="D270" s="57">
        <f t="shared" si="32"/>
        <v>11497</v>
      </c>
      <c r="E270" s="57">
        <f t="shared" si="32"/>
        <v>63084</v>
      </c>
      <c r="F270" s="57">
        <f t="shared" si="32"/>
        <v>14172</v>
      </c>
      <c r="G270" s="57">
        <f t="shared" si="32"/>
        <v>27634</v>
      </c>
      <c r="H270" s="57">
        <f t="shared" si="32"/>
        <v>3655</v>
      </c>
      <c r="I270" s="57">
        <f t="shared" si="32"/>
        <v>193086</v>
      </c>
      <c r="K270" s="57" t="str">
        <f t="shared" si="33"/>
        <v>-</v>
      </c>
      <c r="L270" s="57" t="str">
        <f t="shared" si="33"/>
        <v>-</v>
      </c>
      <c r="M270" s="57" t="str">
        <f t="shared" si="33"/>
        <v>-</v>
      </c>
      <c r="N270" s="57" t="str">
        <f t="shared" si="33"/>
        <v>-</v>
      </c>
      <c r="O270" s="57" t="str">
        <f t="shared" si="33"/>
        <v>-</v>
      </c>
      <c r="P270" s="57" t="str">
        <f t="shared" si="33"/>
        <v>-</v>
      </c>
      <c r="Q270" s="57" t="str">
        <f t="shared" si="33"/>
        <v>-</v>
      </c>
      <c r="R270" s="57" t="str">
        <f t="shared" si="33"/>
        <v>-</v>
      </c>
    </row>
    <row r="271" spans="1:18">
      <c r="A271" s="99">
        <v>2002</v>
      </c>
      <c r="B271" s="57" t="str">
        <f t="shared" si="32"/>
        <v>-</v>
      </c>
      <c r="C271" s="57">
        <f t="shared" si="32"/>
        <v>86120</v>
      </c>
      <c r="D271" s="57">
        <f t="shared" si="32"/>
        <v>93214</v>
      </c>
      <c r="E271" s="57">
        <f t="shared" si="32"/>
        <v>128032</v>
      </c>
      <c r="F271" s="57">
        <f t="shared" si="32"/>
        <v>58969</v>
      </c>
      <c r="G271" s="57">
        <f t="shared" si="32"/>
        <v>24426</v>
      </c>
      <c r="H271" s="57">
        <f t="shared" si="32"/>
        <v>894</v>
      </c>
      <c r="I271" s="57">
        <f t="shared" si="32"/>
        <v>391655</v>
      </c>
      <c r="K271" s="57" t="str">
        <f t="shared" si="33"/>
        <v>-</v>
      </c>
      <c r="L271" s="57" t="str">
        <f t="shared" si="33"/>
        <v>-</v>
      </c>
      <c r="M271" s="57" t="str">
        <f t="shared" si="33"/>
        <v>-</v>
      </c>
      <c r="N271" s="57" t="str">
        <f t="shared" si="33"/>
        <v>-</v>
      </c>
      <c r="O271" s="57" t="str">
        <f t="shared" si="33"/>
        <v>-</v>
      </c>
      <c r="P271" s="57" t="str">
        <f t="shared" si="33"/>
        <v>-</v>
      </c>
      <c r="Q271" s="57" t="str">
        <f t="shared" si="33"/>
        <v>-</v>
      </c>
      <c r="R271" s="57" t="str">
        <f t="shared" si="33"/>
        <v>-</v>
      </c>
    </row>
    <row r="272" spans="1:18">
      <c r="A272" s="99">
        <v>2003</v>
      </c>
      <c r="B272" s="57">
        <f t="shared" si="32"/>
        <v>1654</v>
      </c>
      <c r="C272" s="57">
        <f t="shared" si="32"/>
        <v>73318</v>
      </c>
      <c r="D272" s="57">
        <f t="shared" si="32"/>
        <v>104301</v>
      </c>
      <c r="E272" s="57">
        <f t="shared" si="32"/>
        <v>123712</v>
      </c>
      <c r="F272" s="57">
        <f t="shared" si="32"/>
        <v>111086</v>
      </c>
      <c r="G272" s="57">
        <f t="shared" si="32"/>
        <v>75779</v>
      </c>
      <c r="H272" s="57">
        <f t="shared" si="32"/>
        <v>2044</v>
      </c>
      <c r="I272" s="57">
        <f t="shared" si="32"/>
        <v>491894</v>
      </c>
      <c r="K272" s="57" t="str">
        <f t="shared" si="33"/>
        <v>-</v>
      </c>
      <c r="L272" s="57" t="str">
        <f t="shared" si="33"/>
        <v>-</v>
      </c>
      <c r="M272" s="57" t="str">
        <f t="shared" si="33"/>
        <v>-</v>
      </c>
      <c r="N272" s="57" t="str">
        <f t="shared" si="33"/>
        <v>-</v>
      </c>
      <c r="O272" s="57" t="str">
        <f t="shared" si="33"/>
        <v>-</v>
      </c>
      <c r="P272" s="57" t="str">
        <f t="shared" si="33"/>
        <v>-</v>
      </c>
      <c r="Q272" s="57" t="str">
        <f t="shared" si="33"/>
        <v>-</v>
      </c>
      <c r="R272" s="57" t="str">
        <f t="shared" si="33"/>
        <v>-</v>
      </c>
    </row>
    <row r="273" spans="1:18">
      <c r="A273" s="99">
        <v>2004</v>
      </c>
      <c r="B273" s="57">
        <f t="shared" si="32"/>
        <v>718</v>
      </c>
      <c r="C273" s="57">
        <f t="shared" si="32"/>
        <v>97596</v>
      </c>
      <c r="D273" s="57">
        <f t="shared" si="32"/>
        <v>154181</v>
      </c>
      <c r="E273" s="57">
        <f t="shared" si="32"/>
        <v>162482</v>
      </c>
      <c r="F273" s="57">
        <f t="shared" si="32"/>
        <v>64211</v>
      </c>
      <c r="G273" s="57">
        <f t="shared" si="32"/>
        <v>21711</v>
      </c>
      <c r="H273" s="57">
        <f t="shared" si="32"/>
        <v>1211</v>
      </c>
      <c r="I273" s="57">
        <f t="shared" si="32"/>
        <v>502110</v>
      </c>
      <c r="J273" s="77"/>
      <c r="K273" s="57" t="str">
        <f t="shared" si="33"/>
        <v>-</v>
      </c>
      <c r="L273" s="57" t="str">
        <f t="shared" si="33"/>
        <v>-</v>
      </c>
      <c r="M273" s="57" t="str">
        <f t="shared" si="33"/>
        <v>-</v>
      </c>
      <c r="N273" s="57" t="str">
        <f t="shared" si="33"/>
        <v>-</v>
      </c>
      <c r="O273" s="57" t="str">
        <f t="shared" si="33"/>
        <v>-</v>
      </c>
      <c r="P273" s="57" t="str">
        <f t="shared" si="33"/>
        <v>-</v>
      </c>
      <c r="Q273" s="57" t="str">
        <f t="shared" si="33"/>
        <v>-</v>
      </c>
      <c r="R273" s="57" t="str">
        <f t="shared" si="33"/>
        <v>-</v>
      </c>
    </row>
    <row r="274" spans="1:18">
      <c r="A274" s="99">
        <v>2005</v>
      </c>
      <c r="B274" s="57" t="str">
        <f t="shared" si="32"/>
        <v>-</v>
      </c>
      <c r="C274" s="57">
        <f t="shared" si="32"/>
        <v>76855</v>
      </c>
      <c r="D274" s="57">
        <f t="shared" si="32"/>
        <v>5001</v>
      </c>
      <c r="E274" s="57">
        <f t="shared" si="32"/>
        <v>139928</v>
      </c>
      <c r="F274" s="57">
        <f t="shared" si="32"/>
        <v>35046</v>
      </c>
      <c r="G274" s="57">
        <f t="shared" si="32"/>
        <v>81727</v>
      </c>
      <c r="H274" s="57">
        <f t="shared" si="32"/>
        <v>2305</v>
      </c>
      <c r="I274" s="57">
        <f t="shared" si="32"/>
        <v>340862</v>
      </c>
      <c r="J274" s="77"/>
      <c r="K274" s="57" t="str">
        <f t="shared" si="33"/>
        <v>-</v>
      </c>
      <c r="L274" s="57" t="str">
        <f t="shared" si="33"/>
        <v>-</v>
      </c>
      <c r="M274" s="57" t="str">
        <f t="shared" si="33"/>
        <v>-</v>
      </c>
      <c r="N274" s="57" t="str">
        <f t="shared" si="33"/>
        <v>-</v>
      </c>
      <c r="O274" s="57" t="str">
        <f t="shared" si="33"/>
        <v>-</v>
      </c>
      <c r="P274" s="57" t="str">
        <f t="shared" si="33"/>
        <v>-</v>
      </c>
      <c r="Q274" s="57" t="str">
        <f t="shared" si="33"/>
        <v>-</v>
      </c>
      <c r="R274" s="57" t="str">
        <f t="shared" si="33"/>
        <v>-</v>
      </c>
    </row>
    <row r="275" spans="1:18">
      <c r="A275" s="99">
        <v>2006</v>
      </c>
      <c r="B275" s="57" t="str">
        <f t="shared" ref="B275:I284" si="34">IF(AND(B227="-",B179="-",B131="-",B83="-",B35="-"),"-",SUM(B227,B179,B131,B83,B35))</f>
        <v>-</v>
      </c>
      <c r="C275" s="57">
        <f t="shared" si="34"/>
        <v>9911</v>
      </c>
      <c r="D275" s="57">
        <f t="shared" si="34"/>
        <v>391</v>
      </c>
      <c r="E275" s="57">
        <f t="shared" si="34"/>
        <v>16783</v>
      </c>
      <c r="F275" s="57">
        <f t="shared" si="34"/>
        <v>18589</v>
      </c>
      <c r="G275" s="57">
        <f t="shared" si="34"/>
        <v>22982</v>
      </c>
      <c r="H275" s="57">
        <f t="shared" si="34"/>
        <v>1072</v>
      </c>
      <c r="I275" s="57">
        <f t="shared" si="34"/>
        <v>69728</v>
      </c>
      <c r="J275" s="77"/>
      <c r="K275" s="57" t="str">
        <f t="shared" ref="K275:R284" si="35">IF(AND(K227="-",K179="-",K131="-",K83="-",K35="-"),"-",SUM(K227,K179,K131,K83,K35))</f>
        <v>-</v>
      </c>
      <c r="L275" s="57" t="str">
        <f t="shared" si="35"/>
        <v>-</v>
      </c>
      <c r="M275" s="57" t="str">
        <f t="shared" si="35"/>
        <v>-</v>
      </c>
      <c r="N275" s="57" t="str">
        <f t="shared" si="35"/>
        <v>-</v>
      </c>
      <c r="O275" s="57" t="str">
        <f t="shared" si="35"/>
        <v>-</v>
      </c>
      <c r="P275" s="57" t="str">
        <f t="shared" si="35"/>
        <v>-</v>
      </c>
      <c r="Q275" s="57" t="str">
        <f t="shared" si="35"/>
        <v>-</v>
      </c>
      <c r="R275" s="57" t="str">
        <f t="shared" si="35"/>
        <v>-</v>
      </c>
    </row>
    <row r="276" spans="1:18">
      <c r="A276" s="99">
        <v>2007</v>
      </c>
      <c r="B276" s="77">
        <f t="shared" si="34"/>
        <v>748</v>
      </c>
      <c r="C276" s="77">
        <f t="shared" si="34"/>
        <v>36598</v>
      </c>
      <c r="D276" s="77">
        <f t="shared" si="34"/>
        <v>156</v>
      </c>
      <c r="E276" s="77">
        <f t="shared" si="34"/>
        <v>41808</v>
      </c>
      <c r="F276" s="77">
        <f t="shared" si="34"/>
        <v>23212</v>
      </c>
      <c r="G276" s="77">
        <f t="shared" si="34"/>
        <v>11267</v>
      </c>
      <c r="H276" s="77">
        <f t="shared" si="34"/>
        <v>352</v>
      </c>
      <c r="I276" s="77">
        <f t="shared" si="34"/>
        <v>114141</v>
      </c>
      <c r="J276" s="77"/>
      <c r="K276" s="77" t="str">
        <f t="shared" si="35"/>
        <v>-</v>
      </c>
      <c r="L276" s="77" t="str">
        <f t="shared" si="35"/>
        <v>-</v>
      </c>
      <c r="M276" s="77" t="str">
        <f t="shared" si="35"/>
        <v>-</v>
      </c>
      <c r="N276" s="77" t="str">
        <f t="shared" si="35"/>
        <v>-</v>
      </c>
      <c r="O276" s="77" t="str">
        <f t="shared" si="35"/>
        <v>-</v>
      </c>
      <c r="P276" s="77" t="str">
        <f t="shared" si="35"/>
        <v>-</v>
      </c>
      <c r="Q276" s="77" t="str">
        <f t="shared" si="35"/>
        <v>-</v>
      </c>
      <c r="R276" s="77" t="str">
        <f t="shared" si="35"/>
        <v>-</v>
      </c>
    </row>
    <row r="277" spans="1:18">
      <c r="A277" s="99">
        <v>2008</v>
      </c>
      <c r="B277" s="77" t="str">
        <f t="shared" si="34"/>
        <v>-</v>
      </c>
      <c r="C277" s="77" t="str">
        <f t="shared" si="34"/>
        <v>-</v>
      </c>
      <c r="D277" s="77" t="str">
        <f t="shared" si="34"/>
        <v>-</v>
      </c>
      <c r="E277" s="77" t="str">
        <f t="shared" si="34"/>
        <v>-</v>
      </c>
      <c r="F277" s="77" t="str">
        <f t="shared" si="34"/>
        <v>-</v>
      </c>
      <c r="G277" s="77" t="str">
        <f t="shared" si="34"/>
        <v>-</v>
      </c>
      <c r="H277" s="77" t="str">
        <f t="shared" si="34"/>
        <v>-</v>
      </c>
      <c r="I277" s="77" t="str">
        <f t="shared" si="34"/>
        <v>-</v>
      </c>
      <c r="J277" s="77"/>
      <c r="K277" s="77" t="str">
        <f t="shared" si="35"/>
        <v>-</v>
      </c>
      <c r="L277" s="77" t="str">
        <f t="shared" si="35"/>
        <v>-</v>
      </c>
      <c r="M277" s="77" t="str">
        <f t="shared" si="35"/>
        <v>-</v>
      </c>
      <c r="N277" s="77" t="str">
        <f t="shared" si="35"/>
        <v>-</v>
      </c>
      <c r="O277" s="77" t="str">
        <f t="shared" si="35"/>
        <v>-</v>
      </c>
      <c r="P277" s="77" t="str">
        <f t="shared" si="35"/>
        <v>-</v>
      </c>
      <c r="Q277" s="77" t="str">
        <f t="shared" si="35"/>
        <v>-</v>
      </c>
      <c r="R277" s="77" t="str">
        <f t="shared" si="35"/>
        <v>-</v>
      </c>
    </row>
    <row r="278" spans="1:18">
      <c r="A278" s="99">
        <v>2009</v>
      </c>
      <c r="B278" s="77" t="str">
        <f t="shared" si="34"/>
        <v>-</v>
      </c>
      <c r="C278" s="77" t="str">
        <f t="shared" si="34"/>
        <v>-</v>
      </c>
      <c r="D278" s="77" t="str">
        <f t="shared" si="34"/>
        <v>-</v>
      </c>
      <c r="E278" s="77" t="str">
        <f t="shared" si="34"/>
        <v>-</v>
      </c>
      <c r="F278" s="77" t="str">
        <f t="shared" si="34"/>
        <v>-</v>
      </c>
      <c r="G278" s="77" t="str">
        <f t="shared" si="34"/>
        <v>-</v>
      </c>
      <c r="H278" s="77" t="str">
        <f t="shared" si="34"/>
        <v>-</v>
      </c>
      <c r="I278" s="77" t="str">
        <f t="shared" si="34"/>
        <v>-</v>
      </c>
      <c r="J278" s="77"/>
      <c r="K278" s="77" t="str">
        <f t="shared" si="35"/>
        <v>-</v>
      </c>
      <c r="L278" s="77" t="str">
        <f t="shared" si="35"/>
        <v>-</v>
      </c>
      <c r="M278" s="77" t="str">
        <f t="shared" si="35"/>
        <v>-</v>
      </c>
      <c r="N278" s="77" t="str">
        <f t="shared" si="35"/>
        <v>-</v>
      </c>
      <c r="O278" s="77" t="str">
        <f t="shared" si="35"/>
        <v>-</v>
      </c>
      <c r="P278" s="77" t="str">
        <f t="shared" si="35"/>
        <v>-</v>
      </c>
      <c r="Q278" s="77" t="str">
        <f t="shared" si="35"/>
        <v>-</v>
      </c>
      <c r="R278" s="77" t="str">
        <f t="shared" si="35"/>
        <v>-</v>
      </c>
    </row>
    <row r="279" spans="1:18">
      <c r="A279" s="99">
        <v>2010</v>
      </c>
      <c r="B279" s="77" t="str">
        <f t="shared" si="34"/>
        <v>-</v>
      </c>
      <c r="C279" s="77" t="str">
        <f t="shared" si="34"/>
        <v>-</v>
      </c>
      <c r="D279" s="77" t="str">
        <f t="shared" si="34"/>
        <v>-</v>
      </c>
      <c r="E279" s="77">
        <f t="shared" si="34"/>
        <v>8906</v>
      </c>
      <c r="F279" s="77">
        <f t="shared" si="34"/>
        <v>6182</v>
      </c>
      <c r="G279" s="77" t="str">
        <f t="shared" si="34"/>
        <v>-</v>
      </c>
      <c r="H279" s="77" t="str">
        <f t="shared" si="34"/>
        <v>-</v>
      </c>
      <c r="I279" s="77">
        <f t="shared" si="34"/>
        <v>15088</v>
      </c>
      <c r="J279" s="77"/>
      <c r="K279" s="77" t="str">
        <f t="shared" si="35"/>
        <v>-</v>
      </c>
      <c r="L279" s="77" t="str">
        <f t="shared" si="35"/>
        <v>-</v>
      </c>
      <c r="M279" s="77" t="str">
        <f t="shared" si="35"/>
        <v>-</v>
      </c>
      <c r="N279" s="77" t="str">
        <f t="shared" si="35"/>
        <v>-</v>
      </c>
      <c r="O279" s="77" t="str">
        <f t="shared" si="35"/>
        <v>-</v>
      </c>
      <c r="P279" s="77" t="str">
        <f t="shared" si="35"/>
        <v>-</v>
      </c>
      <c r="Q279" s="77" t="str">
        <f t="shared" si="35"/>
        <v>-</v>
      </c>
      <c r="R279" s="77" t="str">
        <f t="shared" si="35"/>
        <v>-</v>
      </c>
    </row>
    <row r="280" spans="1:18">
      <c r="A280" s="99">
        <v>2011</v>
      </c>
      <c r="B280" s="77" t="str">
        <f t="shared" si="34"/>
        <v>-</v>
      </c>
      <c r="C280" s="77">
        <f t="shared" si="34"/>
        <v>11732</v>
      </c>
      <c r="D280" s="77">
        <f t="shared" si="34"/>
        <v>4189</v>
      </c>
      <c r="E280" s="77">
        <f t="shared" si="34"/>
        <v>31669</v>
      </c>
      <c r="F280" s="77">
        <f t="shared" si="34"/>
        <v>20301</v>
      </c>
      <c r="G280" s="77">
        <f t="shared" si="34"/>
        <v>1820</v>
      </c>
      <c r="H280" s="77">
        <f t="shared" si="34"/>
        <v>317</v>
      </c>
      <c r="I280" s="77">
        <f t="shared" si="34"/>
        <v>70028</v>
      </c>
      <c r="J280" s="77"/>
      <c r="K280" s="77" t="str">
        <f t="shared" si="35"/>
        <v>-</v>
      </c>
      <c r="L280" s="77" t="str">
        <f t="shared" si="35"/>
        <v>-</v>
      </c>
      <c r="M280" s="77" t="str">
        <f t="shared" si="35"/>
        <v>-</v>
      </c>
      <c r="N280" s="77" t="str">
        <f t="shared" si="35"/>
        <v>-</v>
      </c>
      <c r="O280" s="77" t="str">
        <f t="shared" si="35"/>
        <v>-</v>
      </c>
      <c r="P280" s="77" t="str">
        <f t="shared" si="35"/>
        <v>-</v>
      </c>
      <c r="Q280" s="77" t="str">
        <f t="shared" si="35"/>
        <v>-</v>
      </c>
      <c r="R280" s="77" t="str">
        <f t="shared" si="35"/>
        <v>-</v>
      </c>
    </row>
    <row r="281" spans="1:18">
      <c r="A281" s="99">
        <v>2012</v>
      </c>
      <c r="B281" s="77" t="str">
        <f t="shared" si="34"/>
        <v>-</v>
      </c>
      <c r="C281" s="77">
        <f t="shared" si="34"/>
        <v>58857</v>
      </c>
      <c r="D281" s="77">
        <f t="shared" si="34"/>
        <v>19385</v>
      </c>
      <c r="E281" s="77">
        <f t="shared" si="34"/>
        <v>92842</v>
      </c>
      <c r="F281" s="77">
        <f t="shared" si="34"/>
        <v>28266</v>
      </c>
      <c r="G281" s="77">
        <f t="shared" si="34"/>
        <v>12922</v>
      </c>
      <c r="H281" s="77">
        <f t="shared" si="34"/>
        <v>3313</v>
      </c>
      <c r="I281" s="77">
        <f t="shared" si="34"/>
        <v>215585</v>
      </c>
      <c r="J281" s="77"/>
      <c r="K281" s="77" t="str">
        <f t="shared" si="35"/>
        <v>-</v>
      </c>
      <c r="L281" s="77" t="str">
        <f t="shared" si="35"/>
        <v>-</v>
      </c>
      <c r="M281" s="77" t="str">
        <f t="shared" si="35"/>
        <v>-</v>
      </c>
      <c r="N281" s="77" t="str">
        <f t="shared" si="35"/>
        <v>-</v>
      </c>
      <c r="O281" s="77" t="str">
        <f t="shared" si="35"/>
        <v>-</v>
      </c>
      <c r="P281" s="77" t="str">
        <f t="shared" si="35"/>
        <v>-</v>
      </c>
      <c r="Q281" s="77" t="str">
        <f t="shared" si="35"/>
        <v>-</v>
      </c>
      <c r="R281" s="77" t="str">
        <f t="shared" si="35"/>
        <v>-</v>
      </c>
    </row>
    <row r="282" spans="1:18">
      <c r="A282" s="99">
        <v>2013</v>
      </c>
      <c r="B282" s="77" t="str">
        <f t="shared" si="34"/>
        <v>-</v>
      </c>
      <c r="C282" s="77">
        <f t="shared" si="34"/>
        <v>77516</v>
      </c>
      <c r="D282" s="77">
        <f t="shared" si="34"/>
        <v>84549</v>
      </c>
      <c r="E282" s="77">
        <f t="shared" si="34"/>
        <v>98270</v>
      </c>
      <c r="F282" s="77">
        <f t="shared" si="34"/>
        <v>25257</v>
      </c>
      <c r="G282" s="77">
        <f t="shared" si="34"/>
        <v>11094</v>
      </c>
      <c r="H282" s="77">
        <f t="shared" si="34"/>
        <v>941</v>
      </c>
      <c r="I282" s="77">
        <f t="shared" si="34"/>
        <v>297627</v>
      </c>
      <c r="J282" s="77"/>
      <c r="K282" s="77" t="str">
        <f t="shared" si="35"/>
        <v>-</v>
      </c>
      <c r="L282" s="77" t="str">
        <f t="shared" si="35"/>
        <v>-</v>
      </c>
      <c r="M282" s="77" t="str">
        <f t="shared" si="35"/>
        <v>-</v>
      </c>
      <c r="N282" s="77" t="str">
        <f t="shared" si="35"/>
        <v>-</v>
      </c>
      <c r="O282" s="77" t="str">
        <f t="shared" si="35"/>
        <v>-</v>
      </c>
      <c r="P282" s="77" t="str">
        <f t="shared" si="35"/>
        <v>-</v>
      </c>
      <c r="Q282" s="77" t="str">
        <f t="shared" si="35"/>
        <v>-</v>
      </c>
      <c r="R282" s="77" t="str">
        <f t="shared" si="35"/>
        <v>-</v>
      </c>
    </row>
    <row r="283" spans="1:18">
      <c r="A283" s="99">
        <v>2014</v>
      </c>
      <c r="B283" s="77" t="str">
        <f t="shared" si="34"/>
        <v>-</v>
      </c>
      <c r="C283" s="77">
        <f t="shared" si="34"/>
        <v>34946</v>
      </c>
      <c r="D283" s="77">
        <f t="shared" si="34"/>
        <v>39581</v>
      </c>
      <c r="E283" s="77">
        <f t="shared" si="34"/>
        <v>54568</v>
      </c>
      <c r="F283" s="77">
        <f t="shared" si="34"/>
        <v>24085</v>
      </c>
      <c r="G283" s="77">
        <f t="shared" si="34"/>
        <v>12118</v>
      </c>
      <c r="H283" s="77">
        <f t="shared" si="34"/>
        <v>2985</v>
      </c>
      <c r="I283" s="77">
        <f t="shared" si="34"/>
        <v>168283</v>
      </c>
      <c r="J283" s="77"/>
      <c r="K283" s="77" t="str">
        <f t="shared" si="35"/>
        <v>-</v>
      </c>
      <c r="L283" s="77" t="str">
        <f t="shared" si="35"/>
        <v>-</v>
      </c>
      <c r="M283" s="77" t="str">
        <f t="shared" si="35"/>
        <v>-</v>
      </c>
      <c r="N283" s="77" t="str">
        <f t="shared" si="35"/>
        <v>-</v>
      </c>
      <c r="O283" s="77" t="str">
        <f t="shared" si="35"/>
        <v>-</v>
      </c>
      <c r="P283" s="77" t="str">
        <f t="shared" si="35"/>
        <v>-</v>
      </c>
      <c r="Q283" s="77" t="str">
        <f t="shared" si="35"/>
        <v>-</v>
      </c>
      <c r="R283" s="77" t="str">
        <f t="shared" si="35"/>
        <v>-</v>
      </c>
    </row>
    <row r="284" spans="1:18">
      <c r="A284" s="99">
        <v>2015</v>
      </c>
      <c r="B284" s="77" t="str">
        <f t="shared" si="34"/>
        <v>-</v>
      </c>
      <c r="C284" s="77">
        <f t="shared" si="34"/>
        <v>53561</v>
      </c>
      <c r="D284" s="77">
        <f t="shared" si="34"/>
        <v>19489</v>
      </c>
      <c r="E284" s="77">
        <f t="shared" si="34"/>
        <v>12920</v>
      </c>
      <c r="F284" s="77">
        <f t="shared" si="34"/>
        <v>11467</v>
      </c>
      <c r="G284" s="77">
        <f t="shared" si="34"/>
        <v>10453</v>
      </c>
      <c r="H284" s="77">
        <f t="shared" si="34"/>
        <v>2617</v>
      </c>
      <c r="I284" s="77">
        <f t="shared" si="34"/>
        <v>110507</v>
      </c>
      <c r="J284" s="77"/>
      <c r="K284" s="77" t="str">
        <f t="shared" si="35"/>
        <v>-</v>
      </c>
      <c r="L284" s="77" t="str">
        <f t="shared" si="35"/>
        <v>-</v>
      </c>
      <c r="M284" s="77" t="str">
        <f t="shared" si="35"/>
        <v>-</v>
      </c>
      <c r="N284" s="77" t="str">
        <f t="shared" si="35"/>
        <v>-</v>
      </c>
      <c r="O284" s="77" t="str">
        <f t="shared" si="35"/>
        <v>-</v>
      </c>
      <c r="P284" s="77" t="str">
        <f t="shared" si="35"/>
        <v>-</v>
      </c>
      <c r="Q284" s="77" t="str">
        <f t="shared" si="35"/>
        <v>-</v>
      </c>
      <c r="R284" s="77" t="str">
        <f t="shared" si="35"/>
        <v>-</v>
      </c>
    </row>
    <row r="285" spans="1:18">
      <c r="A285" s="99">
        <v>2016</v>
      </c>
      <c r="B285" s="77" t="str">
        <f t="shared" ref="B285:I285" si="36">IF(AND(B237="-",B189="-",B141="-",B93="-",B45="-"),"-",SUM(B237,B189,B141,B93,B45))</f>
        <v>-</v>
      </c>
      <c r="C285" s="77">
        <f t="shared" si="36"/>
        <v>13367</v>
      </c>
      <c r="D285" s="77">
        <f t="shared" si="36"/>
        <v>13428</v>
      </c>
      <c r="E285" s="77" t="str">
        <f t="shared" si="36"/>
        <v>-</v>
      </c>
      <c r="F285" s="77">
        <f t="shared" si="36"/>
        <v>18334</v>
      </c>
      <c r="G285" s="77">
        <f t="shared" si="36"/>
        <v>9467</v>
      </c>
      <c r="H285" s="77">
        <f t="shared" si="36"/>
        <v>589</v>
      </c>
      <c r="I285" s="77">
        <f t="shared" si="36"/>
        <v>55185</v>
      </c>
      <c r="J285" s="77"/>
      <c r="K285" s="77" t="str">
        <f t="shared" ref="K285:R285" si="37">IF(AND(K237="-",K189="-",K141="-",K93="-",K45="-"),"-",SUM(K237,K189,K141,K93,K45))</f>
        <v>-</v>
      </c>
      <c r="L285" s="77" t="str">
        <f t="shared" si="37"/>
        <v>-</v>
      </c>
      <c r="M285" s="77" t="str">
        <f t="shared" si="37"/>
        <v>-</v>
      </c>
      <c r="N285" s="77" t="str">
        <f t="shared" si="37"/>
        <v>-</v>
      </c>
      <c r="O285" s="77" t="str">
        <f t="shared" si="37"/>
        <v>-</v>
      </c>
      <c r="P285" s="77" t="str">
        <f t="shared" si="37"/>
        <v>-</v>
      </c>
      <c r="Q285" s="77" t="str">
        <f t="shared" si="37"/>
        <v>-</v>
      </c>
      <c r="R285" s="77" t="str">
        <f t="shared" si="37"/>
        <v>-</v>
      </c>
    </row>
    <row r="286" spans="1:18">
      <c r="A286" s="99">
        <v>2017</v>
      </c>
      <c r="B286" s="77" t="str">
        <f t="shared" ref="B286:I286" si="38">IF(AND(B238="-",B190="-",B142="-",B94="-",B46="-"),"-",SUM(B238,B190,B142,B94,B46))</f>
        <v>-</v>
      </c>
      <c r="C286" s="77">
        <f t="shared" si="38"/>
        <v>5588</v>
      </c>
      <c r="D286" s="77">
        <f t="shared" si="38"/>
        <v>6891</v>
      </c>
      <c r="E286" s="77" t="str">
        <f t="shared" si="38"/>
        <v>-</v>
      </c>
      <c r="F286" s="77">
        <f t="shared" si="38"/>
        <v>18336</v>
      </c>
      <c r="G286" s="77">
        <f t="shared" si="38"/>
        <v>10232</v>
      </c>
      <c r="H286" s="77">
        <f t="shared" si="38"/>
        <v>1279</v>
      </c>
      <c r="I286" s="77">
        <f t="shared" si="38"/>
        <v>42326</v>
      </c>
      <c r="J286" s="77"/>
      <c r="K286" s="77" t="str">
        <f t="shared" ref="K286:R286" si="39">IF(AND(K238="-",K190="-",K142="-",K94="-",K46="-"),"-",SUM(K238,K190,K142,K94,K46))</f>
        <v>-</v>
      </c>
      <c r="L286" s="77" t="str">
        <f t="shared" si="39"/>
        <v>-</v>
      </c>
      <c r="M286" s="77" t="str">
        <f t="shared" si="39"/>
        <v>-</v>
      </c>
      <c r="N286" s="77" t="str">
        <f t="shared" si="39"/>
        <v>-</v>
      </c>
      <c r="O286" s="77" t="str">
        <f t="shared" si="39"/>
        <v>-</v>
      </c>
      <c r="P286" s="77" t="str">
        <f t="shared" si="39"/>
        <v>-</v>
      </c>
      <c r="Q286" s="77" t="str">
        <f t="shared" si="39"/>
        <v>-</v>
      </c>
      <c r="R286" s="77" t="str">
        <f t="shared" si="39"/>
        <v>-</v>
      </c>
    </row>
    <row r="287" spans="1:18">
      <c r="A287" s="99">
        <v>2018</v>
      </c>
      <c r="B287" s="77" t="str">
        <f t="shared" ref="B287:I287" si="40">IF(AND(B239="-",B191="-",B143="-",B95="-",B47="-"),"-",SUM(B239,B191,B143,B95,B47))</f>
        <v>-</v>
      </c>
      <c r="C287" s="77">
        <f t="shared" si="40"/>
        <v>5503</v>
      </c>
      <c r="D287" s="77">
        <f t="shared" si="40"/>
        <v>17336</v>
      </c>
      <c r="E287" s="77">
        <f t="shared" si="40"/>
        <v>14916</v>
      </c>
      <c r="F287" s="77">
        <f t="shared" si="40"/>
        <v>27704</v>
      </c>
      <c r="G287" s="77">
        <f t="shared" si="40"/>
        <v>10926</v>
      </c>
      <c r="H287" s="77">
        <f t="shared" si="40"/>
        <v>2031</v>
      </c>
      <c r="I287" s="77">
        <f t="shared" si="40"/>
        <v>78416</v>
      </c>
      <c r="J287" s="77"/>
      <c r="K287" s="77" t="str">
        <f t="shared" ref="K287:R287" si="41">IF(AND(K239="-",K191="-",K143="-",K95="-",K47="-"),"-",SUM(K239,K191,K143,K95,K47))</f>
        <v>-</v>
      </c>
      <c r="L287" s="77" t="str">
        <f t="shared" si="41"/>
        <v>-</v>
      </c>
      <c r="M287" s="77" t="str">
        <f t="shared" si="41"/>
        <v>-</v>
      </c>
      <c r="N287" s="77" t="str">
        <f t="shared" si="41"/>
        <v>-</v>
      </c>
      <c r="O287" s="77" t="str">
        <f t="shared" si="41"/>
        <v>-</v>
      </c>
      <c r="P287" s="77" t="str">
        <f t="shared" si="41"/>
        <v>-</v>
      </c>
      <c r="Q287" s="77" t="str">
        <f t="shared" si="41"/>
        <v>-</v>
      </c>
      <c r="R287" s="77" t="str">
        <f t="shared" si="41"/>
        <v>-</v>
      </c>
    </row>
    <row r="288" spans="1:18">
      <c r="A288" s="239">
        <v>2019</v>
      </c>
      <c r="B288" s="77" t="str">
        <f t="shared" ref="B288:I288" si="42">IF(AND(B240="-",B192="-",B144="-",B96="-",B48="-"),"-",SUM(B240,B192,B144,B96,B48))</f>
        <v>-</v>
      </c>
      <c r="C288" s="77">
        <f t="shared" si="42"/>
        <v>71001</v>
      </c>
      <c r="D288" s="77">
        <f t="shared" si="42"/>
        <v>97883</v>
      </c>
      <c r="E288" s="77">
        <f t="shared" si="42"/>
        <v>38838</v>
      </c>
      <c r="F288" s="77">
        <f t="shared" si="42"/>
        <v>56867</v>
      </c>
      <c r="G288" s="77">
        <f t="shared" si="42"/>
        <v>6099</v>
      </c>
      <c r="H288" s="77">
        <f t="shared" si="42"/>
        <v>801</v>
      </c>
      <c r="I288" s="77">
        <f t="shared" si="42"/>
        <v>271489</v>
      </c>
      <c r="J288" s="77"/>
      <c r="K288" s="77" t="str">
        <f t="shared" ref="K288:R288" si="43">IF(AND(K240="-",K192="-",K144="-",K96="-",K48="-"),"-",SUM(K240,K192,K144,K96,K48))</f>
        <v>-</v>
      </c>
      <c r="L288" s="77" t="str">
        <f t="shared" si="43"/>
        <v>-</v>
      </c>
      <c r="M288" s="77" t="str">
        <f t="shared" si="43"/>
        <v>-</v>
      </c>
      <c r="N288" s="77" t="str">
        <f t="shared" si="43"/>
        <v>-</v>
      </c>
      <c r="O288" s="77" t="str">
        <f t="shared" si="43"/>
        <v>-</v>
      </c>
      <c r="P288" s="77" t="str">
        <f t="shared" si="43"/>
        <v>-</v>
      </c>
      <c r="Q288" s="77" t="str">
        <f t="shared" si="43"/>
        <v>-</v>
      </c>
      <c r="R288" s="77" t="str">
        <f t="shared" si="43"/>
        <v>-</v>
      </c>
    </row>
    <row r="289" spans="1:18">
      <c r="A289" s="239">
        <v>2020</v>
      </c>
      <c r="B289" s="77" t="str">
        <f t="shared" ref="B289:I290" si="44">IF(AND(B241="-",B193="-",B145="-",B97="-",B49="-"),"-",SUM(B241,B193,B145,B97,B49))</f>
        <v>-</v>
      </c>
      <c r="C289" s="77">
        <f t="shared" si="44"/>
        <v>32516</v>
      </c>
      <c r="D289" s="77">
        <f t="shared" si="44"/>
        <v>49257</v>
      </c>
      <c r="E289" s="77">
        <f t="shared" si="44"/>
        <v>65505</v>
      </c>
      <c r="F289" s="77">
        <f t="shared" si="44"/>
        <v>19615</v>
      </c>
      <c r="G289" s="77">
        <f t="shared" si="44"/>
        <v>8472</v>
      </c>
      <c r="H289" s="77">
        <f t="shared" si="44"/>
        <v>2435</v>
      </c>
      <c r="I289" s="77">
        <f t="shared" si="44"/>
        <v>177800</v>
      </c>
      <c r="J289" s="77"/>
      <c r="K289" s="77" t="str">
        <f t="shared" ref="K289:R290" si="45">IF(AND(K241="-",K193="-",K145="-",K97="-",K49="-"),"-",SUM(K241,K193,K145,K97,K49))</f>
        <v>-</v>
      </c>
      <c r="L289" s="77" t="str">
        <f t="shared" si="45"/>
        <v>-</v>
      </c>
      <c r="M289" s="77" t="str">
        <f t="shared" si="45"/>
        <v>-</v>
      </c>
      <c r="N289" s="77" t="str">
        <f t="shared" si="45"/>
        <v>-</v>
      </c>
      <c r="O289" s="77" t="str">
        <f t="shared" si="45"/>
        <v>-</v>
      </c>
      <c r="P289" s="77" t="str">
        <f t="shared" si="45"/>
        <v>-</v>
      </c>
      <c r="Q289" s="77" t="str">
        <f t="shared" si="45"/>
        <v>-</v>
      </c>
      <c r="R289" s="77" t="str">
        <f t="shared" si="45"/>
        <v>-</v>
      </c>
    </row>
    <row r="290" spans="1:18" ht="13">
      <c r="A290" s="239" t="s">
        <v>314</v>
      </c>
      <c r="B290" s="57" t="str">
        <f t="shared" si="44"/>
        <v>-</v>
      </c>
      <c r="C290" s="57">
        <f t="shared" si="44"/>
        <v>46848</v>
      </c>
      <c r="D290" s="57">
        <f t="shared" si="44"/>
        <v>76723</v>
      </c>
      <c r="E290" s="57">
        <f t="shared" si="44"/>
        <v>12632</v>
      </c>
      <c r="F290" s="57">
        <f t="shared" si="44"/>
        <v>56619</v>
      </c>
      <c r="G290" s="57">
        <f t="shared" si="44"/>
        <v>7557</v>
      </c>
      <c r="H290" s="57">
        <f t="shared" si="44"/>
        <v>1040</v>
      </c>
      <c r="I290" s="57">
        <f t="shared" si="44"/>
        <v>201419</v>
      </c>
      <c r="J290" s="78"/>
      <c r="K290" s="57" t="str">
        <f t="shared" si="45"/>
        <v>-</v>
      </c>
      <c r="L290" s="57" t="str">
        <f t="shared" si="45"/>
        <v>-</v>
      </c>
      <c r="M290" s="57" t="str">
        <f t="shared" si="45"/>
        <v>-</v>
      </c>
      <c r="N290" s="57" t="str">
        <f t="shared" si="45"/>
        <v>-</v>
      </c>
      <c r="O290" s="57" t="str">
        <f t="shared" si="45"/>
        <v>-</v>
      </c>
      <c r="P290" s="57" t="str">
        <f t="shared" si="45"/>
        <v>-</v>
      </c>
      <c r="Q290" s="57" t="str">
        <f t="shared" si="45"/>
        <v>-</v>
      </c>
      <c r="R290" s="57" t="str">
        <f t="shared" si="45"/>
        <v>-</v>
      </c>
    </row>
    <row r="291" spans="1:18">
      <c r="A291" s="286" t="s">
        <v>9</v>
      </c>
      <c r="B291" s="286"/>
      <c r="C291" s="286"/>
      <c r="D291" s="286"/>
      <c r="E291" s="286"/>
      <c r="F291" s="286"/>
      <c r="G291" s="286"/>
      <c r="H291" s="286"/>
      <c r="I291" s="286"/>
      <c r="J291" s="286"/>
      <c r="K291" s="286"/>
      <c r="L291" s="286"/>
      <c r="M291" s="286"/>
      <c r="N291" s="286"/>
      <c r="O291" s="286"/>
      <c r="P291" s="286"/>
      <c r="Q291" s="286"/>
      <c r="R291" s="286"/>
    </row>
    <row r="292" spans="1:18">
      <c r="A292" s="287" t="s">
        <v>183</v>
      </c>
      <c r="B292" s="287"/>
      <c r="C292" s="287"/>
      <c r="D292" s="287"/>
      <c r="E292" s="287"/>
      <c r="F292" s="287"/>
      <c r="G292" s="287"/>
      <c r="H292" s="287"/>
      <c r="I292" s="287"/>
      <c r="J292" s="287"/>
      <c r="K292" s="287"/>
      <c r="L292" s="287"/>
      <c r="M292" s="287"/>
      <c r="N292" s="287"/>
      <c r="O292" s="287"/>
      <c r="P292" s="287"/>
      <c r="Q292" s="287"/>
      <c r="R292" s="287"/>
    </row>
    <row r="293" spans="1:18">
      <c r="A293" s="287" t="s">
        <v>41</v>
      </c>
      <c r="B293" s="287"/>
      <c r="C293" s="287"/>
      <c r="D293" s="287"/>
      <c r="E293" s="287"/>
      <c r="F293" s="287"/>
      <c r="G293" s="287"/>
      <c r="H293" s="287"/>
      <c r="I293" s="287"/>
      <c r="J293" s="287"/>
      <c r="K293" s="287"/>
      <c r="L293" s="287"/>
      <c r="M293" s="287"/>
      <c r="N293" s="287"/>
      <c r="O293" s="287"/>
      <c r="P293" s="287"/>
      <c r="Q293" s="287"/>
      <c r="R293" s="287"/>
    </row>
    <row r="304" spans="1:18" s="199" customFormat="1">
      <c r="A304" s="158"/>
      <c r="B304" s="159"/>
      <c r="C304" s="159"/>
      <c r="D304" s="159"/>
      <c r="E304" s="159"/>
      <c r="F304" s="159"/>
      <c r="G304" s="159"/>
      <c r="H304" s="159"/>
      <c r="I304" s="159"/>
      <c r="J304" s="159"/>
      <c r="K304" s="159"/>
      <c r="L304" s="159"/>
      <c r="M304" s="159"/>
      <c r="N304" s="159"/>
      <c r="O304" s="159"/>
      <c r="P304" s="159"/>
      <c r="Q304" s="159"/>
      <c r="R304" s="159"/>
    </row>
    <row r="311" spans="1:18">
      <c r="A311" s="283" t="s">
        <v>159</v>
      </c>
      <c r="B311" s="283"/>
      <c r="C311" s="283"/>
      <c r="D311" s="283"/>
      <c r="E311" s="283"/>
      <c r="F311" s="283"/>
      <c r="G311" s="283"/>
      <c r="H311" s="283"/>
      <c r="I311" s="283"/>
      <c r="J311" s="283"/>
      <c r="K311" s="283"/>
      <c r="L311" s="283"/>
      <c r="M311" s="283"/>
      <c r="N311" s="283"/>
      <c r="O311" s="283"/>
      <c r="P311" s="283"/>
      <c r="Q311" s="283"/>
      <c r="R311" s="283"/>
    </row>
    <row r="312" spans="1:18">
      <c r="A312" s="98" t="s">
        <v>27</v>
      </c>
      <c r="B312" s="46" t="s">
        <v>28</v>
      </c>
      <c r="C312" s="46" t="s">
        <v>29</v>
      </c>
      <c r="D312" s="46" t="s">
        <v>30</v>
      </c>
      <c r="E312" s="46" t="s">
        <v>31</v>
      </c>
      <c r="F312" s="46" t="s">
        <v>32</v>
      </c>
      <c r="G312" s="46" t="s">
        <v>33</v>
      </c>
      <c r="H312" s="46" t="s">
        <v>34</v>
      </c>
      <c r="I312" s="284" t="s">
        <v>22</v>
      </c>
      <c r="J312" s="284"/>
      <c r="K312" s="46" t="s">
        <v>28</v>
      </c>
      <c r="L312" s="46" t="s">
        <v>29</v>
      </c>
      <c r="M312" s="46" t="s">
        <v>30</v>
      </c>
      <c r="N312" s="46" t="s">
        <v>31</v>
      </c>
      <c r="O312" s="46" t="s">
        <v>32</v>
      </c>
      <c r="P312" s="46" t="s">
        <v>33</v>
      </c>
      <c r="Q312" s="46" t="s">
        <v>34</v>
      </c>
      <c r="R312" s="46" t="s">
        <v>22</v>
      </c>
    </row>
    <row r="313" spans="1:18">
      <c r="B313" s="288" t="s">
        <v>61</v>
      </c>
      <c r="C313" s="288"/>
      <c r="D313" s="288"/>
      <c r="E313" s="288"/>
      <c r="F313" s="288"/>
      <c r="G313" s="288"/>
      <c r="H313" s="288"/>
      <c r="I313" s="288"/>
      <c r="J313" s="14"/>
      <c r="K313" s="288" t="s">
        <v>62</v>
      </c>
      <c r="L313" s="288"/>
      <c r="M313" s="288"/>
      <c r="N313" s="288"/>
      <c r="O313" s="288"/>
      <c r="P313" s="288"/>
      <c r="Q313" s="288"/>
      <c r="R313" s="288"/>
    </row>
    <row r="314" spans="1:18" ht="13.5" customHeight="1">
      <c r="A314" s="268" t="s">
        <v>305</v>
      </c>
    </row>
    <row r="315" spans="1:18">
      <c r="A315" s="99" t="s">
        <v>78</v>
      </c>
      <c r="B315" s="77" t="s">
        <v>23</v>
      </c>
      <c r="C315" s="142">
        <f>AVERAGE(C15:C19)</f>
        <v>527</v>
      </c>
      <c r="D315" s="142">
        <f>AVERAGE(D15:D19)</f>
        <v>12994.996198495435</v>
      </c>
      <c r="E315" s="142">
        <f>AVERAGE(E15:E19)</f>
        <v>3017.1339634990559</v>
      </c>
      <c r="F315" s="142">
        <f>AVERAGE(F15:F19)</f>
        <v>2533.6078160261591</v>
      </c>
      <c r="G315" s="142">
        <f>AVERAGE(G15:G19)</f>
        <v>452.43181083718446</v>
      </c>
      <c r="H315" s="77" t="s">
        <v>23</v>
      </c>
      <c r="I315" s="142">
        <f>AVERAGE(I15:I19)</f>
        <v>13997.047044648851</v>
      </c>
      <c r="K315" s="77" t="s">
        <v>23</v>
      </c>
      <c r="L315" s="77" t="s">
        <v>23</v>
      </c>
      <c r="M315" s="142">
        <f>AVERAGE(M15:M19)</f>
        <v>4408.3473864895423</v>
      </c>
      <c r="N315" s="142">
        <f>AVERAGE(N15:N19)</f>
        <v>1262.473404657017</v>
      </c>
      <c r="O315" s="142">
        <f>AVERAGE(O15:O19)</f>
        <v>4.8273642515266548</v>
      </c>
      <c r="P315" s="142">
        <f>AVERAGE(P15:P19)</f>
        <v>18.361916521340042</v>
      </c>
      <c r="Q315" s="77" t="s">
        <v>23</v>
      </c>
      <c r="R315" s="142">
        <f>AVERAGE(R15:R19)</f>
        <v>3794.8275961904137</v>
      </c>
    </row>
    <row r="316" spans="1:18">
      <c r="A316" s="99" t="s">
        <v>10</v>
      </c>
      <c r="B316" s="77" t="s">
        <v>23</v>
      </c>
      <c r="C316" s="77" t="s">
        <v>23</v>
      </c>
      <c r="D316" s="77" t="s">
        <v>23</v>
      </c>
      <c r="E316" s="77" t="s">
        <v>23</v>
      </c>
      <c r="F316" s="77" t="s">
        <v>23</v>
      </c>
      <c r="G316" s="77" t="s">
        <v>23</v>
      </c>
      <c r="H316" s="77" t="s">
        <v>23</v>
      </c>
      <c r="I316" s="77" t="s">
        <v>23</v>
      </c>
      <c r="K316" s="77" t="s">
        <v>23</v>
      </c>
      <c r="L316" s="77" t="s">
        <v>23</v>
      </c>
      <c r="M316" s="77" t="s">
        <v>23</v>
      </c>
      <c r="N316" s="77" t="s">
        <v>23</v>
      </c>
      <c r="O316" s="77" t="s">
        <v>23</v>
      </c>
      <c r="P316" s="77" t="s">
        <v>23</v>
      </c>
      <c r="Q316" s="77" t="s">
        <v>23</v>
      </c>
      <c r="R316" s="77" t="s">
        <v>23</v>
      </c>
    </row>
    <row r="317" spans="1:18">
      <c r="A317" s="99" t="s">
        <v>144</v>
      </c>
      <c r="B317" s="77" t="s">
        <v>23</v>
      </c>
      <c r="C317" s="77" t="s">
        <v>23</v>
      </c>
      <c r="D317" s="77" t="s">
        <v>23</v>
      </c>
      <c r="E317" s="77" t="s">
        <v>23</v>
      </c>
      <c r="F317" s="142">
        <f>AVERAGE(F25:F29)</f>
        <v>98</v>
      </c>
      <c r="G317" s="142">
        <f>AVERAGE(G25:G29)</f>
        <v>106.4</v>
      </c>
      <c r="H317" s="77" t="s">
        <v>23</v>
      </c>
      <c r="I317" s="142">
        <f>AVERAGE(I25:I29)</f>
        <v>126</v>
      </c>
      <c r="K317" s="77" t="s">
        <v>23</v>
      </c>
      <c r="L317" s="77" t="s">
        <v>23</v>
      </c>
      <c r="M317" s="77" t="s">
        <v>23</v>
      </c>
      <c r="N317" s="77" t="s">
        <v>23</v>
      </c>
      <c r="O317" s="77" t="s">
        <v>23</v>
      </c>
      <c r="P317" s="77" t="s">
        <v>23</v>
      </c>
      <c r="Q317" s="77" t="s">
        <v>23</v>
      </c>
      <c r="R317" s="77" t="s">
        <v>23</v>
      </c>
    </row>
    <row r="318" spans="1:18" ht="13">
      <c r="A318" s="99" t="s">
        <v>286</v>
      </c>
      <c r="B318" s="142">
        <f t="shared" ref="B318:I318" si="46">AVERAGE(B30:B34)</f>
        <v>1186</v>
      </c>
      <c r="C318" s="142">
        <f t="shared" si="46"/>
        <v>84</v>
      </c>
      <c r="D318" s="142">
        <f t="shared" si="46"/>
        <v>53</v>
      </c>
      <c r="E318" s="142">
        <f t="shared" si="46"/>
        <v>5245</v>
      </c>
      <c r="F318" s="142">
        <f t="shared" si="46"/>
        <v>10183.5</v>
      </c>
      <c r="G318" s="142">
        <f t="shared" si="46"/>
        <v>1350.6</v>
      </c>
      <c r="H318" s="142">
        <f t="shared" si="46"/>
        <v>293</v>
      </c>
      <c r="I318" s="142">
        <f t="shared" si="46"/>
        <v>7102.6</v>
      </c>
      <c r="K318" s="142" t="str">
        <f t="shared" ref="K318:R318" si="47">K30</f>
        <v>-</v>
      </c>
      <c r="L318" s="142" t="str">
        <f t="shared" si="47"/>
        <v>-</v>
      </c>
      <c r="M318" s="142" t="str">
        <f t="shared" si="47"/>
        <v>-</v>
      </c>
      <c r="N318" s="142" t="str">
        <f t="shared" si="47"/>
        <v>-</v>
      </c>
      <c r="O318" s="142" t="str">
        <f t="shared" si="47"/>
        <v>-</v>
      </c>
      <c r="P318" s="142" t="str">
        <f t="shared" si="47"/>
        <v>-</v>
      </c>
      <c r="Q318" s="142" t="str">
        <f t="shared" si="47"/>
        <v>-</v>
      </c>
      <c r="R318" s="142" t="str">
        <f t="shared" si="47"/>
        <v>-</v>
      </c>
    </row>
    <row r="319" spans="1:18">
      <c r="A319" s="99" t="s">
        <v>315</v>
      </c>
      <c r="B319" s="142" t="str">
        <f>B35</f>
        <v>-</v>
      </c>
      <c r="C319" s="142" t="str">
        <f t="shared" ref="C319:R319" si="48">C35</f>
        <v>-</v>
      </c>
      <c r="D319" s="142" t="str">
        <f t="shared" si="48"/>
        <v>-</v>
      </c>
      <c r="E319" s="142" t="str">
        <f t="shared" si="48"/>
        <v>-</v>
      </c>
      <c r="F319" s="142" t="str">
        <f t="shared" si="48"/>
        <v>-</v>
      </c>
      <c r="G319" s="142">
        <f>AVERAGE(G35:G39)</f>
        <v>2367</v>
      </c>
      <c r="H319" s="142" t="str">
        <f>H35</f>
        <v>-</v>
      </c>
      <c r="I319" s="142">
        <f t="shared" ref="I319" si="49">AVERAGE(I35:I39)</f>
        <v>2367</v>
      </c>
      <c r="K319" s="142" t="str">
        <f t="shared" si="48"/>
        <v>-</v>
      </c>
      <c r="L319" s="142" t="str">
        <f t="shared" si="48"/>
        <v>-</v>
      </c>
      <c r="M319" s="142" t="str">
        <f t="shared" si="48"/>
        <v>-</v>
      </c>
      <c r="N319" s="142" t="str">
        <f t="shared" si="48"/>
        <v>-</v>
      </c>
      <c r="O319" s="142" t="str">
        <f t="shared" si="48"/>
        <v>-</v>
      </c>
      <c r="P319" s="142" t="str">
        <f t="shared" si="48"/>
        <v>-</v>
      </c>
      <c r="Q319" s="142" t="str">
        <f t="shared" si="48"/>
        <v>-</v>
      </c>
      <c r="R319" s="142" t="str">
        <f t="shared" si="48"/>
        <v>-</v>
      </c>
    </row>
    <row r="320" spans="1:18" ht="13">
      <c r="A320" s="99">
        <v>2011</v>
      </c>
      <c r="B320" s="142" t="str">
        <f t="shared" ref="B320:I328" si="50">B40</f>
        <v>-</v>
      </c>
      <c r="C320" s="142" t="str">
        <f t="shared" si="50"/>
        <v>-</v>
      </c>
      <c r="D320" s="142" t="str">
        <f t="shared" si="50"/>
        <v>-</v>
      </c>
      <c r="E320" s="142">
        <f t="shared" si="50"/>
        <v>11</v>
      </c>
      <c r="F320" s="142">
        <f t="shared" si="50"/>
        <v>406</v>
      </c>
      <c r="G320" s="142" t="str">
        <f t="shared" si="50"/>
        <v>-</v>
      </c>
      <c r="H320" s="142" t="str">
        <f t="shared" si="50"/>
        <v>-</v>
      </c>
      <c r="I320" s="142">
        <f t="shared" si="50"/>
        <v>417</v>
      </c>
      <c r="J320" s="260"/>
      <c r="K320" s="142" t="str">
        <f t="shared" ref="K320:R328" si="51">K40</f>
        <v>-</v>
      </c>
      <c r="L320" s="142" t="str">
        <f t="shared" si="51"/>
        <v>-</v>
      </c>
      <c r="M320" s="142" t="str">
        <f t="shared" si="51"/>
        <v>-</v>
      </c>
      <c r="N320" s="142" t="str">
        <f t="shared" si="51"/>
        <v>-</v>
      </c>
      <c r="O320" s="142" t="str">
        <f t="shared" si="51"/>
        <v>-</v>
      </c>
      <c r="P320" s="142" t="str">
        <f t="shared" si="51"/>
        <v>-</v>
      </c>
      <c r="Q320" s="142" t="str">
        <f t="shared" si="51"/>
        <v>-</v>
      </c>
      <c r="R320" s="142" t="str">
        <f t="shared" si="51"/>
        <v>-</v>
      </c>
    </row>
    <row r="321" spans="1:18" ht="13">
      <c r="A321" s="99">
        <v>2012</v>
      </c>
      <c r="B321" s="142" t="str">
        <f t="shared" si="50"/>
        <v>-</v>
      </c>
      <c r="C321" s="142" t="str">
        <f t="shared" si="50"/>
        <v>-</v>
      </c>
      <c r="D321" s="142" t="str">
        <f t="shared" si="50"/>
        <v>-</v>
      </c>
      <c r="E321" s="142" t="str">
        <f t="shared" si="50"/>
        <v>-</v>
      </c>
      <c r="F321" s="142" t="str">
        <f t="shared" si="50"/>
        <v>-</v>
      </c>
      <c r="G321" s="142">
        <f t="shared" si="50"/>
        <v>400</v>
      </c>
      <c r="H321" s="142" t="str">
        <f t="shared" si="50"/>
        <v>-</v>
      </c>
      <c r="I321" s="142">
        <f t="shared" si="50"/>
        <v>400</v>
      </c>
      <c r="J321" s="260"/>
      <c r="K321" s="142" t="str">
        <f t="shared" si="51"/>
        <v>-</v>
      </c>
      <c r="L321" s="142" t="str">
        <f t="shared" si="51"/>
        <v>-</v>
      </c>
      <c r="M321" s="142" t="str">
        <f t="shared" si="51"/>
        <v>-</v>
      </c>
      <c r="N321" s="142" t="str">
        <f t="shared" si="51"/>
        <v>-</v>
      </c>
      <c r="O321" s="142" t="str">
        <f t="shared" si="51"/>
        <v>-</v>
      </c>
      <c r="P321" s="142" t="str">
        <f t="shared" si="51"/>
        <v>-</v>
      </c>
      <c r="Q321" s="142" t="str">
        <f t="shared" si="51"/>
        <v>-</v>
      </c>
      <c r="R321" s="142" t="str">
        <f t="shared" si="51"/>
        <v>-</v>
      </c>
    </row>
    <row r="322" spans="1:18" ht="13">
      <c r="A322" s="99">
        <v>2013</v>
      </c>
      <c r="B322" s="142" t="str">
        <f t="shared" si="50"/>
        <v>-</v>
      </c>
      <c r="C322" s="142">
        <f t="shared" si="50"/>
        <v>85</v>
      </c>
      <c r="D322" s="142">
        <f t="shared" si="50"/>
        <v>524</v>
      </c>
      <c r="E322" s="142">
        <f t="shared" si="50"/>
        <v>487</v>
      </c>
      <c r="F322" s="142">
        <f t="shared" si="50"/>
        <v>116</v>
      </c>
      <c r="G322" s="142">
        <f t="shared" si="50"/>
        <v>13</v>
      </c>
      <c r="H322" s="142" t="str">
        <f t="shared" si="50"/>
        <v>-</v>
      </c>
      <c r="I322" s="142">
        <f t="shared" si="50"/>
        <v>1225</v>
      </c>
      <c r="J322" s="260"/>
      <c r="K322" s="142" t="str">
        <f t="shared" si="51"/>
        <v>-</v>
      </c>
      <c r="L322" s="142" t="str">
        <f t="shared" si="51"/>
        <v>-</v>
      </c>
      <c r="M322" s="142" t="str">
        <f t="shared" si="51"/>
        <v>-</v>
      </c>
      <c r="N322" s="142" t="str">
        <f t="shared" si="51"/>
        <v>-</v>
      </c>
      <c r="O322" s="142" t="str">
        <f t="shared" si="51"/>
        <v>-</v>
      </c>
      <c r="P322" s="142" t="str">
        <f t="shared" si="51"/>
        <v>-</v>
      </c>
      <c r="Q322" s="142" t="str">
        <f t="shared" si="51"/>
        <v>-</v>
      </c>
      <c r="R322" s="142" t="str">
        <f t="shared" si="51"/>
        <v>-</v>
      </c>
    </row>
    <row r="323" spans="1:18" ht="13">
      <c r="A323" s="99">
        <v>2014</v>
      </c>
      <c r="B323" s="142" t="str">
        <f t="shared" si="50"/>
        <v>-</v>
      </c>
      <c r="C323" s="142" t="str">
        <f t="shared" si="50"/>
        <v>-</v>
      </c>
      <c r="D323" s="142" t="str">
        <f t="shared" si="50"/>
        <v>-</v>
      </c>
      <c r="E323" s="142" t="str">
        <f t="shared" si="50"/>
        <v>-</v>
      </c>
      <c r="F323" s="142" t="str">
        <f t="shared" si="50"/>
        <v>-</v>
      </c>
      <c r="G323" s="142">
        <f t="shared" si="50"/>
        <v>21</v>
      </c>
      <c r="H323" s="142" t="str">
        <f t="shared" si="50"/>
        <v>-</v>
      </c>
      <c r="I323" s="142">
        <f t="shared" si="50"/>
        <v>21</v>
      </c>
      <c r="J323" s="260"/>
      <c r="K323" s="142" t="str">
        <f t="shared" si="51"/>
        <v>-</v>
      </c>
      <c r="L323" s="142" t="str">
        <f t="shared" si="51"/>
        <v>-</v>
      </c>
      <c r="M323" s="142" t="str">
        <f t="shared" si="51"/>
        <v>-</v>
      </c>
      <c r="N323" s="142" t="str">
        <f t="shared" si="51"/>
        <v>-</v>
      </c>
      <c r="O323" s="142" t="str">
        <f t="shared" si="51"/>
        <v>-</v>
      </c>
      <c r="P323" s="142" t="str">
        <f t="shared" si="51"/>
        <v>-</v>
      </c>
      <c r="Q323" s="142" t="str">
        <f t="shared" si="51"/>
        <v>-</v>
      </c>
      <c r="R323" s="142" t="str">
        <f t="shared" si="51"/>
        <v>-</v>
      </c>
    </row>
    <row r="324" spans="1:18" ht="13">
      <c r="A324" s="99">
        <v>2015</v>
      </c>
      <c r="B324" s="142" t="str">
        <f t="shared" si="50"/>
        <v>-</v>
      </c>
      <c r="C324" s="142" t="str">
        <f t="shared" si="50"/>
        <v>-</v>
      </c>
      <c r="D324" s="142" t="str">
        <f t="shared" si="50"/>
        <v>-</v>
      </c>
      <c r="E324" s="142" t="str">
        <f t="shared" si="50"/>
        <v>-</v>
      </c>
      <c r="F324" s="142" t="str">
        <f t="shared" si="50"/>
        <v>-</v>
      </c>
      <c r="G324" s="142">
        <f t="shared" si="50"/>
        <v>36</v>
      </c>
      <c r="H324" s="142" t="str">
        <f t="shared" si="50"/>
        <v>-</v>
      </c>
      <c r="I324" s="142">
        <f t="shared" si="50"/>
        <v>36</v>
      </c>
      <c r="J324" s="260"/>
      <c r="K324" s="142" t="str">
        <f t="shared" si="51"/>
        <v>-</v>
      </c>
      <c r="L324" s="142" t="str">
        <f t="shared" si="51"/>
        <v>-</v>
      </c>
      <c r="M324" s="142" t="str">
        <f t="shared" si="51"/>
        <v>-</v>
      </c>
      <c r="N324" s="142" t="str">
        <f t="shared" si="51"/>
        <v>-</v>
      </c>
      <c r="O324" s="142" t="str">
        <f t="shared" si="51"/>
        <v>-</v>
      </c>
      <c r="P324" s="142" t="str">
        <f t="shared" si="51"/>
        <v>-</v>
      </c>
      <c r="Q324" s="142" t="str">
        <f t="shared" si="51"/>
        <v>-</v>
      </c>
      <c r="R324" s="142" t="str">
        <f t="shared" si="51"/>
        <v>-</v>
      </c>
    </row>
    <row r="325" spans="1:18" ht="13">
      <c r="A325" s="99">
        <v>2016</v>
      </c>
      <c r="B325" s="142" t="str">
        <f t="shared" si="50"/>
        <v>-</v>
      </c>
      <c r="C325" s="142" t="str">
        <f t="shared" si="50"/>
        <v>-</v>
      </c>
      <c r="D325" s="142" t="str">
        <f t="shared" si="50"/>
        <v>-</v>
      </c>
      <c r="E325" s="142" t="str">
        <f t="shared" si="50"/>
        <v>-</v>
      </c>
      <c r="F325" s="142" t="str">
        <f t="shared" si="50"/>
        <v>-</v>
      </c>
      <c r="G325" s="142">
        <f t="shared" si="50"/>
        <v>6</v>
      </c>
      <c r="H325" s="142" t="str">
        <f t="shared" si="50"/>
        <v>-</v>
      </c>
      <c r="I325" s="142">
        <f t="shared" si="50"/>
        <v>6</v>
      </c>
      <c r="J325" s="260"/>
      <c r="K325" s="142" t="str">
        <f t="shared" si="51"/>
        <v>-</v>
      </c>
      <c r="L325" s="142" t="str">
        <f t="shared" si="51"/>
        <v>-</v>
      </c>
      <c r="M325" s="142" t="str">
        <f t="shared" si="51"/>
        <v>-</v>
      </c>
      <c r="N325" s="142" t="str">
        <f t="shared" si="51"/>
        <v>-</v>
      </c>
      <c r="O325" s="142" t="str">
        <f t="shared" si="51"/>
        <v>-</v>
      </c>
      <c r="P325" s="142" t="str">
        <f t="shared" si="51"/>
        <v>-</v>
      </c>
      <c r="Q325" s="142" t="str">
        <f t="shared" si="51"/>
        <v>-</v>
      </c>
      <c r="R325" s="142" t="str">
        <f t="shared" si="51"/>
        <v>-</v>
      </c>
    </row>
    <row r="326" spans="1:18" ht="13">
      <c r="A326" s="99">
        <v>2017</v>
      </c>
      <c r="B326" s="142" t="str">
        <f t="shared" si="50"/>
        <v>-</v>
      </c>
      <c r="C326" s="142" t="str">
        <f t="shared" si="50"/>
        <v>-</v>
      </c>
      <c r="D326" s="142" t="str">
        <f t="shared" si="50"/>
        <v>-</v>
      </c>
      <c r="E326" s="142" t="str">
        <f t="shared" si="50"/>
        <v>-</v>
      </c>
      <c r="F326" s="142" t="str">
        <f t="shared" si="50"/>
        <v>-</v>
      </c>
      <c r="G326" s="142" t="str">
        <f t="shared" si="50"/>
        <v>-</v>
      </c>
      <c r="H326" s="142" t="str">
        <f t="shared" si="50"/>
        <v>-</v>
      </c>
      <c r="I326" s="142" t="str">
        <f t="shared" si="50"/>
        <v>-</v>
      </c>
      <c r="J326" s="260"/>
      <c r="K326" s="142" t="str">
        <f t="shared" si="51"/>
        <v>-</v>
      </c>
      <c r="L326" s="142" t="str">
        <f t="shared" si="51"/>
        <v>-</v>
      </c>
      <c r="M326" s="142" t="str">
        <f t="shared" si="51"/>
        <v>-</v>
      </c>
      <c r="N326" s="142" t="str">
        <f t="shared" si="51"/>
        <v>-</v>
      </c>
      <c r="O326" s="142" t="str">
        <f t="shared" si="51"/>
        <v>-</v>
      </c>
      <c r="P326" s="142" t="str">
        <f t="shared" si="51"/>
        <v>-</v>
      </c>
      <c r="Q326" s="142" t="str">
        <f t="shared" si="51"/>
        <v>-</v>
      </c>
      <c r="R326" s="142" t="str">
        <f t="shared" si="51"/>
        <v>-</v>
      </c>
    </row>
    <row r="327" spans="1:18" ht="13">
      <c r="A327" s="99">
        <v>2018</v>
      </c>
      <c r="B327" s="142" t="str">
        <f t="shared" si="50"/>
        <v>-</v>
      </c>
      <c r="C327" s="142">
        <f t="shared" si="50"/>
        <v>241</v>
      </c>
      <c r="D327" s="142">
        <f t="shared" si="50"/>
        <v>1497</v>
      </c>
      <c r="E327" s="142">
        <f t="shared" si="50"/>
        <v>775</v>
      </c>
      <c r="F327" s="142">
        <f t="shared" si="50"/>
        <v>1899</v>
      </c>
      <c r="G327" s="142" t="str">
        <f t="shared" si="50"/>
        <v>-</v>
      </c>
      <c r="H327" s="142" t="str">
        <f t="shared" si="50"/>
        <v>-</v>
      </c>
      <c r="I327" s="142">
        <f t="shared" si="50"/>
        <v>4412</v>
      </c>
      <c r="J327" s="260"/>
      <c r="K327" s="142" t="str">
        <f t="shared" si="51"/>
        <v>-</v>
      </c>
      <c r="L327" s="142" t="str">
        <f t="shared" si="51"/>
        <v>-</v>
      </c>
      <c r="M327" s="142" t="str">
        <f t="shared" si="51"/>
        <v>-</v>
      </c>
      <c r="N327" s="142" t="str">
        <f t="shared" si="51"/>
        <v>-</v>
      </c>
      <c r="O327" s="142" t="str">
        <f t="shared" si="51"/>
        <v>-</v>
      </c>
      <c r="P327" s="142" t="str">
        <f t="shared" si="51"/>
        <v>-</v>
      </c>
      <c r="Q327" s="142" t="str">
        <f t="shared" si="51"/>
        <v>-</v>
      </c>
      <c r="R327" s="142" t="str">
        <f t="shared" si="51"/>
        <v>-</v>
      </c>
    </row>
    <row r="328" spans="1:18" ht="13">
      <c r="A328" s="99">
        <v>2019</v>
      </c>
      <c r="B328" s="142" t="str">
        <f t="shared" si="50"/>
        <v>-</v>
      </c>
      <c r="C328" s="142" t="str">
        <f t="shared" si="50"/>
        <v>-</v>
      </c>
      <c r="D328" s="142">
        <f t="shared" si="50"/>
        <v>114</v>
      </c>
      <c r="E328" s="142">
        <f t="shared" si="50"/>
        <v>1311</v>
      </c>
      <c r="F328" s="142">
        <f t="shared" si="50"/>
        <v>2810</v>
      </c>
      <c r="G328" s="142" t="str">
        <f t="shared" si="50"/>
        <v>-</v>
      </c>
      <c r="H328" s="142" t="str">
        <f t="shared" si="50"/>
        <v>-</v>
      </c>
      <c r="I328" s="142">
        <f t="shared" si="50"/>
        <v>4235</v>
      </c>
      <c r="J328" s="260"/>
      <c r="K328" s="142" t="str">
        <f t="shared" si="51"/>
        <v>-</v>
      </c>
      <c r="L328" s="142" t="str">
        <f t="shared" si="51"/>
        <v>-</v>
      </c>
      <c r="M328" s="142" t="str">
        <f t="shared" si="51"/>
        <v>-</v>
      </c>
      <c r="N328" s="142" t="str">
        <f t="shared" si="51"/>
        <v>-</v>
      </c>
      <c r="O328" s="142" t="str">
        <f t="shared" si="51"/>
        <v>-</v>
      </c>
      <c r="P328" s="142" t="str">
        <f t="shared" si="51"/>
        <v>-</v>
      </c>
      <c r="Q328" s="142" t="str">
        <f t="shared" si="51"/>
        <v>-</v>
      </c>
      <c r="R328" s="142" t="str">
        <f t="shared" si="51"/>
        <v>-</v>
      </c>
    </row>
    <row r="329" spans="1:18" ht="13">
      <c r="A329" s="99">
        <v>2020</v>
      </c>
      <c r="B329" s="142" t="str">
        <f t="shared" ref="B329:I330" si="52">B49</f>
        <v>-</v>
      </c>
      <c r="C329" s="142" t="str">
        <f t="shared" si="52"/>
        <v>-</v>
      </c>
      <c r="D329" s="142" t="str">
        <f t="shared" si="52"/>
        <v>-</v>
      </c>
      <c r="E329" s="142" t="str">
        <f t="shared" si="52"/>
        <v>-</v>
      </c>
      <c r="F329" s="142" t="str">
        <f t="shared" si="52"/>
        <v>-</v>
      </c>
      <c r="G329" s="142" t="str">
        <f t="shared" si="52"/>
        <v>-</v>
      </c>
      <c r="H329" s="142" t="str">
        <f t="shared" si="52"/>
        <v>-</v>
      </c>
      <c r="I329" s="142" t="str">
        <f t="shared" si="52"/>
        <v>-</v>
      </c>
      <c r="J329" s="260"/>
      <c r="K329" s="142" t="str">
        <f t="shared" ref="K329:R330" si="53">K49</f>
        <v>-</v>
      </c>
      <c r="L329" s="142" t="str">
        <f t="shared" si="53"/>
        <v>-</v>
      </c>
      <c r="M329" s="142" t="str">
        <f t="shared" si="53"/>
        <v>-</v>
      </c>
      <c r="N329" s="142" t="str">
        <f t="shared" si="53"/>
        <v>-</v>
      </c>
      <c r="O329" s="142" t="str">
        <f t="shared" si="53"/>
        <v>-</v>
      </c>
      <c r="P329" s="142" t="str">
        <f t="shared" si="53"/>
        <v>-</v>
      </c>
      <c r="Q329" s="142" t="str">
        <f t="shared" si="53"/>
        <v>-</v>
      </c>
      <c r="R329" s="142" t="str">
        <f t="shared" si="53"/>
        <v>-</v>
      </c>
    </row>
    <row r="330" spans="1:18" ht="13">
      <c r="A330" s="99">
        <v>2021</v>
      </c>
      <c r="B330" s="142" t="str">
        <f t="shared" si="52"/>
        <v>-</v>
      </c>
      <c r="C330" s="142" t="str">
        <f t="shared" si="52"/>
        <v>-</v>
      </c>
      <c r="D330" s="142" t="str">
        <f t="shared" si="52"/>
        <v>-</v>
      </c>
      <c r="E330" s="142" t="str">
        <f t="shared" si="52"/>
        <v>-</v>
      </c>
      <c r="F330" s="142" t="str">
        <f t="shared" si="52"/>
        <v>-</v>
      </c>
      <c r="G330" s="142" t="str">
        <f t="shared" si="52"/>
        <v>-</v>
      </c>
      <c r="H330" s="142" t="str">
        <f t="shared" si="52"/>
        <v>-</v>
      </c>
      <c r="I330" s="142" t="str">
        <f t="shared" si="52"/>
        <v>-</v>
      </c>
      <c r="J330" s="260"/>
      <c r="K330" s="142" t="str">
        <f t="shared" si="53"/>
        <v>-</v>
      </c>
      <c r="L330" s="142" t="str">
        <f t="shared" si="53"/>
        <v>-</v>
      </c>
      <c r="M330" s="142" t="str">
        <f t="shared" si="53"/>
        <v>-</v>
      </c>
      <c r="N330" s="142" t="str">
        <f t="shared" si="53"/>
        <v>-</v>
      </c>
      <c r="O330" s="142" t="str">
        <f t="shared" si="53"/>
        <v>-</v>
      </c>
      <c r="P330" s="142" t="str">
        <f t="shared" si="53"/>
        <v>-</v>
      </c>
      <c r="Q330" s="142" t="str">
        <f t="shared" si="53"/>
        <v>-</v>
      </c>
      <c r="R330" s="142" t="str">
        <f t="shared" si="53"/>
        <v>-</v>
      </c>
    </row>
    <row r="331" spans="1:18" ht="8" customHeight="1"/>
    <row r="332" spans="1:18">
      <c r="A332" s="94" t="str">
        <f>A52</f>
        <v>Eureka</v>
      </c>
    </row>
    <row r="333" spans="1:18">
      <c r="A333" s="99" t="s">
        <v>78</v>
      </c>
      <c r="B333" s="77" t="s">
        <v>23</v>
      </c>
      <c r="C333" s="77" t="s">
        <v>23</v>
      </c>
      <c r="D333" s="142">
        <f t="shared" ref="D333:I333" si="54">AVERAGE(D63:D67)</f>
        <v>26179.583801504567</v>
      </c>
      <c r="E333" s="142">
        <f t="shared" si="54"/>
        <v>4315.7720730018882</v>
      </c>
      <c r="F333" s="142">
        <f t="shared" si="54"/>
        <v>6726.4788506405084</v>
      </c>
      <c r="G333" s="142">
        <f t="shared" si="54"/>
        <v>6294.5681891628146</v>
      </c>
      <c r="H333" s="142">
        <f t="shared" si="54"/>
        <v>479.5</v>
      </c>
      <c r="I333" s="142">
        <f t="shared" si="54"/>
        <v>32329.076955351153</v>
      </c>
      <c r="K333" s="77" t="s">
        <v>23</v>
      </c>
      <c r="L333" s="77" t="s">
        <v>23</v>
      </c>
      <c r="M333" s="142">
        <f t="shared" ref="M333:R333" si="55">AVERAGE(M63:M67)</f>
        <v>5947.7431388849118</v>
      </c>
      <c r="N333" s="142">
        <f t="shared" si="55"/>
        <v>508.03937319068592</v>
      </c>
      <c r="O333" s="142">
        <f t="shared" si="55"/>
        <v>210.67935069323417</v>
      </c>
      <c r="P333" s="142">
        <f t="shared" si="55"/>
        <v>860.21477832512323</v>
      </c>
      <c r="Q333" s="142">
        <f t="shared" si="55"/>
        <v>125</v>
      </c>
      <c r="R333" s="142">
        <f t="shared" si="55"/>
        <v>5998.0326491252663</v>
      </c>
    </row>
    <row r="334" spans="1:18">
      <c r="A334" s="99" t="s">
        <v>10</v>
      </c>
      <c r="B334" s="77" t="s">
        <v>23</v>
      </c>
      <c r="C334" s="77" t="s">
        <v>23</v>
      </c>
      <c r="D334" s="77" t="s">
        <v>23</v>
      </c>
      <c r="E334" s="77" t="s">
        <v>23</v>
      </c>
      <c r="F334" s="77" t="s">
        <v>23</v>
      </c>
      <c r="G334" s="142">
        <f>AVERAGE(G68:G72)</f>
        <v>4300</v>
      </c>
      <c r="H334" s="142">
        <f>AVERAGE(H68:H72)</f>
        <v>400</v>
      </c>
      <c r="I334" s="142">
        <f>AVERAGE(I68:I72)</f>
        <v>4700</v>
      </c>
      <c r="K334" s="77" t="s">
        <v>23</v>
      </c>
      <c r="L334" s="77" t="s">
        <v>23</v>
      </c>
      <c r="M334" s="77" t="s">
        <v>23</v>
      </c>
      <c r="N334" s="77" t="s">
        <v>23</v>
      </c>
      <c r="O334" s="77" t="s">
        <v>23</v>
      </c>
      <c r="P334" s="142">
        <f>AVERAGE(P68:P72)</f>
        <v>3000</v>
      </c>
      <c r="Q334" s="142">
        <f>AVERAGE(Q68:Q72)</f>
        <v>100</v>
      </c>
      <c r="R334" s="142">
        <f>AVERAGE(R68:R72)</f>
        <v>3100</v>
      </c>
    </row>
    <row r="335" spans="1:18">
      <c r="A335" s="99" t="s">
        <v>144</v>
      </c>
      <c r="B335" s="77" t="s">
        <v>23</v>
      </c>
      <c r="C335" s="77" t="s">
        <v>23</v>
      </c>
      <c r="D335" s="77" t="s">
        <v>23</v>
      </c>
      <c r="E335" s="77" t="s">
        <v>23</v>
      </c>
      <c r="F335" s="77" t="s">
        <v>23</v>
      </c>
      <c r="G335" s="142">
        <f>AVERAGE(G73:G77)</f>
        <v>2859.6</v>
      </c>
      <c r="H335" s="142" t="s">
        <v>23</v>
      </c>
      <c r="I335" s="142">
        <f>AVERAGE(I73:I77)</f>
        <v>3379.4</v>
      </c>
      <c r="K335" s="77" t="s">
        <v>23</v>
      </c>
      <c r="L335" s="77" t="s">
        <v>23</v>
      </c>
      <c r="M335" s="77" t="s">
        <v>23</v>
      </c>
      <c r="N335" s="77" t="s">
        <v>23</v>
      </c>
      <c r="O335" s="77" t="s">
        <v>23</v>
      </c>
      <c r="P335" s="142" t="s">
        <v>23</v>
      </c>
      <c r="Q335" s="142" t="s">
        <v>23</v>
      </c>
      <c r="R335" s="142" t="s">
        <v>23</v>
      </c>
    </row>
    <row r="336" spans="1:18">
      <c r="A336" s="99" t="s">
        <v>166</v>
      </c>
      <c r="B336" s="142" t="str">
        <f>B78</f>
        <v>-</v>
      </c>
      <c r="C336" s="142" t="str">
        <f>C78</f>
        <v>-</v>
      </c>
      <c r="D336" s="142" t="str">
        <f>D78</f>
        <v>-</v>
      </c>
      <c r="E336" s="142" t="str">
        <f>E78</f>
        <v>-</v>
      </c>
      <c r="F336" s="142">
        <f>AVERAGE(F78:F82)</f>
        <v>1392</v>
      </c>
      <c r="G336" s="142">
        <f>AVERAGE(G78:G82)</f>
        <v>5019.6000000000004</v>
      </c>
      <c r="H336" s="142" t="str">
        <f>H78</f>
        <v>-</v>
      </c>
      <c r="I336" s="142">
        <f>AVERAGE(I78:I82)</f>
        <v>5298</v>
      </c>
      <c r="K336" s="142" t="str">
        <f t="shared" ref="K336:R336" si="56">K78</f>
        <v>-</v>
      </c>
      <c r="L336" s="142" t="str">
        <f t="shared" si="56"/>
        <v>-</v>
      </c>
      <c r="M336" s="142" t="str">
        <f t="shared" si="56"/>
        <v>-</v>
      </c>
      <c r="N336" s="142" t="str">
        <f t="shared" si="56"/>
        <v>-</v>
      </c>
      <c r="O336" s="142" t="str">
        <f t="shared" si="56"/>
        <v>-</v>
      </c>
      <c r="P336" s="142" t="str">
        <f t="shared" si="56"/>
        <v>-</v>
      </c>
      <c r="Q336" s="142" t="str">
        <f t="shared" si="56"/>
        <v>-</v>
      </c>
      <c r="R336" s="142" t="str">
        <f t="shared" si="56"/>
        <v>-</v>
      </c>
    </row>
    <row r="337" spans="1:18">
      <c r="A337" s="99" t="s">
        <v>315</v>
      </c>
      <c r="B337" s="142" t="str">
        <f>B83</f>
        <v>-</v>
      </c>
      <c r="C337" s="142" t="str">
        <f t="shared" ref="C337:F337" si="57">C83</f>
        <v>-</v>
      </c>
      <c r="D337" s="142" t="str">
        <f t="shared" si="57"/>
        <v>-</v>
      </c>
      <c r="E337" s="142" t="str">
        <f t="shared" si="57"/>
        <v>-</v>
      </c>
      <c r="F337" s="142" t="str">
        <f t="shared" si="57"/>
        <v>-</v>
      </c>
      <c r="G337" s="142">
        <f>AVERAGE(G83:G87)</f>
        <v>6395</v>
      </c>
      <c r="H337" s="142" t="str">
        <f>H83</f>
        <v>-</v>
      </c>
      <c r="I337" s="142">
        <f>AVERAGE(I83:I87)</f>
        <v>6395</v>
      </c>
      <c r="K337" s="142" t="str">
        <f>K83</f>
        <v>-</v>
      </c>
      <c r="L337" s="142" t="str">
        <f t="shared" ref="L337:R337" si="58">L83</f>
        <v>-</v>
      </c>
      <c r="M337" s="142" t="str">
        <f t="shared" si="58"/>
        <v>-</v>
      </c>
      <c r="N337" s="142" t="str">
        <f t="shared" si="58"/>
        <v>-</v>
      </c>
      <c r="O337" s="142" t="str">
        <f t="shared" si="58"/>
        <v>-</v>
      </c>
      <c r="P337" s="142" t="str">
        <f t="shared" si="58"/>
        <v>-</v>
      </c>
      <c r="Q337" s="142" t="str">
        <f t="shared" si="58"/>
        <v>-</v>
      </c>
      <c r="R337" s="142" t="str">
        <f t="shared" si="58"/>
        <v>-</v>
      </c>
    </row>
    <row r="338" spans="1:18">
      <c r="A338" s="99">
        <v>2011</v>
      </c>
      <c r="B338" s="142" t="str">
        <f t="shared" ref="B338:I346" si="59">B88</f>
        <v>-</v>
      </c>
      <c r="C338" s="142" t="str">
        <f t="shared" si="59"/>
        <v>-</v>
      </c>
      <c r="D338" s="142" t="str">
        <f t="shared" si="59"/>
        <v>-</v>
      </c>
      <c r="E338" s="142">
        <f t="shared" si="59"/>
        <v>1573</v>
      </c>
      <c r="F338" s="142">
        <f t="shared" si="59"/>
        <v>401</v>
      </c>
      <c r="G338" s="142" t="str">
        <f t="shared" si="59"/>
        <v>-</v>
      </c>
      <c r="H338" s="142" t="str">
        <f t="shared" si="59"/>
        <v>-</v>
      </c>
      <c r="I338" s="142">
        <f t="shared" si="59"/>
        <v>1974</v>
      </c>
      <c r="K338" s="142" t="str">
        <f t="shared" ref="K338:R346" si="60">K88</f>
        <v>-</v>
      </c>
      <c r="L338" s="142" t="str">
        <f t="shared" si="60"/>
        <v>-</v>
      </c>
      <c r="M338" s="142" t="str">
        <f t="shared" si="60"/>
        <v>-</v>
      </c>
      <c r="N338" s="142" t="str">
        <f t="shared" si="60"/>
        <v>-</v>
      </c>
      <c r="O338" s="142" t="str">
        <f t="shared" si="60"/>
        <v>-</v>
      </c>
      <c r="P338" s="142" t="str">
        <f t="shared" si="60"/>
        <v>-</v>
      </c>
      <c r="Q338" s="142" t="str">
        <f t="shared" si="60"/>
        <v>-</v>
      </c>
      <c r="R338" s="142" t="str">
        <f t="shared" si="60"/>
        <v>-</v>
      </c>
    </row>
    <row r="339" spans="1:18">
      <c r="A339" s="99">
        <v>2012</v>
      </c>
      <c r="B339" s="142" t="str">
        <f t="shared" si="59"/>
        <v>-</v>
      </c>
      <c r="C339" s="142" t="str">
        <f t="shared" si="59"/>
        <v>-</v>
      </c>
      <c r="D339" s="142" t="str">
        <f t="shared" si="59"/>
        <v>-</v>
      </c>
      <c r="E339" s="142" t="str">
        <f t="shared" si="59"/>
        <v>-</v>
      </c>
      <c r="F339" s="142" t="str">
        <f t="shared" si="59"/>
        <v>-</v>
      </c>
      <c r="G339" s="142">
        <f t="shared" si="59"/>
        <v>4831</v>
      </c>
      <c r="H339" s="142" t="str">
        <f t="shared" si="59"/>
        <v>-</v>
      </c>
      <c r="I339" s="142">
        <f t="shared" si="59"/>
        <v>4831</v>
      </c>
      <c r="K339" s="142" t="str">
        <f t="shared" si="60"/>
        <v>-</v>
      </c>
      <c r="L339" s="142" t="str">
        <f t="shared" si="60"/>
        <v>-</v>
      </c>
      <c r="M339" s="142" t="str">
        <f t="shared" si="60"/>
        <v>-</v>
      </c>
      <c r="N339" s="142" t="str">
        <f t="shared" si="60"/>
        <v>-</v>
      </c>
      <c r="O339" s="142" t="str">
        <f t="shared" si="60"/>
        <v>-</v>
      </c>
      <c r="P339" s="142" t="str">
        <f t="shared" si="60"/>
        <v>-</v>
      </c>
      <c r="Q339" s="142" t="str">
        <f t="shared" si="60"/>
        <v>-</v>
      </c>
      <c r="R339" s="142" t="str">
        <f t="shared" si="60"/>
        <v>-</v>
      </c>
    </row>
    <row r="340" spans="1:18">
      <c r="A340" s="99">
        <v>2013</v>
      </c>
      <c r="B340" s="142" t="str">
        <f t="shared" si="59"/>
        <v>-</v>
      </c>
      <c r="C340" s="142">
        <f t="shared" si="59"/>
        <v>2603</v>
      </c>
      <c r="D340" s="142">
        <f t="shared" si="59"/>
        <v>2400</v>
      </c>
      <c r="E340" s="142">
        <f t="shared" si="59"/>
        <v>1887</v>
      </c>
      <c r="F340" s="142">
        <f t="shared" si="59"/>
        <v>1892</v>
      </c>
      <c r="G340" s="142">
        <f t="shared" si="59"/>
        <v>171</v>
      </c>
      <c r="H340" s="142" t="str">
        <f t="shared" si="59"/>
        <v>-</v>
      </c>
      <c r="I340" s="142">
        <f t="shared" si="59"/>
        <v>8953</v>
      </c>
      <c r="K340" s="142" t="str">
        <f t="shared" si="60"/>
        <v>-</v>
      </c>
      <c r="L340" s="142" t="str">
        <f t="shared" si="60"/>
        <v>-</v>
      </c>
      <c r="M340" s="142" t="str">
        <f t="shared" si="60"/>
        <v>-</v>
      </c>
      <c r="N340" s="142" t="str">
        <f t="shared" si="60"/>
        <v>-</v>
      </c>
      <c r="O340" s="142" t="str">
        <f t="shared" si="60"/>
        <v>-</v>
      </c>
      <c r="P340" s="142" t="str">
        <f t="shared" si="60"/>
        <v>-</v>
      </c>
      <c r="Q340" s="142" t="str">
        <f t="shared" si="60"/>
        <v>-</v>
      </c>
      <c r="R340" s="142" t="str">
        <f t="shared" si="60"/>
        <v>-</v>
      </c>
    </row>
    <row r="341" spans="1:18">
      <c r="A341" s="99">
        <v>2014</v>
      </c>
      <c r="B341" s="142" t="str">
        <f t="shared" si="59"/>
        <v>-</v>
      </c>
      <c r="C341" s="142" t="str">
        <f t="shared" si="59"/>
        <v>-</v>
      </c>
      <c r="D341" s="142" t="str">
        <f t="shared" si="59"/>
        <v>-</v>
      </c>
      <c r="E341" s="142" t="str">
        <f t="shared" si="59"/>
        <v>-</v>
      </c>
      <c r="F341" s="142" t="str">
        <f t="shared" si="59"/>
        <v>-</v>
      </c>
      <c r="G341" s="142">
        <f t="shared" si="59"/>
        <v>599</v>
      </c>
      <c r="H341" s="142" t="str">
        <f t="shared" si="59"/>
        <v>-</v>
      </c>
      <c r="I341" s="142">
        <f t="shared" si="59"/>
        <v>599</v>
      </c>
      <c r="K341" s="142" t="str">
        <f t="shared" si="60"/>
        <v>-</v>
      </c>
      <c r="L341" s="142" t="str">
        <f t="shared" si="60"/>
        <v>-</v>
      </c>
      <c r="M341" s="142" t="str">
        <f t="shared" si="60"/>
        <v>-</v>
      </c>
      <c r="N341" s="142" t="str">
        <f t="shared" si="60"/>
        <v>-</v>
      </c>
      <c r="O341" s="142" t="str">
        <f t="shared" si="60"/>
        <v>-</v>
      </c>
      <c r="P341" s="142" t="str">
        <f t="shared" si="60"/>
        <v>-</v>
      </c>
      <c r="Q341" s="142" t="str">
        <f t="shared" si="60"/>
        <v>-</v>
      </c>
      <c r="R341" s="142" t="str">
        <f t="shared" si="60"/>
        <v>-</v>
      </c>
    </row>
    <row r="342" spans="1:18">
      <c r="A342" s="99">
        <v>2015</v>
      </c>
      <c r="B342" s="142" t="str">
        <f t="shared" si="59"/>
        <v>-</v>
      </c>
      <c r="C342" s="142" t="str">
        <f t="shared" si="59"/>
        <v>-</v>
      </c>
      <c r="D342" s="142" t="str">
        <f t="shared" si="59"/>
        <v>-</v>
      </c>
      <c r="E342" s="142" t="str">
        <f t="shared" si="59"/>
        <v>-</v>
      </c>
      <c r="F342" s="142" t="str">
        <f t="shared" si="59"/>
        <v>-</v>
      </c>
      <c r="G342" s="142">
        <f t="shared" si="59"/>
        <v>10</v>
      </c>
      <c r="H342" s="142" t="str">
        <f t="shared" si="59"/>
        <v>-</v>
      </c>
      <c r="I342" s="142">
        <f t="shared" si="59"/>
        <v>10</v>
      </c>
      <c r="K342" s="142" t="str">
        <f t="shared" si="60"/>
        <v>-</v>
      </c>
      <c r="L342" s="142" t="str">
        <f t="shared" si="60"/>
        <v>-</v>
      </c>
      <c r="M342" s="142" t="str">
        <f t="shared" si="60"/>
        <v>-</v>
      </c>
      <c r="N342" s="142" t="str">
        <f t="shared" si="60"/>
        <v>-</v>
      </c>
      <c r="O342" s="142" t="str">
        <f t="shared" si="60"/>
        <v>-</v>
      </c>
      <c r="P342" s="142" t="str">
        <f t="shared" si="60"/>
        <v>-</v>
      </c>
      <c r="Q342" s="142" t="str">
        <f t="shared" si="60"/>
        <v>-</v>
      </c>
      <c r="R342" s="142" t="str">
        <f t="shared" si="60"/>
        <v>-</v>
      </c>
    </row>
    <row r="343" spans="1:18">
      <c r="A343" s="99">
        <v>2016</v>
      </c>
      <c r="B343" s="142" t="str">
        <f t="shared" si="59"/>
        <v>-</v>
      </c>
      <c r="C343" s="142" t="str">
        <f t="shared" si="59"/>
        <v>-</v>
      </c>
      <c r="D343" s="142" t="str">
        <f t="shared" si="59"/>
        <v>-</v>
      </c>
      <c r="E343" s="142" t="str">
        <f t="shared" si="59"/>
        <v>-</v>
      </c>
      <c r="F343" s="142" t="str">
        <f t="shared" si="59"/>
        <v>-</v>
      </c>
      <c r="G343" s="142">
        <f t="shared" si="59"/>
        <v>190</v>
      </c>
      <c r="H343" s="142" t="str">
        <f t="shared" si="59"/>
        <v>-</v>
      </c>
      <c r="I343" s="142">
        <f t="shared" si="59"/>
        <v>190</v>
      </c>
      <c r="K343" s="142" t="str">
        <f t="shared" si="60"/>
        <v>-</v>
      </c>
      <c r="L343" s="142" t="str">
        <f t="shared" si="60"/>
        <v>-</v>
      </c>
      <c r="M343" s="142" t="str">
        <f t="shared" si="60"/>
        <v>-</v>
      </c>
      <c r="N343" s="142" t="str">
        <f t="shared" si="60"/>
        <v>-</v>
      </c>
      <c r="O343" s="142" t="str">
        <f t="shared" si="60"/>
        <v>-</v>
      </c>
      <c r="P343" s="142" t="str">
        <f t="shared" si="60"/>
        <v>-</v>
      </c>
      <c r="Q343" s="142" t="str">
        <f t="shared" si="60"/>
        <v>-</v>
      </c>
      <c r="R343" s="142" t="str">
        <f t="shared" si="60"/>
        <v>-</v>
      </c>
    </row>
    <row r="344" spans="1:18">
      <c r="A344" s="99">
        <v>2017</v>
      </c>
      <c r="B344" s="142" t="str">
        <f t="shared" si="59"/>
        <v>-</v>
      </c>
      <c r="C344" s="142" t="str">
        <f t="shared" si="59"/>
        <v>-</v>
      </c>
      <c r="D344" s="142" t="str">
        <f t="shared" si="59"/>
        <v>-</v>
      </c>
      <c r="E344" s="142" t="str">
        <f t="shared" si="59"/>
        <v>-</v>
      </c>
      <c r="F344" s="142" t="str">
        <f t="shared" si="59"/>
        <v>-</v>
      </c>
      <c r="G344" s="142" t="str">
        <f t="shared" si="59"/>
        <v>-</v>
      </c>
      <c r="H344" s="142" t="str">
        <f t="shared" si="59"/>
        <v>-</v>
      </c>
      <c r="I344" s="142" t="str">
        <f t="shared" si="59"/>
        <v>-</v>
      </c>
      <c r="K344" s="142" t="str">
        <f t="shared" si="60"/>
        <v>-</v>
      </c>
      <c r="L344" s="142" t="str">
        <f t="shared" si="60"/>
        <v>-</v>
      </c>
      <c r="M344" s="142" t="str">
        <f t="shared" si="60"/>
        <v>-</v>
      </c>
      <c r="N344" s="142" t="str">
        <f t="shared" si="60"/>
        <v>-</v>
      </c>
      <c r="O344" s="142" t="str">
        <f t="shared" si="60"/>
        <v>-</v>
      </c>
      <c r="P344" s="142" t="str">
        <f t="shared" si="60"/>
        <v>-</v>
      </c>
      <c r="Q344" s="142" t="str">
        <f t="shared" si="60"/>
        <v>-</v>
      </c>
      <c r="R344" s="142" t="str">
        <f t="shared" si="60"/>
        <v>-</v>
      </c>
    </row>
    <row r="345" spans="1:18">
      <c r="A345" s="99">
        <v>2018</v>
      </c>
      <c r="B345" s="142" t="str">
        <f t="shared" si="59"/>
        <v>-</v>
      </c>
      <c r="C345" s="142">
        <f t="shared" si="59"/>
        <v>696</v>
      </c>
      <c r="D345" s="142">
        <f t="shared" si="59"/>
        <v>980</v>
      </c>
      <c r="E345" s="142">
        <f t="shared" si="59"/>
        <v>1045</v>
      </c>
      <c r="F345" s="142">
        <f t="shared" si="59"/>
        <v>1878</v>
      </c>
      <c r="G345" s="142" t="str">
        <f t="shared" si="59"/>
        <v>-</v>
      </c>
      <c r="H345" s="142" t="str">
        <f t="shared" si="59"/>
        <v>-</v>
      </c>
      <c r="I345" s="142">
        <f t="shared" si="59"/>
        <v>4599</v>
      </c>
      <c r="K345" s="142" t="str">
        <f t="shared" si="60"/>
        <v>-</v>
      </c>
      <c r="L345" s="142" t="str">
        <f t="shared" si="60"/>
        <v>-</v>
      </c>
      <c r="M345" s="142" t="str">
        <f t="shared" si="60"/>
        <v>-</v>
      </c>
      <c r="N345" s="142" t="str">
        <f t="shared" si="60"/>
        <v>-</v>
      </c>
      <c r="O345" s="142" t="str">
        <f t="shared" si="60"/>
        <v>-</v>
      </c>
      <c r="P345" s="142" t="str">
        <f t="shared" si="60"/>
        <v>-</v>
      </c>
      <c r="Q345" s="142" t="str">
        <f t="shared" si="60"/>
        <v>-</v>
      </c>
      <c r="R345" s="142" t="str">
        <f t="shared" si="60"/>
        <v>-</v>
      </c>
    </row>
    <row r="346" spans="1:18">
      <c r="A346" s="99">
        <v>2019</v>
      </c>
      <c r="B346" s="142" t="str">
        <f t="shared" si="59"/>
        <v>-</v>
      </c>
      <c r="C346" s="142" t="str">
        <f t="shared" si="59"/>
        <v>-</v>
      </c>
      <c r="D346" s="142">
        <f t="shared" si="59"/>
        <v>623</v>
      </c>
      <c r="E346" s="142">
        <f t="shared" si="59"/>
        <v>164</v>
      </c>
      <c r="F346" s="142">
        <f t="shared" si="59"/>
        <v>835</v>
      </c>
      <c r="G346" s="142" t="str">
        <f t="shared" si="59"/>
        <v>-</v>
      </c>
      <c r="H346" s="142" t="str">
        <f t="shared" si="59"/>
        <v>-</v>
      </c>
      <c r="I346" s="142">
        <f t="shared" si="59"/>
        <v>1622</v>
      </c>
      <c r="K346" s="142" t="str">
        <f t="shared" si="60"/>
        <v>-</v>
      </c>
      <c r="L346" s="142" t="str">
        <f t="shared" si="60"/>
        <v>-</v>
      </c>
      <c r="M346" s="142" t="str">
        <f t="shared" si="60"/>
        <v>-</v>
      </c>
      <c r="N346" s="142" t="str">
        <f t="shared" si="60"/>
        <v>-</v>
      </c>
      <c r="O346" s="142" t="str">
        <f t="shared" si="60"/>
        <v>-</v>
      </c>
      <c r="P346" s="142" t="str">
        <f t="shared" si="60"/>
        <v>-</v>
      </c>
      <c r="Q346" s="142" t="str">
        <f t="shared" si="60"/>
        <v>-</v>
      </c>
      <c r="R346" s="142" t="str">
        <f t="shared" si="60"/>
        <v>-</v>
      </c>
    </row>
    <row r="347" spans="1:18">
      <c r="A347" s="99">
        <v>2020</v>
      </c>
      <c r="B347" s="142" t="str">
        <f t="shared" ref="B347:I348" si="61">B97</f>
        <v>-</v>
      </c>
      <c r="C347" s="142" t="str">
        <f t="shared" si="61"/>
        <v>-</v>
      </c>
      <c r="D347" s="142" t="str">
        <f t="shared" si="61"/>
        <v>-</v>
      </c>
      <c r="E347" s="142" t="str">
        <f t="shared" si="61"/>
        <v>-</v>
      </c>
      <c r="F347" s="142" t="str">
        <f t="shared" si="61"/>
        <v>-</v>
      </c>
      <c r="G347" s="142" t="str">
        <f t="shared" si="61"/>
        <v>-</v>
      </c>
      <c r="H347" s="142" t="str">
        <f t="shared" si="61"/>
        <v>-</v>
      </c>
      <c r="I347" s="142" t="str">
        <f t="shared" si="61"/>
        <v>-</v>
      </c>
      <c r="K347" s="142" t="str">
        <f t="shared" ref="K347:R348" si="62">K97</f>
        <v>-</v>
      </c>
      <c r="L347" s="142" t="str">
        <f t="shared" si="62"/>
        <v>-</v>
      </c>
      <c r="M347" s="142" t="str">
        <f t="shared" si="62"/>
        <v>-</v>
      </c>
      <c r="N347" s="142" t="str">
        <f t="shared" si="62"/>
        <v>-</v>
      </c>
      <c r="O347" s="142" t="str">
        <f t="shared" si="62"/>
        <v>-</v>
      </c>
      <c r="P347" s="142" t="str">
        <f t="shared" si="62"/>
        <v>-</v>
      </c>
      <c r="Q347" s="142" t="str">
        <f t="shared" si="62"/>
        <v>-</v>
      </c>
      <c r="R347" s="142" t="str">
        <f t="shared" si="62"/>
        <v>-</v>
      </c>
    </row>
    <row r="348" spans="1:18">
      <c r="A348" s="99">
        <v>2021</v>
      </c>
      <c r="B348" s="142" t="str">
        <f t="shared" si="61"/>
        <v>-</v>
      </c>
      <c r="C348" s="142" t="str">
        <f t="shared" si="61"/>
        <v>-</v>
      </c>
      <c r="D348" s="142" t="str">
        <f t="shared" si="61"/>
        <v>-</v>
      </c>
      <c r="E348" s="142" t="str">
        <f t="shared" si="61"/>
        <v>-</v>
      </c>
      <c r="F348" s="142" t="str">
        <f t="shared" si="61"/>
        <v>-</v>
      </c>
      <c r="G348" s="142" t="str">
        <f t="shared" si="61"/>
        <v>-</v>
      </c>
      <c r="H348" s="142" t="str">
        <f t="shared" si="61"/>
        <v>-</v>
      </c>
      <c r="I348" s="142" t="str">
        <f t="shared" si="61"/>
        <v>-</v>
      </c>
      <c r="K348" s="142" t="str">
        <f t="shared" si="62"/>
        <v>-</v>
      </c>
      <c r="L348" s="142" t="str">
        <f t="shared" si="62"/>
        <v>-</v>
      </c>
      <c r="M348" s="142" t="str">
        <f t="shared" si="62"/>
        <v>-</v>
      </c>
      <c r="N348" s="142" t="str">
        <f t="shared" si="62"/>
        <v>-</v>
      </c>
      <c r="O348" s="142" t="str">
        <f t="shared" si="62"/>
        <v>-</v>
      </c>
      <c r="P348" s="142" t="str">
        <f t="shared" si="62"/>
        <v>-</v>
      </c>
      <c r="Q348" s="142" t="str">
        <f t="shared" si="62"/>
        <v>-</v>
      </c>
      <c r="R348" s="142" t="str">
        <f t="shared" si="62"/>
        <v>-</v>
      </c>
    </row>
    <row r="350" spans="1:18">
      <c r="A350" s="282" t="s">
        <v>160</v>
      </c>
      <c r="B350" s="282"/>
      <c r="C350" s="282"/>
      <c r="D350" s="282"/>
      <c r="E350" s="282"/>
      <c r="F350" s="282"/>
      <c r="G350" s="282"/>
      <c r="H350" s="282"/>
      <c r="I350" s="282"/>
      <c r="J350" s="282"/>
      <c r="K350" s="282"/>
      <c r="L350" s="282"/>
      <c r="M350" s="282"/>
      <c r="N350" s="282"/>
      <c r="O350" s="282"/>
      <c r="P350" s="282"/>
      <c r="Q350" s="282"/>
      <c r="R350" s="282"/>
    </row>
    <row r="351" spans="1:18">
      <c r="A351" s="98" t="s">
        <v>27</v>
      </c>
      <c r="B351" s="46" t="s">
        <v>28</v>
      </c>
      <c r="C351" s="46" t="s">
        <v>29</v>
      </c>
      <c r="D351" s="46" t="s">
        <v>30</v>
      </c>
      <c r="E351" s="46" t="s">
        <v>31</v>
      </c>
      <c r="F351" s="46" t="s">
        <v>32</v>
      </c>
      <c r="G351" s="46" t="s">
        <v>33</v>
      </c>
      <c r="H351" s="46" t="s">
        <v>34</v>
      </c>
      <c r="I351" s="284" t="s">
        <v>22</v>
      </c>
      <c r="J351" s="284"/>
      <c r="K351" s="46" t="s">
        <v>28</v>
      </c>
      <c r="L351" s="46" t="s">
        <v>29</v>
      </c>
      <c r="M351" s="46" t="s">
        <v>30</v>
      </c>
      <c r="N351" s="46" t="s">
        <v>31</v>
      </c>
      <c r="O351" s="46" t="s">
        <v>32</v>
      </c>
      <c r="P351" s="46" t="s">
        <v>33</v>
      </c>
      <c r="Q351" s="46" t="s">
        <v>34</v>
      </c>
      <c r="R351" s="46" t="s">
        <v>22</v>
      </c>
    </row>
    <row r="352" spans="1:18">
      <c r="B352" s="288" t="s">
        <v>61</v>
      </c>
      <c r="C352" s="288"/>
      <c r="D352" s="288"/>
      <c r="E352" s="288"/>
      <c r="F352" s="288"/>
      <c r="G352" s="288"/>
      <c r="H352" s="288"/>
      <c r="I352" s="288"/>
      <c r="J352" s="14"/>
      <c r="K352" s="288" t="s">
        <v>62</v>
      </c>
      <c r="L352" s="288"/>
      <c r="M352" s="288"/>
      <c r="N352" s="288"/>
      <c r="O352" s="288"/>
      <c r="P352" s="288"/>
      <c r="Q352" s="288"/>
      <c r="R352" s="288"/>
    </row>
    <row r="353" spans="1:18">
      <c r="A353" s="247" t="str">
        <f>A100</f>
        <v>Fort Bragg</v>
      </c>
    </row>
    <row r="354" spans="1:18">
      <c r="A354" s="99" t="s">
        <v>78</v>
      </c>
      <c r="B354" s="57" t="s">
        <v>23</v>
      </c>
      <c r="C354" s="142">
        <f>AVERAGE(C111:C115)</f>
        <v>46867.6</v>
      </c>
      <c r="D354" s="142">
        <f>AVERAGE(D111:D115)</f>
        <v>72418.135999999999</v>
      </c>
      <c r="E354" s="142">
        <f>AVERAGE(E111:E115)</f>
        <v>91861.19200000001</v>
      </c>
      <c r="F354" s="142">
        <f>AVERAGE(F111:F115)</f>
        <v>36173.547999999995</v>
      </c>
      <c r="G354" s="142">
        <f>AVERAGE(G111:G115)</f>
        <v>5095.3999999999996</v>
      </c>
      <c r="H354" s="57" t="s">
        <v>23</v>
      </c>
      <c r="I354" s="142">
        <f>AVERAGE(I111:I115)</f>
        <v>252415.87599999999</v>
      </c>
      <c r="K354" s="57" t="s">
        <v>23</v>
      </c>
      <c r="L354" s="57" t="s">
        <v>23</v>
      </c>
      <c r="M354" s="142">
        <f>AVERAGE(M111:M115)</f>
        <v>9105.9275797004375</v>
      </c>
      <c r="N354" s="142">
        <f>AVERAGE(N111:N115)</f>
        <v>14013.784256643019</v>
      </c>
      <c r="O354" s="142">
        <f>AVERAGE(O111:O115)</f>
        <v>3375.7836459171926</v>
      </c>
      <c r="P354" s="142">
        <f>AVERAGE(P111:P115)</f>
        <v>189.89568845780482</v>
      </c>
      <c r="Q354" s="57" t="s">
        <v>23</v>
      </c>
      <c r="R354" s="142">
        <f>AVERAGE(R111:R115)</f>
        <v>26000</v>
      </c>
    </row>
    <row r="355" spans="1:18">
      <c r="A355" s="99" t="s">
        <v>10</v>
      </c>
      <c r="B355" s="57" t="s">
        <v>23</v>
      </c>
      <c r="C355" s="142">
        <f>AVERAGE(C116:C120)</f>
        <v>388</v>
      </c>
      <c r="D355" s="57" t="s">
        <v>23</v>
      </c>
      <c r="E355" s="57" t="s">
        <v>23</v>
      </c>
      <c r="F355" s="142">
        <f>AVERAGE(F116:F120)</f>
        <v>34300</v>
      </c>
      <c r="G355" s="142">
        <f>AVERAGE(G116:G120)</f>
        <v>8681.75</v>
      </c>
      <c r="H355" s="57" t="s">
        <v>23</v>
      </c>
      <c r="I355" s="142">
        <f>AVERAGE(I116:I120)</f>
        <v>17353.75</v>
      </c>
      <c r="K355" s="57" t="s">
        <v>23</v>
      </c>
      <c r="L355" s="57" t="s">
        <v>23</v>
      </c>
      <c r="M355" s="57" t="s">
        <v>23</v>
      </c>
      <c r="N355" s="57" t="s">
        <v>23</v>
      </c>
      <c r="O355" s="142">
        <f>AVERAGE(O116:O120)</f>
        <v>4500</v>
      </c>
      <c r="P355" s="57" t="s">
        <v>23</v>
      </c>
      <c r="Q355" s="57" t="s">
        <v>23</v>
      </c>
      <c r="R355" s="142">
        <f>AVERAGE(R116:R120)</f>
        <v>4500</v>
      </c>
    </row>
    <row r="356" spans="1:18">
      <c r="A356" s="99" t="s">
        <v>144</v>
      </c>
      <c r="B356" s="57" t="s">
        <v>23</v>
      </c>
      <c r="C356" s="142" t="s">
        <v>23</v>
      </c>
      <c r="D356" s="57" t="s">
        <v>23</v>
      </c>
      <c r="E356" s="57" t="s">
        <v>23</v>
      </c>
      <c r="F356" s="142">
        <f>AVERAGE(F121:F125)</f>
        <v>14443</v>
      </c>
      <c r="G356" s="142">
        <f>AVERAGE(G121:G125)</f>
        <v>9640.2000000000007</v>
      </c>
      <c r="H356" s="57" t="s">
        <v>23</v>
      </c>
      <c r="I356" s="142">
        <f>AVERAGE(I121:I125)</f>
        <v>12528.8</v>
      </c>
      <c r="K356" s="57" t="s">
        <v>23</v>
      </c>
      <c r="L356" s="57" t="s">
        <v>23</v>
      </c>
      <c r="M356" s="57" t="s">
        <v>23</v>
      </c>
      <c r="N356" s="57" t="s">
        <v>23</v>
      </c>
      <c r="O356" s="142" t="s">
        <v>23</v>
      </c>
      <c r="P356" s="57" t="s">
        <v>23</v>
      </c>
      <c r="Q356" s="57" t="s">
        <v>23</v>
      </c>
      <c r="R356" s="142" t="s">
        <v>23</v>
      </c>
    </row>
    <row r="357" spans="1:18">
      <c r="A357" s="99" t="s">
        <v>166</v>
      </c>
      <c r="B357" s="142" t="str">
        <f>B126</f>
        <v>-</v>
      </c>
      <c r="C357" s="142">
        <f>AVERAGE(C126:C130)</f>
        <v>17714.5</v>
      </c>
      <c r="D357" s="142" t="str">
        <f>D126</f>
        <v>-</v>
      </c>
      <c r="E357" s="142">
        <f>AVERAGE(E126:E130)</f>
        <v>51702</v>
      </c>
      <c r="F357" s="142">
        <f>AVERAGE(F126:F130)</f>
        <v>51853.333333333336</v>
      </c>
      <c r="G357" s="142">
        <f>AVERAGE(G126:G130)</f>
        <v>27247.4</v>
      </c>
      <c r="H357" s="142" t="str">
        <f>H126</f>
        <v>-</v>
      </c>
      <c r="I357" s="142">
        <f>AVERAGE(I126:I130)</f>
        <v>96466.4</v>
      </c>
      <c r="K357" s="142" t="str">
        <f t="shared" ref="K357:R357" si="63">K126</f>
        <v>-</v>
      </c>
      <c r="L357" s="142" t="str">
        <f t="shared" si="63"/>
        <v>-</v>
      </c>
      <c r="M357" s="142" t="str">
        <f t="shared" si="63"/>
        <v>-</v>
      </c>
      <c r="N357" s="142" t="str">
        <f t="shared" si="63"/>
        <v>-</v>
      </c>
      <c r="O357" s="142" t="str">
        <f t="shared" si="63"/>
        <v>-</v>
      </c>
      <c r="P357" s="142" t="str">
        <f t="shared" si="63"/>
        <v>-</v>
      </c>
      <c r="Q357" s="142" t="str">
        <f t="shared" si="63"/>
        <v>-</v>
      </c>
      <c r="R357" s="142" t="str">
        <f t="shared" si="63"/>
        <v>-</v>
      </c>
    </row>
    <row r="358" spans="1:18">
      <c r="A358" s="99" t="s">
        <v>315</v>
      </c>
      <c r="B358" s="142">
        <f>AVERAGE(B131:B135)</f>
        <v>748</v>
      </c>
      <c r="C358" s="142" t="str">
        <f>C131</f>
        <v>-</v>
      </c>
      <c r="D358" s="142" t="str">
        <f>D131</f>
        <v>-</v>
      </c>
      <c r="E358" s="142">
        <f t="shared" ref="E358:I358" si="64">AVERAGE(E131:E135)</f>
        <v>6371</v>
      </c>
      <c r="F358" s="142">
        <f t="shared" si="64"/>
        <v>10677.5</v>
      </c>
      <c r="G358" s="142">
        <f t="shared" si="64"/>
        <v>5515</v>
      </c>
      <c r="H358" s="142" t="str">
        <f>H131</f>
        <v>-</v>
      </c>
      <c r="I358" s="142">
        <f t="shared" si="64"/>
        <v>13168</v>
      </c>
      <c r="K358" s="142" t="str">
        <f>K131</f>
        <v>-</v>
      </c>
      <c r="L358" s="142" t="str">
        <f t="shared" ref="L358:R358" si="65">L131</f>
        <v>-</v>
      </c>
      <c r="M358" s="142" t="str">
        <f t="shared" si="65"/>
        <v>-</v>
      </c>
      <c r="N358" s="142" t="str">
        <f t="shared" si="65"/>
        <v>-</v>
      </c>
      <c r="O358" s="142" t="str">
        <f t="shared" si="65"/>
        <v>-</v>
      </c>
      <c r="P358" s="142" t="str">
        <f t="shared" si="65"/>
        <v>-</v>
      </c>
      <c r="Q358" s="142" t="str">
        <f t="shared" si="65"/>
        <v>-</v>
      </c>
      <c r="R358" s="142" t="str">
        <f t="shared" si="65"/>
        <v>-</v>
      </c>
    </row>
    <row r="359" spans="1:18">
      <c r="A359" s="99">
        <v>2011</v>
      </c>
      <c r="B359" s="142" t="str">
        <f t="shared" ref="B359:I367" si="66">B136</f>
        <v>-</v>
      </c>
      <c r="C359" s="142" t="str">
        <f t="shared" si="66"/>
        <v>-</v>
      </c>
      <c r="D359" s="142" t="str">
        <f t="shared" si="66"/>
        <v>-</v>
      </c>
      <c r="E359" s="142">
        <f t="shared" si="66"/>
        <v>21085</v>
      </c>
      <c r="F359" s="142">
        <f t="shared" si="66"/>
        <v>17766</v>
      </c>
      <c r="G359" s="142">
        <f t="shared" si="66"/>
        <v>460</v>
      </c>
      <c r="H359" s="142" t="str">
        <f t="shared" si="66"/>
        <v>-</v>
      </c>
      <c r="I359" s="142">
        <f t="shared" si="66"/>
        <v>39311</v>
      </c>
      <c r="K359" s="142" t="str">
        <f t="shared" ref="K359:R367" si="67">K136</f>
        <v>-</v>
      </c>
      <c r="L359" s="142" t="str">
        <f t="shared" si="67"/>
        <v>-</v>
      </c>
      <c r="M359" s="142" t="str">
        <f t="shared" si="67"/>
        <v>-</v>
      </c>
      <c r="N359" s="142" t="str">
        <f t="shared" si="67"/>
        <v>-</v>
      </c>
      <c r="O359" s="142" t="str">
        <f t="shared" si="67"/>
        <v>-</v>
      </c>
      <c r="P359" s="142" t="str">
        <f t="shared" si="67"/>
        <v>-</v>
      </c>
      <c r="Q359" s="142" t="str">
        <f t="shared" si="67"/>
        <v>-</v>
      </c>
      <c r="R359" s="142" t="str">
        <f t="shared" si="67"/>
        <v>-</v>
      </c>
    </row>
    <row r="360" spans="1:18">
      <c r="A360" s="99">
        <v>2012</v>
      </c>
      <c r="B360" s="142" t="str">
        <f t="shared" si="66"/>
        <v>-</v>
      </c>
      <c r="C360" s="142" t="str">
        <f t="shared" si="66"/>
        <v>-</v>
      </c>
      <c r="D360" s="142" t="str">
        <f t="shared" si="66"/>
        <v>-</v>
      </c>
      <c r="E360" s="142">
        <f t="shared" si="66"/>
        <v>24324</v>
      </c>
      <c r="F360" s="142">
        <f t="shared" si="66"/>
        <v>12304</v>
      </c>
      <c r="G360" s="142">
        <f t="shared" si="66"/>
        <v>1654</v>
      </c>
      <c r="H360" s="142" t="str">
        <f t="shared" si="66"/>
        <v>-</v>
      </c>
      <c r="I360" s="142">
        <f t="shared" si="66"/>
        <v>38282</v>
      </c>
      <c r="K360" s="142" t="str">
        <f t="shared" si="67"/>
        <v>-</v>
      </c>
      <c r="L360" s="142" t="str">
        <f t="shared" si="67"/>
        <v>-</v>
      </c>
      <c r="M360" s="142" t="str">
        <f t="shared" si="67"/>
        <v>-</v>
      </c>
      <c r="N360" s="142" t="str">
        <f t="shared" si="67"/>
        <v>-</v>
      </c>
      <c r="O360" s="142" t="str">
        <f t="shared" si="67"/>
        <v>-</v>
      </c>
      <c r="P360" s="142" t="str">
        <f t="shared" si="67"/>
        <v>-</v>
      </c>
      <c r="Q360" s="142" t="str">
        <f t="shared" si="67"/>
        <v>-</v>
      </c>
      <c r="R360" s="142" t="str">
        <f t="shared" si="67"/>
        <v>-</v>
      </c>
    </row>
    <row r="361" spans="1:18">
      <c r="A361" s="99">
        <v>2013</v>
      </c>
      <c r="B361" s="142" t="str">
        <f t="shared" si="66"/>
        <v>-</v>
      </c>
      <c r="C361" s="142">
        <f t="shared" si="66"/>
        <v>4352</v>
      </c>
      <c r="D361" s="142">
        <f t="shared" si="66"/>
        <v>23785</v>
      </c>
      <c r="E361" s="142">
        <f t="shared" si="66"/>
        <v>68781</v>
      </c>
      <c r="F361" s="142">
        <f t="shared" si="66"/>
        <v>14916</v>
      </c>
      <c r="G361" s="142">
        <f t="shared" si="66"/>
        <v>4324</v>
      </c>
      <c r="H361" s="142" t="str">
        <f t="shared" si="66"/>
        <v>-</v>
      </c>
      <c r="I361" s="142">
        <f t="shared" si="66"/>
        <v>116158</v>
      </c>
      <c r="K361" s="142" t="str">
        <f t="shared" si="67"/>
        <v>-</v>
      </c>
      <c r="L361" s="142" t="str">
        <f t="shared" si="67"/>
        <v>-</v>
      </c>
      <c r="M361" s="142" t="str">
        <f t="shared" si="67"/>
        <v>-</v>
      </c>
      <c r="N361" s="142" t="str">
        <f t="shared" si="67"/>
        <v>-</v>
      </c>
      <c r="O361" s="142" t="str">
        <f t="shared" si="67"/>
        <v>-</v>
      </c>
      <c r="P361" s="142" t="str">
        <f t="shared" si="67"/>
        <v>-</v>
      </c>
      <c r="Q361" s="142" t="str">
        <f t="shared" si="67"/>
        <v>-</v>
      </c>
      <c r="R361" s="142" t="str">
        <f t="shared" si="67"/>
        <v>-</v>
      </c>
    </row>
    <row r="362" spans="1:18">
      <c r="A362" s="99">
        <v>2014</v>
      </c>
      <c r="B362" s="142" t="str">
        <f t="shared" si="66"/>
        <v>-</v>
      </c>
      <c r="C362" s="142" t="str">
        <f t="shared" si="66"/>
        <v>-</v>
      </c>
      <c r="D362" s="142">
        <f t="shared" si="66"/>
        <v>23126</v>
      </c>
      <c r="E362" s="142">
        <f t="shared" si="66"/>
        <v>45563</v>
      </c>
      <c r="F362" s="142">
        <f t="shared" si="66"/>
        <v>7788</v>
      </c>
      <c r="G362" s="142">
        <f t="shared" si="66"/>
        <v>454</v>
      </c>
      <c r="H362" s="142" t="str">
        <f t="shared" si="66"/>
        <v>-</v>
      </c>
      <c r="I362" s="142">
        <f t="shared" si="66"/>
        <v>76931</v>
      </c>
      <c r="K362" s="142" t="str">
        <f t="shared" si="67"/>
        <v>-</v>
      </c>
      <c r="L362" s="142" t="str">
        <f t="shared" si="67"/>
        <v>-</v>
      </c>
      <c r="M362" s="142" t="str">
        <f t="shared" si="67"/>
        <v>-</v>
      </c>
      <c r="N362" s="142" t="str">
        <f t="shared" si="67"/>
        <v>-</v>
      </c>
      <c r="O362" s="142" t="str">
        <f t="shared" si="67"/>
        <v>-</v>
      </c>
      <c r="P362" s="142" t="str">
        <f t="shared" si="67"/>
        <v>-</v>
      </c>
      <c r="Q362" s="142" t="str">
        <f t="shared" si="67"/>
        <v>-</v>
      </c>
      <c r="R362" s="142" t="str">
        <f t="shared" si="67"/>
        <v>-</v>
      </c>
    </row>
    <row r="363" spans="1:18">
      <c r="A363" s="99">
        <v>2015</v>
      </c>
      <c r="B363" s="142" t="str">
        <f t="shared" si="66"/>
        <v>-</v>
      </c>
      <c r="C363" s="142">
        <f t="shared" si="66"/>
        <v>38546</v>
      </c>
      <c r="D363" s="142">
        <f t="shared" si="66"/>
        <v>11317</v>
      </c>
      <c r="E363" s="142">
        <f t="shared" si="66"/>
        <v>5333</v>
      </c>
      <c r="F363" s="142">
        <f t="shared" si="66"/>
        <v>3848</v>
      </c>
      <c r="G363" s="142">
        <f t="shared" si="66"/>
        <v>1008</v>
      </c>
      <c r="H363" s="142" t="str">
        <f t="shared" si="66"/>
        <v>-</v>
      </c>
      <c r="I363" s="142">
        <f t="shared" si="66"/>
        <v>60052</v>
      </c>
      <c r="K363" s="142" t="str">
        <f t="shared" si="67"/>
        <v>-</v>
      </c>
      <c r="L363" s="142" t="str">
        <f t="shared" si="67"/>
        <v>-</v>
      </c>
      <c r="M363" s="142" t="str">
        <f t="shared" si="67"/>
        <v>-</v>
      </c>
      <c r="N363" s="142" t="str">
        <f t="shared" si="67"/>
        <v>-</v>
      </c>
      <c r="O363" s="142" t="str">
        <f t="shared" si="67"/>
        <v>-</v>
      </c>
      <c r="P363" s="142" t="str">
        <f t="shared" si="67"/>
        <v>-</v>
      </c>
      <c r="Q363" s="142" t="str">
        <f t="shared" si="67"/>
        <v>-</v>
      </c>
      <c r="R363" s="142" t="str">
        <f t="shared" si="67"/>
        <v>-</v>
      </c>
    </row>
    <row r="364" spans="1:18">
      <c r="A364" s="99">
        <v>2016</v>
      </c>
      <c r="B364" s="142" t="str">
        <f t="shared" si="66"/>
        <v>-</v>
      </c>
      <c r="C364" s="142" t="str">
        <f t="shared" si="66"/>
        <v>-</v>
      </c>
      <c r="D364" s="142">
        <f t="shared" si="66"/>
        <v>9956</v>
      </c>
      <c r="E364" s="142" t="str">
        <f t="shared" si="66"/>
        <v>-</v>
      </c>
      <c r="F364" s="142">
        <f t="shared" si="66"/>
        <v>4515</v>
      </c>
      <c r="G364" s="142">
        <f t="shared" si="66"/>
        <v>909</v>
      </c>
      <c r="H364" s="142" t="str">
        <f t="shared" si="66"/>
        <v>-</v>
      </c>
      <c r="I364" s="142">
        <f t="shared" si="66"/>
        <v>15380</v>
      </c>
      <c r="K364" s="142" t="str">
        <f t="shared" si="67"/>
        <v>-</v>
      </c>
      <c r="L364" s="142" t="str">
        <f t="shared" si="67"/>
        <v>-</v>
      </c>
      <c r="M364" s="142" t="str">
        <f t="shared" si="67"/>
        <v>-</v>
      </c>
      <c r="N364" s="142" t="str">
        <f t="shared" si="67"/>
        <v>-</v>
      </c>
      <c r="O364" s="142" t="str">
        <f t="shared" si="67"/>
        <v>-</v>
      </c>
      <c r="P364" s="142" t="str">
        <f t="shared" si="67"/>
        <v>-</v>
      </c>
      <c r="Q364" s="142" t="str">
        <f t="shared" si="67"/>
        <v>-</v>
      </c>
      <c r="R364" s="142" t="str">
        <f t="shared" si="67"/>
        <v>-</v>
      </c>
    </row>
    <row r="365" spans="1:18">
      <c r="A365" s="99">
        <v>2017</v>
      </c>
      <c r="B365" s="142" t="str">
        <f t="shared" si="66"/>
        <v>-</v>
      </c>
      <c r="C365" s="142" t="str">
        <f t="shared" si="66"/>
        <v>-</v>
      </c>
      <c r="D365" s="142" t="str">
        <f t="shared" si="66"/>
        <v>-</v>
      </c>
      <c r="E365" s="142" t="str">
        <f t="shared" si="66"/>
        <v>-</v>
      </c>
      <c r="F365" s="142" t="str">
        <f t="shared" si="66"/>
        <v>-</v>
      </c>
      <c r="G365" s="142">
        <f t="shared" si="66"/>
        <v>1935</v>
      </c>
      <c r="H365" s="142" t="str">
        <f t="shared" si="66"/>
        <v>-</v>
      </c>
      <c r="I365" s="142">
        <f t="shared" si="66"/>
        <v>1935</v>
      </c>
      <c r="K365" s="142" t="str">
        <f t="shared" si="67"/>
        <v>-</v>
      </c>
      <c r="L365" s="142" t="str">
        <f t="shared" si="67"/>
        <v>-</v>
      </c>
      <c r="M365" s="142" t="str">
        <f t="shared" si="67"/>
        <v>-</v>
      </c>
      <c r="N365" s="142" t="str">
        <f t="shared" si="67"/>
        <v>-</v>
      </c>
      <c r="O365" s="142" t="str">
        <f t="shared" si="67"/>
        <v>-</v>
      </c>
      <c r="P365" s="142" t="str">
        <f t="shared" si="67"/>
        <v>-</v>
      </c>
      <c r="Q365" s="142" t="str">
        <f t="shared" si="67"/>
        <v>-</v>
      </c>
      <c r="R365" s="142" t="str">
        <f t="shared" si="67"/>
        <v>-</v>
      </c>
    </row>
    <row r="366" spans="1:18">
      <c r="A366" s="99">
        <v>2018</v>
      </c>
      <c r="B366" s="142" t="str">
        <f t="shared" si="66"/>
        <v>-</v>
      </c>
      <c r="C366" s="142" t="str">
        <f t="shared" si="66"/>
        <v>-</v>
      </c>
      <c r="D366" s="142" t="str">
        <f t="shared" si="66"/>
        <v>-</v>
      </c>
      <c r="E366" s="142">
        <f t="shared" si="66"/>
        <v>6081</v>
      </c>
      <c r="F366" s="142">
        <f t="shared" si="66"/>
        <v>4137</v>
      </c>
      <c r="G366" s="142">
        <f t="shared" si="66"/>
        <v>333</v>
      </c>
      <c r="H366" s="142" t="str">
        <f t="shared" si="66"/>
        <v>-</v>
      </c>
      <c r="I366" s="142">
        <f t="shared" si="66"/>
        <v>10551</v>
      </c>
      <c r="K366" s="142" t="str">
        <f t="shared" si="67"/>
        <v>-</v>
      </c>
      <c r="L366" s="142" t="str">
        <f t="shared" si="67"/>
        <v>-</v>
      </c>
      <c r="M366" s="142" t="str">
        <f t="shared" si="67"/>
        <v>-</v>
      </c>
      <c r="N366" s="142" t="str">
        <f t="shared" si="67"/>
        <v>-</v>
      </c>
      <c r="O366" s="142" t="str">
        <f t="shared" si="67"/>
        <v>-</v>
      </c>
      <c r="P366" s="142" t="str">
        <f t="shared" si="67"/>
        <v>-</v>
      </c>
      <c r="Q366" s="142" t="str">
        <f t="shared" si="67"/>
        <v>-</v>
      </c>
      <c r="R366" s="142" t="str">
        <f t="shared" si="67"/>
        <v>-</v>
      </c>
    </row>
    <row r="367" spans="1:18">
      <c r="A367" s="239">
        <v>2019</v>
      </c>
      <c r="B367" s="142" t="str">
        <f t="shared" si="66"/>
        <v>-</v>
      </c>
      <c r="C367" s="142" t="str">
        <f t="shared" si="66"/>
        <v>-</v>
      </c>
      <c r="D367" s="142">
        <f t="shared" si="66"/>
        <v>3581</v>
      </c>
      <c r="E367" s="142">
        <f t="shared" si="66"/>
        <v>2894</v>
      </c>
      <c r="F367" s="142">
        <f t="shared" si="66"/>
        <v>2806</v>
      </c>
      <c r="G367" s="142" t="str">
        <f t="shared" si="66"/>
        <v>-</v>
      </c>
      <c r="H367" s="142" t="str">
        <f t="shared" si="66"/>
        <v>-</v>
      </c>
      <c r="I367" s="142">
        <f t="shared" si="66"/>
        <v>9281</v>
      </c>
      <c r="K367" s="142" t="str">
        <f t="shared" si="67"/>
        <v>-</v>
      </c>
      <c r="L367" s="142" t="str">
        <f t="shared" si="67"/>
        <v>-</v>
      </c>
      <c r="M367" s="142" t="str">
        <f t="shared" si="67"/>
        <v>-</v>
      </c>
      <c r="N367" s="142" t="str">
        <f t="shared" si="67"/>
        <v>-</v>
      </c>
      <c r="O367" s="142" t="str">
        <f t="shared" si="67"/>
        <v>-</v>
      </c>
      <c r="P367" s="142" t="str">
        <f t="shared" si="67"/>
        <v>-</v>
      </c>
      <c r="Q367" s="142" t="str">
        <f t="shared" si="67"/>
        <v>-</v>
      </c>
      <c r="R367" s="142" t="str">
        <f t="shared" si="67"/>
        <v>-</v>
      </c>
    </row>
    <row r="368" spans="1:18">
      <c r="A368" s="239">
        <v>2020</v>
      </c>
      <c r="B368" s="142" t="str">
        <f t="shared" ref="B368:I369" si="68">B145</f>
        <v>-</v>
      </c>
      <c r="C368" s="142" t="str">
        <f t="shared" si="68"/>
        <v>-</v>
      </c>
      <c r="D368" s="142" t="str">
        <f t="shared" si="68"/>
        <v>-</v>
      </c>
      <c r="E368" s="142" t="str">
        <f t="shared" si="68"/>
        <v>-</v>
      </c>
      <c r="F368" s="142">
        <f t="shared" si="68"/>
        <v>1617</v>
      </c>
      <c r="G368" s="142">
        <f t="shared" si="68"/>
        <v>232</v>
      </c>
      <c r="H368" s="142" t="str">
        <f t="shared" si="68"/>
        <v>-</v>
      </c>
      <c r="I368" s="142">
        <f t="shared" si="68"/>
        <v>1849</v>
      </c>
      <c r="K368" s="142" t="str">
        <f t="shared" ref="K368:R369" si="69">K145</f>
        <v>-</v>
      </c>
      <c r="L368" s="142" t="str">
        <f t="shared" si="69"/>
        <v>-</v>
      </c>
      <c r="M368" s="142" t="str">
        <f t="shared" si="69"/>
        <v>-</v>
      </c>
      <c r="N368" s="142" t="str">
        <f t="shared" si="69"/>
        <v>-</v>
      </c>
      <c r="O368" s="142" t="str">
        <f t="shared" si="69"/>
        <v>-</v>
      </c>
      <c r="P368" s="142" t="str">
        <f t="shared" si="69"/>
        <v>-</v>
      </c>
      <c r="Q368" s="142" t="str">
        <f t="shared" si="69"/>
        <v>-</v>
      </c>
      <c r="R368" s="142" t="str">
        <f t="shared" si="69"/>
        <v>-</v>
      </c>
    </row>
    <row r="369" spans="1:18" ht="13">
      <c r="A369" s="239" t="s">
        <v>314</v>
      </c>
      <c r="B369" s="142" t="str">
        <f t="shared" si="68"/>
        <v>-</v>
      </c>
      <c r="C369" s="142" t="str">
        <f t="shared" si="68"/>
        <v>-</v>
      </c>
      <c r="D369" s="142" t="str">
        <f t="shared" si="68"/>
        <v>-</v>
      </c>
      <c r="E369" s="142" t="str">
        <f t="shared" si="68"/>
        <v>-</v>
      </c>
      <c r="F369" s="142">
        <f t="shared" si="68"/>
        <v>41814</v>
      </c>
      <c r="G369" s="142">
        <f t="shared" si="68"/>
        <v>1908</v>
      </c>
      <c r="H369" s="142" t="str">
        <f t="shared" si="68"/>
        <v>-</v>
      </c>
      <c r="I369" s="142">
        <f t="shared" si="68"/>
        <v>43722</v>
      </c>
      <c r="K369" s="142" t="str">
        <f t="shared" si="69"/>
        <v>-</v>
      </c>
      <c r="L369" s="142" t="str">
        <f t="shared" si="69"/>
        <v>-</v>
      </c>
      <c r="M369" s="142" t="str">
        <f t="shared" si="69"/>
        <v>-</v>
      </c>
      <c r="N369" s="142" t="str">
        <f t="shared" si="69"/>
        <v>-</v>
      </c>
      <c r="O369" s="142" t="str">
        <f t="shared" si="69"/>
        <v>-</v>
      </c>
      <c r="P369" s="142" t="str">
        <f t="shared" si="69"/>
        <v>-</v>
      </c>
      <c r="Q369" s="142" t="str">
        <f t="shared" si="69"/>
        <v>-</v>
      </c>
      <c r="R369" s="142" t="str">
        <f t="shared" si="69"/>
        <v>-</v>
      </c>
    </row>
    <row r="370" spans="1:18" ht="8" customHeight="1"/>
    <row r="371" spans="1:18">
      <c r="A371" s="247" t="str">
        <f>A148</f>
        <v>San Francisco</v>
      </c>
    </row>
    <row r="372" spans="1:18">
      <c r="A372" s="99" t="s">
        <v>78</v>
      </c>
      <c r="B372" s="57" t="s">
        <v>23</v>
      </c>
      <c r="C372" s="142">
        <f>AVERAGE(C159:C163)</f>
        <v>131362</v>
      </c>
      <c r="D372" s="142">
        <f>AVERAGE(D159:D163)</f>
        <v>111938</v>
      </c>
      <c r="E372" s="142">
        <f>AVERAGE(E159:E163)</f>
        <v>71214.399999999994</v>
      </c>
      <c r="F372" s="142">
        <f>AVERAGE(F159:F163)</f>
        <v>26550.400000000001</v>
      </c>
      <c r="G372" s="142">
        <f>AVERAGE(G159:G163)</f>
        <v>10050</v>
      </c>
      <c r="H372" s="57" t="s">
        <v>23</v>
      </c>
      <c r="I372" s="142">
        <f>AVERAGE(I159:I163)</f>
        <v>351114.8</v>
      </c>
      <c r="K372" s="57" t="s">
        <v>23</v>
      </c>
      <c r="L372" s="57" t="s">
        <v>23</v>
      </c>
      <c r="M372" s="142">
        <f>AVERAGE(M159:M163)</f>
        <v>5375.2</v>
      </c>
      <c r="N372" s="142">
        <f>AVERAGE(N159:N163)</f>
        <v>3280.2</v>
      </c>
      <c r="O372" s="142">
        <f>AVERAGE(O159:O163)</f>
        <v>819.5</v>
      </c>
      <c r="P372" s="142">
        <f>AVERAGE(P159:P163)</f>
        <v>82.25</v>
      </c>
      <c r="Q372" s="57" t="s">
        <v>23</v>
      </c>
      <c r="R372" s="142">
        <f>AVERAGE(R159:R163)</f>
        <v>9376.7999999999993</v>
      </c>
    </row>
    <row r="373" spans="1:18">
      <c r="A373" s="99" t="s">
        <v>10</v>
      </c>
      <c r="B373" s="57" t="s">
        <v>23</v>
      </c>
      <c r="C373" s="142">
        <f>AVERAGE(C164:C168)</f>
        <v>69489.399999999994</v>
      </c>
      <c r="D373" s="142">
        <f>AVERAGE(D164:D168)</f>
        <v>43811.199999999997</v>
      </c>
      <c r="E373" s="142">
        <f>AVERAGE(E164:E168)</f>
        <v>43504</v>
      </c>
      <c r="F373" s="142">
        <f>AVERAGE(F164:F168)</f>
        <v>29911</v>
      </c>
      <c r="G373" s="142">
        <f>AVERAGE(G164:G168)</f>
        <v>13872.6</v>
      </c>
      <c r="H373" s="57" t="s">
        <v>23</v>
      </c>
      <c r="I373" s="142">
        <f>AVERAGE(I164:I168)</f>
        <v>200588.2</v>
      </c>
      <c r="K373" s="57" t="s">
        <v>23</v>
      </c>
      <c r="L373" s="57" t="s">
        <v>23</v>
      </c>
      <c r="M373" s="142">
        <f>AVERAGE(M164:M168)</f>
        <v>33100</v>
      </c>
      <c r="N373" s="142">
        <f>AVERAGE(N164:N168)</f>
        <v>19700</v>
      </c>
      <c r="O373" s="142">
        <f>AVERAGE(O164:O168)</f>
        <v>500</v>
      </c>
      <c r="P373" s="57" t="s">
        <v>23</v>
      </c>
      <c r="Q373" s="57" t="s">
        <v>23</v>
      </c>
      <c r="R373" s="142">
        <f>AVERAGE(R164:R168)</f>
        <v>26900</v>
      </c>
    </row>
    <row r="374" spans="1:18">
      <c r="A374" s="99" t="s">
        <v>144</v>
      </c>
      <c r="B374" s="142">
        <f t="shared" ref="B374:G374" si="70">AVERAGE(B169:B173)</f>
        <v>3266</v>
      </c>
      <c r="C374" s="142">
        <f t="shared" si="70"/>
        <v>49930.6</v>
      </c>
      <c r="D374" s="142">
        <f t="shared" si="70"/>
        <v>51658.8</v>
      </c>
      <c r="E374" s="142">
        <f t="shared" si="70"/>
        <v>57754.400000000001</v>
      </c>
      <c r="F374" s="142">
        <f t="shared" si="70"/>
        <v>20264.2</v>
      </c>
      <c r="G374" s="142">
        <f t="shared" si="70"/>
        <v>15401</v>
      </c>
      <c r="H374" s="57" t="s">
        <v>23</v>
      </c>
      <c r="I374" s="142">
        <f>AVERAGE(I169:I173)</f>
        <v>195662.2</v>
      </c>
      <c r="K374" s="57" t="s">
        <v>23</v>
      </c>
      <c r="L374" s="57" t="s">
        <v>23</v>
      </c>
      <c r="M374" s="57" t="s">
        <v>23</v>
      </c>
      <c r="N374" s="57" t="s">
        <v>23</v>
      </c>
      <c r="O374" s="57" t="s">
        <v>23</v>
      </c>
      <c r="P374" s="57" t="s">
        <v>23</v>
      </c>
      <c r="Q374" s="57" t="s">
        <v>23</v>
      </c>
      <c r="R374" s="57" t="s">
        <v>23</v>
      </c>
    </row>
    <row r="375" spans="1:18">
      <c r="A375" s="99" t="s">
        <v>166</v>
      </c>
      <c r="B375" s="142" t="str">
        <f>B174</f>
        <v>-</v>
      </c>
      <c r="C375" s="142">
        <f t="shared" ref="C375:I375" si="71">AVERAGE(C174:C178)</f>
        <v>52400.75</v>
      </c>
      <c r="D375" s="142">
        <f t="shared" si="71"/>
        <v>74745.5</v>
      </c>
      <c r="E375" s="142">
        <f t="shared" si="71"/>
        <v>75262</v>
      </c>
      <c r="F375" s="142">
        <f t="shared" si="71"/>
        <v>19185.8</v>
      </c>
      <c r="G375" s="142">
        <f t="shared" si="71"/>
        <v>12158.2</v>
      </c>
      <c r="H375" s="142">
        <f t="shared" si="71"/>
        <v>1904.6</v>
      </c>
      <c r="I375" s="142">
        <f t="shared" si="71"/>
        <v>210227.6</v>
      </c>
      <c r="K375" s="142" t="str">
        <f t="shared" ref="K375:R375" si="72">K174</f>
        <v>-</v>
      </c>
      <c r="L375" s="142" t="str">
        <f t="shared" si="72"/>
        <v>-</v>
      </c>
      <c r="M375" s="142" t="str">
        <f t="shared" si="72"/>
        <v>-</v>
      </c>
      <c r="N375" s="142" t="str">
        <f t="shared" si="72"/>
        <v>-</v>
      </c>
      <c r="O375" s="142" t="str">
        <f t="shared" si="72"/>
        <v>-</v>
      </c>
      <c r="P375" s="142" t="str">
        <f t="shared" si="72"/>
        <v>-</v>
      </c>
      <c r="Q375" s="142" t="str">
        <f t="shared" si="72"/>
        <v>-</v>
      </c>
      <c r="R375" s="142" t="str">
        <f t="shared" si="72"/>
        <v>-</v>
      </c>
    </row>
    <row r="376" spans="1:18">
      <c r="A376" s="99" t="s">
        <v>315</v>
      </c>
      <c r="B376" s="142" t="str">
        <f>B179</f>
        <v>-</v>
      </c>
      <c r="C376" s="142">
        <f>AVERAGE(C179:C183)</f>
        <v>25396</v>
      </c>
      <c r="D376" s="142" t="str">
        <f>D179</f>
        <v>-</v>
      </c>
      <c r="E376" s="142">
        <f>AVERAGE(E179:E183)</f>
        <v>19140</v>
      </c>
      <c r="F376" s="142">
        <f t="shared" ref="F376:I376" si="73">AVERAGE(F179:F183)</f>
        <v>12887.5</v>
      </c>
      <c r="G376" s="142">
        <f t="shared" si="73"/>
        <v>7016.5</v>
      </c>
      <c r="H376" s="142">
        <f t="shared" si="73"/>
        <v>712</v>
      </c>
      <c r="I376" s="142">
        <f t="shared" si="73"/>
        <v>41349.333333333336</v>
      </c>
      <c r="K376" s="142" t="str">
        <f>K179</f>
        <v>-</v>
      </c>
      <c r="L376" s="142" t="str">
        <f t="shared" ref="L376:R376" si="74">L179</f>
        <v>-</v>
      </c>
      <c r="M376" s="142" t="str">
        <f t="shared" si="74"/>
        <v>-</v>
      </c>
      <c r="N376" s="142" t="str">
        <f t="shared" si="74"/>
        <v>-</v>
      </c>
      <c r="O376" s="142" t="str">
        <f t="shared" si="74"/>
        <v>-</v>
      </c>
      <c r="P376" s="142" t="str">
        <f t="shared" si="74"/>
        <v>-</v>
      </c>
      <c r="Q376" s="142" t="str">
        <f t="shared" si="74"/>
        <v>-</v>
      </c>
      <c r="R376" s="142" t="str">
        <f t="shared" si="74"/>
        <v>-</v>
      </c>
    </row>
    <row r="377" spans="1:18">
      <c r="A377" s="99">
        <v>2011</v>
      </c>
      <c r="B377" s="142" t="str">
        <f t="shared" ref="B377:I385" si="75">B184</f>
        <v>-</v>
      </c>
      <c r="C377" s="142">
        <f t="shared" si="75"/>
        <v>7753</v>
      </c>
      <c r="D377" s="142">
        <f t="shared" si="75"/>
        <v>2830</v>
      </c>
      <c r="E377" s="142">
        <f t="shared" si="75"/>
        <v>8305</v>
      </c>
      <c r="F377" s="142">
        <f t="shared" si="75"/>
        <v>1395</v>
      </c>
      <c r="G377" s="142">
        <f t="shared" si="75"/>
        <v>1312</v>
      </c>
      <c r="H377" s="142">
        <f t="shared" si="75"/>
        <v>317</v>
      </c>
      <c r="I377" s="142">
        <f t="shared" si="75"/>
        <v>21912</v>
      </c>
      <c r="K377" s="142" t="str">
        <f t="shared" ref="K377:R385" si="76">K184</f>
        <v>-</v>
      </c>
      <c r="L377" s="142" t="str">
        <f t="shared" si="76"/>
        <v>-</v>
      </c>
      <c r="M377" s="142" t="str">
        <f t="shared" si="76"/>
        <v>-</v>
      </c>
      <c r="N377" s="142" t="str">
        <f t="shared" si="76"/>
        <v>-</v>
      </c>
      <c r="O377" s="142" t="str">
        <f t="shared" si="76"/>
        <v>-</v>
      </c>
      <c r="P377" s="142" t="str">
        <f t="shared" si="76"/>
        <v>-</v>
      </c>
      <c r="Q377" s="142" t="str">
        <f t="shared" si="76"/>
        <v>-</v>
      </c>
      <c r="R377" s="142" t="str">
        <f t="shared" si="76"/>
        <v>-</v>
      </c>
    </row>
    <row r="378" spans="1:18">
      <c r="A378" s="99">
        <v>2012</v>
      </c>
      <c r="B378" s="142" t="str">
        <f t="shared" si="75"/>
        <v>-</v>
      </c>
      <c r="C378" s="142">
        <f t="shared" si="75"/>
        <v>34005</v>
      </c>
      <c r="D378" s="142">
        <f t="shared" si="75"/>
        <v>10090</v>
      </c>
      <c r="E378" s="142">
        <f t="shared" si="75"/>
        <v>51592</v>
      </c>
      <c r="F378" s="142">
        <f t="shared" si="75"/>
        <v>14292</v>
      </c>
      <c r="G378" s="142">
        <f t="shared" si="75"/>
        <v>5808</v>
      </c>
      <c r="H378" s="142">
        <f t="shared" si="75"/>
        <v>3313</v>
      </c>
      <c r="I378" s="142">
        <f t="shared" si="75"/>
        <v>119100</v>
      </c>
      <c r="K378" s="142" t="str">
        <f t="shared" si="76"/>
        <v>-</v>
      </c>
      <c r="L378" s="142" t="str">
        <f t="shared" si="76"/>
        <v>-</v>
      </c>
      <c r="M378" s="142" t="str">
        <f t="shared" si="76"/>
        <v>-</v>
      </c>
      <c r="N378" s="142" t="str">
        <f t="shared" si="76"/>
        <v>-</v>
      </c>
      <c r="O378" s="142" t="str">
        <f t="shared" si="76"/>
        <v>-</v>
      </c>
      <c r="P378" s="142" t="str">
        <f t="shared" si="76"/>
        <v>-</v>
      </c>
      <c r="Q378" s="142" t="str">
        <f t="shared" si="76"/>
        <v>-</v>
      </c>
      <c r="R378" s="142" t="str">
        <f t="shared" si="76"/>
        <v>-</v>
      </c>
    </row>
    <row r="379" spans="1:18">
      <c r="A379" s="99">
        <v>2013</v>
      </c>
      <c r="B379" s="142" t="str">
        <f t="shared" si="75"/>
        <v>-</v>
      </c>
      <c r="C379" s="142">
        <f t="shared" si="75"/>
        <v>56365</v>
      </c>
      <c r="D379" s="142">
        <f t="shared" si="75"/>
        <v>47837</v>
      </c>
      <c r="E379" s="142">
        <f t="shared" si="75"/>
        <v>24215</v>
      </c>
      <c r="F379" s="142">
        <f t="shared" si="75"/>
        <v>7819</v>
      </c>
      <c r="G379" s="142">
        <f t="shared" si="75"/>
        <v>6477</v>
      </c>
      <c r="H379" s="142">
        <f t="shared" si="75"/>
        <v>941</v>
      </c>
      <c r="I379" s="142">
        <f t="shared" si="75"/>
        <v>143654</v>
      </c>
      <c r="K379" s="142" t="str">
        <f t="shared" si="76"/>
        <v>-</v>
      </c>
      <c r="L379" s="142" t="str">
        <f t="shared" si="76"/>
        <v>-</v>
      </c>
      <c r="M379" s="142" t="str">
        <f t="shared" si="76"/>
        <v>-</v>
      </c>
      <c r="N379" s="142" t="str">
        <f t="shared" si="76"/>
        <v>-</v>
      </c>
      <c r="O379" s="142" t="str">
        <f t="shared" si="76"/>
        <v>-</v>
      </c>
      <c r="P379" s="142" t="str">
        <f t="shared" si="76"/>
        <v>-</v>
      </c>
      <c r="Q379" s="142" t="str">
        <f t="shared" si="76"/>
        <v>-</v>
      </c>
      <c r="R379" s="142" t="str">
        <f t="shared" si="76"/>
        <v>-</v>
      </c>
    </row>
    <row r="380" spans="1:18">
      <c r="A380" s="99">
        <v>2014</v>
      </c>
      <c r="B380" s="142" t="str">
        <f t="shared" si="75"/>
        <v>-</v>
      </c>
      <c r="C380" s="142">
        <f t="shared" si="75"/>
        <v>30605</v>
      </c>
      <c r="D380" s="142">
        <f t="shared" si="75"/>
        <v>14917</v>
      </c>
      <c r="E380" s="142">
        <f t="shared" si="75"/>
        <v>6994</v>
      </c>
      <c r="F380" s="142">
        <f t="shared" si="75"/>
        <v>15879</v>
      </c>
      <c r="G380" s="142">
        <f t="shared" si="75"/>
        <v>11044</v>
      </c>
      <c r="H380" s="142">
        <f t="shared" si="75"/>
        <v>2985</v>
      </c>
      <c r="I380" s="142">
        <f t="shared" si="75"/>
        <v>82424</v>
      </c>
      <c r="K380" s="142" t="str">
        <f t="shared" si="76"/>
        <v>-</v>
      </c>
      <c r="L380" s="142" t="str">
        <f t="shared" si="76"/>
        <v>-</v>
      </c>
      <c r="M380" s="142" t="str">
        <f t="shared" si="76"/>
        <v>-</v>
      </c>
      <c r="N380" s="142" t="str">
        <f t="shared" si="76"/>
        <v>-</v>
      </c>
      <c r="O380" s="142" t="str">
        <f t="shared" si="76"/>
        <v>-</v>
      </c>
      <c r="P380" s="142" t="str">
        <f t="shared" si="76"/>
        <v>-</v>
      </c>
      <c r="Q380" s="142" t="str">
        <f t="shared" si="76"/>
        <v>-</v>
      </c>
      <c r="R380" s="142" t="str">
        <f t="shared" si="76"/>
        <v>-</v>
      </c>
    </row>
    <row r="381" spans="1:18">
      <c r="A381" s="99">
        <v>2015</v>
      </c>
      <c r="B381" s="142" t="str">
        <f t="shared" si="75"/>
        <v>-</v>
      </c>
      <c r="C381" s="142">
        <f t="shared" si="75"/>
        <v>7407</v>
      </c>
      <c r="D381" s="142">
        <f t="shared" si="75"/>
        <v>4762</v>
      </c>
      <c r="E381" s="142">
        <f t="shared" si="75"/>
        <v>4456</v>
      </c>
      <c r="F381" s="142">
        <f t="shared" si="75"/>
        <v>7055</v>
      </c>
      <c r="G381" s="142">
        <f t="shared" si="75"/>
        <v>9399</v>
      </c>
      <c r="H381" s="142">
        <f t="shared" si="75"/>
        <v>2617</v>
      </c>
      <c r="I381" s="142">
        <f t="shared" si="75"/>
        <v>35696</v>
      </c>
      <c r="K381" s="142" t="str">
        <f t="shared" si="76"/>
        <v>-</v>
      </c>
      <c r="L381" s="142" t="str">
        <f t="shared" si="76"/>
        <v>-</v>
      </c>
      <c r="M381" s="142" t="str">
        <f t="shared" si="76"/>
        <v>-</v>
      </c>
      <c r="N381" s="142" t="str">
        <f t="shared" si="76"/>
        <v>-</v>
      </c>
      <c r="O381" s="142" t="str">
        <f t="shared" si="76"/>
        <v>-</v>
      </c>
      <c r="P381" s="142" t="str">
        <f t="shared" si="76"/>
        <v>-</v>
      </c>
      <c r="Q381" s="142" t="str">
        <f t="shared" si="76"/>
        <v>-</v>
      </c>
      <c r="R381" s="142" t="str">
        <f t="shared" si="76"/>
        <v>-</v>
      </c>
    </row>
    <row r="382" spans="1:18">
      <c r="A382" s="99">
        <v>2016</v>
      </c>
      <c r="B382" s="142" t="str">
        <f t="shared" si="75"/>
        <v>-</v>
      </c>
      <c r="C382" s="142">
        <f t="shared" si="75"/>
        <v>3147</v>
      </c>
      <c r="D382" s="142">
        <f t="shared" si="75"/>
        <v>446</v>
      </c>
      <c r="E382" s="142" t="str">
        <f t="shared" si="75"/>
        <v>-</v>
      </c>
      <c r="F382" s="142">
        <f t="shared" si="75"/>
        <v>13819</v>
      </c>
      <c r="G382" s="142">
        <f t="shared" si="75"/>
        <v>8362</v>
      </c>
      <c r="H382" s="142">
        <f t="shared" si="75"/>
        <v>589</v>
      </c>
      <c r="I382" s="142">
        <f t="shared" si="75"/>
        <v>26363</v>
      </c>
      <c r="K382" s="142" t="str">
        <f t="shared" si="76"/>
        <v>-</v>
      </c>
      <c r="L382" s="142" t="str">
        <f t="shared" si="76"/>
        <v>-</v>
      </c>
      <c r="M382" s="142" t="str">
        <f t="shared" si="76"/>
        <v>-</v>
      </c>
      <c r="N382" s="142" t="str">
        <f t="shared" si="76"/>
        <v>-</v>
      </c>
      <c r="O382" s="142" t="str">
        <f t="shared" si="76"/>
        <v>-</v>
      </c>
      <c r="P382" s="142" t="str">
        <f t="shared" si="76"/>
        <v>-</v>
      </c>
      <c r="Q382" s="142" t="str">
        <f t="shared" si="76"/>
        <v>-</v>
      </c>
      <c r="R382" s="142" t="str">
        <f t="shared" si="76"/>
        <v>-</v>
      </c>
    </row>
    <row r="383" spans="1:18">
      <c r="A383" s="99">
        <v>2017</v>
      </c>
      <c r="B383" s="142" t="str">
        <f t="shared" si="75"/>
        <v>-</v>
      </c>
      <c r="C383" s="142" t="str">
        <f t="shared" si="75"/>
        <v>-</v>
      </c>
      <c r="D383" s="142" t="str">
        <f t="shared" si="75"/>
        <v>-</v>
      </c>
      <c r="E383" s="142" t="str">
        <f t="shared" si="75"/>
        <v>-</v>
      </c>
      <c r="F383" s="142">
        <f t="shared" si="75"/>
        <v>18336</v>
      </c>
      <c r="G383" s="142">
        <f t="shared" si="75"/>
        <v>8297</v>
      </c>
      <c r="H383" s="142">
        <f t="shared" si="75"/>
        <v>1279</v>
      </c>
      <c r="I383" s="142">
        <f t="shared" si="75"/>
        <v>27912</v>
      </c>
      <c r="K383" s="142" t="str">
        <f t="shared" si="76"/>
        <v>-</v>
      </c>
      <c r="L383" s="142" t="str">
        <f t="shared" si="76"/>
        <v>-</v>
      </c>
      <c r="M383" s="142" t="str">
        <f t="shared" si="76"/>
        <v>-</v>
      </c>
      <c r="N383" s="142" t="str">
        <f t="shared" si="76"/>
        <v>-</v>
      </c>
      <c r="O383" s="142" t="str">
        <f t="shared" si="76"/>
        <v>-</v>
      </c>
      <c r="P383" s="142" t="str">
        <f t="shared" si="76"/>
        <v>-</v>
      </c>
      <c r="Q383" s="142" t="str">
        <f t="shared" si="76"/>
        <v>-</v>
      </c>
      <c r="R383" s="142" t="str">
        <f t="shared" si="76"/>
        <v>-</v>
      </c>
    </row>
    <row r="384" spans="1:18">
      <c r="A384" s="99">
        <v>2018</v>
      </c>
      <c r="B384" s="142" t="str">
        <f t="shared" si="75"/>
        <v>-</v>
      </c>
      <c r="C384" s="142" t="str">
        <f t="shared" si="75"/>
        <v>-</v>
      </c>
      <c r="D384" s="142" t="str">
        <f t="shared" si="75"/>
        <v>-</v>
      </c>
      <c r="E384" s="142">
        <f t="shared" si="75"/>
        <v>7015</v>
      </c>
      <c r="F384" s="142">
        <f t="shared" si="75"/>
        <v>19790</v>
      </c>
      <c r="G384" s="142">
        <f t="shared" si="75"/>
        <v>10593</v>
      </c>
      <c r="H384" s="142">
        <f t="shared" si="75"/>
        <v>2031</v>
      </c>
      <c r="I384" s="142">
        <f t="shared" si="75"/>
        <v>39429</v>
      </c>
      <c r="K384" s="142" t="str">
        <f t="shared" si="76"/>
        <v>-</v>
      </c>
      <c r="L384" s="142" t="str">
        <f t="shared" si="76"/>
        <v>-</v>
      </c>
      <c r="M384" s="142" t="str">
        <f t="shared" si="76"/>
        <v>-</v>
      </c>
      <c r="N384" s="142" t="str">
        <f t="shared" si="76"/>
        <v>-</v>
      </c>
      <c r="O384" s="142" t="str">
        <f t="shared" si="76"/>
        <v>-</v>
      </c>
      <c r="P384" s="142" t="str">
        <f t="shared" si="76"/>
        <v>-</v>
      </c>
      <c r="Q384" s="142" t="str">
        <f t="shared" si="76"/>
        <v>-</v>
      </c>
      <c r="R384" s="142" t="str">
        <f t="shared" si="76"/>
        <v>-</v>
      </c>
    </row>
    <row r="385" spans="1:18">
      <c r="A385" s="239">
        <v>2019</v>
      </c>
      <c r="B385" s="142" t="str">
        <f t="shared" si="75"/>
        <v>-</v>
      </c>
      <c r="C385" s="142">
        <f t="shared" si="75"/>
        <v>16076</v>
      </c>
      <c r="D385" s="142">
        <f t="shared" si="75"/>
        <v>59859</v>
      </c>
      <c r="E385" s="142">
        <f t="shared" si="75"/>
        <v>25141</v>
      </c>
      <c r="F385" s="142">
        <f t="shared" si="75"/>
        <v>50416</v>
      </c>
      <c r="G385" s="142">
        <f t="shared" si="75"/>
        <v>6099</v>
      </c>
      <c r="H385" s="142">
        <f t="shared" si="75"/>
        <v>801</v>
      </c>
      <c r="I385" s="142">
        <f t="shared" si="75"/>
        <v>158392</v>
      </c>
      <c r="K385" s="142" t="str">
        <f t="shared" si="76"/>
        <v>-</v>
      </c>
      <c r="L385" s="142" t="str">
        <f t="shared" si="76"/>
        <v>-</v>
      </c>
      <c r="M385" s="142" t="str">
        <f t="shared" si="76"/>
        <v>-</v>
      </c>
      <c r="N385" s="142" t="str">
        <f t="shared" si="76"/>
        <v>-</v>
      </c>
      <c r="O385" s="142" t="str">
        <f t="shared" si="76"/>
        <v>-</v>
      </c>
      <c r="P385" s="142" t="str">
        <f t="shared" si="76"/>
        <v>-</v>
      </c>
      <c r="Q385" s="142" t="str">
        <f t="shared" si="76"/>
        <v>-</v>
      </c>
      <c r="R385" s="142" t="str">
        <f t="shared" si="76"/>
        <v>-</v>
      </c>
    </row>
    <row r="386" spans="1:18">
      <c r="A386" s="239">
        <v>2020</v>
      </c>
      <c r="B386" s="142" t="str">
        <f t="shared" ref="B386:I387" si="77">B193</f>
        <v>-</v>
      </c>
      <c r="C386" s="142">
        <f t="shared" si="77"/>
        <v>12572</v>
      </c>
      <c r="D386" s="142">
        <f t="shared" si="77"/>
        <v>41698</v>
      </c>
      <c r="E386" s="142">
        <f t="shared" si="77"/>
        <v>63138</v>
      </c>
      <c r="F386" s="142">
        <f t="shared" si="77"/>
        <v>17658</v>
      </c>
      <c r="G386" s="142">
        <f t="shared" si="77"/>
        <v>8240</v>
      </c>
      <c r="H386" s="142">
        <f t="shared" si="77"/>
        <v>2435</v>
      </c>
      <c r="I386" s="142">
        <f t="shared" si="77"/>
        <v>145741</v>
      </c>
      <c r="K386" s="142" t="str">
        <f t="shared" ref="K386:R387" si="78">K193</f>
        <v>-</v>
      </c>
      <c r="L386" s="142" t="str">
        <f t="shared" si="78"/>
        <v>-</v>
      </c>
      <c r="M386" s="142" t="str">
        <f t="shared" si="78"/>
        <v>-</v>
      </c>
      <c r="N386" s="142" t="str">
        <f t="shared" si="78"/>
        <v>-</v>
      </c>
      <c r="O386" s="142" t="str">
        <f t="shared" si="78"/>
        <v>-</v>
      </c>
      <c r="P386" s="142" t="str">
        <f t="shared" si="78"/>
        <v>-</v>
      </c>
      <c r="Q386" s="142" t="str">
        <f t="shared" si="78"/>
        <v>-</v>
      </c>
      <c r="R386" s="142" t="str">
        <f t="shared" si="78"/>
        <v>-</v>
      </c>
    </row>
    <row r="387" spans="1:18" ht="13">
      <c r="A387" s="239" t="s">
        <v>314</v>
      </c>
      <c r="B387" s="142" t="str">
        <f t="shared" si="77"/>
        <v>-</v>
      </c>
      <c r="C387" s="142" t="str">
        <f t="shared" si="77"/>
        <v>-</v>
      </c>
      <c r="D387" s="142">
        <f t="shared" si="77"/>
        <v>72832</v>
      </c>
      <c r="E387" s="142">
        <f t="shared" si="77"/>
        <v>10988</v>
      </c>
      <c r="F387" s="142">
        <f t="shared" si="77"/>
        <v>14384</v>
      </c>
      <c r="G387" s="142">
        <f t="shared" si="77"/>
        <v>5649</v>
      </c>
      <c r="H387" s="142">
        <f t="shared" si="77"/>
        <v>1040</v>
      </c>
      <c r="I387" s="142">
        <f t="shared" si="77"/>
        <v>104893</v>
      </c>
      <c r="K387" s="142" t="str">
        <f t="shared" si="78"/>
        <v>-</v>
      </c>
      <c r="L387" s="142" t="str">
        <f t="shared" si="78"/>
        <v>-</v>
      </c>
      <c r="M387" s="142" t="str">
        <f t="shared" si="78"/>
        <v>-</v>
      </c>
      <c r="N387" s="142" t="str">
        <f t="shared" si="78"/>
        <v>-</v>
      </c>
      <c r="O387" s="142" t="str">
        <f t="shared" si="78"/>
        <v>-</v>
      </c>
      <c r="P387" s="142" t="str">
        <f t="shared" si="78"/>
        <v>-</v>
      </c>
      <c r="Q387" s="142" t="str">
        <f t="shared" si="78"/>
        <v>-</v>
      </c>
      <c r="R387" s="142" t="str">
        <f t="shared" si="78"/>
        <v>-</v>
      </c>
    </row>
    <row r="389" spans="1:18">
      <c r="A389" s="282" t="s">
        <v>157</v>
      </c>
      <c r="B389" s="282"/>
      <c r="C389" s="282"/>
      <c r="D389" s="282"/>
      <c r="E389" s="282"/>
      <c r="F389" s="282"/>
      <c r="G389" s="282"/>
      <c r="H389" s="282"/>
      <c r="I389" s="282"/>
      <c r="J389" s="282"/>
      <c r="K389" s="282"/>
      <c r="L389" s="282"/>
      <c r="M389" s="282"/>
      <c r="N389" s="282"/>
      <c r="O389" s="282"/>
      <c r="P389" s="282"/>
      <c r="Q389" s="282"/>
      <c r="R389" s="282"/>
    </row>
    <row r="390" spans="1:18">
      <c r="A390" s="98" t="s">
        <v>27</v>
      </c>
      <c r="B390" s="46" t="s">
        <v>28</v>
      </c>
      <c r="C390" s="46" t="s">
        <v>29</v>
      </c>
      <c r="D390" s="46" t="s">
        <v>30</v>
      </c>
      <c r="E390" s="46" t="s">
        <v>31</v>
      </c>
      <c r="F390" s="46" t="s">
        <v>32</v>
      </c>
      <c r="G390" s="46" t="s">
        <v>33</v>
      </c>
      <c r="H390" s="46" t="s">
        <v>34</v>
      </c>
      <c r="I390" s="284" t="s">
        <v>22</v>
      </c>
      <c r="J390" s="284"/>
      <c r="K390" s="46" t="s">
        <v>28</v>
      </c>
      <c r="L390" s="46" t="s">
        <v>29</v>
      </c>
      <c r="M390" s="46" t="s">
        <v>30</v>
      </c>
      <c r="N390" s="46" t="s">
        <v>31</v>
      </c>
      <c r="O390" s="46" t="s">
        <v>32</v>
      </c>
      <c r="P390" s="46" t="s">
        <v>33</v>
      </c>
      <c r="Q390" s="46" t="s">
        <v>34</v>
      </c>
      <c r="R390" s="46" t="s">
        <v>22</v>
      </c>
    </row>
    <row r="391" spans="1:18">
      <c r="B391" s="288" t="s">
        <v>61</v>
      </c>
      <c r="C391" s="288"/>
      <c r="D391" s="288"/>
      <c r="E391" s="288"/>
      <c r="F391" s="288"/>
      <c r="G391" s="288"/>
      <c r="H391" s="288"/>
      <c r="I391" s="288"/>
      <c r="J391" s="14"/>
      <c r="K391" s="288" t="s">
        <v>62</v>
      </c>
      <c r="L391" s="288"/>
      <c r="M391" s="288"/>
      <c r="N391" s="288"/>
      <c r="O391" s="288"/>
      <c r="P391" s="288"/>
      <c r="Q391" s="288"/>
      <c r="R391" s="288"/>
    </row>
    <row r="392" spans="1:18">
      <c r="A392" s="247" t="str">
        <f>A196</f>
        <v>Monterey</v>
      </c>
    </row>
    <row r="393" spans="1:18">
      <c r="A393" s="99" t="s">
        <v>78</v>
      </c>
      <c r="B393" s="57" t="s">
        <v>23</v>
      </c>
      <c r="C393" s="142">
        <f>AVERAGE(C207:C211)</f>
        <v>61484.2</v>
      </c>
      <c r="D393" s="142">
        <f>AVERAGE(D207:D211)</f>
        <v>42139</v>
      </c>
      <c r="E393" s="142">
        <f>AVERAGE(E207:E211)</f>
        <v>29992.2</v>
      </c>
      <c r="F393" s="142">
        <f>AVERAGE(F207:F211)</f>
        <v>9010.7999999999993</v>
      </c>
      <c r="G393" s="142">
        <f>AVERAGE(G207:G211)</f>
        <v>2219.8000000000002</v>
      </c>
      <c r="H393" s="57" t="s">
        <v>23</v>
      </c>
      <c r="I393" s="142">
        <f>AVERAGE(I207:I211)</f>
        <v>144846</v>
      </c>
      <c r="K393" s="57" t="s">
        <v>23</v>
      </c>
      <c r="L393" s="57" t="s">
        <v>23</v>
      </c>
      <c r="M393" s="142">
        <f>AVERAGE(M207:M211)</f>
        <v>1024</v>
      </c>
      <c r="N393" s="142">
        <f>AVERAGE(N207:N211)</f>
        <v>507.8</v>
      </c>
      <c r="O393" s="142">
        <f>AVERAGE(O207:O211)</f>
        <v>89</v>
      </c>
      <c r="P393" s="142">
        <f>AVERAGE(P207:P211)</f>
        <v>9.5</v>
      </c>
      <c r="Q393" s="57" t="s">
        <v>23</v>
      </c>
      <c r="R393" s="142">
        <f>AVERAGE(R207:R211)</f>
        <v>1610.6</v>
      </c>
    </row>
    <row r="394" spans="1:18">
      <c r="A394" s="99" t="s">
        <v>10</v>
      </c>
      <c r="B394" s="57" t="s">
        <v>23</v>
      </c>
      <c r="C394" s="142">
        <f>AVERAGE(C212:C216)</f>
        <v>51805.8</v>
      </c>
      <c r="D394" s="142">
        <f>AVERAGE(D212:D216)</f>
        <v>30128.6</v>
      </c>
      <c r="E394" s="142">
        <f>AVERAGE(E212:E216)</f>
        <v>37446.400000000001</v>
      </c>
      <c r="F394" s="142">
        <f>AVERAGE(F212:F216)</f>
        <v>5936.2</v>
      </c>
      <c r="G394" s="142">
        <f>AVERAGE(G212:G216)</f>
        <v>1199.5999999999999</v>
      </c>
      <c r="H394" s="57" t="s">
        <v>23</v>
      </c>
      <c r="I394" s="142">
        <f>AVERAGE(I212:I216)</f>
        <v>126516.6</v>
      </c>
      <c r="K394" s="57" t="s">
        <v>23</v>
      </c>
      <c r="L394" s="57" t="s">
        <v>23</v>
      </c>
      <c r="M394" s="142">
        <f>AVERAGE(M212:M216)</f>
        <v>9300</v>
      </c>
      <c r="N394" s="142">
        <f>AVERAGE(N212:N216)</f>
        <v>2400</v>
      </c>
      <c r="O394" s="142">
        <f>AVERAGE(O212:O216)</f>
        <v>75</v>
      </c>
      <c r="P394" s="57" t="s">
        <v>23</v>
      </c>
      <c r="Q394" s="57" t="s">
        <v>23</v>
      </c>
      <c r="R394" s="142">
        <f>AVERAGE(R212:R216)</f>
        <v>11775</v>
      </c>
    </row>
    <row r="395" spans="1:18">
      <c r="A395" s="99" t="s">
        <v>144</v>
      </c>
      <c r="B395" s="142">
        <f t="shared" ref="B395:G395" si="79">AVERAGE(B217:B221)</f>
        <v>5946.5</v>
      </c>
      <c r="C395" s="142">
        <f t="shared" si="79"/>
        <v>71786.600000000006</v>
      </c>
      <c r="D395" s="142">
        <f t="shared" si="79"/>
        <v>50020.6</v>
      </c>
      <c r="E395" s="142">
        <f t="shared" si="79"/>
        <v>30877.599999999999</v>
      </c>
      <c r="F395" s="142">
        <f t="shared" si="79"/>
        <v>1130.5</v>
      </c>
      <c r="G395" s="142">
        <f t="shared" si="79"/>
        <v>421.25</v>
      </c>
      <c r="H395" s="57" t="s">
        <v>23</v>
      </c>
      <c r="I395" s="142">
        <f>AVERAGE(I217:I221)</f>
        <v>156304.79999999999</v>
      </c>
      <c r="K395" s="57" t="s">
        <v>23</v>
      </c>
      <c r="L395" s="57" t="s">
        <v>23</v>
      </c>
      <c r="M395" s="142" t="s">
        <v>23</v>
      </c>
      <c r="N395" s="142" t="s">
        <v>23</v>
      </c>
      <c r="O395" s="142" t="s">
        <v>23</v>
      </c>
      <c r="P395" s="57" t="s">
        <v>23</v>
      </c>
      <c r="Q395" s="57" t="s">
        <v>23</v>
      </c>
      <c r="R395" s="142" t="s">
        <v>23</v>
      </c>
    </row>
    <row r="396" spans="1:18">
      <c r="A396" s="99" t="s">
        <v>166</v>
      </c>
      <c r="B396" s="142" t="str">
        <f>B222</f>
        <v>-</v>
      </c>
      <c r="C396" s="142">
        <f>AVERAGE(C222:C226)</f>
        <v>32363.4</v>
      </c>
      <c r="D396" s="142">
        <f>AVERAGE(D222:D226)</f>
        <v>13821.2</v>
      </c>
      <c r="E396" s="142">
        <f>AVERAGE(E222:E226)</f>
        <v>16115.4</v>
      </c>
      <c r="F396" s="142">
        <f>AVERAGE(F222:F226)</f>
        <v>2047.2</v>
      </c>
      <c r="G396" s="142">
        <f>AVERAGE(G222:G226)</f>
        <v>479.6</v>
      </c>
      <c r="H396" s="142" t="str">
        <f>H222</f>
        <v>-</v>
      </c>
      <c r="I396" s="142">
        <f>AVERAGE(I222:I226)</f>
        <v>64826.8</v>
      </c>
      <c r="K396" s="142" t="str">
        <f t="shared" ref="K396:R396" si="80">K222</f>
        <v>-</v>
      </c>
      <c r="L396" s="142" t="str">
        <f t="shared" si="80"/>
        <v>-</v>
      </c>
      <c r="M396" s="142" t="str">
        <f t="shared" si="80"/>
        <v>-</v>
      </c>
      <c r="N396" s="142" t="str">
        <f t="shared" si="80"/>
        <v>-</v>
      </c>
      <c r="O396" s="142" t="str">
        <f t="shared" si="80"/>
        <v>-</v>
      </c>
      <c r="P396" s="142" t="str">
        <f t="shared" si="80"/>
        <v>-</v>
      </c>
      <c r="Q396" s="142" t="str">
        <f t="shared" si="80"/>
        <v>-</v>
      </c>
      <c r="R396" s="142" t="str">
        <f t="shared" si="80"/>
        <v>-</v>
      </c>
    </row>
    <row r="397" spans="1:18">
      <c r="A397" s="99" t="s">
        <v>315</v>
      </c>
      <c r="B397" s="142" t="str">
        <f>B227</f>
        <v>-</v>
      </c>
      <c r="C397" s="142">
        <f>AVERAGE(C227:C231)</f>
        <v>10556.5</v>
      </c>
      <c r="D397" s="142">
        <f t="shared" ref="D397:I397" si="81">AVERAGE(D227:D231)</f>
        <v>273.5</v>
      </c>
      <c r="E397" s="142">
        <f t="shared" si="81"/>
        <v>1235.3333333333333</v>
      </c>
      <c r="F397" s="142">
        <f t="shared" si="81"/>
        <v>426.5</v>
      </c>
      <c r="G397" s="142">
        <f t="shared" si="81"/>
        <v>212</v>
      </c>
      <c r="H397" s="142" t="str">
        <f>H227</f>
        <v>-</v>
      </c>
      <c r="I397" s="142">
        <f t="shared" si="81"/>
        <v>8881</v>
      </c>
      <c r="K397" s="142" t="str">
        <f>K227</f>
        <v>-</v>
      </c>
      <c r="L397" s="142" t="str">
        <f t="shared" ref="L397:R397" si="82">L227</f>
        <v>-</v>
      </c>
      <c r="M397" s="142" t="str">
        <f t="shared" si="82"/>
        <v>-</v>
      </c>
      <c r="N397" s="142" t="str">
        <f t="shared" si="82"/>
        <v>-</v>
      </c>
      <c r="O397" s="142" t="str">
        <f t="shared" si="82"/>
        <v>-</v>
      </c>
      <c r="P397" s="142" t="str">
        <f t="shared" si="82"/>
        <v>-</v>
      </c>
      <c r="Q397" s="142" t="str">
        <f t="shared" si="82"/>
        <v>-</v>
      </c>
      <c r="R397" s="142" t="str">
        <f t="shared" si="82"/>
        <v>-</v>
      </c>
    </row>
    <row r="398" spans="1:18">
      <c r="A398" s="99">
        <v>2011</v>
      </c>
      <c r="B398" s="142" t="str">
        <f t="shared" ref="B398:I406" si="83">B232</f>
        <v>-</v>
      </c>
      <c r="C398" s="142">
        <f t="shared" si="83"/>
        <v>3979</v>
      </c>
      <c r="D398" s="142">
        <f t="shared" si="83"/>
        <v>1359</v>
      </c>
      <c r="E398" s="142">
        <f t="shared" si="83"/>
        <v>695</v>
      </c>
      <c r="F398" s="142">
        <f t="shared" si="83"/>
        <v>333</v>
      </c>
      <c r="G398" s="142">
        <f t="shared" si="83"/>
        <v>48</v>
      </c>
      <c r="H398" s="142" t="str">
        <f t="shared" si="83"/>
        <v>-</v>
      </c>
      <c r="I398" s="142">
        <f t="shared" si="83"/>
        <v>6414</v>
      </c>
      <c r="K398" s="142" t="str">
        <f t="shared" ref="K398:R406" si="84">K232</f>
        <v>-</v>
      </c>
      <c r="L398" s="142" t="str">
        <f t="shared" si="84"/>
        <v>-</v>
      </c>
      <c r="M398" s="142" t="str">
        <f t="shared" si="84"/>
        <v>-</v>
      </c>
      <c r="N398" s="142" t="str">
        <f t="shared" si="84"/>
        <v>-</v>
      </c>
      <c r="O398" s="142" t="str">
        <f t="shared" si="84"/>
        <v>-</v>
      </c>
      <c r="P398" s="142" t="str">
        <f t="shared" si="84"/>
        <v>-</v>
      </c>
      <c r="Q398" s="142" t="str">
        <f t="shared" si="84"/>
        <v>-</v>
      </c>
      <c r="R398" s="142" t="str">
        <f t="shared" si="84"/>
        <v>-</v>
      </c>
    </row>
    <row r="399" spans="1:18">
      <c r="A399" s="99">
        <v>2012</v>
      </c>
      <c r="B399" s="142" t="str">
        <f t="shared" si="83"/>
        <v>-</v>
      </c>
      <c r="C399" s="142">
        <f t="shared" si="83"/>
        <v>24852</v>
      </c>
      <c r="D399" s="142">
        <f t="shared" si="83"/>
        <v>9295</v>
      </c>
      <c r="E399" s="142">
        <f t="shared" si="83"/>
        <v>16926</v>
      </c>
      <c r="F399" s="142">
        <f t="shared" si="83"/>
        <v>1670</v>
      </c>
      <c r="G399" s="142">
        <f t="shared" si="83"/>
        <v>229</v>
      </c>
      <c r="H399" s="142" t="str">
        <f t="shared" si="83"/>
        <v>-</v>
      </c>
      <c r="I399" s="142">
        <f t="shared" si="83"/>
        <v>52972</v>
      </c>
      <c r="K399" s="142" t="str">
        <f t="shared" si="84"/>
        <v>-</v>
      </c>
      <c r="L399" s="142" t="str">
        <f t="shared" si="84"/>
        <v>-</v>
      </c>
      <c r="M399" s="142" t="str">
        <f t="shared" si="84"/>
        <v>-</v>
      </c>
      <c r="N399" s="142" t="str">
        <f t="shared" si="84"/>
        <v>-</v>
      </c>
      <c r="O399" s="142" t="str">
        <f t="shared" si="84"/>
        <v>-</v>
      </c>
      <c r="P399" s="142" t="str">
        <f t="shared" si="84"/>
        <v>-</v>
      </c>
      <c r="Q399" s="142" t="str">
        <f t="shared" si="84"/>
        <v>-</v>
      </c>
      <c r="R399" s="142" t="str">
        <f t="shared" si="84"/>
        <v>-</v>
      </c>
    </row>
    <row r="400" spans="1:18">
      <c r="A400" s="99">
        <v>2013</v>
      </c>
      <c r="B400" s="142" t="str">
        <f t="shared" si="83"/>
        <v>-</v>
      </c>
      <c r="C400" s="142">
        <f t="shared" si="83"/>
        <v>14111</v>
      </c>
      <c r="D400" s="142">
        <f t="shared" si="83"/>
        <v>10003</v>
      </c>
      <c r="E400" s="142">
        <f t="shared" si="83"/>
        <v>2900</v>
      </c>
      <c r="F400" s="142">
        <f t="shared" si="83"/>
        <v>514</v>
      </c>
      <c r="G400" s="142">
        <f t="shared" si="83"/>
        <v>109</v>
      </c>
      <c r="H400" s="142" t="str">
        <f t="shared" si="83"/>
        <v>-</v>
      </c>
      <c r="I400" s="142">
        <f t="shared" si="83"/>
        <v>27637</v>
      </c>
      <c r="K400" s="142" t="str">
        <f t="shared" si="84"/>
        <v>-</v>
      </c>
      <c r="L400" s="142" t="str">
        <f t="shared" si="84"/>
        <v>-</v>
      </c>
      <c r="M400" s="142" t="str">
        <f t="shared" si="84"/>
        <v>-</v>
      </c>
      <c r="N400" s="142" t="str">
        <f t="shared" si="84"/>
        <v>-</v>
      </c>
      <c r="O400" s="142" t="str">
        <f t="shared" si="84"/>
        <v>-</v>
      </c>
      <c r="P400" s="142" t="str">
        <f t="shared" si="84"/>
        <v>-</v>
      </c>
      <c r="Q400" s="142" t="str">
        <f t="shared" si="84"/>
        <v>-</v>
      </c>
      <c r="R400" s="142" t="str">
        <f t="shared" si="84"/>
        <v>-</v>
      </c>
    </row>
    <row r="401" spans="1:18">
      <c r="A401" s="99">
        <v>2014</v>
      </c>
      <c r="B401" s="142" t="str">
        <f t="shared" si="83"/>
        <v>-</v>
      </c>
      <c r="C401" s="142">
        <f t="shared" si="83"/>
        <v>4341</v>
      </c>
      <c r="D401" s="142">
        <f t="shared" si="83"/>
        <v>1538</v>
      </c>
      <c r="E401" s="142">
        <f t="shared" si="83"/>
        <v>2011</v>
      </c>
      <c r="F401" s="142">
        <f t="shared" si="83"/>
        <v>418</v>
      </c>
      <c r="G401" s="142" t="str">
        <f t="shared" si="83"/>
        <v>-</v>
      </c>
      <c r="H401" s="142" t="str">
        <f t="shared" si="83"/>
        <v>-</v>
      </c>
      <c r="I401" s="142">
        <f t="shared" si="83"/>
        <v>8308</v>
      </c>
      <c r="K401" s="142" t="str">
        <f t="shared" si="84"/>
        <v>-</v>
      </c>
      <c r="L401" s="142" t="str">
        <f t="shared" si="84"/>
        <v>-</v>
      </c>
      <c r="M401" s="142" t="str">
        <f t="shared" si="84"/>
        <v>-</v>
      </c>
      <c r="N401" s="142" t="str">
        <f t="shared" si="84"/>
        <v>-</v>
      </c>
      <c r="O401" s="142" t="str">
        <f t="shared" si="84"/>
        <v>-</v>
      </c>
      <c r="P401" s="142" t="str">
        <f t="shared" si="84"/>
        <v>-</v>
      </c>
      <c r="Q401" s="142" t="str">
        <f t="shared" si="84"/>
        <v>-</v>
      </c>
      <c r="R401" s="142" t="str">
        <f t="shared" si="84"/>
        <v>-</v>
      </c>
    </row>
    <row r="402" spans="1:18">
      <c r="A402" s="99">
        <v>2015</v>
      </c>
      <c r="B402" s="142" t="str">
        <f t="shared" si="83"/>
        <v>-</v>
      </c>
      <c r="C402" s="142">
        <f t="shared" si="83"/>
        <v>7608</v>
      </c>
      <c r="D402" s="142">
        <f t="shared" si="83"/>
        <v>3410</v>
      </c>
      <c r="E402" s="142">
        <f t="shared" si="83"/>
        <v>3131</v>
      </c>
      <c r="F402" s="142">
        <f t="shared" si="83"/>
        <v>564</v>
      </c>
      <c r="G402" s="142" t="str">
        <f t="shared" si="83"/>
        <v>-</v>
      </c>
      <c r="H402" s="142" t="str">
        <f t="shared" si="83"/>
        <v>-</v>
      </c>
      <c r="I402" s="142">
        <f t="shared" si="83"/>
        <v>14713</v>
      </c>
      <c r="K402" s="142" t="str">
        <f t="shared" si="84"/>
        <v>-</v>
      </c>
      <c r="L402" s="142" t="str">
        <f t="shared" si="84"/>
        <v>-</v>
      </c>
      <c r="M402" s="142" t="str">
        <f t="shared" si="84"/>
        <v>-</v>
      </c>
      <c r="N402" s="142" t="str">
        <f t="shared" si="84"/>
        <v>-</v>
      </c>
      <c r="O402" s="142" t="str">
        <f t="shared" si="84"/>
        <v>-</v>
      </c>
      <c r="P402" s="142" t="str">
        <f t="shared" si="84"/>
        <v>-</v>
      </c>
      <c r="Q402" s="142" t="str">
        <f t="shared" si="84"/>
        <v>-</v>
      </c>
      <c r="R402" s="142" t="str">
        <f t="shared" si="84"/>
        <v>-</v>
      </c>
    </row>
    <row r="403" spans="1:18">
      <c r="A403" s="99">
        <v>2016</v>
      </c>
      <c r="B403" s="142" t="str">
        <f t="shared" si="83"/>
        <v>-</v>
      </c>
      <c r="C403" s="142">
        <f t="shared" si="83"/>
        <v>10220</v>
      </c>
      <c r="D403" s="142">
        <f t="shared" si="83"/>
        <v>3026</v>
      </c>
      <c r="E403" s="142" t="str">
        <f t="shared" si="83"/>
        <v>-</v>
      </c>
      <c r="F403" s="142" t="str">
        <f t="shared" si="83"/>
        <v>-</v>
      </c>
      <c r="G403" s="142" t="str">
        <f t="shared" si="83"/>
        <v>-</v>
      </c>
      <c r="H403" s="142" t="str">
        <f t="shared" si="83"/>
        <v>-</v>
      </c>
      <c r="I403" s="142">
        <f t="shared" si="83"/>
        <v>13246</v>
      </c>
      <c r="K403" s="142" t="str">
        <f t="shared" si="84"/>
        <v>-</v>
      </c>
      <c r="L403" s="142" t="str">
        <f t="shared" si="84"/>
        <v>-</v>
      </c>
      <c r="M403" s="142" t="str">
        <f t="shared" si="84"/>
        <v>-</v>
      </c>
      <c r="N403" s="142" t="str">
        <f t="shared" si="84"/>
        <v>-</v>
      </c>
      <c r="O403" s="142" t="str">
        <f t="shared" si="84"/>
        <v>-</v>
      </c>
      <c r="P403" s="142" t="str">
        <f t="shared" si="84"/>
        <v>-</v>
      </c>
      <c r="Q403" s="142" t="str">
        <f t="shared" si="84"/>
        <v>-</v>
      </c>
      <c r="R403" s="142" t="str">
        <f t="shared" si="84"/>
        <v>-</v>
      </c>
    </row>
    <row r="404" spans="1:18">
      <c r="A404" s="99">
        <v>2017</v>
      </c>
      <c r="B404" s="142" t="str">
        <f t="shared" si="83"/>
        <v>-</v>
      </c>
      <c r="C404" s="142">
        <f t="shared" si="83"/>
        <v>5588</v>
      </c>
      <c r="D404" s="142">
        <f t="shared" si="83"/>
        <v>6891</v>
      </c>
      <c r="E404" s="142" t="str">
        <f t="shared" si="83"/>
        <v>-</v>
      </c>
      <c r="F404" s="142" t="str">
        <f t="shared" si="83"/>
        <v>-</v>
      </c>
      <c r="G404" s="142" t="str">
        <f t="shared" si="83"/>
        <v>-</v>
      </c>
      <c r="H404" s="142" t="str">
        <f t="shared" si="83"/>
        <v>-</v>
      </c>
      <c r="I404" s="142">
        <f t="shared" si="83"/>
        <v>12479</v>
      </c>
      <c r="K404" s="142" t="str">
        <f t="shared" si="84"/>
        <v>-</v>
      </c>
      <c r="L404" s="142" t="str">
        <f t="shared" si="84"/>
        <v>-</v>
      </c>
      <c r="M404" s="142" t="str">
        <f t="shared" si="84"/>
        <v>-</v>
      </c>
      <c r="N404" s="142" t="str">
        <f t="shared" si="84"/>
        <v>-</v>
      </c>
      <c r="O404" s="142" t="str">
        <f t="shared" si="84"/>
        <v>-</v>
      </c>
      <c r="P404" s="142" t="str">
        <f t="shared" si="84"/>
        <v>-</v>
      </c>
      <c r="Q404" s="142" t="str">
        <f t="shared" si="84"/>
        <v>-</v>
      </c>
      <c r="R404" s="142" t="str">
        <f t="shared" si="84"/>
        <v>-</v>
      </c>
    </row>
    <row r="405" spans="1:18">
      <c r="A405" s="99">
        <v>2018</v>
      </c>
      <c r="B405" s="142" t="str">
        <f t="shared" si="83"/>
        <v>-</v>
      </c>
      <c r="C405" s="142">
        <f t="shared" si="83"/>
        <v>4566</v>
      </c>
      <c r="D405" s="142">
        <f t="shared" si="83"/>
        <v>14859</v>
      </c>
      <c r="E405" s="142" t="str">
        <f t="shared" si="83"/>
        <v>-</v>
      </c>
      <c r="F405" s="142" t="str">
        <f t="shared" si="83"/>
        <v>-</v>
      </c>
      <c r="G405" s="142" t="str">
        <f t="shared" si="83"/>
        <v>-</v>
      </c>
      <c r="H405" s="142" t="str">
        <f t="shared" si="83"/>
        <v>-</v>
      </c>
      <c r="I405" s="142">
        <f t="shared" si="83"/>
        <v>19425</v>
      </c>
      <c r="K405" s="142" t="str">
        <f t="shared" si="84"/>
        <v>-</v>
      </c>
      <c r="L405" s="142" t="str">
        <f t="shared" si="84"/>
        <v>-</v>
      </c>
      <c r="M405" s="142" t="str">
        <f t="shared" si="84"/>
        <v>-</v>
      </c>
      <c r="N405" s="142" t="str">
        <f t="shared" si="84"/>
        <v>-</v>
      </c>
      <c r="O405" s="142" t="str">
        <f t="shared" si="84"/>
        <v>-</v>
      </c>
      <c r="P405" s="142" t="str">
        <f t="shared" si="84"/>
        <v>-</v>
      </c>
      <c r="Q405" s="142" t="str">
        <f t="shared" si="84"/>
        <v>-</v>
      </c>
      <c r="R405" s="142" t="str">
        <f t="shared" si="84"/>
        <v>-</v>
      </c>
    </row>
    <row r="406" spans="1:18">
      <c r="A406" s="239">
        <v>2019</v>
      </c>
      <c r="B406" s="142" t="str">
        <f t="shared" si="83"/>
        <v>-</v>
      </c>
      <c r="C406" s="142">
        <f t="shared" si="83"/>
        <v>54925</v>
      </c>
      <c r="D406" s="142">
        <f t="shared" si="83"/>
        <v>33706</v>
      </c>
      <c r="E406" s="142">
        <f t="shared" si="83"/>
        <v>9328</v>
      </c>
      <c r="F406" s="142" t="str">
        <f t="shared" si="83"/>
        <v>-</v>
      </c>
      <c r="G406" s="142" t="str">
        <f t="shared" si="83"/>
        <v>-</v>
      </c>
      <c r="H406" s="142" t="str">
        <f t="shared" si="83"/>
        <v>-</v>
      </c>
      <c r="I406" s="142">
        <f t="shared" si="83"/>
        <v>97959</v>
      </c>
      <c r="K406" s="142" t="str">
        <f t="shared" si="84"/>
        <v>-</v>
      </c>
      <c r="L406" s="142" t="str">
        <f t="shared" si="84"/>
        <v>-</v>
      </c>
      <c r="M406" s="142" t="str">
        <f t="shared" si="84"/>
        <v>-</v>
      </c>
      <c r="N406" s="142" t="str">
        <f t="shared" si="84"/>
        <v>-</v>
      </c>
      <c r="O406" s="142" t="str">
        <f t="shared" si="84"/>
        <v>-</v>
      </c>
      <c r="P406" s="142" t="str">
        <f t="shared" si="84"/>
        <v>-</v>
      </c>
      <c r="Q406" s="142" t="str">
        <f t="shared" si="84"/>
        <v>-</v>
      </c>
      <c r="R406" s="142" t="str">
        <f t="shared" si="84"/>
        <v>-</v>
      </c>
    </row>
    <row r="407" spans="1:18">
      <c r="A407" s="239">
        <v>2020</v>
      </c>
      <c r="B407" s="142" t="str">
        <f t="shared" ref="B407:I408" si="85">B241</f>
        <v>-</v>
      </c>
      <c r="C407" s="142">
        <f t="shared" si="85"/>
        <v>19944</v>
      </c>
      <c r="D407" s="142">
        <f t="shared" si="85"/>
        <v>7559</v>
      </c>
      <c r="E407" s="142">
        <f t="shared" si="85"/>
        <v>2367</v>
      </c>
      <c r="F407" s="142">
        <f t="shared" si="85"/>
        <v>340</v>
      </c>
      <c r="G407" s="142" t="str">
        <f t="shared" si="85"/>
        <v>-</v>
      </c>
      <c r="H407" s="142" t="str">
        <f t="shared" si="85"/>
        <v>-</v>
      </c>
      <c r="I407" s="142">
        <f t="shared" si="85"/>
        <v>30210</v>
      </c>
      <c r="K407" s="142" t="str">
        <f t="shared" ref="K407:R408" si="86">K241</f>
        <v>-</v>
      </c>
      <c r="L407" s="142" t="str">
        <f t="shared" si="86"/>
        <v>-</v>
      </c>
      <c r="M407" s="142" t="str">
        <f t="shared" si="86"/>
        <v>-</v>
      </c>
      <c r="N407" s="142" t="str">
        <f t="shared" si="86"/>
        <v>-</v>
      </c>
      <c r="O407" s="142" t="str">
        <f t="shared" si="86"/>
        <v>-</v>
      </c>
      <c r="P407" s="142" t="str">
        <f t="shared" si="86"/>
        <v>-</v>
      </c>
      <c r="Q407" s="142" t="str">
        <f t="shared" si="86"/>
        <v>-</v>
      </c>
      <c r="R407" s="142" t="str">
        <f t="shared" si="86"/>
        <v>-</v>
      </c>
    </row>
    <row r="408" spans="1:18" ht="13">
      <c r="A408" s="239" t="s">
        <v>314</v>
      </c>
      <c r="B408" s="142" t="str">
        <f t="shared" si="85"/>
        <v>-</v>
      </c>
      <c r="C408" s="142">
        <f t="shared" si="85"/>
        <v>46848</v>
      </c>
      <c r="D408" s="142">
        <f t="shared" si="85"/>
        <v>3891</v>
      </c>
      <c r="E408" s="142">
        <f t="shared" si="85"/>
        <v>1644</v>
      </c>
      <c r="F408" s="142">
        <f t="shared" si="85"/>
        <v>421</v>
      </c>
      <c r="G408" s="142" t="str">
        <f t="shared" si="85"/>
        <v>-</v>
      </c>
      <c r="H408" s="142" t="str">
        <f t="shared" si="85"/>
        <v>-</v>
      </c>
      <c r="I408" s="142">
        <f t="shared" si="85"/>
        <v>52804</v>
      </c>
      <c r="K408" s="142" t="str">
        <f t="shared" si="86"/>
        <v>-</v>
      </c>
      <c r="L408" s="142" t="str">
        <f t="shared" si="86"/>
        <v>-</v>
      </c>
      <c r="M408" s="142" t="str">
        <f t="shared" si="86"/>
        <v>-</v>
      </c>
      <c r="N408" s="142" t="str">
        <f t="shared" si="86"/>
        <v>-</v>
      </c>
      <c r="O408" s="142" t="str">
        <f t="shared" si="86"/>
        <v>-</v>
      </c>
      <c r="P408" s="142" t="str">
        <f t="shared" si="86"/>
        <v>-</v>
      </c>
      <c r="Q408" s="142" t="str">
        <f t="shared" si="86"/>
        <v>-</v>
      </c>
      <c r="R408" s="142" t="str">
        <f t="shared" si="86"/>
        <v>-</v>
      </c>
    </row>
    <row r="409" spans="1:18" ht="8" customHeight="1"/>
    <row r="410" spans="1:18" ht="13">
      <c r="A410" s="97" t="s">
        <v>244</v>
      </c>
    </row>
    <row r="411" spans="1:18">
      <c r="A411" s="99" t="s">
        <v>78</v>
      </c>
      <c r="B411" s="57" t="s">
        <v>23</v>
      </c>
      <c r="C411" s="142">
        <f t="shared" ref="C411:I411" si="87">AVERAGE(C255:C259)</f>
        <v>240135.4</v>
      </c>
      <c r="D411" s="142">
        <f t="shared" si="87"/>
        <v>257834.8</v>
      </c>
      <c r="E411" s="142">
        <f t="shared" si="87"/>
        <v>195137.8</v>
      </c>
      <c r="F411" s="142">
        <f t="shared" si="87"/>
        <v>77290.8</v>
      </c>
      <c r="G411" s="142">
        <f t="shared" si="87"/>
        <v>24112.2</v>
      </c>
      <c r="H411" s="142">
        <f t="shared" si="87"/>
        <v>479.5</v>
      </c>
      <c r="I411" s="142">
        <f t="shared" si="87"/>
        <v>794702.8</v>
      </c>
      <c r="K411" s="57" t="s">
        <v>23</v>
      </c>
      <c r="L411" s="57" t="s">
        <v>23</v>
      </c>
      <c r="M411" s="142">
        <f t="shared" ref="M411:R411" si="88">AVERAGE(M255:M259)</f>
        <v>23790</v>
      </c>
      <c r="N411" s="142">
        <f t="shared" si="88"/>
        <v>18257.494686850696</v>
      </c>
      <c r="O411" s="142">
        <f t="shared" si="88"/>
        <v>4443.5</v>
      </c>
      <c r="P411" s="142">
        <f t="shared" si="88"/>
        <v>1138.2</v>
      </c>
      <c r="Q411" s="142">
        <f t="shared" si="88"/>
        <v>125</v>
      </c>
      <c r="R411" s="142">
        <f t="shared" si="88"/>
        <v>46780.26024531568</v>
      </c>
    </row>
    <row r="412" spans="1:18">
      <c r="A412" s="99" t="s">
        <v>11</v>
      </c>
      <c r="B412" s="57" t="s">
        <v>23</v>
      </c>
      <c r="C412" s="142">
        <f t="shared" ref="C412:I412" si="89">AVERAGE(C260:C264)</f>
        <v>121372.8</v>
      </c>
      <c r="D412" s="142">
        <f t="shared" si="89"/>
        <v>73939.8</v>
      </c>
      <c r="E412" s="142">
        <f t="shared" si="89"/>
        <v>80950.399999999994</v>
      </c>
      <c r="F412" s="142">
        <f t="shared" si="89"/>
        <v>42707.199999999997</v>
      </c>
      <c r="G412" s="142">
        <f t="shared" si="89"/>
        <v>22877.599999999999</v>
      </c>
      <c r="H412" s="142">
        <f t="shared" si="89"/>
        <v>400</v>
      </c>
      <c r="I412" s="142">
        <f t="shared" si="89"/>
        <v>341927.8</v>
      </c>
      <c r="K412" s="57" t="s">
        <v>23</v>
      </c>
      <c r="L412" s="57" t="s">
        <v>23</v>
      </c>
      <c r="M412" s="142">
        <f t="shared" ref="M412:R412" si="90">AVERAGE(M260:M264)</f>
        <v>25850</v>
      </c>
      <c r="N412" s="142">
        <f t="shared" si="90"/>
        <v>12250</v>
      </c>
      <c r="O412" s="142">
        <f t="shared" si="90"/>
        <v>2825</v>
      </c>
      <c r="P412" s="142">
        <f t="shared" si="90"/>
        <v>3000</v>
      </c>
      <c r="Q412" s="142">
        <f t="shared" si="90"/>
        <v>100</v>
      </c>
      <c r="R412" s="142">
        <f t="shared" si="90"/>
        <v>42475</v>
      </c>
    </row>
    <row r="413" spans="1:18">
      <c r="A413" s="99" t="s">
        <v>144</v>
      </c>
      <c r="B413" s="142">
        <f t="shared" ref="B413:G413" si="91">AVERAGE(B265:B269)</f>
        <v>7579.5</v>
      </c>
      <c r="C413" s="142">
        <f t="shared" si="91"/>
        <v>121717.2</v>
      </c>
      <c r="D413" s="142">
        <f t="shared" si="91"/>
        <v>101679.4</v>
      </c>
      <c r="E413" s="142">
        <f t="shared" si="91"/>
        <v>88632</v>
      </c>
      <c r="F413" s="142">
        <f t="shared" si="91"/>
        <v>24596.6</v>
      </c>
      <c r="G413" s="142">
        <f t="shared" si="91"/>
        <v>28344.2</v>
      </c>
      <c r="H413" s="142" t="s">
        <v>23</v>
      </c>
      <c r="I413" s="142">
        <f>AVERAGE(I265:I269)</f>
        <v>368001.2</v>
      </c>
      <c r="K413" s="57" t="s">
        <v>23</v>
      </c>
      <c r="L413" s="57" t="s">
        <v>23</v>
      </c>
      <c r="M413" s="57" t="s">
        <v>23</v>
      </c>
      <c r="N413" s="57" t="s">
        <v>23</v>
      </c>
      <c r="O413" s="57" t="s">
        <v>23</v>
      </c>
      <c r="P413" s="57" t="s">
        <v>23</v>
      </c>
      <c r="Q413" s="57" t="s">
        <v>23</v>
      </c>
      <c r="R413" s="57" t="s">
        <v>23</v>
      </c>
    </row>
    <row r="414" spans="1:18">
      <c r="A414" s="99" t="s">
        <v>166</v>
      </c>
      <c r="B414" s="142">
        <f t="shared" ref="B414:I414" si="92">AVERAGE(B270:B274)</f>
        <v>1186</v>
      </c>
      <c r="C414" s="142">
        <f t="shared" si="92"/>
        <v>81386.600000000006</v>
      </c>
      <c r="D414" s="142">
        <f t="shared" si="92"/>
        <v>73638.8</v>
      </c>
      <c r="E414" s="142">
        <f t="shared" si="92"/>
        <v>123447.6</v>
      </c>
      <c r="F414" s="142">
        <f t="shared" si="92"/>
        <v>56696.800000000003</v>
      </c>
      <c r="G414" s="142">
        <f t="shared" si="92"/>
        <v>46255.4</v>
      </c>
      <c r="H414" s="142">
        <f t="shared" si="92"/>
        <v>2021.8</v>
      </c>
      <c r="I414" s="142">
        <f t="shared" si="92"/>
        <v>383921.4</v>
      </c>
      <c r="K414" s="142" t="str">
        <f t="shared" ref="K414:Q414" si="93">K270</f>
        <v>-</v>
      </c>
      <c r="L414" s="142" t="str">
        <f t="shared" si="93"/>
        <v>-</v>
      </c>
      <c r="M414" s="142" t="str">
        <f t="shared" si="93"/>
        <v>-</v>
      </c>
      <c r="N414" s="142" t="str">
        <f t="shared" si="93"/>
        <v>-</v>
      </c>
      <c r="O414" s="142" t="str">
        <f t="shared" si="93"/>
        <v>-</v>
      </c>
      <c r="P414" s="142" t="str">
        <f t="shared" si="93"/>
        <v>-</v>
      </c>
      <c r="Q414" s="142" t="str">
        <f t="shared" si="93"/>
        <v>-</v>
      </c>
      <c r="R414" s="142" t="str">
        <f>R270</f>
        <v>-</v>
      </c>
    </row>
    <row r="415" spans="1:18">
      <c r="A415" s="99" t="s">
        <v>315</v>
      </c>
      <c r="B415" s="142">
        <f>AVERAGE(B275:B279)</f>
        <v>748</v>
      </c>
      <c r="C415" s="142">
        <f t="shared" ref="C415:I415" si="94">AVERAGE(C275:C279)</f>
        <v>23254.5</v>
      </c>
      <c r="D415" s="142">
        <f t="shared" si="94"/>
        <v>273.5</v>
      </c>
      <c r="E415" s="142">
        <f t="shared" si="94"/>
        <v>22499</v>
      </c>
      <c r="F415" s="142">
        <f t="shared" si="94"/>
        <v>15994.333333333334</v>
      </c>
      <c r="G415" s="142">
        <f t="shared" si="94"/>
        <v>17124.5</v>
      </c>
      <c r="H415" s="142">
        <f t="shared" si="94"/>
        <v>712</v>
      </c>
      <c r="I415" s="142">
        <f t="shared" si="94"/>
        <v>66319</v>
      </c>
      <c r="K415" s="142" t="str">
        <f>K275</f>
        <v>-</v>
      </c>
      <c r="L415" s="142" t="str">
        <f t="shared" ref="L415:R415" si="95">L275</f>
        <v>-</v>
      </c>
      <c r="M415" s="142" t="str">
        <f t="shared" si="95"/>
        <v>-</v>
      </c>
      <c r="N415" s="142" t="str">
        <f t="shared" si="95"/>
        <v>-</v>
      </c>
      <c r="O415" s="142" t="str">
        <f t="shared" si="95"/>
        <v>-</v>
      </c>
      <c r="P415" s="142" t="str">
        <f t="shared" si="95"/>
        <v>-</v>
      </c>
      <c r="Q415" s="142" t="str">
        <f t="shared" si="95"/>
        <v>-</v>
      </c>
      <c r="R415" s="142" t="str">
        <f t="shared" si="95"/>
        <v>-</v>
      </c>
    </row>
    <row r="416" spans="1:18">
      <c r="A416" s="99">
        <v>2011</v>
      </c>
      <c r="B416" s="142" t="str">
        <f t="shared" ref="B416:I424" si="96">B280</f>
        <v>-</v>
      </c>
      <c r="C416" s="142">
        <f t="shared" si="96"/>
        <v>11732</v>
      </c>
      <c r="D416" s="142">
        <f t="shared" si="96"/>
        <v>4189</v>
      </c>
      <c r="E416" s="142">
        <f t="shared" si="96"/>
        <v>31669</v>
      </c>
      <c r="F416" s="142">
        <f t="shared" si="96"/>
        <v>20301</v>
      </c>
      <c r="G416" s="142">
        <f t="shared" si="96"/>
        <v>1820</v>
      </c>
      <c r="H416" s="142">
        <f t="shared" si="96"/>
        <v>317</v>
      </c>
      <c r="I416" s="142">
        <f t="shared" si="96"/>
        <v>70028</v>
      </c>
      <c r="K416" s="142" t="str">
        <f t="shared" ref="K416:R424" si="97">K280</f>
        <v>-</v>
      </c>
      <c r="L416" s="142" t="str">
        <f t="shared" si="97"/>
        <v>-</v>
      </c>
      <c r="M416" s="142" t="str">
        <f t="shared" si="97"/>
        <v>-</v>
      </c>
      <c r="N416" s="142" t="str">
        <f t="shared" si="97"/>
        <v>-</v>
      </c>
      <c r="O416" s="142" t="str">
        <f t="shared" si="97"/>
        <v>-</v>
      </c>
      <c r="P416" s="142" t="str">
        <f t="shared" si="97"/>
        <v>-</v>
      </c>
      <c r="Q416" s="142" t="str">
        <f t="shared" si="97"/>
        <v>-</v>
      </c>
      <c r="R416" s="142" t="str">
        <f t="shared" si="97"/>
        <v>-</v>
      </c>
    </row>
    <row r="417" spans="1:18">
      <c r="A417" s="99">
        <v>2012</v>
      </c>
      <c r="B417" s="142" t="str">
        <f t="shared" si="96"/>
        <v>-</v>
      </c>
      <c r="C417" s="142">
        <f t="shared" si="96"/>
        <v>58857</v>
      </c>
      <c r="D417" s="142">
        <f t="shared" si="96"/>
        <v>19385</v>
      </c>
      <c r="E417" s="142">
        <f t="shared" si="96"/>
        <v>92842</v>
      </c>
      <c r="F417" s="142">
        <f t="shared" si="96"/>
        <v>28266</v>
      </c>
      <c r="G417" s="142">
        <f t="shared" si="96"/>
        <v>12922</v>
      </c>
      <c r="H417" s="142">
        <f t="shared" si="96"/>
        <v>3313</v>
      </c>
      <c r="I417" s="142">
        <f t="shared" si="96"/>
        <v>215585</v>
      </c>
      <c r="K417" s="142" t="str">
        <f t="shared" si="97"/>
        <v>-</v>
      </c>
      <c r="L417" s="142" t="str">
        <f t="shared" si="97"/>
        <v>-</v>
      </c>
      <c r="M417" s="142" t="str">
        <f t="shared" si="97"/>
        <v>-</v>
      </c>
      <c r="N417" s="142" t="str">
        <f t="shared" si="97"/>
        <v>-</v>
      </c>
      <c r="O417" s="142" t="str">
        <f t="shared" si="97"/>
        <v>-</v>
      </c>
      <c r="P417" s="142" t="str">
        <f t="shared" si="97"/>
        <v>-</v>
      </c>
      <c r="Q417" s="142" t="str">
        <f t="shared" si="97"/>
        <v>-</v>
      </c>
      <c r="R417" s="142" t="str">
        <f t="shared" si="97"/>
        <v>-</v>
      </c>
    </row>
    <row r="418" spans="1:18">
      <c r="A418" s="99">
        <v>2013</v>
      </c>
      <c r="B418" s="142" t="str">
        <f t="shared" si="96"/>
        <v>-</v>
      </c>
      <c r="C418" s="142">
        <f t="shared" si="96"/>
        <v>77516</v>
      </c>
      <c r="D418" s="142">
        <f t="shared" si="96"/>
        <v>84549</v>
      </c>
      <c r="E418" s="142">
        <f t="shared" si="96"/>
        <v>98270</v>
      </c>
      <c r="F418" s="142">
        <f t="shared" si="96"/>
        <v>25257</v>
      </c>
      <c r="G418" s="142">
        <f t="shared" si="96"/>
        <v>11094</v>
      </c>
      <c r="H418" s="142">
        <f t="shared" si="96"/>
        <v>941</v>
      </c>
      <c r="I418" s="142">
        <f t="shared" si="96"/>
        <v>297627</v>
      </c>
      <c r="K418" s="142" t="str">
        <f t="shared" si="97"/>
        <v>-</v>
      </c>
      <c r="L418" s="142" t="str">
        <f t="shared" si="97"/>
        <v>-</v>
      </c>
      <c r="M418" s="142" t="str">
        <f t="shared" si="97"/>
        <v>-</v>
      </c>
      <c r="N418" s="142" t="str">
        <f t="shared" si="97"/>
        <v>-</v>
      </c>
      <c r="O418" s="142" t="str">
        <f t="shared" si="97"/>
        <v>-</v>
      </c>
      <c r="P418" s="142" t="str">
        <f t="shared" si="97"/>
        <v>-</v>
      </c>
      <c r="Q418" s="142" t="str">
        <f t="shared" si="97"/>
        <v>-</v>
      </c>
      <c r="R418" s="142" t="str">
        <f t="shared" si="97"/>
        <v>-</v>
      </c>
    </row>
    <row r="419" spans="1:18">
      <c r="A419" s="99">
        <v>2014</v>
      </c>
      <c r="B419" s="142" t="str">
        <f t="shared" si="96"/>
        <v>-</v>
      </c>
      <c r="C419" s="142">
        <f t="shared" si="96"/>
        <v>34946</v>
      </c>
      <c r="D419" s="142">
        <f t="shared" si="96"/>
        <v>39581</v>
      </c>
      <c r="E419" s="142">
        <f t="shared" si="96"/>
        <v>54568</v>
      </c>
      <c r="F419" s="142">
        <f t="shared" si="96"/>
        <v>24085</v>
      </c>
      <c r="G419" s="142">
        <f t="shared" si="96"/>
        <v>12118</v>
      </c>
      <c r="H419" s="142">
        <f t="shared" si="96"/>
        <v>2985</v>
      </c>
      <c r="I419" s="142">
        <f t="shared" si="96"/>
        <v>168283</v>
      </c>
      <c r="K419" s="142" t="str">
        <f t="shared" si="97"/>
        <v>-</v>
      </c>
      <c r="L419" s="142" t="str">
        <f t="shared" si="97"/>
        <v>-</v>
      </c>
      <c r="M419" s="142" t="str">
        <f t="shared" si="97"/>
        <v>-</v>
      </c>
      <c r="N419" s="142" t="str">
        <f t="shared" si="97"/>
        <v>-</v>
      </c>
      <c r="O419" s="142" t="str">
        <f t="shared" si="97"/>
        <v>-</v>
      </c>
      <c r="P419" s="142" t="str">
        <f t="shared" si="97"/>
        <v>-</v>
      </c>
      <c r="Q419" s="142" t="str">
        <f t="shared" si="97"/>
        <v>-</v>
      </c>
      <c r="R419" s="142" t="str">
        <f t="shared" si="97"/>
        <v>-</v>
      </c>
    </row>
    <row r="420" spans="1:18">
      <c r="A420" s="99">
        <v>2015</v>
      </c>
      <c r="B420" s="142" t="str">
        <f t="shared" si="96"/>
        <v>-</v>
      </c>
      <c r="C420" s="142">
        <f t="shared" si="96"/>
        <v>53561</v>
      </c>
      <c r="D420" s="142">
        <f t="shared" si="96"/>
        <v>19489</v>
      </c>
      <c r="E420" s="142">
        <f t="shared" si="96"/>
        <v>12920</v>
      </c>
      <c r="F420" s="142">
        <f t="shared" si="96"/>
        <v>11467</v>
      </c>
      <c r="G420" s="142">
        <f t="shared" si="96"/>
        <v>10453</v>
      </c>
      <c r="H420" s="142">
        <f t="shared" si="96"/>
        <v>2617</v>
      </c>
      <c r="I420" s="142">
        <f t="shared" si="96"/>
        <v>110507</v>
      </c>
      <c r="K420" s="142" t="str">
        <f t="shared" si="97"/>
        <v>-</v>
      </c>
      <c r="L420" s="142" t="str">
        <f t="shared" si="97"/>
        <v>-</v>
      </c>
      <c r="M420" s="142" t="str">
        <f t="shared" si="97"/>
        <v>-</v>
      </c>
      <c r="N420" s="142" t="str">
        <f t="shared" si="97"/>
        <v>-</v>
      </c>
      <c r="O420" s="142" t="str">
        <f t="shared" si="97"/>
        <v>-</v>
      </c>
      <c r="P420" s="142" t="str">
        <f t="shared" si="97"/>
        <v>-</v>
      </c>
      <c r="Q420" s="142" t="str">
        <f t="shared" si="97"/>
        <v>-</v>
      </c>
      <c r="R420" s="142" t="str">
        <f t="shared" si="97"/>
        <v>-</v>
      </c>
    </row>
    <row r="421" spans="1:18">
      <c r="A421" s="99">
        <v>2016</v>
      </c>
      <c r="B421" s="142" t="str">
        <f t="shared" si="96"/>
        <v>-</v>
      </c>
      <c r="C421" s="142">
        <f t="shared" si="96"/>
        <v>13367</v>
      </c>
      <c r="D421" s="142">
        <f t="shared" si="96"/>
        <v>13428</v>
      </c>
      <c r="E421" s="142" t="str">
        <f t="shared" si="96"/>
        <v>-</v>
      </c>
      <c r="F421" s="142">
        <f t="shared" si="96"/>
        <v>18334</v>
      </c>
      <c r="G421" s="142">
        <f t="shared" si="96"/>
        <v>9467</v>
      </c>
      <c r="H421" s="142">
        <f t="shared" si="96"/>
        <v>589</v>
      </c>
      <c r="I421" s="142">
        <f t="shared" si="96"/>
        <v>55185</v>
      </c>
      <c r="K421" s="142" t="str">
        <f t="shared" si="97"/>
        <v>-</v>
      </c>
      <c r="L421" s="142" t="str">
        <f t="shared" si="97"/>
        <v>-</v>
      </c>
      <c r="M421" s="142" t="str">
        <f t="shared" si="97"/>
        <v>-</v>
      </c>
      <c r="N421" s="142" t="str">
        <f t="shared" si="97"/>
        <v>-</v>
      </c>
      <c r="O421" s="142" t="str">
        <f t="shared" si="97"/>
        <v>-</v>
      </c>
      <c r="P421" s="142" t="str">
        <f t="shared" si="97"/>
        <v>-</v>
      </c>
      <c r="Q421" s="142" t="str">
        <f t="shared" si="97"/>
        <v>-</v>
      </c>
      <c r="R421" s="142" t="str">
        <f t="shared" si="97"/>
        <v>-</v>
      </c>
    </row>
    <row r="422" spans="1:18">
      <c r="A422" s="99">
        <v>2017</v>
      </c>
      <c r="B422" s="142" t="str">
        <f t="shared" si="96"/>
        <v>-</v>
      </c>
      <c r="C422" s="142">
        <f t="shared" si="96"/>
        <v>5588</v>
      </c>
      <c r="D422" s="142">
        <f t="shared" si="96"/>
        <v>6891</v>
      </c>
      <c r="E422" s="142" t="str">
        <f t="shared" si="96"/>
        <v>-</v>
      </c>
      <c r="F422" s="142">
        <f t="shared" si="96"/>
        <v>18336</v>
      </c>
      <c r="G422" s="142">
        <f t="shared" si="96"/>
        <v>10232</v>
      </c>
      <c r="H422" s="142">
        <f t="shared" si="96"/>
        <v>1279</v>
      </c>
      <c r="I422" s="142">
        <f t="shared" si="96"/>
        <v>42326</v>
      </c>
      <c r="K422" s="142" t="str">
        <f t="shared" si="97"/>
        <v>-</v>
      </c>
      <c r="L422" s="142" t="str">
        <f t="shared" si="97"/>
        <v>-</v>
      </c>
      <c r="M422" s="142" t="str">
        <f t="shared" si="97"/>
        <v>-</v>
      </c>
      <c r="N422" s="142" t="str">
        <f t="shared" si="97"/>
        <v>-</v>
      </c>
      <c r="O422" s="142" t="str">
        <f t="shared" si="97"/>
        <v>-</v>
      </c>
      <c r="P422" s="142" t="str">
        <f t="shared" si="97"/>
        <v>-</v>
      </c>
      <c r="Q422" s="142" t="str">
        <f t="shared" si="97"/>
        <v>-</v>
      </c>
      <c r="R422" s="142" t="str">
        <f t="shared" si="97"/>
        <v>-</v>
      </c>
    </row>
    <row r="423" spans="1:18">
      <c r="A423" s="99">
        <v>2018</v>
      </c>
      <c r="B423" s="142" t="str">
        <f t="shared" si="96"/>
        <v>-</v>
      </c>
      <c r="C423" s="142">
        <f t="shared" si="96"/>
        <v>5503</v>
      </c>
      <c r="D423" s="142">
        <f t="shared" si="96"/>
        <v>17336</v>
      </c>
      <c r="E423" s="142">
        <f t="shared" si="96"/>
        <v>14916</v>
      </c>
      <c r="F423" s="142">
        <f t="shared" si="96"/>
        <v>27704</v>
      </c>
      <c r="G423" s="142">
        <f t="shared" si="96"/>
        <v>10926</v>
      </c>
      <c r="H423" s="142">
        <f t="shared" si="96"/>
        <v>2031</v>
      </c>
      <c r="I423" s="142">
        <f t="shared" si="96"/>
        <v>78416</v>
      </c>
      <c r="K423" s="142" t="str">
        <f t="shared" si="97"/>
        <v>-</v>
      </c>
      <c r="L423" s="142" t="str">
        <f t="shared" si="97"/>
        <v>-</v>
      </c>
      <c r="M423" s="142" t="str">
        <f t="shared" si="97"/>
        <v>-</v>
      </c>
      <c r="N423" s="142" t="str">
        <f t="shared" si="97"/>
        <v>-</v>
      </c>
      <c r="O423" s="142" t="str">
        <f t="shared" si="97"/>
        <v>-</v>
      </c>
      <c r="P423" s="142" t="str">
        <f t="shared" si="97"/>
        <v>-</v>
      </c>
      <c r="Q423" s="142" t="str">
        <f t="shared" si="97"/>
        <v>-</v>
      </c>
      <c r="R423" s="142" t="str">
        <f t="shared" si="97"/>
        <v>-</v>
      </c>
    </row>
    <row r="424" spans="1:18">
      <c r="A424" s="239">
        <v>2019</v>
      </c>
      <c r="B424" s="142" t="str">
        <f t="shared" si="96"/>
        <v>-</v>
      </c>
      <c r="C424" s="142">
        <f t="shared" si="96"/>
        <v>71001</v>
      </c>
      <c r="D424" s="142">
        <f t="shared" si="96"/>
        <v>97883</v>
      </c>
      <c r="E424" s="142">
        <f t="shared" si="96"/>
        <v>38838</v>
      </c>
      <c r="F424" s="142">
        <f t="shared" si="96"/>
        <v>56867</v>
      </c>
      <c r="G424" s="142">
        <f t="shared" si="96"/>
        <v>6099</v>
      </c>
      <c r="H424" s="142">
        <f t="shared" si="96"/>
        <v>801</v>
      </c>
      <c r="I424" s="142">
        <f t="shared" si="96"/>
        <v>271489</v>
      </c>
      <c r="K424" s="142" t="str">
        <f t="shared" si="97"/>
        <v>-</v>
      </c>
      <c r="L424" s="142" t="str">
        <f t="shared" si="97"/>
        <v>-</v>
      </c>
      <c r="M424" s="142" t="str">
        <f t="shared" si="97"/>
        <v>-</v>
      </c>
      <c r="N424" s="142" t="str">
        <f t="shared" si="97"/>
        <v>-</v>
      </c>
      <c r="O424" s="142" t="str">
        <f t="shared" si="97"/>
        <v>-</v>
      </c>
      <c r="P424" s="142" t="str">
        <f t="shared" si="97"/>
        <v>-</v>
      </c>
      <c r="Q424" s="142" t="str">
        <f t="shared" si="97"/>
        <v>-</v>
      </c>
      <c r="R424" s="142" t="str">
        <f t="shared" si="97"/>
        <v>-</v>
      </c>
    </row>
    <row r="425" spans="1:18">
      <c r="A425" s="239">
        <v>2020</v>
      </c>
      <c r="B425" s="142" t="str">
        <f t="shared" ref="B425:I426" si="98">B289</f>
        <v>-</v>
      </c>
      <c r="C425" s="142">
        <f t="shared" si="98"/>
        <v>32516</v>
      </c>
      <c r="D425" s="142">
        <f t="shared" si="98"/>
        <v>49257</v>
      </c>
      <c r="E425" s="142">
        <f t="shared" si="98"/>
        <v>65505</v>
      </c>
      <c r="F425" s="142">
        <f t="shared" si="98"/>
        <v>19615</v>
      </c>
      <c r="G425" s="142">
        <f t="shared" si="98"/>
        <v>8472</v>
      </c>
      <c r="H425" s="142">
        <f t="shared" si="98"/>
        <v>2435</v>
      </c>
      <c r="I425" s="142">
        <f t="shared" si="98"/>
        <v>177800</v>
      </c>
      <c r="K425" s="142" t="str">
        <f t="shared" ref="K425:R426" si="99">K289</f>
        <v>-</v>
      </c>
      <c r="L425" s="142" t="str">
        <f t="shared" si="99"/>
        <v>-</v>
      </c>
      <c r="M425" s="142" t="str">
        <f t="shared" si="99"/>
        <v>-</v>
      </c>
      <c r="N425" s="142" t="str">
        <f t="shared" si="99"/>
        <v>-</v>
      </c>
      <c r="O425" s="142" t="str">
        <f t="shared" si="99"/>
        <v>-</v>
      </c>
      <c r="P425" s="142" t="str">
        <f t="shared" si="99"/>
        <v>-</v>
      </c>
      <c r="Q425" s="142" t="str">
        <f t="shared" si="99"/>
        <v>-</v>
      </c>
      <c r="R425" s="142" t="str">
        <f t="shared" si="99"/>
        <v>-</v>
      </c>
    </row>
    <row r="426" spans="1:18" ht="13">
      <c r="A426" s="239" t="s">
        <v>314</v>
      </c>
      <c r="B426" s="15" t="str">
        <f t="shared" si="98"/>
        <v>-</v>
      </c>
      <c r="C426" s="15">
        <f t="shared" si="98"/>
        <v>46848</v>
      </c>
      <c r="D426" s="15">
        <f t="shared" si="98"/>
        <v>76723</v>
      </c>
      <c r="E426" s="15">
        <f t="shared" si="98"/>
        <v>12632</v>
      </c>
      <c r="F426" s="15">
        <f t="shared" si="98"/>
        <v>56619</v>
      </c>
      <c r="G426" s="15">
        <f t="shared" si="98"/>
        <v>7557</v>
      </c>
      <c r="H426" s="15">
        <f t="shared" si="98"/>
        <v>1040</v>
      </c>
      <c r="I426" s="15">
        <f t="shared" si="98"/>
        <v>201419</v>
      </c>
      <c r="K426" s="15" t="str">
        <f t="shared" si="99"/>
        <v>-</v>
      </c>
      <c r="L426" s="15" t="str">
        <f t="shared" si="99"/>
        <v>-</v>
      </c>
      <c r="M426" s="15" t="str">
        <f t="shared" si="99"/>
        <v>-</v>
      </c>
      <c r="N426" s="15" t="str">
        <f t="shared" si="99"/>
        <v>-</v>
      </c>
      <c r="O426" s="15" t="str">
        <f t="shared" si="99"/>
        <v>-</v>
      </c>
      <c r="P426" s="15" t="str">
        <f t="shared" si="99"/>
        <v>-</v>
      </c>
      <c r="Q426" s="15" t="str">
        <f t="shared" si="99"/>
        <v>-</v>
      </c>
      <c r="R426" s="15" t="str">
        <f t="shared" si="99"/>
        <v>-</v>
      </c>
    </row>
    <row r="427" spans="1:18">
      <c r="A427" s="286" t="str">
        <f>A291</f>
        <v>a/  Includes minor catches made off Oregon and landed in California prior to 2005.</v>
      </c>
      <c r="B427" s="286"/>
      <c r="C427" s="286"/>
      <c r="D427" s="286"/>
      <c r="E427" s="286"/>
      <c r="F427" s="286"/>
      <c r="G427" s="286"/>
      <c r="H427" s="286"/>
      <c r="I427" s="286"/>
      <c r="J427" s="286"/>
      <c r="K427" s="286"/>
      <c r="L427" s="286"/>
      <c r="M427" s="286"/>
      <c r="N427" s="286"/>
      <c r="O427" s="286"/>
      <c r="P427" s="286"/>
      <c r="Q427" s="286"/>
      <c r="R427" s="286"/>
    </row>
    <row r="428" spans="1:18">
      <c r="A428" s="287" t="str">
        <f>A292</f>
        <v>b/  Commercial fishery closed all months except Aug. 2002 (681 Chinook) and Sept. 2001-2005;  all other harvest occurred in Oregon waters but was landed in Crescent City.</v>
      </c>
      <c r="B428" s="287"/>
      <c r="C428" s="287"/>
      <c r="D428" s="287"/>
      <c r="E428" s="287"/>
      <c r="F428" s="287"/>
      <c r="G428" s="287"/>
      <c r="H428" s="287"/>
      <c r="I428" s="287"/>
      <c r="J428" s="287"/>
      <c r="K428" s="287"/>
      <c r="L428" s="287"/>
      <c r="M428" s="287"/>
      <c r="N428" s="287"/>
      <c r="O428" s="287"/>
      <c r="P428" s="287"/>
      <c r="Q428" s="287"/>
      <c r="R428" s="287"/>
    </row>
    <row r="429" spans="1:18">
      <c r="A429" s="287" t="str">
        <f>A293</f>
        <v>c/  Preliminary.</v>
      </c>
      <c r="B429" s="287"/>
      <c r="C429" s="287"/>
      <c r="D429" s="287"/>
      <c r="E429" s="287"/>
      <c r="F429" s="287"/>
      <c r="G429" s="287"/>
      <c r="H429" s="287"/>
      <c r="I429" s="287"/>
      <c r="J429" s="287"/>
      <c r="K429" s="287"/>
      <c r="L429" s="287"/>
      <c r="M429" s="287"/>
      <c r="N429" s="287"/>
      <c r="O429" s="287"/>
      <c r="P429" s="287"/>
      <c r="Q429" s="287"/>
      <c r="R429" s="287"/>
    </row>
  </sheetData>
  <mergeCells count="22">
    <mergeCell ref="A427:R427"/>
    <mergeCell ref="A428:R428"/>
    <mergeCell ref="A429:R429"/>
    <mergeCell ref="I351:J351"/>
    <mergeCell ref="B352:I352"/>
    <mergeCell ref="K352:R352"/>
    <mergeCell ref="A389:R389"/>
    <mergeCell ref="I390:J390"/>
    <mergeCell ref="B391:I391"/>
    <mergeCell ref="K391:R391"/>
    <mergeCell ref="A350:R350"/>
    <mergeCell ref="A1:R1"/>
    <mergeCell ref="I2:J2"/>
    <mergeCell ref="B3:I3"/>
    <mergeCell ref="K3:R3"/>
    <mergeCell ref="A291:R291"/>
    <mergeCell ref="A292:R292"/>
    <mergeCell ref="A293:R293"/>
    <mergeCell ref="A311:R311"/>
    <mergeCell ref="I312:J312"/>
    <mergeCell ref="B313:I313"/>
    <mergeCell ref="K313:R313"/>
  </mergeCells>
  <pageMargins left="0.7" right="0.7" top="0.75" bottom="0.75" header="0.3" footer="0.3"/>
  <pageSetup scale="99" orientation="landscape" r:id="rId1"/>
  <rowBreaks count="2" manualBreakCount="2">
    <brk id="349" max="16383" man="1"/>
    <brk id="388" max="16383"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7"/>
  <dimension ref="A2:V415"/>
  <sheetViews>
    <sheetView showGridLines="0" topLeftCell="E253" zoomScaleNormal="100" zoomScaleSheetLayoutView="90" workbookViewId="0">
      <selection activeCell="N421" sqref="N421"/>
    </sheetView>
  </sheetViews>
  <sheetFormatPr baseColWidth="10" defaultColWidth="9" defaultRowHeight="11"/>
  <cols>
    <col min="1" max="1" width="8.83203125" style="99" customWidth="1"/>
    <col min="2" max="9" width="8.83203125" style="24" customWidth="1"/>
    <col min="10" max="10" width="8.1640625" style="24" customWidth="1"/>
    <col min="11" max="11" width="8" style="24" customWidth="1"/>
    <col min="12" max="12" width="8.83203125" style="24" customWidth="1"/>
    <col min="13" max="16384" width="9" style="1"/>
  </cols>
  <sheetData>
    <row r="2" spans="1:22" ht="11.25" customHeight="1">
      <c r="A2" s="290" t="s">
        <v>165</v>
      </c>
      <c r="B2" s="290"/>
      <c r="C2" s="290"/>
      <c r="D2" s="290"/>
      <c r="E2" s="290"/>
      <c r="F2" s="290"/>
      <c r="G2" s="290"/>
      <c r="H2" s="290"/>
      <c r="I2" s="290"/>
      <c r="J2" s="290"/>
      <c r="K2" s="290"/>
      <c r="L2" s="290"/>
    </row>
    <row r="3" spans="1:22" s="119" customFormat="1">
      <c r="A3" s="2" t="s">
        <v>27</v>
      </c>
      <c r="B3" s="196" t="s">
        <v>36</v>
      </c>
      <c r="C3" s="196" t="s">
        <v>37</v>
      </c>
      <c r="D3" s="196" t="s">
        <v>28</v>
      </c>
      <c r="E3" s="196" t="s">
        <v>29</v>
      </c>
      <c r="F3" s="196" t="s">
        <v>30</v>
      </c>
      <c r="G3" s="196" t="s">
        <v>31</v>
      </c>
      <c r="H3" s="196" t="s">
        <v>32</v>
      </c>
      <c r="I3" s="196" t="s">
        <v>33</v>
      </c>
      <c r="J3" s="196" t="s">
        <v>34</v>
      </c>
      <c r="K3" s="196" t="s">
        <v>38</v>
      </c>
      <c r="L3" s="196" t="s">
        <v>22</v>
      </c>
    </row>
    <row r="4" spans="1:22">
      <c r="A4" s="94" t="s">
        <v>16</v>
      </c>
    </row>
    <row r="5" spans="1:22">
      <c r="A5" s="99">
        <v>1976</v>
      </c>
      <c r="B5" s="134" t="s">
        <v>106</v>
      </c>
      <c r="C5" s="134" t="s">
        <v>106</v>
      </c>
      <c r="D5" s="134">
        <v>0</v>
      </c>
      <c r="E5" s="18">
        <v>32</v>
      </c>
      <c r="F5" s="18">
        <v>4682</v>
      </c>
      <c r="G5" s="18">
        <v>13016</v>
      </c>
      <c r="H5" s="18">
        <v>8248</v>
      </c>
      <c r="I5" s="18">
        <v>2768</v>
      </c>
      <c r="J5" s="134">
        <v>0</v>
      </c>
      <c r="K5" s="134">
        <v>0</v>
      </c>
      <c r="L5" s="24">
        <f t="shared" ref="L5:L34" si="0">SUM(B5:K5)</f>
        <v>28746</v>
      </c>
    </row>
    <row r="6" spans="1:22">
      <c r="A6" s="99">
        <v>1977</v>
      </c>
      <c r="B6" s="134" t="s">
        <v>106</v>
      </c>
      <c r="C6" s="134" t="s">
        <v>106</v>
      </c>
      <c r="D6" s="134">
        <v>0</v>
      </c>
      <c r="E6" s="18">
        <v>0</v>
      </c>
      <c r="F6" s="18">
        <v>2003</v>
      </c>
      <c r="G6" s="18">
        <v>11446</v>
      </c>
      <c r="H6" s="18">
        <v>8284</v>
      </c>
      <c r="I6" s="18">
        <v>1063</v>
      </c>
      <c r="J6" s="134">
        <v>0</v>
      </c>
      <c r="K6" s="134">
        <v>0</v>
      </c>
      <c r="L6" s="24">
        <f t="shared" si="0"/>
        <v>22796</v>
      </c>
    </row>
    <row r="7" spans="1:22">
      <c r="A7" s="99">
        <v>1978</v>
      </c>
      <c r="B7" s="134" t="s">
        <v>106</v>
      </c>
      <c r="C7" s="134" t="s">
        <v>106</v>
      </c>
      <c r="D7" s="18">
        <v>3</v>
      </c>
      <c r="E7" s="18">
        <v>50</v>
      </c>
      <c r="F7" s="18">
        <v>6169</v>
      </c>
      <c r="G7" s="18">
        <v>8335</v>
      </c>
      <c r="H7" s="18">
        <v>2711</v>
      </c>
      <c r="I7" s="18">
        <v>130</v>
      </c>
      <c r="J7" s="134">
        <v>0</v>
      </c>
      <c r="K7" s="134">
        <v>0</v>
      </c>
      <c r="L7" s="24">
        <f t="shared" si="0"/>
        <v>17398</v>
      </c>
    </row>
    <row r="8" spans="1:22">
      <c r="A8" s="99">
        <v>1979</v>
      </c>
      <c r="B8" s="134" t="s">
        <v>106</v>
      </c>
      <c r="C8" s="134" t="s">
        <v>106</v>
      </c>
      <c r="D8" s="134">
        <v>0</v>
      </c>
      <c r="E8" s="18">
        <v>125</v>
      </c>
      <c r="F8" s="18">
        <v>2077</v>
      </c>
      <c r="G8" s="18">
        <v>6059</v>
      </c>
      <c r="H8" s="18">
        <v>2826</v>
      </c>
      <c r="I8" s="18">
        <v>648</v>
      </c>
      <c r="J8" s="18">
        <v>0</v>
      </c>
      <c r="K8" s="18" t="s">
        <v>23</v>
      </c>
      <c r="L8" s="24">
        <f t="shared" si="0"/>
        <v>11735</v>
      </c>
    </row>
    <row r="9" spans="1:22">
      <c r="A9" s="99">
        <v>1980</v>
      </c>
      <c r="B9" s="134" t="s">
        <v>106</v>
      </c>
      <c r="C9" s="134" t="s">
        <v>106</v>
      </c>
      <c r="D9" s="134">
        <v>0</v>
      </c>
      <c r="E9" s="18">
        <v>0</v>
      </c>
      <c r="F9" s="18">
        <v>3462</v>
      </c>
      <c r="G9" s="18">
        <v>9426</v>
      </c>
      <c r="H9" s="18">
        <v>4853</v>
      </c>
      <c r="I9" s="18">
        <v>1447</v>
      </c>
      <c r="J9" s="18">
        <v>0</v>
      </c>
      <c r="K9" s="18" t="s">
        <v>23</v>
      </c>
      <c r="L9" s="24">
        <f t="shared" si="0"/>
        <v>19188</v>
      </c>
    </row>
    <row r="10" spans="1:22">
      <c r="A10" s="99">
        <v>1981</v>
      </c>
      <c r="B10" s="134" t="s">
        <v>106</v>
      </c>
      <c r="C10" s="134" t="s">
        <v>106</v>
      </c>
      <c r="D10" s="134">
        <v>0</v>
      </c>
      <c r="E10" s="18">
        <v>18</v>
      </c>
      <c r="F10" s="18">
        <v>3378</v>
      </c>
      <c r="G10" s="18">
        <v>5999</v>
      </c>
      <c r="H10" s="18">
        <v>4665</v>
      </c>
      <c r="I10" s="18">
        <v>0</v>
      </c>
      <c r="J10" s="18">
        <v>0</v>
      </c>
      <c r="K10" s="18">
        <v>0</v>
      </c>
      <c r="L10" s="24">
        <f t="shared" si="0"/>
        <v>14060</v>
      </c>
    </row>
    <row r="11" spans="1:22">
      <c r="A11" s="99">
        <v>1982</v>
      </c>
      <c r="B11" s="134" t="s">
        <v>106</v>
      </c>
      <c r="C11" s="134" t="s">
        <v>106</v>
      </c>
      <c r="D11" s="134">
        <v>0</v>
      </c>
      <c r="E11" s="18">
        <v>18</v>
      </c>
      <c r="F11" s="18">
        <v>3138</v>
      </c>
      <c r="G11" s="18">
        <v>12449</v>
      </c>
      <c r="H11" s="18">
        <v>8878</v>
      </c>
      <c r="I11" s="18">
        <v>604</v>
      </c>
      <c r="J11" s="18">
        <v>0</v>
      </c>
      <c r="K11" s="18">
        <v>0</v>
      </c>
      <c r="L11" s="24">
        <f t="shared" si="0"/>
        <v>25087</v>
      </c>
    </row>
    <row r="12" spans="1:22">
      <c r="A12" s="99">
        <v>1983</v>
      </c>
      <c r="B12" s="134" t="s">
        <v>106</v>
      </c>
      <c r="C12" s="134" t="s">
        <v>106</v>
      </c>
      <c r="D12" s="134">
        <v>0</v>
      </c>
      <c r="E12" s="18">
        <v>0</v>
      </c>
      <c r="F12" s="18">
        <v>4713</v>
      </c>
      <c r="G12" s="18">
        <v>10929</v>
      </c>
      <c r="H12" s="18">
        <v>5299</v>
      </c>
      <c r="I12" s="18">
        <v>734</v>
      </c>
      <c r="J12" s="18">
        <v>0</v>
      </c>
      <c r="K12" s="18">
        <v>0</v>
      </c>
      <c r="L12" s="24">
        <f t="shared" si="0"/>
        <v>21675</v>
      </c>
    </row>
    <row r="13" spans="1:22">
      <c r="A13" s="99">
        <v>1984</v>
      </c>
      <c r="B13" s="134" t="s">
        <v>106</v>
      </c>
      <c r="C13" s="134" t="s">
        <v>106</v>
      </c>
      <c r="D13" s="134">
        <v>0</v>
      </c>
      <c r="E13" s="18">
        <v>12</v>
      </c>
      <c r="F13" s="18">
        <v>654</v>
      </c>
      <c r="G13" s="18">
        <v>15222</v>
      </c>
      <c r="H13" s="18">
        <v>7740</v>
      </c>
      <c r="I13" s="18">
        <v>209</v>
      </c>
      <c r="J13" s="18">
        <v>0</v>
      </c>
      <c r="K13" s="18">
        <v>0</v>
      </c>
      <c r="L13" s="24">
        <f t="shared" si="0"/>
        <v>23837</v>
      </c>
    </row>
    <row r="14" spans="1:22">
      <c r="A14" s="99">
        <v>1985</v>
      </c>
      <c r="B14" s="134" t="s">
        <v>106</v>
      </c>
      <c r="C14" s="134" t="s">
        <v>106</v>
      </c>
      <c r="D14" s="134">
        <v>0</v>
      </c>
      <c r="E14" s="18">
        <v>2811</v>
      </c>
      <c r="F14" s="18">
        <v>7676</v>
      </c>
      <c r="G14" s="18">
        <v>13025</v>
      </c>
      <c r="H14" s="18">
        <v>6520</v>
      </c>
      <c r="I14" s="18">
        <v>975</v>
      </c>
      <c r="J14" s="18">
        <v>0</v>
      </c>
      <c r="K14" s="18">
        <v>0</v>
      </c>
      <c r="L14" s="24">
        <f t="shared" si="0"/>
        <v>31007</v>
      </c>
    </row>
    <row r="15" spans="1:22">
      <c r="A15" s="99">
        <v>1986</v>
      </c>
      <c r="B15" s="134" t="s">
        <v>106</v>
      </c>
      <c r="C15" s="134" t="s">
        <v>106</v>
      </c>
      <c r="D15" s="18" t="s">
        <v>23</v>
      </c>
      <c r="E15" s="18">
        <v>1104</v>
      </c>
      <c r="F15" s="18">
        <v>7257</v>
      </c>
      <c r="G15" s="18">
        <v>10636</v>
      </c>
      <c r="H15" s="18">
        <v>6382</v>
      </c>
      <c r="I15" s="18">
        <v>174</v>
      </c>
      <c r="J15" s="18" t="s">
        <v>23</v>
      </c>
      <c r="K15" s="18" t="s">
        <v>23</v>
      </c>
      <c r="L15" s="24">
        <f t="shared" si="0"/>
        <v>25553</v>
      </c>
      <c r="M15" s="7"/>
      <c r="N15" s="7"/>
      <c r="O15" s="7"/>
      <c r="U15" s="7"/>
      <c r="V15" s="7"/>
    </row>
    <row r="16" spans="1:22">
      <c r="A16" s="99">
        <v>1987</v>
      </c>
      <c r="B16" s="18" t="s">
        <v>23</v>
      </c>
      <c r="C16" s="18" t="s">
        <v>23</v>
      </c>
      <c r="D16" s="18" t="s">
        <v>23</v>
      </c>
      <c r="E16" s="18">
        <v>1980</v>
      </c>
      <c r="F16" s="18">
        <v>13756</v>
      </c>
      <c r="G16" s="18">
        <v>22618</v>
      </c>
      <c r="H16" s="18">
        <v>10745</v>
      </c>
      <c r="I16" s="18">
        <v>2975</v>
      </c>
      <c r="J16" s="18" t="s">
        <v>23</v>
      </c>
      <c r="K16" s="18" t="s">
        <v>23</v>
      </c>
      <c r="L16" s="24">
        <f t="shared" si="0"/>
        <v>52074</v>
      </c>
      <c r="M16" s="7"/>
      <c r="N16" s="7"/>
      <c r="O16" s="7"/>
      <c r="U16" s="7"/>
      <c r="V16" s="7"/>
    </row>
    <row r="17" spans="1:22">
      <c r="A17" s="99">
        <v>1988</v>
      </c>
      <c r="B17" s="18" t="s">
        <v>23</v>
      </c>
      <c r="C17" s="18" t="s">
        <v>23</v>
      </c>
      <c r="D17" s="18" t="s">
        <v>23</v>
      </c>
      <c r="E17" s="18">
        <v>2390</v>
      </c>
      <c r="F17" s="18">
        <v>13253</v>
      </c>
      <c r="G17" s="18">
        <v>20744</v>
      </c>
      <c r="H17" s="18">
        <v>6648</v>
      </c>
      <c r="I17" s="18">
        <v>832</v>
      </c>
      <c r="J17" s="18" t="s">
        <v>23</v>
      </c>
      <c r="K17" s="18" t="s">
        <v>23</v>
      </c>
      <c r="L17" s="24">
        <f t="shared" si="0"/>
        <v>43867</v>
      </c>
      <c r="M17" s="7"/>
      <c r="N17" s="7"/>
      <c r="O17" s="7"/>
      <c r="U17" s="7"/>
      <c r="V17" s="7"/>
    </row>
    <row r="18" spans="1:22">
      <c r="A18" s="99">
        <v>1989</v>
      </c>
      <c r="B18" s="18" t="s">
        <v>23</v>
      </c>
      <c r="C18" s="18" t="s">
        <v>23</v>
      </c>
      <c r="D18" s="18" t="s">
        <v>23</v>
      </c>
      <c r="E18" s="18">
        <v>1058</v>
      </c>
      <c r="F18" s="18">
        <v>7385</v>
      </c>
      <c r="G18" s="18">
        <v>18647</v>
      </c>
      <c r="H18" s="18">
        <v>6183</v>
      </c>
      <c r="I18" s="18">
        <v>332</v>
      </c>
      <c r="J18" s="18" t="s">
        <v>23</v>
      </c>
      <c r="K18" s="18" t="s">
        <v>23</v>
      </c>
      <c r="L18" s="24">
        <f t="shared" si="0"/>
        <v>33605</v>
      </c>
      <c r="M18" s="7"/>
      <c r="N18" s="7"/>
      <c r="O18" s="7"/>
      <c r="U18" s="7"/>
      <c r="V18" s="7"/>
    </row>
    <row r="19" spans="1:22">
      <c r="A19" s="99">
        <v>1990</v>
      </c>
      <c r="B19" s="18" t="s">
        <v>23</v>
      </c>
      <c r="C19" s="18" t="s">
        <v>23</v>
      </c>
      <c r="D19" s="18" t="s">
        <v>23</v>
      </c>
      <c r="E19" s="18">
        <v>554</v>
      </c>
      <c r="F19" s="18">
        <v>13783</v>
      </c>
      <c r="G19" s="18">
        <v>23936</v>
      </c>
      <c r="H19" s="18">
        <v>3832</v>
      </c>
      <c r="I19" s="18">
        <v>594</v>
      </c>
      <c r="J19" s="18" t="s">
        <v>23</v>
      </c>
      <c r="K19" s="18" t="s">
        <v>23</v>
      </c>
      <c r="L19" s="24">
        <f t="shared" si="0"/>
        <v>42699</v>
      </c>
      <c r="M19" s="7"/>
      <c r="N19" s="7"/>
      <c r="O19" s="7"/>
      <c r="U19" s="7"/>
      <c r="V19" s="7"/>
    </row>
    <row r="20" spans="1:22">
      <c r="A20" s="99">
        <v>1991</v>
      </c>
      <c r="B20" s="18" t="s">
        <v>23</v>
      </c>
      <c r="C20" s="18" t="s">
        <v>23</v>
      </c>
      <c r="D20" s="18" t="s">
        <v>23</v>
      </c>
      <c r="E20" s="18">
        <v>643</v>
      </c>
      <c r="F20" s="18">
        <v>8504</v>
      </c>
      <c r="G20" s="18">
        <v>14015</v>
      </c>
      <c r="H20" s="18">
        <v>748</v>
      </c>
      <c r="I20" s="18">
        <v>1661</v>
      </c>
      <c r="J20" s="18" t="s">
        <v>23</v>
      </c>
      <c r="K20" s="18" t="s">
        <v>23</v>
      </c>
      <c r="L20" s="24">
        <f t="shared" si="0"/>
        <v>25571</v>
      </c>
      <c r="M20" s="7"/>
      <c r="N20" s="7"/>
      <c r="O20" s="7"/>
      <c r="U20" s="7"/>
      <c r="V20" s="7"/>
    </row>
    <row r="21" spans="1:22">
      <c r="A21" s="99">
        <v>1992</v>
      </c>
      <c r="B21" s="18" t="s">
        <v>23</v>
      </c>
      <c r="C21" s="18" t="s">
        <v>23</v>
      </c>
      <c r="D21" s="18" t="s">
        <v>23</v>
      </c>
      <c r="E21" s="18" t="s">
        <v>23</v>
      </c>
      <c r="F21" s="18" t="s">
        <v>23</v>
      </c>
      <c r="G21" s="18">
        <v>7231</v>
      </c>
      <c r="H21" s="18" t="s">
        <v>23</v>
      </c>
      <c r="I21" s="18">
        <v>1833</v>
      </c>
      <c r="J21" s="18" t="s">
        <v>23</v>
      </c>
      <c r="K21" s="18" t="s">
        <v>23</v>
      </c>
      <c r="L21" s="24">
        <f t="shared" si="0"/>
        <v>9064</v>
      </c>
      <c r="M21" s="7"/>
      <c r="N21" s="7"/>
      <c r="O21" s="7"/>
      <c r="P21" s="7"/>
      <c r="Q21" s="7"/>
      <c r="S21" s="7"/>
      <c r="U21" s="7"/>
      <c r="V21" s="7"/>
    </row>
    <row r="22" spans="1:22">
      <c r="A22" s="99">
        <v>1993</v>
      </c>
      <c r="B22" s="18" t="s">
        <v>23</v>
      </c>
      <c r="C22" s="18" t="s">
        <v>23</v>
      </c>
      <c r="D22" s="18" t="s">
        <v>23</v>
      </c>
      <c r="E22" s="18">
        <v>1018</v>
      </c>
      <c r="F22" s="18">
        <v>979</v>
      </c>
      <c r="G22" s="18">
        <v>6503</v>
      </c>
      <c r="H22" s="18">
        <v>5836</v>
      </c>
      <c r="I22" s="18">
        <v>1066</v>
      </c>
      <c r="J22" s="18" t="s">
        <v>23</v>
      </c>
      <c r="K22" s="18" t="s">
        <v>23</v>
      </c>
      <c r="L22" s="24">
        <f t="shared" si="0"/>
        <v>15402</v>
      </c>
      <c r="M22" s="7"/>
      <c r="N22" s="7"/>
      <c r="O22" s="7"/>
      <c r="U22" s="7"/>
      <c r="V22" s="7"/>
    </row>
    <row r="23" spans="1:22">
      <c r="A23" s="99">
        <v>1994</v>
      </c>
      <c r="B23" s="18" t="s">
        <v>23</v>
      </c>
      <c r="C23" s="18" t="s">
        <v>23</v>
      </c>
      <c r="D23" s="18" t="s">
        <v>23</v>
      </c>
      <c r="E23" s="18">
        <v>5048</v>
      </c>
      <c r="F23" s="18">
        <v>2181</v>
      </c>
      <c r="G23" s="18" t="s">
        <v>23</v>
      </c>
      <c r="H23" s="18">
        <v>1591</v>
      </c>
      <c r="I23" s="18">
        <v>877</v>
      </c>
      <c r="J23" s="18" t="s">
        <v>23</v>
      </c>
      <c r="K23" s="18" t="s">
        <v>23</v>
      </c>
      <c r="L23" s="24">
        <f t="shared" si="0"/>
        <v>9697</v>
      </c>
      <c r="M23" s="7"/>
      <c r="N23" s="7"/>
      <c r="O23" s="7"/>
      <c r="R23" s="7"/>
      <c r="U23" s="7"/>
      <c r="V23" s="7"/>
    </row>
    <row r="24" spans="1:22">
      <c r="A24" s="99">
        <v>1995</v>
      </c>
      <c r="B24" s="18" t="s">
        <v>23</v>
      </c>
      <c r="C24" s="18" t="s">
        <v>23</v>
      </c>
      <c r="D24" s="18" t="s">
        <v>23</v>
      </c>
      <c r="E24" s="18">
        <v>2793</v>
      </c>
      <c r="F24" s="18">
        <v>5668</v>
      </c>
      <c r="G24" s="18" t="s">
        <v>23</v>
      </c>
      <c r="H24" s="18">
        <v>1099</v>
      </c>
      <c r="I24" s="18">
        <v>2376</v>
      </c>
      <c r="J24" s="18" t="s">
        <v>23</v>
      </c>
      <c r="K24" s="18" t="s">
        <v>23</v>
      </c>
      <c r="L24" s="24">
        <f t="shared" si="0"/>
        <v>11936</v>
      </c>
      <c r="M24" s="7"/>
      <c r="N24" s="7"/>
      <c r="O24" s="7"/>
      <c r="R24" s="7"/>
      <c r="U24" s="7"/>
      <c r="V24" s="7"/>
    </row>
    <row r="25" spans="1:22">
      <c r="A25" s="99">
        <v>1996</v>
      </c>
      <c r="B25" s="18" t="s">
        <v>23</v>
      </c>
      <c r="C25" s="18" t="s">
        <v>23</v>
      </c>
      <c r="D25" s="18" t="s">
        <v>23</v>
      </c>
      <c r="E25" s="18">
        <v>993</v>
      </c>
      <c r="F25" s="18">
        <v>5054</v>
      </c>
      <c r="G25" s="18">
        <v>2405</v>
      </c>
      <c r="H25" s="18">
        <v>2056</v>
      </c>
      <c r="I25" s="18">
        <v>806</v>
      </c>
      <c r="J25" s="18" t="s">
        <v>23</v>
      </c>
      <c r="K25" s="18" t="s">
        <v>23</v>
      </c>
      <c r="L25" s="24">
        <f t="shared" si="0"/>
        <v>11314</v>
      </c>
      <c r="M25" s="7"/>
      <c r="N25" s="7"/>
      <c r="O25" s="7"/>
      <c r="U25" s="7"/>
      <c r="V25" s="7"/>
    </row>
    <row r="26" spans="1:22">
      <c r="A26" s="99">
        <v>1997</v>
      </c>
      <c r="B26" s="18" t="s">
        <v>23</v>
      </c>
      <c r="C26" s="18" t="s">
        <v>23</v>
      </c>
      <c r="D26" s="18" t="s">
        <v>23</v>
      </c>
      <c r="E26" s="18">
        <v>920</v>
      </c>
      <c r="F26" s="18">
        <v>1724</v>
      </c>
      <c r="G26" s="18">
        <v>1533</v>
      </c>
      <c r="H26" s="18">
        <v>2242</v>
      </c>
      <c r="I26" s="18">
        <v>157</v>
      </c>
      <c r="J26" s="18" t="s">
        <v>23</v>
      </c>
      <c r="K26" s="18" t="s">
        <v>23</v>
      </c>
      <c r="L26" s="24">
        <f t="shared" si="0"/>
        <v>6576</v>
      </c>
      <c r="M26" s="7"/>
      <c r="N26" s="7"/>
      <c r="O26" s="7"/>
      <c r="U26" s="7"/>
      <c r="V26" s="7"/>
    </row>
    <row r="27" spans="1:22">
      <c r="A27" s="99">
        <v>1998</v>
      </c>
      <c r="B27" s="18" t="s">
        <v>23</v>
      </c>
      <c r="C27" s="18" t="s">
        <v>23</v>
      </c>
      <c r="D27" s="18" t="s">
        <v>23</v>
      </c>
      <c r="E27" s="18">
        <v>705</v>
      </c>
      <c r="F27" s="18">
        <v>1527</v>
      </c>
      <c r="G27" s="18">
        <v>455</v>
      </c>
      <c r="H27" s="18">
        <v>565</v>
      </c>
      <c r="I27" s="18">
        <v>50</v>
      </c>
      <c r="J27" s="18" t="s">
        <v>23</v>
      </c>
      <c r="K27" s="18" t="s">
        <v>23</v>
      </c>
      <c r="L27" s="24">
        <f t="shared" si="0"/>
        <v>3302</v>
      </c>
      <c r="M27" s="7"/>
      <c r="N27" s="7"/>
      <c r="O27" s="7"/>
      <c r="U27" s="7"/>
      <c r="V27" s="7"/>
    </row>
    <row r="28" spans="1:22">
      <c r="A28" s="99">
        <v>1999</v>
      </c>
      <c r="B28" s="18" t="s">
        <v>23</v>
      </c>
      <c r="C28" s="18" t="s">
        <v>23</v>
      </c>
      <c r="D28" s="18" t="s">
        <v>23</v>
      </c>
      <c r="E28" s="18">
        <v>12</v>
      </c>
      <c r="F28" s="18">
        <v>1532</v>
      </c>
      <c r="G28" s="18">
        <v>802</v>
      </c>
      <c r="H28" s="18">
        <v>3068</v>
      </c>
      <c r="I28" s="18">
        <v>428</v>
      </c>
      <c r="J28" s="18" t="s">
        <v>23</v>
      </c>
      <c r="K28" s="18" t="s">
        <v>23</v>
      </c>
      <c r="L28" s="24">
        <f t="shared" si="0"/>
        <v>5842</v>
      </c>
      <c r="M28" s="7"/>
      <c r="N28" s="7"/>
      <c r="O28" s="7"/>
      <c r="P28" s="7"/>
      <c r="U28" s="7"/>
      <c r="V28" s="7"/>
    </row>
    <row r="29" spans="1:22">
      <c r="A29" s="99">
        <v>2000</v>
      </c>
      <c r="B29" s="18" t="s">
        <v>23</v>
      </c>
      <c r="C29" s="18" t="s">
        <v>23</v>
      </c>
      <c r="D29" s="18" t="s">
        <v>23</v>
      </c>
      <c r="E29" s="18">
        <v>144</v>
      </c>
      <c r="F29" s="18">
        <v>1762</v>
      </c>
      <c r="G29" s="18">
        <v>2103</v>
      </c>
      <c r="H29" s="18">
        <v>2988</v>
      </c>
      <c r="I29" s="18">
        <v>213</v>
      </c>
      <c r="J29" s="18" t="s">
        <v>23</v>
      </c>
      <c r="K29" s="18" t="s">
        <v>23</v>
      </c>
      <c r="L29" s="24">
        <f t="shared" si="0"/>
        <v>7210</v>
      </c>
      <c r="M29" s="7"/>
      <c r="N29" s="7"/>
      <c r="O29" s="7"/>
      <c r="U29" s="7"/>
      <c r="V29" s="7"/>
    </row>
    <row r="30" spans="1:22">
      <c r="A30" s="99">
        <v>2001</v>
      </c>
      <c r="B30" s="18" t="s">
        <v>23</v>
      </c>
      <c r="C30" s="18" t="s">
        <v>23</v>
      </c>
      <c r="D30" s="18" t="s">
        <v>23</v>
      </c>
      <c r="E30" s="18">
        <v>881</v>
      </c>
      <c r="F30" s="18">
        <v>2141</v>
      </c>
      <c r="G30" s="18">
        <v>3011</v>
      </c>
      <c r="H30" s="18">
        <v>2339</v>
      </c>
      <c r="I30" s="18">
        <v>273</v>
      </c>
      <c r="J30" s="18" t="s">
        <v>23</v>
      </c>
      <c r="K30" s="18" t="s">
        <v>23</v>
      </c>
      <c r="L30" s="24">
        <f t="shared" si="0"/>
        <v>8645</v>
      </c>
      <c r="M30" s="7"/>
      <c r="N30" s="7"/>
      <c r="O30" s="7"/>
      <c r="U30" s="7"/>
      <c r="V30" s="7"/>
    </row>
    <row r="31" spans="1:22">
      <c r="A31" s="99">
        <v>2002</v>
      </c>
      <c r="B31" s="18" t="s">
        <v>23</v>
      </c>
      <c r="C31" s="18" t="s">
        <v>23</v>
      </c>
      <c r="D31" s="18" t="s">
        <v>23</v>
      </c>
      <c r="E31" s="18">
        <v>1036</v>
      </c>
      <c r="F31" s="18">
        <v>1131</v>
      </c>
      <c r="G31" s="18">
        <v>132</v>
      </c>
      <c r="H31" s="18">
        <v>1333</v>
      </c>
      <c r="I31" s="18">
        <v>237</v>
      </c>
      <c r="J31" s="18" t="s">
        <v>23</v>
      </c>
      <c r="K31" s="18" t="s">
        <v>23</v>
      </c>
      <c r="L31" s="24">
        <f t="shared" si="0"/>
        <v>3869</v>
      </c>
      <c r="M31" s="7"/>
      <c r="N31" s="7"/>
      <c r="O31" s="7"/>
      <c r="U31" s="7"/>
      <c r="V31" s="7"/>
    </row>
    <row r="32" spans="1:22">
      <c r="A32" s="99">
        <v>2003</v>
      </c>
      <c r="B32" s="18" t="s">
        <v>23</v>
      </c>
      <c r="C32" s="18" t="s">
        <v>23</v>
      </c>
      <c r="D32" s="18" t="s">
        <v>23</v>
      </c>
      <c r="E32" s="18">
        <v>319</v>
      </c>
      <c r="F32" s="18">
        <v>521</v>
      </c>
      <c r="G32" s="18">
        <v>521</v>
      </c>
      <c r="H32" s="18">
        <v>493</v>
      </c>
      <c r="I32" s="18">
        <v>340</v>
      </c>
      <c r="J32" s="18" t="s">
        <v>23</v>
      </c>
      <c r="K32" s="18" t="s">
        <v>23</v>
      </c>
      <c r="L32" s="24">
        <f t="shared" si="0"/>
        <v>2194</v>
      </c>
      <c r="M32" s="7"/>
      <c r="N32" s="7"/>
      <c r="O32" s="7"/>
      <c r="U32" s="7"/>
      <c r="V32" s="7"/>
    </row>
    <row r="33" spans="1:22">
      <c r="A33" s="99">
        <v>2004</v>
      </c>
      <c r="B33" s="18" t="s">
        <v>23</v>
      </c>
      <c r="C33" s="18" t="s">
        <v>23</v>
      </c>
      <c r="D33" s="18" t="s">
        <v>23</v>
      </c>
      <c r="E33" s="18">
        <v>603</v>
      </c>
      <c r="F33" s="18">
        <v>604</v>
      </c>
      <c r="G33" s="18">
        <v>689</v>
      </c>
      <c r="H33" s="18">
        <v>843</v>
      </c>
      <c r="I33" s="18">
        <v>413</v>
      </c>
      <c r="J33" s="134" t="s">
        <v>168</v>
      </c>
      <c r="K33" s="18" t="s">
        <v>23</v>
      </c>
      <c r="L33" s="24">
        <f t="shared" si="0"/>
        <v>3152</v>
      </c>
      <c r="M33" s="7"/>
      <c r="N33" s="7"/>
      <c r="O33" s="7"/>
      <c r="U33" s="7"/>
      <c r="V33" s="7"/>
    </row>
    <row r="34" spans="1:22">
      <c r="A34" s="99">
        <v>2005</v>
      </c>
      <c r="B34" s="18" t="s">
        <v>23</v>
      </c>
      <c r="C34" s="18" t="s">
        <v>23</v>
      </c>
      <c r="D34" s="18" t="s">
        <v>23</v>
      </c>
      <c r="E34" s="18">
        <v>131</v>
      </c>
      <c r="F34" s="18">
        <v>794</v>
      </c>
      <c r="G34" s="18">
        <v>492</v>
      </c>
      <c r="H34" s="18">
        <v>904</v>
      </c>
      <c r="I34" s="18">
        <v>181</v>
      </c>
      <c r="J34" s="18" t="s">
        <v>23</v>
      </c>
      <c r="K34" s="18" t="s">
        <v>23</v>
      </c>
      <c r="L34" s="24">
        <f t="shared" si="0"/>
        <v>2502</v>
      </c>
      <c r="M34" s="7"/>
      <c r="N34" s="7"/>
      <c r="O34" s="7"/>
      <c r="U34" s="7"/>
      <c r="V34" s="7"/>
    </row>
    <row r="35" spans="1:22">
      <c r="A35" s="99">
        <v>2006</v>
      </c>
      <c r="B35" s="18" t="s">
        <v>23</v>
      </c>
      <c r="C35" s="18" t="s">
        <v>23</v>
      </c>
      <c r="D35" s="18" t="s">
        <v>23</v>
      </c>
      <c r="E35" s="18">
        <v>325</v>
      </c>
      <c r="F35" s="18">
        <v>754</v>
      </c>
      <c r="G35" s="18">
        <v>312</v>
      </c>
      <c r="H35" s="18" t="s">
        <v>23</v>
      </c>
      <c r="I35" s="18">
        <v>87</v>
      </c>
      <c r="J35" s="18" t="s">
        <v>23</v>
      </c>
      <c r="K35" s="18" t="s">
        <v>23</v>
      </c>
      <c r="L35" s="24">
        <v>1478</v>
      </c>
      <c r="M35" s="7"/>
      <c r="N35" s="7"/>
      <c r="O35" s="7"/>
      <c r="U35" s="7"/>
      <c r="V35" s="7"/>
    </row>
    <row r="36" spans="1:22">
      <c r="A36" s="99">
        <v>2007</v>
      </c>
      <c r="B36" s="18" t="s">
        <v>23</v>
      </c>
      <c r="C36" s="18" t="s">
        <v>23</v>
      </c>
      <c r="D36" s="18" t="s">
        <v>23</v>
      </c>
      <c r="E36" s="18">
        <v>277</v>
      </c>
      <c r="F36" s="18">
        <v>484</v>
      </c>
      <c r="G36" s="18">
        <v>1027</v>
      </c>
      <c r="H36" s="18">
        <v>225</v>
      </c>
      <c r="I36" s="18">
        <v>69</v>
      </c>
      <c r="J36" s="18" t="s">
        <v>23</v>
      </c>
      <c r="K36" s="18" t="s">
        <v>23</v>
      </c>
      <c r="L36" s="24">
        <f>SUM(B36:K36)</f>
        <v>2082</v>
      </c>
      <c r="M36" s="7"/>
      <c r="N36" s="7"/>
      <c r="O36" s="7"/>
      <c r="U36" s="7"/>
      <c r="V36" s="7"/>
    </row>
    <row r="37" spans="1:22">
      <c r="A37" s="99">
        <v>2008</v>
      </c>
      <c r="B37" s="18" t="s">
        <v>23</v>
      </c>
      <c r="C37" s="18" t="s">
        <v>23</v>
      </c>
      <c r="D37" s="18" t="s">
        <v>23</v>
      </c>
      <c r="E37" s="18" t="s">
        <v>23</v>
      </c>
      <c r="F37" s="18" t="s">
        <v>23</v>
      </c>
      <c r="G37" s="18" t="s">
        <v>23</v>
      </c>
      <c r="H37" s="18" t="s">
        <v>23</v>
      </c>
      <c r="I37" s="18" t="s">
        <v>23</v>
      </c>
      <c r="J37" s="18" t="s">
        <v>23</v>
      </c>
      <c r="K37" s="18" t="s">
        <v>23</v>
      </c>
      <c r="L37" s="24" t="s">
        <v>23</v>
      </c>
      <c r="M37" s="7"/>
      <c r="N37" s="7"/>
      <c r="O37" s="7"/>
      <c r="U37" s="7"/>
      <c r="V37" s="7"/>
    </row>
    <row r="38" spans="1:22">
      <c r="A38" s="99">
        <v>2009</v>
      </c>
      <c r="B38" s="18" t="s">
        <v>23</v>
      </c>
      <c r="C38" s="18" t="s">
        <v>23</v>
      </c>
      <c r="D38" s="18" t="s">
        <v>23</v>
      </c>
      <c r="E38" s="18" t="s">
        <v>23</v>
      </c>
      <c r="F38" s="18" t="s">
        <v>23</v>
      </c>
      <c r="G38" s="18" t="s">
        <v>23</v>
      </c>
      <c r="H38" s="18">
        <v>498</v>
      </c>
      <c r="I38" s="18">
        <v>607</v>
      </c>
      <c r="J38" s="18" t="s">
        <v>23</v>
      </c>
      <c r="K38" s="18" t="s">
        <v>23</v>
      </c>
      <c r="L38" s="24">
        <f t="shared" ref="L38:L43" si="1">SUM(B38:K38)</f>
        <v>1105</v>
      </c>
      <c r="M38" s="7"/>
      <c r="N38" s="7"/>
      <c r="O38" s="7"/>
      <c r="U38" s="7"/>
      <c r="V38" s="7"/>
    </row>
    <row r="39" spans="1:22">
      <c r="A39" s="99">
        <v>2010</v>
      </c>
      <c r="B39" s="18" t="s">
        <v>23</v>
      </c>
      <c r="C39" s="18" t="s">
        <v>23</v>
      </c>
      <c r="D39" s="18" t="s">
        <v>23</v>
      </c>
      <c r="E39" s="18">
        <v>72</v>
      </c>
      <c r="F39" s="18">
        <v>38</v>
      </c>
      <c r="G39" s="18">
        <v>48</v>
      </c>
      <c r="H39" s="18">
        <v>33</v>
      </c>
      <c r="I39" s="18">
        <v>15</v>
      </c>
      <c r="J39" s="18" t="s">
        <v>23</v>
      </c>
      <c r="K39" s="18" t="s">
        <v>23</v>
      </c>
      <c r="L39" s="24">
        <f t="shared" si="1"/>
        <v>206</v>
      </c>
      <c r="M39" s="7"/>
      <c r="N39" s="7"/>
      <c r="O39" s="7"/>
      <c r="U39" s="7"/>
      <c r="V39" s="7"/>
    </row>
    <row r="40" spans="1:22">
      <c r="A40" s="99">
        <v>2011</v>
      </c>
      <c r="B40" s="18" t="s">
        <v>23</v>
      </c>
      <c r="C40" s="18" t="s">
        <v>23</v>
      </c>
      <c r="D40" s="18" t="s">
        <v>23</v>
      </c>
      <c r="E40" s="18">
        <v>187</v>
      </c>
      <c r="F40" s="18">
        <v>104</v>
      </c>
      <c r="G40" s="18">
        <v>245</v>
      </c>
      <c r="H40" s="18">
        <v>185</v>
      </c>
      <c r="I40" s="18">
        <v>45</v>
      </c>
      <c r="J40" s="18" t="s">
        <v>23</v>
      </c>
      <c r="K40" s="18" t="s">
        <v>23</v>
      </c>
      <c r="L40" s="24">
        <f t="shared" si="1"/>
        <v>766</v>
      </c>
      <c r="M40" s="7"/>
      <c r="N40" s="7"/>
      <c r="O40" s="7"/>
      <c r="U40" s="7"/>
      <c r="V40" s="7"/>
    </row>
    <row r="41" spans="1:22">
      <c r="A41" s="99">
        <v>2012</v>
      </c>
      <c r="B41" s="18" t="s">
        <v>23</v>
      </c>
      <c r="C41" s="18" t="s">
        <v>23</v>
      </c>
      <c r="D41" s="18" t="s">
        <v>23</v>
      </c>
      <c r="E41" s="18">
        <v>455</v>
      </c>
      <c r="F41" s="18">
        <v>1018</v>
      </c>
      <c r="G41" s="18">
        <v>4134</v>
      </c>
      <c r="H41" s="18">
        <v>1702</v>
      </c>
      <c r="I41" s="18">
        <v>502</v>
      </c>
      <c r="J41" s="18" t="s">
        <v>23</v>
      </c>
      <c r="K41" s="18" t="s">
        <v>23</v>
      </c>
      <c r="L41" s="24">
        <f t="shared" si="1"/>
        <v>7811</v>
      </c>
      <c r="M41" s="7"/>
      <c r="N41" s="7"/>
      <c r="O41" s="7"/>
      <c r="U41" s="7"/>
      <c r="V41" s="7"/>
    </row>
    <row r="42" spans="1:22">
      <c r="A42" s="99">
        <v>2013</v>
      </c>
      <c r="B42" s="18" t="s">
        <v>23</v>
      </c>
      <c r="C42" s="18" t="s">
        <v>23</v>
      </c>
      <c r="D42" s="18" t="s">
        <v>23</v>
      </c>
      <c r="E42" s="18">
        <v>456</v>
      </c>
      <c r="F42" s="18">
        <v>2538</v>
      </c>
      <c r="G42" s="18">
        <v>3228</v>
      </c>
      <c r="H42" s="18">
        <v>816</v>
      </c>
      <c r="I42" s="18">
        <v>0</v>
      </c>
      <c r="J42" s="18" t="s">
        <v>23</v>
      </c>
      <c r="K42" s="18" t="s">
        <v>23</v>
      </c>
      <c r="L42" s="24">
        <f t="shared" si="1"/>
        <v>7038</v>
      </c>
      <c r="O42" s="7"/>
      <c r="U42" s="7"/>
      <c r="V42" s="7"/>
    </row>
    <row r="43" spans="1:22">
      <c r="A43" s="99">
        <v>2014</v>
      </c>
      <c r="B43" s="18" t="s">
        <v>23</v>
      </c>
      <c r="C43" s="18" t="s">
        <v>23</v>
      </c>
      <c r="D43" s="18" t="s">
        <v>23</v>
      </c>
      <c r="E43" s="18">
        <v>1441</v>
      </c>
      <c r="F43" s="18">
        <v>786</v>
      </c>
      <c r="G43" s="18">
        <v>1996</v>
      </c>
      <c r="H43" s="18">
        <v>172</v>
      </c>
      <c r="I43" s="18">
        <v>10</v>
      </c>
      <c r="J43" s="18" t="s">
        <v>23</v>
      </c>
      <c r="K43" s="18" t="s">
        <v>23</v>
      </c>
      <c r="L43" s="24">
        <f t="shared" si="1"/>
        <v>4405</v>
      </c>
      <c r="O43" s="7"/>
      <c r="U43" s="7"/>
      <c r="V43" s="7"/>
    </row>
    <row r="44" spans="1:22">
      <c r="A44" s="99">
        <v>2015</v>
      </c>
      <c r="B44" s="18" t="s">
        <v>23</v>
      </c>
      <c r="C44" s="18" t="s">
        <v>23</v>
      </c>
      <c r="D44" s="18" t="s">
        <v>23</v>
      </c>
      <c r="E44" s="18">
        <v>210</v>
      </c>
      <c r="F44" s="18">
        <v>89</v>
      </c>
      <c r="G44" s="18">
        <v>161</v>
      </c>
      <c r="H44" s="18">
        <v>137</v>
      </c>
      <c r="I44" s="18">
        <v>44</v>
      </c>
      <c r="J44" s="18" t="s">
        <v>23</v>
      </c>
      <c r="K44" s="18" t="s">
        <v>23</v>
      </c>
      <c r="L44" s="24">
        <f>SUM(B44:K44)</f>
        <v>641</v>
      </c>
      <c r="O44" s="7"/>
      <c r="U44" s="7"/>
      <c r="V44" s="7"/>
    </row>
    <row r="45" spans="1:22">
      <c r="A45" s="99">
        <v>2016</v>
      </c>
      <c r="B45" s="18" t="s">
        <v>23</v>
      </c>
      <c r="C45" s="18" t="s">
        <v>23</v>
      </c>
      <c r="D45" s="18" t="s">
        <v>23</v>
      </c>
      <c r="E45" s="18">
        <v>59</v>
      </c>
      <c r="F45" s="18">
        <v>222</v>
      </c>
      <c r="G45" s="18">
        <v>176</v>
      </c>
      <c r="H45" s="18">
        <v>56</v>
      </c>
      <c r="I45" s="18">
        <v>50</v>
      </c>
      <c r="J45" s="18" t="s">
        <v>23</v>
      </c>
      <c r="K45" s="18" t="s">
        <v>23</v>
      </c>
      <c r="L45" s="24">
        <f>SUM(B45:K45)</f>
        <v>563</v>
      </c>
      <c r="O45" s="7"/>
      <c r="U45" s="7"/>
      <c r="V45" s="7"/>
    </row>
    <row r="46" spans="1:22">
      <c r="A46" s="99">
        <v>2017</v>
      </c>
      <c r="B46" s="18" t="s">
        <v>23</v>
      </c>
      <c r="C46" s="18" t="s">
        <v>23</v>
      </c>
      <c r="D46" s="18" t="s">
        <v>23</v>
      </c>
      <c r="E46" s="18" t="s">
        <v>23</v>
      </c>
      <c r="F46" s="18" t="s">
        <v>23</v>
      </c>
      <c r="G46" s="18" t="s">
        <v>23</v>
      </c>
      <c r="H46" s="18" t="s">
        <v>23</v>
      </c>
      <c r="I46" s="18" t="s">
        <v>23</v>
      </c>
      <c r="J46" s="18" t="s">
        <v>23</v>
      </c>
      <c r="K46" s="18" t="s">
        <v>23</v>
      </c>
      <c r="L46" s="18" t="s">
        <v>23</v>
      </c>
      <c r="O46" s="7"/>
      <c r="U46" s="7"/>
      <c r="V46" s="7"/>
    </row>
    <row r="47" spans="1:22">
      <c r="A47" s="99">
        <v>2018</v>
      </c>
      <c r="B47" s="18" t="s">
        <v>23</v>
      </c>
      <c r="C47" s="18" t="s">
        <v>23</v>
      </c>
      <c r="D47" s="18" t="s">
        <v>23</v>
      </c>
      <c r="E47" s="18" t="s">
        <v>23</v>
      </c>
      <c r="F47" s="18">
        <v>359</v>
      </c>
      <c r="G47" s="18">
        <v>673</v>
      </c>
      <c r="H47" s="18">
        <v>328</v>
      </c>
      <c r="I47" s="18">
        <v>3</v>
      </c>
      <c r="J47" s="18" t="s">
        <v>23</v>
      </c>
      <c r="K47" s="18" t="s">
        <v>23</v>
      </c>
      <c r="L47" s="24">
        <f>SUM(B47:K47)</f>
        <v>1363</v>
      </c>
      <c r="O47" s="7"/>
      <c r="U47" s="7"/>
      <c r="V47" s="7"/>
    </row>
    <row r="48" spans="1:22">
      <c r="A48" s="239">
        <v>2019</v>
      </c>
      <c r="B48" s="18" t="s">
        <v>23</v>
      </c>
      <c r="C48" s="18" t="s">
        <v>23</v>
      </c>
      <c r="D48" s="18" t="s">
        <v>23</v>
      </c>
      <c r="E48" s="18">
        <v>15</v>
      </c>
      <c r="F48" s="18">
        <v>137</v>
      </c>
      <c r="G48" s="18">
        <v>279</v>
      </c>
      <c r="H48" s="18">
        <v>56</v>
      </c>
      <c r="I48" s="18">
        <v>24</v>
      </c>
      <c r="J48" s="18" t="s">
        <v>23</v>
      </c>
      <c r="K48" s="18" t="s">
        <v>23</v>
      </c>
      <c r="L48" s="24">
        <f>SUM(B48:K48)</f>
        <v>511</v>
      </c>
      <c r="O48" s="7"/>
      <c r="U48" s="7"/>
      <c r="V48" s="7"/>
    </row>
    <row r="49" spans="1:22" ht="13">
      <c r="A49" s="239" t="s">
        <v>343</v>
      </c>
      <c r="B49" s="18" t="s">
        <v>23</v>
      </c>
      <c r="C49" s="18" t="s">
        <v>23</v>
      </c>
      <c r="D49" s="18" t="s">
        <v>23</v>
      </c>
      <c r="E49" s="18" t="s">
        <v>23</v>
      </c>
      <c r="F49" s="18" t="s">
        <v>106</v>
      </c>
      <c r="G49" s="18">
        <v>801</v>
      </c>
      <c r="H49" s="18">
        <v>386</v>
      </c>
      <c r="I49" s="18" t="s">
        <v>23</v>
      </c>
      <c r="J49" s="18" t="s">
        <v>23</v>
      </c>
      <c r="K49" s="18" t="s">
        <v>23</v>
      </c>
      <c r="L49" s="24">
        <f>SUM(B49:K49)</f>
        <v>1187</v>
      </c>
      <c r="O49" s="7"/>
      <c r="U49" s="7"/>
      <c r="V49" s="7"/>
    </row>
    <row r="50" spans="1:22" ht="13">
      <c r="A50" s="239" t="s">
        <v>317</v>
      </c>
      <c r="B50" s="18" t="s">
        <v>23</v>
      </c>
      <c r="C50" s="18" t="s">
        <v>23</v>
      </c>
      <c r="D50" s="18" t="s">
        <v>23</v>
      </c>
      <c r="E50" s="18" t="s">
        <v>23</v>
      </c>
      <c r="F50" s="18">
        <v>244</v>
      </c>
      <c r="G50" s="18">
        <v>427</v>
      </c>
      <c r="H50" s="18">
        <v>4</v>
      </c>
      <c r="I50" s="18" t="s">
        <v>23</v>
      </c>
      <c r="J50" s="18" t="s">
        <v>23</v>
      </c>
      <c r="K50" s="18" t="s">
        <v>23</v>
      </c>
      <c r="L50" s="24">
        <f>SUM(B50:K50)</f>
        <v>675</v>
      </c>
      <c r="O50" s="7"/>
      <c r="U50" s="7"/>
      <c r="V50" s="7"/>
    </row>
    <row r="51" spans="1:22">
      <c r="B51" s="18"/>
      <c r="C51" s="18"/>
      <c r="D51" s="18"/>
      <c r="E51" s="18"/>
      <c r="F51" s="18"/>
      <c r="G51" s="18"/>
      <c r="H51" s="18"/>
      <c r="I51" s="18"/>
      <c r="J51" s="18"/>
      <c r="K51" s="18"/>
    </row>
    <row r="52" spans="1:22">
      <c r="A52" s="94" t="s">
        <v>17</v>
      </c>
      <c r="B52" s="18"/>
      <c r="C52" s="18"/>
      <c r="D52" s="18"/>
      <c r="E52" s="18"/>
      <c r="F52" s="18"/>
      <c r="G52" s="18"/>
      <c r="H52" s="18"/>
      <c r="I52" s="18"/>
      <c r="J52" s="18"/>
      <c r="K52" s="18"/>
    </row>
    <row r="53" spans="1:22">
      <c r="A53" s="99">
        <v>1976</v>
      </c>
      <c r="B53" s="134" t="s">
        <v>106</v>
      </c>
      <c r="C53" s="134" t="s">
        <v>106</v>
      </c>
      <c r="D53" s="18">
        <v>0</v>
      </c>
      <c r="E53" s="18">
        <v>67</v>
      </c>
      <c r="F53" s="18">
        <v>9950</v>
      </c>
      <c r="G53" s="18">
        <v>13662</v>
      </c>
      <c r="H53" s="18">
        <v>6276</v>
      </c>
      <c r="I53" s="18">
        <v>535</v>
      </c>
      <c r="J53" s="18">
        <v>0</v>
      </c>
      <c r="K53" s="18">
        <v>0</v>
      </c>
      <c r="L53" s="24">
        <f t="shared" ref="L53:L82" si="2">SUM(B53:K53)</f>
        <v>30490</v>
      </c>
    </row>
    <row r="54" spans="1:22">
      <c r="A54" s="99">
        <v>1977</v>
      </c>
      <c r="B54" s="134" t="s">
        <v>106</v>
      </c>
      <c r="C54" s="134" t="s">
        <v>106</v>
      </c>
      <c r="D54" s="18">
        <v>0</v>
      </c>
      <c r="E54" s="18">
        <v>1404</v>
      </c>
      <c r="F54" s="18">
        <v>3240</v>
      </c>
      <c r="G54" s="18">
        <v>13538</v>
      </c>
      <c r="H54" s="18">
        <v>8144</v>
      </c>
      <c r="I54" s="18">
        <v>378</v>
      </c>
      <c r="J54" s="18">
        <v>1</v>
      </c>
      <c r="K54" s="18">
        <v>0</v>
      </c>
      <c r="L54" s="24">
        <f t="shared" si="2"/>
        <v>26705</v>
      </c>
    </row>
    <row r="55" spans="1:22">
      <c r="A55" s="99">
        <v>1978</v>
      </c>
      <c r="B55" s="134" t="s">
        <v>106</v>
      </c>
      <c r="C55" s="134" t="s">
        <v>106</v>
      </c>
      <c r="D55" s="18">
        <v>0</v>
      </c>
      <c r="E55" s="18">
        <v>0</v>
      </c>
      <c r="F55" s="18">
        <v>4929</v>
      </c>
      <c r="G55" s="18">
        <v>11565</v>
      </c>
      <c r="H55" s="18">
        <v>4524</v>
      </c>
      <c r="I55" s="18">
        <v>148</v>
      </c>
      <c r="J55" s="18">
        <v>0</v>
      </c>
      <c r="K55" s="18">
        <v>0</v>
      </c>
      <c r="L55" s="24">
        <f t="shared" si="2"/>
        <v>21166</v>
      </c>
    </row>
    <row r="56" spans="1:22">
      <c r="A56" s="99">
        <v>1979</v>
      </c>
      <c r="B56" s="134" t="s">
        <v>106</v>
      </c>
      <c r="C56" s="134" t="s">
        <v>106</v>
      </c>
      <c r="D56" s="18">
        <v>15</v>
      </c>
      <c r="E56" s="18">
        <v>105</v>
      </c>
      <c r="F56" s="18">
        <v>4594</v>
      </c>
      <c r="G56" s="18">
        <v>8346</v>
      </c>
      <c r="H56" s="18">
        <v>4788</v>
      </c>
      <c r="I56" s="18">
        <v>100</v>
      </c>
      <c r="J56" s="18">
        <v>60</v>
      </c>
      <c r="K56" s="18" t="s">
        <v>23</v>
      </c>
      <c r="L56" s="24">
        <f t="shared" si="2"/>
        <v>18008</v>
      </c>
    </row>
    <row r="57" spans="1:22">
      <c r="A57" s="99">
        <v>1980</v>
      </c>
      <c r="B57" s="134" t="s">
        <v>106</v>
      </c>
      <c r="C57" s="134" t="s">
        <v>106</v>
      </c>
      <c r="D57" s="18">
        <v>0</v>
      </c>
      <c r="E57" s="18">
        <v>0</v>
      </c>
      <c r="F57" s="18">
        <v>3746</v>
      </c>
      <c r="G57" s="18">
        <v>15762</v>
      </c>
      <c r="H57" s="18">
        <v>2997</v>
      </c>
      <c r="I57" s="18">
        <v>589</v>
      </c>
      <c r="J57" s="18">
        <v>0</v>
      </c>
      <c r="K57" s="18" t="s">
        <v>23</v>
      </c>
      <c r="L57" s="24">
        <f t="shared" si="2"/>
        <v>23094</v>
      </c>
    </row>
    <row r="58" spans="1:22">
      <c r="A58" s="99">
        <v>1981</v>
      </c>
      <c r="B58" s="134" t="s">
        <v>106</v>
      </c>
      <c r="C58" s="134" t="s">
        <v>106</v>
      </c>
      <c r="D58" s="18">
        <v>0</v>
      </c>
      <c r="E58" s="18">
        <v>10</v>
      </c>
      <c r="F58" s="18">
        <v>2667</v>
      </c>
      <c r="G58" s="18">
        <v>8591</v>
      </c>
      <c r="H58" s="18">
        <v>4934</v>
      </c>
      <c r="I58" s="18">
        <v>77</v>
      </c>
      <c r="J58" s="18">
        <v>0</v>
      </c>
      <c r="K58" s="18">
        <v>0</v>
      </c>
      <c r="L58" s="24">
        <f t="shared" si="2"/>
        <v>16279</v>
      </c>
    </row>
    <row r="59" spans="1:22">
      <c r="A59" s="99">
        <v>1982</v>
      </c>
      <c r="B59" s="134" t="s">
        <v>106</v>
      </c>
      <c r="C59" s="134" t="s">
        <v>106</v>
      </c>
      <c r="D59" s="18">
        <v>0</v>
      </c>
      <c r="E59" s="18">
        <v>0</v>
      </c>
      <c r="F59" s="18">
        <v>7415</v>
      </c>
      <c r="G59" s="18">
        <v>10584</v>
      </c>
      <c r="H59" s="18">
        <v>4493</v>
      </c>
      <c r="I59" s="18">
        <v>275</v>
      </c>
      <c r="J59" s="18">
        <v>0</v>
      </c>
      <c r="K59" s="18">
        <v>0</v>
      </c>
      <c r="L59" s="24">
        <f t="shared" si="2"/>
        <v>22767</v>
      </c>
    </row>
    <row r="60" spans="1:22">
      <c r="A60" s="99">
        <v>1983</v>
      </c>
      <c r="B60" s="134" t="s">
        <v>106</v>
      </c>
      <c r="C60" s="134" t="s">
        <v>106</v>
      </c>
      <c r="D60" s="18">
        <v>0</v>
      </c>
      <c r="E60" s="18">
        <v>13</v>
      </c>
      <c r="F60" s="18">
        <v>6344</v>
      </c>
      <c r="G60" s="18">
        <v>11019</v>
      </c>
      <c r="H60" s="18">
        <v>4447</v>
      </c>
      <c r="I60" s="18">
        <v>966</v>
      </c>
      <c r="J60" s="18">
        <v>59</v>
      </c>
      <c r="K60" s="18">
        <v>0</v>
      </c>
      <c r="L60" s="24">
        <f t="shared" si="2"/>
        <v>22848</v>
      </c>
    </row>
    <row r="61" spans="1:22">
      <c r="A61" s="99">
        <v>1984</v>
      </c>
      <c r="B61" s="134" t="s">
        <v>106</v>
      </c>
      <c r="C61" s="134" t="s">
        <v>106</v>
      </c>
      <c r="D61" s="18">
        <v>0</v>
      </c>
      <c r="E61" s="18">
        <v>4</v>
      </c>
      <c r="F61" s="18">
        <v>920</v>
      </c>
      <c r="G61" s="18">
        <v>13153</v>
      </c>
      <c r="H61" s="18">
        <v>4176</v>
      </c>
      <c r="I61" s="18">
        <v>512</v>
      </c>
      <c r="J61" s="18">
        <v>10</v>
      </c>
      <c r="K61" s="18">
        <v>0</v>
      </c>
      <c r="L61" s="24">
        <f t="shared" si="2"/>
        <v>18775</v>
      </c>
    </row>
    <row r="62" spans="1:22">
      <c r="A62" s="99">
        <v>1985</v>
      </c>
      <c r="B62" s="134" t="s">
        <v>106</v>
      </c>
      <c r="C62" s="134" t="s">
        <v>106</v>
      </c>
      <c r="D62" s="18">
        <v>3</v>
      </c>
      <c r="E62" s="18">
        <v>6083</v>
      </c>
      <c r="F62" s="18">
        <v>6354</v>
      </c>
      <c r="G62" s="18">
        <v>15275</v>
      </c>
      <c r="H62" s="18">
        <v>6522</v>
      </c>
      <c r="I62" s="18">
        <v>635</v>
      </c>
      <c r="J62" s="18">
        <v>0</v>
      </c>
      <c r="K62" s="18">
        <v>0</v>
      </c>
      <c r="L62" s="24">
        <f t="shared" si="2"/>
        <v>34872</v>
      </c>
    </row>
    <row r="63" spans="1:22">
      <c r="A63" s="99">
        <v>1986</v>
      </c>
      <c r="B63" s="134" t="s">
        <v>106</v>
      </c>
      <c r="C63" s="134" t="s">
        <v>106</v>
      </c>
      <c r="D63" s="18" t="s">
        <v>23</v>
      </c>
      <c r="E63" s="18">
        <v>1115</v>
      </c>
      <c r="F63" s="18">
        <v>7529</v>
      </c>
      <c r="G63" s="18">
        <v>12689</v>
      </c>
      <c r="H63" s="18">
        <v>7227</v>
      </c>
      <c r="I63" s="18">
        <v>340</v>
      </c>
      <c r="J63" s="18" t="s">
        <v>23</v>
      </c>
      <c r="K63" s="18" t="s">
        <v>23</v>
      </c>
      <c r="L63" s="24">
        <f t="shared" si="2"/>
        <v>28900</v>
      </c>
    </row>
    <row r="64" spans="1:22">
      <c r="A64" s="99">
        <v>1987</v>
      </c>
      <c r="B64" s="18" t="s">
        <v>23</v>
      </c>
      <c r="C64" s="18" t="s">
        <v>23</v>
      </c>
      <c r="D64" s="18" t="s">
        <v>23</v>
      </c>
      <c r="E64" s="18">
        <v>1666</v>
      </c>
      <c r="F64" s="18">
        <v>9535</v>
      </c>
      <c r="G64" s="18">
        <v>23213</v>
      </c>
      <c r="H64" s="18">
        <v>9817</v>
      </c>
      <c r="I64" s="18">
        <v>1903</v>
      </c>
      <c r="J64" s="18" t="s">
        <v>23</v>
      </c>
      <c r="K64" s="18" t="s">
        <v>23</v>
      </c>
      <c r="L64" s="24">
        <f t="shared" si="2"/>
        <v>46134</v>
      </c>
    </row>
    <row r="65" spans="1:16">
      <c r="A65" s="99">
        <v>1988</v>
      </c>
      <c r="B65" s="18" t="s">
        <v>23</v>
      </c>
      <c r="C65" s="18" t="s">
        <v>23</v>
      </c>
      <c r="D65" s="18" t="s">
        <v>23</v>
      </c>
      <c r="E65" s="18">
        <v>1469</v>
      </c>
      <c r="F65" s="18">
        <v>6795</v>
      </c>
      <c r="G65" s="18">
        <v>16993</v>
      </c>
      <c r="H65" s="18">
        <v>6064</v>
      </c>
      <c r="I65" s="18">
        <v>1466</v>
      </c>
      <c r="J65" s="18" t="s">
        <v>23</v>
      </c>
      <c r="K65" s="18" t="s">
        <v>23</v>
      </c>
      <c r="L65" s="24">
        <f t="shared" si="2"/>
        <v>32787</v>
      </c>
    </row>
    <row r="66" spans="1:16">
      <c r="A66" s="99">
        <v>1989</v>
      </c>
      <c r="B66" s="18" t="s">
        <v>23</v>
      </c>
      <c r="C66" s="18" t="s">
        <v>23</v>
      </c>
      <c r="D66" s="18" t="s">
        <v>23</v>
      </c>
      <c r="E66" s="18">
        <v>2420</v>
      </c>
      <c r="F66" s="18">
        <v>11090</v>
      </c>
      <c r="G66" s="18">
        <v>21420</v>
      </c>
      <c r="H66" s="18">
        <v>7819</v>
      </c>
      <c r="I66" s="18">
        <v>270</v>
      </c>
      <c r="J66" s="18" t="s">
        <v>23</v>
      </c>
      <c r="K66" s="18" t="s">
        <v>23</v>
      </c>
      <c r="L66" s="24">
        <f t="shared" si="2"/>
        <v>43019</v>
      </c>
    </row>
    <row r="67" spans="1:16">
      <c r="A67" s="99">
        <v>1990</v>
      </c>
      <c r="B67" s="18" t="s">
        <v>23</v>
      </c>
      <c r="C67" s="18" t="s">
        <v>23</v>
      </c>
      <c r="D67" s="18" t="s">
        <v>23</v>
      </c>
      <c r="E67" s="18">
        <v>1569</v>
      </c>
      <c r="F67" s="18">
        <v>12485</v>
      </c>
      <c r="G67" s="18">
        <v>19057</v>
      </c>
      <c r="H67" s="18">
        <v>4705</v>
      </c>
      <c r="I67" s="18">
        <v>834</v>
      </c>
      <c r="J67" s="18">
        <v>0</v>
      </c>
      <c r="K67" s="18" t="s">
        <v>23</v>
      </c>
      <c r="L67" s="24">
        <f t="shared" si="2"/>
        <v>38650</v>
      </c>
    </row>
    <row r="68" spans="1:16">
      <c r="A68" s="99">
        <v>1991</v>
      </c>
      <c r="B68" s="18" t="s">
        <v>23</v>
      </c>
      <c r="C68" s="18" t="s">
        <v>23</v>
      </c>
      <c r="D68" s="18" t="s">
        <v>23</v>
      </c>
      <c r="E68" s="18">
        <v>327</v>
      </c>
      <c r="F68" s="18">
        <v>13206</v>
      </c>
      <c r="G68" s="18">
        <v>12992</v>
      </c>
      <c r="H68" s="18">
        <v>269</v>
      </c>
      <c r="I68" s="18">
        <v>632</v>
      </c>
      <c r="J68" s="18">
        <v>21</v>
      </c>
      <c r="K68" s="18" t="s">
        <v>23</v>
      </c>
      <c r="L68" s="24">
        <f t="shared" si="2"/>
        <v>27447</v>
      </c>
    </row>
    <row r="69" spans="1:16">
      <c r="A69" s="99">
        <v>1992</v>
      </c>
      <c r="B69" s="18" t="s">
        <v>23</v>
      </c>
      <c r="C69" s="18" t="s">
        <v>23</v>
      </c>
      <c r="D69" s="18" t="s">
        <v>23</v>
      </c>
      <c r="E69" s="18" t="s">
        <v>23</v>
      </c>
      <c r="F69" s="18" t="s">
        <v>23</v>
      </c>
      <c r="G69" s="18">
        <v>5783</v>
      </c>
      <c r="H69" s="18" t="s">
        <v>23</v>
      </c>
      <c r="I69" s="18">
        <v>3319</v>
      </c>
      <c r="J69" s="18" t="s">
        <v>23</v>
      </c>
      <c r="K69" s="18" t="s">
        <v>23</v>
      </c>
      <c r="L69" s="24">
        <f t="shared" si="2"/>
        <v>9102</v>
      </c>
      <c r="M69" s="7"/>
      <c r="N69" s="7"/>
      <c r="P69" s="7"/>
    </row>
    <row r="70" spans="1:16">
      <c r="A70" s="99">
        <v>1993</v>
      </c>
      <c r="B70" s="18" t="s">
        <v>23</v>
      </c>
      <c r="C70" s="18" t="s">
        <v>23</v>
      </c>
      <c r="D70" s="18" t="s">
        <v>23</v>
      </c>
      <c r="E70" s="18">
        <v>1644</v>
      </c>
      <c r="F70" s="18">
        <v>2210</v>
      </c>
      <c r="G70" s="18">
        <v>6129</v>
      </c>
      <c r="H70" s="18">
        <v>5992</v>
      </c>
      <c r="I70" s="18">
        <v>2292</v>
      </c>
      <c r="J70" s="18" t="s">
        <v>23</v>
      </c>
      <c r="K70" s="18" t="s">
        <v>23</v>
      </c>
      <c r="L70" s="24">
        <f t="shared" si="2"/>
        <v>18267</v>
      </c>
    </row>
    <row r="71" spans="1:16">
      <c r="A71" s="99">
        <v>1994</v>
      </c>
      <c r="B71" s="18" t="s">
        <v>23</v>
      </c>
      <c r="C71" s="18" t="s">
        <v>23</v>
      </c>
      <c r="D71" s="18" t="s">
        <v>23</v>
      </c>
      <c r="E71" s="18">
        <v>2553</v>
      </c>
      <c r="F71" s="18">
        <v>1773</v>
      </c>
      <c r="G71" s="18" t="s">
        <v>23</v>
      </c>
      <c r="H71" s="18">
        <v>1259</v>
      </c>
      <c r="I71" s="18">
        <v>785</v>
      </c>
      <c r="J71" s="18" t="s">
        <v>23</v>
      </c>
      <c r="K71" s="18" t="s">
        <v>23</v>
      </c>
      <c r="L71" s="24">
        <f t="shared" si="2"/>
        <v>6370</v>
      </c>
      <c r="O71" s="7"/>
    </row>
    <row r="72" spans="1:16">
      <c r="A72" s="99">
        <v>1995</v>
      </c>
      <c r="B72" s="18" t="s">
        <v>23</v>
      </c>
      <c r="C72" s="18" t="s">
        <v>23</v>
      </c>
      <c r="D72" s="18" t="s">
        <v>23</v>
      </c>
      <c r="E72" s="18">
        <v>1397</v>
      </c>
      <c r="F72" s="18">
        <v>6158</v>
      </c>
      <c r="G72" s="18" t="s">
        <v>23</v>
      </c>
      <c r="H72" s="18">
        <v>1477</v>
      </c>
      <c r="I72" s="18">
        <v>3725</v>
      </c>
      <c r="J72" s="18" t="s">
        <v>23</v>
      </c>
      <c r="K72" s="18" t="s">
        <v>23</v>
      </c>
      <c r="L72" s="24">
        <f t="shared" si="2"/>
        <v>12757</v>
      </c>
      <c r="O72" s="7"/>
    </row>
    <row r="73" spans="1:16">
      <c r="A73" s="99">
        <v>1996</v>
      </c>
      <c r="B73" s="18" t="s">
        <v>23</v>
      </c>
      <c r="C73" s="18" t="s">
        <v>23</v>
      </c>
      <c r="D73" s="18" t="s">
        <v>23</v>
      </c>
      <c r="E73" s="18">
        <v>2415</v>
      </c>
      <c r="F73" s="18">
        <v>6491</v>
      </c>
      <c r="G73" s="18">
        <v>973</v>
      </c>
      <c r="H73" s="18">
        <v>2574</v>
      </c>
      <c r="I73" s="18">
        <v>1558</v>
      </c>
      <c r="J73" s="18" t="s">
        <v>23</v>
      </c>
      <c r="K73" s="18" t="s">
        <v>23</v>
      </c>
      <c r="L73" s="24">
        <f t="shared" si="2"/>
        <v>14011</v>
      </c>
    </row>
    <row r="74" spans="1:16">
      <c r="A74" s="99">
        <v>1997</v>
      </c>
      <c r="B74" s="18" t="s">
        <v>23</v>
      </c>
      <c r="C74" s="18" t="s">
        <v>23</v>
      </c>
      <c r="D74" s="18" t="s">
        <v>23</v>
      </c>
      <c r="E74" s="18">
        <v>2452</v>
      </c>
      <c r="F74" s="18">
        <v>3445</v>
      </c>
      <c r="G74" s="18">
        <v>2113</v>
      </c>
      <c r="H74" s="18">
        <v>3990</v>
      </c>
      <c r="I74" s="18">
        <v>375</v>
      </c>
      <c r="J74" s="18" t="s">
        <v>23</v>
      </c>
      <c r="K74" s="18" t="s">
        <v>23</v>
      </c>
      <c r="L74" s="24">
        <f t="shared" si="2"/>
        <v>12375</v>
      </c>
    </row>
    <row r="75" spans="1:16">
      <c r="A75" s="99">
        <v>1998</v>
      </c>
      <c r="B75" s="18" t="s">
        <v>23</v>
      </c>
      <c r="C75" s="18" t="s">
        <v>23</v>
      </c>
      <c r="D75" s="18" t="s">
        <v>23</v>
      </c>
      <c r="E75" s="18">
        <v>1885</v>
      </c>
      <c r="F75" s="18">
        <v>1789</v>
      </c>
      <c r="G75" s="18">
        <v>570</v>
      </c>
      <c r="H75" s="18">
        <v>2041</v>
      </c>
      <c r="I75" s="18">
        <v>445</v>
      </c>
      <c r="J75" s="18" t="s">
        <v>23</v>
      </c>
      <c r="K75" s="18" t="s">
        <v>23</v>
      </c>
      <c r="L75" s="24">
        <f t="shared" si="2"/>
        <v>6730</v>
      </c>
    </row>
    <row r="76" spans="1:16">
      <c r="A76" s="99">
        <v>1999</v>
      </c>
      <c r="B76" s="18" t="s">
        <v>23</v>
      </c>
      <c r="C76" s="18" t="s">
        <v>23</v>
      </c>
      <c r="D76" s="18" t="s">
        <v>23</v>
      </c>
      <c r="E76" s="18">
        <v>105</v>
      </c>
      <c r="F76" s="18">
        <v>4136</v>
      </c>
      <c r="G76" s="18">
        <v>2126</v>
      </c>
      <c r="H76" s="18">
        <v>5242</v>
      </c>
      <c r="I76" s="18">
        <v>376</v>
      </c>
      <c r="J76" s="18" t="s">
        <v>23</v>
      </c>
      <c r="K76" s="18" t="s">
        <v>23</v>
      </c>
      <c r="L76" s="24">
        <f t="shared" si="2"/>
        <v>11985</v>
      </c>
    </row>
    <row r="77" spans="1:16">
      <c r="A77" s="99">
        <v>2000</v>
      </c>
      <c r="B77" s="18" t="s">
        <v>23</v>
      </c>
      <c r="C77" s="18" t="s">
        <v>23</v>
      </c>
      <c r="D77" s="18" t="s">
        <v>23</v>
      </c>
      <c r="E77" s="18">
        <v>840</v>
      </c>
      <c r="F77" s="18">
        <v>3179</v>
      </c>
      <c r="G77" s="18">
        <v>3007</v>
      </c>
      <c r="H77" s="18">
        <v>5226</v>
      </c>
      <c r="I77" s="18">
        <v>860</v>
      </c>
      <c r="J77" s="18" t="s">
        <v>23</v>
      </c>
      <c r="K77" s="18" t="s">
        <v>23</v>
      </c>
      <c r="L77" s="24">
        <f t="shared" si="2"/>
        <v>13112</v>
      </c>
    </row>
    <row r="78" spans="1:16">
      <c r="A78" s="99">
        <v>2001</v>
      </c>
      <c r="B78" s="18" t="s">
        <v>23</v>
      </c>
      <c r="C78" s="18" t="s">
        <v>23</v>
      </c>
      <c r="D78" s="18" t="s">
        <v>23</v>
      </c>
      <c r="E78" s="18">
        <v>1994</v>
      </c>
      <c r="F78" s="18">
        <v>5297</v>
      </c>
      <c r="G78" s="18">
        <v>3854</v>
      </c>
      <c r="H78" s="18">
        <v>3855</v>
      </c>
      <c r="I78" s="18">
        <v>1048</v>
      </c>
      <c r="J78" s="18" t="s">
        <v>23</v>
      </c>
      <c r="K78" s="18" t="s">
        <v>23</v>
      </c>
      <c r="L78" s="24">
        <f t="shared" si="2"/>
        <v>16048</v>
      </c>
    </row>
    <row r="79" spans="1:16">
      <c r="A79" s="99">
        <v>2002</v>
      </c>
      <c r="B79" s="18" t="s">
        <v>23</v>
      </c>
      <c r="C79" s="18" t="s">
        <v>23</v>
      </c>
      <c r="D79" s="18" t="s">
        <v>23</v>
      </c>
      <c r="E79" s="18">
        <v>2186</v>
      </c>
      <c r="F79" s="18">
        <v>5379</v>
      </c>
      <c r="G79" s="18">
        <v>599</v>
      </c>
      <c r="H79" s="18">
        <v>7428</v>
      </c>
      <c r="I79" s="18">
        <v>2082</v>
      </c>
      <c r="J79" s="18" t="s">
        <v>23</v>
      </c>
      <c r="K79" s="18" t="s">
        <v>23</v>
      </c>
      <c r="L79" s="24">
        <f t="shared" si="2"/>
        <v>17674</v>
      </c>
    </row>
    <row r="80" spans="1:16">
      <c r="A80" s="99">
        <v>2003</v>
      </c>
      <c r="B80" s="18" t="s">
        <v>23</v>
      </c>
      <c r="C80" s="18" t="s">
        <v>23</v>
      </c>
      <c r="D80" s="18" t="s">
        <v>23</v>
      </c>
      <c r="E80" s="18">
        <v>2226</v>
      </c>
      <c r="F80" s="18">
        <v>3102</v>
      </c>
      <c r="G80" s="18">
        <v>2915</v>
      </c>
      <c r="H80" s="18">
        <v>4176</v>
      </c>
      <c r="I80" s="18">
        <v>1164</v>
      </c>
      <c r="J80" s="18" t="s">
        <v>23</v>
      </c>
      <c r="K80" s="18" t="s">
        <v>23</v>
      </c>
      <c r="L80" s="24">
        <f t="shared" si="2"/>
        <v>13583</v>
      </c>
    </row>
    <row r="81" spans="1:12">
      <c r="A81" s="99">
        <v>2004</v>
      </c>
      <c r="B81" s="18" t="s">
        <v>23</v>
      </c>
      <c r="C81" s="18" t="s">
        <v>23</v>
      </c>
      <c r="D81" s="18" t="s">
        <v>23</v>
      </c>
      <c r="E81" s="18">
        <v>3995</v>
      </c>
      <c r="F81" s="18">
        <v>3367</v>
      </c>
      <c r="G81" s="18">
        <v>4725</v>
      </c>
      <c r="H81" s="18">
        <v>8211</v>
      </c>
      <c r="I81" s="18">
        <v>2147</v>
      </c>
      <c r="J81" s="18" t="s">
        <v>23</v>
      </c>
      <c r="K81" s="18" t="s">
        <v>23</v>
      </c>
      <c r="L81" s="24">
        <f t="shared" si="2"/>
        <v>22445</v>
      </c>
    </row>
    <row r="82" spans="1:12">
      <c r="A82" s="99">
        <v>2005</v>
      </c>
      <c r="B82" s="18" t="s">
        <v>23</v>
      </c>
      <c r="C82" s="18" t="s">
        <v>23</v>
      </c>
      <c r="D82" s="18" t="s">
        <v>23</v>
      </c>
      <c r="E82" s="18">
        <v>1143</v>
      </c>
      <c r="F82" s="18">
        <v>4795</v>
      </c>
      <c r="G82" s="18">
        <v>1160</v>
      </c>
      <c r="H82" s="18">
        <v>5075</v>
      </c>
      <c r="I82" s="18">
        <v>2654</v>
      </c>
      <c r="J82" s="18" t="s">
        <v>23</v>
      </c>
      <c r="K82" s="18" t="s">
        <v>23</v>
      </c>
      <c r="L82" s="24">
        <f t="shared" si="2"/>
        <v>14827</v>
      </c>
    </row>
    <row r="83" spans="1:12">
      <c r="A83" s="99">
        <v>2006</v>
      </c>
      <c r="B83" s="18" t="s">
        <v>23</v>
      </c>
      <c r="C83" s="18" t="s">
        <v>23</v>
      </c>
      <c r="D83" s="18" t="s">
        <v>23</v>
      </c>
      <c r="E83" s="18">
        <v>3951</v>
      </c>
      <c r="F83" s="18">
        <v>5208</v>
      </c>
      <c r="G83" s="18">
        <v>2146</v>
      </c>
      <c r="H83" s="18" t="s">
        <v>23</v>
      </c>
      <c r="I83" s="18">
        <v>3668</v>
      </c>
      <c r="J83" s="18" t="s">
        <v>23</v>
      </c>
      <c r="K83" s="18" t="s">
        <v>23</v>
      </c>
      <c r="L83" s="24">
        <v>14973</v>
      </c>
    </row>
    <row r="84" spans="1:12">
      <c r="A84" s="99">
        <v>2007</v>
      </c>
      <c r="B84" s="18" t="s">
        <v>23</v>
      </c>
      <c r="C84" s="18" t="s">
        <v>23</v>
      </c>
      <c r="D84" s="18" t="s">
        <v>23</v>
      </c>
      <c r="E84" s="18">
        <v>1737</v>
      </c>
      <c r="F84" s="18">
        <v>4987</v>
      </c>
      <c r="G84" s="18">
        <v>4914</v>
      </c>
      <c r="H84" s="18">
        <v>5212</v>
      </c>
      <c r="I84" s="18">
        <v>1511</v>
      </c>
      <c r="J84" s="18" t="s">
        <v>23</v>
      </c>
      <c r="K84" s="18" t="s">
        <v>23</v>
      </c>
      <c r="L84" s="24">
        <f>SUM(B84:K84)</f>
        <v>18361</v>
      </c>
    </row>
    <row r="85" spans="1:12">
      <c r="A85" s="99">
        <v>2008</v>
      </c>
      <c r="B85" s="18" t="s">
        <v>23</v>
      </c>
      <c r="C85" s="18" t="s">
        <v>23</v>
      </c>
      <c r="D85" s="18" t="s">
        <v>23</v>
      </c>
      <c r="E85" s="18" t="s">
        <v>23</v>
      </c>
      <c r="F85" s="18" t="s">
        <v>23</v>
      </c>
      <c r="G85" s="18" t="s">
        <v>23</v>
      </c>
      <c r="H85" s="18" t="s">
        <v>23</v>
      </c>
      <c r="I85" s="18" t="s">
        <v>23</v>
      </c>
      <c r="J85" s="18" t="s">
        <v>23</v>
      </c>
      <c r="K85" s="18" t="s">
        <v>23</v>
      </c>
      <c r="L85" s="24" t="s">
        <v>23</v>
      </c>
    </row>
    <row r="86" spans="1:12">
      <c r="A86" s="99">
        <v>2009</v>
      </c>
      <c r="B86" s="18" t="s">
        <v>23</v>
      </c>
      <c r="C86" s="18" t="s">
        <v>23</v>
      </c>
      <c r="D86" s="18" t="s">
        <v>23</v>
      </c>
      <c r="E86" s="18" t="s">
        <v>23</v>
      </c>
      <c r="F86" s="18" t="s">
        <v>23</v>
      </c>
      <c r="G86" s="18" t="s">
        <v>23</v>
      </c>
      <c r="H86" s="18">
        <v>2017</v>
      </c>
      <c r="I86" s="18">
        <v>2237</v>
      </c>
      <c r="J86" s="18" t="s">
        <v>23</v>
      </c>
      <c r="K86" s="18" t="s">
        <v>23</v>
      </c>
      <c r="L86" s="24">
        <f t="shared" ref="L86:L91" si="3">SUM(B86:K86)</f>
        <v>4254</v>
      </c>
    </row>
    <row r="87" spans="1:12">
      <c r="A87" s="99">
        <v>2010</v>
      </c>
      <c r="B87" s="18" t="s">
        <v>23</v>
      </c>
      <c r="C87" s="18" t="s">
        <v>23</v>
      </c>
      <c r="D87" s="18" t="s">
        <v>23</v>
      </c>
      <c r="E87" s="18">
        <v>464</v>
      </c>
      <c r="F87" s="18">
        <v>638</v>
      </c>
      <c r="G87" s="18">
        <v>897</v>
      </c>
      <c r="H87" s="18">
        <v>1841</v>
      </c>
      <c r="I87" s="18">
        <v>183</v>
      </c>
      <c r="J87" s="18" t="s">
        <v>23</v>
      </c>
      <c r="K87" s="18" t="s">
        <v>23</v>
      </c>
      <c r="L87" s="24">
        <f t="shared" si="3"/>
        <v>4023</v>
      </c>
    </row>
    <row r="88" spans="1:12">
      <c r="A88" s="99">
        <v>2011</v>
      </c>
      <c r="B88" s="18" t="s">
        <v>23</v>
      </c>
      <c r="C88" s="18" t="s">
        <v>23</v>
      </c>
      <c r="D88" s="18" t="s">
        <v>23</v>
      </c>
      <c r="E88" s="18">
        <v>1664</v>
      </c>
      <c r="F88" s="18">
        <v>2574</v>
      </c>
      <c r="G88" s="18">
        <v>4625</v>
      </c>
      <c r="H88" s="18">
        <v>4597</v>
      </c>
      <c r="I88" s="18">
        <v>723</v>
      </c>
      <c r="J88" s="18" t="s">
        <v>23</v>
      </c>
      <c r="K88" s="18" t="s">
        <v>23</v>
      </c>
      <c r="L88" s="24">
        <f t="shared" si="3"/>
        <v>14183</v>
      </c>
    </row>
    <row r="89" spans="1:12">
      <c r="A89" s="99">
        <v>2012</v>
      </c>
      <c r="B89" s="18" t="s">
        <v>23</v>
      </c>
      <c r="C89" s="18" t="s">
        <v>23</v>
      </c>
      <c r="D89" s="18" t="s">
        <v>23</v>
      </c>
      <c r="E89" s="18">
        <v>2680</v>
      </c>
      <c r="F89" s="18">
        <v>6514</v>
      </c>
      <c r="G89" s="18">
        <v>5833</v>
      </c>
      <c r="H89" s="18">
        <v>6671</v>
      </c>
      <c r="I89" s="18">
        <v>1873</v>
      </c>
      <c r="J89" s="18" t="s">
        <v>23</v>
      </c>
      <c r="K89" s="18" t="s">
        <v>23</v>
      </c>
      <c r="L89" s="24">
        <f t="shared" si="3"/>
        <v>23571</v>
      </c>
    </row>
    <row r="90" spans="1:12">
      <c r="A90" s="99">
        <v>2013</v>
      </c>
      <c r="B90" s="18" t="s">
        <v>23</v>
      </c>
      <c r="C90" s="18" t="s">
        <v>23</v>
      </c>
      <c r="D90" s="18" t="s">
        <v>23</v>
      </c>
      <c r="E90" s="18">
        <v>2756</v>
      </c>
      <c r="F90" s="18">
        <v>5976</v>
      </c>
      <c r="G90" s="18">
        <v>6028</v>
      </c>
      <c r="H90" s="18">
        <v>7416</v>
      </c>
      <c r="I90" s="18">
        <v>614</v>
      </c>
      <c r="J90" s="18" t="s">
        <v>23</v>
      </c>
      <c r="K90" s="18" t="s">
        <v>23</v>
      </c>
      <c r="L90" s="24">
        <f t="shared" si="3"/>
        <v>22790</v>
      </c>
    </row>
    <row r="91" spans="1:12">
      <c r="A91" s="99">
        <v>2014</v>
      </c>
      <c r="B91" s="18" t="s">
        <v>23</v>
      </c>
      <c r="C91" s="18" t="s">
        <v>23</v>
      </c>
      <c r="D91" s="18" t="s">
        <v>23</v>
      </c>
      <c r="E91" s="18">
        <v>2710</v>
      </c>
      <c r="F91" s="18">
        <v>4157</v>
      </c>
      <c r="G91" s="18">
        <v>5170</v>
      </c>
      <c r="H91" s="18">
        <v>3580</v>
      </c>
      <c r="I91" s="18">
        <v>612</v>
      </c>
      <c r="J91" s="18" t="s">
        <v>23</v>
      </c>
      <c r="K91" s="18" t="s">
        <v>23</v>
      </c>
      <c r="L91" s="24">
        <f t="shared" si="3"/>
        <v>16229</v>
      </c>
    </row>
    <row r="92" spans="1:12">
      <c r="A92" s="99">
        <v>2015</v>
      </c>
      <c r="B92" s="18" t="s">
        <v>23</v>
      </c>
      <c r="C92" s="18" t="s">
        <v>23</v>
      </c>
      <c r="D92" s="18" t="s">
        <v>23</v>
      </c>
      <c r="E92" s="18">
        <v>2431</v>
      </c>
      <c r="F92" s="18">
        <v>1166</v>
      </c>
      <c r="G92" s="18">
        <v>2321</v>
      </c>
      <c r="H92" s="18">
        <v>2216</v>
      </c>
      <c r="I92" s="18">
        <v>164</v>
      </c>
      <c r="J92" s="18" t="s">
        <v>23</v>
      </c>
      <c r="K92" s="18" t="s">
        <v>23</v>
      </c>
      <c r="L92" s="24">
        <f>SUM(B92:K92)</f>
        <v>8298</v>
      </c>
    </row>
    <row r="93" spans="1:12">
      <c r="A93" s="99">
        <v>2016</v>
      </c>
      <c r="B93" s="18" t="s">
        <v>23</v>
      </c>
      <c r="C93" s="18" t="s">
        <v>23</v>
      </c>
      <c r="D93" s="18" t="s">
        <v>23</v>
      </c>
      <c r="E93" s="18">
        <v>1579</v>
      </c>
      <c r="F93" s="18">
        <v>1933</v>
      </c>
      <c r="G93" s="18">
        <v>2380</v>
      </c>
      <c r="H93" s="18">
        <v>1888</v>
      </c>
      <c r="I93" s="18">
        <v>610</v>
      </c>
      <c r="J93" s="18" t="s">
        <v>23</v>
      </c>
      <c r="K93" s="18" t="s">
        <v>23</v>
      </c>
      <c r="L93" s="24">
        <f>SUM(B93:K93)</f>
        <v>8390</v>
      </c>
    </row>
    <row r="94" spans="1:12">
      <c r="A94" s="99">
        <v>2017</v>
      </c>
      <c r="B94" s="18" t="s">
        <v>23</v>
      </c>
      <c r="C94" s="18" t="s">
        <v>23</v>
      </c>
      <c r="D94" s="18" t="s">
        <v>23</v>
      </c>
      <c r="E94" s="18" t="s">
        <v>23</v>
      </c>
      <c r="F94" s="18" t="s">
        <v>23</v>
      </c>
      <c r="G94" s="18" t="s">
        <v>23</v>
      </c>
      <c r="H94" s="18" t="s">
        <v>23</v>
      </c>
      <c r="I94" s="18" t="s">
        <v>23</v>
      </c>
      <c r="J94" s="18" t="s">
        <v>23</v>
      </c>
      <c r="K94" s="18" t="s">
        <v>23</v>
      </c>
      <c r="L94" s="18" t="s">
        <v>23</v>
      </c>
    </row>
    <row r="95" spans="1:12">
      <c r="A95" s="99">
        <v>2018</v>
      </c>
      <c r="B95" s="18" t="s">
        <v>23</v>
      </c>
      <c r="C95" s="18" t="s">
        <v>23</v>
      </c>
      <c r="D95" s="18" t="s">
        <v>23</v>
      </c>
      <c r="E95" s="18" t="s">
        <v>23</v>
      </c>
      <c r="F95" s="18">
        <v>2298</v>
      </c>
      <c r="G95" s="18">
        <v>2067</v>
      </c>
      <c r="H95" s="18">
        <v>1593</v>
      </c>
      <c r="I95" s="18">
        <v>48</v>
      </c>
      <c r="J95" s="18" t="s">
        <v>23</v>
      </c>
      <c r="K95" s="18" t="s">
        <v>23</v>
      </c>
      <c r="L95" s="24">
        <f>SUM(B95:K95)</f>
        <v>6006</v>
      </c>
    </row>
    <row r="96" spans="1:12">
      <c r="A96" s="239">
        <v>2019</v>
      </c>
      <c r="B96" s="18" t="s">
        <v>23</v>
      </c>
      <c r="C96" s="18" t="s">
        <v>23</v>
      </c>
      <c r="D96" s="18" t="s">
        <v>23</v>
      </c>
      <c r="E96" s="18">
        <v>349</v>
      </c>
      <c r="F96" s="18">
        <v>2601</v>
      </c>
      <c r="G96" s="18">
        <v>2535</v>
      </c>
      <c r="H96" s="18">
        <v>1617</v>
      </c>
      <c r="I96" s="18">
        <v>99</v>
      </c>
      <c r="J96" s="18" t="s">
        <v>23</v>
      </c>
      <c r="K96" s="18" t="s">
        <v>23</v>
      </c>
      <c r="L96" s="24">
        <f>SUM(B96:K96)</f>
        <v>7201</v>
      </c>
    </row>
    <row r="97" spans="1:22" ht="13">
      <c r="A97" s="239" t="s">
        <v>308</v>
      </c>
      <c r="B97" s="18" t="s">
        <v>23</v>
      </c>
      <c r="C97" s="18" t="s">
        <v>23</v>
      </c>
      <c r="D97" s="18" t="s">
        <v>23</v>
      </c>
      <c r="E97" s="18" t="s">
        <v>23</v>
      </c>
      <c r="F97" s="18" t="s">
        <v>106</v>
      </c>
      <c r="G97" s="18">
        <v>2939</v>
      </c>
      <c r="H97" s="18">
        <v>847</v>
      </c>
      <c r="I97" s="18" t="s">
        <v>23</v>
      </c>
      <c r="J97" s="18" t="s">
        <v>23</v>
      </c>
      <c r="K97" s="18" t="s">
        <v>23</v>
      </c>
      <c r="L97" s="24">
        <f>SUM(B97:K97)</f>
        <v>3786</v>
      </c>
    </row>
    <row r="98" spans="1:22" ht="13">
      <c r="A98" s="239" t="s">
        <v>317</v>
      </c>
      <c r="B98" s="18" t="s">
        <v>23</v>
      </c>
      <c r="C98" s="18" t="s">
        <v>23</v>
      </c>
      <c r="D98" s="18" t="s">
        <v>23</v>
      </c>
      <c r="E98" s="18" t="s">
        <v>23</v>
      </c>
      <c r="F98" s="18">
        <v>127</v>
      </c>
      <c r="G98" s="18">
        <v>1401</v>
      </c>
      <c r="H98" s="18">
        <v>58</v>
      </c>
      <c r="I98" s="18" t="s">
        <v>23</v>
      </c>
      <c r="J98" s="18" t="s">
        <v>23</v>
      </c>
      <c r="K98" s="18" t="s">
        <v>23</v>
      </c>
      <c r="L98" s="24">
        <f>SUM(B98:K98)</f>
        <v>1586</v>
      </c>
    </row>
    <row r="99" spans="1:22">
      <c r="B99" s="18"/>
      <c r="C99" s="18"/>
      <c r="D99" s="18"/>
      <c r="E99" s="18"/>
      <c r="F99" s="18"/>
      <c r="G99" s="18"/>
      <c r="H99" s="18"/>
      <c r="I99" s="18"/>
      <c r="J99" s="18"/>
      <c r="K99" s="18"/>
    </row>
    <row r="100" spans="1:22">
      <c r="A100" s="94" t="s">
        <v>18</v>
      </c>
      <c r="B100" s="18"/>
      <c r="C100" s="18"/>
      <c r="D100" s="18"/>
      <c r="E100" s="18"/>
      <c r="F100" s="18"/>
      <c r="G100" s="18"/>
      <c r="H100" s="18"/>
      <c r="I100" s="18"/>
      <c r="J100" s="18"/>
      <c r="K100" s="18"/>
    </row>
    <row r="101" spans="1:22">
      <c r="A101" s="99">
        <v>1976</v>
      </c>
      <c r="B101" s="134" t="s">
        <v>106</v>
      </c>
      <c r="C101" s="134" t="s">
        <v>106</v>
      </c>
      <c r="D101" s="18">
        <v>0</v>
      </c>
      <c r="E101" s="18">
        <v>210</v>
      </c>
      <c r="F101" s="18">
        <v>2614</v>
      </c>
      <c r="G101" s="18">
        <v>9773</v>
      </c>
      <c r="H101" s="18">
        <v>4409</v>
      </c>
      <c r="I101" s="18">
        <v>22</v>
      </c>
      <c r="J101" s="18">
        <v>4</v>
      </c>
      <c r="K101" s="18">
        <v>0</v>
      </c>
      <c r="L101" s="24">
        <f t="shared" ref="L101:L130" si="4">SUM(B101:K101)</f>
        <v>17032</v>
      </c>
    </row>
    <row r="102" spans="1:22">
      <c r="A102" s="99">
        <v>1977</v>
      </c>
      <c r="B102" s="134" t="s">
        <v>106</v>
      </c>
      <c r="C102" s="134" t="s">
        <v>106</v>
      </c>
      <c r="D102" s="18">
        <v>0</v>
      </c>
      <c r="E102" s="18">
        <v>314</v>
      </c>
      <c r="F102" s="18">
        <v>812</v>
      </c>
      <c r="G102" s="18">
        <v>5304</v>
      </c>
      <c r="H102" s="18">
        <v>7452</v>
      </c>
      <c r="I102" s="18">
        <v>1788</v>
      </c>
      <c r="J102" s="18">
        <v>0</v>
      </c>
      <c r="K102" s="18">
        <v>0</v>
      </c>
      <c r="L102" s="24">
        <f t="shared" si="4"/>
        <v>15670</v>
      </c>
    </row>
    <row r="103" spans="1:22">
      <c r="A103" s="99">
        <v>1978</v>
      </c>
      <c r="B103" s="134" t="s">
        <v>106</v>
      </c>
      <c r="C103" s="134" t="s">
        <v>106</v>
      </c>
      <c r="D103" s="18">
        <v>2</v>
      </c>
      <c r="E103" s="18">
        <v>63</v>
      </c>
      <c r="F103" s="18">
        <v>1928</v>
      </c>
      <c r="G103" s="18">
        <v>5224</v>
      </c>
      <c r="H103" s="18">
        <v>2256</v>
      </c>
      <c r="I103" s="18">
        <v>0</v>
      </c>
      <c r="J103" s="18">
        <v>0</v>
      </c>
      <c r="K103" s="18">
        <v>0</v>
      </c>
      <c r="L103" s="24">
        <f t="shared" si="4"/>
        <v>9473</v>
      </c>
    </row>
    <row r="104" spans="1:22">
      <c r="A104" s="99">
        <v>1979</v>
      </c>
      <c r="B104" s="134" t="s">
        <v>106</v>
      </c>
      <c r="C104" s="134" t="s">
        <v>106</v>
      </c>
      <c r="D104" s="18">
        <v>0</v>
      </c>
      <c r="E104" s="18">
        <v>0</v>
      </c>
      <c r="F104" s="18">
        <v>1358</v>
      </c>
      <c r="G104" s="18">
        <v>4223</v>
      </c>
      <c r="H104" s="18">
        <v>3387</v>
      </c>
      <c r="I104" s="18">
        <v>852</v>
      </c>
      <c r="J104" s="18">
        <v>0</v>
      </c>
      <c r="K104" s="18" t="s">
        <v>23</v>
      </c>
      <c r="L104" s="24">
        <f t="shared" si="4"/>
        <v>9820</v>
      </c>
    </row>
    <row r="105" spans="1:22">
      <c r="A105" s="99">
        <v>1980</v>
      </c>
      <c r="B105" s="134" t="s">
        <v>106</v>
      </c>
      <c r="C105" s="134" t="s">
        <v>106</v>
      </c>
      <c r="D105" s="18">
        <v>0</v>
      </c>
      <c r="E105" s="18">
        <v>0</v>
      </c>
      <c r="F105" s="18">
        <v>1550</v>
      </c>
      <c r="G105" s="18">
        <v>3525</v>
      </c>
      <c r="H105" s="18">
        <v>1010</v>
      </c>
      <c r="I105" s="18">
        <v>316</v>
      </c>
      <c r="J105" s="18">
        <v>0</v>
      </c>
      <c r="K105" s="18" t="s">
        <v>23</v>
      </c>
      <c r="L105" s="24">
        <f t="shared" si="4"/>
        <v>6401</v>
      </c>
    </row>
    <row r="106" spans="1:22">
      <c r="A106" s="99">
        <v>1981</v>
      </c>
      <c r="B106" s="134" t="s">
        <v>106</v>
      </c>
      <c r="C106" s="134" t="s">
        <v>106</v>
      </c>
      <c r="D106" s="18">
        <v>4</v>
      </c>
      <c r="E106" s="18">
        <v>111</v>
      </c>
      <c r="F106" s="18">
        <v>1838</v>
      </c>
      <c r="G106" s="18">
        <v>3668</v>
      </c>
      <c r="H106" s="18">
        <v>2416</v>
      </c>
      <c r="I106" s="18">
        <v>48</v>
      </c>
      <c r="J106" s="18">
        <v>12</v>
      </c>
      <c r="K106" s="18">
        <v>0</v>
      </c>
      <c r="L106" s="24">
        <f t="shared" si="4"/>
        <v>8097</v>
      </c>
    </row>
    <row r="107" spans="1:22">
      <c r="A107" s="99">
        <v>1982</v>
      </c>
      <c r="B107" s="134" t="s">
        <v>106</v>
      </c>
      <c r="C107" s="134" t="s">
        <v>106</v>
      </c>
      <c r="D107" s="18">
        <v>0</v>
      </c>
      <c r="E107" s="18">
        <v>85</v>
      </c>
      <c r="F107" s="18">
        <v>2633</v>
      </c>
      <c r="G107" s="18">
        <v>4312</v>
      </c>
      <c r="H107" s="18">
        <v>3120</v>
      </c>
      <c r="I107" s="18">
        <v>205</v>
      </c>
      <c r="J107" s="18">
        <v>0</v>
      </c>
      <c r="K107" s="18">
        <v>0</v>
      </c>
      <c r="L107" s="24">
        <f t="shared" si="4"/>
        <v>10355</v>
      </c>
    </row>
    <row r="108" spans="1:22">
      <c r="A108" s="99">
        <v>1983</v>
      </c>
      <c r="B108" s="134" t="s">
        <v>106</v>
      </c>
      <c r="C108" s="134" t="s">
        <v>106</v>
      </c>
      <c r="D108" s="18">
        <v>0</v>
      </c>
      <c r="E108" s="18">
        <v>11</v>
      </c>
      <c r="F108" s="18">
        <v>1819</v>
      </c>
      <c r="G108" s="18">
        <v>4914</v>
      </c>
      <c r="H108" s="18">
        <v>1556</v>
      </c>
      <c r="I108" s="18">
        <v>61</v>
      </c>
      <c r="J108" s="18">
        <v>0</v>
      </c>
      <c r="K108" s="18">
        <v>0</v>
      </c>
      <c r="L108" s="24">
        <f t="shared" si="4"/>
        <v>8361</v>
      </c>
    </row>
    <row r="109" spans="1:22">
      <c r="A109" s="99">
        <v>1984</v>
      </c>
      <c r="B109" s="134" t="s">
        <v>106</v>
      </c>
      <c r="C109" s="134" t="s">
        <v>106</v>
      </c>
      <c r="D109" s="18">
        <v>2</v>
      </c>
      <c r="E109" s="18">
        <v>3</v>
      </c>
      <c r="F109" s="18">
        <v>1138</v>
      </c>
      <c r="G109" s="18">
        <v>3349</v>
      </c>
      <c r="H109" s="18">
        <v>1462</v>
      </c>
      <c r="I109" s="18">
        <v>61</v>
      </c>
      <c r="J109" s="18">
        <v>0</v>
      </c>
      <c r="K109" s="18">
        <v>0</v>
      </c>
      <c r="L109" s="24">
        <f t="shared" si="4"/>
        <v>6015</v>
      </c>
    </row>
    <row r="110" spans="1:22">
      <c r="A110" s="99">
        <v>1985</v>
      </c>
      <c r="B110" s="134" t="s">
        <v>106</v>
      </c>
      <c r="C110" s="134" t="s">
        <v>106</v>
      </c>
      <c r="D110" s="18">
        <v>6</v>
      </c>
      <c r="E110" s="18">
        <v>55</v>
      </c>
      <c r="F110" s="18">
        <v>3800</v>
      </c>
      <c r="G110" s="18">
        <v>8951</v>
      </c>
      <c r="H110" s="18">
        <v>1817</v>
      </c>
      <c r="I110" s="18">
        <v>317</v>
      </c>
      <c r="J110" s="18">
        <v>9</v>
      </c>
      <c r="K110" s="18">
        <v>0</v>
      </c>
      <c r="L110" s="24">
        <f t="shared" si="4"/>
        <v>14955</v>
      </c>
    </row>
    <row r="111" spans="1:22">
      <c r="A111" s="99">
        <v>1986</v>
      </c>
      <c r="B111" s="134" t="s">
        <v>106</v>
      </c>
      <c r="C111" s="134" t="s">
        <v>106</v>
      </c>
      <c r="D111" s="18">
        <v>10</v>
      </c>
      <c r="E111" s="18">
        <v>233</v>
      </c>
      <c r="F111" s="18">
        <v>3874</v>
      </c>
      <c r="G111" s="18">
        <v>6561</v>
      </c>
      <c r="H111" s="18">
        <v>2584</v>
      </c>
      <c r="I111" s="18">
        <v>12</v>
      </c>
      <c r="J111" s="18">
        <v>0</v>
      </c>
      <c r="K111" s="18">
        <v>0</v>
      </c>
      <c r="L111" s="24">
        <f t="shared" si="4"/>
        <v>13274</v>
      </c>
      <c r="M111" s="7"/>
      <c r="N111" s="7"/>
      <c r="U111" s="7"/>
      <c r="V111" s="7"/>
    </row>
    <row r="112" spans="1:22">
      <c r="A112" s="99">
        <v>1987</v>
      </c>
      <c r="B112" s="18">
        <v>0</v>
      </c>
      <c r="C112" s="18">
        <v>6</v>
      </c>
      <c r="D112" s="18">
        <v>79</v>
      </c>
      <c r="E112" s="18">
        <v>231</v>
      </c>
      <c r="F112" s="18">
        <v>2904</v>
      </c>
      <c r="G112" s="18">
        <v>7248</v>
      </c>
      <c r="H112" s="18">
        <v>2362</v>
      </c>
      <c r="I112" s="18">
        <v>1146</v>
      </c>
      <c r="J112" s="18">
        <v>0</v>
      </c>
      <c r="K112" s="18">
        <v>0</v>
      </c>
      <c r="L112" s="24">
        <f t="shared" si="4"/>
        <v>13976</v>
      </c>
      <c r="M112" s="7"/>
      <c r="U112" s="7"/>
      <c r="V112" s="7"/>
    </row>
    <row r="113" spans="1:22">
      <c r="A113" s="99">
        <v>1988</v>
      </c>
      <c r="B113" s="18">
        <v>0</v>
      </c>
      <c r="C113" s="18">
        <v>0</v>
      </c>
      <c r="D113" s="18">
        <v>205</v>
      </c>
      <c r="E113" s="18">
        <v>1505</v>
      </c>
      <c r="F113" s="18">
        <v>4543</v>
      </c>
      <c r="G113" s="18">
        <v>8010</v>
      </c>
      <c r="H113" s="18">
        <v>2714</v>
      </c>
      <c r="I113" s="18">
        <v>789</v>
      </c>
      <c r="J113" s="18">
        <v>0</v>
      </c>
      <c r="K113" s="18">
        <v>0</v>
      </c>
      <c r="L113" s="24">
        <f t="shared" si="4"/>
        <v>17766</v>
      </c>
      <c r="M113" s="7"/>
      <c r="N113" s="7"/>
      <c r="U113" s="7"/>
      <c r="V113" s="7"/>
    </row>
    <row r="114" spans="1:22">
      <c r="A114" s="99">
        <v>1989</v>
      </c>
      <c r="B114" s="18">
        <v>0</v>
      </c>
      <c r="C114" s="18">
        <v>0</v>
      </c>
      <c r="D114" s="18">
        <v>106</v>
      </c>
      <c r="E114" s="18">
        <v>1388</v>
      </c>
      <c r="F114" s="18">
        <v>5705</v>
      </c>
      <c r="G114" s="18">
        <v>6459</v>
      </c>
      <c r="H114" s="18">
        <v>2830</v>
      </c>
      <c r="I114" s="18">
        <v>1036</v>
      </c>
      <c r="J114" s="18">
        <v>21</v>
      </c>
      <c r="K114" s="18">
        <v>0</v>
      </c>
      <c r="L114" s="24">
        <f t="shared" si="4"/>
        <v>17545</v>
      </c>
      <c r="M114" s="7"/>
      <c r="N114" s="7"/>
      <c r="V114" s="7"/>
    </row>
    <row r="115" spans="1:22">
      <c r="A115" s="99">
        <v>1990</v>
      </c>
      <c r="B115" s="18">
        <v>0</v>
      </c>
      <c r="C115" s="18">
        <v>0</v>
      </c>
      <c r="D115" s="18">
        <v>1</v>
      </c>
      <c r="E115" s="18">
        <v>168</v>
      </c>
      <c r="F115" s="18">
        <v>5389</v>
      </c>
      <c r="G115" s="18">
        <v>6995</v>
      </c>
      <c r="H115" s="18">
        <v>1828</v>
      </c>
      <c r="I115" s="18">
        <v>265</v>
      </c>
      <c r="J115" s="18">
        <v>0</v>
      </c>
      <c r="K115" s="18">
        <v>0</v>
      </c>
      <c r="L115" s="24">
        <f t="shared" si="4"/>
        <v>14646</v>
      </c>
      <c r="M115" s="7"/>
      <c r="N115" s="7"/>
      <c r="U115" s="7"/>
      <c r="V115" s="7"/>
    </row>
    <row r="116" spans="1:22">
      <c r="A116" s="99">
        <v>1991</v>
      </c>
      <c r="B116" s="134" t="s">
        <v>106</v>
      </c>
      <c r="C116" s="134" t="s">
        <v>106</v>
      </c>
      <c r="D116" s="18">
        <v>21</v>
      </c>
      <c r="E116" s="18">
        <v>859</v>
      </c>
      <c r="F116" s="18">
        <v>6994</v>
      </c>
      <c r="G116" s="18">
        <v>11611</v>
      </c>
      <c r="H116" s="18">
        <v>3024</v>
      </c>
      <c r="I116" s="18">
        <v>116</v>
      </c>
      <c r="J116" s="134" t="s">
        <v>106</v>
      </c>
      <c r="K116" s="134" t="s">
        <v>106</v>
      </c>
      <c r="L116" s="24">
        <f t="shared" si="4"/>
        <v>22625</v>
      </c>
      <c r="M116" s="7"/>
      <c r="N116" s="7"/>
      <c r="U116" s="7"/>
      <c r="V116" s="7"/>
    </row>
    <row r="117" spans="1:22">
      <c r="A117" s="99">
        <v>1992</v>
      </c>
      <c r="B117" s="134" t="s">
        <v>106</v>
      </c>
      <c r="C117" s="18">
        <v>49</v>
      </c>
      <c r="D117" s="18">
        <v>291</v>
      </c>
      <c r="E117" s="18">
        <v>2191</v>
      </c>
      <c r="F117" s="18">
        <v>340</v>
      </c>
      <c r="G117" s="18">
        <v>6271</v>
      </c>
      <c r="H117" s="18" t="s">
        <v>23</v>
      </c>
      <c r="I117" s="18">
        <v>1722</v>
      </c>
      <c r="J117" s="18">
        <v>369</v>
      </c>
      <c r="K117" s="18">
        <v>12</v>
      </c>
      <c r="L117" s="24">
        <f t="shared" si="4"/>
        <v>11245</v>
      </c>
      <c r="M117" s="7"/>
      <c r="S117" s="7"/>
    </row>
    <row r="118" spans="1:22">
      <c r="A118" s="99">
        <v>1993</v>
      </c>
      <c r="B118" s="18">
        <v>47</v>
      </c>
      <c r="C118" s="18">
        <v>232</v>
      </c>
      <c r="D118" s="18">
        <v>449</v>
      </c>
      <c r="E118" s="18">
        <v>1291</v>
      </c>
      <c r="F118" s="18">
        <v>1964</v>
      </c>
      <c r="G118" s="18">
        <v>9428</v>
      </c>
      <c r="H118" s="18">
        <v>4641</v>
      </c>
      <c r="I118" s="18">
        <v>1206</v>
      </c>
      <c r="J118" s="18">
        <v>82</v>
      </c>
      <c r="K118" s="18">
        <v>0</v>
      </c>
      <c r="L118" s="24">
        <f t="shared" si="4"/>
        <v>19340</v>
      </c>
      <c r="V118" s="7"/>
    </row>
    <row r="119" spans="1:22">
      <c r="A119" s="99">
        <v>1994</v>
      </c>
      <c r="B119" s="18">
        <v>76</v>
      </c>
      <c r="C119" s="18">
        <v>443</v>
      </c>
      <c r="D119" s="18">
        <v>1324</v>
      </c>
      <c r="E119" s="18">
        <v>4173</v>
      </c>
      <c r="F119" s="18">
        <v>8401</v>
      </c>
      <c r="G119" s="18" t="s">
        <v>23</v>
      </c>
      <c r="H119" s="18">
        <v>5051</v>
      </c>
      <c r="I119" s="18">
        <v>895</v>
      </c>
      <c r="J119" s="18">
        <v>40</v>
      </c>
      <c r="K119" s="134" t="s">
        <v>106</v>
      </c>
      <c r="L119" s="24">
        <f t="shared" si="4"/>
        <v>20403</v>
      </c>
      <c r="R119" s="7"/>
      <c r="V119" s="7"/>
    </row>
    <row r="120" spans="1:22">
      <c r="A120" s="99">
        <v>1995</v>
      </c>
      <c r="B120" s="18">
        <v>360</v>
      </c>
      <c r="C120" s="18">
        <v>529</v>
      </c>
      <c r="D120" s="18">
        <v>1639</v>
      </c>
      <c r="E120" s="18">
        <v>1489</v>
      </c>
      <c r="F120" s="18">
        <v>12988</v>
      </c>
      <c r="G120" s="18" t="s">
        <v>23</v>
      </c>
      <c r="H120" s="18">
        <v>8993</v>
      </c>
      <c r="I120" s="18">
        <v>2639</v>
      </c>
      <c r="J120" s="18">
        <v>614</v>
      </c>
      <c r="K120" s="134" t="s">
        <v>106</v>
      </c>
      <c r="L120" s="24">
        <f t="shared" si="4"/>
        <v>29251</v>
      </c>
      <c r="R120" s="7"/>
      <c r="V120" s="7"/>
    </row>
    <row r="121" spans="1:22">
      <c r="A121" s="99">
        <v>1996</v>
      </c>
      <c r="B121" s="18">
        <v>49</v>
      </c>
      <c r="C121" s="18">
        <v>947</v>
      </c>
      <c r="D121" s="18">
        <v>1938</v>
      </c>
      <c r="E121" s="18">
        <v>2857</v>
      </c>
      <c r="F121" s="18">
        <v>12018</v>
      </c>
      <c r="G121" s="18">
        <v>2960</v>
      </c>
      <c r="H121" s="18">
        <v>6982</v>
      </c>
      <c r="I121" s="18">
        <v>2794</v>
      </c>
      <c r="J121" s="18">
        <v>744</v>
      </c>
      <c r="K121" s="134" t="s">
        <v>106</v>
      </c>
      <c r="L121" s="24">
        <f t="shared" si="4"/>
        <v>31289</v>
      </c>
    </row>
    <row r="122" spans="1:22">
      <c r="A122" s="99">
        <v>1997</v>
      </c>
      <c r="B122" s="134" t="s">
        <v>106</v>
      </c>
      <c r="C122" s="18">
        <v>430</v>
      </c>
      <c r="D122" s="18">
        <v>1131</v>
      </c>
      <c r="E122" s="18">
        <v>4003</v>
      </c>
      <c r="F122" s="18">
        <v>6813</v>
      </c>
      <c r="G122" s="18">
        <v>3476</v>
      </c>
      <c r="H122" s="18">
        <v>4089</v>
      </c>
      <c r="I122" s="18">
        <v>268</v>
      </c>
      <c r="J122" s="134" t="s">
        <v>106</v>
      </c>
      <c r="K122" s="134" t="s">
        <v>106</v>
      </c>
      <c r="L122" s="24">
        <f t="shared" si="4"/>
        <v>20210</v>
      </c>
      <c r="M122" s="7"/>
      <c r="U122" s="7"/>
      <c r="V122" s="7"/>
    </row>
    <row r="123" spans="1:22">
      <c r="A123" s="99">
        <v>1998</v>
      </c>
      <c r="B123" s="134" t="s">
        <v>106</v>
      </c>
      <c r="C123" s="18">
        <v>58</v>
      </c>
      <c r="D123" s="18">
        <v>0</v>
      </c>
      <c r="E123" s="18">
        <v>976</v>
      </c>
      <c r="F123" s="18">
        <v>2344</v>
      </c>
      <c r="G123" s="18">
        <v>542</v>
      </c>
      <c r="H123" s="18">
        <v>3272</v>
      </c>
      <c r="I123" s="18">
        <v>1137</v>
      </c>
      <c r="J123" s="18">
        <v>15</v>
      </c>
      <c r="K123" s="134" t="s">
        <v>106</v>
      </c>
      <c r="L123" s="24">
        <f t="shared" si="4"/>
        <v>8344</v>
      </c>
      <c r="M123" s="7"/>
      <c r="O123" s="7"/>
      <c r="V123" s="7"/>
    </row>
    <row r="124" spans="1:22">
      <c r="A124" s="99">
        <v>1999</v>
      </c>
      <c r="B124" s="18">
        <v>14</v>
      </c>
      <c r="C124" s="18">
        <v>60</v>
      </c>
      <c r="D124" s="18">
        <v>195</v>
      </c>
      <c r="E124" s="18">
        <v>382</v>
      </c>
      <c r="F124" s="18">
        <v>1726</v>
      </c>
      <c r="G124" s="18">
        <v>2985</v>
      </c>
      <c r="H124" s="18">
        <v>4336</v>
      </c>
      <c r="I124" s="18">
        <v>488</v>
      </c>
      <c r="J124" s="134" t="s">
        <v>106</v>
      </c>
      <c r="K124" s="134" t="s">
        <v>106</v>
      </c>
      <c r="L124" s="24">
        <f t="shared" si="4"/>
        <v>10186</v>
      </c>
      <c r="U124" s="7"/>
      <c r="V124" s="7"/>
    </row>
    <row r="125" spans="1:22">
      <c r="A125" s="99">
        <v>2000</v>
      </c>
      <c r="B125" s="134" t="s">
        <v>106</v>
      </c>
      <c r="C125" s="134" t="s">
        <v>106</v>
      </c>
      <c r="D125" s="18">
        <v>1288</v>
      </c>
      <c r="E125" s="18">
        <v>3125</v>
      </c>
      <c r="F125" s="18">
        <v>7154</v>
      </c>
      <c r="G125" s="18">
        <v>5635</v>
      </c>
      <c r="H125" s="18">
        <v>6618</v>
      </c>
      <c r="I125" s="18">
        <v>1698</v>
      </c>
      <c r="J125" s="18">
        <v>36</v>
      </c>
      <c r="K125" s="134" t="s">
        <v>106</v>
      </c>
      <c r="L125" s="24">
        <f t="shared" si="4"/>
        <v>25554</v>
      </c>
      <c r="M125" s="7"/>
      <c r="N125" s="7"/>
      <c r="V125" s="7"/>
    </row>
    <row r="126" spans="1:22">
      <c r="A126" s="99">
        <v>2001</v>
      </c>
      <c r="B126" s="134" t="s">
        <v>106</v>
      </c>
      <c r="C126" s="18">
        <v>690</v>
      </c>
      <c r="D126" s="18">
        <v>1269</v>
      </c>
      <c r="E126" s="18">
        <v>3402</v>
      </c>
      <c r="F126" s="18">
        <v>7228</v>
      </c>
      <c r="G126" s="18">
        <v>9454</v>
      </c>
      <c r="H126" s="18">
        <v>6879</v>
      </c>
      <c r="I126" s="18">
        <v>1754</v>
      </c>
      <c r="J126" s="18">
        <v>107</v>
      </c>
      <c r="K126" s="18">
        <v>15</v>
      </c>
      <c r="L126" s="24">
        <f t="shared" si="4"/>
        <v>30798</v>
      </c>
      <c r="M126" s="7"/>
    </row>
    <row r="127" spans="1:22">
      <c r="A127" s="99">
        <v>2002</v>
      </c>
      <c r="B127" s="18">
        <v>194</v>
      </c>
      <c r="C127" s="18">
        <v>897</v>
      </c>
      <c r="D127" s="18">
        <v>2428</v>
      </c>
      <c r="E127" s="18">
        <v>4889</v>
      </c>
      <c r="F127" s="18">
        <v>7004</v>
      </c>
      <c r="G127" s="18">
        <v>8494</v>
      </c>
      <c r="H127" s="18">
        <v>7458</v>
      </c>
      <c r="I127" s="18">
        <v>435</v>
      </c>
      <c r="J127" s="18">
        <v>3</v>
      </c>
      <c r="K127" s="18">
        <v>0</v>
      </c>
      <c r="L127" s="24">
        <f t="shared" si="4"/>
        <v>31802</v>
      </c>
      <c r="V127" s="7"/>
    </row>
    <row r="128" spans="1:22">
      <c r="A128" s="99">
        <v>2003</v>
      </c>
      <c r="B128" s="18">
        <v>607</v>
      </c>
      <c r="C128" s="18">
        <v>1282</v>
      </c>
      <c r="D128" s="18">
        <v>938</v>
      </c>
      <c r="E128" s="18">
        <v>2662</v>
      </c>
      <c r="F128" s="18">
        <v>5729</v>
      </c>
      <c r="G128" s="18">
        <v>8252</v>
      </c>
      <c r="H128" s="18">
        <v>3466</v>
      </c>
      <c r="I128" s="18">
        <v>768</v>
      </c>
      <c r="J128" s="18">
        <v>5</v>
      </c>
      <c r="K128" s="18">
        <v>0</v>
      </c>
      <c r="L128" s="24">
        <f t="shared" si="4"/>
        <v>23709</v>
      </c>
      <c r="V128" s="7"/>
    </row>
    <row r="129" spans="1:22">
      <c r="A129" s="99">
        <v>2004</v>
      </c>
      <c r="B129" s="18">
        <v>183</v>
      </c>
      <c r="C129" s="18">
        <v>999</v>
      </c>
      <c r="D129" s="18">
        <v>1069</v>
      </c>
      <c r="E129" s="18">
        <v>2408</v>
      </c>
      <c r="F129" s="18">
        <v>8760</v>
      </c>
      <c r="G129" s="18">
        <v>11560</v>
      </c>
      <c r="H129" s="18">
        <v>4266</v>
      </c>
      <c r="I129" s="18">
        <v>1061</v>
      </c>
      <c r="J129" s="18">
        <v>240</v>
      </c>
      <c r="K129" s="18">
        <v>27</v>
      </c>
      <c r="L129" s="24">
        <f t="shared" si="4"/>
        <v>30573</v>
      </c>
      <c r="U129" s="7"/>
      <c r="V129" s="7"/>
    </row>
    <row r="130" spans="1:22">
      <c r="A130" s="99">
        <v>2005</v>
      </c>
      <c r="B130" s="18">
        <v>869</v>
      </c>
      <c r="C130" s="18">
        <v>521</v>
      </c>
      <c r="D130" s="18">
        <v>841</v>
      </c>
      <c r="E130" s="18">
        <v>1910</v>
      </c>
      <c r="F130" s="18">
        <v>4525</v>
      </c>
      <c r="G130" s="18">
        <v>6666</v>
      </c>
      <c r="H130" s="18">
        <v>7994</v>
      </c>
      <c r="I130" s="18">
        <v>964</v>
      </c>
      <c r="J130" s="18">
        <v>22</v>
      </c>
      <c r="K130" s="18">
        <v>0</v>
      </c>
      <c r="L130" s="24">
        <f t="shared" si="4"/>
        <v>24312</v>
      </c>
      <c r="U130" s="7"/>
      <c r="V130" s="7"/>
    </row>
    <row r="131" spans="1:22">
      <c r="A131" s="99">
        <v>2006</v>
      </c>
      <c r="B131" s="18">
        <v>289</v>
      </c>
      <c r="C131" s="18">
        <v>298</v>
      </c>
      <c r="D131" s="18">
        <v>800</v>
      </c>
      <c r="E131" s="18">
        <v>2327</v>
      </c>
      <c r="F131" s="18">
        <v>5917</v>
      </c>
      <c r="G131" s="18">
        <v>6655</v>
      </c>
      <c r="H131" s="18">
        <v>4051</v>
      </c>
      <c r="I131" s="18">
        <v>631</v>
      </c>
      <c r="J131" s="18">
        <v>0</v>
      </c>
      <c r="K131" s="18">
        <v>0</v>
      </c>
      <c r="L131" s="24">
        <v>20968</v>
      </c>
      <c r="U131" s="7"/>
      <c r="V131" s="7"/>
    </row>
    <row r="132" spans="1:22">
      <c r="A132" s="99">
        <v>2007</v>
      </c>
      <c r="B132" s="18">
        <v>249</v>
      </c>
      <c r="C132" s="18">
        <v>855</v>
      </c>
      <c r="D132" s="18">
        <v>692</v>
      </c>
      <c r="E132" s="18">
        <v>2280</v>
      </c>
      <c r="F132" s="18">
        <v>5593</v>
      </c>
      <c r="G132" s="18">
        <v>5271</v>
      </c>
      <c r="H132" s="18">
        <v>2013</v>
      </c>
      <c r="I132" s="18">
        <v>146</v>
      </c>
      <c r="J132" s="18">
        <v>25</v>
      </c>
      <c r="K132" s="18">
        <v>0</v>
      </c>
      <c r="L132" s="24">
        <f>SUM(B132:K132)</f>
        <v>17124</v>
      </c>
      <c r="U132" s="7"/>
      <c r="V132" s="7"/>
    </row>
    <row r="133" spans="1:22">
      <c r="A133" s="99">
        <v>2008</v>
      </c>
      <c r="B133" s="18">
        <v>206</v>
      </c>
      <c r="C133" s="18">
        <v>185</v>
      </c>
      <c r="D133" s="18" t="s">
        <v>23</v>
      </c>
      <c r="E133" s="18" t="s">
        <v>23</v>
      </c>
      <c r="F133" s="18" t="s">
        <v>23</v>
      </c>
      <c r="G133" s="18" t="s">
        <v>23</v>
      </c>
      <c r="H133" s="18" t="s">
        <v>23</v>
      </c>
      <c r="I133" s="18" t="s">
        <v>23</v>
      </c>
      <c r="J133" s="18" t="s">
        <v>23</v>
      </c>
      <c r="K133" s="18" t="s">
        <v>23</v>
      </c>
      <c r="L133" s="24">
        <f>SUM(B133:K133)</f>
        <v>391</v>
      </c>
      <c r="U133" s="7"/>
      <c r="V133" s="7"/>
    </row>
    <row r="134" spans="1:22">
      <c r="A134" s="99">
        <v>2009</v>
      </c>
      <c r="B134" s="18" t="s">
        <v>23</v>
      </c>
      <c r="C134" s="18" t="s">
        <v>23</v>
      </c>
      <c r="D134" s="18" t="s">
        <v>23</v>
      </c>
      <c r="E134" s="18" t="s">
        <v>23</v>
      </c>
      <c r="F134" s="18" t="s">
        <v>23</v>
      </c>
      <c r="G134" s="18" t="s">
        <v>23</v>
      </c>
      <c r="H134" s="18" t="s">
        <v>23</v>
      </c>
      <c r="I134" s="18" t="s">
        <v>23</v>
      </c>
      <c r="J134" s="18" t="s">
        <v>23</v>
      </c>
      <c r="K134" s="18" t="s">
        <v>23</v>
      </c>
      <c r="L134" s="24" t="s">
        <v>23</v>
      </c>
      <c r="U134" s="7"/>
      <c r="V134" s="7"/>
    </row>
    <row r="135" spans="1:22">
      <c r="A135" s="99">
        <v>2010</v>
      </c>
      <c r="B135" s="18" t="s">
        <v>23</v>
      </c>
      <c r="C135" s="18" t="s">
        <v>23</v>
      </c>
      <c r="D135" s="18">
        <v>1269</v>
      </c>
      <c r="E135" s="18">
        <v>1230</v>
      </c>
      <c r="F135" s="18">
        <v>743</v>
      </c>
      <c r="G135" s="18">
        <v>1460</v>
      </c>
      <c r="H135" s="18">
        <v>1625</v>
      </c>
      <c r="I135" s="18">
        <v>232</v>
      </c>
      <c r="J135" s="18" t="s">
        <v>23</v>
      </c>
      <c r="K135" s="18" t="s">
        <v>23</v>
      </c>
      <c r="L135" s="24">
        <f t="shared" ref="L135:L146" si="5">SUM(B135:K135)</f>
        <v>6559</v>
      </c>
      <c r="U135" s="7"/>
      <c r="V135" s="7"/>
    </row>
    <row r="136" spans="1:22">
      <c r="A136" s="99">
        <v>2011</v>
      </c>
      <c r="B136" s="18" t="s">
        <v>23</v>
      </c>
      <c r="C136" s="18" t="s">
        <v>23</v>
      </c>
      <c r="D136" s="18">
        <v>1532</v>
      </c>
      <c r="E136" s="18">
        <v>1522</v>
      </c>
      <c r="F136" s="18">
        <v>2294</v>
      </c>
      <c r="G136" s="18">
        <v>6234</v>
      </c>
      <c r="H136" s="18">
        <v>1975</v>
      </c>
      <c r="I136" s="18">
        <v>650</v>
      </c>
      <c r="J136" s="18">
        <v>182</v>
      </c>
      <c r="K136" s="18" t="s">
        <v>23</v>
      </c>
      <c r="L136" s="24">
        <f t="shared" si="5"/>
        <v>14389</v>
      </c>
      <c r="U136" s="7"/>
      <c r="V136" s="7"/>
    </row>
    <row r="137" spans="1:22">
      <c r="A137" s="99">
        <v>2012</v>
      </c>
      <c r="B137" s="18" t="s">
        <v>23</v>
      </c>
      <c r="C137" s="18" t="s">
        <v>23</v>
      </c>
      <c r="D137" s="18">
        <v>1230</v>
      </c>
      <c r="E137" s="18">
        <v>2088</v>
      </c>
      <c r="F137" s="18">
        <v>2975</v>
      </c>
      <c r="G137" s="18">
        <v>4076</v>
      </c>
      <c r="H137" s="18">
        <v>2890</v>
      </c>
      <c r="I137" s="18">
        <v>1069</v>
      </c>
      <c r="J137" s="18">
        <v>334</v>
      </c>
      <c r="K137" s="18">
        <v>151</v>
      </c>
      <c r="L137" s="24">
        <f t="shared" si="5"/>
        <v>14813</v>
      </c>
      <c r="U137" s="7"/>
      <c r="V137" s="7"/>
    </row>
    <row r="138" spans="1:22">
      <c r="A138" s="99">
        <v>2013</v>
      </c>
      <c r="B138" s="18" t="s">
        <v>23</v>
      </c>
      <c r="C138" s="18" t="s">
        <v>23</v>
      </c>
      <c r="D138" s="18">
        <v>934</v>
      </c>
      <c r="E138" s="18">
        <v>1666</v>
      </c>
      <c r="F138" s="18">
        <v>3519</v>
      </c>
      <c r="G138" s="18">
        <v>7136</v>
      </c>
      <c r="H138" s="18">
        <v>3076</v>
      </c>
      <c r="I138" s="18">
        <v>667</v>
      </c>
      <c r="J138" s="18">
        <v>220</v>
      </c>
      <c r="K138" s="18">
        <v>47</v>
      </c>
      <c r="L138" s="24">
        <f t="shared" si="5"/>
        <v>17265</v>
      </c>
      <c r="U138" s="7"/>
      <c r="V138" s="7"/>
    </row>
    <row r="139" spans="1:22">
      <c r="A139" s="99">
        <v>2014</v>
      </c>
      <c r="B139" s="18" t="s">
        <v>23</v>
      </c>
      <c r="C139" s="18" t="s">
        <v>23</v>
      </c>
      <c r="D139" s="18">
        <v>1049</v>
      </c>
      <c r="E139" s="18">
        <v>1371</v>
      </c>
      <c r="F139" s="18">
        <v>2538</v>
      </c>
      <c r="G139" s="18">
        <v>9435</v>
      </c>
      <c r="H139" s="18">
        <v>2554</v>
      </c>
      <c r="I139" s="18">
        <v>373</v>
      </c>
      <c r="J139" s="18">
        <v>102</v>
      </c>
      <c r="K139" s="18">
        <v>48</v>
      </c>
      <c r="L139" s="24">
        <f t="shared" si="5"/>
        <v>17470</v>
      </c>
      <c r="U139" s="7"/>
      <c r="V139" s="7"/>
    </row>
    <row r="140" spans="1:22">
      <c r="A140" s="99">
        <v>2015</v>
      </c>
      <c r="B140" s="18" t="s">
        <v>23</v>
      </c>
      <c r="C140" s="18" t="s">
        <v>23</v>
      </c>
      <c r="D140" s="18">
        <v>1051</v>
      </c>
      <c r="E140" s="18">
        <v>1321</v>
      </c>
      <c r="F140" s="18">
        <v>1615</v>
      </c>
      <c r="G140" s="18">
        <v>5002</v>
      </c>
      <c r="H140" s="18">
        <v>2278</v>
      </c>
      <c r="I140" s="18">
        <v>423</v>
      </c>
      <c r="J140" s="18">
        <v>94</v>
      </c>
      <c r="K140" s="18">
        <v>5</v>
      </c>
      <c r="L140" s="24">
        <f t="shared" si="5"/>
        <v>11789</v>
      </c>
      <c r="U140" s="7"/>
      <c r="V140" s="7"/>
    </row>
    <row r="141" spans="1:22">
      <c r="A141" s="99">
        <v>2016</v>
      </c>
      <c r="B141" s="18" t="s">
        <v>23</v>
      </c>
      <c r="C141" s="18" t="s">
        <v>23</v>
      </c>
      <c r="D141" s="18">
        <v>706</v>
      </c>
      <c r="E141" s="18">
        <v>934</v>
      </c>
      <c r="F141" s="18">
        <v>1003</v>
      </c>
      <c r="G141" s="18">
        <v>4817</v>
      </c>
      <c r="H141" s="18">
        <v>1751</v>
      </c>
      <c r="I141" s="18">
        <v>295</v>
      </c>
      <c r="J141" s="18">
        <v>68</v>
      </c>
      <c r="K141" s="18">
        <v>0</v>
      </c>
      <c r="L141" s="24">
        <f t="shared" si="5"/>
        <v>9574</v>
      </c>
      <c r="U141" s="7"/>
      <c r="V141" s="7"/>
    </row>
    <row r="142" spans="1:22">
      <c r="A142" s="99">
        <v>2017</v>
      </c>
      <c r="B142" s="18" t="s">
        <v>23</v>
      </c>
      <c r="C142" s="18" t="s">
        <v>23</v>
      </c>
      <c r="D142" s="18">
        <v>403</v>
      </c>
      <c r="E142" s="18">
        <v>1101</v>
      </c>
      <c r="F142" s="18" t="s">
        <v>23</v>
      </c>
      <c r="G142" s="18" t="s">
        <v>23</v>
      </c>
      <c r="H142" s="18">
        <v>1869</v>
      </c>
      <c r="I142" s="18">
        <v>1286</v>
      </c>
      <c r="J142" s="18">
        <v>17</v>
      </c>
      <c r="K142" s="18">
        <v>0</v>
      </c>
      <c r="L142" s="24">
        <f t="shared" si="5"/>
        <v>4676</v>
      </c>
      <c r="U142" s="7"/>
      <c r="V142" s="7"/>
    </row>
    <row r="143" spans="1:22">
      <c r="A143" s="99">
        <v>2018</v>
      </c>
      <c r="B143" s="18" t="s">
        <v>23</v>
      </c>
      <c r="C143" s="18" t="s">
        <v>23</v>
      </c>
      <c r="D143" s="18" t="s">
        <v>23</v>
      </c>
      <c r="E143" s="18" t="s">
        <v>23</v>
      </c>
      <c r="F143" s="18">
        <v>1009</v>
      </c>
      <c r="G143" s="18">
        <v>5523</v>
      </c>
      <c r="H143" s="18">
        <v>2897</v>
      </c>
      <c r="I143" s="18">
        <v>423</v>
      </c>
      <c r="J143" s="18">
        <v>39</v>
      </c>
      <c r="K143" s="18" t="s">
        <v>23</v>
      </c>
      <c r="L143" s="24">
        <f t="shared" si="5"/>
        <v>9891</v>
      </c>
      <c r="U143" s="7"/>
      <c r="V143" s="7"/>
    </row>
    <row r="144" spans="1:22">
      <c r="A144" s="239">
        <v>2019</v>
      </c>
      <c r="B144" s="18" t="s">
        <v>23</v>
      </c>
      <c r="C144" s="18" t="s">
        <v>23</v>
      </c>
      <c r="D144" s="18">
        <v>606</v>
      </c>
      <c r="E144" s="18">
        <v>166</v>
      </c>
      <c r="F144" s="18">
        <v>1646</v>
      </c>
      <c r="G144" s="18">
        <v>3171</v>
      </c>
      <c r="H144" s="18">
        <v>1735</v>
      </c>
      <c r="I144" s="18">
        <v>228</v>
      </c>
      <c r="J144" s="18">
        <v>52</v>
      </c>
      <c r="K144" s="18" t="s">
        <v>23</v>
      </c>
      <c r="L144" s="24">
        <f t="shared" ref="L144:L145" si="6">SUM(B144:K144)</f>
        <v>7604</v>
      </c>
      <c r="U144" s="7"/>
      <c r="V144" s="7"/>
    </row>
    <row r="145" spans="1:22" ht="13">
      <c r="A145" s="239" t="s">
        <v>308</v>
      </c>
      <c r="B145" s="18" t="s">
        <v>23</v>
      </c>
      <c r="C145" s="18" t="s">
        <v>23</v>
      </c>
      <c r="D145" s="18" t="s">
        <v>23</v>
      </c>
      <c r="E145" s="18" t="s">
        <v>106</v>
      </c>
      <c r="F145" s="18" t="s">
        <v>106</v>
      </c>
      <c r="G145" s="18">
        <v>2637</v>
      </c>
      <c r="H145" s="18">
        <v>2062</v>
      </c>
      <c r="I145" s="18">
        <v>469</v>
      </c>
      <c r="J145" s="18">
        <v>0</v>
      </c>
      <c r="K145" s="18">
        <v>0</v>
      </c>
      <c r="L145" s="24">
        <f t="shared" si="6"/>
        <v>5168</v>
      </c>
      <c r="U145" s="7"/>
      <c r="V145" s="7"/>
    </row>
    <row r="146" spans="1:22" ht="13">
      <c r="A146" s="239" t="s">
        <v>317</v>
      </c>
      <c r="B146" s="18" t="s">
        <v>23</v>
      </c>
      <c r="C146" s="18" t="s">
        <v>23</v>
      </c>
      <c r="D146" s="18" t="s">
        <v>23</v>
      </c>
      <c r="E146" s="18" t="s">
        <v>23</v>
      </c>
      <c r="F146" s="18">
        <v>251</v>
      </c>
      <c r="G146" s="18">
        <v>4733</v>
      </c>
      <c r="H146" s="18">
        <v>2249</v>
      </c>
      <c r="I146" s="18">
        <v>975</v>
      </c>
      <c r="J146" s="18">
        <v>429</v>
      </c>
      <c r="K146" s="18" t="s">
        <v>23</v>
      </c>
      <c r="L146" s="24">
        <f t="shared" si="5"/>
        <v>8637</v>
      </c>
      <c r="U146" s="7"/>
      <c r="V146" s="7"/>
    </row>
    <row r="147" spans="1:22">
      <c r="B147" s="18"/>
      <c r="C147" s="18"/>
      <c r="D147" s="18"/>
      <c r="E147" s="18"/>
      <c r="F147" s="18"/>
      <c r="G147" s="18"/>
      <c r="H147" s="18"/>
      <c r="I147" s="18"/>
      <c r="J147" s="18"/>
      <c r="K147" s="18"/>
    </row>
    <row r="148" spans="1:22">
      <c r="A148" s="94" t="s">
        <v>19</v>
      </c>
      <c r="B148" s="18"/>
      <c r="C148" s="18"/>
      <c r="D148" s="18"/>
      <c r="E148" s="18"/>
      <c r="F148" s="18"/>
      <c r="G148" s="18"/>
      <c r="H148" s="18"/>
      <c r="I148" s="18"/>
      <c r="J148" s="18"/>
      <c r="K148" s="18"/>
    </row>
    <row r="149" spans="1:22">
      <c r="A149" s="99">
        <v>1976</v>
      </c>
      <c r="B149" s="18">
        <v>6202</v>
      </c>
      <c r="C149" s="18">
        <v>4466</v>
      </c>
      <c r="D149" s="18">
        <v>6547</v>
      </c>
      <c r="E149" s="18">
        <v>12895</v>
      </c>
      <c r="F149" s="18">
        <v>10924</v>
      </c>
      <c r="G149" s="18">
        <v>13092</v>
      </c>
      <c r="H149" s="18">
        <v>17084</v>
      </c>
      <c r="I149" s="18">
        <v>9870</v>
      </c>
      <c r="J149" s="18">
        <v>12384</v>
      </c>
      <c r="K149" s="18">
        <v>3286</v>
      </c>
      <c r="L149" s="24">
        <f t="shared" ref="L149:L178" si="7">SUM(B149:K149)</f>
        <v>96750</v>
      </c>
    </row>
    <row r="150" spans="1:22">
      <c r="A150" s="99">
        <v>1977</v>
      </c>
      <c r="B150" s="18">
        <v>7350</v>
      </c>
      <c r="C150" s="18">
        <v>7695</v>
      </c>
      <c r="D150" s="18">
        <v>11196</v>
      </c>
      <c r="E150" s="18">
        <v>10561</v>
      </c>
      <c r="F150" s="18">
        <v>9150</v>
      </c>
      <c r="G150" s="18">
        <v>17351</v>
      </c>
      <c r="H150" s="18">
        <v>15338</v>
      </c>
      <c r="I150" s="18">
        <v>14148</v>
      </c>
      <c r="J150" s="18">
        <v>10415</v>
      </c>
      <c r="K150" s="18">
        <v>3025</v>
      </c>
      <c r="L150" s="24">
        <f t="shared" si="7"/>
        <v>106229</v>
      </c>
    </row>
    <row r="151" spans="1:22">
      <c r="A151" s="99">
        <v>1978</v>
      </c>
      <c r="B151" s="18">
        <v>17905</v>
      </c>
      <c r="C151" s="18">
        <v>11468</v>
      </c>
      <c r="D151" s="18">
        <v>2075</v>
      </c>
      <c r="E151" s="18">
        <v>1877</v>
      </c>
      <c r="F151" s="18">
        <v>4802</v>
      </c>
      <c r="G151" s="18">
        <v>15005</v>
      </c>
      <c r="H151" s="18">
        <v>12985</v>
      </c>
      <c r="I151" s="18">
        <v>16037</v>
      </c>
      <c r="J151" s="18">
        <v>8143</v>
      </c>
      <c r="K151" s="18">
        <v>5756</v>
      </c>
      <c r="L151" s="24">
        <f t="shared" si="7"/>
        <v>96053</v>
      </c>
    </row>
    <row r="152" spans="1:22">
      <c r="A152" s="99">
        <v>1979</v>
      </c>
      <c r="B152" s="18">
        <v>6459</v>
      </c>
      <c r="C152" s="18">
        <v>12552</v>
      </c>
      <c r="D152" s="18">
        <v>7682</v>
      </c>
      <c r="E152" s="18">
        <v>8023</v>
      </c>
      <c r="F152" s="18">
        <v>15397</v>
      </c>
      <c r="G152" s="18">
        <v>16543</v>
      </c>
      <c r="H152" s="18">
        <v>18797</v>
      </c>
      <c r="I152" s="18">
        <v>13430</v>
      </c>
      <c r="J152" s="18">
        <v>5420</v>
      </c>
      <c r="K152" s="18" t="s">
        <v>23</v>
      </c>
      <c r="L152" s="24">
        <f t="shared" si="7"/>
        <v>104303</v>
      </c>
    </row>
    <row r="153" spans="1:22">
      <c r="A153" s="99">
        <v>1980</v>
      </c>
      <c r="B153" s="18">
        <v>2597</v>
      </c>
      <c r="C153" s="18">
        <v>15165</v>
      </c>
      <c r="D153" s="18">
        <v>8726</v>
      </c>
      <c r="E153" s="18">
        <v>9555</v>
      </c>
      <c r="F153" s="18">
        <v>11796</v>
      </c>
      <c r="G153" s="18">
        <v>14543</v>
      </c>
      <c r="H153" s="18">
        <v>11789</v>
      </c>
      <c r="I153" s="18">
        <v>8955</v>
      </c>
      <c r="J153" s="18">
        <v>2970</v>
      </c>
      <c r="K153" s="18" t="s">
        <v>23</v>
      </c>
      <c r="L153" s="24">
        <f t="shared" si="7"/>
        <v>86096</v>
      </c>
    </row>
    <row r="154" spans="1:22">
      <c r="A154" s="99">
        <v>1981</v>
      </c>
      <c r="B154" s="18">
        <v>4711</v>
      </c>
      <c r="C154" s="18">
        <v>4293</v>
      </c>
      <c r="D154" s="18">
        <v>7986</v>
      </c>
      <c r="E154" s="18">
        <v>4701</v>
      </c>
      <c r="F154" s="18">
        <v>10264</v>
      </c>
      <c r="G154" s="18">
        <v>15036</v>
      </c>
      <c r="H154" s="18">
        <v>12964</v>
      </c>
      <c r="I154" s="18">
        <v>8462</v>
      </c>
      <c r="J154" s="18">
        <v>5401</v>
      </c>
      <c r="K154" s="18">
        <v>1250</v>
      </c>
      <c r="L154" s="24">
        <f t="shared" si="7"/>
        <v>75068</v>
      </c>
    </row>
    <row r="155" spans="1:22">
      <c r="A155" s="99">
        <v>1982</v>
      </c>
      <c r="B155" s="18">
        <v>6360</v>
      </c>
      <c r="C155" s="18">
        <v>10532</v>
      </c>
      <c r="D155" s="18">
        <v>5400</v>
      </c>
      <c r="E155" s="18">
        <v>7624</v>
      </c>
      <c r="F155" s="18">
        <v>9991</v>
      </c>
      <c r="G155" s="18">
        <v>18117</v>
      </c>
      <c r="H155" s="18">
        <v>18523</v>
      </c>
      <c r="I155" s="18">
        <v>12179</v>
      </c>
      <c r="J155" s="18">
        <v>9527</v>
      </c>
      <c r="K155" s="18">
        <v>2675</v>
      </c>
      <c r="L155" s="24">
        <f t="shared" si="7"/>
        <v>100928</v>
      </c>
    </row>
    <row r="156" spans="1:22">
      <c r="A156" s="99">
        <v>1983</v>
      </c>
      <c r="B156" s="18">
        <v>1943</v>
      </c>
      <c r="C156" s="18">
        <v>2255</v>
      </c>
      <c r="D156" s="18">
        <v>4600</v>
      </c>
      <c r="E156" s="18">
        <v>7593</v>
      </c>
      <c r="F156" s="18">
        <v>8312</v>
      </c>
      <c r="G156" s="18">
        <v>13775</v>
      </c>
      <c r="H156" s="18">
        <v>9307</v>
      </c>
      <c r="I156" s="18">
        <v>7093</v>
      </c>
      <c r="J156" s="18">
        <v>5308</v>
      </c>
      <c r="K156" s="18">
        <v>101</v>
      </c>
      <c r="L156" s="24">
        <f t="shared" si="7"/>
        <v>60287</v>
      </c>
    </row>
    <row r="157" spans="1:22">
      <c r="A157" s="99">
        <v>1984</v>
      </c>
      <c r="B157" s="18">
        <v>1719</v>
      </c>
      <c r="C157" s="18">
        <v>1615</v>
      </c>
      <c r="D157" s="18">
        <v>3077</v>
      </c>
      <c r="E157" s="18">
        <v>6188</v>
      </c>
      <c r="F157" s="18">
        <v>10916</v>
      </c>
      <c r="G157" s="18">
        <v>14324</v>
      </c>
      <c r="H157" s="18">
        <v>14077</v>
      </c>
      <c r="I157" s="18">
        <v>8904</v>
      </c>
      <c r="J157" s="18">
        <v>3427</v>
      </c>
      <c r="K157" s="18">
        <v>763</v>
      </c>
      <c r="L157" s="24">
        <f t="shared" si="7"/>
        <v>65010</v>
      </c>
    </row>
    <row r="158" spans="1:22">
      <c r="A158" s="99">
        <v>1985</v>
      </c>
      <c r="B158" s="18">
        <v>5852</v>
      </c>
      <c r="C158" s="18">
        <v>10362</v>
      </c>
      <c r="D158" s="18">
        <v>9130</v>
      </c>
      <c r="E158" s="18">
        <v>8356</v>
      </c>
      <c r="F158" s="18">
        <v>14410</v>
      </c>
      <c r="G158" s="18">
        <v>13777</v>
      </c>
      <c r="H158" s="18">
        <v>15436</v>
      </c>
      <c r="I158" s="18">
        <v>9816</v>
      </c>
      <c r="J158" s="18">
        <v>4221</v>
      </c>
      <c r="K158" s="18">
        <v>1924</v>
      </c>
      <c r="L158" s="24">
        <f t="shared" si="7"/>
        <v>93284</v>
      </c>
    </row>
    <row r="159" spans="1:22">
      <c r="A159" s="99">
        <v>1986</v>
      </c>
      <c r="B159" s="18">
        <v>1917</v>
      </c>
      <c r="C159" s="18">
        <v>8244</v>
      </c>
      <c r="D159" s="18">
        <v>9063</v>
      </c>
      <c r="E159" s="18">
        <v>8591</v>
      </c>
      <c r="F159" s="18">
        <v>13506</v>
      </c>
      <c r="G159" s="18">
        <v>21001</v>
      </c>
      <c r="H159" s="18">
        <v>17890</v>
      </c>
      <c r="I159" s="18">
        <v>6608</v>
      </c>
      <c r="J159" s="18">
        <v>3995</v>
      </c>
      <c r="K159" s="18">
        <v>881</v>
      </c>
      <c r="L159" s="24">
        <f t="shared" si="7"/>
        <v>91696</v>
      </c>
    </row>
    <row r="160" spans="1:22">
      <c r="A160" s="99">
        <v>1987</v>
      </c>
      <c r="B160" s="18">
        <v>4311</v>
      </c>
      <c r="C160" s="18">
        <v>9624</v>
      </c>
      <c r="D160" s="18">
        <v>11293</v>
      </c>
      <c r="E160" s="18">
        <v>10066</v>
      </c>
      <c r="F160" s="18">
        <v>10207</v>
      </c>
      <c r="G160" s="18">
        <v>19517</v>
      </c>
      <c r="H160" s="18">
        <v>22227</v>
      </c>
      <c r="I160" s="18">
        <v>12341</v>
      </c>
      <c r="J160" s="18">
        <v>7183</v>
      </c>
      <c r="K160" s="18">
        <v>1633</v>
      </c>
      <c r="L160" s="24">
        <f t="shared" si="7"/>
        <v>108402</v>
      </c>
    </row>
    <row r="161" spans="1:22">
      <c r="A161" s="99">
        <v>1988</v>
      </c>
      <c r="B161" s="18">
        <v>6511</v>
      </c>
      <c r="C161" s="18">
        <v>10325</v>
      </c>
      <c r="D161" s="18">
        <v>12345</v>
      </c>
      <c r="E161" s="18">
        <v>12533</v>
      </c>
      <c r="F161" s="18">
        <v>16433</v>
      </c>
      <c r="G161" s="18">
        <v>21596</v>
      </c>
      <c r="H161" s="18">
        <v>15601</v>
      </c>
      <c r="I161" s="18">
        <v>8925</v>
      </c>
      <c r="J161" s="18">
        <v>3781</v>
      </c>
      <c r="K161" s="18">
        <v>42</v>
      </c>
      <c r="L161" s="24">
        <f t="shared" si="7"/>
        <v>108092</v>
      </c>
    </row>
    <row r="162" spans="1:22">
      <c r="A162" s="99">
        <v>1989</v>
      </c>
      <c r="B162" s="18">
        <v>5960</v>
      </c>
      <c r="C162" s="18">
        <v>9342</v>
      </c>
      <c r="D162" s="18">
        <v>14846</v>
      </c>
      <c r="E162" s="18">
        <v>7743</v>
      </c>
      <c r="F162" s="18">
        <v>11495</v>
      </c>
      <c r="G162" s="18">
        <v>15118</v>
      </c>
      <c r="H162" s="18">
        <v>14109</v>
      </c>
      <c r="I162" s="18">
        <v>10567</v>
      </c>
      <c r="J162" s="18">
        <v>4002</v>
      </c>
      <c r="K162" s="18">
        <v>1852</v>
      </c>
      <c r="L162" s="24">
        <f t="shared" si="7"/>
        <v>95034</v>
      </c>
    </row>
    <row r="163" spans="1:22">
      <c r="A163" s="99">
        <v>1990</v>
      </c>
      <c r="B163" s="18">
        <v>5426</v>
      </c>
      <c r="C163" s="18">
        <v>11627</v>
      </c>
      <c r="D163" s="18">
        <v>13743</v>
      </c>
      <c r="E163" s="18">
        <v>5995</v>
      </c>
      <c r="F163" s="18">
        <v>11220</v>
      </c>
      <c r="G163" s="18">
        <v>15570</v>
      </c>
      <c r="H163" s="18">
        <v>10099</v>
      </c>
      <c r="I163" s="18">
        <v>9590</v>
      </c>
      <c r="J163" s="18">
        <v>4816</v>
      </c>
      <c r="K163" s="18">
        <v>1584</v>
      </c>
      <c r="L163" s="24">
        <f t="shared" si="7"/>
        <v>89670</v>
      </c>
    </row>
    <row r="164" spans="1:22">
      <c r="A164" s="99">
        <v>1991</v>
      </c>
      <c r="B164" s="18">
        <v>32</v>
      </c>
      <c r="C164" s="18">
        <v>4054</v>
      </c>
      <c r="D164" s="18">
        <v>7107</v>
      </c>
      <c r="E164" s="18">
        <v>6286</v>
      </c>
      <c r="F164" s="18">
        <v>11988</v>
      </c>
      <c r="G164" s="18">
        <v>18623</v>
      </c>
      <c r="H164" s="18">
        <v>13926</v>
      </c>
      <c r="I164" s="18">
        <v>5217</v>
      </c>
      <c r="J164" s="18">
        <v>2872</v>
      </c>
      <c r="K164" s="18">
        <v>58</v>
      </c>
      <c r="L164" s="24">
        <f t="shared" si="7"/>
        <v>70163</v>
      </c>
      <c r="M164" s="7"/>
    </row>
    <row r="165" spans="1:22">
      <c r="A165" s="99">
        <v>1992</v>
      </c>
      <c r="B165" s="18">
        <v>833</v>
      </c>
      <c r="C165" s="18">
        <v>2407</v>
      </c>
      <c r="D165" s="18">
        <v>2502</v>
      </c>
      <c r="E165" s="18">
        <v>5884</v>
      </c>
      <c r="F165" s="18">
        <v>8595</v>
      </c>
      <c r="G165" s="18">
        <v>16055</v>
      </c>
      <c r="H165" s="18">
        <v>11848</v>
      </c>
      <c r="I165" s="18">
        <v>9364</v>
      </c>
      <c r="J165" s="18">
        <v>4292</v>
      </c>
      <c r="K165" s="18">
        <v>237</v>
      </c>
      <c r="L165" s="24">
        <f t="shared" si="7"/>
        <v>62017</v>
      </c>
    </row>
    <row r="166" spans="1:22">
      <c r="A166" s="99">
        <v>1993</v>
      </c>
      <c r="B166" s="18">
        <v>513</v>
      </c>
      <c r="C166" s="18">
        <v>6554</v>
      </c>
      <c r="D166" s="18">
        <v>6080</v>
      </c>
      <c r="E166" s="18">
        <v>7702</v>
      </c>
      <c r="F166" s="18">
        <v>7382</v>
      </c>
      <c r="G166" s="18">
        <v>27838</v>
      </c>
      <c r="H166" s="18">
        <v>17615</v>
      </c>
      <c r="I166" s="18">
        <v>5463</v>
      </c>
      <c r="J166" s="18">
        <v>3643</v>
      </c>
      <c r="K166" s="18" t="s">
        <v>23</v>
      </c>
      <c r="L166" s="24">
        <f t="shared" si="7"/>
        <v>82790</v>
      </c>
      <c r="V166" s="7"/>
    </row>
    <row r="167" spans="1:22">
      <c r="A167" s="99">
        <v>1994</v>
      </c>
      <c r="B167" s="18">
        <v>1284</v>
      </c>
      <c r="C167" s="18">
        <v>6849</v>
      </c>
      <c r="D167" s="18">
        <v>7884</v>
      </c>
      <c r="E167" s="18">
        <v>7930</v>
      </c>
      <c r="F167" s="18">
        <v>18765</v>
      </c>
      <c r="G167" s="18">
        <v>35423</v>
      </c>
      <c r="H167" s="18">
        <v>21043</v>
      </c>
      <c r="I167" s="18">
        <v>10802</v>
      </c>
      <c r="J167" s="18">
        <v>7494</v>
      </c>
      <c r="K167" s="18" t="s">
        <v>23</v>
      </c>
      <c r="L167" s="24">
        <f t="shared" si="7"/>
        <v>117474</v>
      </c>
      <c r="V167" s="7"/>
    </row>
    <row r="168" spans="1:22">
      <c r="A168" s="99">
        <v>1995</v>
      </c>
      <c r="B168" s="18" t="s">
        <v>23</v>
      </c>
      <c r="C168" s="18">
        <v>9592</v>
      </c>
      <c r="D168" s="18">
        <v>10487</v>
      </c>
      <c r="E168" s="18">
        <v>12296</v>
      </c>
      <c r="F168" s="18">
        <v>17307</v>
      </c>
      <c r="G168" s="18">
        <v>51018</v>
      </c>
      <c r="H168" s="18">
        <v>23677</v>
      </c>
      <c r="I168" s="18">
        <v>12786</v>
      </c>
      <c r="J168" s="18">
        <v>4297</v>
      </c>
      <c r="K168" s="18" t="s">
        <v>23</v>
      </c>
      <c r="L168" s="24">
        <f t="shared" si="7"/>
        <v>141460</v>
      </c>
      <c r="M168" s="7"/>
      <c r="V168" s="7"/>
    </row>
    <row r="169" spans="1:22">
      <c r="A169" s="99">
        <v>1996</v>
      </c>
      <c r="B169" s="18" t="s">
        <v>23</v>
      </c>
      <c r="C169" s="18">
        <v>19039</v>
      </c>
      <c r="D169" s="18">
        <v>13150</v>
      </c>
      <c r="E169" s="18">
        <v>9551</v>
      </c>
      <c r="F169" s="18">
        <v>12696</v>
      </c>
      <c r="G169" s="18">
        <v>28499</v>
      </c>
      <c r="H169" s="18">
        <v>13566</v>
      </c>
      <c r="I169" s="18">
        <v>5266</v>
      </c>
      <c r="J169" s="18">
        <v>2397</v>
      </c>
      <c r="K169" s="18" t="s">
        <v>23</v>
      </c>
      <c r="L169" s="24">
        <f t="shared" si="7"/>
        <v>104164</v>
      </c>
      <c r="M169" s="7"/>
      <c r="V169" s="7"/>
    </row>
    <row r="170" spans="1:22">
      <c r="A170" s="99">
        <v>1997</v>
      </c>
      <c r="B170" s="18" t="s">
        <v>23</v>
      </c>
      <c r="C170" s="18">
        <v>4738</v>
      </c>
      <c r="D170" s="18">
        <v>10927</v>
      </c>
      <c r="E170" s="18">
        <v>16760</v>
      </c>
      <c r="F170" s="18">
        <v>13959</v>
      </c>
      <c r="G170" s="18">
        <v>34485</v>
      </c>
      <c r="H170" s="18">
        <v>21240</v>
      </c>
      <c r="I170" s="18">
        <v>5461</v>
      </c>
      <c r="J170" s="18">
        <v>3212</v>
      </c>
      <c r="K170" s="18">
        <v>380</v>
      </c>
      <c r="L170" s="24">
        <f t="shared" si="7"/>
        <v>111162</v>
      </c>
      <c r="M170" s="7"/>
    </row>
    <row r="171" spans="1:22">
      <c r="A171" s="99">
        <v>1998</v>
      </c>
      <c r="B171" s="18" t="s">
        <v>23</v>
      </c>
      <c r="C171" s="18">
        <v>249</v>
      </c>
      <c r="D171" s="18">
        <v>6973</v>
      </c>
      <c r="E171" s="18">
        <v>5842</v>
      </c>
      <c r="F171" s="18">
        <v>13644</v>
      </c>
      <c r="G171" s="18">
        <v>23128</v>
      </c>
      <c r="H171" s="18">
        <v>20796</v>
      </c>
      <c r="I171" s="18">
        <v>6903</v>
      </c>
      <c r="J171" s="18">
        <v>3465</v>
      </c>
      <c r="K171" s="134" t="s">
        <v>106</v>
      </c>
      <c r="L171" s="24">
        <f t="shared" si="7"/>
        <v>81000</v>
      </c>
      <c r="M171" s="7"/>
      <c r="V171" s="7"/>
    </row>
    <row r="172" spans="1:22">
      <c r="A172" s="99">
        <v>1999</v>
      </c>
      <c r="B172" s="18" t="s">
        <v>23</v>
      </c>
      <c r="C172" s="18">
        <v>1430</v>
      </c>
      <c r="D172" s="18">
        <v>8005</v>
      </c>
      <c r="E172" s="18">
        <v>3688</v>
      </c>
      <c r="F172" s="18">
        <v>12982</v>
      </c>
      <c r="G172" s="18">
        <v>32018</v>
      </c>
      <c r="H172" s="18">
        <v>17424</v>
      </c>
      <c r="I172" s="18">
        <v>8835</v>
      </c>
      <c r="J172" s="18">
        <v>5421</v>
      </c>
      <c r="K172" s="18" t="s">
        <v>23</v>
      </c>
      <c r="L172" s="24">
        <f t="shared" si="7"/>
        <v>89803</v>
      </c>
      <c r="M172" s="7"/>
      <c r="V172" s="7"/>
    </row>
    <row r="173" spans="1:22">
      <c r="A173" s="99">
        <v>2000</v>
      </c>
      <c r="B173" s="18" t="s">
        <v>23</v>
      </c>
      <c r="C173" s="18" t="s">
        <v>23</v>
      </c>
      <c r="D173" s="18">
        <v>6572</v>
      </c>
      <c r="E173" s="18">
        <v>9720</v>
      </c>
      <c r="F173" s="18">
        <v>16714</v>
      </c>
      <c r="G173" s="18">
        <v>19102</v>
      </c>
      <c r="H173" s="18">
        <v>13302</v>
      </c>
      <c r="I173" s="18">
        <v>11421</v>
      </c>
      <c r="J173" s="18">
        <v>5430</v>
      </c>
      <c r="K173" s="18">
        <v>1451</v>
      </c>
      <c r="L173" s="24">
        <f t="shared" si="7"/>
        <v>83712</v>
      </c>
      <c r="M173" s="7"/>
      <c r="N173" s="7"/>
    </row>
    <row r="174" spans="1:22">
      <c r="A174" s="99">
        <v>2001</v>
      </c>
      <c r="B174" s="18" t="s">
        <v>23</v>
      </c>
      <c r="C174" s="18" t="s">
        <v>23</v>
      </c>
      <c r="D174" s="18">
        <v>5689</v>
      </c>
      <c r="E174" s="18">
        <v>8646</v>
      </c>
      <c r="F174" s="18">
        <v>4968</v>
      </c>
      <c r="G174" s="18">
        <v>17387</v>
      </c>
      <c r="H174" s="18">
        <v>15521</v>
      </c>
      <c r="I174" s="18">
        <v>10727</v>
      </c>
      <c r="J174" s="18">
        <v>5974</v>
      </c>
      <c r="K174" s="18">
        <v>2578</v>
      </c>
      <c r="L174" s="24">
        <f t="shared" si="7"/>
        <v>71490</v>
      </c>
      <c r="M174" s="7"/>
      <c r="N174" s="7"/>
    </row>
    <row r="175" spans="1:22">
      <c r="A175" s="99">
        <v>2002</v>
      </c>
      <c r="B175" s="18" t="s">
        <v>23</v>
      </c>
      <c r="C175" s="18" t="s">
        <v>23</v>
      </c>
      <c r="D175" s="18">
        <v>5322</v>
      </c>
      <c r="E175" s="18">
        <v>10758</v>
      </c>
      <c r="F175" s="18">
        <v>14016</v>
      </c>
      <c r="G175" s="18">
        <v>28354</v>
      </c>
      <c r="H175" s="18">
        <v>21029</v>
      </c>
      <c r="I175" s="18">
        <v>7104</v>
      </c>
      <c r="J175" s="18">
        <v>1820</v>
      </c>
      <c r="K175" s="18">
        <v>381</v>
      </c>
      <c r="L175" s="24">
        <f t="shared" si="7"/>
        <v>88784</v>
      </c>
      <c r="M175" s="7"/>
      <c r="N175" s="7"/>
    </row>
    <row r="176" spans="1:22">
      <c r="A176" s="99">
        <v>2003</v>
      </c>
      <c r="B176" s="18" t="s">
        <v>23</v>
      </c>
      <c r="C176" s="18" t="s">
        <v>23</v>
      </c>
      <c r="D176" s="18">
        <v>4013</v>
      </c>
      <c r="E176" s="18">
        <v>8559</v>
      </c>
      <c r="F176" s="18">
        <v>11885</v>
      </c>
      <c r="G176" s="18">
        <v>22201</v>
      </c>
      <c r="H176" s="18">
        <v>11087</v>
      </c>
      <c r="I176" s="18">
        <v>5945</v>
      </c>
      <c r="J176" s="18">
        <v>2662</v>
      </c>
      <c r="K176" s="18">
        <v>264</v>
      </c>
      <c r="L176" s="24">
        <f t="shared" si="7"/>
        <v>66616</v>
      </c>
      <c r="M176" s="7"/>
      <c r="N176" s="7"/>
    </row>
    <row r="177" spans="1:14">
      <c r="A177" s="99">
        <v>2004</v>
      </c>
      <c r="B177" s="18" t="s">
        <v>23</v>
      </c>
      <c r="C177" s="18" t="s">
        <v>23</v>
      </c>
      <c r="D177" s="18">
        <v>7232</v>
      </c>
      <c r="E177" s="18">
        <v>15145</v>
      </c>
      <c r="F177" s="18">
        <v>15864</v>
      </c>
      <c r="G177" s="18">
        <v>32723</v>
      </c>
      <c r="H177" s="18">
        <v>21167</v>
      </c>
      <c r="I177" s="18">
        <v>8372</v>
      </c>
      <c r="J177" s="18">
        <v>4063</v>
      </c>
      <c r="K177" s="18">
        <v>1512</v>
      </c>
      <c r="L177" s="24">
        <f t="shared" si="7"/>
        <v>106078</v>
      </c>
      <c r="M177" s="7"/>
      <c r="N177" s="7"/>
    </row>
    <row r="178" spans="1:14">
      <c r="A178" s="99">
        <v>2005</v>
      </c>
      <c r="B178" s="18" t="s">
        <v>23</v>
      </c>
      <c r="C178" s="18" t="s">
        <v>23</v>
      </c>
      <c r="D178" s="18">
        <v>9003</v>
      </c>
      <c r="E178" s="18">
        <v>10890</v>
      </c>
      <c r="F178" s="18">
        <v>9888</v>
      </c>
      <c r="G178" s="18">
        <v>22712</v>
      </c>
      <c r="H178" s="18">
        <v>13543</v>
      </c>
      <c r="I178" s="18">
        <v>11925</v>
      </c>
      <c r="J178" s="18">
        <v>5846</v>
      </c>
      <c r="K178" s="18">
        <v>965</v>
      </c>
      <c r="L178" s="24">
        <f t="shared" si="7"/>
        <v>84772</v>
      </c>
      <c r="M178" s="7"/>
      <c r="N178" s="7"/>
    </row>
    <row r="179" spans="1:14">
      <c r="A179" s="99">
        <v>2006</v>
      </c>
      <c r="B179" s="18" t="s">
        <v>23</v>
      </c>
      <c r="C179" s="18" t="s">
        <v>23</v>
      </c>
      <c r="D179" s="18">
        <v>3860</v>
      </c>
      <c r="E179" s="18">
        <v>11575</v>
      </c>
      <c r="F179" s="18">
        <v>13994</v>
      </c>
      <c r="G179" s="18">
        <v>20739</v>
      </c>
      <c r="H179" s="18">
        <v>5557</v>
      </c>
      <c r="I179" s="18">
        <v>3371</v>
      </c>
      <c r="J179" s="18">
        <v>1827</v>
      </c>
      <c r="K179" s="18">
        <v>448</v>
      </c>
      <c r="L179" s="24">
        <v>61371</v>
      </c>
      <c r="M179" s="7"/>
      <c r="N179" s="7"/>
    </row>
    <row r="180" spans="1:14">
      <c r="A180" s="99">
        <v>2007</v>
      </c>
      <c r="B180" s="18" t="s">
        <v>23</v>
      </c>
      <c r="C180" s="18" t="s">
        <v>23</v>
      </c>
      <c r="D180" s="18">
        <v>3505</v>
      </c>
      <c r="E180" s="18">
        <v>6915</v>
      </c>
      <c r="F180" s="18">
        <v>8340</v>
      </c>
      <c r="G180" s="18">
        <v>13775</v>
      </c>
      <c r="H180" s="18">
        <v>4908</v>
      </c>
      <c r="I180" s="18">
        <v>2511</v>
      </c>
      <c r="J180" s="18">
        <v>1766</v>
      </c>
      <c r="K180" s="18">
        <v>1394</v>
      </c>
      <c r="L180" s="24">
        <f>SUM(B180:K180)</f>
        <v>43114</v>
      </c>
      <c r="M180" s="7"/>
      <c r="N180" s="7"/>
    </row>
    <row r="181" spans="1:14">
      <c r="A181" s="99">
        <v>2008</v>
      </c>
      <c r="B181" s="18" t="s">
        <v>23</v>
      </c>
      <c r="C181" s="18" t="s">
        <v>23</v>
      </c>
      <c r="D181" s="18" t="s">
        <v>23</v>
      </c>
      <c r="E181" s="18" t="s">
        <v>23</v>
      </c>
      <c r="F181" s="18" t="s">
        <v>23</v>
      </c>
      <c r="G181" s="18" t="s">
        <v>23</v>
      </c>
      <c r="H181" s="18" t="s">
        <v>23</v>
      </c>
      <c r="I181" s="18" t="s">
        <v>23</v>
      </c>
      <c r="J181" s="18" t="s">
        <v>23</v>
      </c>
      <c r="K181" s="18" t="s">
        <v>23</v>
      </c>
      <c r="L181" s="24" t="s">
        <v>23</v>
      </c>
      <c r="M181" s="7"/>
      <c r="N181" s="7"/>
    </row>
    <row r="182" spans="1:14">
      <c r="A182" s="99">
        <v>2009</v>
      </c>
      <c r="B182" s="18" t="s">
        <v>23</v>
      </c>
      <c r="C182" s="18" t="s">
        <v>23</v>
      </c>
      <c r="D182" s="18" t="s">
        <v>23</v>
      </c>
      <c r="E182" s="18" t="s">
        <v>23</v>
      </c>
      <c r="F182" s="18" t="s">
        <v>23</v>
      </c>
      <c r="G182" s="18" t="s">
        <v>23</v>
      </c>
      <c r="H182" s="18" t="s">
        <v>23</v>
      </c>
      <c r="I182" s="18" t="s">
        <v>23</v>
      </c>
      <c r="J182" s="18" t="s">
        <v>23</v>
      </c>
      <c r="K182" s="18" t="s">
        <v>23</v>
      </c>
      <c r="L182" s="24" t="s">
        <v>23</v>
      </c>
      <c r="M182" s="7"/>
      <c r="N182" s="7"/>
    </row>
    <row r="183" spans="1:14">
      <c r="A183" s="99">
        <v>2010</v>
      </c>
      <c r="B183" s="18" t="s">
        <v>23</v>
      </c>
      <c r="C183" s="18" t="s">
        <v>23</v>
      </c>
      <c r="D183" s="18">
        <v>3889</v>
      </c>
      <c r="E183" s="18">
        <v>1521</v>
      </c>
      <c r="F183" s="18">
        <v>1693</v>
      </c>
      <c r="G183" s="18">
        <v>4846</v>
      </c>
      <c r="H183" s="18">
        <v>5730</v>
      </c>
      <c r="I183" s="18">
        <v>1673</v>
      </c>
      <c r="J183" s="18" t="s">
        <v>23</v>
      </c>
      <c r="K183" s="18" t="s">
        <v>23</v>
      </c>
      <c r="L183" s="24">
        <f t="shared" ref="L183:L194" si="8">SUM(B183:K183)</f>
        <v>19352</v>
      </c>
      <c r="M183" s="7"/>
      <c r="N183" s="7"/>
    </row>
    <row r="184" spans="1:14">
      <c r="A184" s="99">
        <v>2011</v>
      </c>
      <c r="B184" s="18" t="s">
        <v>23</v>
      </c>
      <c r="C184" s="18" t="s">
        <v>23</v>
      </c>
      <c r="D184" s="18">
        <v>2046</v>
      </c>
      <c r="E184" s="18">
        <v>2272</v>
      </c>
      <c r="F184" s="18">
        <v>1630</v>
      </c>
      <c r="G184" s="18">
        <v>8505</v>
      </c>
      <c r="H184" s="18">
        <v>9094</v>
      </c>
      <c r="I184" s="18">
        <v>7591</v>
      </c>
      <c r="J184" s="18">
        <v>3249</v>
      </c>
      <c r="K184" s="18" t="s">
        <v>23</v>
      </c>
      <c r="L184" s="24">
        <f t="shared" si="8"/>
        <v>34387</v>
      </c>
      <c r="M184" s="7"/>
      <c r="N184" s="7"/>
    </row>
    <row r="185" spans="1:14">
      <c r="A185" s="99">
        <v>2012</v>
      </c>
      <c r="B185" s="18" t="s">
        <v>23</v>
      </c>
      <c r="C185" s="18" t="s">
        <v>23</v>
      </c>
      <c r="D185" s="18">
        <v>4113</v>
      </c>
      <c r="E185" s="18">
        <v>6663</v>
      </c>
      <c r="F185" s="18">
        <v>11396</v>
      </c>
      <c r="G185" s="18">
        <v>15667</v>
      </c>
      <c r="H185" s="18">
        <v>10085</v>
      </c>
      <c r="I185" s="18">
        <v>6421</v>
      </c>
      <c r="J185" s="18">
        <v>2779</v>
      </c>
      <c r="K185" s="18">
        <v>418</v>
      </c>
      <c r="L185" s="24">
        <f t="shared" si="8"/>
        <v>57542</v>
      </c>
      <c r="M185" s="7"/>
      <c r="N185" s="7"/>
    </row>
    <row r="186" spans="1:14">
      <c r="A186" s="99">
        <v>2013</v>
      </c>
      <c r="B186" s="18" t="s">
        <v>23</v>
      </c>
      <c r="C186" s="18" t="s">
        <v>23</v>
      </c>
      <c r="D186" s="18">
        <v>6406</v>
      </c>
      <c r="E186" s="18">
        <v>7823</v>
      </c>
      <c r="F186" s="18">
        <v>11183</v>
      </c>
      <c r="G186" s="18">
        <v>22814</v>
      </c>
      <c r="H186" s="18">
        <v>14354</v>
      </c>
      <c r="I186" s="18">
        <v>4572</v>
      </c>
      <c r="J186" s="18">
        <v>2003</v>
      </c>
      <c r="K186" s="18">
        <v>379</v>
      </c>
      <c r="L186" s="24">
        <f t="shared" si="8"/>
        <v>69534</v>
      </c>
      <c r="M186" s="7"/>
      <c r="N186" s="7"/>
    </row>
    <row r="187" spans="1:14">
      <c r="A187" s="99">
        <v>2014</v>
      </c>
      <c r="B187" s="18" t="s">
        <v>23</v>
      </c>
      <c r="C187" s="18" t="s">
        <v>23</v>
      </c>
      <c r="D187" s="18">
        <v>3433</v>
      </c>
      <c r="E187" s="18">
        <v>3406</v>
      </c>
      <c r="F187" s="18">
        <v>2163</v>
      </c>
      <c r="G187" s="18">
        <v>11779</v>
      </c>
      <c r="H187" s="18">
        <v>18604</v>
      </c>
      <c r="I187" s="18">
        <v>9589</v>
      </c>
      <c r="J187" s="18">
        <v>5046</v>
      </c>
      <c r="K187" s="18">
        <v>675</v>
      </c>
      <c r="L187" s="24">
        <f t="shared" si="8"/>
        <v>54695</v>
      </c>
      <c r="M187" s="7"/>
      <c r="N187" s="7"/>
    </row>
    <row r="188" spans="1:14">
      <c r="A188" s="99">
        <v>2015</v>
      </c>
      <c r="B188" s="18" t="s">
        <v>23</v>
      </c>
      <c r="C188" s="18" t="s">
        <v>23</v>
      </c>
      <c r="D188" s="18">
        <v>2380</v>
      </c>
      <c r="E188" s="18">
        <v>2708</v>
      </c>
      <c r="F188" s="18">
        <v>5176</v>
      </c>
      <c r="G188" s="18">
        <v>9851</v>
      </c>
      <c r="H188" s="18">
        <v>12523</v>
      </c>
      <c r="I188" s="18">
        <v>9838</v>
      </c>
      <c r="J188" s="18">
        <v>3389</v>
      </c>
      <c r="K188" s="18" t="s">
        <v>23</v>
      </c>
      <c r="L188" s="24">
        <f>SUM(B188:K188)</f>
        <v>45865</v>
      </c>
      <c r="M188" s="7"/>
      <c r="N188" s="7"/>
    </row>
    <row r="189" spans="1:14">
      <c r="A189" s="99">
        <v>2016</v>
      </c>
      <c r="B189" s="18" t="s">
        <v>23</v>
      </c>
      <c r="C189" s="18" t="s">
        <v>23</v>
      </c>
      <c r="D189" s="18">
        <v>2797</v>
      </c>
      <c r="E189" s="18">
        <v>4723</v>
      </c>
      <c r="F189" s="18">
        <v>2797</v>
      </c>
      <c r="G189" s="18">
        <v>11554</v>
      </c>
      <c r="H189" s="18">
        <v>11437</v>
      </c>
      <c r="I189" s="18">
        <v>8205</v>
      </c>
      <c r="J189" s="18">
        <v>2298</v>
      </c>
      <c r="K189" s="18" t="s">
        <v>23</v>
      </c>
      <c r="L189" s="24">
        <f>SUM(B189:K189)</f>
        <v>43811</v>
      </c>
      <c r="M189" s="7"/>
      <c r="N189" s="7"/>
    </row>
    <row r="190" spans="1:14">
      <c r="A190" s="99">
        <v>2017</v>
      </c>
      <c r="B190" s="18" t="s">
        <v>23</v>
      </c>
      <c r="C190" s="18" t="s">
        <v>23</v>
      </c>
      <c r="D190" s="18">
        <v>1470</v>
      </c>
      <c r="E190" s="18">
        <v>1665</v>
      </c>
      <c r="F190" s="18">
        <v>5429</v>
      </c>
      <c r="G190" s="18">
        <v>19131</v>
      </c>
      <c r="H190" s="18">
        <v>17489</v>
      </c>
      <c r="I190" s="18">
        <v>7210</v>
      </c>
      <c r="J190" s="18">
        <v>1834</v>
      </c>
      <c r="K190" s="18" t="s">
        <v>23</v>
      </c>
      <c r="L190" s="24">
        <f>SUM(B190:K190)</f>
        <v>54228</v>
      </c>
      <c r="M190" s="7"/>
      <c r="N190" s="7"/>
    </row>
    <row r="191" spans="1:14">
      <c r="A191" s="99">
        <v>2018</v>
      </c>
      <c r="B191" s="18" t="s">
        <v>23</v>
      </c>
      <c r="C191" s="18" t="s">
        <v>23</v>
      </c>
      <c r="D191" s="18" t="s">
        <v>23</v>
      </c>
      <c r="E191" s="18" t="s">
        <v>23</v>
      </c>
      <c r="F191" s="18">
        <v>8043</v>
      </c>
      <c r="G191" s="18">
        <v>28234</v>
      </c>
      <c r="H191" s="18">
        <v>15575</v>
      </c>
      <c r="I191" s="18">
        <v>8561</v>
      </c>
      <c r="J191" s="18">
        <v>5033</v>
      </c>
      <c r="K191" s="18" t="s">
        <v>23</v>
      </c>
      <c r="L191" s="24">
        <f>SUM(B191:K191)</f>
        <v>65446</v>
      </c>
      <c r="M191" s="7"/>
      <c r="N191" s="7"/>
    </row>
    <row r="192" spans="1:14">
      <c r="A192" s="239">
        <v>2019</v>
      </c>
      <c r="B192" s="18" t="s">
        <v>23</v>
      </c>
      <c r="C192" s="18" t="s">
        <v>23</v>
      </c>
      <c r="D192" s="18">
        <v>3207</v>
      </c>
      <c r="E192" s="18">
        <v>1612</v>
      </c>
      <c r="F192" s="18">
        <v>12056</v>
      </c>
      <c r="G192" s="18">
        <v>15392</v>
      </c>
      <c r="H192" s="18">
        <v>17321</v>
      </c>
      <c r="I192" s="18">
        <v>6697</v>
      </c>
      <c r="J192" s="18">
        <v>1769</v>
      </c>
      <c r="K192" s="18" t="s">
        <v>23</v>
      </c>
      <c r="L192" s="24">
        <f t="shared" ref="L192:L193" si="9">SUM(B192:K192)</f>
        <v>58054</v>
      </c>
      <c r="M192" s="7"/>
      <c r="N192" s="7"/>
    </row>
    <row r="193" spans="1:14" ht="13">
      <c r="A193" s="239" t="s">
        <v>343</v>
      </c>
      <c r="B193" s="18" t="s">
        <v>23</v>
      </c>
      <c r="C193" s="18" t="s">
        <v>23</v>
      </c>
      <c r="D193" s="18" t="s">
        <v>23</v>
      </c>
      <c r="E193" s="18" t="s">
        <v>106</v>
      </c>
      <c r="F193" s="18" t="s">
        <v>106</v>
      </c>
      <c r="G193" s="18">
        <v>19892</v>
      </c>
      <c r="H193" s="18">
        <v>14050</v>
      </c>
      <c r="I193" s="18">
        <v>7132</v>
      </c>
      <c r="J193" s="18">
        <v>4252</v>
      </c>
      <c r="K193" s="18">
        <v>147</v>
      </c>
      <c r="L193" s="24">
        <f t="shared" si="9"/>
        <v>45473</v>
      </c>
      <c r="M193" s="7"/>
      <c r="N193" s="7"/>
    </row>
    <row r="194" spans="1:14" ht="13">
      <c r="A194" s="239" t="s">
        <v>317</v>
      </c>
      <c r="B194" s="18" t="s">
        <v>23</v>
      </c>
      <c r="C194" s="18" t="s">
        <v>23</v>
      </c>
      <c r="D194" s="18" t="s">
        <v>23</v>
      </c>
      <c r="E194" s="18" t="s">
        <v>23</v>
      </c>
      <c r="F194" s="18">
        <v>3016</v>
      </c>
      <c r="G194" s="18">
        <v>19880</v>
      </c>
      <c r="H194" s="18">
        <v>13545</v>
      </c>
      <c r="I194" s="18">
        <v>6949</v>
      </c>
      <c r="J194" s="18">
        <v>2001</v>
      </c>
      <c r="K194" s="18" t="s">
        <v>23</v>
      </c>
      <c r="L194" s="24">
        <f t="shared" si="8"/>
        <v>45391</v>
      </c>
      <c r="M194" s="7"/>
      <c r="N194" s="7"/>
    </row>
    <row r="195" spans="1:14">
      <c r="A195" s="99" t="s">
        <v>39</v>
      </c>
      <c r="B195" s="18"/>
      <c r="C195" s="18"/>
      <c r="D195" s="18"/>
      <c r="E195" s="18"/>
      <c r="F195" s="18"/>
      <c r="G195" s="18"/>
      <c r="H195" s="18"/>
      <c r="I195" s="18"/>
      <c r="J195" s="18"/>
      <c r="K195" s="18"/>
    </row>
    <row r="196" spans="1:14">
      <c r="A196" s="94" t="s">
        <v>20</v>
      </c>
      <c r="B196" s="18"/>
      <c r="C196" s="18"/>
      <c r="D196" s="18"/>
      <c r="E196" s="18"/>
      <c r="F196" s="18"/>
      <c r="G196" s="18"/>
      <c r="H196" s="18"/>
      <c r="I196" s="18"/>
      <c r="J196" s="18"/>
      <c r="K196" s="18"/>
    </row>
    <row r="197" spans="1:14">
      <c r="A197" s="99">
        <v>1976</v>
      </c>
      <c r="B197" s="18">
        <v>1992</v>
      </c>
      <c r="C197" s="18">
        <v>2946</v>
      </c>
      <c r="D197" s="18">
        <v>1369</v>
      </c>
      <c r="E197" s="18">
        <v>3910</v>
      </c>
      <c r="F197" s="18">
        <v>978</v>
      </c>
      <c r="G197" s="18">
        <v>2054</v>
      </c>
      <c r="H197" s="18">
        <v>452</v>
      </c>
      <c r="I197" s="18">
        <v>165</v>
      </c>
      <c r="J197" s="18">
        <v>220</v>
      </c>
      <c r="K197" s="18">
        <v>96</v>
      </c>
      <c r="L197" s="24">
        <f t="shared" ref="L197:L226" si="10">SUM(B197:K197)</f>
        <v>14182</v>
      </c>
    </row>
    <row r="198" spans="1:14">
      <c r="A198" s="99">
        <v>1977</v>
      </c>
      <c r="B198" s="18">
        <v>2482</v>
      </c>
      <c r="C198" s="18">
        <v>2034</v>
      </c>
      <c r="D198" s="18">
        <v>2436</v>
      </c>
      <c r="E198" s="18">
        <v>1072</v>
      </c>
      <c r="F198" s="18">
        <v>484</v>
      </c>
      <c r="G198" s="18">
        <v>686</v>
      </c>
      <c r="H198" s="18">
        <v>567</v>
      </c>
      <c r="I198" s="18">
        <v>167</v>
      </c>
      <c r="J198" s="18">
        <v>0</v>
      </c>
      <c r="K198" s="18">
        <v>0</v>
      </c>
      <c r="L198" s="24">
        <f t="shared" si="10"/>
        <v>9928</v>
      </c>
    </row>
    <row r="199" spans="1:14">
      <c r="A199" s="99">
        <v>1978</v>
      </c>
      <c r="B199" s="18">
        <v>1247</v>
      </c>
      <c r="C199" s="18">
        <v>1919</v>
      </c>
      <c r="D199" s="18">
        <v>834</v>
      </c>
      <c r="E199" s="18">
        <v>309</v>
      </c>
      <c r="F199" s="18">
        <v>898</v>
      </c>
      <c r="G199" s="18">
        <v>761</v>
      </c>
      <c r="H199" s="18">
        <v>175</v>
      </c>
      <c r="I199" s="18">
        <v>253</v>
      </c>
      <c r="J199" s="18">
        <v>171</v>
      </c>
      <c r="K199" s="18">
        <v>71</v>
      </c>
      <c r="L199" s="24">
        <f t="shared" si="10"/>
        <v>6638</v>
      </c>
    </row>
    <row r="200" spans="1:14">
      <c r="A200" s="99">
        <v>1979</v>
      </c>
      <c r="B200" s="18">
        <v>2226</v>
      </c>
      <c r="C200" s="18">
        <v>1844</v>
      </c>
      <c r="D200" s="18">
        <v>3959</v>
      </c>
      <c r="E200" s="18">
        <v>551</v>
      </c>
      <c r="F200" s="18">
        <v>139</v>
      </c>
      <c r="G200" s="18">
        <v>577</v>
      </c>
      <c r="H200" s="18">
        <v>403</v>
      </c>
      <c r="I200" s="18">
        <v>115</v>
      </c>
      <c r="J200" s="18">
        <v>50</v>
      </c>
      <c r="K200" s="18" t="s">
        <v>23</v>
      </c>
      <c r="L200" s="24">
        <f t="shared" si="10"/>
        <v>9864</v>
      </c>
    </row>
    <row r="201" spans="1:14">
      <c r="A201" s="99">
        <v>1980</v>
      </c>
      <c r="B201" s="18">
        <v>867</v>
      </c>
      <c r="C201" s="18">
        <v>2252</v>
      </c>
      <c r="D201" s="18">
        <v>1322</v>
      </c>
      <c r="E201" s="18">
        <v>304</v>
      </c>
      <c r="F201" s="18">
        <v>2158</v>
      </c>
      <c r="G201" s="18">
        <v>1608</v>
      </c>
      <c r="H201" s="18">
        <v>895</v>
      </c>
      <c r="I201" s="18">
        <v>107</v>
      </c>
      <c r="J201" s="18">
        <v>65</v>
      </c>
      <c r="K201" s="18" t="s">
        <v>23</v>
      </c>
      <c r="L201" s="24">
        <f t="shared" si="10"/>
        <v>9578</v>
      </c>
    </row>
    <row r="202" spans="1:14">
      <c r="A202" s="99">
        <v>1981</v>
      </c>
      <c r="B202" s="18">
        <v>448</v>
      </c>
      <c r="C202" s="18">
        <v>1661</v>
      </c>
      <c r="D202" s="18">
        <v>2619</v>
      </c>
      <c r="E202" s="18">
        <v>458</v>
      </c>
      <c r="F202" s="18">
        <v>307</v>
      </c>
      <c r="G202" s="18">
        <v>1465</v>
      </c>
      <c r="H202" s="18">
        <v>735</v>
      </c>
      <c r="I202" s="18">
        <v>82</v>
      </c>
      <c r="J202" s="18">
        <v>264</v>
      </c>
      <c r="K202" s="18">
        <v>410</v>
      </c>
      <c r="L202" s="24">
        <f t="shared" si="10"/>
        <v>8449</v>
      </c>
    </row>
    <row r="203" spans="1:14">
      <c r="A203" s="99">
        <v>1982</v>
      </c>
      <c r="B203" s="18">
        <v>995</v>
      </c>
      <c r="C203" s="18">
        <v>1839</v>
      </c>
      <c r="D203" s="18">
        <v>2857</v>
      </c>
      <c r="E203" s="18">
        <v>2140</v>
      </c>
      <c r="F203" s="18">
        <v>1162</v>
      </c>
      <c r="G203" s="18">
        <v>1458</v>
      </c>
      <c r="H203" s="18">
        <v>969</v>
      </c>
      <c r="I203" s="18">
        <v>687</v>
      </c>
      <c r="J203" s="18">
        <v>17</v>
      </c>
      <c r="K203" s="18">
        <v>0</v>
      </c>
      <c r="L203" s="24">
        <f t="shared" si="10"/>
        <v>12124</v>
      </c>
    </row>
    <row r="204" spans="1:14">
      <c r="A204" s="99">
        <v>1983</v>
      </c>
      <c r="B204" s="18">
        <v>148</v>
      </c>
      <c r="C204" s="18">
        <v>99</v>
      </c>
      <c r="D204" s="18">
        <v>1979</v>
      </c>
      <c r="E204" s="18">
        <v>2783</v>
      </c>
      <c r="F204" s="18">
        <v>2012</v>
      </c>
      <c r="G204" s="18">
        <v>1902</v>
      </c>
      <c r="H204" s="18">
        <v>542</v>
      </c>
      <c r="I204" s="18">
        <v>17</v>
      </c>
      <c r="J204" s="18">
        <v>22</v>
      </c>
      <c r="K204" s="18">
        <v>0</v>
      </c>
      <c r="L204" s="24">
        <f t="shared" si="10"/>
        <v>9504</v>
      </c>
    </row>
    <row r="205" spans="1:14">
      <c r="A205" s="99">
        <v>1984</v>
      </c>
      <c r="B205" s="18">
        <v>197</v>
      </c>
      <c r="C205" s="18">
        <v>551</v>
      </c>
      <c r="D205" s="18">
        <v>3396</v>
      </c>
      <c r="E205" s="18">
        <v>3178</v>
      </c>
      <c r="F205" s="18">
        <v>1791</v>
      </c>
      <c r="G205" s="18">
        <v>3619</v>
      </c>
      <c r="H205" s="18">
        <v>539</v>
      </c>
      <c r="I205" s="18">
        <v>13</v>
      </c>
      <c r="J205" s="18">
        <v>34</v>
      </c>
      <c r="K205" s="18">
        <v>9</v>
      </c>
      <c r="L205" s="24">
        <f t="shared" si="10"/>
        <v>13327</v>
      </c>
    </row>
    <row r="206" spans="1:14">
      <c r="A206" s="99">
        <v>1985</v>
      </c>
      <c r="B206" s="18">
        <v>3160</v>
      </c>
      <c r="C206" s="18">
        <v>6520</v>
      </c>
      <c r="D206" s="18">
        <v>2800</v>
      </c>
      <c r="E206" s="18">
        <v>1204</v>
      </c>
      <c r="F206" s="18">
        <v>1313</v>
      </c>
      <c r="G206" s="18">
        <v>1522</v>
      </c>
      <c r="H206" s="18">
        <v>1240</v>
      </c>
      <c r="I206" s="18">
        <v>20</v>
      </c>
      <c r="J206" s="18">
        <v>0</v>
      </c>
      <c r="K206" s="18">
        <v>0</v>
      </c>
      <c r="L206" s="24">
        <f t="shared" si="10"/>
        <v>17779</v>
      </c>
    </row>
    <row r="207" spans="1:14">
      <c r="A207" s="99">
        <v>1986</v>
      </c>
      <c r="B207" s="18">
        <v>212</v>
      </c>
      <c r="C207" s="18">
        <v>5695</v>
      </c>
      <c r="D207" s="18">
        <v>9281</v>
      </c>
      <c r="E207" s="18">
        <v>3940</v>
      </c>
      <c r="F207" s="18">
        <v>5118</v>
      </c>
      <c r="G207" s="18">
        <v>7298</v>
      </c>
      <c r="H207" s="18">
        <v>2762</v>
      </c>
      <c r="I207" s="18">
        <v>1054</v>
      </c>
      <c r="J207" s="18">
        <v>812</v>
      </c>
      <c r="K207" s="18">
        <v>4</v>
      </c>
      <c r="L207" s="24">
        <f t="shared" si="10"/>
        <v>36176</v>
      </c>
    </row>
    <row r="208" spans="1:14">
      <c r="A208" s="99">
        <v>1987</v>
      </c>
      <c r="B208" s="18">
        <v>4327</v>
      </c>
      <c r="C208" s="18">
        <v>9303</v>
      </c>
      <c r="D208" s="18">
        <v>6205</v>
      </c>
      <c r="E208" s="18">
        <v>3300</v>
      </c>
      <c r="F208" s="18">
        <v>4671</v>
      </c>
      <c r="G208" s="18">
        <v>11360</v>
      </c>
      <c r="H208" s="18">
        <v>7099</v>
      </c>
      <c r="I208" s="18">
        <v>1231</v>
      </c>
      <c r="J208" s="18">
        <v>159</v>
      </c>
      <c r="K208" s="18">
        <v>29</v>
      </c>
      <c r="L208" s="24">
        <f t="shared" si="10"/>
        <v>47684</v>
      </c>
    </row>
    <row r="209" spans="1:22">
      <c r="A209" s="99">
        <v>1988</v>
      </c>
      <c r="B209" s="18">
        <v>4085</v>
      </c>
      <c r="C209" s="18">
        <v>5783</v>
      </c>
      <c r="D209" s="18">
        <v>6384</v>
      </c>
      <c r="E209" s="18">
        <v>5909</v>
      </c>
      <c r="F209" s="18">
        <v>6549</v>
      </c>
      <c r="G209" s="18">
        <v>8741</v>
      </c>
      <c r="H209" s="18">
        <v>2352</v>
      </c>
      <c r="I209" s="18">
        <v>37</v>
      </c>
      <c r="J209" s="18">
        <v>45</v>
      </c>
      <c r="K209" s="18">
        <v>0</v>
      </c>
      <c r="L209" s="24">
        <f t="shared" si="10"/>
        <v>39885</v>
      </c>
    </row>
    <row r="210" spans="1:22">
      <c r="A210" s="99">
        <v>1989</v>
      </c>
      <c r="B210" s="18">
        <v>3870</v>
      </c>
      <c r="C210" s="18">
        <v>6570</v>
      </c>
      <c r="D210" s="18">
        <v>20058</v>
      </c>
      <c r="E210" s="18">
        <v>5074</v>
      </c>
      <c r="F210" s="18">
        <v>5709</v>
      </c>
      <c r="G210" s="18">
        <v>8786</v>
      </c>
      <c r="H210" s="18">
        <v>5282</v>
      </c>
      <c r="I210" s="18">
        <v>342</v>
      </c>
      <c r="J210" s="18">
        <v>23</v>
      </c>
      <c r="K210" s="18">
        <v>18</v>
      </c>
      <c r="L210" s="24">
        <f t="shared" si="10"/>
        <v>55732</v>
      </c>
    </row>
    <row r="211" spans="1:22">
      <c r="A211" s="99">
        <v>1990</v>
      </c>
      <c r="B211" s="18">
        <v>4743</v>
      </c>
      <c r="C211" s="18">
        <v>8953</v>
      </c>
      <c r="D211" s="18">
        <v>16549</v>
      </c>
      <c r="E211" s="18">
        <v>2480</v>
      </c>
      <c r="F211" s="18">
        <v>11140</v>
      </c>
      <c r="G211" s="18">
        <v>16588</v>
      </c>
      <c r="H211" s="18">
        <v>3414</v>
      </c>
      <c r="I211" s="18">
        <v>522</v>
      </c>
      <c r="J211" s="18">
        <v>307</v>
      </c>
      <c r="K211" s="18">
        <v>1771</v>
      </c>
      <c r="L211" s="24">
        <f t="shared" si="10"/>
        <v>66467</v>
      </c>
    </row>
    <row r="212" spans="1:22">
      <c r="A212" s="99">
        <v>1991</v>
      </c>
      <c r="B212" s="18">
        <v>23</v>
      </c>
      <c r="C212" s="18">
        <v>8162</v>
      </c>
      <c r="D212" s="18">
        <v>11089</v>
      </c>
      <c r="E212" s="18">
        <v>3886</v>
      </c>
      <c r="F212" s="18">
        <v>8910</v>
      </c>
      <c r="G212" s="18">
        <v>13994</v>
      </c>
      <c r="H212" s="18">
        <v>2723</v>
      </c>
      <c r="I212" s="18">
        <v>476</v>
      </c>
      <c r="J212" s="18">
        <v>1561</v>
      </c>
      <c r="K212" s="134" t="s">
        <v>106</v>
      </c>
      <c r="L212" s="24">
        <f t="shared" si="10"/>
        <v>50824</v>
      </c>
      <c r="M212" s="7"/>
      <c r="V212" s="7"/>
    </row>
    <row r="213" spans="1:22">
      <c r="A213" s="99">
        <v>1992</v>
      </c>
      <c r="B213" s="18">
        <v>1173</v>
      </c>
      <c r="C213" s="18">
        <v>7257</v>
      </c>
      <c r="D213" s="18">
        <v>7084</v>
      </c>
      <c r="E213" s="18">
        <v>3468</v>
      </c>
      <c r="F213" s="18">
        <v>4701</v>
      </c>
      <c r="G213" s="18">
        <v>6604</v>
      </c>
      <c r="H213" s="18">
        <v>3215</v>
      </c>
      <c r="I213" s="18">
        <v>1239</v>
      </c>
      <c r="J213" s="18">
        <v>1098</v>
      </c>
      <c r="K213" s="18">
        <v>600</v>
      </c>
      <c r="L213" s="24">
        <f t="shared" si="10"/>
        <v>36439</v>
      </c>
    </row>
    <row r="214" spans="1:22">
      <c r="A214" s="99">
        <v>1993</v>
      </c>
      <c r="B214" s="18">
        <v>319</v>
      </c>
      <c r="C214" s="18">
        <v>8250</v>
      </c>
      <c r="D214" s="18">
        <v>11068</v>
      </c>
      <c r="E214" s="18">
        <v>6216</v>
      </c>
      <c r="F214" s="18">
        <v>2926</v>
      </c>
      <c r="G214" s="18">
        <v>5037</v>
      </c>
      <c r="H214" s="18">
        <v>2863</v>
      </c>
      <c r="I214" s="18">
        <v>1390</v>
      </c>
      <c r="J214" s="18">
        <v>1019</v>
      </c>
      <c r="K214" s="18" t="s">
        <v>23</v>
      </c>
      <c r="L214" s="24">
        <f t="shared" si="10"/>
        <v>39088</v>
      </c>
      <c r="V214" s="7"/>
    </row>
    <row r="215" spans="1:22">
      <c r="A215" s="99">
        <v>1994</v>
      </c>
      <c r="B215" s="18">
        <v>1653</v>
      </c>
      <c r="C215" s="18">
        <v>8095</v>
      </c>
      <c r="D215" s="18">
        <v>10332</v>
      </c>
      <c r="E215" s="18">
        <v>5663</v>
      </c>
      <c r="F215" s="18">
        <v>6854</v>
      </c>
      <c r="G215" s="18">
        <v>9553</v>
      </c>
      <c r="H215" s="18">
        <v>2054</v>
      </c>
      <c r="I215" s="18">
        <v>1629</v>
      </c>
      <c r="J215" s="18">
        <v>2314</v>
      </c>
      <c r="K215" s="18" t="s">
        <v>23</v>
      </c>
      <c r="L215" s="24">
        <f t="shared" si="10"/>
        <v>48147</v>
      </c>
      <c r="V215" s="7"/>
    </row>
    <row r="216" spans="1:22">
      <c r="A216" s="99">
        <v>1995</v>
      </c>
      <c r="B216" s="18" t="s">
        <v>23</v>
      </c>
      <c r="C216" s="18">
        <v>12796</v>
      </c>
      <c r="D216" s="18">
        <v>38038</v>
      </c>
      <c r="E216" s="18">
        <v>41564</v>
      </c>
      <c r="F216" s="18">
        <v>31919</v>
      </c>
      <c r="G216" s="18">
        <v>46518</v>
      </c>
      <c r="H216" s="18">
        <v>11742</v>
      </c>
      <c r="I216" s="18">
        <v>523</v>
      </c>
      <c r="J216" s="134" t="s">
        <v>106</v>
      </c>
      <c r="K216" s="18" t="s">
        <v>23</v>
      </c>
      <c r="L216" s="24">
        <f t="shared" si="10"/>
        <v>183100</v>
      </c>
      <c r="M216" s="7"/>
      <c r="U216" s="7"/>
      <c r="V216" s="7"/>
    </row>
    <row r="217" spans="1:22">
      <c r="A217" s="99">
        <v>1996</v>
      </c>
      <c r="B217" s="18" t="s">
        <v>23</v>
      </c>
      <c r="C217" s="18">
        <v>15229</v>
      </c>
      <c r="D217" s="18">
        <v>15261</v>
      </c>
      <c r="E217" s="18">
        <v>9370</v>
      </c>
      <c r="F217" s="18">
        <v>6983</v>
      </c>
      <c r="G217" s="18">
        <v>11919</v>
      </c>
      <c r="H217" s="18">
        <v>5765</v>
      </c>
      <c r="I217" s="18" t="s">
        <v>23</v>
      </c>
      <c r="J217" s="18" t="s">
        <v>23</v>
      </c>
      <c r="K217" s="18" t="s">
        <v>23</v>
      </c>
      <c r="L217" s="24">
        <f t="shared" si="10"/>
        <v>64527</v>
      </c>
      <c r="M217" s="7"/>
      <c r="T217" s="7"/>
      <c r="U217" s="7"/>
      <c r="V217" s="7"/>
    </row>
    <row r="218" spans="1:22">
      <c r="A218" s="99">
        <v>1997</v>
      </c>
      <c r="B218" s="18" t="s">
        <v>23</v>
      </c>
      <c r="C218" s="18">
        <v>16378</v>
      </c>
      <c r="D218" s="18">
        <v>17653</v>
      </c>
      <c r="E218" s="18">
        <v>9134</v>
      </c>
      <c r="F218" s="18">
        <v>18304</v>
      </c>
      <c r="G218" s="18">
        <v>18616</v>
      </c>
      <c r="H218" s="18">
        <v>3729</v>
      </c>
      <c r="I218" s="18">
        <v>232</v>
      </c>
      <c r="J218" s="134" t="s">
        <v>106</v>
      </c>
      <c r="K218" s="18" t="s">
        <v>23</v>
      </c>
      <c r="L218" s="24">
        <f t="shared" si="10"/>
        <v>84046</v>
      </c>
      <c r="M218" s="7"/>
      <c r="U218" s="7"/>
      <c r="V218" s="7"/>
    </row>
    <row r="219" spans="1:22">
      <c r="A219" s="99">
        <v>1998</v>
      </c>
      <c r="B219" s="18" t="s">
        <v>23</v>
      </c>
      <c r="C219" s="18">
        <v>5918</v>
      </c>
      <c r="D219" s="18">
        <v>10719</v>
      </c>
      <c r="E219" s="18">
        <v>11234</v>
      </c>
      <c r="F219" s="18">
        <v>12240</v>
      </c>
      <c r="G219" s="18">
        <v>10062</v>
      </c>
      <c r="H219" s="18">
        <v>1930</v>
      </c>
      <c r="I219" s="18">
        <v>345</v>
      </c>
      <c r="J219" s="18" t="s">
        <v>23</v>
      </c>
      <c r="K219" s="18" t="s">
        <v>23</v>
      </c>
      <c r="L219" s="24">
        <f t="shared" si="10"/>
        <v>52448</v>
      </c>
      <c r="M219" s="7"/>
      <c r="U219" s="7"/>
      <c r="V219" s="7"/>
    </row>
    <row r="220" spans="1:22">
      <c r="A220" s="99">
        <v>1999</v>
      </c>
      <c r="B220" s="18" t="s">
        <v>23</v>
      </c>
      <c r="C220" s="18">
        <v>7231</v>
      </c>
      <c r="D220" s="18">
        <v>3585</v>
      </c>
      <c r="E220" s="18">
        <v>2405</v>
      </c>
      <c r="F220" s="18">
        <v>7379</v>
      </c>
      <c r="G220" s="18">
        <v>6260</v>
      </c>
      <c r="H220" s="18">
        <v>2064</v>
      </c>
      <c r="I220" s="18">
        <v>315</v>
      </c>
      <c r="J220" s="18" t="s">
        <v>23</v>
      </c>
      <c r="K220" s="18" t="s">
        <v>23</v>
      </c>
      <c r="L220" s="24">
        <f t="shared" si="10"/>
        <v>29239</v>
      </c>
      <c r="M220" s="7"/>
      <c r="U220" s="7"/>
      <c r="V220" s="7"/>
    </row>
    <row r="221" spans="1:22">
      <c r="A221" s="99">
        <v>2000</v>
      </c>
      <c r="B221" s="18" t="s">
        <v>23</v>
      </c>
      <c r="C221" s="18" t="s">
        <v>23</v>
      </c>
      <c r="D221" s="18">
        <v>28828</v>
      </c>
      <c r="E221" s="18">
        <v>19871</v>
      </c>
      <c r="F221" s="18">
        <v>14416</v>
      </c>
      <c r="G221" s="18">
        <v>14646</v>
      </c>
      <c r="H221" s="18">
        <v>4872</v>
      </c>
      <c r="I221" s="18">
        <v>2154</v>
      </c>
      <c r="J221" s="18" t="s">
        <v>23</v>
      </c>
      <c r="K221" s="18" t="s">
        <v>23</v>
      </c>
      <c r="L221" s="24">
        <f t="shared" si="10"/>
        <v>84787</v>
      </c>
      <c r="M221" s="7"/>
      <c r="N221" s="7"/>
      <c r="U221" s="7"/>
      <c r="V221" s="7"/>
    </row>
    <row r="222" spans="1:22">
      <c r="A222" s="99">
        <v>2001</v>
      </c>
      <c r="B222" s="18" t="s">
        <v>23</v>
      </c>
      <c r="C222" s="18">
        <v>883</v>
      </c>
      <c r="D222" s="18">
        <v>19395</v>
      </c>
      <c r="E222" s="18">
        <v>10966</v>
      </c>
      <c r="F222" s="18">
        <v>2071</v>
      </c>
      <c r="G222" s="18">
        <v>3934</v>
      </c>
      <c r="H222" s="18">
        <v>604</v>
      </c>
      <c r="I222" s="18">
        <v>301</v>
      </c>
      <c r="J222" s="18" t="s">
        <v>23</v>
      </c>
      <c r="K222" s="18" t="s">
        <v>23</v>
      </c>
      <c r="L222" s="24">
        <f t="shared" si="10"/>
        <v>38154</v>
      </c>
      <c r="M222" s="7"/>
      <c r="U222" s="7"/>
      <c r="V222" s="7"/>
    </row>
    <row r="223" spans="1:22">
      <c r="A223" s="99">
        <v>2002</v>
      </c>
      <c r="B223" s="18" t="s">
        <v>23</v>
      </c>
      <c r="C223" s="18">
        <v>2863</v>
      </c>
      <c r="D223" s="18">
        <v>32727</v>
      </c>
      <c r="E223" s="18">
        <v>11892</v>
      </c>
      <c r="F223" s="18">
        <v>9005</v>
      </c>
      <c r="G223" s="18">
        <v>8983</v>
      </c>
      <c r="H223" s="18">
        <v>2304</v>
      </c>
      <c r="I223" s="18">
        <v>149</v>
      </c>
      <c r="J223" s="18" t="s">
        <v>23</v>
      </c>
      <c r="K223" s="18" t="s">
        <v>23</v>
      </c>
      <c r="L223" s="24">
        <f t="shared" si="10"/>
        <v>67923</v>
      </c>
      <c r="M223" s="7"/>
      <c r="U223" s="7"/>
      <c r="V223" s="7"/>
    </row>
    <row r="224" spans="1:22">
      <c r="A224" s="99">
        <v>2003</v>
      </c>
      <c r="B224" s="18" t="s">
        <v>23</v>
      </c>
      <c r="C224" s="18">
        <v>5092</v>
      </c>
      <c r="D224" s="18">
        <v>10118</v>
      </c>
      <c r="E224" s="18">
        <v>5834</v>
      </c>
      <c r="F224" s="18">
        <v>3165</v>
      </c>
      <c r="G224" s="18">
        <v>4083</v>
      </c>
      <c r="H224" s="18">
        <v>233</v>
      </c>
      <c r="I224" s="134" t="s">
        <v>106</v>
      </c>
      <c r="J224" s="18" t="s">
        <v>23</v>
      </c>
      <c r="K224" s="18" t="s">
        <v>23</v>
      </c>
      <c r="L224" s="24">
        <f t="shared" si="10"/>
        <v>28525</v>
      </c>
      <c r="M224" s="7"/>
      <c r="T224" s="7"/>
      <c r="U224" s="7"/>
      <c r="V224" s="7"/>
    </row>
    <row r="225" spans="1:22">
      <c r="A225" s="99">
        <v>2004</v>
      </c>
      <c r="B225" s="18" t="s">
        <v>23</v>
      </c>
      <c r="C225" s="18" t="s">
        <v>23</v>
      </c>
      <c r="D225" s="18">
        <v>24564</v>
      </c>
      <c r="E225" s="18">
        <v>11320</v>
      </c>
      <c r="F225" s="18">
        <v>4443</v>
      </c>
      <c r="G225" s="18">
        <v>13358</v>
      </c>
      <c r="H225" s="18">
        <v>2335</v>
      </c>
      <c r="I225" s="18">
        <v>475</v>
      </c>
      <c r="J225" s="18" t="s">
        <v>23</v>
      </c>
      <c r="K225" s="18" t="s">
        <v>23</v>
      </c>
      <c r="L225" s="24">
        <f t="shared" si="10"/>
        <v>56495</v>
      </c>
      <c r="M225" s="7"/>
      <c r="U225" s="7"/>
      <c r="V225" s="7"/>
    </row>
    <row r="226" spans="1:22">
      <c r="A226" s="99">
        <v>2005</v>
      </c>
      <c r="B226" s="18" t="s">
        <v>23</v>
      </c>
      <c r="C226" s="18" t="s">
        <v>23</v>
      </c>
      <c r="D226" s="18">
        <v>14787</v>
      </c>
      <c r="E226" s="18">
        <v>6997</v>
      </c>
      <c r="F226" s="18">
        <v>13298</v>
      </c>
      <c r="G226" s="18">
        <v>8870</v>
      </c>
      <c r="H226" s="18">
        <v>1354</v>
      </c>
      <c r="I226" s="18">
        <v>361</v>
      </c>
      <c r="J226" s="18" t="s">
        <v>23</v>
      </c>
      <c r="K226" s="18" t="s">
        <v>23</v>
      </c>
      <c r="L226" s="24">
        <f t="shared" si="10"/>
        <v>45667</v>
      </c>
      <c r="M226" s="7"/>
      <c r="U226" s="7"/>
      <c r="V226" s="7"/>
    </row>
    <row r="227" spans="1:22">
      <c r="A227" s="99">
        <v>2006</v>
      </c>
      <c r="B227" s="18" t="s">
        <v>23</v>
      </c>
      <c r="C227" s="18" t="s">
        <v>23</v>
      </c>
      <c r="D227" s="18">
        <v>14538</v>
      </c>
      <c r="E227" s="18">
        <v>3226</v>
      </c>
      <c r="F227" s="18">
        <v>5465</v>
      </c>
      <c r="G227" s="18">
        <v>4311</v>
      </c>
      <c r="H227" s="18">
        <v>76</v>
      </c>
      <c r="I227" s="18">
        <v>100</v>
      </c>
      <c r="J227" s="18" t="s">
        <v>23</v>
      </c>
      <c r="K227" s="18" t="s">
        <v>23</v>
      </c>
      <c r="L227" s="24">
        <v>27716</v>
      </c>
      <c r="M227" s="7"/>
      <c r="U227" s="7"/>
      <c r="V227" s="7"/>
    </row>
    <row r="228" spans="1:22">
      <c r="A228" s="99">
        <v>2007</v>
      </c>
      <c r="B228" s="18" t="s">
        <v>23</v>
      </c>
      <c r="C228" s="18" t="s">
        <v>23</v>
      </c>
      <c r="D228" s="18">
        <v>10846</v>
      </c>
      <c r="E228" s="18">
        <v>4102</v>
      </c>
      <c r="F228" s="18">
        <v>5687</v>
      </c>
      <c r="G228" s="18">
        <v>2502</v>
      </c>
      <c r="H228" s="18">
        <v>1611</v>
      </c>
      <c r="I228" s="18">
        <v>434</v>
      </c>
      <c r="J228" s="18">
        <v>26</v>
      </c>
      <c r="K228" s="18" t="s">
        <v>23</v>
      </c>
      <c r="L228" s="24">
        <f>SUM(B228:K228)</f>
        <v>25208</v>
      </c>
      <c r="M228" s="7"/>
      <c r="U228" s="7"/>
      <c r="V228" s="7"/>
    </row>
    <row r="229" spans="1:22">
      <c r="A229" s="99">
        <v>2008</v>
      </c>
      <c r="B229" s="18" t="s">
        <v>23</v>
      </c>
      <c r="C229" s="18" t="s">
        <v>23</v>
      </c>
      <c r="D229" s="18" t="s">
        <v>23</v>
      </c>
      <c r="E229" s="18" t="s">
        <v>23</v>
      </c>
      <c r="F229" s="18" t="s">
        <v>23</v>
      </c>
      <c r="G229" s="18" t="s">
        <v>23</v>
      </c>
      <c r="H229" s="18" t="s">
        <v>23</v>
      </c>
      <c r="I229" s="18" t="s">
        <v>23</v>
      </c>
      <c r="J229" s="18" t="s">
        <v>23</v>
      </c>
      <c r="K229" s="18" t="s">
        <v>23</v>
      </c>
      <c r="L229" s="24" t="s">
        <v>23</v>
      </c>
      <c r="M229" s="7"/>
      <c r="U229" s="7"/>
      <c r="V229" s="7"/>
    </row>
    <row r="230" spans="1:22">
      <c r="A230" s="99">
        <v>2009</v>
      </c>
      <c r="B230" s="18" t="s">
        <v>23</v>
      </c>
      <c r="C230" s="18" t="s">
        <v>23</v>
      </c>
      <c r="D230" s="18" t="s">
        <v>23</v>
      </c>
      <c r="E230" s="18" t="s">
        <v>23</v>
      </c>
      <c r="F230" s="18" t="s">
        <v>23</v>
      </c>
      <c r="G230" s="18" t="s">
        <v>23</v>
      </c>
      <c r="H230" s="18" t="s">
        <v>23</v>
      </c>
      <c r="I230" s="18" t="s">
        <v>23</v>
      </c>
      <c r="J230" s="18" t="s">
        <v>23</v>
      </c>
      <c r="K230" s="18" t="s">
        <v>23</v>
      </c>
      <c r="L230" s="24" t="s">
        <v>23</v>
      </c>
      <c r="M230" s="7"/>
      <c r="U230" s="7"/>
      <c r="V230" s="7"/>
    </row>
    <row r="231" spans="1:22">
      <c r="A231" s="99">
        <v>2010</v>
      </c>
      <c r="B231" s="18" t="s">
        <v>23</v>
      </c>
      <c r="C231" s="18" t="s">
        <v>23</v>
      </c>
      <c r="D231" s="18">
        <v>11616</v>
      </c>
      <c r="E231" s="18">
        <v>4019</v>
      </c>
      <c r="F231" s="18">
        <v>300</v>
      </c>
      <c r="G231" s="18">
        <v>2004</v>
      </c>
      <c r="H231" s="18">
        <v>528</v>
      </c>
      <c r="I231" s="18">
        <v>60</v>
      </c>
      <c r="J231" s="18" t="s">
        <v>23</v>
      </c>
      <c r="K231" s="18" t="s">
        <v>23</v>
      </c>
      <c r="L231" s="24">
        <f t="shared" ref="L231:L242" si="11">SUM(B231:K231)</f>
        <v>18527</v>
      </c>
      <c r="M231" s="7"/>
      <c r="U231" s="7"/>
      <c r="V231" s="7"/>
    </row>
    <row r="232" spans="1:22">
      <c r="A232" s="99">
        <v>2011</v>
      </c>
      <c r="B232" s="18" t="s">
        <v>23</v>
      </c>
      <c r="C232" s="18" t="s">
        <v>23</v>
      </c>
      <c r="D232" s="18">
        <v>11987</v>
      </c>
      <c r="E232" s="18">
        <v>2149</v>
      </c>
      <c r="F232" s="18">
        <v>3013</v>
      </c>
      <c r="G232" s="18">
        <v>5561</v>
      </c>
      <c r="H232" s="18">
        <v>3318</v>
      </c>
      <c r="I232" s="18">
        <v>1923</v>
      </c>
      <c r="J232" s="18" t="s">
        <v>23</v>
      </c>
      <c r="K232" s="18" t="s">
        <v>23</v>
      </c>
      <c r="L232" s="24">
        <f t="shared" si="11"/>
        <v>27951</v>
      </c>
      <c r="M232" s="7"/>
      <c r="U232" s="7"/>
      <c r="V232" s="7"/>
    </row>
    <row r="233" spans="1:22">
      <c r="A233" s="99">
        <v>2012</v>
      </c>
      <c r="B233" s="18" t="s">
        <v>23</v>
      </c>
      <c r="C233" s="18" t="s">
        <v>23</v>
      </c>
      <c r="D233" s="18">
        <v>16123</v>
      </c>
      <c r="E233" s="18">
        <v>9326</v>
      </c>
      <c r="F233" s="18">
        <v>7603</v>
      </c>
      <c r="G233" s="18">
        <v>8674</v>
      </c>
      <c r="H233" s="18">
        <v>1645</v>
      </c>
      <c r="I233" s="18">
        <v>424</v>
      </c>
      <c r="J233" s="18">
        <v>475</v>
      </c>
      <c r="K233" s="18" t="s">
        <v>23</v>
      </c>
      <c r="L233" s="24">
        <f t="shared" si="11"/>
        <v>44270</v>
      </c>
      <c r="M233" s="7"/>
      <c r="U233" s="7"/>
      <c r="V233" s="7"/>
    </row>
    <row r="234" spans="1:22">
      <c r="A234" s="99">
        <v>2013</v>
      </c>
      <c r="B234" s="18" t="s">
        <v>23</v>
      </c>
      <c r="C234" s="18" t="s">
        <v>23</v>
      </c>
      <c r="D234" s="18">
        <v>12262</v>
      </c>
      <c r="E234" s="18">
        <v>5698</v>
      </c>
      <c r="F234" s="18">
        <v>3613</v>
      </c>
      <c r="G234" s="18">
        <v>6210</v>
      </c>
      <c r="H234" s="18">
        <v>2582</v>
      </c>
      <c r="I234" s="18">
        <v>282</v>
      </c>
      <c r="J234" s="18">
        <v>22</v>
      </c>
      <c r="K234" s="18" t="s">
        <v>23</v>
      </c>
      <c r="L234" s="24">
        <f t="shared" si="11"/>
        <v>30669</v>
      </c>
      <c r="M234" s="7"/>
      <c r="U234" s="7"/>
      <c r="V234" s="7"/>
    </row>
    <row r="235" spans="1:22">
      <c r="A235" s="99">
        <v>2014</v>
      </c>
      <c r="B235" s="18" t="s">
        <v>23</v>
      </c>
      <c r="C235" s="18" t="s">
        <v>23</v>
      </c>
      <c r="D235" s="18">
        <v>15744</v>
      </c>
      <c r="E235" s="18">
        <v>3745</v>
      </c>
      <c r="F235" s="18">
        <v>2974</v>
      </c>
      <c r="G235" s="18">
        <v>2678</v>
      </c>
      <c r="H235" s="18">
        <v>1841</v>
      </c>
      <c r="I235" s="18">
        <v>481</v>
      </c>
      <c r="J235" s="18">
        <v>45</v>
      </c>
      <c r="K235" s="18" t="s">
        <v>23</v>
      </c>
      <c r="L235" s="24">
        <f t="shared" si="11"/>
        <v>27508</v>
      </c>
      <c r="M235" s="7"/>
      <c r="U235" s="7"/>
      <c r="V235" s="7"/>
    </row>
    <row r="236" spans="1:22">
      <c r="A236" s="99">
        <v>2015</v>
      </c>
      <c r="B236" s="18" t="s">
        <v>23</v>
      </c>
      <c r="C236" s="18" t="s">
        <v>23</v>
      </c>
      <c r="D236" s="18">
        <v>7654</v>
      </c>
      <c r="E236" s="18">
        <v>3372</v>
      </c>
      <c r="F236" s="18">
        <v>2419</v>
      </c>
      <c r="G236" s="18">
        <v>1391</v>
      </c>
      <c r="H236" s="18">
        <v>317</v>
      </c>
      <c r="I236" s="18">
        <v>32</v>
      </c>
      <c r="J236" s="18" t="s">
        <v>23</v>
      </c>
      <c r="K236" s="18" t="s">
        <v>23</v>
      </c>
      <c r="L236" s="24">
        <f>SUM(B236:K236)</f>
        <v>15185</v>
      </c>
      <c r="M236" s="7"/>
      <c r="U236" s="7"/>
      <c r="V236" s="7"/>
    </row>
    <row r="237" spans="1:22">
      <c r="A237" s="99">
        <v>2016</v>
      </c>
      <c r="B237" s="18" t="s">
        <v>23</v>
      </c>
      <c r="C237" s="18" t="s">
        <v>23</v>
      </c>
      <c r="D237" s="18">
        <v>4503</v>
      </c>
      <c r="E237" s="18">
        <v>2624</v>
      </c>
      <c r="F237" s="18">
        <v>484</v>
      </c>
      <c r="G237" s="18">
        <v>150</v>
      </c>
      <c r="H237" s="18" t="s">
        <v>23</v>
      </c>
      <c r="I237" s="18" t="s">
        <v>23</v>
      </c>
      <c r="J237" s="18" t="s">
        <v>23</v>
      </c>
      <c r="K237" s="18" t="s">
        <v>23</v>
      </c>
      <c r="L237" s="24">
        <f>SUM(B237:K237)</f>
        <v>7761</v>
      </c>
      <c r="M237" s="7"/>
      <c r="U237" s="7"/>
      <c r="V237" s="7"/>
    </row>
    <row r="238" spans="1:22">
      <c r="A238" s="99">
        <v>2017</v>
      </c>
      <c r="B238" s="18" t="s">
        <v>23</v>
      </c>
      <c r="C238" s="18" t="s">
        <v>23</v>
      </c>
      <c r="D238" s="18">
        <v>8232</v>
      </c>
      <c r="E238" s="18">
        <v>2234</v>
      </c>
      <c r="F238" s="18">
        <v>1145</v>
      </c>
      <c r="G238" s="18">
        <v>3459</v>
      </c>
      <c r="H238" s="18" t="s">
        <v>23</v>
      </c>
      <c r="I238" s="18" t="s">
        <v>23</v>
      </c>
      <c r="J238" s="18" t="s">
        <v>23</v>
      </c>
      <c r="K238" s="18" t="s">
        <v>23</v>
      </c>
      <c r="L238" s="24">
        <f>SUM(B238:K238)</f>
        <v>15070</v>
      </c>
      <c r="M238" s="7"/>
      <c r="U238" s="7"/>
      <c r="V238" s="7"/>
    </row>
    <row r="239" spans="1:22">
      <c r="A239" s="99">
        <v>2018</v>
      </c>
      <c r="B239" s="18" t="s">
        <v>23</v>
      </c>
      <c r="C239" s="18" t="s">
        <v>23</v>
      </c>
      <c r="D239" s="18">
        <v>8140</v>
      </c>
      <c r="E239" s="18">
        <v>2021</v>
      </c>
      <c r="F239" s="18">
        <v>3244</v>
      </c>
      <c r="G239" s="18">
        <v>514</v>
      </c>
      <c r="H239" s="18" t="s">
        <v>23</v>
      </c>
      <c r="I239" s="18" t="s">
        <v>23</v>
      </c>
      <c r="J239" s="18" t="s">
        <v>23</v>
      </c>
      <c r="K239" s="18" t="s">
        <v>23</v>
      </c>
      <c r="L239" s="24">
        <f>SUM(B239:K239)</f>
        <v>13919</v>
      </c>
      <c r="M239" s="7"/>
      <c r="U239" s="7"/>
      <c r="V239" s="7"/>
    </row>
    <row r="240" spans="1:22">
      <c r="A240" s="239">
        <v>2019</v>
      </c>
      <c r="B240" s="18" t="s">
        <v>23</v>
      </c>
      <c r="C240" s="18" t="s">
        <v>23</v>
      </c>
      <c r="D240" s="18">
        <v>13537</v>
      </c>
      <c r="E240" s="18">
        <v>3801</v>
      </c>
      <c r="F240" s="18">
        <v>4471</v>
      </c>
      <c r="G240" s="18">
        <v>4360</v>
      </c>
      <c r="H240" s="18">
        <v>4163</v>
      </c>
      <c r="I240" s="18" t="s">
        <v>23</v>
      </c>
      <c r="J240" s="18" t="s">
        <v>23</v>
      </c>
      <c r="K240" s="18" t="s">
        <v>23</v>
      </c>
      <c r="L240" s="24">
        <f t="shared" ref="L240:L241" si="12">SUM(B240:K240)</f>
        <v>30332</v>
      </c>
      <c r="M240" s="7"/>
      <c r="U240" s="7"/>
      <c r="V240" s="7"/>
    </row>
    <row r="241" spans="1:22" ht="13">
      <c r="A241" s="239" t="s">
        <v>308</v>
      </c>
      <c r="B241" s="18" t="s">
        <v>23</v>
      </c>
      <c r="C241" s="18" t="s">
        <v>23</v>
      </c>
      <c r="D241" s="18" t="s">
        <v>23</v>
      </c>
      <c r="E241" s="18" t="s">
        <v>106</v>
      </c>
      <c r="F241" s="18" t="s">
        <v>106</v>
      </c>
      <c r="G241" s="18">
        <v>3438</v>
      </c>
      <c r="H241" s="18">
        <v>641</v>
      </c>
      <c r="I241" s="18">
        <v>138</v>
      </c>
      <c r="J241" s="18">
        <v>12</v>
      </c>
      <c r="K241" s="18" t="s">
        <v>23</v>
      </c>
      <c r="L241" s="24">
        <f t="shared" si="12"/>
        <v>4229</v>
      </c>
      <c r="M241" s="7"/>
      <c r="U241" s="7"/>
      <c r="V241" s="7"/>
    </row>
    <row r="242" spans="1:22" ht="13">
      <c r="A242" s="239" t="s">
        <v>317</v>
      </c>
      <c r="B242" s="18" t="s">
        <v>23</v>
      </c>
      <c r="C242" s="18" t="s">
        <v>23</v>
      </c>
      <c r="D242" s="18">
        <v>12287</v>
      </c>
      <c r="E242" s="18">
        <v>8838</v>
      </c>
      <c r="F242" s="18">
        <v>6780</v>
      </c>
      <c r="G242" s="18">
        <v>3201</v>
      </c>
      <c r="H242" s="18">
        <v>442</v>
      </c>
      <c r="I242" s="18">
        <v>315</v>
      </c>
      <c r="J242" s="18" t="s">
        <v>23</v>
      </c>
      <c r="K242" s="18" t="s">
        <v>23</v>
      </c>
      <c r="L242" s="24">
        <f t="shared" si="11"/>
        <v>31863</v>
      </c>
      <c r="M242" s="7"/>
      <c r="U242" s="7"/>
      <c r="V242" s="7"/>
    </row>
    <row r="243" spans="1:22">
      <c r="B243" s="18"/>
      <c r="C243" s="18"/>
      <c r="D243" s="18"/>
      <c r="E243" s="18"/>
      <c r="F243" s="18"/>
      <c r="G243" s="18"/>
      <c r="H243" s="18"/>
      <c r="I243" s="18"/>
      <c r="J243" s="18"/>
      <c r="K243" s="18"/>
    </row>
    <row r="244" spans="1:22">
      <c r="A244" s="97" t="s">
        <v>35</v>
      </c>
      <c r="B244" s="18"/>
      <c r="C244" s="18"/>
      <c r="D244" s="18"/>
      <c r="E244" s="18"/>
      <c r="F244" s="18"/>
      <c r="G244" s="18"/>
      <c r="H244" s="18"/>
      <c r="I244" s="18"/>
      <c r="J244" s="18"/>
      <c r="K244" s="18"/>
    </row>
    <row r="245" spans="1:22">
      <c r="A245" s="99">
        <v>1976</v>
      </c>
      <c r="B245" s="18">
        <f t="shared" ref="B245:L245" si="13">IF(AND(B197="-",B149="-",B101="-",B53="-",B5="-"),"-",SUM(B197,B149,B101,B53,B5))</f>
        <v>8194</v>
      </c>
      <c r="C245" s="18">
        <f t="shared" si="13"/>
        <v>7412</v>
      </c>
      <c r="D245" s="18">
        <f t="shared" si="13"/>
        <v>7916</v>
      </c>
      <c r="E245" s="18">
        <f t="shared" si="13"/>
        <v>17114</v>
      </c>
      <c r="F245" s="18">
        <f t="shared" si="13"/>
        <v>29148</v>
      </c>
      <c r="G245" s="18">
        <f t="shared" si="13"/>
        <v>51597</v>
      </c>
      <c r="H245" s="18">
        <f t="shared" si="13"/>
        <v>36469</v>
      </c>
      <c r="I245" s="18">
        <f t="shared" si="13"/>
        <v>13360</v>
      </c>
      <c r="J245" s="18">
        <f t="shared" si="13"/>
        <v>12608</v>
      </c>
      <c r="K245" s="18">
        <f t="shared" si="13"/>
        <v>3382</v>
      </c>
      <c r="L245" s="24">
        <f t="shared" si="13"/>
        <v>187200</v>
      </c>
    </row>
    <row r="246" spans="1:22">
      <c r="A246" s="99">
        <v>1977</v>
      </c>
      <c r="B246" s="18">
        <f t="shared" ref="B246:L246" si="14">IF(AND(B198="-",B150="-",B102="-",B54="-",B6="-"),"-",SUM(B198,B150,B102,B54,B6))</f>
        <v>9832</v>
      </c>
      <c r="C246" s="18">
        <f t="shared" si="14"/>
        <v>9729</v>
      </c>
      <c r="D246" s="18">
        <f t="shared" si="14"/>
        <v>13632</v>
      </c>
      <c r="E246" s="18">
        <f t="shared" si="14"/>
        <v>13351</v>
      </c>
      <c r="F246" s="18">
        <f t="shared" si="14"/>
        <v>15689</v>
      </c>
      <c r="G246" s="18">
        <f t="shared" si="14"/>
        <v>48325</v>
      </c>
      <c r="H246" s="18">
        <f t="shared" si="14"/>
        <v>39785</v>
      </c>
      <c r="I246" s="18">
        <f t="shared" si="14"/>
        <v>17544</v>
      </c>
      <c r="J246" s="18">
        <f t="shared" si="14"/>
        <v>10416</v>
      </c>
      <c r="K246" s="18">
        <f t="shared" si="14"/>
        <v>3025</v>
      </c>
      <c r="L246" s="24">
        <f t="shared" si="14"/>
        <v>181328</v>
      </c>
    </row>
    <row r="247" spans="1:22">
      <c r="A247" s="99">
        <v>1978</v>
      </c>
      <c r="B247" s="18">
        <f t="shared" ref="B247:L247" si="15">IF(AND(B199="-",B151="-",B103="-",B55="-",B7="-"),"-",SUM(B199,B151,B103,B55,B7))</f>
        <v>19152</v>
      </c>
      <c r="C247" s="18">
        <f t="shared" si="15"/>
        <v>13387</v>
      </c>
      <c r="D247" s="18">
        <f t="shared" si="15"/>
        <v>2914</v>
      </c>
      <c r="E247" s="18">
        <f t="shared" si="15"/>
        <v>2299</v>
      </c>
      <c r="F247" s="18">
        <f t="shared" si="15"/>
        <v>18726</v>
      </c>
      <c r="G247" s="18">
        <f t="shared" si="15"/>
        <v>40890</v>
      </c>
      <c r="H247" s="18">
        <f t="shared" si="15"/>
        <v>22651</v>
      </c>
      <c r="I247" s="18">
        <f t="shared" si="15"/>
        <v>16568</v>
      </c>
      <c r="J247" s="18">
        <f t="shared" si="15"/>
        <v>8314</v>
      </c>
      <c r="K247" s="18">
        <f t="shared" si="15"/>
        <v>5827</v>
      </c>
      <c r="L247" s="24">
        <f t="shared" si="15"/>
        <v>150728</v>
      </c>
    </row>
    <row r="248" spans="1:22">
      <c r="A248" s="99">
        <v>1979</v>
      </c>
      <c r="B248" s="18">
        <f t="shared" ref="B248:L248" si="16">IF(AND(B200="-",B152="-",B104="-",B56="-",B8="-"),"-",SUM(B200,B152,B104,B56,B8))</f>
        <v>8685</v>
      </c>
      <c r="C248" s="18">
        <f t="shared" si="16"/>
        <v>14396</v>
      </c>
      <c r="D248" s="18">
        <f t="shared" si="16"/>
        <v>11656</v>
      </c>
      <c r="E248" s="18">
        <f t="shared" si="16"/>
        <v>8804</v>
      </c>
      <c r="F248" s="18">
        <f t="shared" si="16"/>
        <v>23565</v>
      </c>
      <c r="G248" s="18">
        <f t="shared" si="16"/>
        <v>35748</v>
      </c>
      <c r="H248" s="18">
        <f t="shared" si="16"/>
        <v>30201</v>
      </c>
      <c r="I248" s="18">
        <f t="shared" si="16"/>
        <v>15145</v>
      </c>
      <c r="J248" s="18">
        <f t="shared" si="16"/>
        <v>5530</v>
      </c>
      <c r="K248" s="18" t="str">
        <f t="shared" si="16"/>
        <v>-</v>
      </c>
      <c r="L248" s="24">
        <f t="shared" si="16"/>
        <v>153730</v>
      </c>
    </row>
    <row r="249" spans="1:22">
      <c r="A249" s="99">
        <v>1980</v>
      </c>
      <c r="B249" s="18">
        <f t="shared" ref="B249:L249" si="17">IF(AND(B201="-",B153="-",B105="-",B57="-",B9="-"),"-",SUM(B201,B153,B105,B57,B9))</f>
        <v>3464</v>
      </c>
      <c r="C249" s="18">
        <f t="shared" si="17"/>
        <v>17417</v>
      </c>
      <c r="D249" s="18">
        <f t="shared" si="17"/>
        <v>10048</v>
      </c>
      <c r="E249" s="18">
        <f t="shared" si="17"/>
        <v>9859</v>
      </c>
      <c r="F249" s="18">
        <f t="shared" si="17"/>
        <v>22712</v>
      </c>
      <c r="G249" s="18">
        <f t="shared" si="17"/>
        <v>44864</v>
      </c>
      <c r="H249" s="18">
        <f t="shared" si="17"/>
        <v>21544</v>
      </c>
      <c r="I249" s="18">
        <f t="shared" si="17"/>
        <v>11414</v>
      </c>
      <c r="J249" s="18">
        <f t="shared" si="17"/>
        <v>3035</v>
      </c>
      <c r="K249" s="18" t="str">
        <f t="shared" si="17"/>
        <v>-</v>
      </c>
      <c r="L249" s="24">
        <f t="shared" si="17"/>
        <v>144357</v>
      </c>
    </row>
    <row r="250" spans="1:22">
      <c r="A250" s="99">
        <v>1981</v>
      </c>
      <c r="B250" s="18">
        <f t="shared" ref="B250:L250" si="18">IF(AND(B202="-",B154="-",B106="-",B58="-",B10="-"),"-",SUM(B202,B154,B106,B58,B10))</f>
        <v>5159</v>
      </c>
      <c r="C250" s="18">
        <f t="shared" si="18"/>
        <v>5954</v>
      </c>
      <c r="D250" s="18">
        <f t="shared" si="18"/>
        <v>10609</v>
      </c>
      <c r="E250" s="18">
        <f t="shared" si="18"/>
        <v>5298</v>
      </c>
      <c r="F250" s="18">
        <f t="shared" si="18"/>
        <v>18454</v>
      </c>
      <c r="G250" s="18">
        <f t="shared" si="18"/>
        <v>34759</v>
      </c>
      <c r="H250" s="18">
        <f t="shared" si="18"/>
        <v>25714</v>
      </c>
      <c r="I250" s="18">
        <f t="shared" si="18"/>
        <v>8669</v>
      </c>
      <c r="J250" s="18">
        <f t="shared" si="18"/>
        <v>5677</v>
      </c>
      <c r="K250" s="18">
        <f t="shared" si="18"/>
        <v>1660</v>
      </c>
      <c r="L250" s="24">
        <f t="shared" si="18"/>
        <v>121953</v>
      </c>
    </row>
    <row r="251" spans="1:22">
      <c r="A251" s="99">
        <v>1982</v>
      </c>
      <c r="B251" s="18">
        <f t="shared" ref="B251:L251" si="19">IF(AND(B203="-",B155="-",B107="-",B59="-",B11="-"),"-",SUM(B203,B155,B107,B59,B11))</f>
        <v>7355</v>
      </c>
      <c r="C251" s="18">
        <f t="shared" si="19"/>
        <v>12371</v>
      </c>
      <c r="D251" s="18">
        <f t="shared" si="19"/>
        <v>8257</v>
      </c>
      <c r="E251" s="18">
        <f t="shared" si="19"/>
        <v>9867</v>
      </c>
      <c r="F251" s="18">
        <f t="shared" si="19"/>
        <v>24339</v>
      </c>
      <c r="G251" s="18">
        <f t="shared" si="19"/>
        <v>46920</v>
      </c>
      <c r="H251" s="18">
        <f t="shared" si="19"/>
        <v>35983</v>
      </c>
      <c r="I251" s="18">
        <f t="shared" si="19"/>
        <v>13950</v>
      </c>
      <c r="J251" s="18">
        <f t="shared" si="19"/>
        <v>9544</v>
      </c>
      <c r="K251" s="18">
        <f t="shared" si="19"/>
        <v>2675</v>
      </c>
      <c r="L251" s="24">
        <f t="shared" si="19"/>
        <v>171261</v>
      </c>
    </row>
    <row r="252" spans="1:22">
      <c r="A252" s="99">
        <v>1983</v>
      </c>
      <c r="B252" s="18">
        <f t="shared" ref="B252:L252" si="20">IF(AND(B204="-",B156="-",B108="-",B60="-",B12="-"),"-",SUM(B204,B156,B108,B60,B12))</f>
        <v>2091</v>
      </c>
      <c r="C252" s="18">
        <f t="shared" si="20"/>
        <v>2354</v>
      </c>
      <c r="D252" s="18">
        <f t="shared" si="20"/>
        <v>6579</v>
      </c>
      <c r="E252" s="18">
        <f t="shared" si="20"/>
        <v>10400</v>
      </c>
      <c r="F252" s="18">
        <f t="shared" si="20"/>
        <v>23200</v>
      </c>
      <c r="G252" s="18">
        <f t="shared" si="20"/>
        <v>42539</v>
      </c>
      <c r="H252" s="18">
        <f t="shared" si="20"/>
        <v>21151</v>
      </c>
      <c r="I252" s="18">
        <f t="shared" si="20"/>
        <v>8871</v>
      </c>
      <c r="J252" s="18">
        <f t="shared" si="20"/>
        <v>5389</v>
      </c>
      <c r="K252" s="18">
        <f t="shared" si="20"/>
        <v>101</v>
      </c>
      <c r="L252" s="24">
        <f t="shared" si="20"/>
        <v>122675</v>
      </c>
    </row>
    <row r="253" spans="1:22">
      <c r="A253" s="99">
        <v>1984</v>
      </c>
      <c r="B253" s="18">
        <f t="shared" ref="B253:L253" si="21">IF(AND(B205="-",B157="-",B109="-",B61="-",B13="-"),"-",SUM(B205,B157,B109,B61,B13))</f>
        <v>1916</v>
      </c>
      <c r="C253" s="18">
        <f t="shared" si="21"/>
        <v>2166</v>
      </c>
      <c r="D253" s="18">
        <f t="shared" si="21"/>
        <v>6475</v>
      </c>
      <c r="E253" s="18">
        <f t="shared" si="21"/>
        <v>9385</v>
      </c>
      <c r="F253" s="18">
        <f t="shared" si="21"/>
        <v>15419</v>
      </c>
      <c r="G253" s="18">
        <f t="shared" si="21"/>
        <v>49667</v>
      </c>
      <c r="H253" s="18">
        <f t="shared" si="21"/>
        <v>27994</v>
      </c>
      <c r="I253" s="18">
        <f t="shared" si="21"/>
        <v>9699</v>
      </c>
      <c r="J253" s="18">
        <f t="shared" si="21"/>
        <v>3471</v>
      </c>
      <c r="K253" s="18">
        <f t="shared" si="21"/>
        <v>772</v>
      </c>
      <c r="L253" s="24">
        <f t="shared" si="21"/>
        <v>126964</v>
      </c>
    </row>
    <row r="254" spans="1:22">
      <c r="A254" s="99">
        <v>1985</v>
      </c>
      <c r="B254" s="18">
        <f t="shared" ref="B254:L254" si="22">IF(AND(B206="-",B158="-",B110="-",B62="-",B14="-"),"-",SUM(B206,B158,B110,B62,B14))</f>
        <v>9012</v>
      </c>
      <c r="C254" s="18">
        <f t="shared" si="22"/>
        <v>16882</v>
      </c>
      <c r="D254" s="18">
        <f t="shared" si="22"/>
        <v>11939</v>
      </c>
      <c r="E254" s="18">
        <f t="shared" si="22"/>
        <v>18509</v>
      </c>
      <c r="F254" s="18">
        <f t="shared" si="22"/>
        <v>33553</v>
      </c>
      <c r="G254" s="18">
        <f t="shared" si="22"/>
        <v>52550</v>
      </c>
      <c r="H254" s="18">
        <f t="shared" si="22"/>
        <v>31535</v>
      </c>
      <c r="I254" s="18">
        <f t="shared" si="22"/>
        <v>11763</v>
      </c>
      <c r="J254" s="18">
        <f t="shared" si="22"/>
        <v>4230</v>
      </c>
      <c r="K254" s="18">
        <f t="shared" si="22"/>
        <v>1924</v>
      </c>
      <c r="L254" s="24">
        <f t="shared" si="22"/>
        <v>191897</v>
      </c>
    </row>
    <row r="255" spans="1:22">
      <c r="A255" s="99">
        <v>1986</v>
      </c>
      <c r="B255" s="18">
        <f t="shared" ref="B255:L255" si="23">IF(AND(B207="-",B159="-",B111="-",B63="-",B15="-"),"-",SUM(B207,B159,B111,B63,B15))</f>
        <v>2129</v>
      </c>
      <c r="C255" s="18">
        <f t="shared" si="23"/>
        <v>13939</v>
      </c>
      <c r="D255" s="18">
        <f t="shared" si="23"/>
        <v>18354</v>
      </c>
      <c r="E255" s="18">
        <f t="shared" si="23"/>
        <v>14983</v>
      </c>
      <c r="F255" s="18">
        <f t="shared" si="23"/>
        <v>37284</v>
      </c>
      <c r="G255" s="18">
        <f t="shared" si="23"/>
        <v>58185</v>
      </c>
      <c r="H255" s="18">
        <f t="shared" si="23"/>
        <v>36845</v>
      </c>
      <c r="I255" s="18">
        <f t="shared" si="23"/>
        <v>8188</v>
      </c>
      <c r="J255" s="18">
        <f t="shared" si="23"/>
        <v>4807</v>
      </c>
      <c r="K255" s="18">
        <f t="shared" si="23"/>
        <v>885</v>
      </c>
      <c r="L255" s="24">
        <f t="shared" si="23"/>
        <v>195599</v>
      </c>
    </row>
    <row r="256" spans="1:22">
      <c r="A256" s="99">
        <v>1987</v>
      </c>
      <c r="B256" s="18">
        <f t="shared" ref="B256:L256" si="24">IF(AND(B208="-",B160="-",B112="-",B64="-",B16="-"),"-",SUM(B208,B160,B112,B64,B16))</f>
        <v>8638</v>
      </c>
      <c r="C256" s="18">
        <f t="shared" si="24"/>
        <v>18933</v>
      </c>
      <c r="D256" s="18">
        <f t="shared" si="24"/>
        <v>17577</v>
      </c>
      <c r="E256" s="18">
        <f t="shared" si="24"/>
        <v>17243</v>
      </c>
      <c r="F256" s="18">
        <f t="shared" si="24"/>
        <v>41073</v>
      </c>
      <c r="G256" s="18">
        <f t="shared" si="24"/>
        <v>83956</v>
      </c>
      <c r="H256" s="18">
        <f t="shared" si="24"/>
        <v>52250</v>
      </c>
      <c r="I256" s="18">
        <f t="shared" si="24"/>
        <v>19596</v>
      </c>
      <c r="J256" s="18">
        <f t="shared" si="24"/>
        <v>7342</v>
      </c>
      <c r="K256" s="18">
        <f t="shared" si="24"/>
        <v>1662</v>
      </c>
      <c r="L256" s="24">
        <f t="shared" si="24"/>
        <v>268270</v>
      </c>
    </row>
    <row r="257" spans="1:12">
      <c r="A257" s="99">
        <v>1988</v>
      </c>
      <c r="B257" s="18">
        <f t="shared" ref="B257:L257" si="25">IF(AND(B209="-",B161="-",B113="-",B65="-",B17="-"),"-",SUM(B209,B161,B113,B65,B17))</f>
        <v>10596</v>
      </c>
      <c r="C257" s="18">
        <f t="shared" si="25"/>
        <v>16108</v>
      </c>
      <c r="D257" s="18">
        <f t="shared" si="25"/>
        <v>18934</v>
      </c>
      <c r="E257" s="18">
        <f t="shared" si="25"/>
        <v>23806</v>
      </c>
      <c r="F257" s="18">
        <f t="shared" si="25"/>
        <v>47573</v>
      </c>
      <c r="G257" s="18">
        <f t="shared" si="25"/>
        <v>76084</v>
      </c>
      <c r="H257" s="18">
        <f t="shared" si="25"/>
        <v>33379</v>
      </c>
      <c r="I257" s="18">
        <f t="shared" si="25"/>
        <v>12049</v>
      </c>
      <c r="J257" s="18">
        <f t="shared" si="25"/>
        <v>3826</v>
      </c>
      <c r="K257" s="18">
        <f t="shared" si="25"/>
        <v>42</v>
      </c>
      <c r="L257" s="24">
        <f t="shared" si="25"/>
        <v>242397</v>
      </c>
    </row>
    <row r="258" spans="1:12">
      <c r="A258" s="99">
        <v>1989</v>
      </c>
      <c r="B258" s="18">
        <f t="shared" ref="B258:L258" si="26">IF(AND(B210="-",B162="-",B114="-",B66="-",B18="-"),"-",SUM(B210,B162,B114,B66,B18))</f>
        <v>9830</v>
      </c>
      <c r="C258" s="18">
        <f t="shared" si="26"/>
        <v>15912</v>
      </c>
      <c r="D258" s="18">
        <f t="shared" si="26"/>
        <v>35010</v>
      </c>
      <c r="E258" s="18">
        <f t="shared" si="26"/>
        <v>17683</v>
      </c>
      <c r="F258" s="18">
        <f t="shared" si="26"/>
        <v>41384</v>
      </c>
      <c r="G258" s="18">
        <f t="shared" si="26"/>
        <v>70430</v>
      </c>
      <c r="H258" s="18">
        <f t="shared" si="26"/>
        <v>36223</v>
      </c>
      <c r="I258" s="18">
        <f t="shared" si="26"/>
        <v>12547</v>
      </c>
      <c r="J258" s="18">
        <f t="shared" si="26"/>
        <v>4046</v>
      </c>
      <c r="K258" s="18">
        <f t="shared" si="26"/>
        <v>1870</v>
      </c>
      <c r="L258" s="24">
        <f t="shared" si="26"/>
        <v>244935</v>
      </c>
    </row>
    <row r="259" spans="1:12">
      <c r="A259" s="99">
        <v>1990</v>
      </c>
      <c r="B259" s="18">
        <f t="shared" ref="B259:L259" si="27">IF(AND(B211="-",B163="-",B115="-",B67="-",B19="-"),"-",SUM(B211,B163,B115,B67,B19))</f>
        <v>10169</v>
      </c>
      <c r="C259" s="18">
        <f t="shared" si="27"/>
        <v>20580</v>
      </c>
      <c r="D259" s="18">
        <f t="shared" si="27"/>
        <v>30293</v>
      </c>
      <c r="E259" s="18">
        <f t="shared" si="27"/>
        <v>10766</v>
      </c>
      <c r="F259" s="18">
        <f t="shared" si="27"/>
        <v>54017</v>
      </c>
      <c r="G259" s="18">
        <f t="shared" si="27"/>
        <v>82146</v>
      </c>
      <c r="H259" s="18">
        <f t="shared" si="27"/>
        <v>23878</v>
      </c>
      <c r="I259" s="18">
        <f t="shared" si="27"/>
        <v>11805</v>
      </c>
      <c r="J259" s="18">
        <f t="shared" si="27"/>
        <v>5123</v>
      </c>
      <c r="K259" s="18">
        <f t="shared" si="27"/>
        <v>3355</v>
      </c>
      <c r="L259" s="24">
        <f t="shared" si="27"/>
        <v>252132</v>
      </c>
    </row>
    <row r="260" spans="1:12">
      <c r="A260" s="99">
        <v>1991</v>
      </c>
      <c r="B260" s="18">
        <f t="shared" ref="B260:L260" si="28">IF(AND(B212="-",B164="-",B116="-",B68="-",B20="-"),"-",SUM(B212,B164,B116,B68,B20))</f>
        <v>55</v>
      </c>
      <c r="C260" s="18">
        <f t="shared" si="28"/>
        <v>12216</v>
      </c>
      <c r="D260" s="18">
        <f t="shared" si="28"/>
        <v>18217</v>
      </c>
      <c r="E260" s="18">
        <f t="shared" si="28"/>
        <v>12001</v>
      </c>
      <c r="F260" s="18">
        <f t="shared" si="28"/>
        <v>49602</v>
      </c>
      <c r="G260" s="18">
        <f t="shared" si="28"/>
        <v>71235</v>
      </c>
      <c r="H260" s="18">
        <f t="shared" si="28"/>
        <v>20690</v>
      </c>
      <c r="I260" s="18">
        <f t="shared" si="28"/>
        <v>8102</v>
      </c>
      <c r="J260" s="18">
        <f t="shared" si="28"/>
        <v>4454</v>
      </c>
      <c r="K260" s="18">
        <f t="shared" si="28"/>
        <v>58</v>
      </c>
      <c r="L260" s="24">
        <f t="shared" si="28"/>
        <v>196630</v>
      </c>
    </row>
    <row r="261" spans="1:12">
      <c r="A261" s="99">
        <v>1992</v>
      </c>
      <c r="B261" s="18">
        <f t="shared" ref="B261:L261" si="29">IF(AND(B213="-",B165="-",B117="-",B69="-",B21="-"),"-",SUM(B213,B165,B117,B69,B21))</f>
        <v>2006</v>
      </c>
      <c r="C261" s="18">
        <f t="shared" si="29"/>
        <v>9713</v>
      </c>
      <c r="D261" s="18">
        <f t="shared" si="29"/>
        <v>9877</v>
      </c>
      <c r="E261" s="18">
        <f t="shared" si="29"/>
        <v>11543</v>
      </c>
      <c r="F261" s="18">
        <f t="shared" si="29"/>
        <v>13636</v>
      </c>
      <c r="G261" s="18">
        <f t="shared" si="29"/>
        <v>41944</v>
      </c>
      <c r="H261" s="18">
        <f t="shared" si="29"/>
        <v>15063</v>
      </c>
      <c r="I261" s="18">
        <f t="shared" si="29"/>
        <v>17477</v>
      </c>
      <c r="J261" s="18">
        <f t="shared" si="29"/>
        <v>5759</v>
      </c>
      <c r="K261" s="18">
        <f t="shared" si="29"/>
        <v>849</v>
      </c>
      <c r="L261" s="24">
        <f t="shared" si="29"/>
        <v>127867</v>
      </c>
    </row>
    <row r="262" spans="1:12">
      <c r="A262" s="99">
        <v>1993</v>
      </c>
      <c r="B262" s="18">
        <f t="shared" ref="B262:L262" si="30">IF(AND(B214="-",B166="-",B118="-",B70="-",B22="-"),"-",SUM(B214,B166,B118,B70,B22))</f>
        <v>879</v>
      </c>
      <c r="C262" s="18">
        <f t="shared" si="30"/>
        <v>15036</v>
      </c>
      <c r="D262" s="18">
        <f t="shared" si="30"/>
        <v>17597</v>
      </c>
      <c r="E262" s="18">
        <f t="shared" si="30"/>
        <v>17871</v>
      </c>
      <c r="F262" s="18">
        <f t="shared" si="30"/>
        <v>15461</v>
      </c>
      <c r="G262" s="18">
        <f t="shared" si="30"/>
        <v>54935</v>
      </c>
      <c r="H262" s="18">
        <f t="shared" si="30"/>
        <v>36947</v>
      </c>
      <c r="I262" s="18">
        <f t="shared" si="30"/>
        <v>11417</v>
      </c>
      <c r="J262" s="18">
        <f t="shared" si="30"/>
        <v>4744</v>
      </c>
      <c r="K262" s="18">
        <f t="shared" si="30"/>
        <v>0</v>
      </c>
      <c r="L262" s="24">
        <f t="shared" si="30"/>
        <v>174887</v>
      </c>
    </row>
    <row r="263" spans="1:12">
      <c r="A263" s="99">
        <v>1994</v>
      </c>
      <c r="B263" s="18">
        <f t="shared" ref="B263:J263" si="31">IF(AND(B215="-",B167="-",B119="-",B71="-",B23="-"),"-",SUM(B215,B167,B119,B71,B23))</f>
        <v>3013</v>
      </c>
      <c r="C263" s="18">
        <f t="shared" si="31"/>
        <v>15387</v>
      </c>
      <c r="D263" s="18">
        <f t="shared" si="31"/>
        <v>19540</v>
      </c>
      <c r="E263" s="18">
        <f t="shared" si="31"/>
        <v>25367</v>
      </c>
      <c r="F263" s="18">
        <f t="shared" si="31"/>
        <v>37974</v>
      </c>
      <c r="G263" s="18">
        <f t="shared" si="31"/>
        <v>44976</v>
      </c>
      <c r="H263" s="18">
        <f t="shared" si="31"/>
        <v>30998</v>
      </c>
      <c r="I263" s="18">
        <f t="shared" si="31"/>
        <v>14988</v>
      </c>
      <c r="J263" s="18">
        <f t="shared" si="31"/>
        <v>9848</v>
      </c>
      <c r="K263" s="134" t="s">
        <v>106</v>
      </c>
      <c r="L263" s="24">
        <f t="shared" ref="L263:L288" si="32">IF(AND(L215="-",L167="-",L119="-",L71="-",L23="-"),"-",SUM(L215,L167,L119,L71,L23))</f>
        <v>202091</v>
      </c>
    </row>
    <row r="264" spans="1:12">
      <c r="A264" s="99">
        <v>1995</v>
      </c>
      <c r="B264" s="18">
        <f t="shared" ref="B264:J264" si="33">IF(AND(B216="-",B168="-",B120="-",B72="-",B24="-"),"-",SUM(B216,B168,B120,B72,B24))</f>
        <v>360</v>
      </c>
      <c r="C264" s="18">
        <f t="shared" si="33"/>
        <v>22917</v>
      </c>
      <c r="D264" s="18">
        <f t="shared" si="33"/>
        <v>50164</v>
      </c>
      <c r="E264" s="18">
        <f t="shared" si="33"/>
        <v>59539</v>
      </c>
      <c r="F264" s="18">
        <f t="shared" si="33"/>
        <v>74040</v>
      </c>
      <c r="G264" s="18">
        <f t="shared" si="33"/>
        <v>97536</v>
      </c>
      <c r="H264" s="18">
        <f t="shared" si="33"/>
        <v>46988</v>
      </c>
      <c r="I264" s="18">
        <f t="shared" si="33"/>
        <v>22049</v>
      </c>
      <c r="J264" s="18">
        <f t="shared" si="33"/>
        <v>4911</v>
      </c>
      <c r="K264" s="134" t="s">
        <v>106</v>
      </c>
      <c r="L264" s="24">
        <f t="shared" si="32"/>
        <v>378504</v>
      </c>
    </row>
    <row r="265" spans="1:12">
      <c r="A265" s="99">
        <v>1996</v>
      </c>
      <c r="B265" s="18">
        <f t="shared" ref="B265:J265" si="34">IF(AND(B217="-",B169="-",B121="-",B73="-",B25="-"),"-",SUM(B217,B169,B121,B73,B25))</f>
        <v>49</v>
      </c>
      <c r="C265" s="18">
        <f t="shared" si="34"/>
        <v>35215</v>
      </c>
      <c r="D265" s="18">
        <f t="shared" si="34"/>
        <v>30349</v>
      </c>
      <c r="E265" s="18">
        <f t="shared" si="34"/>
        <v>25186</v>
      </c>
      <c r="F265" s="18">
        <f t="shared" si="34"/>
        <v>43242</v>
      </c>
      <c r="G265" s="18">
        <f t="shared" si="34"/>
        <v>46756</v>
      </c>
      <c r="H265" s="18">
        <f t="shared" si="34"/>
        <v>30943</v>
      </c>
      <c r="I265" s="18">
        <f t="shared" si="34"/>
        <v>10424</v>
      </c>
      <c r="J265" s="18">
        <f t="shared" si="34"/>
        <v>3141</v>
      </c>
      <c r="K265" s="134" t="s">
        <v>106</v>
      </c>
      <c r="L265" s="24">
        <f t="shared" si="32"/>
        <v>225305</v>
      </c>
    </row>
    <row r="266" spans="1:12">
      <c r="A266" s="99">
        <v>1997</v>
      </c>
      <c r="B266" s="134" t="s">
        <v>106</v>
      </c>
      <c r="C266" s="18">
        <f t="shared" ref="C266:K266" si="35">IF(AND(C218="-",C170="-",C122="-",C74="-",C26="-"),"-",SUM(C218,C170,C122,C74,C26))</f>
        <v>21546</v>
      </c>
      <c r="D266" s="18">
        <f t="shared" si="35"/>
        <v>29711</v>
      </c>
      <c r="E266" s="18">
        <f t="shared" si="35"/>
        <v>33269</v>
      </c>
      <c r="F266" s="18">
        <f t="shared" si="35"/>
        <v>44245</v>
      </c>
      <c r="G266" s="18">
        <f t="shared" si="35"/>
        <v>60223</v>
      </c>
      <c r="H266" s="18">
        <f t="shared" si="35"/>
        <v>35290</v>
      </c>
      <c r="I266" s="18">
        <f t="shared" si="35"/>
        <v>6493</v>
      </c>
      <c r="J266" s="18">
        <f t="shared" si="35"/>
        <v>3212</v>
      </c>
      <c r="K266" s="18">
        <f t="shared" si="35"/>
        <v>380</v>
      </c>
      <c r="L266" s="24">
        <f t="shared" si="32"/>
        <v>234369</v>
      </c>
    </row>
    <row r="267" spans="1:12">
      <c r="A267" s="99">
        <v>1998</v>
      </c>
      <c r="B267" s="134" t="s">
        <v>106</v>
      </c>
      <c r="C267" s="18">
        <f t="shared" ref="C267:J268" si="36">IF(AND(C219="-",C171="-",C123="-",C75="-",C27="-"),"-",SUM(C219,C171,C123,C75,C27))</f>
        <v>6225</v>
      </c>
      <c r="D267" s="18">
        <f t="shared" si="36"/>
        <v>17692</v>
      </c>
      <c r="E267" s="18">
        <f t="shared" si="36"/>
        <v>20642</v>
      </c>
      <c r="F267" s="18">
        <f t="shared" si="36"/>
        <v>31544</v>
      </c>
      <c r="G267" s="18">
        <f t="shared" si="36"/>
        <v>34757</v>
      </c>
      <c r="H267" s="18">
        <f t="shared" si="36"/>
        <v>28604</v>
      </c>
      <c r="I267" s="18">
        <f t="shared" si="36"/>
        <v>8880</v>
      </c>
      <c r="J267" s="18">
        <f t="shared" si="36"/>
        <v>3480</v>
      </c>
      <c r="K267" s="134" t="s">
        <v>106</v>
      </c>
      <c r="L267" s="24">
        <f t="shared" si="32"/>
        <v>151824</v>
      </c>
    </row>
    <row r="268" spans="1:12">
      <c r="A268" s="99">
        <v>1999</v>
      </c>
      <c r="B268" s="18">
        <f>IF(AND(B220="-",B172="-",B124="-",B76="-",B28="-"),"-",SUM(B220,B172,B124,B76,B28))</f>
        <v>14</v>
      </c>
      <c r="C268" s="18">
        <f t="shared" si="36"/>
        <v>8721</v>
      </c>
      <c r="D268" s="18">
        <f t="shared" si="36"/>
        <v>11785</v>
      </c>
      <c r="E268" s="18">
        <f t="shared" si="36"/>
        <v>6592</v>
      </c>
      <c r="F268" s="18">
        <f t="shared" si="36"/>
        <v>27755</v>
      </c>
      <c r="G268" s="18">
        <f t="shared" si="36"/>
        <v>44191</v>
      </c>
      <c r="H268" s="18">
        <f t="shared" si="36"/>
        <v>32134</v>
      </c>
      <c r="I268" s="18">
        <f t="shared" si="36"/>
        <v>10442</v>
      </c>
      <c r="J268" s="18">
        <f t="shared" si="36"/>
        <v>5421</v>
      </c>
      <c r="K268" s="134" t="s">
        <v>106</v>
      </c>
      <c r="L268" s="24">
        <f t="shared" si="32"/>
        <v>147055</v>
      </c>
    </row>
    <row r="269" spans="1:12">
      <c r="A269" s="99">
        <v>2000</v>
      </c>
      <c r="B269" s="134" t="s">
        <v>106</v>
      </c>
      <c r="C269" s="134" t="s">
        <v>106</v>
      </c>
      <c r="D269" s="18">
        <f t="shared" ref="D269:K278" si="37">IF(AND(D221="-",D173="-",D125="-",D77="-",D29="-"),"-",SUM(D221,D173,D125,D77,D29))</f>
        <v>36688</v>
      </c>
      <c r="E269" s="18">
        <f t="shared" si="37"/>
        <v>33700</v>
      </c>
      <c r="F269" s="18">
        <f t="shared" si="37"/>
        <v>43225</v>
      </c>
      <c r="G269" s="18">
        <f t="shared" si="37"/>
        <v>44493</v>
      </c>
      <c r="H269" s="18">
        <f t="shared" si="37"/>
        <v>33006</v>
      </c>
      <c r="I269" s="18">
        <f t="shared" si="37"/>
        <v>16346</v>
      </c>
      <c r="J269" s="18">
        <f t="shared" si="37"/>
        <v>5466</v>
      </c>
      <c r="K269" s="18">
        <f t="shared" si="37"/>
        <v>1451</v>
      </c>
      <c r="L269" s="24">
        <f t="shared" si="32"/>
        <v>214375</v>
      </c>
    </row>
    <row r="270" spans="1:12">
      <c r="A270" s="99">
        <v>2001</v>
      </c>
      <c r="B270" s="134" t="s">
        <v>106</v>
      </c>
      <c r="C270" s="18">
        <f t="shared" ref="C270:C288" si="38">IF(AND(C222="-",C174="-",C126="-",C78="-",C30="-"),"-",SUM(C222,C174,C126,C78,C30))</f>
        <v>1573</v>
      </c>
      <c r="D270" s="18">
        <f t="shared" si="37"/>
        <v>26353</v>
      </c>
      <c r="E270" s="18">
        <f t="shared" si="37"/>
        <v>25889</v>
      </c>
      <c r="F270" s="18">
        <f t="shared" si="37"/>
        <v>21705</v>
      </c>
      <c r="G270" s="18">
        <f t="shared" si="37"/>
        <v>37640</v>
      </c>
      <c r="H270" s="18">
        <f t="shared" si="37"/>
        <v>29198</v>
      </c>
      <c r="I270" s="18">
        <f t="shared" si="37"/>
        <v>14103</v>
      </c>
      <c r="J270" s="18">
        <f t="shared" si="37"/>
        <v>6081</v>
      </c>
      <c r="K270" s="18">
        <f t="shared" si="37"/>
        <v>2593</v>
      </c>
      <c r="L270" s="24">
        <f t="shared" si="32"/>
        <v>165135</v>
      </c>
    </row>
    <row r="271" spans="1:12">
      <c r="A271" s="99">
        <v>2002</v>
      </c>
      <c r="B271" s="18">
        <f t="shared" ref="B271:B288" si="39">IF(AND(B223="-",B175="-",B127="-",B79="-",B31="-"),"-",SUM(B223,B175,B127,B79,B31))</f>
        <v>194</v>
      </c>
      <c r="C271" s="18">
        <f t="shared" si="38"/>
        <v>3760</v>
      </c>
      <c r="D271" s="18">
        <f t="shared" si="37"/>
        <v>40477</v>
      </c>
      <c r="E271" s="18">
        <f t="shared" si="37"/>
        <v>30761</v>
      </c>
      <c r="F271" s="18">
        <f t="shared" si="37"/>
        <v>36535</v>
      </c>
      <c r="G271" s="18">
        <f t="shared" si="37"/>
        <v>46562</v>
      </c>
      <c r="H271" s="18">
        <f t="shared" si="37"/>
        <v>39552</v>
      </c>
      <c r="I271" s="18">
        <f t="shared" si="37"/>
        <v>10007</v>
      </c>
      <c r="J271" s="18">
        <f t="shared" si="37"/>
        <v>1823</v>
      </c>
      <c r="K271" s="18">
        <f t="shared" si="37"/>
        <v>381</v>
      </c>
      <c r="L271" s="24">
        <f t="shared" si="32"/>
        <v>210052</v>
      </c>
    </row>
    <row r="272" spans="1:12">
      <c r="A272" s="99">
        <v>2003</v>
      </c>
      <c r="B272" s="18">
        <f t="shared" si="39"/>
        <v>607</v>
      </c>
      <c r="C272" s="18">
        <f t="shared" si="38"/>
        <v>6374</v>
      </c>
      <c r="D272" s="18">
        <f t="shared" si="37"/>
        <v>15069</v>
      </c>
      <c r="E272" s="18">
        <f t="shared" si="37"/>
        <v>19600</v>
      </c>
      <c r="F272" s="18">
        <f t="shared" si="37"/>
        <v>24402</v>
      </c>
      <c r="G272" s="18">
        <f t="shared" si="37"/>
        <v>37972</v>
      </c>
      <c r="H272" s="18">
        <f t="shared" si="37"/>
        <v>19455</v>
      </c>
      <c r="I272" s="18">
        <f t="shared" si="37"/>
        <v>8217</v>
      </c>
      <c r="J272" s="18">
        <f t="shared" si="37"/>
        <v>2667</v>
      </c>
      <c r="K272" s="18">
        <f t="shared" si="37"/>
        <v>264</v>
      </c>
      <c r="L272" s="24">
        <f t="shared" si="32"/>
        <v>134627</v>
      </c>
    </row>
    <row r="273" spans="1:12">
      <c r="A273" s="99">
        <v>2004</v>
      </c>
      <c r="B273" s="18">
        <f t="shared" si="39"/>
        <v>183</v>
      </c>
      <c r="C273" s="18">
        <f t="shared" si="38"/>
        <v>999</v>
      </c>
      <c r="D273" s="18">
        <f t="shared" si="37"/>
        <v>32865</v>
      </c>
      <c r="E273" s="18">
        <f t="shared" si="37"/>
        <v>33471</v>
      </c>
      <c r="F273" s="18">
        <f t="shared" si="37"/>
        <v>33038</v>
      </c>
      <c r="G273" s="18">
        <f t="shared" si="37"/>
        <v>63055</v>
      </c>
      <c r="H273" s="18">
        <f t="shared" si="37"/>
        <v>36822</v>
      </c>
      <c r="I273" s="18">
        <f t="shared" si="37"/>
        <v>12468</v>
      </c>
      <c r="J273" s="18">
        <f t="shared" si="37"/>
        <v>4303</v>
      </c>
      <c r="K273" s="18">
        <f t="shared" si="37"/>
        <v>1539</v>
      </c>
      <c r="L273" s="24">
        <f t="shared" si="32"/>
        <v>218743</v>
      </c>
    </row>
    <row r="274" spans="1:12">
      <c r="A274" s="99">
        <v>2005</v>
      </c>
      <c r="B274" s="18">
        <f t="shared" si="39"/>
        <v>869</v>
      </c>
      <c r="C274" s="18">
        <f t="shared" si="38"/>
        <v>521</v>
      </c>
      <c r="D274" s="18">
        <f t="shared" si="37"/>
        <v>24631</v>
      </c>
      <c r="E274" s="18">
        <f t="shared" si="37"/>
        <v>21071</v>
      </c>
      <c r="F274" s="18">
        <f t="shared" si="37"/>
        <v>33300</v>
      </c>
      <c r="G274" s="18">
        <f t="shared" si="37"/>
        <v>39900</v>
      </c>
      <c r="H274" s="18">
        <f t="shared" si="37"/>
        <v>28870</v>
      </c>
      <c r="I274" s="18">
        <f t="shared" si="37"/>
        <v>16085</v>
      </c>
      <c r="J274" s="18">
        <f t="shared" si="37"/>
        <v>5868</v>
      </c>
      <c r="K274" s="18">
        <f t="shared" si="37"/>
        <v>965</v>
      </c>
      <c r="L274" s="24">
        <f t="shared" si="32"/>
        <v>172080</v>
      </c>
    </row>
    <row r="275" spans="1:12">
      <c r="A275" s="99">
        <v>2006</v>
      </c>
      <c r="B275" s="18">
        <f t="shared" si="39"/>
        <v>289</v>
      </c>
      <c r="C275" s="18">
        <f t="shared" si="38"/>
        <v>298</v>
      </c>
      <c r="D275" s="18">
        <f t="shared" si="37"/>
        <v>19198</v>
      </c>
      <c r="E275" s="18">
        <f t="shared" si="37"/>
        <v>21404</v>
      </c>
      <c r="F275" s="18">
        <f t="shared" si="37"/>
        <v>31338</v>
      </c>
      <c r="G275" s="18">
        <f t="shared" si="37"/>
        <v>34163</v>
      </c>
      <c r="H275" s="18">
        <f t="shared" si="37"/>
        <v>9684</v>
      </c>
      <c r="I275" s="18">
        <f t="shared" si="37"/>
        <v>7857</v>
      </c>
      <c r="J275" s="18">
        <f t="shared" si="37"/>
        <v>1827</v>
      </c>
      <c r="K275" s="18">
        <f t="shared" si="37"/>
        <v>448</v>
      </c>
      <c r="L275" s="24">
        <f t="shared" si="32"/>
        <v>126506</v>
      </c>
    </row>
    <row r="276" spans="1:12">
      <c r="A276" s="99">
        <v>2007</v>
      </c>
      <c r="B276" s="18">
        <f t="shared" si="39"/>
        <v>249</v>
      </c>
      <c r="C276" s="18">
        <f t="shared" si="38"/>
        <v>855</v>
      </c>
      <c r="D276" s="18">
        <f t="shared" si="37"/>
        <v>15043</v>
      </c>
      <c r="E276" s="18">
        <f t="shared" si="37"/>
        <v>15311</v>
      </c>
      <c r="F276" s="18">
        <f t="shared" si="37"/>
        <v>25091</v>
      </c>
      <c r="G276" s="18">
        <f t="shared" si="37"/>
        <v>27489</v>
      </c>
      <c r="H276" s="18">
        <f t="shared" si="37"/>
        <v>13969</v>
      </c>
      <c r="I276" s="18">
        <f t="shared" si="37"/>
        <v>4671</v>
      </c>
      <c r="J276" s="18">
        <f t="shared" si="37"/>
        <v>1817</v>
      </c>
      <c r="K276" s="18">
        <f t="shared" si="37"/>
        <v>1394</v>
      </c>
      <c r="L276" s="24">
        <f t="shared" si="32"/>
        <v>105889</v>
      </c>
    </row>
    <row r="277" spans="1:12">
      <c r="A277" s="99">
        <v>2008</v>
      </c>
      <c r="B277" s="18">
        <f t="shared" si="39"/>
        <v>206</v>
      </c>
      <c r="C277" s="18">
        <f t="shared" si="38"/>
        <v>185</v>
      </c>
      <c r="D277" s="18" t="str">
        <f t="shared" si="37"/>
        <v>-</v>
      </c>
      <c r="E277" s="18" t="str">
        <f t="shared" si="37"/>
        <v>-</v>
      </c>
      <c r="F277" s="18" t="str">
        <f t="shared" si="37"/>
        <v>-</v>
      </c>
      <c r="G277" s="18" t="str">
        <f t="shared" si="37"/>
        <v>-</v>
      </c>
      <c r="H277" s="18" t="str">
        <f t="shared" si="37"/>
        <v>-</v>
      </c>
      <c r="I277" s="18" t="str">
        <f t="shared" si="37"/>
        <v>-</v>
      </c>
      <c r="J277" s="18" t="str">
        <f t="shared" si="37"/>
        <v>-</v>
      </c>
      <c r="K277" s="18" t="str">
        <f t="shared" si="37"/>
        <v>-</v>
      </c>
      <c r="L277" s="24">
        <f t="shared" si="32"/>
        <v>391</v>
      </c>
    </row>
    <row r="278" spans="1:12">
      <c r="A278" s="99">
        <v>2009</v>
      </c>
      <c r="B278" s="18" t="str">
        <f t="shared" si="39"/>
        <v>-</v>
      </c>
      <c r="C278" s="18" t="str">
        <f t="shared" si="38"/>
        <v>-</v>
      </c>
      <c r="D278" s="18" t="str">
        <f t="shared" si="37"/>
        <v>-</v>
      </c>
      <c r="E278" s="18" t="str">
        <f t="shared" si="37"/>
        <v>-</v>
      </c>
      <c r="F278" s="18" t="str">
        <f t="shared" si="37"/>
        <v>-</v>
      </c>
      <c r="G278" s="18" t="str">
        <f t="shared" si="37"/>
        <v>-</v>
      </c>
      <c r="H278" s="18">
        <f t="shared" si="37"/>
        <v>2515</v>
      </c>
      <c r="I278" s="18">
        <f t="shared" si="37"/>
        <v>2844</v>
      </c>
      <c r="J278" s="18" t="str">
        <f t="shared" si="37"/>
        <v>-</v>
      </c>
      <c r="K278" s="18" t="str">
        <f t="shared" si="37"/>
        <v>-</v>
      </c>
      <c r="L278" s="24">
        <f t="shared" si="32"/>
        <v>5359</v>
      </c>
    </row>
    <row r="279" spans="1:12">
      <c r="A279" s="99">
        <v>2010</v>
      </c>
      <c r="B279" s="18" t="str">
        <f t="shared" si="39"/>
        <v>-</v>
      </c>
      <c r="C279" s="18" t="str">
        <f t="shared" si="38"/>
        <v>-</v>
      </c>
      <c r="D279" s="18">
        <f t="shared" ref="D279:K288" si="40">IF(AND(D231="-",D183="-",D135="-",D87="-",D39="-"),"-",SUM(D231,D183,D135,D87,D39))</f>
        <v>16774</v>
      </c>
      <c r="E279" s="18">
        <f t="shared" si="40"/>
        <v>7306</v>
      </c>
      <c r="F279" s="18">
        <f t="shared" si="40"/>
        <v>3412</v>
      </c>
      <c r="G279" s="18">
        <f t="shared" si="40"/>
        <v>9255</v>
      </c>
      <c r="H279" s="18">
        <f t="shared" si="40"/>
        <v>9757</v>
      </c>
      <c r="I279" s="18">
        <f t="shared" si="40"/>
        <v>2163</v>
      </c>
      <c r="J279" s="18" t="str">
        <f t="shared" si="40"/>
        <v>-</v>
      </c>
      <c r="K279" s="18" t="str">
        <f t="shared" si="40"/>
        <v>-</v>
      </c>
      <c r="L279" s="24">
        <f t="shared" si="32"/>
        <v>48667</v>
      </c>
    </row>
    <row r="280" spans="1:12">
      <c r="A280" s="99">
        <v>2011</v>
      </c>
      <c r="B280" s="18" t="str">
        <f t="shared" si="39"/>
        <v>-</v>
      </c>
      <c r="C280" s="18" t="str">
        <f t="shared" si="38"/>
        <v>-</v>
      </c>
      <c r="D280" s="18">
        <f t="shared" si="40"/>
        <v>15565</v>
      </c>
      <c r="E280" s="18">
        <f t="shared" si="40"/>
        <v>7794</v>
      </c>
      <c r="F280" s="18">
        <f t="shared" si="40"/>
        <v>9615</v>
      </c>
      <c r="G280" s="18">
        <f t="shared" si="40"/>
        <v>25170</v>
      </c>
      <c r="H280" s="18">
        <f t="shared" si="40"/>
        <v>19169</v>
      </c>
      <c r="I280" s="18">
        <f t="shared" si="40"/>
        <v>10932</v>
      </c>
      <c r="J280" s="18">
        <f t="shared" si="40"/>
        <v>3431</v>
      </c>
      <c r="K280" s="18" t="str">
        <f t="shared" si="40"/>
        <v>-</v>
      </c>
      <c r="L280" s="24">
        <f t="shared" si="32"/>
        <v>91676</v>
      </c>
    </row>
    <row r="281" spans="1:12">
      <c r="A281" s="99">
        <v>2012</v>
      </c>
      <c r="B281" s="18" t="str">
        <f t="shared" si="39"/>
        <v>-</v>
      </c>
      <c r="C281" s="18" t="str">
        <f t="shared" si="38"/>
        <v>-</v>
      </c>
      <c r="D281" s="18">
        <f t="shared" si="40"/>
        <v>21466</v>
      </c>
      <c r="E281" s="18">
        <f t="shared" si="40"/>
        <v>21212</v>
      </c>
      <c r="F281" s="18">
        <f t="shared" si="40"/>
        <v>29506</v>
      </c>
      <c r="G281" s="18">
        <f t="shared" si="40"/>
        <v>38384</v>
      </c>
      <c r="H281" s="18">
        <f t="shared" si="40"/>
        <v>22993</v>
      </c>
      <c r="I281" s="18">
        <f t="shared" si="40"/>
        <v>10289</v>
      </c>
      <c r="J281" s="18">
        <f t="shared" si="40"/>
        <v>3588</v>
      </c>
      <c r="K281" s="18">
        <f t="shared" si="40"/>
        <v>569</v>
      </c>
      <c r="L281" s="24">
        <f t="shared" si="32"/>
        <v>148007</v>
      </c>
    </row>
    <row r="282" spans="1:12">
      <c r="A282" s="99">
        <v>2013</v>
      </c>
      <c r="B282" s="18" t="str">
        <f t="shared" si="39"/>
        <v>-</v>
      </c>
      <c r="C282" s="18" t="str">
        <f t="shared" si="38"/>
        <v>-</v>
      </c>
      <c r="D282" s="18">
        <f t="shared" si="40"/>
        <v>19602</v>
      </c>
      <c r="E282" s="18">
        <f t="shared" si="40"/>
        <v>18399</v>
      </c>
      <c r="F282" s="18">
        <f t="shared" si="40"/>
        <v>26829</v>
      </c>
      <c r="G282" s="18">
        <f t="shared" si="40"/>
        <v>45416</v>
      </c>
      <c r="H282" s="18">
        <f t="shared" si="40"/>
        <v>28244</v>
      </c>
      <c r="I282" s="18">
        <f t="shared" si="40"/>
        <v>6135</v>
      </c>
      <c r="J282" s="18">
        <f t="shared" si="40"/>
        <v>2245</v>
      </c>
      <c r="K282" s="18">
        <f t="shared" si="40"/>
        <v>426</v>
      </c>
      <c r="L282" s="24">
        <f t="shared" si="32"/>
        <v>147296</v>
      </c>
    </row>
    <row r="283" spans="1:12">
      <c r="A283" s="99">
        <v>2014</v>
      </c>
      <c r="B283" s="18" t="str">
        <f t="shared" si="39"/>
        <v>-</v>
      </c>
      <c r="C283" s="18" t="str">
        <f t="shared" si="38"/>
        <v>-</v>
      </c>
      <c r="D283" s="18">
        <f t="shared" si="40"/>
        <v>20226</v>
      </c>
      <c r="E283" s="18">
        <f t="shared" si="40"/>
        <v>12673</v>
      </c>
      <c r="F283" s="18">
        <f t="shared" si="40"/>
        <v>12618</v>
      </c>
      <c r="G283" s="18">
        <f t="shared" si="40"/>
        <v>31058</v>
      </c>
      <c r="H283" s="18">
        <f t="shared" si="40"/>
        <v>26751</v>
      </c>
      <c r="I283" s="18">
        <f t="shared" si="40"/>
        <v>11065</v>
      </c>
      <c r="J283" s="18">
        <f t="shared" si="40"/>
        <v>5193</v>
      </c>
      <c r="K283" s="18">
        <f t="shared" si="40"/>
        <v>723</v>
      </c>
      <c r="L283" s="24">
        <f t="shared" si="32"/>
        <v>120307</v>
      </c>
    </row>
    <row r="284" spans="1:12">
      <c r="A284" s="99">
        <v>2015</v>
      </c>
      <c r="B284" s="18" t="str">
        <f t="shared" si="39"/>
        <v>-</v>
      </c>
      <c r="C284" s="18" t="str">
        <f t="shared" si="38"/>
        <v>-</v>
      </c>
      <c r="D284" s="18">
        <f t="shared" si="40"/>
        <v>11085</v>
      </c>
      <c r="E284" s="18">
        <f t="shared" si="40"/>
        <v>10042</v>
      </c>
      <c r="F284" s="18">
        <f t="shared" si="40"/>
        <v>10465</v>
      </c>
      <c r="G284" s="18">
        <f t="shared" si="40"/>
        <v>18726</v>
      </c>
      <c r="H284" s="18">
        <f t="shared" si="40"/>
        <v>17471</v>
      </c>
      <c r="I284" s="18">
        <f t="shared" si="40"/>
        <v>10501</v>
      </c>
      <c r="J284" s="18">
        <f t="shared" si="40"/>
        <v>3483</v>
      </c>
      <c r="K284" s="18">
        <f t="shared" si="40"/>
        <v>5</v>
      </c>
      <c r="L284" s="24">
        <f t="shared" si="32"/>
        <v>81778</v>
      </c>
    </row>
    <row r="285" spans="1:12">
      <c r="A285" s="99">
        <v>2016</v>
      </c>
      <c r="B285" s="18" t="str">
        <f t="shared" si="39"/>
        <v>-</v>
      </c>
      <c r="C285" s="18" t="str">
        <f t="shared" si="38"/>
        <v>-</v>
      </c>
      <c r="D285" s="18">
        <f t="shared" si="40"/>
        <v>8006</v>
      </c>
      <c r="E285" s="18">
        <f t="shared" si="40"/>
        <v>9919</v>
      </c>
      <c r="F285" s="18">
        <f t="shared" si="40"/>
        <v>6439</v>
      </c>
      <c r="G285" s="18">
        <f t="shared" si="40"/>
        <v>19077</v>
      </c>
      <c r="H285" s="18">
        <f t="shared" si="40"/>
        <v>15132</v>
      </c>
      <c r="I285" s="18">
        <f t="shared" si="40"/>
        <v>9160</v>
      </c>
      <c r="J285" s="18">
        <f t="shared" si="40"/>
        <v>2366</v>
      </c>
      <c r="K285" s="18">
        <f t="shared" si="40"/>
        <v>0</v>
      </c>
      <c r="L285" s="24">
        <f t="shared" si="32"/>
        <v>70099</v>
      </c>
    </row>
    <row r="286" spans="1:12">
      <c r="A286" s="99">
        <v>2017</v>
      </c>
      <c r="B286" s="18" t="str">
        <f t="shared" si="39"/>
        <v>-</v>
      </c>
      <c r="C286" s="18" t="str">
        <f t="shared" si="38"/>
        <v>-</v>
      </c>
      <c r="D286" s="18">
        <f t="shared" si="40"/>
        <v>10105</v>
      </c>
      <c r="E286" s="18">
        <f t="shared" si="40"/>
        <v>5000</v>
      </c>
      <c r="F286" s="18">
        <f t="shared" si="40"/>
        <v>6574</v>
      </c>
      <c r="G286" s="18">
        <f t="shared" si="40"/>
        <v>22590</v>
      </c>
      <c r="H286" s="18">
        <f t="shared" si="40"/>
        <v>19358</v>
      </c>
      <c r="I286" s="18">
        <f t="shared" si="40"/>
        <v>8496</v>
      </c>
      <c r="J286" s="18">
        <f t="shared" si="40"/>
        <v>1851</v>
      </c>
      <c r="K286" s="18">
        <f t="shared" si="40"/>
        <v>0</v>
      </c>
      <c r="L286" s="24">
        <f t="shared" si="32"/>
        <v>73974</v>
      </c>
    </row>
    <row r="287" spans="1:12">
      <c r="A287" s="99">
        <v>2018</v>
      </c>
      <c r="B287" s="18" t="str">
        <f t="shared" si="39"/>
        <v>-</v>
      </c>
      <c r="C287" s="18" t="str">
        <f t="shared" si="38"/>
        <v>-</v>
      </c>
      <c r="D287" s="18">
        <f t="shared" si="40"/>
        <v>8140</v>
      </c>
      <c r="E287" s="18">
        <f t="shared" si="40"/>
        <v>2021</v>
      </c>
      <c r="F287" s="18">
        <f t="shared" si="40"/>
        <v>14953</v>
      </c>
      <c r="G287" s="18">
        <f t="shared" si="40"/>
        <v>37011</v>
      </c>
      <c r="H287" s="18">
        <f t="shared" si="40"/>
        <v>20393</v>
      </c>
      <c r="I287" s="18">
        <f t="shared" si="40"/>
        <v>9035</v>
      </c>
      <c r="J287" s="18">
        <f t="shared" si="40"/>
        <v>5072</v>
      </c>
      <c r="K287" s="18" t="str">
        <f t="shared" si="40"/>
        <v>-</v>
      </c>
      <c r="L287" s="24">
        <f t="shared" si="32"/>
        <v>96625</v>
      </c>
    </row>
    <row r="288" spans="1:12">
      <c r="A288" s="239">
        <v>2019</v>
      </c>
      <c r="B288" s="18" t="str">
        <f t="shared" si="39"/>
        <v>-</v>
      </c>
      <c r="C288" s="18" t="str">
        <f t="shared" si="38"/>
        <v>-</v>
      </c>
      <c r="D288" s="18">
        <f t="shared" si="40"/>
        <v>17350</v>
      </c>
      <c r="E288" s="18">
        <f t="shared" si="40"/>
        <v>5943</v>
      </c>
      <c r="F288" s="18">
        <f t="shared" si="40"/>
        <v>20911</v>
      </c>
      <c r="G288" s="18">
        <f t="shared" si="40"/>
        <v>25737</v>
      </c>
      <c r="H288" s="18">
        <f t="shared" si="40"/>
        <v>24892</v>
      </c>
      <c r="I288" s="18">
        <f t="shared" si="40"/>
        <v>7048</v>
      </c>
      <c r="J288" s="18">
        <f t="shared" si="40"/>
        <v>1821</v>
      </c>
      <c r="K288" s="18" t="str">
        <f t="shared" si="40"/>
        <v>-</v>
      </c>
      <c r="L288" s="24">
        <f t="shared" si="32"/>
        <v>103702</v>
      </c>
    </row>
    <row r="289" spans="1:12" ht="13">
      <c r="A289" s="239" t="s">
        <v>308</v>
      </c>
      <c r="B289" s="18" t="str">
        <f t="shared" ref="B289:L290" si="41">IF(AND(B241="-",B193="-",B145="-",B97="-",B49="-"),"-",SUM(B241,B193,B145,B97,B49))</f>
        <v>-</v>
      </c>
      <c r="C289" s="18" t="str">
        <f t="shared" si="41"/>
        <v>-</v>
      </c>
      <c r="D289" s="18" t="str">
        <f t="shared" si="41"/>
        <v>-</v>
      </c>
      <c r="E289" s="18" t="s">
        <v>106</v>
      </c>
      <c r="F289" s="18" t="s">
        <v>106</v>
      </c>
      <c r="G289" s="18">
        <f t="shared" si="41"/>
        <v>29707</v>
      </c>
      <c r="H289" s="18">
        <f t="shared" si="41"/>
        <v>17986</v>
      </c>
      <c r="I289" s="18">
        <f t="shared" si="41"/>
        <v>7739</v>
      </c>
      <c r="J289" s="18">
        <f t="shared" si="41"/>
        <v>4264</v>
      </c>
      <c r="K289" s="18">
        <f t="shared" si="41"/>
        <v>147</v>
      </c>
      <c r="L289" s="24">
        <f t="shared" si="41"/>
        <v>59843</v>
      </c>
    </row>
    <row r="290" spans="1:12" ht="13">
      <c r="A290" s="239" t="s">
        <v>317</v>
      </c>
      <c r="B290" s="18" t="str">
        <f t="shared" si="41"/>
        <v>-</v>
      </c>
      <c r="C290" s="18" t="str">
        <f t="shared" si="41"/>
        <v>-</v>
      </c>
      <c r="D290" s="18">
        <f t="shared" si="41"/>
        <v>12287</v>
      </c>
      <c r="E290" s="18">
        <f t="shared" si="41"/>
        <v>8838</v>
      </c>
      <c r="F290" s="18">
        <f t="shared" si="41"/>
        <v>10418</v>
      </c>
      <c r="G290" s="18">
        <f t="shared" si="41"/>
        <v>29642</v>
      </c>
      <c r="H290" s="18">
        <f t="shared" si="41"/>
        <v>16298</v>
      </c>
      <c r="I290" s="18">
        <f t="shared" si="41"/>
        <v>8239</v>
      </c>
      <c r="J290" s="18">
        <f t="shared" si="41"/>
        <v>2430</v>
      </c>
      <c r="K290" s="18" t="str">
        <f t="shared" si="41"/>
        <v>-</v>
      </c>
      <c r="L290" s="24">
        <f t="shared" si="41"/>
        <v>88152</v>
      </c>
    </row>
    <row r="291" spans="1:12">
      <c r="A291" s="274" t="s">
        <v>342</v>
      </c>
      <c r="B291" s="138"/>
      <c r="C291" s="138"/>
      <c r="D291" s="138"/>
      <c r="E291" s="138"/>
      <c r="F291" s="138"/>
      <c r="G291" s="138"/>
      <c r="H291" s="138"/>
      <c r="I291" s="138"/>
      <c r="J291" s="138"/>
      <c r="K291" s="138"/>
      <c r="L291" s="269"/>
    </row>
    <row r="292" spans="1:12">
      <c r="A292" s="287" t="s">
        <v>42</v>
      </c>
      <c r="B292" s="287"/>
      <c r="C292" s="287"/>
      <c r="D292" s="287"/>
      <c r="E292" s="287"/>
      <c r="F292" s="287"/>
      <c r="G292" s="287"/>
      <c r="H292" s="287"/>
      <c r="I292" s="287"/>
      <c r="J292" s="287"/>
      <c r="K292" s="287"/>
      <c r="L292" s="287"/>
    </row>
    <row r="293" spans="1:12">
      <c r="A293" s="287"/>
      <c r="B293" s="287"/>
      <c r="C293" s="287"/>
      <c r="D293" s="287"/>
      <c r="E293" s="287"/>
      <c r="F293" s="287"/>
      <c r="G293" s="287"/>
      <c r="H293" s="287"/>
      <c r="I293" s="287"/>
      <c r="J293" s="287"/>
      <c r="K293" s="287"/>
      <c r="L293" s="287"/>
    </row>
    <row r="295" spans="1:12" s="199" customFormat="1">
      <c r="A295" s="158"/>
      <c r="B295" s="160"/>
      <c r="C295" s="160"/>
      <c r="D295" s="160"/>
      <c r="E295" s="160"/>
      <c r="F295" s="160"/>
      <c r="G295" s="160"/>
      <c r="H295" s="160"/>
      <c r="I295" s="160"/>
      <c r="J295" s="160"/>
      <c r="K295" s="160"/>
      <c r="L295" s="160"/>
    </row>
    <row r="301" spans="1:12" ht="11.25" customHeight="1">
      <c r="A301" s="290" t="s">
        <v>162</v>
      </c>
      <c r="B301" s="290"/>
      <c r="C301" s="290"/>
      <c r="D301" s="290"/>
      <c r="E301" s="290"/>
      <c r="F301" s="290"/>
      <c r="G301" s="290"/>
      <c r="H301" s="290"/>
      <c r="I301" s="290"/>
      <c r="J301" s="290"/>
      <c r="K301" s="290"/>
      <c r="L301" s="290"/>
    </row>
    <row r="302" spans="1:12">
      <c r="A302" s="98" t="s">
        <v>27</v>
      </c>
      <c r="B302" s="196" t="s">
        <v>36</v>
      </c>
      <c r="C302" s="196" t="s">
        <v>37</v>
      </c>
      <c r="D302" s="196" t="s">
        <v>28</v>
      </c>
      <c r="E302" s="196" t="s">
        <v>29</v>
      </c>
      <c r="F302" s="196" t="s">
        <v>30</v>
      </c>
      <c r="G302" s="196" t="s">
        <v>31</v>
      </c>
      <c r="H302" s="196" t="s">
        <v>32</v>
      </c>
      <c r="I302" s="196" t="s">
        <v>33</v>
      </c>
      <c r="J302" s="196" t="s">
        <v>34</v>
      </c>
      <c r="K302" s="196" t="s">
        <v>38</v>
      </c>
      <c r="L302" s="196" t="s">
        <v>22</v>
      </c>
    </row>
    <row r="303" spans="1:12">
      <c r="A303" s="94" t="s">
        <v>16</v>
      </c>
    </row>
    <row r="304" spans="1:12">
      <c r="A304" s="99" t="s">
        <v>78</v>
      </c>
      <c r="B304" s="134" t="s">
        <v>106</v>
      </c>
      <c r="C304" s="134" t="s">
        <v>106</v>
      </c>
      <c r="D304" s="18" t="s">
        <v>23</v>
      </c>
      <c r="E304" s="18">
        <f>AVERAGE(E15:E19)</f>
        <v>1417.2</v>
      </c>
      <c r="F304" s="18">
        <f>AVERAGE(F15:F19)</f>
        <v>11086.8</v>
      </c>
      <c r="G304" s="18">
        <f>AVERAGE(G15:G19)</f>
        <v>19316.2</v>
      </c>
      <c r="H304" s="18">
        <f>AVERAGE(H15:H19)</f>
        <v>6758</v>
      </c>
      <c r="I304" s="18">
        <f>AVERAGE(I15:I19)</f>
        <v>981.4</v>
      </c>
      <c r="J304" s="18" t="s">
        <v>23</v>
      </c>
      <c r="K304" s="18" t="s">
        <v>23</v>
      </c>
      <c r="L304" s="24">
        <f>AVERAGE(L15:L19)</f>
        <v>39559.599999999999</v>
      </c>
    </row>
    <row r="305" spans="1:12">
      <c r="A305" s="99" t="s">
        <v>10</v>
      </c>
      <c r="B305" s="18" t="s">
        <v>23</v>
      </c>
      <c r="C305" s="18" t="s">
        <v>23</v>
      </c>
      <c r="D305" s="18" t="s">
        <v>23</v>
      </c>
      <c r="E305" s="18">
        <f>AVERAGE(E20:E24)</f>
        <v>2375.5</v>
      </c>
      <c r="F305" s="18">
        <f>AVERAGE(F20:F24)</f>
        <v>4333</v>
      </c>
      <c r="G305" s="18">
        <f>AVERAGE(G20:G24)</f>
        <v>9249.6666666666661</v>
      </c>
      <c r="H305" s="18">
        <f>AVERAGE(H20:H24)</f>
        <v>2318.5</v>
      </c>
      <c r="I305" s="18">
        <f>AVERAGE(I20:I24)</f>
        <v>1562.6</v>
      </c>
      <c r="J305" s="18" t="s">
        <v>23</v>
      </c>
      <c r="K305" s="18" t="s">
        <v>23</v>
      </c>
      <c r="L305" s="24">
        <f>AVERAGE(L20:L24)</f>
        <v>14334</v>
      </c>
    </row>
    <row r="306" spans="1:12">
      <c r="A306" s="99" t="s">
        <v>144</v>
      </c>
      <c r="B306" s="18" t="s">
        <v>23</v>
      </c>
      <c r="C306" s="18" t="s">
        <v>23</v>
      </c>
      <c r="D306" s="18" t="s">
        <v>23</v>
      </c>
      <c r="E306" s="18">
        <f>AVERAGE(E25:E29)</f>
        <v>554.79999999999995</v>
      </c>
      <c r="F306" s="18">
        <f>AVERAGE(F25:F29)</f>
        <v>2319.8000000000002</v>
      </c>
      <c r="G306" s="18">
        <f>AVERAGE(G25:G29)</f>
        <v>1459.6</v>
      </c>
      <c r="H306" s="18">
        <f>AVERAGE(H25:H29)</f>
        <v>2183.8000000000002</v>
      </c>
      <c r="I306" s="18">
        <f>AVERAGE(I25:I29)</f>
        <v>330.8</v>
      </c>
      <c r="J306" s="18" t="s">
        <v>23</v>
      </c>
      <c r="K306" s="18" t="s">
        <v>23</v>
      </c>
      <c r="L306" s="24">
        <f>AVERAGE(L25:L29)</f>
        <v>6848.8</v>
      </c>
    </row>
    <row r="307" spans="1:12">
      <c r="A307" s="99" t="s">
        <v>166</v>
      </c>
      <c r="B307" s="18" t="str">
        <f>B30</f>
        <v>-</v>
      </c>
      <c r="C307" s="18" t="str">
        <f>C30</f>
        <v>-</v>
      </c>
      <c r="D307" s="18" t="str">
        <f>D30</f>
        <v>-</v>
      </c>
      <c r="E307" s="18">
        <f>AVERAGE(E30:E34)</f>
        <v>594</v>
      </c>
      <c r="F307" s="18">
        <f>AVERAGE(F30:F34)</f>
        <v>1038.2</v>
      </c>
      <c r="G307" s="18">
        <f>AVERAGE(G30:G34)</f>
        <v>969</v>
      </c>
      <c r="H307" s="18">
        <f>AVERAGE(H30:H34)</f>
        <v>1182.4000000000001</v>
      </c>
      <c r="I307" s="18">
        <f>AVERAGE(I30:I34)</f>
        <v>288.8</v>
      </c>
      <c r="J307" s="18" t="str">
        <f>J30</f>
        <v>-</v>
      </c>
      <c r="K307" s="18" t="str">
        <f>K30</f>
        <v>-</v>
      </c>
      <c r="L307" s="24">
        <f>AVERAGE(L30:L34)</f>
        <v>4072.4</v>
      </c>
    </row>
    <row r="308" spans="1:12">
      <c r="A308" s="99" t="s">
        <v>315</v>
      </c>
      <c r="B308" s="18" t="str">
        <f>B35</f>
        <v>-</v>
      </c>
      <c r="C308" s="18" t="str">
        <f t="shared" ref="C308:D308" si="42">C35</f>
        <v>-</v>
      </c>
      <c r="D308" s="18" t="str">
        <f t="shared" si="42"/>
        <v>-</v>
      </c>
      <c r="E308" s="18">
        <f>AVERAGE(E35:E39)</f>
        <v>224.66666666666666</v>
      </c>
      <c r="F308" s="18">
        <f t="shared" ref="F308:I308" si="43">AVERAGE(F35:F39)</f>
        <v>425.33333333333331</v>
      </c>
      <c r="G308" s="18">
        <f t="shared" si="43"/>
        <v>462.33333333333331</v>
      </c>
      <c r="H308" s="18">
        <f t="shared" si="43"/>
        <v>252</v>
      </c>
      <c r="I308" s="18">
        <f t="shared" si="43"/>
        <v>194.5</v>
      </c>
      <c r="J308" s="18" t="str">
        <f t="shared" ref="J308:K308" si="44">J35</f>
        <v>-</v>
      </c>
      <c r="K308" s="18" t="str">
        <f t="shared" si="44"/>
        <v>-</v>
      </c>
      <c r="L308" s="24">
        <f t="shared" ref="L308" si="45">AVERAGE(L35:L39)</f>
        <v>1217.75</v>
      </c>
    </row>
    <row r="309" spans="1:12">
      <c r="A309" s="99">
        <v>2011</v>
      </c>
      <c r="B309" s="18" t="str">
        <f t="shared" ref="B309:L309" si="46">B40</f>
        <v>-</v>
      </c>
      <c r="C309" s="18" t="str">
        <f t="shared" si="46"/>
        <v>-</v>
      </c>
      <c r="D309" s="18" t="str">
        <f t="shared" si="46"/>
        <v>-</v>
      </c>
      <c r="E309" s="18">
        <f t="shared" si="46"/>
        <v>187</v>
      </c>
      <c r="F309" s="18">
        <f t="shared" si="46"/>
        <v>104</v>
      </c>
      <c r="G309" s="18">
        <f t="shared" si="46"/>
        <v>245</v>
      </c>
      <c r="H309" s="18">
        <f t="shared" si="46"/>
        <v>185</v>
      </c>
      <c r="I309" s="18">
        <f t="shared" si="46"/>
        <v>45</v>
      </c>
      <c r="J309" s="18" t="str">
        <f t="shared" si="46"/>
        <v>-</v>
      </c>
      <c r="K309" s="18" t="str">
        <f t="shared" si="46"/>
        <v>-</v>
      </c>
      <c r="L309" s="24">
        <f t="shared" si="46"/>
        <v>766</v>
      </c>
    </row>
    <row r="310" spans="1:12">
      <c r="A310" s="99">
        <v>2012</v>
      </c>
      <c r="B310" s="18" t="str">
        <f t="shared" ref="B310:L310" si="47">B41</f>
        <v>-</v>
      </c>
      <c r="C310" s="18" t="str">
        <f t="shared" si="47"/>
        <v>-</v>
      </c>
      <c r="D310" s="18" t="str">
        <f t="shared" si="47"/>
        <v>-</v>
      </c>
      <c r="E310" s="18">
        <f t="shared" si="47"/>
        <v>455</v>
      </c>
      <c r="F310" s="18">
        <f t="shared" si="47"/>
        <v>1018</v>
      </c>
      <c r="G310" s="18">
        <f t="shared" si="47"/>
        <v>4134</v>
      </c>
      <c r="H310" s="18">
        <f t="shared" si="47"/>
        <v>1702</v>
      </c>
      <c r="I310" s="18">
        <f t="shared" si="47"/>
        <v>502</v>
      </c>
      <c r="J310" s="18" t="str">
        <f t="shared" si="47"/>
        <v>-</v>
      </c>
      <c r="K310" s="18" t="str">
        <f t="shared" si="47"/>
        <v>-</v>
      </c>
      <c r="L310" s="24">
        <f t="shared" si="47"/>
        <v>7811</v>
      </c>
    </row>
    <row r="311" spans="1:12">
      <c r="A311" s="99">
        <v>2013</v>
      </c>
      <c r="B311" s="18" t="str">
        <f t="shared" ref="B311:L311" si="48">B42</f>
        <v>-</v>
      </c>
      <c r="C311" s="18" t="str">
        <f t="shared" si="48"/>
        <v>-</v>
      </c>
      <c r="D311" s="18" t="str">
        <f t="shared" si="48"/>
        <v>-</v>
      </c>
      <c r="E311" s="18">
        <f t="shared" si="48"/>
        <v>456</v>
      </c>
      <c r="F311" s="18">
        <f t="shared" si="48"/>
        <v>2538</v>
      </c>
      <c r="G311" s="18">
        <f t="shared" si="48"/>
        <v>3228</v>
      </c>
      <c r="H311" s="18">
        <f t="shared" si="48"/>
        <v>816</v>
      </c>
      <c r="I311" s="18">
        <f t="shared" si="48"/>
        <v>0</v>
      </c>
      <c r="J311" s="18" t="str">
        <f t="shared" si="48"/>
        <v>-</v>
      </c>
      <c r="K311" s="18" t="str">
        <f t="shared" si="48"/>
        <v>-</v>
      </c>
      <c r="L311" s="24">
        <f t="shared" si="48"/>
        <v>7038</v>
      </c>
    </row>
    <row r="312" spans="1:12">
      <c r="A312" s="99">
        <v>2014</v>
      </c>
      <c r="B312" s="18" t="str">
        <f t="shared" ref="B312:L312" si="49">B43</f>
        <v>-</v>
      </c>
      <c r="C312" s="18" t="str">
        <f t="shared" si="49"/>
        <v>-</v>
      </c>
      <c r="D312" s="18" t="str">
        <f t="shared" si="49"/>
        <v>-</v>
      </c>
      <c r="E312" s="18">
        <f t="shared" si="49"/>
        <v>1441</v>
      </c>
      <c r="F312" s="18">
        <f t="shared" si="49"/>
        <v>786</v>
      </c>
      <c r="G312" s="18">
        <f t="shared" si="49"/>
        <v>1996</v>
      </c>
      <c r="H312" s="18">
        <f t="shared" si="49"/>
        <v>172</v>
      </c>
      <c r="I312" s="18">
        <f t="shared" si="49"/>
        <v>10</v>
      </c>
      <c r="J312" s="18" t="str">
        <f t="shared" si="49"/>
        <v>-</v>
      </c>
      <c r="K312" s="18" t="str">
        <f t="shared" si="49"/>
        <v>-</v>
      </c>
      <c r="L312" s="24">
        <f t="shared" si="49"/>
        <v>4405</v>
      </c>
    </row>
    <row r="313" spans="1:12">
      <c r="A313" s="99">
        <v>2015</v>
      </c>
      <c r="B313" s="18" t="str">
        <f t="shared" ref="B313:L313" si="50">B44</f>
        <v>-</v>
      </c>
      <c r="C313" s="18" t="str">
        <f t="shared" si="50"/>
        <v>-</v>
      </c>
      <c r="D313" s="18" t="str">
        <f t="shared" si="50"/>
        <v>-</v>
      </c>
      <c r="E313" s="18">
        <f t="shared" si="50"/>
        <v>210</v>
      </c>
      <c r="F313" s="18">
        <f t="shared" si="50"/>
        <v>89</v>
      </c>
      <c r="G313" s="18">
        <f t="shared" si="50"/>
        <v>161</v>
      </c>
      <c r="H313" s="18">
        <f t="shared" si="50"/>
        <v>137</v>
      </c>
      <c r="I313" s="18">
        <f t="shared" si="50"/>
        <v>44</v>
      </c>
      <c r="J313" s="18" t="str">
        <f t="shared" si="50"/>
        <v>-</v>
      </c>
      <c r="K313" s="18" t="str">
        <f t="shared" si="50"/>
        <v>-</v>
      </c>
      <c r="L313" s="24">
        <f t="shared" si="50"/>
        <v>641</v>
      </c>
    </row>
    <row r="314" spans="1:12">
      <c r="A314" s="99">
        <v>2016</v>
      </c>
      <c r="B314" s="18" t="str">
        <f t="shared" ref="B314:L314" si="51">B45</f>
        <v>-</v>
      </c>
      <c r="C314" s="18" t="str">
        <f t="shared" si="51"/>
        <v>-</v>
      </c>
      <c r="D314" s="18" t="str">
        <f t="shared" si="51"/>
        <v>-</v>
      </c>
      <c r="E314" s="18">
        <f t="shared" si="51"/>
        <v>59</v>
      </c>
      <c r="F314" s="18">
        <f t="shared" si="51"/>
        <v>222</v>
      </c>
      <c r="G314" s="18">
        <f t="shared" si="51"/>
        <v>176</v>
      </c>
      <c r="H314" s="18">
        <f t="shared" si="51"/>
        <v>56</v>
      </c>
      <c r="I314" s="18">
        <f t="shared" si="51"/>
        <v>50</v>
      </c>
      <c r="J314" s="18" t="str">
        <f t="shared" si="51"/>
        <v>-</v>
      </c>
      <c r="K314" s="18" t="str">
        <f t="shared" si="51"/>
        <v>-</v>
      </c>
      <c r="L314" s="24">
        <f t="shared" si="51"/>
        <v>563</v>
      </c>
    </row>
    <row r="315" spans="1:12">
      <c r="A315" s="99">
        <v>2017</v>
      </c>
      <c r="B315" s="18" t="str">
        <f t="shared" ref="B315:L315" si="52">B46</f>
        <v>-</v>
      </c>
      <c r="C315" s="18" t="str">
        <f t="shared" si="52"/>
        <v>-</v>
      </c>
      <c r="D315" s="18" t="str">
        <f t="shared" si="52"/>
        <v>-</v>
      </c>
      <c r="E315" s="18" t="str">
        <f t="shared" si="52"/>
        <v>-</v>
      </c>
      <c r="F315" s="18" t="str">
        <f t="shared" si="52"/>
        <v>-</v>
      </c>
      <c r="G315" s="18" t="str">
        <f t="shared" si="52"/>
        <v>-</v>
      </c>
      <c r="H315" s="18" t="str">
        <f t="shared" si="52"/>
        <v>-</v>
      </c>
      <c r="I315" s="18" t="str">
        <f t="shared" si="52"/>
        <v>-</v>
      </c>
      <c r="J315" s="18" t="str">
        <f t="shared" si="52"/>
        <v>-</v>
      </c>
      <c r="K315" s="18" t="str">
        <f t="shared" si="52"/>
        <v>-</v>
      </c>
      <c r="L315" s="24" t="str">
        <f t="shared" si="52"/>
        <v>-</v>
      </c>
    </row>
    <row r="316" spans="1:12">
      <c r="A316" s="99">
        <v>2018</v>
      </c>
      <c r="B316" s="18" t="str">
        <f t="shared" ref="B316:L316" si="53">B47</f>
        <v>-</v>
      </c>
      <c r="C316" s="18" t="str">
        <f t="shared" si="53"/>
        <v>-</v>
      </c>
      <c r="D316" s="18" t="str">
        <f t="shared" si="53"/>
        <v>-</v>
      </c>
      <c r="E316" s="18" t="str">
        <f t="shared" si="53"/>
        <v>-</v>
      </c>
      <c r="F316" s="18">
        <f t="shared" si="53"/>
        <v>359</v>
      </c>
      <c r="G316" s="18">
        <f t="shared" si="53"/>
        <v>673</v>
      </c>
      <c r="H316" s="18">
        <f t="shared" si="53"/>
        <v>328</v>
      </c>
      <c r="I316" s="18">
        <f t="shared" si="53"/>
        <v>3</v>
      </c>
      <c r="J316" s="18" t="str">
        <f t="shared" si="53"/>
        <v>-</v>
      </c>
      <c r="K316" s="18" t="str">
        <f t="shared" si="53"/>
        <v>-</v>
      </c>
      <c r="L316" s="24">
        <f t="shared" si="53"/>
        <v>1363</v>
      </c>
    </row>
    <row r="317" spans="1:12">
      <c r="A317" s="239">
        <v>2019</v>
      </c>
      <c r="B317" s="18" t="str">
        <f t="shared" ref="B317:L317" si="54">B48</f>
        <v>-</v>
      </c>
      <c r="C317" s="18" t="str">
        <f t="shared" si="54"/>
        <v>-</v>
      </c>
      <c r="D317" s="18" t="str">
        <f t="shared" si="54"/>
        <v>-</v>
      </c>
      <c r="E317" s="18">
        <f t="shared" si="54"/>
        <v>15</v>
      </c>
      <c r="F317" s="18">
        <f t="shared" si="54"/>
        <v>137</v>
      </c>
      <c r="G317" s="18">
        <f t="shared" si="54"/>
        <v>279</v>
      </c>
      <c r="H317" s="18">
        <f t="shared" si="54"/>
        <v>56</v>
      </c>
      <c r="I317" s="18">
        <f t="shared" si="54"/>
        <v>24</v>
      </c>
      <c r="J317" s="18" t="str">
        <f t="shared" si="54"/>
        <v>-</v>
      </c>
      <c r="K317" s="18" t="str">
        <f t="shared" si="54"/>
        <v>-</v>
      </c>
      <c r="L317" s="24">
        <f t="shared" si="54"/>
        <v>511</v>
      </c>
    </row>
    <row r="318" spans="1:12" ht="13">
      <c r="A318" s="239" t="s">
        <v>308</v>
      </c>
      <c r="B318" s="18" t="str">
        <f t="shared" ref="B318:L319" si="55">B49</f>
        <v>-</v>
      </c>
      <c r="C318" s="18" t="str">
        <f t="shared" si="55"/>
        <v>-</v>
      </c>
      <c r="D318" s="18" t="str">
        <f t="shared" si="55"/>
        <v>-</v>
      </c>
      <c r="E318" s="18" t="str">
        <f t="shared" si="55"/>
        <v>-</v>
      </c>
      <c r="F318" s="18" t="str">
        <f t="shared" si="55"/>
        <v>--</v>
      </c>
      <c r="G318" s="18">
        <f t="shared" si="55"/>
        <v>801</v>
      </c>
      <c r="H318" s="18">
        <f t="shared" si="55"/>
        <v>386</v>
      </c>
      <c r="I318" s="18" t="str">
        <f t="shared" si="55"/>
        <v>-</v>
      </c>
      <c r="J318" s="18" t="str">
        <f t="shared" si="55"/>
        <v>-</v>
      </c>
      <c r="K318" s="18" t="str">
        <f t="shared" si="55"/>
        <v>-</v>
      </c>
      <c r="L318" s="24">
        <f t="shared" si="55"/>
        <v>1187</v>
      </c>
    </row>
    <row r="319" spans="1:12" ht="13">
      <c r="A319" s="239" t="s">
        <v>317</v>
      </c>
      <c r="B319" s="18" t="str">
        <f t="shared" si="55"/>
        <v>-</v>
      </c>
      <c r="C319" s="18" t="str">
        <f t="shared" si="55"/>
        <v>-</v>
      </c>
      <c r="D319" s="18" t="str">
        <f t="shared" si="55"/>
        <v>-</v>
      </c>
      <c r="E319" s="18" t="str">
        <f t="shared" si="55"/>
        <v>-</v>
      </c>
      <c r="F319" s="18">
        <f t="shared" si="55"/>
        <v>244</v>
      </c>
      <c r="G319" s="18">
        <f t="shared" si="55"/>
        <v>427</v>
      </c>
      <c r="H319" s="18">
        <f t="shared" si="55"/>
        <v>4</v>
      </c>
      <c r="I319" s="18" t="str">
        <f t="shared" si="55"/>
        <v>-</v>
      </c>
      <c r="J319" s="18" t="str">
        <f t="shared" si="55"/>
        <v>-</v>
      </c>
      <c r="K319" s="18" t="str">
        <f t="shared" si="55"/>
        <v>-</v>
      </c>
      <c r="L319" s="24">
        <f t="shared" si="55"/>
        <v>675</v>
      </c>
    </row>
    <row r="320" spans="1:12">
      <c r="B320" s="18"/>
      <c r="C320" s="18"/>
      <c r="D320" s="18"/>
      <c r="E320" s="18"/>
      <c r="F320" s="18"/>
      <c r="G320" s="18"/>
      <c r="H320" s="18"/>
      <c r="I320" s="18"/>
      <c r="J320" s="18"/>
      <c r="K320" s="18"/>
    </row>
    <row r="321" spans="1:12">
      <c r="A321" s="94" t="str">
        <f>A52</f>
        <v>Eureka</v>
      </c>
      <c r="B321" s="18"/>
      <c r="C321" s="18"/>
      <c r="D321" s="18"/>
      <c r="E321" s="18"/>
      <c r="F321" s="18"/>
      <c r="G321" s="18"/>
      <c r="H321" s="18"/>
      <c r="I321" s="18"/>
      <c r="J321" s="18"/>
      <c r="K321" s="18"/>
    </row>
    <row r="322" spans="1:12">
      <c r="A322" s="99" t="s">
        <v>78</v>
      </c>
      <c r="B322" s="134" t="s">
        <v>106</v>
      </c>
      <c r="C322" s="134" t="s">
        <v>106</v>
      </c>
      <c r="D322" s="18" t="s">
        <v>23</v>
      </c>
      <c r="E322" s="18">
        <f t="shared" ref="E322:J322" si="56">AVERAGE(E63:E67)</f>
        <v>1647.8</v>
      </c>
      <c r="F322" s="18">
        <f t="shared" si="56"/>
        <v>9486.7999999999993</v>
      </c>
      <c r="G322" s="18">
        <f t="shared" si="56"/>
        <v>18674.400000000001</v>
      </c>
      <c r="H322" s="18">
        <f t="shared" si="56"/>
        <v>7126.4</v>
      </c>
      <c r="I322" s="18">
        <f t="shared" si="56"/>
        <v>962.6</v>
      </c>
      <c r="J322" s="18">
        <f t="shared" si="56"/>
        <v>0</v>
      </c>
      <c r="K322" s="18" t="s">
        <v>23</v>
      </c>
      <c r="L322" s="24">
        <f>AVERAGE(L63:L67)</f>
        <v>37898</v>
      </c>
    </row>
    <row r="323" spans="1:12">
      <c r="A323" s="99" t="s">
        <v>10</v>
      </c>
      <c r="B323" s="18" t="s">
        <v>23</v>
      </c>
      <c r="C323" s="18" t="s">
        <v>23</v>
      </c>
      <c r="D323" s="18" t="s">
        <v>23</v>
      </c>
      <c r="E323" s="18">
        <f t="shared" ref="E323:J323" si="57">AVERAGE(E68:E72)</f>
        <v>1480.25</v>
      </c>
      <c r="F323" s="18">
        <f t="shared" si="57"/>
        <v>5836.75</v>
      </c>
      <c r="G323" s="18">
        <f t="shared" si="57"/>
        <v>8301.3333333333339</v>
      </c>
      <c r="H323" s="18">
        <f t="shared" si="57"/>
        <v>2249.25</v>
      </c>
      <c r="I323" s="18">
        <f t="shared" si="57"/>
        <v>2150.6</v>
      </c>
      <c r="J323" s="18">
        <f t="shared" si="57"/>
        <v>21</v>
      </c>
      <c r="K323" s="18" t="s">
        <v>23</v>
      </c>
      <c r="L323" s="24">
        <f>AVERAGE(L68:L72)</f>
        <v>14788.6</v>
      </c>
    </row>
    <row r="324" spans="1:12">
      <c r="A324" s="99" t="s">
        <v>144</v>
      </c>
      <c r="B324" s="18" t="s">
        <v>23</v>
      </c>
      <c r="C324" s="18" t="s">
        <v>23</v>
      </c>
      <c r="D324" s="18" t="s">
        <v>23</v>
      </c>
      <c r="E324" s="18">
        <f>AVERAGE(E73:E77)</f>
        <v>1539.4</v>
      </c>
      <c r="F324" s="18">
        <f>AVERAGE(F73:F77)</f>
        <v>3808</v>
      </c>
      <c r="G324" s="18">
        <f>AVERAGE(G73:G77)</f>
        <v>1757.8</v>
      </c>
      <c r="H324" s="18">
        <f>AVERAGE(H73:H77)</f>
        <v>3814.6</v>
      </c>
      <c r="I324" s="18">
        <f>AVERAGE(I73:I77)</f>
        <v>722.8</v>
      </c>
      <c r="J324" s="18" t="s">
        <v>23</v>
      </c>
      <c r="K324" s="18" t="s">
        <v>23</v>
      </c>
      <c r="L324" s="24">
        <f>AVERAGE(L73:L77)</f>
        <v>11642.6</v>
      </c>
    </row>
    <row r="325" spans="1:12">
      <c r="A325" s="99" t="s">
        <v>166</v>
      </c>
      <c r="B325" s="18" t="str">
        <f t="shared" ref="B325:K325" si="58">B78</f>
        <v>-</v>
      </c>
      <c r="C325" s="18" t="str">
        <f t="shared" si="58"/>
        <v>-</v>
      </c>
      <c r="D325" s="18" t="str">
        <f t="shared" si="58"/>
        <v>-</v>
      </c>
      <c r="E325" s="18">
        <f>AVERAGE(E78:E82)</f>
        <v>2308.8000000000002</v>
      </c>
      <c r="F325" s="18">
        <f>AVERAGE(F78:F82)</f>
        <v>4388</v>
      </c>
      <c r="G325" s="18">
        <f>AVERAGE(G78:G82)</f>
        <v>2650.6</v>
      </c>
      <c r="H325" s="18">
        <f>AVERAGE(H78:H82)</f>
        <v>5749</v>
      </c>
      <c r="I325" s="18">
        <f>AVERAGE(I78:I82)</f>
        <v>1819</v>
      </c>
      <c r="J325" s="18" t="str">
        <f t="shared" si="58"/>
        <v>-</v>
      </c>
      <c r="K325" s="18" t="str">
        <f t="shared" si="58"/>
        <v>-</v>
      </c>
      <c r="L325" s="24">
        <f>AVERAGE(L78:L82)</f>
        <v>16915.400000000001</v>
      </c>
    </row>
    <row r="326" spans="1:12">
      <c r="A326" s="99" t="s">
        <v>315</v>
      </c>
      <c r="B326" s="18" t="str">
        <f>B83</f>
        <v>-</v>
      </c>
      <c r="C326" s="18" t="str">
        <f t="shared" ref="C326:D326" si="59">C83</f>
        <v>-</v>
      </c>
      <c r="D326" s="18" t="str">
        <f t="shared" si="59"/>
        <v>-</v>
      </c>
      <c r="E326" s="18">
        <f>AVERAGE(E83:E87)</f>
        <v>2050.6666666666665</v>
      </c>
      <c r="F326" s="18">
        <f t="shared" ref="F326:I326" si="60">AVERAGE(F83:F87)</f>
        <v>3611</v>
      </c>
      <c r="G326" s="18">
        <f t="shared" si="60"/>
        <v>2652.3333333333335</v>
      </c>
      <c r="H326" s="18">
        <f t="shared" si="60"/>
        <v>3023.3333333333335</v>
      </c>
      <c r="I326" s="18">
        <f t="shared" si="60"/>
        <v>1899.75</v>
      </c>
      <c r="J326" s="18" t="str">
        <f t="shared" ref="J326:K326" si="61">J83</f>
        <v>-</v>
      </c>
      <c r="K326" s="18" t="str">
        <f t="shared" si="61"/>
        <v>-</v>
      </c>
      <c r="L326" s="24">
        <f>AVERAGE(L83:L87)</f>
        <v>10402.75</v>
      </c>
    </row>
    <row r="327" spans="1:12">
      <c r="A327" s="99">
        <v>2011</v>
      </c>
      <c r="B327" s="18" t="str">
        <f t="shared" ref="B327:L327" si="62">B88</f>
        <v>-</v>
      </c>
      <c r="C327" s="18" t="str">
        <f t="shared" si="62"/>
        <v>-</v>
      </c>
      <c r="D327" s="18" t="str">
        <f t="shared" si="62"/>
        <v>-</v>
      </c>
      <c r="E327" s="18">
        <f t="shared" si="62"/>
        <v>1664</v>
      </c>
      <c r="F327" s="18">
        <f t="shared" si="62"/>
        <v>2574</v>
      </c>
      <c r="G327" s="18">
        <f t="shared" si="62"/>
        <v>4625</v>
      </c>
      <c r="H327" s="18">
        <f t="shared" si="62"/>
        <v>4597</v>
      </c>
      <c r="I327" s="18">
        <f t="shared" si="62"/>
        <v>723</v>
      </c>
      <c r="J327" s="18" t="str">
        <f t="shared" si="62"/>
        <v>-</v>
      </c>
      <c r="K327" s="18" t="str">
        <f t="shared" si="62"/>
        <v>-</v>
      </c>
      <c r="L327" s="24">
        <f t="shared" si="62"/>
        <v>14183</v>
      </c>
    </row>
    <row r="328" spans="1:12">
      <c r="A328" s="99">
        <v>2012</v>
      </c>
      <c r="B328" s="18" t="str">
        <f t="shared" ref="B328:L328" si="63">B89</f>
        <v>-</v>
      </c>
      <c r="C328" s="18" t="str">
        <f t="shared" si="63"/>
        <v>-</v>
      </c>
      <c r="D328" s="18" t="str">
        <f t="shared" si="63"/>
        <v>-</v>
      </c>
      <c r="E328" s="18">
        <f t="shared" si="63"/>
        <v>2680</v>
      </c>
      <c r="F328" s="18">
        <f t="shared" si="63"/>
        <v>6514</v>
      </c>
      <c r="G328" s="18">
        <f t="shared" si="63"/>
        <v>5833</v>
      </c>
      <c r="H328" s="18">
        <f t="shared" si="63"/>
        <v>6671</v>
      </c>
      <c r="I328" s="18">
        <f t="shared" si="63"/>
        <v>1873</v>
      </c>
      <c r="J328" s="18" t="str">
        <f t="shared" si="63"/>
        <v>-</v>
      </c>
      <c r="K328" s="18" t="str">
        <f t="shared" si="63"/>
        <v>-</v>
      </c>
      <c r="L328" s="24">
        <f t="shared" si="63"/>
        <v>23571</v>
      </c>
    </row>
    <row r="329" spans="1:12">
      <c r="A329" s="99">
        <v>2013</v>
      </c>
      <c r="B329" s="18" t="str">
        <f t="shared" ref="B329:L329" si="64">B90</f>
        <v>-</v>
      </c>
      <c r="C329" s="18" t="str">
        <f t="shared" si="64"/>
        <v>-</v>
      </c>
      <c r="D329" s="18" t="str">
        <f t="shared" si="64"/>
        <v>-</v>
      </c>
      <c r="E329" s="18">
        <f t="shared" si="64"/>
        <v>2756</v>
      </c>
      <c r="F329" s="18">
        <f t="shared" si="64"/>
        <v>5976</v>
      </c>
      <c r="G329" s="18">
        <f t="shared" si="64"/>
        <v>6028</v>
      </c>
      <c r="H329" s="18">
        <f t="shared" si="64"/>
        <v>7416</v>
      </c>
      <c r="I329" s="18">
        <f t="shared" si="64"/>
        <v>614</v>
      </c>
      <c r="J329" s="18" t="str">
        <f t="shared" si="64"/>
        <v>-</v>
      </c>
      <c r="K329" s="18" t="str">
        <f t="shared" si="64"/>
        <v>-</v>
      </c>
      <c r="L329" s="24">
        <f t="shared" si="64"/>
        <v>22790</v>
      </c>
    </row>
    <row r="330" spans="1:12">
      <c r="A330" s="99">
        <v>2014</v>
      </c>
      <c r="B330" s="18" t="str">
        <f t="shared" ref="B330:L330" si="65">B91</f>
        <v>-</v>
      </c>
      <c r="C330" s="18" t="str">
        <f t="shared" si="65"/>
        <v>-</v>
      </c>
      <c r="D330" s="18" t="str">
        <f t="shared" si="65"/>
        <v>-</v>
      </c>
      <c r="E330" s="18">
        <f t="shared" si="65"/>
        <v>2710</v>
      </c>
      <c r="F330" s="18">
        <f t="shared" si="65"/>
        <v>4157</v>
      </c>
      <c r="G330" s="18">
        <f t="shared" si="65"/>
        <v>5170</v>
      </c>
      <c r="H330" s="18">
        <f t="shared" si="65"/>
        <v>3580</v>
      </c>
      <c r="I330" s="18">
        <f t="shared" si="65"/>
        <v>612</v>
      </c>
      <c r="J330" s="18" t="str">
        <f t="shared" si="65"/>
        <v>-</v>
      </c>
      <c r="K330" s="18" t="str">
        <f t="shared" si="65"/>
        <v>-</v>
      </c>
      <c r="L330" s="24">
        <f t="shared" si="65"/>
        <v>16229</v>
      </c>
    </row>
    <row r="331" spans="1:12">
      <c r="A331" s="99">
        <v>2015</v>
      </c>
      <c r="B331" s="18" t="str">
        <f t="shared" ref="B331:L331" si="66">B92</f>
        <v>-</v>
      </c>
      <c r="C331" s="18" t="str">
        <f t="shared" si="66"/>
        <v>-</v>
      </c>
      <c r="D331" s="18" t="str">
        <f t="shared" si="66"/>
        <v>-</v>
      </c>
      <c r="E331" s="18">
        <f t="shared" si="66"/>
        <v>2431</v>
      </c>
      <c r="F331" s="18">
        <f t="shared" si="66"/>
        <v>1166</v>
      </c>
      <c r="G331" s="18">
        <f t="shared" si="66"/>
        <v>2321</v>
      </c>
      <c r="H331" s="18">
        <f t="shared" si="66"/>
        <v>2216</v>
      </c>
      <c r="I331" s="18">
        <f t="shared" si="66"/>
        <v>164</v>
      </c>
      <c r="J331" s="18" t="str">
        <f t="shared" si="66"/>
        <v>-</v>
      </c>
      <c r="K331" s="18" t="str">
        <f t="shared" si="66"/>
        <v>-</v>
      </c>
      <c r="L331" s="24">
        <f t="shared" si="66"/>
        <v>8298</v>
      </c>
    </row>
    <row r="332" spans="1:12">
      <c r="A332" s="99">
        <v>2016</v>
      </c>
      <c r="B332" s="18" t="str">
        <f t="shared" ref="B332:L332" si="67">B93</f>
        <v>-</v>
      </c>
      <c r="C332" s="18" t="str">
        <f t="shared" si="67"/>
        <v>-</v>
      </c>
      <c r="D332" s="18" t="str">
        <f t="shared" si="67"/>
        <v>-</v>
      </c>
      <c r="E332" s="18">
        <f t="shared" si="67"/>
        <v>1579</v>
      </c>
      <c r="F332" s="18">
        <f t="shared" si="67"/>
        <v>1933</v>
      </c>
      <c r="G332" s="18">
        <f t="shared" si="67"/>
        <v>2380</v>
      </c>
      <c r="H332" s="18">
        <f t="shared" si="67"/>
        <v>1888</v>
      </c>
      <c r="I332" s="18">
        <f t="shared" si="67"/>
        <v>610</v>
      </c>
      <c r="J332" s="18" t="str">
        <f t="shared" si="67"/>
        <v>-</v>
      </c>
      <c r="K332" s="18" t="str">
        <f t="shared" si="67"/>
        <v>-</v>
      </c>
      <c r="L332" s="24">
        <f t="shared" si="67"/>
        <v>8390</v>
      </c>
    </row>
    <row r="333" spans="1:12">
      <c r="A333" s="99">
        <v>2017</v>
      </c>
      <c r="B333" s="18" t="str">
        <f t="shared" ref="B333:L333" si="68">B94</f>
        <v>-</v>
      </c>
      <c r="C333" s="18" t="str">
        <f t="shared" si="68"/>
        <v>-</v>
      </c>
      <c r="D333" s="18" t="str">
        <f t="shared" si="68"/>
        <v>-</v>
      </c>
      <c r="E333" s="18" t="str">
        <f t="shared" si="68"/>
        <v>-</v>
      </c>
      <c r="F333" s="18" t="str">
        <f t="shared" si="68"/>
        <v>-</v>
      </c>
      <c r="G333" s="18" t="str">
        <f t="shared" si="68"/>
        <v>-</v>
      </c>
      <c r="H333" s="18" t="str">
        <f t="shared" si="68"/>
        <v>-</v>
      </c>
      <c r="I333" s="18" t="str">
        <f t="shared" si="68"/>
        <v>-</v>
      </c>
      <c r="J333" s="18" t="str">
        <f t="shared" si="68"/>
        <v>-</v>
      </c>
      <c r="K333" s="18" t="str">
        <f t="shared" si="68"/>
        <v>-</v>
      </c>
      <c r="L333" s="24" t="str">
        <f t="shared" si="68"/>
        <v>-</v>
      </c>
    </row>
    <row r="334" spans="1:12">
      <c r="A334" s="99">
        <v>2018</v>
      </c>
      <c r="B334" s="18" t="str">
        <f t="shared" ref="B334:L334" si="69">B95</f>
        <v>-</v>
      </c>
      <c r="C334" s="18" t="str">
        <f t="shared" si="69"/>
        <v>-</v>
      </c>
      <c r="D334" s="18" t="str">
        <f t="shared" si="69"/>
        <v>-</v>
      </c>
      <c r="E334" s="18" t="str">
        <f t="shared" si="69"/>
        <v>-</v>
      </c>
      <c r="F334" s="18">
        <f t="shared" si="69"/>
        <v>2298</v>
      </c>
      <c r="G334" s="18">
        <f t="shared" si="69"/>
        <v>2067</v>
      </c>
      <c r="H334" s="18">
        <f t="shared" si="69"/>
        <v>1593</v>
      </c>
      <c r="I334" s="18">
        <f t="shared" si="69"/>
        <v>48</v>
      </c>
      <c r="J334" s="18" t="str">
        <f t="shared" si="69"/>
        <v>-</v>
      </c>
      <c r="K334" s="18" t="str">
        <f t="shared" si="69"/>
        <v>-</v>
      </c>
      <c r="L334" s="24">
        <f t="shared" si="69"/>
        <v>6006</v>
      </c>
    </row>
    <row r="335" spans="1:12">
      <c r="A335" s="239">
        <v>2019</v>
      </c>
      <c r="B335" s="18" t="str">
        <f t="shared" ref="B335:L335" si="70">B96</f>
        <v>-</v>
      </c>
      <c r="C335" s="18" t="str">
        <f t="shared" si="70"/>
        <v>-</v>
      </c>
      <c r="D335" s="18" t="str">
        <f t="shared" si="70"/>
        <v>-</v>
      </c>
      <c r="E335" s="18">
        <f t="shared" si="70"/>
        <v>349</v>
      </c>
      <c r="F335" s="18">
        <f t="shared" si="70"/>
        <v>2601</v>
      </c>
      <c r="G335" s="18">
        <f t="shared" si="70"/>
        <v>2535</v>
      </c>
      <c r="H335" s="18">
        <f t="shared" si="70"/>
        <v>1617</v>
      </c>
      <c r="I335" s="18">
        <f t="shared" si="70"/>
        <v>99</v>
      </c>
      <c r="J335" s="18" t="str">
        <f t="shared" si="70"/>
        <v>-</v>
      </c>
      <c r="K335" s="18" t="str">
        <f t="shared" si="70"/>
        <v>-</v>
      </c>
      <c r="L335" s="24">
        <f t="shared" si="70"/>
        <v>7201</v>
      </c>
    </row>
    <row r="336" spans="1:12" ht="13">
      <c r="A336" s="239" t="s">
        <v>308</v>
      </c>
      <c r="B336" s="18" t="str">
        <f t="shared" ref="B336:L337" si="71">B97</f>
        <v>-</v>
      </c>
      <c r="C336" s="18" t="str">
        <f t="shared" si="71"/>
        <v>-</v>
      </c>
      <c r="D336" s="18" t="str">
        <f t="shared" si="71"/>
        <v>-</v>
      </c>
      <c r="E336" s="18" t="str">
        <f t="shared" si="71"/>
        <v>-</v>
      </c>
      <c r="F336" s="18" t="str">
        <f t="shared" si="71"/>
        <v>--</v>
      </c>
      <c r="G336" s="18">
        <f t="shared" si="71"/>
        <v>2939</v>
      </c>
      <c r="H336" s="18">
        <f t="shared" si="71"/>
        <v>847</v>
      </c>
      <c r="I336" s="18" t="str">
        <f t="shared" si="71"/>
        <v>-</v>
      </c>
      <c r="J336" s="18" t="str">
        <f t="shared" si="71"/>
        <v>-</v>
      </c>
      <c r="K336" s="18" t="str">
        <f t="shared" si="71"/>
        <v>-</v>
      </c>
      <c r="L336" s="24">
        <f t="shared" si="71"/>
        <v>3786</v>
      </c>
    </row>
    <row r="337" spans="1:12" ht="13">
      <c r="A337" s="239" t="s">
        <v>317</v>
      </c>
      <c r="B337" s="18" t="str">
        <f t="shared" si="71"/>
        <v>-</v>
      </c>
      <c r="C337" s="18" t="str">
        <f t="shared" si="71"/>
        <v>-</v>
      </c>
      <c r="D337" s="18" t="str">
        <f t="shared" si="71"/>
        <v>-</v>
      </c>
      <c r="E337" s="18" t="str">
        <f t="shared" si="71"/>
        <v>-</v>
      </c>
      <c r="F337" s="18">
        <f t="shared" si="71"/>
        <v>127</v>
      </c>
      <c r="G337" s="18">
        <f t="shared" si="71"/>
        <v>1401</v>
      </c>
      <c r="H337" s="18">
        <f t="shared" si="71"/>
        <v>58</v>
      </c>
      <c r="I337" s="18" t="str">
        <f t="shared" si="71"/>
        <v>-</v>
      </c>
      <c r="J337" s="18" t="str">
        <f t="shared" si="71"/>
        <v>-</v>
      </c>
      <c r="K337" s="18" t="str">
        <f t="shared" si="71"/>
        <v>-</v>
      </c>
      <c r="L337" s="24">
        <f t="shared" si="71"/>
        <v>1586</v>
      </c>
    </row>
    <row r="338" spans="1:12">
      <c r="B338" s="18"/>
      <c r="C338" s="18"/>
      <c r="D338" s="18"/>
      <c r="E338" s="18"/>
      <c r="F338" s="18"/>
      <c r="G338" s="18"/>
      <c r="H338" s="18"/>
      <c r="I338" s="18"/>
      <c r="J338" s="18"/>
      <c r="K338" s="18"/>
    </row>
    <row r="339" spans="1:12" ht="11.25" customHeight="1">
      <c r="A339" s="290" t="s">
        <v>163</v>
      </c>
      <c r="B339" s="290"/>
      <c r="C339" s="290"/>
      <c r="D339" s="290"/>
      <c r="E339" s="290"/>
      <c r="F339" s="290"/>
      <c r="G339" s="290"/>
      <c r="H339" s="290"/>
      <c r="I339" s="290"/>
      <c r="J339" s="290"/>
      <c r="K339" s="290"/>
      <c r="L339" s="290"/>
    </row>
    <row r="340" spans="1:12">
      <c r="A340" s="98" t="s">
        <v>27</v>
      </c>
      <c r="B340" s="196" t="s">
        <v>36</v>
      </c>
      <c r="C340" s="196" t="s">
        <v>37</v>
      </c>
      <c r="D340" s="196" t="s">
        <v>28</v>
      </c>
      <c r="E340" s="196" t="s">
        <v>29</v>
      </c>
      <c r="F340" s="196" t="s">
        <v>30</v>
      </c>
      <c r="G340" s="196" t="s">
        <v>31</v>
      </c>
      <c r="H340" s="196" t="s">
        <v>32</v>
      </c>
      <c r="I340" s="196" t="s">
        <v>33</v>
      </c>
      <c r="J340" s="196" t="s">
        <v>34</v>
      </c>
      <c r="K340" s="196" t="s">
        <v>38</v>
      </c>
      <c r="L340" s="196" t="s">
        <v>22</v>
      </c>
    </row>
    <row r="341" spans="1:12">
      <c r="A341" s="247" t="str">
        <f>A100</f>
        <v>Fort Bragg</v>
      </c>
    </row>
    <row r="342" spans="1:12">
      <c r="A342" s="99" t="s">
        <v>78</v>
      </c>
      <c r="B342" s="18">
        <f t="shared" ref="B342:L342" si="72">AVERAGE(B111:B115)</f>
        <v>0</v>
      </c>
      <c r="C342" s="18">
        <f t="shared" si="72"/>
        <v>1.5</v>
      </c>
      <c r="D342" s="18">
        <f t="shared" si="72"/>
        <v>80.2</v>
      </c>
      <c r="E342" s="18">
        <f t="shared" si="72"/>
        <v>705</v>
      </c>
      <c r="F342" s="18">
        <f t="shared" si="72"/>
        <v>4483</v>
      </c>
      <c r="G342" s="18">
        <f t="shared" si="72"/>
        <v>7054.6</v>
      </c>
      <c r="H342" s="18">
        <f t="shared" si="72"/>
        <v>2463.6</v>
      </c>
      <c r="I342" s="18">
        <f t="shared" si="72"/>
        <v>649.6</v>
      </c>
      <c r="J342" s="18">
        <f t="shared" si="72"/>
        <v>4.2</v>
      </c>
      <c r="K342" s="18">
        <f t="shared" si="72"/>
        <v>0</v>
      </c>
      <c r="L342" s="24">
        <f t="shared" si="72"/>
        <v>15441.4</v>
      </c>
    </row>
    <row r="343" spans="1:12">
      <c r="A343" s="99" t="s">
        <v>10</v>
      </c>
      <c r="B343" s="18">
        <f t="shared" ref="B343:L343" si="73">AVERAGE(B116:B120)</f>
        <v>161</v>
      </c>
      <c r="C343" s="18">
        <f t="shared" si="73"/>
        <v>313.25</v>
      </c>
      <c r="D343" s="18">
        <f t="shared" si="73"/>
        <v>744.8</v>
      </c>
      <c r="E343" s="18">
        <f t="shared" si="73"/>
        <v>2000.6</v>
      </c>
      <c r="F343" s="18">
        <f t="shared" si="73"/>
        <v>6137.4</v>
      </c>
      <c r="G343" s="18">
        <f t="shared" si="73"/>
        <v>9103.3333333333339</v>
      </c>
      <c r="H343" s="18">
        <f t="shared" si="73"/>
        <v>5427.25</v>
      </c>
      <c r="I343" s="18">
        <f t="shared" si="73"/>
        <v>1315.6</v>
      </c>
      <c r="J343" s="18">
        <f t="shared" si="73"/>
        <v>276.25</v>
      </c>
      <c r="K343" s="18">
        <f t="shared" si="73"/>
        <v>6</v>
      </c>
      <c r="L343" s="24">
        <f t="shared" si="73"/>
        <v>20572.8</v>
      </c>
    </row>
    <row r="344" spans="1:12">
      <c r="A344" s="99" t="s">
        <v>144</v>
      </c>
      <c r="B344" s="18">
        <f t="shared" ref="B344:L344" si="74">AVERAGE(B121:B125)</f>
        <v>31.5</v>
      </c>
      <c r="C344" s="18">
        <f t="shared" si="74"/>
        <v>373.75</v>
      </c>
      <c r="D344" s="18">
        <f t="shared" si="74"/>
        <v>910.4</v>
      </c>
      <c r="E344" s="18">
        <f t="shared" si="74"/>
        <v>2268.6</v>
      </c>
      <c r="F344" s="18">
        <f t="shared" si="74"/>
        <v>6011</v>
      </c>
      <c r="G344" s="18">
        <f t="shared" si="74"/>
        <v>3119.6</v>
      </c>
      <c r="H344" s="18">
        <f t="shared" si="74"/>
        <v>5059.3999999999996</v>
      </c>
      <c r="I344" s="18">
        <f t="shared" si="74"/>
        <v>1277</v>
      </c>
      <c r="J344" s="18">
        <f t="shared" si="74"/>
        <v>265</v>
      </c>
      <c r="K344" s="18" t="str">
        <f>K125</f>
        <v>--</v>
      </c>
      <c r="L344" s="24">
        <f t="shared" si="74"/>
        <v>19116.599999999999</v>
      </c>
    </row>
    <row r="345" spans="1:12">
      <c r="A345" s="99" t="s">
        <v>166</v>
      </c>
      <c r="B345" s="18">
        <f>AVERAGE(B126:B130)</f>
        <v>463.25</v>
      </c>
      <c r="C345" s="18">
        <f>AVERAGE(C126:C130)</f>
        <v>877.8</v>
      </c>
      <c r="D345" s="18">
        <f>AVERAGE(D126:D130)</f>
        <v>1309</v>
      </c>
      <c r="E345" s="18">
        <f>AVERAGE(E126:E130)</f>
        <v>3054.2</v>
      </c>
      <c r="F345" s="18">
        <f t="shared" ref="F345:K345" si="75">AVERAGE(F126:F130)</f>
        <v>6649.2</v>
      </c>
      <c r="G345" s="18">
        <f t="shared" si="75"/>
        <v>8885.2000000000007</v>
      </c>
      <c r="H345" s="18">
        <f t="shared" si="75"/>
        <v>6012.6</v>
      </c>
      <c r="I345" s="18">
        <f t="shared" si="75"/>
        <v>996.4</v>
      </c>
      <c r="J345" s="18">
        <f t="shared" si="75"/>
        <v>75.400000000000006</v>
      </c>
      <c r="K345" s="18">
        <f t="shared" si="75"/>
        <v>8.4</v>
      </c>
      <c r="L345" s="24">
        <f>AVERAGE(L126:L130)</f>
        <v>28238.799999999999</v>
      </c>
    </row>
    <row r="346" spans="1:12">
      <c r="A346" s="99" t="s">
        <v>315</v>
      </c>
      <c r="B346" s="18">
        <f>AVERAGE(B131:B135)</f>
        <v>248</v>
      </c>
      <c r="C346" s="18">
        <f t="shared" ref="C346:L346" si="76">AVERAGE(C131:C135)</f>
        <v>446</v>
      </c>
      <c r="D346" s="18">
        <f t="shared" si="76"/>
        <v>920.33333333333337</v>
      </c>
      <c r="E346" s="18">
        <f t="shared" si="76"/>
        <v>1945.6666666666667</v>
      </c>
      <c r="F346" s="18">
        <f t="shared" si="76"/>
        <v>4084.3333333333335</v>
      </c>
      <c r="G346" s="18">
        <f t="shared" si="76"/>
        <v>4462</v>
      </c>
      <c r="H346" s="18">
        <f t="shared" si="76"/>
        <v>2563</v>
      </c>
      <c r="I346" s="18">
        <f t="shared" si="76"/>
        <v>336.33333333333331</v>
      </c>
      <c r="J346" s="18">
        <f t="shared" si="76"/>
        <v>12.5</v>
      </c>
      <c r="K346" s="18">
        <f t="shared" si="76"/>
        <v>0</v>
      </c>
      <c r="L346" s="24">
        <f t="shared" si="76"/>
        <v>11260.5</v>
      </c>
    </row>
    <row r="347" spans="1:12">
      <c r="A347" s="99">
        <v>2011</v>
      </c>
      <c r="B347" s="18" t="str">
        <f t="shared" ref="B347:L347" si="77">B136</f>
        <v>-</v>
      </c>
      <c r="C347" s="18" t="str">
        <f t="shared" si="77"/>
        <v>-</v>
      </c>
      <c r="D347" s="18">
        <f t="shared" si="77"/>
        <v>1532</v>
      </c>
      <c r="E347" s="18">
        <f t="shared" si="77"/>
        <v>1522</v>
      </c>
      <c r="F347" s="18">
        <f t="shared" si="77"/>
        <v>2294</v>
      </c>
      <c r="G347" s="18">
        <f t="shared" si="77"/>
        <v>6234</v>
      </c>
      <c r="H347" s="18">
        <f t="shared" si="77"/>
        <v>1975</v>
      </c>
      <c r="I347" s="18">
        <f t="shared" si="77"/>
        <v>650</v>
      </c>
      <c r="J347" s="18">
        <f t="shared" si="77"/>
        <v>182</v>
      </c>
      <c r="K347" s="18" t="str">
        <f t="shared" si="77"/>
        <v>-</v>
      </c>
      <c r="L347" s="24">
        <f t="shared" si="77"/>
        <v>14389</v>
      </c>
    </row>
    <row r="348" spans="1:12">
      <c r="A348" s="99">
        <v>2012</v>
      </c>
      <c r="B348" s="18" t="str">
        <f t="shared" ref="B348:L348" si="78">B137</f>
        <v>-</v>
      </c>
      <c r="C348" s="18" t="str">
        <f t="shared" si="78"/>
        <v>-</v>
      </c>
      <c r="D348" s="18">
        <f t="shared" si="78"/>
        <v>1230</v>
      </c>
      <c r="E348" s="18">
        <f t="shared" si="78"/>
        <v>2088</v>
      </c>
      <c r="F348" s="18">
        <f t="shared" si="78"/>
        <v>2975</v>
      </c>
      <c r="G348" s="18">
        <f t="shared" si="78"/>
        <v>4076</v>
      </c>
      <c r="H348" s="18">
        <f t="shared" si="78"/>
        <v>2890</v>
      </c>
      <c r="I348" s="18">
        <f t="shared" si="78"/>
        <v>1069</v>
      </c>
      <c r="J348" s="18">
        <f t="shared" si="78"/>
        <v>334</v>
      </c>
      <c r="K348" s="18">
        <f t="shared" si="78"/>
        <v>151</v>
      </c>
      <c r="L348" s="24">
        <f t="shared" si="78"/>
        <v>14813</v>
      </c>
    </row>
    <row r="349" spans="1:12">
      <c r="A349" s="99">
        <v>2013</v>
      </c>
      <c r="B349" s="18" t="str">
        <f t="shared" ref="B349:L349" si="79">B138</f>
        <v>-</v>
      </c>
      <c r="C349" s="18" t="str">
        <f t="shared" si="79"/>
        <v>-</v>
      </c>
      <c r="D349" s="18">
        <f t="shared" si="79"/>
        <v>934</v>
      </c>
      <c r="E349" s="18">
        <f t="shared" si="79"/>
        <v>1666</v>
      </c>
      <c r="F349" s="18">
        <f t="shared" si="79"/>
        <v>3519</v>
      </c>
      <c r="G349" s="18">
        <f t="shared" si="79"/>
        <v>7136</v>
      </c>
      <c r="H349" s="18">
        <f t="shared" si="79"/>
        <v>3076</v>
      </c>
      <c r="I349" s="18">
        <f t="shared" si="79"/>
        <v>667</v>
      </c>
      <c r="J349" s="18">
        <f t="shared" si="79"/>
        <v>220</v>
      </c>
      <c r="K349" s="18">
        <f t="shared" si="79"/>
        <v>47</v>
      </c>
      <c r="L349" s="24">
        <f t="shared" si="79"/>
        <v>17265</v>
      </c>
    </row>
    <row r="350" spans="1:12">
      <c r="A350" s="99">
        <v>2014</v>
      </c>
      <c r="B350" s="18" t="str">
        <f t="shared" ref="B350:L350" si="80">B139</f>
        <v>-</v>
      </c>
      <c r="C350" s="18" t="str">
        <f t="shared" si="80"/>
        <v>-</v>
      </c>
      <c r="D350" s="18">
        <f t="shared" si="80"/>
        <v>1049</v>
      </c>
      <c r="E350" s="18">
        <f t="shared" si="80"/>
        <v>1371</v>
      </c>
      <c r="F350" s="18">
        <f t="shared" si="80"/>
        <v>2538</v>
      </c>
      <c r="G350" s="18">
        <f t="shared" si="80"/>
        <v>9435</v>
      </c>
      <c r="H350" s="18">
        <f t="shared" si="80"/>
        <v>2554</v>
      </c>
      <c r="I350" s="18">
        <f t="shared" si="80"/>
        <v>373</v>
      </c>
      <c r="J350" s="18">
        <f t="shared" si="80"/>
        <v>102</v>
      </c>
      <c r="K350" s="18">
        <f t="shared" si="80"/>
        <v>48</v>
      </c>
      <c r="L350" s="24">
        <f t="shared" si="80"/>
        <v>17470</v>
      </c>
    </row>
    <row r="351" spans="1:12">
      <c r="A351" s="99">
        <v>2015</v>
      </c>
      <c r="B351" s="18" t="str">
        <f t="shared" ref="B351:L351" si="81">B140</f>
        <v>-</v>
      </c>
      <c r="C351" s="18" t="str">
        <f t="shared" si="81"/>
        <v>-</v>
      </c>
      <c r="D351" s="18">
        <f t="shared" si="81"/>
        <v>1051</v>
      </c>
      <c r="E351" s="18">
        <f t="shared" si="81"/>
        <v>1321</v>
      </c>
      <c r="F351" s="18">
        <f t="shared" si="81"/>
        <v>1615</v>
      </c>
      <c r="G351" s="18">
        <f t="shared" si="81"/>
        <v>5002</v>
      </c>
      <c r="H351" s="18">
        <f t="shared" si="81"/>
        <v>2278</v>
      </c>
      <c r="I351" s="18">
        <f t="shared" si="81"/>
        <v>423</v>
      </c>
      <c r="J351" s="18">
        <f t="shared" si="81"/>
        <v>94</v>
      </c>
      <c r="K351" s="18">
        <f t="shared" si="81"/>
        <v>5</v>
      </c>
      <c r="L351" s="24">
        <f t="shared" si="81"/>
        <v>11789</v>
      </c>
    </row>
    <row r="352" spans="1:12">
      <c r="A352" s="99">
        <v>2016</v>
      </c>
      <c r="B352" s="18" t="str">
        <f t="shared" ref="B352:L352" si="82">B141</f>
        <v>-</v>
      </c>
      <c r="C352" s="18" t="str">
        <f t="shared" si="82"/>
        <v>-</v>
      </c>
      <c r="D352" s="18">
        <f t="shared" si="82"/>
        <v>706</v>
      </c>
      <c r="E352" s="18">
        <f t="shared" si="82"/>
        <v>934</v>
      </c>
      <c r="F352" s="18">
        <f t="shared" si="82"/>
        <v>1003</v>
      </c>
      <c r="G352" s="18">
        <f t="shared" si="82"/>
        <v>4817</v>
      </c>
      <c r="H352" s="18">
        <f t="shared" si="82"/>
        <v>1751</v>
      </c>
      <c r="I352" s="18">
        <f t="shared" si="82"/>
        <v>295</v>
      </c>
      <c r="J352" s="18">
        <f t="shared" si="82"/>
        <v>68</v>
      </c>
      <c r="K352" s="18">
        <f t="shared" si="82"/>
        <v>0</v>
      </c>
      <c r="L352" s="24">
        <f t="shared" si="82"/>
        <v>9574</v>
      </c>
    </row>
    <row r="353" spans="1:12">
      <c r="A353" s="99">
        <v>2017</v>
      </c>
      <c r="B353" s="18" t="str">
        <f t="shared" ref="B353:L353" si="83">B142</f>
        <v>-</v>
      </c>
      <c r="C353" s="18" t="str">
        <f t="shared" si="83"/>
        <v>-</v>
      </c>
      <c r="D353" s="18">
        <f t="shared" si="83"/>
        <v>403</v>
      </c>
      <c r="E353" s="18">
        <f t="shared" si="83"/>
        <v>1101</v>
      </c>
      <c r="F353" s="18" t="str">
        <f t="shared" si="83"/>
        <v>-</v>
      </c>
      <c r="G353" s="18" t="str">
        <f t="shared" si="83"/>
        <v>-</v>
      </c>
      <c r="H353" s="18">
        <f t="shared" si="83"/>
        <v>1869</v>
      </c>
      <c r="I353" s="18">
        <f t="shared" si="83"/>
        <v>1286</v>
      </c>
      <c r="J353" s="18">
        <f t="shared" si="83"/>
        <v>17</v>
      </c>
      <c r="K353" s="18">
        <f t="shared" si="83"/>
        <v>0</v>
      </c>
      <c r="L353" s="24">
        <f t="shared" si="83"/>
        <v>4676</v>
      </c>
    </row>
    <row r="354" spans="1:12">
      <c r="A354" s="99">
        <v>2018</v>
      </c>
      <c r="B354" s="18" t="str">
        <f t="shared" ref="B354:L354" si="84">B143</f>
        <v>-</v>
      </c>
      <c r="C354" s="18" t="str">
        <f t="shared" si="84"/>
        <v>-</v>
      </c>
      <c r="D354" s="18" t="str">
        <f t="shared" si="84"/>
        <v>-</v>
      </c>
      <c r="E354" s="18" t="str">
        <f t="shared" si="84"/>
        <v>-</v>
      </c>
      <c r="F354" s="18">
        <f t="shared" si="84"/>
        <v>1009</v>
      </c>
      <c r="G354" s="18">
        <f t="shared" si="84"/>
        <v>5523</v>
      </c>
      <c r="H354" s="18">
        <f t="shared" si="84"/>
        <v>2897</v>
      </c>
      <c r="I354" s="18">
        <f t="shared" si="84"/>
        <v>423</v>
      </c>
      <c r="J354" s="18">
        <f t="shared" si="84"/>
        <v>39</v>
      </c>
      <c r="K354" s="18" t="str">
        <f t="shared" si="84"/>
        <v>-</v>
      </c>
      <c r="L354" s="24">
        <f t="shared" si="84"/>
        <v>9891</v>
      </c>
    </row>
    <row r="355" spans="1:12">
      <c r="A355" s="239">
        <v>2019</v>
      </c>
      <c r="B355" s="18" t="str">
        <f t="shared" ref="B355:L355" si="85">B144</f>
        <v>-</v>
      </c>
      <c r="C355" s="18" t="str">
        <f t="shared" si="85"/>
        <v>-</v>
      </c>
      <c r="D355" s="18">
        <f t="shared" si="85"/>
        <v>606</v>
      </c>
      <c r="E355" s="18">
        <f t="shared" si="85"/>
        <v>166</v>
      </c>
      <c r="F355" s="18">
        <f t="shared" si="85"/>
        <v>1646</v>
      </c>
      <c r="G355" s="18">
        <f t="shared" si="85"/>
        <v>3171</v>
      </c>
      <c r="H355" s="18">
        <f t="shared" si="85"/>
        <v>1735</v>
      </c>
      <c r="I355" s="18">
        <f t="shared" si="85"/>
        <v>228</v>
      </c>
      <c r="J355" s="18">
        <f t="shared" si="85"/>
        <v>52</v>
      </c>
      <c r="K355" s="18" t="str">
        <f t="shared" si="85"/>
        <v>-</v>
      </c>
      <c r="L355" s="24">
        <f t="shared" si="85"/>
        <v>7604</v>
      </c>
    </row>
    <row r="356" spans="1:12" ht="13">
      <c r="A356" s="239" t="s">
        <v>308</v>
      </c>
      <c r="B356" s="18" t="str">
        <f t="shared" ref="B356:L357" si="86">B145</f>
        <v>-</v>
      </c>
      <c r="C356" s="18" t="str">
        <f t="shared" si="86"/>
        <v>-</v>
      </c>
      <c r="D356" s="18" t="str">
        <f t="shared" si="86"/>
        <v>-</v>
      </c>
      <c r="E356" s="18" t="str">
        <f t="shared" si="86"/>
        <v>--</v>
      </c>
      <c r="F356" s="18" t="str">
        <f t="shared" si="86"/>
        <v>--</v>
      </c>
      <c r="G356" s="18">
        <f t="shared" si="86"/>
        <v>2637</v>
      </c>
      <c r="H356" s="18">
        <f t="shared" si="86"/>
        <v>2062</v>
      </c>
      <c r="I356" s="18">
        <f t="shared" si="86"/>
        <v>469</v>
      </c>
      <c r="J356" s="18">
        <f t="shared" si="86"/>
        <v>0</v>
      </c>
      <c r="K356" s="18">
        <f t="shared" si="86"/>
        <v>0</v>
      </c>
      <c r="L356" s="24">
        <f t="shared" si="86"/>
        <v>5168</v>
      </c>
    </row>
    <row r="357" spans="1:12" ht="13">
      <c r="A357" s="239" t="s">
        <v>317</v>
      </c>
      <c r="B357" s="18" t="str">
        <f t="shared" si="86"/>
        <v>-</v>
      </c>
      <c r="C357" s="18" t="str">
        <f t="shared" si="86"/>
        <v>-</v>
      </c>
      <c r="D357" s="18" t="str">
        <f t="shared" si="86"/>
        <v>-</v>
      </c>
      <c r="E357" s="18" t="str">
        <f t="shared" si="86"/>
        <v>-</v>
      </c>
      <c r="F357" s="18">
        <f t="shared" si="86"/>
        <v>251</v>
      </c>
      <c r="G357" s="18">
        <f t="shared" si="86"/>
        <v>4733</v>
      </c>
      <c r="H357" s="18">
        <f t="shared" si="86"/>
        <v>2249</v>
      </c>
      <c r="I357" s="18">
        <f t="shared" si="86"/>
        <v>975</v>
      </c>
      <c r="J357" s="18">
        <f t="shared" si="86"/>
        <v>429</v>
      </c>
      <c r="K357" s="18" t="str">
        <f t="shared" si="86"/>
        <v>-</v>
      </c>
      <c r="L357" s="24">
        <f t="shared" si="86"/>
        <v>8637</v>
      </c>
    </row>
    <row r="358" spans="1:12">
      <c r="B358" s="18"/>
      <c r="C358" s="18"/>
      <c r="D358" s="18"/>
      <c r="E358" s="18"/>
      <c r="F358" s="18"/>
      <c r="G358" s="18"/>
      <c r="H358" s="18"/>
      <c r="I358" s="18"/>
      <c r="J358" s="18"/>
      <c r="K358" s="18"/>
    </row>
    <row r="359" spans="1:12">
      <c r="A359" s="247" t="str">
        <f>A148</f>
        <v>San Francisco</v>
      </c>
      <c r="B359" s="18"/>
      <c r="C359" s="18"/>
      <c r="D359" s="18"/>
      <c r="E359" s="18"/>
      <c r="F359" s="18"/>
      <c r="G359" s="18"/>
      <c r="H359" s="18"/>
      <c r="I359" s="18"/>
      <c r="J359" s="18"/>
      <c r="K359" s="18"/>
    </row>
    <row r="360" spans="1:12">
      <c r="A360" s="99" t="s">
        <v>78</v>
      </c>
      <c r="B360" s="18">
        <f t="shared" ref="B360:L360" si="87">AVERAGE(B159:B163)</f>
        <v>4825</v>
      </c>
      <c r="C360" s="18">
        <f t="shared" si="87"/>
        <v>9832.4</v>
      </c>
      <c r="D360" s="18">
        <f t="shared" si="87"/>
        <v>12258</v>
      </c>
      <c r="E360" s="18">
        <f t="shared" si="87"/>
        <v>8985.6</v>
      </c>
      <c r="F360" s="18">
        <f t="shared" si="87"/>
        <v>12572.2</v>
      </c>
      <c r="G360" s="18">
        <f t="shared" si="87"/>
        <v>18560.400000000001</v>
      </c>
      <c r="H360" s="18">
        <f t="shared" si="87"/>
        <v>15985.2</v>
      </c>
      <c r="I360" s="18">
        <f t="shared" si="87"/>
        <v>9606.2000000000007</v>
      </c>
      <c r="J360" s="18">
        <f t="shared" si="87"/>
        <v>4755.3999999999996</v>
      </c>
      <c r="K360" s="18">
        <f t="shared" si="87"/>
        <v>1198.4000000000001</v>
      </c>
      <c r="L360" s="24">
        <f t="shared" si="87"/>
        <v>98578.8</v>
      </c>
    </row>
    <row r="361" spans="1:12">
      <c r="A361" s="99" t="s">
        <v>10</v>
      </c>
      <c r="B361" s="18">
        <f t="shared" ref="B361:L361" si="88">AVERAGE(B164:B168)</f>
        <v>665.5</v>
      </c>
      <c r="C361" s="18">
        <f t="shared" si="88"/>
        <v>5891.2</v>
      </c>
      <c r="D361" s="18">
        <f t="shared" si="88"/>
        <v>6812</v>
      </c>
      <c r="E361" s="18">
        <f t="shared" si="88"/>
        <v>8019.6</v>
      </c>
      <c r="F361" s="18">
        <f t="shared" si="88"/>
        <v>12807.4</v>
      </c>
      <c r="G361" s="18">
        <f t="shared" si="88"/>
        <v>29791.4</v>
      </c>
      <c r="H361" s="18">
        <f t="shared" si="88"/>
        <v>17621.8</v>
      </c>
      <c r="I361" s="18">
        <f t="shared" si="88"/>
        <v>8726.4</v>
      </c>
      <c r="J361" s="18">
        <f t="shared" si="88"/>
        <v>4519.6000000000004</v>
      </c>
      <c r="K361" s="18">
        <f t="shared" si="88"/>
        <v>147.5</v>
      </c>
      <c r="L361" s="24">
        <f t="shared" si="88"/>
        <v>94780.800000000003</v>
      </c>
    </row>
    <row r="362" spans="1:12">
      <c r="A362" s="99" t="s">
        <v>144</v>
      </c>
      <c r="B362" s="18" t="s">
        <v>23</v>
      </c>
      <c r="C362" s="18">
        <f t="shared" ref="C362:L362" si="89">AVERAGE(C169:C173)</f>
        <v>6364</v>
      </c>
      <c r="D362" s="18">
        <f t="shared" si="89"/>
        <v>9125.4</v>
      </c>
      <c r="E362" s="18">
        <f t="shared" si="89"/>
        <v>9112.2000000000007</v>
      </c>
      <c r="F362" s="18">
        <f t="shared" si="89"/>
        <v>13999</v>
      </c>
      <c r="G362" s="18">
        <f t="shared" si="89"/>
        <v>27446.400000000001</v>
      </c>
      <c r="H362" s="18">
        <f t="shared" si="89"/>
        <v>17265.599999999999</v>
      </c>
      <c r="I362" s="18">
        <f t="shared" si="89"/>
        <v>7577.2</v>
      </c>
      <c r="J362" s="18">
        <f t="shared" si="89"/>
        <v>3985</v>
      </c>
      <c r="K362" s="18">
        <f t="shared" si="89"/>
        <v>915.5</v>
      </c>
      <c r="L362" s="24">
        <f t="shared" si="89"/>
        <v>93968.2</v>
      </c>
    </row>
    <row r="363" spans="1:12">
      <c r="A363" s="99" t="s">
        <v>166</v>
      </c>
      <c r="B363" s="18" t="str">
        <f>B174</f>
        <v>-</v>
      </c>
      <c r="C363" s="18" t="str">
        <f>C174</f>
        <v>-</v>
      </c>
      <c r="D363" s="18">
        <f>AVERAGE(D174:D178)</f>
        <v>6251.8</v>
      </c>
      <c r="E363" s="18">
        <f>AVERAGE(E174:E178)</f>
        <v>10799.6</v>
      </c>
      <c r="F363" s="18">
        <f>AVERAGE(F174:F178)</f>
        <v>11324.2</v>
      </c>
      <c r="G363" s="18">
        <f t="shared" ref="G363:L363" si="90">AVERAGE(G174:G178)</f>
        <v>24675.4</v>
      </c>
      <c r="H363" s="18">
        <f t="shared" si="90"/>
        <v>16469.400000000001</v>
      </c>
      <c r="I363" s="18">
        <f t="shared" si="90"/>
        <v>8814.6</v>
      </c>
      <c r="J363" s="18">
        <f t="shared" si="90"/>
        <v>4073</v>
      </c>
      <c r="K363" s="18">
        <f t="shared" si="90"/>
        <v>1140</v>
      </c>
      <c r="L363" s="24">
        <f t="shared" si="90"/>
        <v>83548</v>
      </c>
    </row>
    <row r="364" spans="1:12">
      <c r="A364" s="99" t="s">
        <v>315</v>
      </c>
      <c r="B364" s="18" t="str">
        <f>B179</f>
        <v>-</v>
      </c>
      <c r="C364" s="18" t="str">
        <f>C179</f>
        <v>-</v>
      </c>
      <c r="D364" s="18">
        <f>AVERAGE(D179:D183)</f>
        <v>3751.3333333333335</v>
      </c>
      <c r="E364" s="18">
        <f t="shared" ref="E364:L364" si="91">AVERAGE(E179:E183)</f>
        <v>6670.333333333333</v>
      </c>
      <c r="F364" s="18">
        <f t="shared" si="91"/>
        <v>8009</v>
      </c>
      <c r="G364" s="18">
        <f t="shared" si="91"/>
        <v>13120</v>
      </c>
      <c r="H364" s="18">
        <f t="shared" si="91"/>
        <v>5398.333333333333</v>
      </c>
      <c r="I364" s="18">
        <f t="shared" si="91"/>
        <v>2518.3333333333335</v>
      </c>
      <c r="J364" s="18">
        <f t="shared" si="91"/>
        <v>1796.5</v>
      </c>
      <c r="K364" s="18">
        <f t="shared" si="91"/>
        <v>921</v>
      </c>
      <c r="L364" s="24">
        <f t="shared" si="91"/>
        <v>41279</v>
      </c>
    </row>
    <row r="365" spans="1:12">
      <c r="A365" s="99">
        <v>2011</v>
      </c>
      <c r="B365" s="18" t="str">
        <f t="shared" ref="B365:L365" si="92">B184</f>
        <v>-</v>
      </c>
      <c r="C365" s="18" t="str">
        <f t="shared" si="92"/>
        <v>-</v>
      </c>
      <c r="D365" s="18">
        <f t="shared" si="92"/>
        <v>2046</v>
      </c>
      <c r="E365" s="18">
        <f t="shared" si="92"/>
        <v>2272</v>
      </c>
      <c r="F365" s="18">
        <f t="shared" si="92"/>
        <v>1630</v>
      </c>
      <c r="G365" s="18">
        <f t="shared" si="92"/>
        <v>8505</v>
      </c>
      <c r="H365" s="18">
        <f t="shared" si="92"/>
        <v>9094</v>
      </c>
      <c r="I365" s="18">
        <f t="shared" si="92"/>
        <v>7591</v>
      </c>
      <c r="J365" s="18">
        <f t="shared" si="92"/>
        <v>3249</v>
      </c>
      <c r="K365" s="18" t="str">
        <f t="shared" si="92"/>
        <v>-</v>
      </c>
      <c r="L365" s="24">
        <f t="shared" si="92"/>
        <v>34387</v>
      </c>
    </row>
    <row r="366" spans="1:12">
      <c r="A366" s="99">
        <v>2012</v>
      </c>
      <c r="B366" s="18" t="str">
        <f t="shared" ref="B366:L366" si="93">B185</f>
        <v>-</v>
      </c>
      <c r="C366" s="18" t="str">
        <f t="shared" si="93"/>
        <v>-</v>
      </c>
      <c r="D366" s="18">
        <f t="shared" si="93"/>
        <v>4113</v>
      </c>
      <c r="E366" s="18">
        <f t="shared" si="93"/>
        <v>6663</v>
      </c>
      <c r="F366" s="18">
        <f t="shared" si="93"/>
        <v>11396</v>
      </c>
      <c r="G366" s="18">
        <f t="shared" si="93"/>
        <v>15667</v>
      </c>
      <c r="H366" s="18">
        <f t="shared" si="93"/>
        <v>10085</v>
      </c>
      <c r="I366" s="18">
        <f t="shared" si="93"/>
        <v>6421</v>
      </c>
      <c r="J366" s="18">
        <f t="shared" si="93"/>
        <v>2779</v>
      </c>
      <c r="K366" s="18">
        <f t="shared" si="93"/>
        <v>418</v>
      </c>
      <c r="L366" s="24">
        <f t="shared" si="93"/>
        <v>57542</v>
      </c>
    </row>
    <row r="367" spans="1:12">
      <c r="A367" s="99">
        <v>2013</v>
      </c>
      <c r="B367" s="18" t="str">
        <f t="shared" ref="B367:L367" si="94">B186</f>
        <v>-</v>
      </c>
      <c r="C367" s="18" t="str">
        <f t="shared" si="94"/>
        <v>-</v>
      </c>
      <c r="D367" s="18">
        <f t="shared" si="94"/>
        <v>6406</v>
      </c>
      <c r="E367" s="18">
        <f t="shared" si="94"/>
        <v>7823</v>
      </c>
      <c r="F367" s="18">
        <f t="shared" si="94"/>
        <v>11183</v>
      </c>
      <c r="G367" s="18">
        <f t="shared" si="94"/>
        <v>22814</v>
      </c>
      <c r="H367" s="18">
        <f t="shared" si="94"/>
        <v>14354</v>
      </c>
      <c r="I367" s="18">
        <f t="shared" si="94"/>
        <v>4572</v>
      </c>
      <c r="J367" s="18">
        <f t="shared" si="94"/>
        <v>2003</v>
      </c>
      <c r="K367" s="18">
        <f t="shared" si="94"/>
        <v>379</v>
      </c>
      <c r="L367" s="24">
        <f t="shared" si="94"/>
        <v>69534</v>
      </c>
    </row>
    <row r="368" spans="1:12">
      <c r="A368" s="99">
        <v>2014</v>
      </c>
      <c r="B368" s="18" t="str">
        <f t="shared" ref="B368:L368" si="95">B187</f>
        <v>-</v>
      </c>
      <c r="C368" s="18" t="str">
        <f t="shared" si="95"/>
        <v>-</v>
      </c>
      <c r="D368" s="18">
        <f t="shared" si="95"/>
        <v>3433</v>
      </c>
      <c r="E368" s="18">
        <f t="shared" si="95"/>
        <v>3406</v>
      </c>
      <c r="F368" s="18">
        <f t="shared" si="95"/>
        <v>2163</v>
      </c>
      <c r="G368" s="18">
        <f t="shared" si="95"/>
        <v>11779</v>
      </c>
      <c r="H368" s="18">
        <f t="shared" si="95"/>
        <v>18604</v>
      </c>
      <c r="I368" s="18">
        <f t="shared" si="95"/>
        <v>9589</v>
      </c>
      <c r="J368" s="18">
        <f t="shared" si="95"/>
        <v>5046</v>
      </c>
      <c r="K368" s="18">
        <f t="shared" si="95"/>
        <v>675</v>
      </c>
      <c r="L368" s="24">
        <f t="shared" si="95"/>
        <v>54695</v>
      </c>
    </row>
    <row r="369" spans="1:12">
      <c r="A369" s="99">
        <v>2015</v>
      </c>
      <c r="B369" s="18" t="str">
        <f t="shared" ref="B369:L369" si="96">B188</f>
        <v>-</v>
      </c>
      <c r="C369" s="18" t="str">
        <f t="shared" si="96"/>
        <v>-</v>
      </c>
      <c r="D369" s="18">
        <f t="shared" si="96"/>
        <v>2380</v>
      </c>
      <c r="E369" s="18">
        <f t="shared" si="96"/>
        <v>2708</v>
      </c>
      <c r="F369" s="18">
        <f t="shared" si="96"/>
        <v>5176</v>
      </c>
      <c r="G369" s="18">
        <f t="shared" si="96"/>
        <v>9851</v>
      </c>
      <c r="H369" s="18">
        <f t="shared" si="96"/>
        <v>12523</v>
      </c>
      <c r="I369" s="18">
        <f t="shared" si="96"/>
        <v>9838</v>
      </c>
      <c r="J369" s="18">
        <f t="shared" si="96"/>
        <v>3389</v>
      </c>
      <c r="K369" s="18" t="str">
        <f t="shared" si="96"/>
        <v>-</v>
      </c>
      <c r="L369" s="24">
        <f t="shared" si="96"/>
        <v>45865</v>
      </c>
    </row>
    <row r="370" spans="1:12">
      <c r="A370" s="99">
        <v>2016</v>
      </c>
      <c r="B370" s="18" t="str">
        <f t="shared" ref="B370:L370" si="97">B189</f>
        <v>-</v>
      </c>
      <c r="C370" s="18" t="str">
        <f t="shared" si="97"/>
        <v>-</v>
      </c>
      <c r="D370" s="18">
        <f t="shared" si="97"/>
        <v>2797</v>
      </c>
      <c r="E370" s="18">
        <f t="shared" si="97"/>
        <v>4723</v>
      </c>
      <c r="F370" s="18">
        <f t="shared" si="97"/>
        <v>2797</v>
      </c>
      <c r="G370" s="18">
        <f t="shared" si="97"/>
        <v>11554</v>
      </c>
      <c r="H370" s="18">
        <f t="shared" si="97"/>
        <v>11437</v>
      </c>
      <c r="I370" s="18">
        <f t="shared" si="97"/>
        <v>8205</v>
      </c>
      <c r="J370" s="18">
        <f t="shared" si="97"/>
        <v>2298</v>
      </c>
      <c r="K370" s="18" t="str">
        <f t="shared" si="97"/>
        <v>-</v>
      </c>
      <c r="L370" s="24">
        <f t="shared" si="97"/>
        <v>43811</v>
      </c>
    </row>
    <row r="371" spans="1:12">
      <c r="A371" s="99">
        <v>2017</v>
      </c>
      <c r="B371" s="18" t="str">
        <f t="shared" ref="B371:L371" si="98">B190</f>
        <v>-</v>
      </c>
      <c r="C371" s="18" t="str">
        <f t="shared" si="98"/>
        <v>-</v>
      </c>
      <c r="D371" s="18">
        <f t="shared" si="98"/>
        <v>1470</v>
      </c>
      <c r="E371" s="18">
        <f t="shared" si="98"/>
        <v>1665</v>
      </c>
      <c r="F371" s="18">
        <f t="shared" si="98"/>
        <v>5429</v>
      </c>
      <c r="G371" s="18">
        <f t="shared" si="98"/>
        <v>19131</v>
      </c>
      <c r="H371" s="18">
        <f t="shared" si="98"/>
        <v>17489</v>
      </c>
      <c r="I371" s="18">
        <f t="shared" si="98"/>
        <v>7210</v>
      </c>
      <c r="J371" s="18">
        <f t="shared" si="98"/>
        <v>1834</v>
      </c>
      <c r="K371" s="18" t="str">
        <f t="shared" si="98"/>
        <v>-</v>
      </c>
      <c r="L371" s="24">
        <f t="shared" si="98"/>
        <v>54228</v>
      </c>
    </row>
    <row r="372" spans="1:12">
      <c r="A372" s="99">
        <v>2018</v>
      </c>
      <c r="B372" s="18" t="str">
        <f t="shared" ref="B372:L372" si="99">B191</f>
        <v>-</v>
      </c>
      <c r="C372" s="18" t="str">
        <f t="shared" si="99"/>
        <v>-</v>
      </c>
      <c r="D372" s="18" t="str">
        <f t="shared" si="99"/>
        <v>-</v>
      </c>
      <c r="E372" s="18" t="str">
        <f t="shared" si="99"/>
        <v>-</v>
      </c>
      <c r="F372" s="18">
        <f t="shared" si="99"/>
        <v>8043</v>
      </c>
      <c r="G372" s="18">
        <f t="shared" si="99"/>
        <v>28234</v>
      </c>
      <c r="H372" s="18">
        <f t="shared" si="99"/>
        <v>15575</v>
      </c>
      <c r="I372" s="18">
        <f t="shared" si="99"/>
        <v>8561</v>
      </c>
      <c r="J372" s="18">
        <f t="shared" si="99"/>
        <v>5033</v>
      </c>
      <c r="K372" s="18" t="str">
        <f t="shared" si="99"/>
        <v>-</v>
      </c>
      <c r="L372" s="24">
        <f t="shared" si="99"/>
        <v>65446</v>
      </c>
    </row>
    <row r="373" spans="1:12">
      <c r="A373" s="239">
        <v>2019</v>
      </c>
      <c r="B373" s="18" t="str">
        <f t="shared" ref="B373:L373" si="100">B192</f>
        <v>-</v>
      </c>
      <c r="C373" s="18" t="str">
        <f t="shared" si="100"/>
        <v>-</v>
      </c>
      <c r="D373" s="18">
        <f t="shared" si="100"/>
        <v>3207</v>
      </c>
      <c r="E373" s="18">
        <f t="shared" si="100"/>
        <v>1612</v>
      </c>
      <c r="F373" s="18">
        <f t="shared" si="100"/>
        <v>12056</v>
      </c>
      <c r="G373" s="18">
        <f t="shared" si="100"/>
        <v>15392</v>
      </c>
      <c r="H373" s="18">
        <f t="shared" si="100"/>
        <v>17321</v>
      </c>
      <c r="I373" s="18">
        <f t="shared" si="100"/>
        <v>6697</v>
      </c>
      <c r="J373" s="18">
        <f t="shared" si="100"/>
        <v>1769</v>
      </c>
      <c r="K373" s="18" t="str">
        <f t="shared" si="100"/>
        <v>-</v>
      </c>
      <c r="L373" s="24">
        <f t="shared" si="100"/>
        <v>58054</v>
      </c>
    </row>
    <row r="374" spans="1:12" ht="13">
      <c r="A374" s="239" t="s">
        <v>308</v>
      </c>
      <c r="B374" s="18" t="str">
        <f t="shared" ref="B374:L375" si="101">B193</f>
        <v>-</v>
      </c>
      <c r="C374" s="18" t="str">
        <f t="shared" si="101"/>
        <v>-</v>
      </c>
      <c r="D374" s="18" t="str">
        <f t="shared" si="101"/>
        <v>-</v>
      </c>
      <c r="E374" s="18" t="str">
        <f t="shared" si="101"/>
        <v>--</v>
      </c>
      <c r="F374" s="18" t="str">
        <f t="shared" si="101"/>
        <v>--</v>
      </c>
      <c r="G374" s="18">
        <f t="shared" si="101"/>
        <v>19892</v>
      </c>
      <c r="H374" s="18">
        <f t="shared" si="101"/>
        <v>14050</v>
      </c>
      <c r="I374" s="18">
        <f t="shared" si="101"/>
        <v>7132</v>
      </c>
      <c r="J374" s="18">
        <f t="shared" si="101"/>
        <v>4252</v>
      </c>
      <c r="K374" s="18">
        <f t="shared" si="101"/>
        <v>147</v>
      </c>
      <c r="L374" s="24">
        <f t="shared" si="101"/>
        <v>45473</v>
      </c>
    </row>
    <row r="375" spans="1:12" ht="13">
      <c r="A375" s="239" t="s">
        <v>317</v>
      </c>
      <c r="B375" s="18" t="str">
        <f t="shared" si="101"/>
        <v>-</v>
      </c>
      <c r="C375" s="18" t="str">
        <f t="shared" si="101"/>
        <v>-</v>
      </c>
      <c r="D375" s="18" t="str">
        <f t="shared" si="101"/>
        <v>-</v>
      </c>
      <c r="E375" s="18" t="str">
        <f t="shared" si="101"/>
        <v>-</v>
      </c>
      <c r="F375" s="18">
        <f t="shared" si="101"/>
        <v>3016</v>
      </c>
      <c r="G375" s="18">
        <f t="shared" si="101"/>
        <v>19880</v>
      </c>
      <c r="H375" s="18">
        <f t="shared" si="101"/>
        <v>13545</v>
      </c>
      <c r="I375" s="18">
        <f t="shared" si="101"/>
        <v>6949</v>
      </c>
      <c r="J375" s="18">
        <f t="shared" si="101"/>
        <v>2001</v>
      </c>
      <c r="K375" s="18" t="str">
        <f t="shared" si="101"/>
        <v>-</v>
      </c>
      <c r="L375" s="24">
        <f t="shared" si="101"/>
        <v>45391</v>
      </c>
    </row>
    <row r="376" spans="1:12">
      <c r="B376" s="18"/>
      <c r="C376" s="18"/>
      <c r="D376" s="18"/>
      <c r="E376" s="18"/>
      <c r="F376" s="18"/>
      <c r="G376" s="18"/>
      <c r="H376" s="18"/>
      <c r="I376" s="18"/>
      <c r="J376" s="18"/>
      <c r="K376" s="18"/>
    </row>
    <row r="377" spans="1:12" ht="11.25" customHeight="1">
      <c r="A377" s="290" t="s">
        <v>164</v>
      </c>
      <c r="B377" s="290"/>
      <c r="C377" s="290"/>
      <c r="D377" s="290"/>
      <c r="E377" s="290"/>
      <c r="F377" s="290"/>
      <c r="G377" s="290"/>
      <c r="H377" s="290"/>
      <c r="I377" s="290"/>
      <c r="J377" s="290"/>
      <c r="K377" s="290"/>
      <c r="L377" s="290"/>
    </row>
    <row r="378" spans="1:12">
      <c r="A378" s="98" t="s">
        <v>27</v>
      </c>
      <c r="B378" s="196" t="s">
        <v>36</v>
      </c>
      <c r="C378" s="196" t="s">
        <v>37</v>
      </c>
      <c r="D378" s="196" t="s">
        <v>28</v>
      </c>
      <c r="E378" s="196" t="s">
        <v>29</v>
      </c>
      <c r="F378" s="196" t="s">
        <v>30</v>
      </c>
      <c r="G378" s="196" t="s">
        <v>31</v>
      </c>
      <c r="H378" s="196" t="s">
        <v>32</v>
      </c>
      <c r="I378" s="196" t="s">
        <v>33</v>
      </c>
      <c r="J378" s="196" t="s">
        <v>34</v>
      </c>
      <c r="K378" s="196" t="s">
        <v>38</v>
      </c>
      <c r="L378" s="196" t="s">
        <v>22</v>
      </c>
    </row>
    <row r="379" spans="1:12">
      <c r="A379" s="247" t="str">
        <f>A196</f>
        <v>Monterey</v>
      </c>
    </row>
    <row r="380" spans="1:12">
      <c r="A380" s="99" t="s">
        <v>78</v>
      </c>
      <c r="B380" s="18">
        <f t="shared" ref="B380:L380" si="102">AVERAGE(B207:B211)</f>
        <v>3447.4</v>
      </c>
      <c r="C380" s="18">
        <f t="shared" si="102"/>
        <v>7260.8</v>
      </c>
      <c r="D380" s="18">
        <f t="shared" si="102"/>
        <v>11695.4</v>
      </c>
      <c r="E380" s="18">
        <f t="shared" si="102"/>
        <v>4140.6000000000004</v>
      </c>
      <c r="F380" s="18">
        <f t="shared" si="102"/>
        <v>6637.4</v>
      </c>
      <c r="G380" s="18">
        <f t="shared" si="102"/>
        <v>10554.6</v>
      </c>
      <c r="H380" s="18">
        <f t="shared" si="102"/>
        <v>4181.8</v>
      </c>
      <c r="I380" s="18">
        <f t="shared" si="102"/>
        <v>637.20000000000005</v>
      </c>
      <c r="J380" s="18">
        <f t="shared" si="102"/>
        <v>269.2</v>
      </c>
      <c r="K380" s="18">
        <f t="shared" si="102"/>
        <v>364.4</v>
      </c>
      <c r="L380" s="24">
        <f t="shared" si="102"/>
        <v>49188.800000000003</v>
      </c>
    </row>
    <row r="381" spans="1:12">
      <c r="A381" s="99" t="s">
        <v>10</v>
      </c>
      <c r="B381" s="18">
        <f t="shared" ref="B381:L381" si="103">AVERAGE(B212:B216)</f>
        <v>792</v>
      </c>
      <c r="C381" s="18">
        <f t="shared" si="103"/>
        <v>8912</v>
      </c>
      <c r="D381" s="18">
        <f t="shared" si="103"/>
        <v>15522.2</v>
      </c>
      <c r="E381" s="18">
        <f t="shared" si="103"/>
        <v>12159.4</v>
      </c>
      <c r="F381" s="18">
        <f t="shared" si="103"/>
        <v>11062</v>
      </c>
      <c r="G381" s="18">
        <f t="shared" si="103"/>
        <v>16341.2</v>
      </c>
      <c r="H381" s="18">
        <f t="shared" si="103"/>
        <v>4519.3999999999996</v>
      </c>
      <c r="I381" s="18">
        <f t="shared" si="103"/>
        <v>1051.4000000000001</v>
      </c>
      <c r="J381" s="18">
        <f t="shared" si="103"/>
        <v>1498</v>
      </c>
      <c r="K381" s="18">
        <f t="shared" si="103"/>
        <v>600</v>
      </c>
      <c r="L381" s="24">
        <f t="shared" si="103"/>
        <v>71519.600000000006</v>
      </c>
    </row>
    <row r="382" spans="1:12">
      <c r="A382" s="99" t="s">
        <v>144</v>
      </c>
      <c r="B382" s="18" t="s">
        <v>23</v>
      </c>
      <c r="C382" s="18">
        <f t="shared" ref="C382:L382" si="104">AVERAGE(C217:C221)</f>
        <v>11189</v>
      </c>
      <c r="D382" s="18">
        <f t="shared" si="104"/>
        <v>15209.2</v>
      </c>
      <c r="E382" s="18">
        <f t="shared" si="104"/>
        <v>10402.799999999999</v>
      </c>
      <c r="F382" s="18">
        <f t="shared" si="104"/>
        <v>11864.4</v>
      </c>
      <c r="G382" s="18">
        <f t="shared" si="104"/>
        <v>12300.6</v>
      </c>
      <c r="H382" s="18">
        <f t="shared" si="104"/>
        <v>3672</v>
      </c>
      <c r="I382" s="18">
        <f t="shared" si="104"/>
        <v>761.5</v>
      </c>
      <c r="J382" s="18" t="s">
        <v>23</v>
      </c>
      <c r="K382" s="18" t="s">
        <v>23</v>
      </c>
      <c r="L382" s="24">
        <f t="shared" si="104"/>
        <v>63009.4</v>
      </c>
    </row>
    <row r="383" spans="1:12">
      <c r="A383" s="99" t="s">
        <v>166</v>
      </c>
      <c r="B383" s="18" t="str">
        <f>B222</f>
        <v>-</v>
      </c>
      <c r="C383" s="18">
        <f t="shared" ref="C383:I383" si="105">AVERAGE(C222:C226)</f>
        <v>2946</v>
      </c>
      <c r="D383" s="18">
        <f t="shared" si="105"/>
        <v>20318.2</v>
      </c>
      <c r="E383" s="18">
        <f t="shared" si="105"/>
        <v>9401.7999999999993</v>
      </c>
      <c r="F383" s="18">
        <f t="shared" si="105"/>
        <v>6396.4</v>
      </c>
      <c r="G383" s="18">
        <f t="shared" si="105"/>
        <v>7845.6</v>
      </c>
      <c r="H383" s="18">
        <f t="shared" si="105"/>
        <v>1366</v>
      </c>
      <c r="I383" s="18">
        <f t="shared" si="105"/>
        <v>321.5</v>
      </c>
      <c r="J383" s="261" t="s">
        <v>168</v>
      </c>
      <c r="K383" s="18" t="s">
        <v>23</v>
      </c>
      <c r="L383" s="24">
        <f>AVERAGE(L222:L226)</f>
        <v>47352.800000000003</v>
      </c>
    </row>
    <row r="384" spans="1:12">
      <c r="A384" s="99" t="s">
        <v>315</v>
      </c>
      <c r="B384" s="18" t="str">
        <f>B227</f>
        <v>-</v>
      </c>
      <c r="C384" s="18" t="str">
        <f>C227</f>
        <v>-</v>
      </c>
      <c r="D384" s="18">
        <f>AVERAGE(D227:D231)</f>
        <v>12333.333333333334</v>
      </c>
      <c r="E384" s="18">
        <f t="shared" ref="E384:L384" si="106">AVERAGE(E227:E231)</f>
        <v>3782.3333333333335</v>
      </c>
      <c r="F384" s="18">
        <f t="shared" si="106"/>
        <v>3817.3333333333335</v>
      </c>
      <c r="G384" s="18">
        <f t="shared" si="106"/>
        <v>2939</v>
      </c>
      <c r="H384" s="18">
        <f t="shared" si="106"/>
        <v>738.33333333333337</v>
      </c>
      <c r="I384" s="18">
        <f t="shared" si="106"/>
        <v>198</v>
      </c>
      <c r="J384" s="18">
        <f t="shared" si="106"/>
        <v>26</v>
      </c>
      <c r="K384" s="18" t="str">
        <f>K227</f>
        <v>-</v>
      </c>
      <c r="L384" s="24">
        <f t="shared" si="106"/>
        <v>23817</v>
      </c>
    </row>
    <row r="385" spans="1:12">
      <c r="A385" s="99">
        <v>2011</v>
      </c>
      <c r="B385" s="18" t="str">
        <f t="shared" ref="B385:L385" si="107">B232</f>
        <v>-</v>
      </c>
      <c r="C385" s="18" t="str">
        <f t="shared" si="107"/>
        <v>-</v>
      </c>
      <c r="D385" s="18">
        <f t="shared" si="107"/>
        <v>11987</v>
      </c>
      <c r="E385" s="18">
        <f t="shared" si="107"/>
        <v>2149</v>
      </c>
      <c r="F385" s="18">
        <f t="shared" si="107"/>
        <v>3013</v>
      </c>
      <c r="G385" s="18">
        <f t="shared" si="107"/>
        <v>5561</v>
      </c>
      <c r="H385" s="18">
        <f t="shared" si="107"/>
        <v>3318</v>
      </c>
      <c r="I385" s="18">
        <f t="shared" si="107"/>
        <v>1923</v>
      </c>
      <c r="J385" s="18" t="str">
        <f t="shared" si="107"/>
        <v>-</v>
      </c>
      <c r="K385" s="18" t="str">
        <f t="shared" si="107"/>
        <v>-</v>
      </c>
      <c r="L385" s="24">
        <f t="shared" si="107"/>
        <v>27951</v>
      </c>
    </row>
    <row r="386" spans="1:12">
      <c r="A386" s="99">
        <v>2012</v>
      </c>
      <c r="B386" s="18" t="str">
        <f t="shared" ref="B386:L386" si="108">B233</f>
        <v>-</v>
      </c>
      <c r="C386" s="18" t="str">
        <f t="shared" si="108"/>
        <v>-</v>
      </c>
      <c r="D386" s="18">
        <f t="shared" si="108"/>
        <v>16123</v>
      </c>
      <c r="E386" s="18">
        <f t="shared" si="108"/>
        <v>9326</v>
      </c>
      <c r="F386" s="18">
        <f t="shared" si="108"/>
        <v>7603</v>
      </c>
      <c r="G386" s="18">
        <f t="shared" si="108"/>
        <v>8674</v>
      </c>
      <c r="H386" s="18">
        <f t="shared" si="108"/>
        <v>1645</v>
      </c>
      <c r="I386" s="18">
        <f t="shared" si="108"/>
        <v>424</v>
      </c>
      <c r="J386" s="18">
        <f t="shared" si="108"/>
        <v>475</v>
      </c>
      <c r="K386" s="18" t="str">
        <f t="shared" si="108"/>
        <v>-</v>
      </c>
      <c r="L386" s="24">
        <f t="shared" si="108"/>
        <v>44270</v>
      </c>
    </row>
    <row r="387" spans="1:12">
      <c r="A387" s="99">
        <v>2013</v>
      </c>
      <c r="B387" s="18" t="str">
        <f t="shared" ref="B387:L387" si="109">B234</f>
        <v>-</v>
      </c>
      <c r="C387" s="18" t="str">
        <f t="shared" si="109"/>
        <v>-</v>
      </c>
      <c r="D387" s="18">
        <f t="shared" si="109"/>
        <v>12262</v>
      </c>
      <c r="E387" s="18">
        <f t="shared" si="109"/>
        <v>5698</v>
      </c>
      <c r="F387" s="18">
        <f t="shared" si="109"/>
        <v>3613</v>
      </c>
      <c r="G387" s="18">
        <f t="shared" si="109"/>
        <v>6210</v>
      </c>
      <c r="H387" s="18">
        <f t="shared" si="109"/>
        <v>2582</v>
      </c>
      <c r="I387" s="18">
        <f t="shared" si="109"/>
        <v>282</v>
      </c>
      <c r="J387" s="18">
        <f t="shared" si="109"/>
        <v>22</v>
      </c>
      <c r="K387" s="18" t="str">
        <f t="shared" si="109"/>
        <v>-</v>
      </c>
      <c r="L387" s="24">
        <f t="shared" si="109"/>
        <v>30669</v>
      </c>
    </row>
    <row r="388" spans="1:12">
      <c r="A388" s="99">
        <v>2014</v>
      </c>
      <c r="B388" s="18" t="str">
        <f t="shared" ref="B388:L388" si="110">B235</f>
        <v>-</v>
      </c>
      <c r="C388" s="18" t="str">
        <f t="shared" si="110"/>
        <v>-</v>
      </c>
      <c r="D388" s="18">
        <f t="shared" si="110"/>
        <v>15744</v>
      </c>
      <c r="E388" s="18">
        <f t="shared" si="110"/>
        <v>3745</v>
      </c>
      <c r="F388" s="18">
        <f t="shared" si="110"/>
        <v>2974</v>
      </c>
      <c r="G388" s="18">
        <f t="shared" si="110"/>
        <v>2678</v>
      </c>
      <c r="H388" s="18">
        <f t="shared" si="110"/>
        <v>1841</v>
      </c>
      <c r="I388" s="18">
        <f t="shared" si="110"/>
        <v>481</v>
      </c>
      <c r="J388" s="18">
        <f t="shared" si="110"/>
        <v>45</v>
      </c>
      <c r="K388" s="18" t="str">
        <f t="shared" si="110"/>
        <v>-</v>
      </c>
      <c r="L388" s="24">
        <f t="shared" si="110"/>
        <v>27508</v>
      </c>
    </row>
    <row r="389" spans="1:12">
      <c r="A389" s="99">
        <v>2015</v>
      </c>
      <c r="B389" s="18" t="str">
        <f t="shared" ref="B389:L389" si="111">B236</f>
        <v>-</v>
      </c>
      <c r="C389" s="18" t="str">
        <f t="shared" si="111"/>
        <v>-</v>
      </c>
      <c r="D389" s="18">
        <f t="shared" si="111"/>
        <v>7654</v>
      </c>
      <c r="E389" s="18">
        <f t="shared" si="111"/>
        <v>3372</v>
      </c>
      <c r="F389" s="18">
        <f t="shared" si="111"/>
        <v>2419</v>
      </c>
      <c r="G389" s="18">
        <f t="shared" si="111"/>
        <v>1391</v>
      </c>
      <c r="H389" s="18">
        <f t="shared" si="111"/>
        <v>317</v>
      </c>
      <c r="I389" s="18">
        <f t="shared" si="111"/>
        <v>32</v>
      </c>
      <c r="J389" s="18" t="str">
        <f t="shared" si="111"/>
        <v>-</v>
      </c>
      <c r="K389" s="18" t="str">
        <f t="shared" si="111"/>
        <v>-</v>
      </c>
      <c r="L389" s="24">
        <f t="shared" si="111"/>
        <v>15185</v>
      </c>
    </row>
    <row r="390" spans="1:12">
      <c r="A390" s="99">
        <v>2016</v>
      </c>
      <c r="B390" s="18" t="str">
        <f t="shared" ref="B390:L390" si="112">B237</f>
        <v>-</v>
      </c>
      <c r="C390" s="18" t="str">
        <f t="shared" si="112"/>
        <v>-</v>
      </c>
      <c r="D390" s="18">
        <f t="shared" si="112"/>
        <v>4503</v>
      </c>
      <c r="E390" s="18">
        <f t="shared" si="112"/>
        <v>2624</v>
      </c>
      <c r="F390" s="18">
        <f t="shared" si="112"/>
        <v>484</v>
      </c>
      <c r="G390" s="18">
        <f t="shared" si="112"/>
        <v>150</v>
      </c>
      <c r="H390" s="18" t="str">
        <f t="shared" si="112"/>
        <v>-</v>
      </c>
      <c r="I390" s="18" t="str">
        <f t="shared" si="112"/>
        <v>-</v>
      </c>
      <c r="J390" s="18" t="str">
        <f t="shared" si="112"/>
        <v>-</v>
      </c>
      <c r="K390" s="18" t="str">
        <f t="shared" si="112"/>
        <v>-</v>
      </c>
      <c r="L390" s="24">
        <f t="shared" si="112"/>
        <v>7761</v>
      </c>
    </row>
    <row r="391" spans="1:12">
      <c r="A391" s="99">
        <v>2017</v>
      </c>
      <c r="B391" s="18" t="str">
        <f t="shared" ref="B391:L391" si="113">B238</f>
        <v>-</v>
      </c>
      <c r="C391" s="18" t="str">
        <f t="shared" si="113"/>
        <v>-</v>
      </c>
      <c r="D391" s="18">
        <f t="shared" si="113"/>
        <v>8232</v>
      </c>
      <c r="E391" s="18">
        <f t="shared" si="113"/>
        <v>2234</v>
      </c>
      <c r="F391" s="18">
        <f t="shared" si="113"/>
        <v>1145</v>
      </c>
      <c r="G391" s="18">
        <f t="shared" si="113"/>
        <v>3459</v>
      </c>
      <c r="H391" s="18" t="str">
        <f t="shared" si="113"/>
        <v>-</v>
      </c>
      <c r="I391" s="18" t="str">
        <f t="shared" si="113"/>
        <v>-</v>
      </c>
      <c r="J391" s="18" t="str">
        <f t="shared" si="113"/>
        <v>-</v>
      </c>
      <c r="K391" s="18" t="str">
        <f t="shared" si="113"/>
        <v>-</v>
      </c>
      <c r="L391" s="24">
        <f t="shared" si="113"/>
        <v>15070</v>
      </c>
    </row>
    <row r="392" spans="1:12">
      <c r="A392" s="99">
        <v>2018</v>
      </c>
      <c r="B392" s="18" t="str">
        <f t="shared" ref="B392:L392" si="114">B239</f>
        <v>-</v>
      </c>
      <c r="C392" s="18" t="str">
        <f t="shared" si="114"/>
        <v>-</v>
      </c>
      <c r="D392" s="18">
        <f t="shared" si="114"/>
        <v>8140</v>
      </c>
      <c r="E392" s="18">
        <f t="shared" si="114"/>
        <v>2021</v>
      </c>
      <c r="F392" s="18">
        <f t="shared" si="114"/>
        <v>3244</v>
      </c>
      <c r="G392" s="18">
        <f t="shared" si="114"/>
        <v>514</v>
      </c>
      <c r="H392" s="18" t="str">
        <f t="shared" si="114"/>
        <v>-</v>
      </c>
      <c r="I392" s="18" t="str">
        <f t="shared" si="114"/>
        <v>-</v>
      </c>
      <c r="J392" s="18" t="str">
        <f t="shared" si="114"/>
        <v>-</v>
      </c>
      <c r="K392" s="18" t="str">
        <f t="shared" si="114"/>
        <v>-</v>
      </c>
      <c r="L392" s="24">
        <f t="shared" si="114"/>
        <v>13919</v>
      </c>
    </row>
    <row r="393" spans="1:12">
      <c r="A393" s="239">
        <v>2019</v>
      </c>
      <c r="B393" s="18" t="str">
        <f t="shared" ref="B393:L393" si="115">B240</f>
        <v>-</v>
      </c>
      <c r="C393" s="18" t="str">
        <f t="shared" si="115"/>
        <v>-</v>
      </c>
      <c r="D393" s="18">
        <f t="shared" si="115"/>
        <v>13537</v>
      </c>
      <c r="E393" s="18">
        <f t="shared" si="115"/>
        <v>3801</v>
      </c>
      <c r="F393" s="18">
        <f t="shared" si="115"/>
        <v>4471</v>
      </c>
      <c r="G393" s="18">
        <f t="shared" si="115"/>
        <v>4360</v>
      </c>
      <c r="H393" s="18">
        <f t="shared" si="115"/>
        <v>4163</v>
      </c>
      <c r="I393" s="18" t="str">
        <f t="shared" si="115"/>
        <v>-</v>
      </c>
      <c r="J393" s="18" t="str">
        <f t="shared" si="115"/>
        <v>-</v>
      </c>
      <c r="K393" s="18" t="str">
        <f t="shared" si="115"/>
        <v>-</v>
      </c>
      <c r="L393" s="24">
        <f t="shared" si="115"/>
        <v>30332</v>
      </c>
    </row>
    <row r="394" spans="1:12" ht="13">
      <c r="A394" s="239" t="s">
        <v>308</v>
      </c>
      <c r="B394" s="18" t="str">
        <f t="shared" ref="B394:L395" si="116">B241</f>
        <v>-</v>
      </c>
      <c r="C394" s="18" t="str">
        <f t="shared" si="116"/>
        <v>-</v>
      </c>
      <c r="D394" s="18" t="str">
        <f t="shared" si="116"/>
        <v>-</v>
      </c>
      <c r="E394" s="18" t="str">
        <f t="shared" si="116"/>
        <v>--</v>
      </c>
      <c r="F394" s="18" t="str">
        <f t="shared" si="116"/>
        <v>--</v>
      </c>
      <c r="G394" s="18">
        <f t="shared" si="116"/>
        <v>3438</v>
      </c>
      <c r="H394" s="18">
        <f t="shared" si="116"/>
        <v>641</v>
      </c>
      <c r="I394" s="18">
        <f t="shared" si="116"/>
        <v>138</v>
      </c>
      <c r="J394" s="18">
        <f t="shared" si="116"/>
        <v>12</v>
      </c>
      <c r="K394" s="18" t="str">
        <f t="shared" si="116"/>
        <v>-</v>
      </c>
      <c r="L394" s="24">
        <f t="shared" si="116"/>
        <v>4229</v>
      </c>
    </row>
    <row r="395" spans="1:12" ht="13">
      <c r="A395" s="239" t="s">
        <v>317</v>
      </c>
      <c r="B395" s="18" t="str">
        <f t="shared" si="116"/>
        <v>-</v>
      </c>
      <c r="C395" s="18" t="str">
        <f t="shared" si="116"/>
        <v>-</v>
      </c>
      <c r="D395" s="18">
        <f t="shared" si="116"/>
        <v>12287</v>
      </c>
      <c r="E395" s="18">
        <f t="shared" si="116"/>
        <v>8838</v>
      </c>
      <c r="F395" s="18">
        <f t="shared" si="116"/>
        <v>6780</v>
      </c>
      <c r="G395" s="18">
        <f t="shared" si="116"/>
        <v>3201</v>
      </c>
      <c r="H395" s="18">
        <f t="shared" si="116"/>
        <v>442</v>
      </c>
      <c r="I395" s="18">
        <f t="shared" si="116"/>
        <v>315</v>
      </c>
      <c r="J395" s="18" t="str">
        <f t="shared" si="116"/>
        <v>-</v>
      </c>
      <c r="K395" s="18" t="str">
        <f t="shared" si="116"/>
        <v>-</v>
      </c>
      <c r="L395" s="24">
        <f t="shared" si="116"/>
        <v>31863</v>
      </c>
    </row>
    <row r="396" spans="1:12">
      <c r="B396" s="18"/>
      <c r="C396" s="18"/>
      <c r="D396" s="18"/>
      <c r="E396" s="18"/>
      <c r="F396" s="18"/>
      <c r="G396" s="18"/>
      <c r="H396" s="18"/>
      <c r="I396" s="18"/>
      <c r="J396" s="18"/>
      <c r="K396" s="18"/>
    </row>
    <row r="397" spans="1:12">
      <c r="A397" s="248" t="str">
        <f>A244</f>
        <v>Total Statewide</v>
      </c>
      <c r="B397" s="18"/>
      <c r="C397" s="18"/>
      <c r="D397" s="18"/>
      <c r="E397" s="18"/>
      <c r="F397" s="18"/>
      <c r="G397" s="18"/>
      <c r="H397" s="18"/>
      <c r="I397" s="18"/>
      <c r="J397" s="18"/>
      <c r="K397" s="18"/>
    </row>
    <row r="398" spans="1:12">
      <c r="A398" s="99" t="s">
        <v>78</v>
      </c>
      <c r="B398" s="18">
        <f t="shared" ref="B398:L398" si="117">AVERAGE(B255:B259)</f>
        <v>8272.4</v>
      </c>
      <c r="C398" s="18">
        <f t="shared" si="117"/>
        <v>17094.400000000001</v>
      </c>
      <c r="D398" s="18">
        <f t="shared" si="117"/>
        <v>24033.599999999999</v>
      </c>
      <c r="E398" s="18">
        <f t="shared" si="117"/>
        <v>16896.2</v>
      </c>
      <c r="F398" s="18">
        <f t="shared" si="117"/>
        <v>44266.2</v>
      </c>
      <c r="G398" s="18">
        <f t="shared" si="117"/>
        <v>74160.2</v>
      </c>
      <c r="H398" s="18">
        <f t="shared" si="117"/>
        <v>36515</v>
      </c>
      <c r="I398" s="18">
        <f t="shared" si="117"/>
        <v>12837</v>
      </c>
      <c r="J398" s="18">
        <f t="shared" si="117"/>
        <v>5028.8</v>
      </c>
      <c r="K398" s="18">
        <f t="shared" si="117"/>
        <v>1562.8</v>
      </c>
      <c r="L398" s="24">
        <f t="shared" si="117"/>
        <v>240666.6</v>
      </c>
    </row>
    <row r="399" spans="1:12">
      <c r="A399" s="99" t="s">
        <v>10</v>
      </c>
      <c r="B399" s="18">
        <f t="shared" ref="B399:L399" si="118">AVERAGE(B260:B264)</f>
        <v>1262.5999999999999</v>
      </c>
      <c r="C399" s="18">
        <f t="shared" si="118"/>
        <v>15053.8</v>
      </c>
      <c r="D399" s="18">
        <f t="shared" si="118"/>
        <v>23079</v>
      </c>
      <c r="E399" s="18">
        <f t="shared" si="118"/>
        <v>25264.2</v>
      </c>
      <c r="F399" s="18">
        <f t="shared" si="118"/>
        <v>38142.6</v>
      </c>
      <c r="G399" s="18">
        <f t="shared" si="118"/>
        <v>62125.2</v>
      </c>
      <c r="H399" s="18">
        <f t="shared" si="118"/>
        <v>30137.200000000001</v>
      </c>
      <c r="I399" s="18">
        <f t="shared" si="118"/>
        <v>14806.6</v>
      </c>
      <c r="J399" s="18">
        <f t="shared" si="118"/>
        <v>5943.2</v>
      </c>
      <c r="K399" s="18">
        <f t="shared" si="118"/>
        <v>302.33333333333331</v>
      </c>
      <c r="L399" s="24">
        <f t="shared" si="118"/>
        <v>215995.8</v>
      </c>
    </row>
    <row r="400" spans="1:12">
      <c r="A400" s="99" t="s">
        <v>144</v>
      </c>
      <c r="B400" s="18">
        <f t="shared" ref="B400:L400" si="119">AVERAGE(B265:B269)</f>
        <v>31.5</v>
      </c>
      <c r="C400" s="18">
        <f t="shared" si="119"/>
        <v>17926.75</v>
      </c>
      <c r="D400" s="18">
        <f t="shared" si="119"/>
        <v>25245</v>
      </c>
      <c r="E400" s="18">
        <f t="shared" si="119"/>
        <v>23877.8</v>
      </c>
      <c r="F400" s="18">
        <f t="shared" si="119"/>
        <v>38002.199999999997</v>
      </c>
      <c r="G400" s="18">
        <f t="shared" si="119"/>
        <v>46084</v>
      </c>
      <c r="H400" s="18">
        <f t="shared" si="119"/>
        <v>31995.4</v>
      </c>
      <c r="I400" s="18">
        <f t="shared" si="119"/>
        <v>10517</v>
      </c>
      <c r="J400" s="18">
        <f t="shared" si="119"/>
        <v>4144</v>
      </c>
      <c r="K400" s="18">
        <f t="shared" si="119"/>
        <v>915.5</v>
      </c>
      <c r="L400" s="24">
        <f t="shared" si="119"/>
        <v>194585.60000000001</v>
      </c>
    </row>
    <row r="401" spans="1:12">
      <c r="A401" s="99" t="s">
        <v>166</v>
      </c>
      <c r="B401" s="18">
        <f>AVERAGE(B270:B274)</f>
        <v>463.25</v>
      </c>
      <c r="C401" s="18">
        <f>AVERAGE(C270:C274)</f>
        <v>2645.4</v>
      </c>
      <c r="D401" s="18">
        <f>AVERAGE(D270:D274)</f>
        <v>27879</v>
      </c>
      <c r="E401" s="18">
        <f>AVERAGE(E270:E274)</f>
        <v>26158.400000000001</v>
      </c>
      <c r="F401" s="18">
        <f t="shared" ref="F401:L401" si="120">AVERAGE(F270:F274)</f>
        <v>29796</v>
      </c>
      <c r="G401" s="18">
        <f t="shared" si="120"/>
        <v>45025.8</v>
      </c>
      <c r="H401" s="18">
        <f t="shared" si="120"/>
        <v>30779.4</v>
      </c>
      <c r="I401" s="18">
        <f t="shared" si="120"/>
        <v>12176</v>
      </c>
      <c r="J401" s="18">
        <f t="shared" si="120"/>
        <v>4148.3999999999996</v>
      </c>
      <c r="K401" s="18">
        <f t="shared" si="120"/>
        <v>1148.4000000000001</v>
      </c>
      <c r="L401" s="24">
        <f t="shared" si="120"/>
        <v>180127.4</v>
      </c>
    </row>
    <row r="402" spans="1:12">
      <c r="A402" s="99" t="s">
        <v>315</v>
      </c>
      <c r="B402" s="18">
        <f>AVERAGE(B275:B279)</f>
        <v>248</v>
      </c>
      <c r="C402" s="18">
        <f t="shared" ref="C402:L402" si="121">AVERAGE(C275:C279)</f>
        <v>446</v>
      </c>
      <c r="D402" s="18">
        <f t="shared" si="121"/>
        <v>17005</v>
      </c>
      <c r="E402" s="18">
        <f t="shared" si="121"/>
        <v>14673.666666666666</v>
      </c>
      <c r="F402" s="18">
        <f t="shared" si="121"/>
        <v>19947</v>
      </c>
      <c r="G402" s="18">
        <f t="shared" si="121"/>
        <v>23635.666666666668</v>
      </c>
      <c r="H402" s="18">
        <f t="shared" si="121"/>
        <v>8981.25</v>
      </c>
      <c r="I402" s="18">
        <f t="shared" si="121"/>
        <v>4383.75</v>
      </c>
      <c r="J402" s="18">
        <f t="shared" si="121"/>
        <v>1822</v>
      </c>
      <c r="K402" s="18">
        <f t="shared" si="121"/>
        <v>921</v>
      </c>
      <c r="L402" s="24">
        <f t="shared" si="121"/>
        <v>57362.400000000001</v>
      </c>
    </row>
    <row r="403" spans="1:12">
      <c r="A403" s="99">
        <v>2011</v>
      </c>
      <c r="B403" s="18" t="str">
        <f t="shared" ref="B403:L403" si="122">B280</f>
        <v>-</v>
      </c>
      <c r="C403" s="18" t="str">
        <f t="shared" si="122"/>
        <v>-</v>
      </c>
      <c r="D403" s="18">
        <f t="shared" si="122"/>
        <v>15565</v>
      </c>
      <c r="E403" s="18">
        <f t="shared" si="122"/>
        <v>7794</v>
      </c>
      <c r="F403" s="18">
        <f t="shared" si="122"/>
        <v>9615</v>
      </c>
      <c r="G403" s="18">
        <f t="shared" si="122"/>
        <v>25170</v>
      </c>
      <c r="H403" s="18">
        <f t="shared" si="122"/>
        <v>19169</v>
      </c>
      <c r="I403" s="18">
        <f t="shared" si="122"/>
        <v>10932</v>
      </c>
      <c r="J403" s="18">
        <f t="shared" si="122"/>
        <v>3431</v>
      </c>
      <c r="K403" s="18" t="str">
        <f t="shared" si="122"/>
        <v>-</v>
      </c>
      <c r="L403" s="24">
        <f t="shared" si="122"/>
        <v>91676</v>
      </c>
    </row>
    <row r="404" spans="1:12">
      <c r="A404" s="99">
        <v>2012</v>
      </c>
      <c r="B404" s="18" t="str">
        <f t="shared" ref="B404:L404" si="123">B281</f>
        <v>-</v>
      </c>
      <c r="C404" s="18" t="str">
        <f t="shared" si="123"/>
        <v>-</v>
      </c>
      <c r="D404" s="18">
        <f t="shared" si="123"/>
        <v>21466</v>
      </c>
      <c r="E404" s="18">
        <f t="shared" si="123"/>
        <v>21212</v>
      </c>
      <c r="F404" s="18">
        <f t="shared" si="123"/>
        <v>29506</v>
      </c>
      <c r="G404" s="18">
        <f t="shared" si="123"/>
        <v>38384</v>
      </c>
      <c r="H404" s="18">
        <f t="shared" si="123"/>
        <v>22993</v>
      </c>
      <c r="I404" s="18">
        <f t="shared" si="123"/>
        <v>10289</v>
      </c>
      <c r="J404" s="18">
        <f t="shared" si="123"/>
        <v>3588</v>
      </c>
      <c r="K404" s="18">
        <f t="shared" si="123"/>
        <v>569</v>
      </c>
      <c r="L404" s="24">
        <f t="shared" si="123"/>
        <v>148007</v>
      </c>
    </row>
    <row r="405" spans="1:12">
      <c r="A405" s="99">
        <v>2013</v>
      </c>
      <c r="B405" s="18" t="str">
        <f t="shared" ref="B405:L405" si="124">B282</f>
        <v>-</v>
      </c>
      <c r="C405" s="18" t="str">
        <f t="shared" si="124"/>
        <v>-</v>
      </c>
      <c r="D405" s="18">
        <f t="shared" si="124"/>
        <v>19602</v>
      </c>
      <c r="E405" s="18">
        <f t="shared" si="124"/>
        <v>18399</v>
      </c>
      <c r="F405" s="18">
        <f t="shared" si="124"/>
        <v>26829</v>
      </c>
      <c r="G405" s="18">
        <f t="shared" si="124"/>
        <v>45416</v>
      </c>
      <c r="H405" s="18">
        <f t="shared" si="124"/>
        <v>28244</v>
      </c>
      <c r="I405" s="18">
        <f t="shared" si="124"/>
        <v>6135</v>
      </c>
      <c r="J405" s="18">
        <f t="shared" si="124"/>
        <v>2245</v>
      </c>
      <c r="K405" s="18">
        <f t="shared" si="124"/>
        <v>426</v>
      </c>
      <c r="L405" s="24">
        <f t="shared" si="124"/>
        <v>147296</v>
      </c>
    </row>
    <row r="406" spans="1:12">
      <c r="A406" s="99">
        <v>2014</v>
      </c>
      <c r="B406" s="18" t="str">
        <f t="shared" ref="B406:L406" si="125">B283</f>
        <v>-</v>
      </c>
      <c r="C406" s="18" t="str">
        <f t="shared" si="125"/>
        <v>-</v>
      </c>
      <c r="D406" s="18">
        <f t="shared" si="125"/>
        <v>20226</v>
      </c>
      <c r="E406" s="18">
        <f t="shared" si="125"/>
        <v>12673</v>
      </c>
      <c r="F406" s="18">
        <f t="shared" si="125"/>
        <v>12618</v>
      </c>
      <c r="G406" s="18">
        <f t="shared" si="125"/>
        <v>31058</v>
      </c>
      <c r="H406" s="18">
        <f t="shared" si="125"/>
        <v>26751</v>
      </c>
      <c r="I406" s="18">
        <f t="shared" si="125"/>
        <v>11065</v>
      </c>
      <c r="J406" s="18">
        <f t="shared" si="125"/>
        <v>5193</v>
      </c>
      <c r="K406" s="18">
        <f t="shared" si="125"/>
        <v>723</v>
      </c>
      <c r="L406" s="24">
        <f t="shared" si="125"/>
        <v>120307</v>
      </c>
    </row>
    <row r="407" spans="1:12">
      <c r="A407" s="99">
        <v>2015</v>
      </c>
      <c r="B407" s="18" t="str">
        <f t="shared" ref="B407:L407" si="126">B284</f>
        <v>-</v>
      </c>
      <c r="C407" s="18" t="str">
        <f t="shared" si="126"/>
        <v>-</v>
      </c>
      <c r="D407" s="18">
        <f t="shared" si="126"/>
        <v>11085</v>
      </c>
      <c r="E407" s="18">
        <f t="shared" si="126"/>
        <v>10042</v>
      </c>
      <c r="F407" s="18">
        <f t="shared" si="126"/>
        <v>10465</v>
      </c>
      <c r="G407" s="18">
        <f t="shared" si="126"/>
        <v>18726</v>
      </c>
      <c r="H407" s="18">
        <f t="shared" si="126"/>
        <v>17471</v>
      </c>
      <c r="I407" s="18">
        <f t="shared" si="126"/>
        <v>10501</v>
      </c>
      <c r="J407" s="18">
        <f t="shared" si="126"/>
        <v>3483</v>
      </c>
      <c r="K407" s="18">
        <f t="shared" si="126"/>
        <v>5</v>
      </c>
      <c r="L407" s="24">
        <f t="shared" si="126"/>
        <v>81778</v>
      </c>
    </row>
    <row r="408" spans="1:12">
      <c r="A408" s="99">
        <v>2016</v>
      </c>
      <c r="B408" s="18" t="str">
        <f t="shared" ref="B408:L408" si="127">B285</f>
        <v>-</v>
      </c>
      <c r="C408" s="18" t="str">
        <f t="shared" si="127"/>
        <v>-</v>
      </c>
      <c r="D408" s="18">
        <f t="shared" si="127"/>
        <v>8006</v>
      </c>
      <c r="E408" s="18">
        <f t="shared" si="127"/>
        <v>9919</v>
      </c>
      <c r="F408" s="18">
        <f t="shared" si="127"/>
        <v>6439</v>
      </c>
      <c r="G408" s="18">
        <f t="shared" si="127"/>
        <v>19077</v>
      </c>
      <c r="H408" s="18">
        <f t="shared" si="127"/>
        <v>15132</v>
      </c>
      <c r="I408" s="18">
        <f t="shared" si="127"/>
        <v>9160</v>
      </c>
      <c r="J408" s="18">
        <f t="shared" si="127"/>
        <v>2366</v>
      </c>
      <c r="K408" s="18">
        <f t="shared" si="127"/>
        <v>0</v>
      </c>
      <c r="L408" s="24">
        <f t="shared" si="127"/>
        <v>70099</v>
      </c>
    </row>
    <row r="409" spans="1:12">
      <c r="A409" s="99">
        <v>2017</v>
      </c>
      <c r="B409" s="18" t="str">
        <f t="shared" ref="B409:L409" si="128">B286</f>
        <v>-</v>
      </c>
      <c r="C409" s="18" t="str">
        <f t="shared" si="128"/>
        <v>-</v>
      </c>
      <c r="D409" s="18">
        <f t="shared" si="128"/>
        <v>10105</v>
      </c>
      <c r="E409" s="18">
        <f t="shared" si="128"/>
        <v>5000</v>
      </c>
      <c r="F409" s="18">
        <f t="shared" si="128"/>
        <v>6574</v>
      </c>
      <c r="G409" s="18">
        <f t="shared" si="128"/>
        <v>22590</v>
      </c>
      <c r="H409" s="18">
        <f t="shared" si="128"/>
        <v>19358</v>
      </c>
      <c r="I409" s="18">
        <f t="shared" si="128"/>
        <v>8496</v>
      </c>
      <c r="J409" s="18">
        <f t="shared" si="128"/>
        <v>1851</v>
      </c>
      <c r="K409" s="18">
        <f t="shared" si="128"/>
        <v>0</v>
      </c>
      <c r="L409" s="24">
        <f t="shared" si="128"/>
        <v>73974</v>
      </c>
    </row>
    <row r="410" spans="1:12">
      <c r="A410" s="99">
        <v>2018</v>
      </c>
      <c r="B410" s="18" t="str">
        <f t="shared" ref="B410:L410" si="129">B287</f>
        <v>-</v>
      </c>
      <c r="C410" s="18" t="str">
        <f t="shared" si="129"/>
        <v>-</v>
      </c>
      <c r="D410" s="18">
        <f t="shared" si="129"/>
        <v>8140</v>
      </c>
      <c r="E410" s="18">
        <f t="shared" si="129"/>
        <v>2021</v>
      </c>
      <c r="F410" s="18">
        <f t="shared" si="129"/>
        <v>14953</v>
      </c>
      <c r="G410" s="18">
        <f t="shared" si="129"/>
        <v>37011</v>
      </c>
      <c r="H410" s="18">
        <f t="shared" si="129"/>
        <v>20393</v>
      </c>
      <c r="I410" s="18">
        <f t="shared" si="129"/>
        <v>9035</v>
      </c>
      <c r="J410" s="18">
        <f t="shared" si="129"/>
        <v>5072</v>
      </c>
      <c r="K410" s="18" t="str">
        <f t="shared" si="129"/>
        <v>-</v>
      </c>
      <c r="L410" s="24">
        <f t="shared" si="129"/>
        <v>96625</v>
      </c>
    </row>
    <row r="411" spans="1:12">
      <c r="A411" s="239">
        <v>2019</v>
      </c>
      <c r="B411" s="18" t="str">
        <f t="shared" ref="B411:L411" si="130">B288</f>
        <v>-</v>
      </c>
      <c r="C411" s="18" t="str">
        <f t="shared" si="130"/>
        <v>-</v>
      </c>
      <c r="D411" s="18">
        <f t="shared" si="130"/>
        <v>17350</v>
      </c>
      <c r="E411" s="18">
        <f t="shared" si="130"/>
        <v>5943</v>
      </c>
      <c r="F411" s="18">
        <f t="shared" si="130"/>
        <v>20911</v>
      </c>
      <c r="G411" s="18">
        <f t="shared" si="130"/>
        <v>25737</v>
      </c>
      <c r="H411" s="18">
        <f t="shared" si="130"/>
        <v>24892</v>
      </c>
      <c r="I411" s="18">
        <f t="shared" si="130"/>
        <v>7048</v>
      </c>
      <c r="J411" s="18">
        <f t="shared" si="130"/>
        <v>1821</v>
      </c>
      <c r="K411" s="18" t="str">
        <f t="shared" si="130"/>
        <v>-</v>
      </c>
      <c r="L411" s="24">
        <f t="shared" si="130"/>
        <v>103702</v>
      </c>
    </row>
    <row r="412" spans="1:12" ht="13">
      <c r="A412" s="239" t="s">
        <v>308</v>
      </c>
      <c r="B412" s="18" t="str">
        <f t="shared" ref="B412:L413" si="131">B289</f>
        <v>-</v>
      </c>
      <c r="C412" s="18" t="str">
        <f t="shared" si="131"/>
        <v>-</v>
      </c>
      <c r="D412" s="18" t="str">
        <f t="shared" si="131"/>
        <v>-</v>
      </c>
      <c r="E412" s="18" t="str">
        <f t="shared" si="131"/>
        <v>--</v>
      </c>
      <c r="F412" s="18" t="str">
        <f t="shared" si="131"/>
        <v>--</v>
      </c>
      <c r="G412" s="18">
        <f t="shared" si="131"/>
        <v>29707</v>
      </c>
      <c r="H412" s="18">
        <f t="shared" si="131"/>
        <v>17986</v>
      </c>
      <c r="I412" s="18">
        <f t="shared" si="131"/>
        <v>7739</v>
      </c>
      <c r="J412" s="18">
        <f t="shared" si="131"/>
        <v>4264</v>
      </c>
      <c r="K412" s="18">
        <f t="shared" si="131"/>
        <v>147</v>
      </c>
      <c r="L412" s="24">
        <f t="shared" si="131"/>
        <v>59843</v>
      </c>
    </row>
    <row r="413" spans="1:12" ht="13">
      <c r="A413" s="239" t="s">
        <v>317</v>
      </c>
      <c r="B413" s="18" t="str">
        <f t="shared" si="131"/>
        <v>-</v>
      </c>
      <c r="C413" s="18" t="str">
        <f t="shared" si="131"/>
        <v>-</v>
      </c>
      <c r="D413" s="18">
        <f t="shared" si="131"/>
        <v>12287</v>
      </c>
      <c r="E413" s="18">
        <f t="shared" si="131"/>
        <v>8838</v>
      </c>
      <c r="F413" s="18">
        <f t="shared" si="131"/>
        <v>10418</v>
      </c>
      <c r="G413" s="18">
        <f t="shared" si="131"/>
        <v>29642</v>
      </c>
      <c r="H413" s="18">
        <f t="shared" si="131"/>
        <v>16298</v>
      </c>
      <c r="I413" s="18">
        <f t="shared" si="131"/>
        <v>8239</v>
      </c>
      <c r="J413" s="18">
        <f t="shared" si="131"/>
        <v>2430</v>
      </c>
      <c r="K413" s="18" t="str">
        <f t="shared" si="131"/>
        <v>-</v>
      </c>
      <c r="L413" s="25">
        <f t="shared" si="131"/>
        <v>88152</v>
      </c>
    </row>
    <row r="414" spans="1:12">
      <c r="A414" s="286" t="str">
        <f>A291</f>
        <v>a/  Recreational estimates are not available for May and June due to restrictions on sampling caused by the COVID-19 pandemic.</v>
      </c>
      <c r="B414" s="286"/>
      <c r="C414" s="286"/>
      <c r="D414" s="286"/>
      <c r="E414" s="286"/>
      <c r="F414" s="286"/>
      <c r="G414" s="286"/>
      <c r="H414" s="286"/>
      <c r="I414" s="286"/>
      <c r="J414" s="286"/>
      <c r="K414" s="286"/>
      <c r="L414" s="286"/>
    </row>
    <row r="415" spans="1:12">
      <c r="A415" s="289" t="str">
        <f>A292</f>
        <v>b/  Preliminary.</v>
      </c>
      <c r="B415" s="289"/>
      <c r="C415" s="289"/>
      <c r="D415" s="289"/>
      <c r="E415" s="289"/>
      <c r="F415" s="289"/>
      <c r="G415" s="289"/>
      <c r="H415" s="289"/>
      <c r="I415" s="289"/>
      <c r="J415" s="289"/>
      <c r="K415" s="289"/>
      <c r="L415" s="289"/>
    </row>
  </sheetData>
  <mergeCells count="8">
    <mergeCell ref="A414:L414"/>
    <mergeCell ref="A415:L415"/>
    <mergeCell ref="A2:L2"/>
    <mergeCell ref="A292:L292"/>
    <mergeCell ref="A293:L293"/>
    <mergeCell ref="A301:L301"/>
    <mergeCell ref="A339:L339"/>
    <mergeCell ref="A377:L377"/>
  </mergeCells>
  <pageMargins left="0.7" right="0.7" top="0.75" bottom="0.75" header="0.3" footer="0.3"/>
  <pageSetup orientation="landscape" r:id="rId1"/>
  <rowBreaks count="2" manualBreakCount="2">
    <brk id="338" max="16383" man="1"/>
    <brk id="376"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8"/>
  <dimension ref="A1:Y418"/>
  <sheetViews>
    <sheetView showGridLines="0" topLeftCell="A370" zoomScale="90" zoomScaleNormal="90" workbookViewId="0">
      <selection activeCell="N421" sqref="N421"/>
    </sheetView>
  </sheetViews>
  <sheetFormatPr baseColWidth="10" defaultColWidth="9" defaultRowHeight="11"/>
  <cols>
    <col min="1" max="1" width="8.1640625" style="99" customWidth="1"/>
    <col min="2" max="11" width="5.6640625" style="142" customWidth="1"/>
    <col min="12" max="12" width="6.33203125" style="142" bestFit="1" customWidth="1"/>
    <col min="13" max="13" width="1" style="24" customWidth="1"/>
    <col min="14" max="14" width="3.83203125" style="142" bestFit="1" customWidth="1"/>
    <col min="15" max="16" width="3.6640625" style="142" bestFit="1" customWidth="1"/>
    <col min="17" max="17" width="4.6640625" style="142" bestFit="1" customWidth="1"/>
    <col min="18" max="19" width="5.5" style="142" bestFit="1" customWidth="1"/>
    <col min="20" max="20" width="4.6640625" style="142" bestFit="1" customWidth="1"/>
    <col min="21" max="21" width="4.33203125" style="142" bestFit="1" customWidth="1"/>
    <col min="22" max="22" width="3.6640625" style="142" bestFit="1" customWidth="1"/>
    <col min="23" max="23" width="3.83203125" style="142" bestFit="1" customWidth="1"/>
    <col min="24" max="24" width="6" style="142" bestFit="1" customWidth="1"/>
    <col min="25" max="16384" width="9" style="1"/>
  </cols>
  <sheetData>
    <row r="1" spans="1:24">
      <c r="A1" s="291" t="s">
        <v>161</v>
      </c>
      <c r="B1" s="291"/>
      <c r="C1" s="291"/>
      <c r="D1" s="291"/>
      <c r="E1" s="291"/>
      <c r="F1" s="291"/>
      <c r="G1" s="291"/>
      <c r="H1" s="291"/>
      <c r="I1" s="291"/>
      <c r="J1" s="291"/>
      <c r="K1" s="291"/>
      <c r="L1" s="291"/>
      <c r="M1" s="291"/>
      <c r="N1" s="291"/>
      <c r="O1" s="291"/>
      <c r="P1" s="291"/>
      <c r="Q1" s="291"/>
      <c r="R1" s="291"/>
      <c r="S1" s="291"/>
      <c r="T1" s="291"/>
      <c r="U1" s="291"/>
      <c r="V1" s="291"/>
      <c r="W1" s="291"/>
      <c r="X1" s="291"/>
    </row>
    <row r="2" spans="1:24" s="119" customFormat="1">
      <c r="A2" s="2" t="s">
        <v>27</v>
      </c>
      <c r="B2" s="196" t="s">
        <v>36</v>
      </c>
      <c r="C2" s="196" t="s">
        <v>37</v>
      </c>
      <c r="D2" s="196" t="s">
        <v>28</v>
      </c>
      <c r="E2" s="196" t="s">
        <v>29</v>
      </c>
      <c r="F2" s="196" t="s">
        <v>30</v>
      </c>
      <c r="G2" s="196" t="s">
        <v>31</v>
      </c>
      <c r="H2" s="196" t="s">
        <v>32</v>
      </c>
      <c r="I2" s="196" t="s">
        <v>33</v>
      </c>
      <c r="J2" s="196" t="s">
        <v>34</v>
      </c>
      <c r="K2" s="196" t="s">
        <v>38</v>
      </c>
      <c r="L2" s="196" t="s">
        <v>22</v>
      </c>
      <c r="M2" s="196"/>
      <c r="N2" s="196" t="s">
        <v>36</v>
      </c>
      <c r="O2" s="196" t="s">
        <v>37</v>
      </c>
      <c r="P2" s="196" t="s">
        <v>28</v>
      </c>
      <c r="Q2" s="196" t="s">
        <v>29</v>
      </c>
      <c r="R2" s="196" t="s">
        <v>30</v>
      </c>
      <c r="S2" s="196" t="s">
        <v>31</v>
      </c>
      <c r="T2" s="196" t="s">
        <v>32</v>
      </c>
      <c r="U2" s="196" t="s">
        <v>33</v>
      </c>
      <c r="V2" s="196" t="s">
        <v>34</v>
      </c>
      <c r="W2" s="196" t="s">
        <v>38</v>
      </c>
      <c r="X2" s="196" t="s">
        <v>22</v>
      </c>
    </row>
    <row r="3" spans="1:24">
      <c r="B3" s="285" t="s">
        <v>61</v>
      </c>
      <c r="C3" s="285"/>
      <c r="D3" s="285"/>
      <c r="E3" s="285"/>
      <c r="F3" s="285"/>
      <c r="G3" s="285"/>
      <c r="H3" s="285"/>
      <c r="I3" s="285"/>
      <c r="J3" s="285"/>
      <c r="K3" s="285"/>
      <c r="L3" s="285"/>
      <c r="M3" s="14"/>
      <c r="N3" s="285" t="s">
        <v>62</v>
      </c>
      <c r="O3" s="285"/>
      <c r="P3" s="285"/>
      <c r="Q3" s="285"/>
      <c r="R3" s="285"/>
      <c r="S3" s="285"/>
      <c r="T3" s="285"/>
      <c r="U3" s="285"/>
      <c r="V3" s="285"/>
      <c r="W3" s="285"/>
      <c r="X3" s="285"/>
    </row>
    <row r="4" spans="1:24">
      <c r="A4" s="94" t="s">
        <v>16</v>
      </c>
    </row>
    <row r="5" spans="1:24">
      <c r="A5" s="99">
        <v>1976</v>
      </c>
      <c r="B5" s="48" t="s">
        <v>106</v>
      </c>
      <c r="C5" s="48" t="s">
        <v>106</v>
      </c>
      <c r="D5" s="142">
        <v>0</v>
      </c>
      <c r="E5" s="142">
        <v>0</v>
      </c>
      <c r="F5" s="142">
        <v>0</v>
      </c>
      <c r="G5" s="142">
        <v>1154</v>
      </c>
      <c r="H5" s="142">
        <v>1573</v>
      </c>
      <c r="I5" s="142">
        <v>264</v>
      </c>
      <c r="J5" s="142">
        <v>0</v>
      </c>
      <c r="K5" s="142">
        <v>0</v>
      </c>
      <c r="L5" s="142">
        <f t="shared" ref="L5:L36" si="0">SUM(B5:K5)</f>
        <v>2991</v>
      </c>
      <c r="N5" s="48" t="s">
        <v>106</v>
      </c>
      <c r="O5" s="48" t="s">
        <v>106</v>
      </c>
      <c r="P5" s="142">
        <v>0</v>
      </c>
      <c r="Q5" s="142">
        <v>16</v>
      </c>
      <c r="R5" s="142">
        <v>3045</v>
      </c>
      <c r="S5" s="142">
        <v>9519</v>
      </c>
      <c r="T5" s="142">
        <v>3706</v>
      </c>
      <c r="U5" s="142">
        <v>594</v>
      </c>
      <c r="V5" s="142">
        <v>0</v>
      </c>
      <c r="W5" s="142">
        <v>0</v>
      </c>
      <c r="X5" s="142">
        <f t="shared" ref="X5:X36" si="1">SUM(N5:W5)</f>
        <v>16880</v>
      </c>
    </row>
    <row r="6" spans="1:24">
      <c r="A6" s="99">
        <v>1977</v>
      </c>
      <c r="B6" s="48" t="s">
        <v>106</v>
      </c>
      <c r="C6" s="48" t="s">
        <v>106</v>
      </c>
      <c r="D6" s="142">
        <v>0</v>
      </c>
      <c r="E6" s="142">
        <v>0</v>
      </c>
      <c r="F6" s="142">
        <v>307</v>
      </c>
      <c r="G6" s="142">
        <v>4966</v>
      </c>
      <c r="H6" s="142">
        <v>2127</v>
      </c>
      <c r="I6" s="142">
        <v>0</v>
      </c>
      <c r="J6" s="142">
        <v>0</v>
      </c>
      <c r="K6" s="142">
        <v>0</v>
      </c>
      <c r="L6" s="142">
        <f t="shared" si="0"/>
        <v>7400</v>
      </c>
      <c r="N6" s="48" t="s">
        <v>106</v>
      </c>
      <c r="O6" s="48" t="s">
        <v>106</v>
      </c>
      <c r="P6" s="142">
        <v>0</v>
      </c>
      <c r="Q6" s="142">
        <v>0</v>
      </c>
      <c r="R6" s="142">
        <v>17</v>
      </c>
      <c r="S6" s="142">
        <v>4142</v>
      </c>
      <c r="T6" s="142">
        <v>1135</v>
      </c>
      <c r="U6" s="142">
        <v>33</v>
      </c>
      <c r="V6" s="142">
        <v>0</v>
      </c>
      <c r="W6" s="142">
        <v>0</v>
      </c>
      <c r="X6" s="142">
        <f t="shared" si="1"/>
        <v>5327</v>
      </c>
    </row>
    <row r="7" spans="1:24">
      <c r="A7" s="99">
        <v>1978</v>
      </c>
      <c r="B7" s="48" t="s">
        <v>106</v>
      </c>
      <c r="C7" s="48" t="s">
        <v>106</v>
      </c>
      <c r="D7" s="142">
        <v>0</v>
      </c>
      <c r="E7" s="142">
        <v>7</v>
      </c>
      <c r="F7" s="142">
        <v>417</v>
      </c>
      <c r="G7" s="142">
        <v>701</v>
      </c>
      <c r="H7" s="142">
        <v>861</v>
      </c>
      <c r="I7" s="142">
        <v>0</v>
      </c>
      <c r="J7" s="142">
        <v>0</v>
      </c>
      <c r="K7" s="142">
        <v>0</v>
      </c>
      <c r="L7" s="142">
        <f t="shared" si="0"/>
        <v>1986</v>
      </c>
      <c r="N7" s="48" t="s">
        <v>106</v>
      </c>
      <c r="O7" s="48" t="s">
        <v>106</v>
      </c>
      <c r="P7" s="142">
        <v>1</v>
      </c>
      <c r="Q7" s="142">
        <v>22</v>
      </c>
      <c r="R7" s="142">
        <v>9129</v>
      </c>
      <c r="S7" s="142">
        <v>8577</v>
      </c>
      <c r="T7" s="142">
        <v>1397</v>
      </c>
      <c r="U7" s="142">
        <v>33</v>
      </c>
      <c r="V7" s="142">
        <v>0</v>
      </c>
      <c r="W7" s="142">
        <v>0</v>
      </c>
      <c r="X7" s="142">
        <f t="shared" si="1"/>
        <v>19159</v>
      </c>
    </row>
    <row r="8" spans="1:24">
      <c r="A8" s="99">
        <v>1979</v>
      </c>
      <c r="B8" s="48" t="s">
        <v>106</v>
      </c>
      <c r="C8" s="48" t="s">
        <v>106</v>
      </c>
      <c r="D8" s="142">
        <v>0</v>
      </c>
      <c r="E8" s="142">
        <v>3</v>
      </c>
      <c r="F8" s="142">
        <v>563</v>
      </c>
      <c r="G8" s="142">
        <v>1124</v>
      </c>
      <c r="H8" s="142">
        <v>1189</v>
      </c>
      <c r="I8" s="142">
        <v>0</v>
      </c>
      <c r="J8" s="142">
        <v>0</v>
      </c>
      <c r="K8" s="142" t="s">
        <v>23</v>
      </c>
      <c r="L8" s="142">
        <f t="shared" si="0"/>
        <v>2879</v>
      </c>
      <c r="N8" s="48" t="s">
        <v>106</v>
      </c>
      <c r="O8" s="48" t="s">
        <v>106</v>
      </c>
      <c r="P8" s="142">
        <v>0</v>
      </c>
      <c r="Q8" s="142">
        <v>6</v>
      </c>
      <c r="R8" s="142">
        <v>2065</v>
      </c>
      <c r="S8" s="142">
        <v>5825</v>
      </c>
      <c r="T8" s="142">
        <v>2933</v>
      </c>
      <c r="U8" s="142">
        <v>0</v>
      </c>
      <c r="V8" s="142">
        <v>0</v>
      </c>
      <c r="W8" s="142" t="s">
        <v>23</v>
      </c>
      <c r="X8" s="142">
        <f t="shared" si="1"/>
        <v>10829</v>
      </c>
    </row>
    <row r="9" spans="1:24">
      <c r="A9" s="99">
        <v>1980</v>
      </c>
      <c r="B9" s="48" t="s">
        <v>106</v>
      </c>
      <c r="C9" s="48" t="s">
        <v>106</v>
      </c>
      <c r="D9" s="142">
        <v>0</v>
      </c>
      <c r="E9" s="142">
        <v>1</v>
      </c>
      <c r="F9" s="142">
        <v>1061</v>
      </c>
      <c r="G9" s="142">
        <v>834</v>
      </c>
      <c r="H9" s="142">
        <v>682</v>
      </c>
      <c r="I9" s="142">
        <v>140</v>
      </c>
      <c r="J9" s="142">
        <v>0</v>
      </c>
      <c r="K9" s="142" t="s">
        <v>23</v>
      </c>
      <c r="L9" s="142">
        <f t="shared" si="0"/>
        <v>2718</v>
      </c>
      <c r="N9" s="48" t="s">
        <v>106</v>
      </c>
      <c r="O9" s="48" t="s">
        <v>106</v>
      </c>
      <c r="P9" s="142">
        <v>0</v>
      </c>
      <c r="Q9" s="142">
        <v>1</v>
      </c>
      <c r="R9" s="142">
        <v>1180</v>
      </c>
      <c r="S9" s="142">
        <v>4874</v>
      </c>
      <c r="T9" s="142">
        <v>1072</v>
      </c>
      <c r="U9" s="142">
        <v>122</v>
      </c>
      <c r="V9" s="142">
        <v>0</v>
      </c>
      <c r="W9" s="142" t="s">
        <v>23</v>
      </c>
      <c r="X9" s="142">
        <f t="shared" si="1"/>
        <v>7249</v>
      </c>
    </row>
    <row r="10" spans="1:24">
      <c r="A10" s="99">
        <v>1981</v>
      </c>
      <c r="B10" s="48" t="s">
        <v>106</v>
      </c>
      <c r="C10" s="48" t="s">
        <v>106</v>
      </c>
      <c r="D10" s="142">
        <v>0</v>
      </c>
      <c r="E10" s="142">
        <v>7</v>
      </c>
      <c r="F10" s="142">
        <v>589</v>
      </c>
      <c r="G10" s="142">
        <v>1178</v>
      </c>
      <c r="H10" s="142">
        <v>2233</v>
      </c>
      <c r="I10" s="142">
        <v>0</v>
      </c>
      <c r="J10" s="142">
        <v>0</v>
      </c>
      <c r="K10" s="142">
        <v>0</v>
      </c>
      <c r="L10" s="142">
        <f t="shared" si="0"/>
        <v>4007</v>
      </c>
      <c r="N10" s="48" t="s">
        <v>106</v>
      </c>
      <c r="O10" s="48" t="s">
        <v>106</v>
      </c>
      <c r="P10" s="142">
        <v>0</v>
      </c>
      <c r="Q10" s="142">
        <v>0</v>
      </c>
      <c r="R10" s="142">
        <v>323</v>
      </c>
      <c r="S10" s="142">
        <v>1171</v>
      </c>
      <c r="T10" s="142">
        <v>1339</v>
      </c>
      <c r="U10" s="142">
        <v>0</v>
      </c>
      <c r="V10" s="142">
        <v>0</v>
      </c>
      <c r="W10" s="142">
        <v>0</v>
      </c>
      <c r="X10" s="142">
        <f t="shared" si="1"/>
        <v>2833</v>
      </c>
    </row>
    <row r="11" spans="1:24">
      <c r="A11" s="99">
        <v>1982</v>
      </c>
      <c r="B11" s="48" t="s">
        <v>106</v>
      </c>
      <c r="C11" s="48" t="s">
        <v>106</v>
      </c>
      <c r="D11" s="142">
        <v>0</v>
      </c>
      <c r="E11" s="142">
        <v>4</v>
      </c>
      <c r="F11" s="142">
        <v>614</v>
      </c>
      <c r="G11" s="142">
        <v>2258</v>
      </c>
      <c r="H11" s="142">
        <v>3181</v>
      </c>
      <c r="I11" s="142">
        <v>139</v>
      </c>
      <c r="J11" s="142">
        <v>0</v>
      </c>
      <c r="K11" s="142">
        <v>0</v>
      </c>
      <c r="L11" s="142">
        <f t="shared" si="0"/>
        <v>6196</v>
      </c>
      <c r="N11" s="48" t="s">
        <v>106</v>
      </c>
      <c r="O11" s="48" t="s">
        <v>106</v>
      </c>
      <c r="P11" s="142">
        <v>0</v>
      </c>
      <c r="Q11" s="142">
        <v>0</v>
      </c>
      <c r="R11" s="142">
        <v>2335</v>
      </c>
      <c r="S11" s="142">
        <v>4644</v>
      </c>
      <c r="T11" s="142">
        <v>1693</v>
      </c>
      <c r="U11" s="142">
        <v>75</v>
      </c>
      <c r="V11" s="142">
        <v>0</v>
      </c>
      <c r="W11" s="142">
        <v>0</v>
      </c>
      <c r="X11" s="142">
        <f t="shared" si="1"/>
        <v>8747</v>
      </c>
    </row>
    <row r="12" spans="1:24">
      <c r="A12" s="99">
        <v>1983</v>
      </c>
      <c r="B12" s="48" t="s">
        <v>106</v>
      </c>
      <c r="C12" s="48" t="s">
        <v>106</v>
      </c>
      <c r="D12" s="142">
        <v>0</v>
      </c>
      <c r="E12" s="142">
        <v>0</v>
      </c>
      <c r="F12" s="142">
        <v>1338</v>
      </c>
      <c r="G12" s="142">
        <v>1400</v>
      </c>
      <c r="H12" s="142">
        <v>633</v>
      </c>
      <c r="I12" s="142">
        <v>74</v>
      </c>
      <c r="J12" s="142">
        <v>0</v>
      </c>
      <c r="K12" s="142">
        <v>0</v>
      </c>
      <c r="L12" s="142">
        <f t="shared" si="0"/>
        <v>3445</v>
      </c>
      <c r="N12" s="48" t="s">
        <v>106</v>
      </c>
      <c r="O12" s="48" t="s">
        <v>106</v>
      </c>
      <c r="P12" s="142">
        <v>0</v>
      </c>
      <c r="Q12" s="142">
        <v>0</v>
      </c>
      <c r="R12" s="142">
        <v>3179</v>
      </c>
      <c r="S12" s="142">
        <v>5125</v>
      </c>
      <c r="T12" s="142">
        <v>1467</v>
      </c>
      <c r="U12" s="142">
        <v>70</v>
      </c>
      <c r="V12" s="142">
        <v>0</v>
      </c>
      <c r="W12" s="142">
        <v>0</v>
      </c>
      <c r="X12" s="142">
        <f t="shared" si="1"/>
        <v>9841</v>
      </c>
    </row>
    <row r="13" spans="1:24">
      <c r="A13" s="99">
        <v>1984</v>
      </c>
      <c r="B13" s="48" t="s">
        <v>106</v>
      </c>
      <c r="C13" s="48" t="s">
        <v>106</v>
      </c>
      <c r="D13" s="142">
        <v>0</v>
      </c>
      <c r="E13" s="142">
        <v>11</v>
      </c>
      <c r="F13" s="142">
        <v>33</v>
      </c>
      <c r="G13" s="142">
        <v>1841</v>
      </c>
      <c r="H13" s="142">
        <v>1617</v>
      </c>
      <c r="I13" s="142">
        <v>21</v>
      </c>
      <c r="J13" s="142">
        <v>0</v>
      </c>
      <c r="K13" s="142">
        <v>0</v>
      </c>
      <c r="L13" s="142">
        <f t="shared" si="0"/>
        <v>3523</v>
      </c>
      <c r="N13" s="48" t="s">
        <v>106</v>
      </c>
      <c r="O13" s="48" t="s">
        <v>106</v>
      </c>
      <c r="P13" s="142">
        <v>0</v>
      </c>
      <c r="Q13" s="142">
        <v>0</v>
      </c>
      <c r="R13" s="142">
        <v>17</v>
      </c>
      <c r="S13" s="142">
        <v>7025</v>
      </c>
      <c r="T13" s="142">
        <v>1530</v>
      </c>
      <c r="U13" s="142">
        <v>24</v>
      </c>
      <c r="V13" s="142">
        <v>0</v>
      </c>
      <c r="W13" s="142">
        <v>0</v>
      </c>
      <c r="X13" s="142">
        <f t="shared" si="1"/>
        <v>8596</v>
      </c>
    </row>
    <row r="14" spans="1:24">
      <c r="A14" s="99">
        <v>1985</v>
      </c>
      <c r="B14" s="48" t="s">
        <v>106</v>
      </c>
      <c r="C14" s="48" t="s">
        <v>106</v>
      </c>
      <c r="D14" s="142">
        <v>0</v>
      </c>
      <c r="E14" s="142">
        <v>2462</v>
      </c>
      <c r="F14" s="142">
        <v>4619</v>
      </c>
      <c r="G14" s="142">
        <v>8857</v>
      </c>
      <c r="H14" s="142">
        <v>1961</v>
      </c>
      <c r="I14" s="142">
        <v>90</v>
      </c>
      <c r="J14" s="142">
        <v>0</v>
      </c>
      <c r="K14" s="142">
        <v>0</v>
      </c>
      <c r="L14" s="142">
        <f t="shared" si="0"/>
        <v>17989</v>
      </c>
      <c r="N14" s="48" t="s">
        <v>106</v>
      </c>
      <c r="O14" s="48" t="s">
        <v>106</v>
      </c>
      <c r="P14" s="142">
        <v>0</v>
      </c>
      <c r="Q14" s="142">
        <v>115</v>
      </c>
      <c r="R14" s="142">
        <v>254</v>
      </c>
      <c r="S14" s="142">
        <v>4052</v>
      </c>
      <c r="T14" s="142">
        <v>2252</v>
      </c>
      <c r="U14" s="142">
        <v>190</v>
      </c>
      <c r="V14" s="142">
        <v>0</v>
      </c>
      <c r="W14" s="142">
        <v>0</v>
      </c>
      <c r="X14" s="142">
        <f t="shared" si="1"/>
        <v>6863</v>
      </c>
    </row>
    <row r="15" spans="1:24">
      <c r="A15" s="99">
        <v>1986</v>
      </c>
      <c r="B15" s="48" t="s">
        <v>106</v>
      </c>
      <c r="C15" s="48" t="s">
        <v>106</v>
      </c>
      <c r="D15" s="142" t="s">
        <v>23</v>
      </c>
      <c r="E15" s="142">
        <v>270</v>
      </c>
      <c r="F15" s="142">
        <v>1555</v>
      </c>
      <c r="G15" s="142">
        <v>2624</v>
      </c>
      <c r="H15" s="142">
        <v>1296</v>
      </c>
      <c r="I15" s="142">
        <v>15</v>
      </c>
      <c r="J15" s="142" t="s">
        <v>23</v>
      </c>
      <c r="K15" s="142" t="s">
        <v>23</v>
      </c>
      <c r="L15" s="142">
        <f t="shared" si="0"/>
        <v>5760</v>
      </c>
      <c r="N15" s="48" t="s">
        <v>106</v>
      </c>
      <c r="O15" s="48" t="s">
        <v>106</v>
      </c>
      <c r="P15" s="142" t="s">
        <v>23</v>
      </c>
      <c r="Q15" s="142">
        <v>291</v>
      </c>
      <c r="R15" s="142">
        <v>2468</v>
      </c>
      <c r="S15" s="142">
        <v>3625</v>
      </c>
      <c r="T15" s="142">
        <v>1761</v>
      </c>
      <c r="U15" s="142">
        <v>0</v>
      </c>
      <c r="V15" s="142" t="s">
        <v>23</v>
      </c>
      <c r="W15" s="142" t="s">
        <v>23</v>
      </c>
      <c r="X15" s="142">
        <f t="shared" si="1"/>
        <v>8145</v>
      </c>
    </row>
    <row r="16" spans="1:24">
      <c r="A16" s="99">
        <v>1987</v>
      </c>
      <c r="B16" s="142" t="s">
        <v>23</v>
      </c>
      <c r="C16" s="142" t="s">
        <v>23</v>
      </c>
      <c r="D16" s="142" t="s">
        <v>23</v>
      </c>
      <c r="E16" s="142">
        <v>259</v>
      </c>
      <c r="F16" s="142">
        <v>3745</v>
      </c>
      <c r="G16" s="142">
        <v>4294</v>
      </c>
      <c r="H16" s="142">
        <v>2286</v>
      </c>
      <c r="I16" s="142">
        <v>1476</v>
      </c>
      <c r="J16" s="142" t="s">
        <v>23</v>
      </c>
      <c r="K16" s="142" t="s">
        <v>23</v>
      </c>
      <c r="L16" s="142">
        <f t="shared" si="0"/>
        <v>12060</v>
      </c>
      <c r="N16" s="142" t="s">
        <v>23</v>
      </c>
      <c r="O16" s="142" t="s">
        <v>23</v>
      </c>
      <c r="P16" s="142" t="s">
        <v>23</v>
      </c>
      <c r="Q16" s="142">
        <v>0</v>
      </c>
      <c r="R16" s="142">
        <v>930</v>
      </c>
      <c r="S16" s="142">
        <v>10663</v>
      </c>
      <c r="T16" s="142">
        <v>2713</v>
      </c>
      <c r="U16" s="142">
        <v>598</v>
      </c>
      <c r="V16" s="142" t="s">
        <v>23</v>
      </c>
      <c r="W16" s="142" t="s">
        <v>23</v>
      </c>
      <c r="X16" s="142">
        <f t="shared" si="1"/>
        <v>14904</v>
      </c>
    </row>
    <row r="17" spans="1:24">
      <c r="A17" s="99">
        <v>1988</v>
      </c>
      <c r="B17" s="142" t="s">
        <v>23</v>
      </c>
      <c r="C17" s="142" t="s">
        <v>23</v>
      </c>
      <c r="D17" s="142" t="s">
        <v>23</v>
      </c>
      <c r="E17" s="142">
        <v>1006</v>
      </c>
      <c r="F17" s="142">
        <v>7418</v>
      </c>
      <c r="G17" s="142">
        <v>7560</v>
      </c>
      <c r="H17" s="142">
        <v>1241</v>
      </c>
      <c r="I17" s="142">
        <v>11</v>
      </c>
      <c r="J17" s="142" t="s">
        <v>23</v>
      </c>
      <c r="K17" s="142" t="s">
        <v>23</v>
      </c>
      <c r="L17" s="142">
        <f t="shared" si="0"/>
        <v>17236</v>
      </c>
      <c r="N17" s="142" t="s">
        <v>23</v>
      </c>
      <c r="O17" s="142" t="s">
        <v>23</v>
      </c>
      <c r="P17" s="142" t="s">
        <v>23</v>
      </c>
      <c r="Q17" s="142">
        <v>8</v>
      </c>
      <c r="R17" s="142">
        <v>571</v>
      </c>
      <c r="S17" s="142">
        <v>10267</v>
      </c>
      <c r="T17" s="142">
        <v>1376</v>
      </c>
      <c r="U17" s="142">
        <v>16</v>
      </c>
      <c r="V17" s="142" t="s">
        <v>23</v>
      </c>
      <c r="W17" s="142" t="s">
        <v>23</v>
      </c>
      <c r="X17" s="142">
        <f t="shared" si="1"/>
        <v>12238</v>
      </c>
    </row>
    <row r="18" spans="1:24">
      <c r="A18" s="99">
        <v>1989</v>
      </c>
      <c r="B18" s="142" t="s">
        <v>23</v>
      </c>
      <c r="C18" s="142" t="s">
        <v>23</v>
      </c>
      <c r="D18" s="142" t="s">
        <v>23</v>
      </c>
      <c r="E18" s="142">
        <v>417</v>
      </c>
      <c r="F18" s="142">
        <v>3589</v>
      </c>
      <c r="G18" s="142">
        <v>17990</v>
      </c>
      <c r="H18" s="142">
        <v>3227</v>
      </c>
      <c r="I18" s="142">
        <v>52</v>
      </c>
      <c r="J18" s="142" t="s">
        <v>23</v>
      </c>
      <c r="K18" s="142" t="s">
        <v>23</v>
      </c>
      <c r="L18" s="142">
        <f t="shared" si="0"/>
        <v>25275</v>
      </c>
      <c r="N18" s="142" t="s">
        <v>23</v>
      </c>
      <c r="O18" s="142" t="s">
        <v>23</v>
      </c>
      <c r="P18" s="142" t="s">
        <v>23</v>
      </c>
      <c r="Q18" s="142">
        <v>43</v>
      </c>
      <c r="R18" s="142">
        <v>4882</v>
      </c>
      <c r="S18" s="142">
        <v>11662</v>
      </c>
      <c r="T18" s="142">
        <v>1835</v>
      </c>
      <c r="U18" s="142">
        <v>69</v>
      </c>
      <c r="V18" s="142" t="s">
        <v>23</v>
      </c>
      <c r="W18" s="142" t="s">
        <v>23</v>
      </c>
      <c r="X18" s="142">
        <f t="shared" si="1"/>
        <v>18491</v>
      </c>
    </row>
    <row r="19" spans="1:24">
      <c r="A19" s="99">
        <v>1990</v>
      </c>
      <c r="B19" s="142" t="s">
        <v>23</v>
      </c>
      <c r="C19" s="142" t="s">
        <v>23</v>
      </c>
      <c r="D19" s="142" t="s">
        <v>23</v>
      </c>
      <c r="E19" s="142">
        <v>118</v>
      </c>
      <c r="F19" s="142">
        <v>6451</v>
      </c>
      <c r="G19" s="142">
        <v>5975</v>
      </c>
      <c r="H19" s="142">
        <v>151</v>
      </c>
      <c r="I19" s="142">
        <v>22</v>
      </c>
      <c r="J19" s="142" t="s">
        <v>23</v>
      </c>
      <c r="K19" s="142" t="s">
        <v>23</v>
      </c>
      <c r="L19" s="142">
        <f t="shared" si="0"/>
        <v>12717</v>
      </c>
      <c r="N19" s="142" t="s">
        <v>23</v>
      </c>
      <c r="O19" s="142" t="s">
        <v>23</v>
      </c>
      <c r="P19" s="142" t="s">
        <v>23</v>
      </c>
      <c r="Q19" s="142">
        <v>11</v>
      </c>
      <c r="R19" s="142">
        <v>8953</v>
      </c>
      <c r="S19" s="142">
        <v>5933</v>
      </c>
      <c r="T19" s="142">
        <v>538</v>
      </c>
      <c r="U19" s="142">
        <v>22</v>
      </c>
      <c r="V19" s="142" t="s">
        <v>23</v>
      </c>
      <c r="W19" s="142" t="s">
        <v>23</v>
      </c>
      <c r="X19" s="142">
        <f t="shared" si="1"/>
        <v>15457</v>
      </c>
    </row>
    <row r="20" spans="1:24">
      <c r="A20" s="99">
        <v>1991</v>
      </c>
      <c r="B20" s="142" t="s">
        <v>23</v>
      </c>
      <c r="C20" s="142" t="s">
        <v>23</v>
      </c>
      <c r="D20" s="142" t="s">
        <v>23</v>
      </c>
      <c r="E20" s="142">
        <v>7</v>
      </c>
      <c r="F20" s="142">
        <v>1321</v>
      </c>
      <c r="G20" s="142">
        <v>1943</v>
      </c>
      <c r="H20" s="142">
        <v>35</v>
      </c>
      <c r="I20" s="142">
        <v>61</v>
      </c>
      <c r="J20" s="142" t="s">
        <v>23</v>
      </c>
      <c r="K20" s="142" t="s">
        <v>23</v>
      </c>
      <c r="L20" s="142">
        <f t="shared" si="0"/>
        <v>3367</v>
      </c>
      <c r="N20" s="142" t="s">
        <v>23</v>
      </c>
      <c r="O20" s="142" t="s">
        <v>23</v>
      </c>
      <c r="P20" s="142" t="s">
        <v>23</v>
      </c>
      <c r="Q20" s="142">
        <v>0</v>
      </c>
      <c r="R20" s="142">
        <v>8790</v>
      </c>
      <c r="S20" s="142">
        <v>9234</v>
      </c>
      <c r="T20" s="142">
        <v>100</v>
      </c>
      <c r="U20" s="142">
        <v>194</v>
      </c>
      <c r="V20" s="142" t="s">
        <v>23</v>
      </c>
      <c r="W20" s="142" t="s">
        <v>23</v>
      </c>
      <c r="X20" s="142">
        <f t="shared" si="1"/>
        <v>18318</v>
      </c>
    </row>
    <row r="21" spans="1:24">
      <c r="A21" s="99">
        <v>1992</v>
      </c>
      <c r="B21" s="142" t="s">
        <v>23</v>
      </c>
      <c r="C21" s="142" t="s">
        <v>23</v>
      </c>
      <c r="D21" s="142" t="s">
        <v>23</v>
      </c>
      <c r="E21" s="142" t="s">
        <v>23</v>
      </c>
      <c r="F21" s="142" t="s">
        <v>23</v>
      </c>
      <c r="G21" s="142">
        <v>842</v>
      </c>
      <c r="H21" s="142" t="s">
        <v>23</v>
      </c>
      <c r="I21" s="142">
        <v>47</v>
      </c>
      <c r="J21" s="142" t="s">
        <v>23</v>
      </c>
      <c r="K21" s="142" t="s">
        <v>23</v>
      </c>
      <c r="L21" s="142">
        <f t="shared" si="0"/>
        <v>889</v>
      </c>
      <c r="N21" s="142" t="s">
        <v>23</v>
      </c>
      <c r="O21" s="142" t="s">
        <v>23</v>
      </c>
      <c r="P21" s="142" t="s">
        <v>23</v>
      </c>
      <c r="Q21" s="142" t="s">
        <v>23</v>
      </c>
      <c r="R21" s="142" t="s">
        <v>23</v>
      </c>
      <c r="S21" s="142">
        <v>2642</v>
      </c>
      <c r="T21" s="142" t="s">
        <v>23</v>
      </c>
      <c r="U21" s="142">
        <v>198</v>
      </c>
      <c r="V21" s="142" t="s">
        <v>23</v>
      </c>
      <c r="W21" s="142" t="s">
        <v>23</v>
      </c>
      <c r="X21" s="142">
        <f t="shared" si="1"/>
        <v>2840</v>
      </c>
    </row>
    <row r="22" spans="1:24">
      <c r="A22" s="99">
        <v>1993</v>
      </c>
      <c r="B22" s="142" t="s">
        <v>23</v>
      </c>
      <c r="C22" s="142" t="s">
        <v>23</v>
      </c>
      <c r="D22" s="142" t="s">
        <v>23</v>
      </c>
      <c r="E22" s="142">
        <v>125</v>
      </c>
      <c r="F22" s="142">
        <v>38</v>
      </c>
      <c r="G22" s="142">
        <v>519</v>
      </c>
      <c r="H22" s="142">
        <v>406</v>
      </c>
      <c r="I22" s="142">
        <v>184</v>
      </c>
      <c r="J22" s="142" t="s">
        <v>23</v>
      </c>
      <c r="K22" s="142" t="s">
        <v>23</v>
      </c>
      <c r="L22" s="142">
        <f t="shared" si="0"/>
        <v>1272</v>
      </c>
      <c r="N22" s="142" t="s">
        <v>23</v>
      </c>
      <c r="O22" s="142" t="s">
        <v>23</v>
      </c>
      <c r="P22" s="142" t="s">
        <v>23</v>
      </c>
      <c r="Q22" s="142">
        <v>10</v>
      </c>
      <c r="R22" s="142">
        <v>62</v>
      </c>
      <c r="S22" s="142">
        <v>3638</v>
      </c>
      <c r="T22" s="142">
        <v>2731</v>
      </c>
      <c r="U22" s="142">
        <v>257</v>
      </c>
      <c r="V22" s="142" t="s">
        <v>23</v>
      </c>
      <c r="W22" s="142" t="s">
        <v>23</v>
      </c>
      <c r="X22" s="142">
        <f t="shared" si="1"/>
        <v>6698</v>
      </c>
    </row>
    <row r="23" spans="1:24">
      <c r="A23" s="99">
        <v>1994</v>
      </c>
      <c r="B23" s="142" t="s">
        <v>23</v>
      </c>
      <c r="C23" s="142" t="s">
        <v>23</v>
      </c>
      <c r="D23" s="142" t="s">
        <v>23</v>
      </c>
      <c r="E23" s="142">
        <v>4474</v>
      </c>
      <c r="F23" s="142">
        <v>1279</v>
      </c>
      <c r="G23" s="142" t="s">
        <v>23</v>
      </c>
      <c r="H23" s="142">
        <v>428</v>
      </c>
      <c r="I23" s="142">
        <v>140</v>
      </c>
      <c r="J23" s="142" t="s">
        <v>23</v>
      </c>
      <c r="K23" s="142" t="s">
        <v>23</v>
      </c>
      <c r="L23" s="142">
        <f t="shared" si="0"/>
        <v>6321</v>
      </c>
      <c r="N23" s="142" t="s">
        <v>23</v>
      </c>
      <c r="O23" s="142" t="s">
        <v>23</v>
      </c>
      <c r="P23" s="142" t="s">
        <v>23</v>
      </c>
      <c r="Q23" s="142">
        <v>3</v>
      </c>
      <c r="R23" s="142">
        <v>0</v>
      </c>
      <c r="S23" s="142" t="s">
        <v>23</v>
      </c>
      <c r="T23" s="142">
        <v>52</v>
      </c>
      <c r="U23" s="142">
        <v>2</v>
      </c>
      <c r="V23" s="142" t="s">
        <v>23</v>
      </c>
      <c r="W23" s="142" t="s">
        <v>23</v>
      </c>
      <c r="X23" s="142">
        <f t="shared" si="1"/>
        <v>57</v>
      </c>
    </row>
    <row r="24" spans="1:24">
      <c r="A24" s="99">
        <v>1995</v>
      </c>
      <c r="B24" s="142" t="s">
        <v>23</v>
      </c>
      <c r="C24" s="142" t="s">
        <v>23</v>
      </c>
      <c r="D24" s="142" t="s">
        <v>23</v>
      </c>
      <c r="E24" s="142">
        <v>656</v>
      </c>
      <c r="F24" s="142">
        <v>2971</v>
      </c>
      <c r="G24" s="142" t="s">
        <v>23</v>
      </c>
      <c r="H24" s="142">
        <v>334</v>
      </c>
      <c r="I24" s="142">
        <v>1595</v>
      </c>
      <c r="J24" s="142" t="s">
        <v>23</v>
      </c>
      <c r="K24" s="142" t="s">
        <v>23</v>
      </c>
      <c r="L24" s="142">
        <f t="shared" si="0"/>
        <v>5556</v>
      </c>
      <c r="N24" s="142" t="s">
        <v>23</v>
      </c>
      <c r="O24" s="142" t="s">
        <v>23</v>
      </c>
      <c r="P24" s="142" t="s">
        <v>23</v>
      </c>
      <c r="Q24" s="142">
        <v>7</v>
      </c>
      <c r="R24" s="142">
        <v>38</v>
      </c>
      <c r="S24" s="142" t="s">
        <v>23</v>
      </c>
      <c r="T24" s="142">
        <v>15</v>
      </c>
      <c r="U24" s="142">
        <v>13</v>
      </c>
      <c r="V24" s="142" t="s">
        <v>23</v>
      </c>
      <c r="W24" s="142" t="s">
        <v>23</v>
      </c>
      <c r="X24" s="142">
        <f t="shared" si="1"/>
        <v>73</v>
      </c>
    </row>
    <row r="25" spans="1:24">
      <c r="A25" s="99">
        <v>1996</v>
      </c>
      <c r="B25" s="142" t="s">
        <v>23</v>
      </c>
      <c r="C25" s="142" t="s">
        <v>23</v>
      </c>
      <c r="D25" s="142" t="s">
        <v>23</v>
      </c>
      <c r="E25" s="142">
        <v>315</v>
      </c>
      <c r="F25" s="142">
        <v>2253</v>
      </c>
      <c r="G25" s="142">
        <v>757</v>
      </c>
      <c r="H25" s="142">
        <v>341</v>
      </c>
      <c r="I25" s="142">
        <v>162</v>
      </c>
      <c r="J25" s="142" t="s">
        <v>23</v>
      </c>
      <c r="K25" s="142" t="s">
        <v>23</v>
      </c>
      <c r="L25" s="142">
        <f t="shared" si="0"/>
        <v>3828</v>
      </c>
      <c r="N25" s="142" t="s">
        <v>23</v>
      </c>
      <c r="O25" s="142" t="s">
        <v>23</v>
      </c>
      <c r="P25" s="142" t="s">
        <v>23</v>
      </c>
      <c r="Q25" s="142" t="s">
        <v>23</v>
      </c>
      <c r="R25" s="142">
        <v>67</v>
      </c>
      <c r="S25" s="142" t="s">
        <v>23</v>
      </c>
      <c r="T25" s="142">
        <v>15</v>
      </c>
      <c r="U25" s="142">
        <v>19</v>
      </c>
      <c r="V25" s="142" t="s">
        <v>23</v>
      </c>
      <c r="W25" s="142" t="s">
        <v>23</v>
      </c>
      <c r="X25" s="142">
        <f t="shared" si="1"/>
        <v>101</v>
      </c>
    </row>
    <row r="26" spans="1:24">
      <c r="A26" s="99">
        <v>1997</v>
      </c>
      <c r="B26" s="142" t="s">
        <v>23</v>
      </c>
      <c r="C26" s="142" t="s">
        <v>23</v>
      </c>
      <c r="D26" s="142" t="s">
        <v>23</v>
      </c>
      <c r="E26" s="142">
        <v>288</v>
      </c>
      <c r="F26" s="142">
        <v>540</v>
      </c>
      <c r="G26" s="142">
        <v>840</v>
      </c>
      <c r="H26" s="142">
        <v>849</v>
      </c>
      <c r="I26" s="142">
        <v>10</v>
      </c>
      <c r="J26" s="142" t="s">
        <v>23</v>
      </c>
      <c r="K26" s="142" t="s">
        <v>23</v>
      </c>
      <c r="L26" s="142">
        <f t="shared" si="0"/>
        <v>2527</v>
      </c>
      <c r="N26" s="142" t="s">
        <v>23</v>
      </c>
      <c r="O26" s="142" t="s">
        <v>23</v>
      </c>
      <c r="P26" s="142" t="s">
        <v>23</v>
      </c>
      <c r="Q26" s="142">
        <v>4</v>
      </c>
      <c r="R26" s="142" t="s">
        <v>23</v>
      </c>
      <c r="S26" s="142">
        <v>60</v>
      </c>
      <c r="T26" s="142">
        <v>13</v>
      </c>
      <c r="U26" s="142" t="s">
        <v>23</v>
      </c>
      <c r="V26" s="142" t="s">
        <v>23</v>
      </c>
      <c r="W26" s="142" t="s">
        <v>23</v>
      </c>
      <c r="X26" s="142">
        <f t="shared" si="1"/>
        <v>77</v>
      </c>
    </row>
    <row r="27" spans="1:24">
      <c r="A27" s="99">
        <v>1998</v>
      </c>
      <c r="B27" s="142" t="s">
        <v>23</v>
      </c>
      <c r="C27" s="142" t="s">
        <v>23</v>
      </c>
      <c r="D27" s="142" t="s">
        <v>23</v>
      </c>
      <c r="E27" s="142">
        <v>215</v>
      </c>
      <c r="F27" s="142">
        <v>687</v>
      </c>
      <c r="G27" s="142">
        <v>142</v>
      </c>
      <c r="H27" s="142">
        <v>59</v>
      </c>
      <c r="I27" s="142">
        <v>20</v>
      </c>
      <c r="J27" s="142" t="s">
        <v>23</v>
      </c>
      <c r="K27" s="142" t="s">
        <v>23</v>
      </c>
      <c r="L27" s="142">
        <f t="shared" si="0"/>
        <v>1123</v>
      </c>
      <c r="N27" s="142" t="s">
        <v>23</v>
      </c>
      <c r="O27" s="142" t="s">
        <v>23</v>
      </c>
      <c r="P27" s="142" t="s">
        <v>23</v>
      </c>
      <c r="Q27" s="142" t="s">
        <v>23</v>
      </c>
      <c r="R27" s="142">
        <v>10</v>
      </c>
      <c r="S27" s="142">
        <v>3</v>
      </c>
      <c r="T27" s="142">
        <v>3</v>
      </c>
      <c r="U27" s="142" t="s">
        <v>23</v>
      </c>
      <c r="V27" s="142" t="s">
        <v>23</v>
      </c>
      <c r="W27" s="142" t="s">
        <v>23</v>
      </c>
      <c r="X27" s="142">
        <f t="shared" si="1"/>
        <v>16</v>
      </c>
    </row>
    <row r="28" spans="1:24">
      <c r="A28" s="99">
        <v>1999</v>
      </c>
      <c r="B28" s="142" t="s">
        <v>23</v>
      </c>
      <c r="C28" s="142" t="s">
        <v>23</v>
      </c>
      <c r="D28" s="142" t="s">
        <v>23</v>
      </c>
      <c r="E28" s="142">
        <v>0</v>
      </c>
      <c r="F28" s="142">
        <v>134</v>
      </c>
      <c r="G28" s="142">
        <v>218</v>
      </c>
      <c r="H28" s="142">
        <v>590</v>
      </c>
      <c r="I28" s="142">
        <v>74</v>
      </c>
      <c r="J28" s="142" t="s">
        <v>23</v>
      </c>
      <c r="K28" s="142" t="s">
        <v>23</v>
      </c>
      <c r="L28" s="142">
        <f t="shared" si="0"/>
        <v>1016</v>
      </c>
      <c r="N28" s="142" t="s">
        <v>23</v>
      </c>
      <c r="O28" s="142" t="s">
        <v>23</v>
      </c>
      <c r="P28" s="142" t="s">
        <v>23</v>
      </c>
      <c r="Q28" s="142" t="s">
        <v>23</v>
      </c>
      <c r="R28" s="142">
        <v>4</v>
      </c>
      <c r="S28" s="142">
        <v>18</v>
      </c>
      <c r="T28" s="142">
        <v>19</v>
      </c>
      <c r="U28" s="142" t="s">
        <v>23</v>
      </c>
      <c r="V28" s="142" t="s">
        <v>23</v>
      </c>
      <c r="W28" s="142" t="s">
        <v>23</v>
      </c>
      <c r="X28" s="142">
        <f t="shared" si="1"/>
        <v>41</v>
      </c>
    </row>
    <row r="29" spans="1:24">
      <c r="A29" s="99">
        <v>2000</v>
      </c>
      <c r="B29" s="142" t="s">
        <v>23</v>
      </c>
      <c r="C29" s="142" t="s">
        <v>23</v>
      </c>
      <c r="D29" s="142" t="s">
        <v>23</v>
      </c>
      <c r="E29" s="142">
        <v>12</v>
      </c>
      <c r="F29" s="142">
        <v>522</v>
      </c>
      <c r="G29" s="142">
        <v>1443</v>
      </c>
      <c r="H29" s="142">
        <v>1454</v>
      </c>
      <c r="I29" s="142">
        <v>140</v>
      </c>
      <c r="J29" s="142" t="s">
        <v>23</v>
      </c>
      <c r="K29" s="142" t="s">
        <v>23</v>
      </c>
      <c r="L29" s="142">
        <f t="shared" si="0"/>
        <v>3571</v>
      </c>
      <c r="N29" s="142" t="s">
        <v>23</v>
      </c>
      <c r="O29" s="142" t="s">
        <v>23</v>
      </c>
      <c r="P29" s="142" t="s">
        <v>23</v>
      </c>
      <c r="Q29" s="142" t="s">
        <v>23</v>
      </c>
      <c r="R29" s="142" t="s">
        <v>23</v>
      </c>
      <c r="S29" s="142">
        <v>12</v>
      </c>
      <c r="T29" s="142">
        <v>57</v>
      </c>
      <c r="U29" s="142" t="s">
        <v>23</v>
      </c>
      <c r="V29" s="142" t="s">
        <v>23</v>
      </c>
      <c r="W29" s="142" t="s">
        <v>23</v>
      </c>
      <c r="X29" s="142">
        <f t="shared" si="1"/>
        <v>69</v>
      </c>
    </row>
    <row r="30" spans="1:24">
      <c r="A30" s="99">
        <v>2001</v>
      </c>
      <c r="B30" s="142" t="s">
        <v>23</v>
      </c>
      <c r="C30" s="142" t="s">
        <v>23</v>
      </c>
      <c r="D30" s="142" t="s">
        <v>23</v>
      </c>
      <c r="E30" s="142">
        <v>484</v>
      </c>
      <c r="F30" s="142">
        <v>607</v>
      </c>
      <c r="G30" s="142">
        <v>533</v>
      </c>
      <c r="H30" s="142">
        <v>507</v>
      </c>
      <c r="I30" s="142">
        <v>105</v>
      </c>
      <c r="J30" s="142" t="s">
        <v>23</v>
      </c>
      <c r="K30" s="142" t="s">
        <v>23</v>
      </c>
      <c r="L30" s="142">
        <f t="shared" si="0"/>
        <v>2236</v>
      </c>
      <c r="N30" s="142" t="s">
        <v>23</v>
      </c>
      <c r="O30" s="142" t="s">
        <v>23</v>
      </c>
      <c r="P30" s="142" t="s">
        <v>23</v>
      </c>
      <c r="Q30" s="142">
        <v>3</v>
      </c>
      <c r="R30" s="142">
        <v>52</v>
      </c>
      <c r="S30" s="142">
        <v>24</v>
      </c>
      <c r="T30" s="142">
        <v>16</v>
      </c>
      <c r="U30" s="142" t="s">
        <v>23</v>
      </c>
      <c r="V30" s="142" t="s">
        <v>23</v>
      </c>
      <c r="W30" s="142" t="s">
        <v>23</v>
      </c>
      <c r="X30" s="142">
        <f t="shared" si="1"/>
        <v>95</v>
      </c>
    </row>
    <row r="31" spans="1:24">
      <c r="A31" s="99">
        <v>2002</v>
      </c>
      <c r="B31" s="142" t="s">
        <v>23</v>
      </c>
      <c r="C31" s="142" t="s">
        <v>23</v>
      </c>
      <c r="D31" s="142" t="s">
        <v>23</v>
      </c>
      <c r="E31" s="142">
        <v>283</v>
      </c>
      <c r="F31" s="142">
        <v>245</v>
      </c>
      <c r="G31" s="142">
        <v>31</v>
      </c>
      <c r="H31" s="142">
        <v>392</v>
      </c>
      <c r="I31" s="142">
        <v>156</v>
      </c>
      <c r="J31" s="142" t="s">
        <v>23</v>
      </c>
      <c r="K31" s="142" t="s">
        <v>23</v>
      </c>
      <c r="L31" s="142">
        <f t="shared" si="0"/>
        <v>1107</v>
      </c>
      <c r="N31" s="142" t="s">
        <v>23</v>
      </c>
      <c r="O31" s="142" t="s">
        <v>23</v>
      </c>
      <c r="P31" s="142" t="s">
        <v>23</v>
      </c>
      <c r="Q31" s="142" t="s">
        <v>23</v>
      </c>
      <c r="R31" s="142">
        <v>26</v>
      </c>
      <c r="S31" s="142">
        <v>3</v>
      </c>
      <c r="T31" s="142">
        <v>4</v>
      </c>
      <c r="U31" s="142" t="s">
        <v>23</v>
      </c>
      <c r="V31" s="142" t="s">
        <v>23</v>
      </c>
      <c r="W31" s="142" t="s">
        <v>23</v>
      </c>
      <c r="X31" s="142">
        <f t="shared" si="1"/>
        <v>33</v>
      </c>
    </row>
    <row r="32" spans="1:24">
      <c r="A32" s="99">
        <v>2003</v>
      </c>
      <c r="B32" s="142" t="s">
        <v>23</v>
      </c>
      <c r="C32" s="142" t="s">
        <v>23</v>
      </c>
      <c r="D32" s="142" t="s">
        <v>23</v>
      </c>
      <c r="E32" s="142">
        <v>62</v>
      </c>
      <c r="F32" s="142">
        <v>76</v>
      </c>
      <c r="G32" s="142">
        <v>60</v>
      </c>
      <c r="H32" s="142">
        <v>90</v>
      </c>
      <c r="I32" s="142">
        <v>103</v>
      </c>
      <c r="J32" s="142" t="s">
        <v>23</v>
      </c>
      <c r="K32" s="142" t="s">
        <v>23</v>
      </c>
      <c r="L32" s="142">
        <f t="shared" si="0"/>
        <v>391</v>
      </c>
      <c r="N32" s="142" t="s">
        <v>23</v>
      </c>
      <c r="O32" s="142" t="s">
        <v>23</v>
      </c>
      <c r="P32" s="142" t="s">
        <v>23</v>
      </c>
      <c r="Q32" s="142" t="s">
        <v>23</v>
      </c>
      <c r="R32" s="142">
        <v>4</v>
      </c>
      <c r="S32" s="142" t="s">
        <v>23</v>
      </c>
      <c r="T32" s="142">
        <v>12</v>
      </c>
      <c r="U32" s="142" t="s">
        <v>23</v>
      </c>
      <c r="V32" s="142" t="s">
        <v>23</v>
      </c>
      <c r="W32" s="142" t="s">
        <v>23</v>
      </c>
      <c r="X32" s="142">
        <f t="shared" si="1"/>
        <v>16</v>
      </c>
    </row>
    <row r="33" spans="1:24">
      <c r="A33" s="99">
        <v>2004</v>
      </c>
      <c r="B33" s="142" t="s">
        <v>23</v>
      </c>
      <c r="C33" s="142" t="s">
        <v>23</v>
      </c>
      <c r="D33" s="142" t="s">
        <v>23</v>
      </c>
      <c r="E33" s="142">
        <v>487</v>
      </c>
      <c r="F33" s="142">
        <v>259</v>
      </c>
      <c r="G33" s="142">
        <v>172</v>
      </c>
      <c r="H33" s="142">
        <v>309</v>
      </c>
      <c r="I33" s="142">
        <v>63</v>
      </c>
      <c r="J33" s="142" t="s">
        <v>23</v>
      </c>
      <c r="K33" s="142" t="s">
        <v>23</v>
      </c>
      <c r="L33" s="142">
        <f t="shared" si="0"/>
        <v>1290</v>
      </c>
      <c r="N33" s="142" t="s">
        <v>23</v>
      </c>
      <c r="O33" s="142" t="s">
        <v>23</v>
      </c>
      <c r="P33" s="142" t="s">
        <v>23</v>
      </c>
      <c r="Q33" s="142">
        <v>8</v>
      </c>
      <c r="R33" s="142">
        <v>7</v>
      </c>
      <c r="S33" s="142">
        <v>40</v>
      </c>
      <c r="T33" s="142">
        <v>24</v>
      </c>
      <c r="U33" s="142" t="s">
        <v>23</v>
      </c>
      <c r="V33" s="142" t="s">
        <v>23</v>
      </c>
      <c r="W33" s="142" t="s">
        <v>23</v>
      </c>
      <c r="X33" s="142">
        <f t="shared" si="1"/>
        <v>79</v>
      </c>
    </row>
    <row r="34" spans="1:24">
      <c r="A34" s="99">
        <v>2005</v>
      </c>
      <c r="B34" s="142" t="s">
        <v>23</v>
      </c>
      <c r="C34" s="142" t="s">
        <v>23</v>
      </c>
      <c r="D34" s="142" t="s">
        <v>23</v>
      </c>
      <c r="E34" s="142">
        <v>11</v>
      </c>
      <c r="F34" s="142">
        <v>829</v>
      </c>
      <c r="G34" s="142">
        <v>389</v>
      </c>
      <c r="H34" s="142">
        <v>240</v>
      </c>
      <c r="I34" s="142">
        <v>29</v>
      </c>
      <c r="J34" s="142" t="s">
        <v>23</v>
      </c>
      <c r="K34" s="142" t="s">
        <v>23</v>
      </c>
      <c r="L34" s="142">
        <f t="shared" si="0"/>
        <v>1498</v>
      </c>
      <c r="N34" s="142" t="s">
        <v>23</v>
      </c>
      <c r="O34" s="142" t="s">
        <v>23</v>
      </c>
      <c r="P34" s="142" t="s">
        <v>23</v>
      </c>
      <c r="Q34" s="142" t="s">
        <v>23</v>
      </c>
      <c r="R34" s="142">
        <v>4</v>
      </c>
      <c r="S34" s="142" t="s">
        <v>23</v>
      </c>
      <c r="T34" s="142">
        <v>17</v>
      </c>
      <c r="U34" s="142" t="s">
        <v>23</v>
      </c>
      <c r="V34" s="142" t="s">
        <v>23</v>
      </c>
      <c r="W34" s="142" t="s">
        <v>23</v>
      </c>
      <c r="X34" s="142">
        <f t="shared" si="1"/>
        <v>21</v>
      </c>
    </row>
    <row r="35" spans="1:24">
      <c r="A35" s="99">
        <v>2006</v>
      </c>
      <c r="B35" s="142" t="s">
        <v>23</v>
      </c>
      <c r="C35" s="142" t="s">
        <v>23</v>
      </c>
      <c r="D35" s="142" t="s">
        <v>23</v>
      </c>
      <c r="E35" s="142">
        <v>252</v>
      </c>
      <c r="F35" s="142">
        <v>273</v>
      </c>
      <c r="G35" s="142">
        <v>216</v>
      </c>
      <c r="H35" s="142" t="s">
        <v>23</v>
      </c>
      <c r="I35" s="142">
        <v>15</v>
      </c>
      <c r="J35" s="142" t="s">
        <v>23</v>
      </c>
      <c r="K35" s="142" t="s">
        <v>23</v>
      </c>
      <c r="L35" s="142">
        <f t="shared" si="0"/>
        <v>756</v>
      </c>
      <c r="N35" s="142" t="s">
        <v>23</v>
      </c>
      <c r="O35" s="142" t="s">
        <v>23</v>
      </c>
      <c r="P35" s="142" t="s">
        <v>23</v>
      </c>
      <c r="Q35" s="142">
        <v>3</v>
      </c>
      <c r="R35" s="142">
        <v>9</v>
      </c>
      <c r="S35" s="142">
        <v>8</v>
      </c>
      <c r="T35" s="142" t="s">
        <v>23</v>
      </c>
      <c r="U35" s="142" t="s">
        <v>23</v>
      </c>
      <c r="V35" s="142" t="s">
        <v>23</v>
      </c>
      <c r="W35" s="142" t="s">
        <v>23</v>
      </c>
      <c r="X35" s="142">
        <f t="shared" si="1"/>
        <v>20</v>
      </c>
    </row>
    <row r="36" spans="1:24">
      <c r="A36" s="99">
        <v>2007</v>
      </c>
      <c r="B36" s="142" t="s">
        <v>23</v>
      </c>
      <c r="C36" s="142" t="s">
        <v>23</v>
      </c>
      <c r="D36" s="142" t="s">
        <v>23</v>
      </c>
      <c r="E36" s="142">
        <v>30</v>
      </c>
      <c r="F36" s="142">
        <v>198</v>
      </c>
      <c r="G36" s="142">
        <v>589</v>
      </c>
      <c r="H36" s="142">
        <v>27</v>
      </c>
      <c r="I36" s="142">
        <v>27</v>
      </c>
      <c r="J36" s="142" t="s">
        <v>23</v>
      </c>
      <c r="K36" s="142" t="s">
        <v>23</v>
      </c>
      <c r="L36" s="142">
        <f t="shared" si="0"/>
        <v>871</v>
      </c>
      <c r="N36" s="142" t="s">
        <v>23</v>
      </c>
      <c r="O36" s="142" t="s">
        <v>23</v>
      </c>
      <c r="P36" s="142" t="s">
        <v>23</v>
      </c>
      <c r="Q36" s="142" t="s">
        <v>23</v>
      </c>
      <c r="R36" s="142">
        <v>8</v>
      </c>
      <c r="S36" s="142">
        <v>43</v>
      </c>
      <c r="T36" s="142" t="s">
        <v>23</v>
      </c>
      <c r="U36" s="142">
        <v>5</v>
      </c>
      <c r="V36" s="142" t="s">
        <v>23</v>
      </c>
      <c r="W36" s="142" t="s">
        <v>23</v>
      </c>
      <c r="X36" s="142">
        <f t="shared" si="1"/>
        <v>56</v>
      </c>
    </row>
    <row r="37" spans="1:24">
      <c r="A37" s="99">
        <v>2008</v>
      </c>
      <c r="B37" s="142" t="s">
        <v>23</v>
      </c>
      <c r="C37" s="142" t="s">
        <v>23</v>
      </c>
      <c r="D37" s="142" t="s">
        <v>23</v>
      </c>
      <c r="E37" s="142" t="s">
        <v>23</v>
      </c>
      <c r="F37" s="142" t="s">
        <v>23</v>
      </c>
      <c r="G37" s="142" t="s">
        <v>23</v>
      </c>
      <c r="H37" s="142" t="s">
        <v>23</v>
      </c>
      <c r="I37" s="142" t="s">
        <v>23</v>
      </c>
      <c r="J37" s="142" t="s">
        <v>23</v>
      </c>
      <c r="K37" s="142" t="s">
        <v>23</v>
      </c>
      <c r="L37" s="142" t="s">
        <v>23</v>
      </c>
      <c r="N37" s="142" t="s">
        <v>23</v>
      </c>
      <c r="O37" s="142" t="s">
        <v>23</v>
      </c>
      <c r="P37" s="142" t="s">
        <v>23</v>
      </c>
      <c r="Q37" s="142" t="s">
        <v>23</v>
      </c>
      <c r="R37" s="142" t="s">
        <v>23</v>
      </c>
      <c r="S37" s="142" t="s">
        <v>23</v>
      </c>
      <c r="T37" s="142" t="s">
        <v>23</v>
      </c>
      <c r="U37" s="142" t="s">
        <v>23</v>
      </c>
      <c r="V37" s="142" t="s">
        <v>23</v>
      </c>
      <c r="W37" s="142" t="s">
        <v>23</v>
      </c>
      <c r="X37" s="142" t="s">
        <v>23</v>
      </c>
    </row>
    <row r="38" spans="1:24">
      <c r="A38" s="99">
        <v>2009</v>
      </c>
      <c r="B38" s="142" t="s">
        <v>23</v>
      </c>
      <c r="C38" s="142" t="s">
        <v>23</v>
      </c>
      <c r="D38" s="142" t="s">
        <v>23</v>
      </c>
      <c r="E38" s="142" t="s">
        <v>23</v>
      </c>
      <c r="F38" s="142" t="s">
        <v>23</v>
      </c>
      <c r="G38" s="142" t="s">
        <v>23</v>
      </c>
      <c r="H38" s="142">
        <v>36</v>
      </c>
      <c r="I38" s="142">
        <v>111</v>
      </c>
      <c r="J38" s="142" t="s">
        <v>23</v>
      </c>
      <c r="K38" s="142" t="s">
        <v>23</v>
      </c>
      <c r="L38" s="142">
        <f t="shared" ref="L38:L50" si="2">SUM(B38:K38)</f>
        <v>147</v>
      </c>
      <c r="N38" s="142" t="s">
        <v>23</v>
      </c>
      <c r="O38" s="142" t="s">
        <v>23</v>
      </c>
      <c r="P38" s="142" t="s">
        <v>23</v>
      </c>
      <c r="Q38" s="142" t="s">
        <v>23</v>
      </c>
      <c r="R38" s="142" t="s">
        <v>23</v>
      </c>
      <c r="S38" s="142" t="s">
        <v>23</v>
      </c>
      <c r="T38" s="142" t="s">
        <v>23</v>
      </c>
      <c r="U38" s="142">
        <v>3</v>
      </c>
      <c r="V38" s="142" t="s">
        <v>23</v>
      </c>
      <c r="W38" s="142" t="s">
        <v>23</v>
      </c>
      <c r="X38" s="142">
        <f>SUM(N38:W38)</f>
        <v>3</v>
      </c>
    </row>
    <row r="39" spans="1:24">
      <c r="A39" s="99">
        <v>2010</v>
      </c>
      <c r="B39" s="142" t="s">
        <v>23</v>
      </c>
      <c r="C39" s="142" t="s">
        <v>23</v>
      </c>
      <c r="D39" s="142" t="s">
        <v>23</v>
      </c>
      <c r="E39" s="142">
        <v>0</v>
      </c>
      <c r="F39" s="142">
        <v>0</v>
      </c>
      <c r="G39" s="142">
        <v>0</v>
      </c>
      <c r="H39" s="142">
        <v>0</v>
      </c>
      <c r="I39" s="142">
        <v>0</v>
      </c>
      <c r="J39" s="142" t="s">
        <v>23</v>
      </c>
      <c r="K39" s="142" t="s">
        <v>23</v>
      </c>
      <c r="L39" s="142">
        <f t="shared" si="2"/>
        <v>0</v>
      </c>
      <c r="N39" s="142" t="s">
        <v>23</v>
      </c>
      <c r="O39" s="142" t="s">
        <v>23</v>
      </c>
      <c r="P39" s="142" t="s">
        <v>23</v>
      </c>
      <c r="Q39" s="142" t="s">
        <v>23</v>
      </c>
      <c r="R39" s="142" t="s">
        <v>23</v>
      </c>
      <c r="S39" s="142" t="s">
        <v>23</v>
      </c>
      <c r="T39" s="142" t="s">
        <v>23</v>
      </c>
      <c r="U39" s="142" t="s">
        <v>23</v>
      </c>
      <c r="V39" s="142" t="s">
        <v>23</v>
      </c>
      <c r="W39" s="142" t="s">
        <v>23</v>
      </c>
      <c r="X39" s="142" t="s">
        <v>23</v>
      </c>
    </row>
    <row r="40" spans="1:24">
      <c r="A40" s="99">
        <v>2011</v>
      </c>
      <c r="B40" s="142" t="s">
        <v>23</v>
      </c>
      <c r="C40" s="142" t="s">
        <v>23</v>
      </c>
      <c r="D40" s="142" t="s">
        <v>23</v>
      </c>
      <c r="E40" s="142">
        <v>36</v>
      </c>
      <c r="F40" s="142">
        <v>12</v>
      </c>
      <c r="G40" s="142">
        <v>42</v>
      </c>
      <c r="H40" s="142">
        <v>18</v>
      </c>
      <c r="I40" s="142">
        <v>5</v>
      </c>
      <c r="J40" s="142" t="s">
        <v>23</v>
      </c>
      <c r="K40" s="142" t="s">
        <v>23</v>
      </c>
      <c r="L40" s="142">
        <f t="shared" si="2"/>
        <v>113</v>
      </c>
      <c r="N40" s="142" t="s">
        <v>23</v>
      </c>
      <c r="O40" s="142" t="s">
        <v>23</v>
      </c>
      <c r="P40" s="142" t="s">
        <v>23</v>
      </c>
      <c r="Q40" s="142" t="s">
        <v>23</v>
      </c>
      <c r="R40" s="142" t="s">
        <v>23</v>
      </c>
      <c r="S40" s="142" t="s">
        <v>23</v>
      </c>
      <c r="T40" s="142" t="s">
        <v>23</v>
      </c>
      <c r="U40" s="142" t="s">
        <v>23</v>
      </c>
      <c r="V40" s="142" t="s">
        <v>23</v>
      </c>
      <c r="W40" s="142" t="s">
        <v>23</v>
      </c>
      <c r="X40" s="142" t="s">
        <v>23</v>
      </c>
    </row>
    <row r="41" spans="1:24">
      <c r="A41" s="99">
        <v>2012</v>
      </c>
      <c r="B41" s="142" t="s">
        <v>23</v>
      </c>
      <c r="C41" s="142" t="s">
        <v>23</v>
      </c>
      <c r="D41" s="142" t="s">
        <v>23</v>
      </c>
      <c r="E41" s="142">
        <v>115</v>
      </c>
      <c r="F41" s="142">
        <v>761</v>
      </c>
      <c r="G41" s="142">
        <v>4761</v>
      </c>
      <c r="H41" s="142">
        <v>1469</v>
      </c>
      <c r="I41" s="142">
        <v>326</v>
      </c>
      <c r="J41" s="142" t="s">
        <v>23</v>
      </c>
      <c r="K41" s="142" t="s">
        <v>23</v>
      </c>
      <c r="L41" s="142">
        <f t="shared" si="2"/>
        <v>7432</v>
      </c>
      <c r="N41" s="142" t="s">
        <v>23</v>
      </c>
      <c r="O41" s="142" t="s">
        <v>23</v>
      </c>
      <c r="P41" s="142" t="s">
        <v>23</v>
      </c>
      <c r="Q41" s="142" t="s">
        <v>23</v>
      </c>
      <c r="R41" s="142">
        <v>23</v>
      </c>
      <c r="S41" s="142">
        <v>27</v>
      </c>
      <c r="T41" s="142" t="s">
        <v>23</v>
      </c>
      <c r="U41" s="142" t="s">
        <v>23</v>
      </c>
      <c r="V41" s="142" t="s">
        <v>23</v>
      </c>
      <c r="W41" s="142" t="s">
        <v>23</v>
      </c>
      <c r="X41" s="142">
        <f>SUM(N41:W41)</f>
        <v>50</v>
      </c>
    </row>
    <row r="42" spans="1:24">
      <c r="A42" s="99">
        <v>2013</v>
      </c>
      <c r="B42" s="142" t="s">
        <v>23</v>
      </c>
      <c r="C42" s="142" t="s">
        <v>23</v>
      </c>
      <c r="D42" s="142" t="s">
        <v>23</v>
      </c>
      <c r="E42" s="142">
        <v>140</v>
      </c>
      <c r="F42" s="142">
        <v>2913</v>
      </c>
      <c r="G42" s="142">
        <v>2726</v>
      </c>
      <c r="H42" s="142">
        <v>284</v>
      </c>
      <c r="I42" s="142">
        <v>0</v>
      </c>
      <c r="J42" s="142" t="s">
        <v>23</v>
      </c>
      <c r="K42" s="142" t="s">
        <v>23</v>
      </c>
      <c r="L42" s="142">
        <f t="shared" si="2"/>
        <v>6063</v>
      </c>
      <c r="N42" s="142" t="s">
        <v>23</v>
      </c>
      <c r="O42" s="142" t="s">
        <v>23</v>
      </c>
      <c r="P42" s="142" t="s">
        <v>23</v>
      </c>
      <c r="Q42" s="142" t="s">
        <v>23</v>
      </c>
      <c r="R42" s="142">
        <v>22</v>
      </c>
      <c r="S42" s="142">
        <v>19</v>
      </c>
      <c r="T42" s="142" t="s">
        <v>23</v>
      </c>
      <c r="U42" s="142" t="s">
        <v>23</v>
      </c>
      <c r="V42" s="142" t="s">
        <v>23</v>
      </c>
      <c r="W42" s="142" t="s">
        <v>23</v>
      </c>
      <c r="X42" s="142">
        <f>SUM(N42:W42)</f>
        <v>41</v>
      </c>
    </row>
    <row r="43" spans="1:24">
      <c r="A43" s="99">
        <v>2014</v>
      </c>
      <c r="B43" s="142" t="s">
        <v>23</v>
      </c>
      <c r="C43" s="142" t="s">
        <v>23</v>
      </c>
      <c r="D43" s="142" t="s">
        <v>23</v>
      </c>
      <c r="E43" s="142">
        <v>1522</v>
      </c>
      <c r="F43" s="142">
        <v>402</v>
      </c>
      <c r="G43" s="142">
        <v>1284</v>
      </c>
      <c r="H43" s="142">
        <v>25</v>
      </c>
      <c r="I43" s="142">
        <v>0</v>
      </c>
      <c r="J43" s="142" t="s">
        <v>23</v>
      </c>
      <c r="K43" s="142" t="s">
        <v>23</v>
      </c>
      <c r="L43" s="142">
        <f t="shared" si="2"/>
        <v>3233</v>
      </c>
      <c r="N43" s="142" t="s">
        <v>23</v>
      </c>
      <c r="O43" s="142" t="s">
        <v>23</v>
      </c>
      <c r="P43" s="142" t="s">
        <v>23</v>
      </c>
      <c r="Q43" s="142" t="s">
        <v>23</v>
      </c>
      <c r="R43" s="142">
        <v>16</v>
      </c>
      <c r="S43" s="142">
        <v>50</v>
      </c>
      <c r="T43" s="142" t="s">
        <v>23</v>
      </c>
      <c r="U43" s="142" t="s">
        <v>23</v>
      </c>
      <c r="V43" s="142" t="s">
        <v>23</v>
      </c>
      <c r="W43" s="142" t="s">
        <v>23</v>
      </c>
      <c r="X43" s="142">
        <f>SUM(N43:W43)</f>
        <v>66</v>
      </c>
    </row>
    <row r="44" spans="1:24">
      <c r="A44" s="99">
        <v>2015</v>
      </c>
      <c r="B44" s="142" t="s">
        <v>23</v>
      </c>
      <c r="C44" s="142" t="s">
        <v>23</v>
      </c>
      <c r="D44" s="142" t="s">
        <v>23</v>
      </c>
      <c r="E44" s="142">
        <v>23</v>
      </c>
      <c r="F44" s="142">
        <v>19</v>
      </c>
      <c r="G44" s="142">
        <v>0</v>
      </c>
      <c r="H44" s="142">
        <v>22</v>
      </c>
      <c r="I44" s="142">
        <v>0</v>
      </c>
      <c r="J44" s="142" t="s">
        <v>23</v>
      </c>
      <c r="K44" s="142" t="s">
        <v>23</v>
      </c>
      <c r="L44" s="142">
        <f t="shared" si="2"/>
        <v>64</v>
      </c>
      <c r="N44" s="142" t="s">
        <v>23</v>
      </c>
      <c r="O44" s="142" t="s">
        <v>23</v>
      </c>
      <c r="P44" s="142" t="s">
        <v>23</v>
      </c>
      <c r="Q44" s="142" t="s">
        <v>23</v>
      </c>
      <c r="R44" s="142" t="s">
        <v>23</v>
      </c>
      <c r="S44" s="142" t="s">
        <v>23</v>
      </c>
      <c r="T44" s="142" t="s">
        <v>23</v>
      </c>
      <c r="U44" s="142" t="s">
        <v>23</v>
      </c>
      <c r="V44" s="142" t="s">
        <v>23</v>
      </c>
      <c r="W44" s="142" t="s">
        <v>23</v>
      </c>
      <c r="X44" s="142" t="s">
        <v>23</v>
      </c>
    </row>
    <row r="45" spans="1:24">
      <c r="A45" s="99">
        <v>2016</v>
      </c>
      <c r="B45" s="142" t="s">
        <v>23</v>
      </c>
      <c r="C45" s="142" t="s">
        <v>23</v>
      </c>
      <c r="D45" s="142" t="s">
        <v>23</v>
      </c>
      <c r="E45" s="142">
        <v>4</v>
      </c>
      <c r="F45" s="142">
        <v>9</v>
      </c>
      <c r="G45" s="142">
        <v>20</v>
      </c>
      <c r="H45" s="142">
        <v>0</v>
      </c>
      <c r="I45" s="142">
        <v>0</v>
      </c>
      <c r="J45" s="142" t="s">
        <v>23</v>
      </c>
      <c r="K45" s="142" t="s">
        <v>23</v>
      </c>
      <c r="L45" s="142">
        <f t="shared" si="2"/>
        <v>33</v>
      </c>
      <c r="N45" s="142" t="s">
        <v>23</v>
      </c>
      <c r="O45" s="142" t="s">
        <v>23</v>
      </c>
      <c r="P45" s="142" t="s">
        <v>23</v>
      </c>
      <c r="Q45" s="142" t="s">
        <v>23</v>
      </c>
      <c r="R45" s="142" t="s">
        <v>23</v>
      </c>
      <c r="S45" s="142" t="s">
        <v>23</v>
      </c>
      <c r="T45" s="142" t="s">
        <v>23</v>
      </c>
      <c r="U45" s="142" t="s">
        <v>23</v>
      </c>
      <c r="V45" s="142" t="s">
        <v>23</v>
      </c>
      <c r="W45" s="142" t="s">
        <v>23</v>
      </c>
      <c r="X45" s="142" t="s">
        <v>23</v>
      </c>
    </row>
    <row r="46" spans="1:24">
      <c r="A46" s="99">
        <v>2017</v>
      </c>
      <c r="B46" s="142" t="s">
        <v>23</v>
      </c>
      <c r="C46" s="142" t="s">
        <v>23</v>
      </c>
      <c r="D46" s="142" t="s">
        <v>23</v>
      </c>
      <c r="E46" s="142" t="s">
        <v>23</v>
      </c>
      <c r="F46" s="142" t="s">
        <v>23</v>
      </c>
      <c r="G46" s="142" t="s">
        <v>23</v>
      </c>
      <c r="H46" s="142" t="s">
        <v>23</v>
      </c>
      <c r="I46" s="142" t="s">
        <v>23</v>
      </c>
      <c r="J46" s="142" t="s">
        <v>23</v>
      </c>
      <c r="K46" s="142" t="s">
        <v>23</v>
      </c>
      <c r="L46" s="142" t="s">
        <v>23</v>
      </c>
      <c r="N46" s="142" t="s">
        <v>23</v>
      </c>
      <c r="O46" s="142" t="s">
        <v>23</v>
      </c>
      <c r="P46" s="142" t="s">
        <v>23</v>
      </c>
      <c r="Q46" s="142" t="s">
        <v>23</v>
      </c>
      <c r="R46" s="142" t="s">
        <v>23</v>
      </c>
      <c r="S46" s="142" t="s">
        <v>23</v>
      </c>
      <c r="T46" s="142" t="s">
        <v>23</v>
      </c>
      <c r="U46" s="142" t="s">
        <v>23</v>
      </c>
      <c r="V46" s="142" t="s">
        <v>23</v>
      </c>
      <c r="W46" s="142" t="s">
        <v>23</v>
      </c>
      <c r="X46" s="142" t="s">
        <v>23</v>
      </c>
    </row>
    <row r="47" spans="1:24">
      <c r="A47" s="99">
        <v>2018</v>
      </c>
      <c r="B47" s="142" t="s">
        <v>23</v>
      </c>
      <c r="C47" s="142" t="s">
        <v>23</v>
      </c>
      <c r="D47" s="142" t="s">
        <v>23</v>
      </c>
      <c r="E47" s="142" t="s">
        <v>23</v>
      </c>
      <c r="F47" s="142">
        <v>124</v>
      </c>
      <c r="G47" s="142">
        <v>128</v>
      </c>
      <c r="H47" s="142">
        <v>76</v>
      </c>
      <c r="I47" s="142">
        <v>0</v>
      </c>
      <c r="J47" s="142" t="s">
        <v>23</v>
      </c>
      <c r="K47" s="142" t="s">
        <v>23</v>
      </c>
      <c r="L47" s="142">
        <f t="shared" si="2"/>
        <v>328</v>
      </c>
      <c r="N47" s="142" t="s">
        <v>23</v>
      </c>
      <c r="O47" s="142" t="s">
        <v>23</v>
      </c>
      <c r="P47" s="142" t="s">
        <v>23</v>
      </c>
      <c r="Q47" s="142" t="s">
        <v>23</v>
      </c>
      <c r="R47" s="142">
        <v>8</v>
      </c>
      <c r="S47" s="142">
        <v>16</v>
      </c>
      <c r="T47" s="142" t="s">
        <v>23</v>
      </c>
      <c r="U47" s="142" t="s">
        <v>23</v>
      </c>
      <c r="V47" s="142" t="s">
        <v>23</v>
      </c>
      <c r="W47" s="142" t="s">
        <v>23</v>
      </c>
      <c r="X47" s="142">
        <f>SUM(N47:W47)</f>
        <v>24</v>
      </c>
    </row>
    <row r="48" spans="1:24">
      <c r="A48" s="239">
        <v>2019</v>
      </c>
      <c r="B48" s="142" t="s">
        <v>23</v>
      </c>
      <c r="C48" s="142" t="s">
        <v>23</v>
      </c>
      <c r="D48" s="142" t="s">
        <v>23</v>
      </c>
      <c r="E48" s="142">
        <v>1</v>
      </c>
      <c r="F48" s="142">
        <v>33</v>
      </c>
      <c r="G48" s="142">
        <v>10</v>
      </c>
      <c r="H48" s="142">
        <v>13</v>
      </c>
      <c r="I48" s="142">
        <v>4</v>
      </c>
      <c r="J48" s="142" t="s">
        <v>23</v>
      </c>
      <c r="K48" s="142" t="s">
        <v>23</v>
      </c>
      <c r="L48" s="142">
        <f t="shared" ref="L48:L49" si="3">SUM(B48:K48)</f>
        <v>61</v>
      </c>
      <c r="N48" s="142" t="s">
        <v>23</v>
      </c>
      <c r="O48" s="142" t="s">
        <v>23</v>
      </c>
      <c r="P48" s="142" t="s">
        <v>23</v>
      </c>
      <c r="Q48" s="142" t="s">
        <v>23</v>
      </c>
      <c r="R48" s="142" t="s">
        <v>23</v>
      </c>
      <c r="S48" s="142">
        <v>4</v>
      </c>
      <c r="T48" s="142">
        <v>4</v>
      </c>
      <c r="U48" s="142" t="s">
        <v>23</v>
      </c>
      <c r="V48" s="142" t="s">
        <v>23</v>
      </c>
      <c r="W48" s="142" t="s">
        <v>23</v>
      </c>
      <c r="X48" s="142">
        <f>SUM(N48:W48)</f>
        <v>8</v>
      </c>
    </row>
    <row r="49" spans="1:24" ht="13">
      <c r="A49" s="239" t="s">
        <v>343</v>
      </c>
      <c r="B49" s="142" t="s">
        <v>23</v>
      </c>
      <c r="C49" s="142" t="s">
        <v>23</v>
      </c>
      <c r="D49" s="142" t="s">
        <v>23</v>
      </c>
      <c r="E49" s="142" t="s">
        <v>23</v>
      </c>
      <c r="F49" s="142" t="s">
        <v>106</v>
      </c>
      <c r="G49" s="142">
        <v>318</v>
      </c>
      <c r="H49" s="142">
        <v>65</v>
      </c>
      <c r="I49" s="142" t="s">
        <v>23</v>
      </c>
      <c r="J49" s="142" t="s">
        <v>23</v>
      </c>
      <c r="K49" s="142" t="s">
        <v>23</v>
      </c>
      <c r="L49" s="142">
        <f t="shared" si="3"/>
        <v>383</v>
      </c>
      <c r="N49" s="142" t="s">
        <v>23</v>
      </c>
      <c r="O49" s="142" t="s">
        <v>23</v>
      </c>
      <c r="P49" s="142" t="s">
        <v>23</v>
      </c>
      <c r="Q49" s="142" t="s">
        <v>23</v>
      </c>
      <c r="R49" s="142" t="s">
        <v>23</v>
      </c>
      <c r="S49" s="142">
        <v>14</v>
      </c>
      <c r="T49" s="142" t="s">
        <v>23</v>
      </c>
      <c r="U49" s="142" t="s">
        <v>23</v>
      </c>
      <c r="V49" s="142" t="s">
        <v>23</v>
      </c>
      <c r="W49" s="142" t="s">
        <v>23</v>
      </c>
      <c r="X49" s="142">
        <f>SUM(N49:W49)</f>
        <v>14</v>
      </c>
    </row>
    <row r="50" spans="1:24" ht="13">
      <c r="A50" s="239" t="s">
        <v>317</v>
      </c>
      <c r="B50" s="142" t="s">
        <v>23</v>
      </c>
      <c r="C50" s="142" t="s">
        <v>23</v>
      </c>
      <c r="D50" s="142" t="s">
        <v>23</v>
      </c>
      <c r="E50" s="142" t="s">
        <v>23</v>
      </c>
      <c r="F50" s="142">
        <v>16</v>
      </c>
      <c r="G50" s="142">
        <v>73</v>
      </c>
      <c r="H50" s="142">
        <v>0</v>
      </c>
      <c r="I50" s="142" t="s">
        <v>23</v>
      </c>
      <c r="J50" s="142" t="s">
        <v>23</v>
      </c>
      <c r="K50" s="142" t="s">
        <v>23</v>
      </c>
      <c r="L50" s="142">
        <f t="shared" si="2"/>
        <v>89</v>
      </c>
      <c r="N50" s="142" t="s">
        <v>23</v>
      </c>
      <c r="O50" s="142" t="s">
        <v>23</v>
      </c>
      <c r="P50" s="142" t="s">
        <v>23</v>
      </c>
      <c r="Q50" s="142" t="s">
        <v>23</v>
      </c>
      <c r="R50" s="142" t="s">
        <v>23</v>
      </c>
      <c r="S50" s="142" t="s">
        <v>23</v>
      </c>
      <c r="T50" s="142" t="s">
        <v>23</v>
      </c>
      <c r="U50" s="142" t="s">
        <v>23</v>
      </c>
      <c r="V50" s="142" t="s">
        <v>23</v>
      </c>
      <c r="W50" s="142" t="s">
        <v>23</v>
      </c>
      <c r="X50" s="142">
        <f>SUM(N50:W50)</f>
        <v>0</v>
      </c>
    </row>
    <row r="51" spans="1:24" ht="16">
      <c r="N51" s="218"/>
      <c r="O51" s="218"/>
      <c r="P51" s="218"/>
      <c r="Q51" s="218"/>
      <c r="R51" s="218"/>
      <c r="S51" s="218"/>
      <c r="T51" s="218"/>
      <c r="U51" s="218"/>
      <c r="V51" s="218"/>
      <c r="W51" s="218"/>
    </row>
    <row r="52" spans="1:24" ht="16">
      <c r="A52" s="94" t="s">
        <v>17</v>
      </c>
      <c r="N52" s="218"/>
      <c r="O52" s="218"/>
      <c r="P52" s="218"/>
      <c r="Q52" s="218"/>
      <c r="R52" s="218"/>
      <c r="S52" s="218"/>
      <c r="T52" s="218"/>
      <c r="U52" s="218"/>
      <c r="V52" s="218"/>
      <c r="W52" s="218"/>
    </row>
    <row r="53" spans="1:24">
      <c r="A53" s="99">
        <v>1976</v>
      </c>
      <c r="B53" s="48" t="s">
        <v>106</v>
      </c>
      <c r="C53" s="48" t="s">
        <v>106</v>
      </c>
      <c r="D53" s="142">
        <v>0</v>
      </c>
      <c r="E53" s="142">
        <v>15</v>
      </c>
      <c r="F53" s="142">
        <v>3698</v>
      </c>
      <c r="G53" s="142">
        <v>2460</v>
      </c>
      <c r="H53" s="142">
        <v>819</v>
      </c>
      <c r="I53" s="142">
        <v>119</v>
      </c>
      <c r="J53" s="142">
        <v>0</v>
      </c>
      <c r="K53" s="142">
        <v>0</v>
      </c>
      <c r="L53" s="142">
        <f t="shared" ref="L53:L84" si="4">SUM(B53:K53)</f>
        <v>7111</v>
      </c>
      <c r="N53" s="48" t="s">
        <v>106</v>
      </c>
      <c r="O53" s="48" t="s">
        <v>106</v>
      </c>
      <c r="P53" s="142">
        <v>0</v>
      </c>
      <c r="Q53" s="142">
        <v>173</v>
      </c>
      <c r="R53" s="142">
        <v>8529</v>
      </c>
      <c r="S53" s="142">
        <v>7622</v>
      </c>
      <c r="T53" s="142">
        <v>3341</v>
      </c>
      <c r="U53" s="142">
        <v>180</v>
      </c>
      <c r="V53" s="142">
        <v>0</v>
      </c>
      <c r="W53" s="142">
        <v>0</v>
      </c>
      <c r="X53" s="142">
        <f t="shared" ref="X53:X84" si="5">SUM(N53:W53)</f>
        <v>19845</v>
      </c>
    </row>
    <row r="54" spans="1:24">
      <c r="A54" s="99">
        <v>1977</v>
      </c>
      <c r="B54" s="48" t="s">
        <v>106</v>
      </c>
      <c r="C54" s="48" t="s">
        <v>106</v>
      </c>
      <c r="D54" s="142">
        <v>0</v>
      </c>
      <c r="E54" s="142">
        <v>768</v>
      </c>
      <c r="F54" s="142">
        <v>309</v>
      </c>
      <c r="G54" s="142">
        <v>10141</v>
      </c>
      <c r="H54" s="142">
        <v>1991</v>
      </c>
      <c r="I54" s="142">
        <v>52</v>
      </c>
      <c r="J54" s="142">
        <v>0</v>
      </c>
      <c r="K54" s="142">
        <v>0</v>
      </c>
      <c r="L54" s="142">
        <f t="shared" si="4"/>
        <v>13261</v>
      </c>
      <c r="N54" s="48" t="s">
        <v>106</v>
      </c>
      <c r="O54" s="48" t="s">
        <v>106</v>
      </c>
      <c r="P54" s="142">
        <v>0</v>
      </c>
      <c r="Q54" s="142">
        <v>285</v>
      </c>
      <c r="R54" s="142">
        <v>30</v>
      </c>
      <c r="S54" s="142">
        <v>3474</v>
      </c>
      <c r="T54" s="142">
        <v>2013</v>
      </c>
      <c r="U54" s="142">
        <v>102</v>
      </c>
      <c r="V54" s="142">
        <v>1</v>
      </c>
      <c r="W54" s="142">
        <v>0</v>
      </c>
      <c r="X54" s="142">
        <f t="shared" si="5"/>
        <v>5905</v>
      </c>
    </row>
    <row r="55" spans="1:24">
      <c r="A55" s="99">
        <v>1978</v>
      </c>
      <c r="B55" s="48" t="s">
        <v>106</v>
      </c>
      <c r="C55" s="48" t="s">
        <v>106</v>
      </c>
      <c r="D55" s="142">
        <v>0</v>
      </c>
      <c r="E55" s="142">
        <v>0</v>
      </c>
      <c r="F55" s="142">
        <v>713</v>
      </c>
      <c r="G55" s="142">
        <v>1117</v>
      </c>
      <c r="H55" s="142">
        <v>478</v>
      </c>
      <c r="I55" s="142">
        <v>0</v>
      </c>
      <c r="J55" s="142">
        <v>0</v>
      </c>
      <c r="K55" s="142">
        <v>0</v>
      </c>
      <c r="L55" s="142">
        <f t="shared" si="4"/>
        <v>2308</v>
      </c>
      <c r="N55" s="48" t="s">
        <v>106</v>
      </c>
      <c r="O55" s="48" t="s">
        <v>106</v>
      </c>
      <c r="P55" s="142">
        <v>0</v>
      </c>
      <c r="Q55" s="142">
        <v>0</v>
      </c>
      <c r="R55" s="142">
        <v>7854</v>
      </c>
      <c r="S55" s="142">
        <v>9697</v>
      </c>
      <c r="T55" s="142">
        <v>1390</v>
      </c>
      <c r="U55" s="142">
        <v>31</v>
      </c>
      <c r="V55" s="142">
        <v>0</v>
      </c>
      <c r="W55" s="142">
        <v>0</v>
      </c>
      <c r="X55" s="142">
        <f t="shared" si="5"/>
        <v>18972</v>
      </c>
    </row>
    <row r="56" spans="1:24">
      <c r="A56" s="99">
        <v>1979</v>
      </c>
      <c r="B56" s="48" t="s">
        <v>106</v>
      </c>
      <c r="C56" s="48" t="s">
        <v>106</v>
      </c>
      <c r="D56" s="142">
        <v>1</v>
      </c>
      <c r="E56" s="142">
        <v>8</v>
      </c>
      <c r="F56" s="142">
        <v>721</v>
      </c>
      <c r="G56" s="142">
        <v>1955</v>
      </c>
      <c r="H56" s="142">
        <v>891</v>
      </c>
      <c r="I56" s="142">
        <v>50</v>
      </c>
      <c r="J56" s="142">
        <v>21</v>
      </c>
      <c r="K56" s="142" t="s">
        <v>23</v>
      </c>
      <c r="L56" s="142">
        <f t="shared" si="4"/>
        <v>3647</v>
      </c>
      <c r="N56" s="48" t="s">
        <v>106</v>
      </c>
      <c r="O56" s="48" t="s">
        <v>106</v>
      </c>
      <c r="P56" s="142">
        <v>3</v>
      </c>
      <c r="Q56" s="142">
        <v>21</v>
      </c>
      <c r="R56" s="142">
        <v>2062</v>
      </c>
      <c r="S56" s="142">
        <v>5264</v>
      </c>
      <c r="T56" s="142">
        <v>1177</v>
      </c>
      <c r="U56" s="142">
        <v>0</v>
      </c>
      <c r="V56" s="142">
        <v>0</v>
      </c>
      <c r="W56" s="142" t="s">
        <v>23</v>
      </c>
      <c r="X56" s="142">
        <f t="shared" si="5"/>
        <v>8527</v>
      </c>
    </row>
    <row r="57" spans="1:24">
      <c r="A57" s="99">
        <v>1980</v>
      </c>
      <c r="B57" s="48" t="s">
        <v>106</v>
      </c>
      <c r="C57" s="48" t="s">
        <v>106</v>
      </c>
      <c r="D57" s="142">
        <v>0</v>
      </c>
      <c r="E57" s="142">
        <v>2</v>
      </c>
      <c r="F57" s="142">
        <v>795</v>
      </c>
      <c r="G57" s="142">
        <v>2607</v>
      </c>
      <c r="H57" s="142">
        <v>584</v>
      </c>
      <c r="I57" s="142">
        <v>58</v>
      </c>
      <c r="J57" s="142">
        <v>0</v>
      </c>
      <c r="K57" s="142" t="s">
        <v>23</v>
      </c>
      <c r="L57" s="142">
        <f t="shared" si="4"/>
        <v>4046</v>
      </c>
      <c r="N57" s="48" t="s">
        <v>106</v>
      </c>
      <c r="O57" s="48" t="s">
        <v>106</v>
      </c>
      <c r="P57" s="142">
        <v>0</v>
      </c>
      <c r="Q57" s="142">
        <v>5</v>
      </c>
      <c r="R57" s="142">
        <v>2200</v>
      </c>
      <c r="S57" s="142">
        <v>9311</v>
      </c>
      <c r="T57" s="142">
        <v>748</v>
      </c>
      <c r="U57" s="142">
        <v>56</v>
      </c>
      <c r="V57" s="142">
        <v>0</v>
      </c>
      <c r="W57" s="142" t="s">
        <v>23</v>
      </c>
      <c r="X57" s="142">
        <f t="shared" si="5"/>
        <v>12320</v>
      </c>
    </row>
    <row r="58" spans="1:24">
      <c r="A58" s="99">
        <v>1981</v>
      </c>
      <c r="B58" s="48" t="s">
        <v>106</v>
      </c>
      <c r="C58" s="48" t="s">
        <v>106</v>
      </c>
      <c r="D58" s="142">
        <v>0</v>
      </c>
      <c r="E58" s="142">
        <v>5</v>
      </c>
      <c r="F58" s="142">
        <v>268</v>
      </c>
      <c r="G58" s="142">
        <v>2474</v>
      </c>
      <c r="H58" s="142">
        <v>1653</v>
      </c>
      <c r="I58" s="142">
        <v>6</v>
      </c>
      <c r="J58" s="142">
        <v>0</v>
      </c>
      <c r="K58" s="142">
        <v>0</v>
      </c>
      <c r="L58" s="142">
        <f t="shared" si="4"/>
        <v>4406</v>
      </c>
      <c r="N58" s="48" t="s">
        <v>106</v>
      </c>
      <c r="O58" s="48" t="s">
        <v>106</v>
      </c>
      <c r="P58" s="142">
        <v>0</v>
      </c>
      <c r="Q58" s="142">
        <v>0</v>
      </c>
      <c r="R58" s="142">
        <v>390</v>
      </c>
      <c r="S58" s="142">
        <v>3128</v>
      </c>
      <c r="T58" s="142">
        <v>1948</v>
      </c>
      <c r="U58" s="142">
        <v>40</v>
      </c>
      <c r="V58" s="142">
        <v>0</v>
      </c>
      <c r="W58" s="142">
        <v>0</v>
      </c>
      <c r="X58" s="142">
        <f t="shared" si="5"/>
        <v>5506</v>
      </c>
    </row>
    <row r="59" spans="1:24">
      <c r="A59" s="99">
        <v>1982</v>
      </c>
      <c r="B59" s="48" t="s">
        <v>106</v>
      </c>
      <c r="C59" s="48" t="s">
        <v>106</v>
      </c>
      <c r="D59" s="142">
        <v>0</v>
      </c>
      <c r="E59" s="142">
        <v>0</v>
      </c>
      <c r="F59" s="142">
        <v>3802</v>
      </c>
      <c r="G59" s="142">
        <v>2780</v>
      </c>
      <c r="H59" s="142">
        <v>483</v>
      </c>
      <c r="I59" s="142">
        <v>19</v>
      </c>
      <c r="J59" s="142">
        <v>0</v>
      </c>
      <c r="K59" s="142">
        <v>0</v>
      </c>
      <c r="L59" s="142">
        <f t="shared" si="4"/>
        <v>7084</v>
      </c>
      <c r="N59" s="48" t="s">
        <v>106</v>
      </c>
      <c r="O59" s="48" t="s">
        <v>106</v>
      </c>
      <c r="P59" s="142">
        <v>0</v>
      </c>
      <c r="Q59" s="142">
        <v>0</v>
      </c>
      <c r="R59" s="142">
        <v>6410</v>
      </c>
      <c r="S59" s="142">
        <v>6638</v>
      </c>
      <c r="T59" s="142">
        <v>1333</v>
      </c>
      <c r="U59" s="142">
        <v>37</v>
      </c>
      <c r="V59" s="142">
        <v>0</v>
      </c>
      <c r="W59" s="142">
        <v>0</v>
      </c>
      <c r="X59" s="142">
        <f t="shared" si="5"/>
        <v>14418</v>
      </c>
    </row>
    <row r="60" spans="1:24">
      <c r="A60" s="99">
        <v>1983</v>
      </c>
      <c r="B60" s="48" t="s">
        <v>106</v>
      </c>
      <c r="C60" s="48" t="s">
        <v>106</v>
      </c>
      <c r="D60" s="142">
        <v>0</v>
      </c>
      <c r="E60" s="142">
        <v>3</v>
      </c>
      <c r="F60" s="142">
        <v>2059</v>
      </c>
      <c r="G60" s="142">
        <v>2770</v>
      </c>
      <c r="H60" s="142">
        <v>510</v>
      </c>
      <c r="I60" s="142">
        <v>108</v>
      </c>
      <c r="J60" s="142">
        <v>34</v>
      </c>
      <c r="K60" s="142">
        <v>0</v>
      </c>
      <c r="L60" s="142">
        <f t="shared" si="4"/>
        <v>5484</v>
      </c>
      <c r="N60" s="48" t="s">
        <v>106</v>
      </c>
      <c r="O60" s="48" t="s">
        <v>106</v>
      </c>
      <c r="P60" s="142">
        <v>0</v>
      </c>
      <c r="Q60" s="142">
        <v>5</v>
      </c>
      <c r="R60" s="142">
        <v>5914</v>
      </c>
      <c r="S60" s="142">
        <v>6700</v>
      </c>
      <c r="T60" s="142">
        <v>2244</v>
      </c>
      <c r="U60" s="142">
        <v>198</v>
      </c>
      <c r="V60" s="142">
        <v>0</v>
      </c>
      <c r="W60" s="142">
        <v>0</v>
      </c>
      <c r="X60" s="142">
        <f t="shared" si="5"/>
        <v>15061</v>
      </c>
    </row>
    <row r="61" spans="1:24">
      <c r="A61" s="99">
        <v>1984</v>
      </c>
      <c r="B61" s="48" t="s">
        <v>106</v>
      </c>
      <c r="C61" s="48" t="s">
        <v>106</v>
      </c>
      <c r="D61" s="142">
        <v>0</v>
      </c>
      <c r="E61" s="142">
        <v>8</v>
      </c>
      <c r="F61" s="142">
        <v>95</v>
      </c>
      <c r="G61" s="142">
        <v>3840</v>
      </c>
      <c r="H61" s="142">
        <v>588</v>
      </c>
      <c r="I61" s="142">
        <v>75</v>
      </c>
      <c r="J61" s="142">
        <v>5</v>
      </c>
      <c r="K61" s="142">
        <v>0</v>
      </c>
      <c r="L61" s="142">
        <f t="shared" si="4"/>
        <v>4611</v>
      </c>
      <c r="N61" s="48" t="s">
        <v>106</v>
      </c>
      <c r="O61" s="48" t="s">
        <v>106</v>
      </c>
      <c r="P61" s="142">
        <v>0</v>
      </c>
      <c r="Q61" s="142">
        <v>0</v>
      </c>
      <c r="R61" s="142">
        <v>42</v>
      </c>
      <c r="S61" s="142">
        <v>7875</v>
      </c>
      <c r="T61" s="142">
        <v>1002</v>
      </c>
      <c r="U61" s="142">
        <v>40</v>
      </c>
      <c r="V61" s="142">
        <v>0</v>
      </c>
      <c r="W61" s="142">
        <v>0</v>
      </c>
      <c r="X61" s="142">
        <f t="shared" si="5"/>
        <v>8959</v>
      </c>
    </row>
    <row r="62" spans="1:24">
      <c r="A62" s="99">
        <v>1985</v>
      </c>
      <c r="B62" s="48" t="s">
        <v>106</v>
      </c>
      <c r="C62" s="48" t="s">
        <v>106</v>
      </c>
      <c r="D62" s="142">
        <v>5</v>
      </c>
      <c r="E62" s="142">
        <v>6404</v>
      </c>
      <c r="F62" s="142">
        <v>4905</v>
      </c>
      <c r="G62" s="142">
        <v>12772</v>
      </c>
      <c r="H62" s="142">
        <v>2142</v>
      </c>
      <c r="I62" s="142">
        <v>156</v>
      </c>
      <c r="J62" s="142">
        <v>0</v>
      </c>
      <c r="K62" s="142">
        <v>0</v>
      </c>
      <c r="L62" s="142">
        <f t="shared" si="4"/>
        <v>26384</v>
      </c>
      <c r="N62" s="48" t="s">
        <v>106</v>
      </c>
      <c r="O62" s="48" t="s">
        <v>106</v>
      </c>
      <c r="P62" s="142">
        <v>0</v>
      </c>
      <c r="Q62" s="142">
        <v>781</v>
      </c>
      <c r="R62" s="142">
        <v>168</v>
      </c>
      <c r="S62" s="142">
        <v>4434</v>
      </c>
      <c r="T62" s="142">
        <v>2064</v>
      </c>
      <c r="U62" s="142">
        <v>438</v>
      </c>
      <c r="V62" s="142">
        <v>0</v>
      </c>
      <c r="W62" s="142">
        <v>0</v>
      </c>
      <c r="X62" s="142">
        <f t="shared" si="5"/>
        <v>7885</v>
      </c>
    </row>
    <row r="63" spans="1:24">
      <c r="A63" s="99">
        <v>1986</v>
      </c>
      <c r="B63" s="48" t="s">
        <v>106</v>
      </c>
      <c r="C63" s="48" t="s">
        <v>106</v>
      </c>
      <c r="D63" s="142" t="s">
        <v>23</v>
      </c>
      <c r="E63" s="142">
        <v>477</v>
      </c>
      <c r="F63" s="142">
        <v>2590</v>
      </c>
      <c r="G63" s="142">
        <v>3278</v>
      </c>
      <c r="H63" s="142">
        <v>4090</v>
      </c>
      <c r="I63" s="142">
        <v>24</v>
      </c>
      <c r="J63" s="142" t="s">
        <v>23</v>
      </c>
      <c r="K63" s="142" t="s">
        <v>23</v>
      </c>
      <c r="L63" s="142">
        <f t="shared" si="4"/>
        <v>10459</v>
      </c>
      <c r="N63" s="48" t="s">
        <v>106</v>
      </c>
      <c r="O63" s="48" t="s">
        <v>106</v>
      </c>
      <c r="P63" s="142" t="s">
        <v>23</v>
      </c>
      <c r="Q63" s="142">
        <v>125</v>
      </c>
      <c r="R63" s="142">
        <v>2696</v>
      </c>
      <c r="S63" s="142">
        <v>4187</v>
      </c>
      <c r="T63" s="142">
        <v>1591</v>
      </c>
      <c r="U63" s="142">
        <v>6</v>
      </c>
      <c r="V63" s="142" t="s">
        <v>23</v>
      </c>
      <c r="W63" s="142" t="s">
        <v>23</v>
      </c>
      <c r="X63" s="142">
        <f t="shared" si="5"/>
        <v>8605</v>
      </c>
    </row>
    <row r="64" spans="1:24">
      <c r="A64" s="99">
        <v>1987</v>
      </c>
      <c r="B64" s="142" t="s">
        <v>23</v>
      </c>
      <c r="C64" s="142" t="s">
        <v>23</v>
      </c>
      <c r="D64" s="142" t="s">
        <v>23</v>
      </c>
      <c r="E64" s="142">
        <v>1139</v>
      </c>
      <c r="F64" s="142">
        <v>3706</v>
      </c>
      <c r="G64" s="142">
        <v>6490</v>
      </c>
      <c r="H64" s="142">
        <v>6500</v>
      </c>
      <c r="I64" s="142">
        <v>601</v>
      </c>
      <c r="J64" s="142" t="s">
        <v>23</v>
      </c>
      <c r="K64" s="142" t="s">
        <v>23</v>
      </c>
      <c r="L64" s="142">
        <f t="shared" si="4"/>
        <v>18436</v>
      </c>
      <c r="N64" s="142" t="s">
        <v>23</v>
      </c>
      <c r="O64" s="142" t="s">
        <v>23</v>
      </c>
      <c r="P64" s="142" t="s">
        <v>23</v>
      </c>
      <c r="Q64" s="142">
        <v>81</v>
      </c>
      <c r="R64" s="142">
        <v>3455</v>
      </c>
      <c r="S64" s="142">
        <v>21274</v>
      </c>
      <c r="T64" s="142">
        <v>4326</v>
      </c>
      <c r="U64" s="142">
        <v>645</v>
      </c>
      <c r="V64" s="142" t="s">
        <v>23</v>
      </c>
      <c r="W64" s="142" t="s">
        <v>23</v>
      </c>
      <c r="X64" s="142">
        <f t="shared" si="5"/>
        <v>29781</v>
      </c>
    </row>
    <row r="65" spans="1:24">
      <c r="A65" s="99">
        <v>1988</v>
      </c>
      <c r="B65" s="142" t="s">
        <v>23</v>
      </c>
      <c r="C65" s="142" t="s">
        <v>23</v>
      </c>
      <c r="D65" s="142" t="s">
        <v>23</v>
      </c>
      <c r="E65" s="142">
        <v>572</v>
      </c>
      <c r="F65" s="142">
        <v>5689</v>
      </c>
      <c r="G65" s="142">
        <v>7018</v>
      </c>
      <c r="H65" s="142">
        <v>904</v>
      </c>
      <c r="I65" s="142">
        <v>162</v>
      </c>
      <c r="J65" s="142" t="s">
        <v>23</v>
      </c>
      <c r="K65" s="142" t="s">
        <v>23</v>
      </c>
      <c r="L65" s="142">
        <f t="shared" si="4"/>
        <v>14345</v>
      </c>
      <c r="N65" s="142" t="s">
        <v>23</v>
      </c>
      <c r="O65" s="142" t="s">
        <v>23</v>
      </c>
      <c r="P65" s="142" t="s">
        <v>23</v>
      </c>
      <c r="Q65" s="142">
        <v>671</v>
      </c>
      <c r="R65" s="142">
        <v>3491</v>
      </c>
      <c r="S65" s="142">
        <v>12169</v>
      </c>
      <c r="T65" s="142">
        <v>2190</v>
      </c>
      <c r="U65" s="142">
        <v>427</v>
      </c>
      <c r="V65" s="142" t="s">
        <v>23</v>
      </c>
      <c r="W65" s="142" t="s">
        <v>23</v>
      </c>
      <c r="X65" s="142">
        <f t="shared" si="5"/>
        <v>18948</v>
      </c>
    </row>
    <row r="66" spans="1:24">
      <c r="A66" s="99">
        <v>1989</v>
      </c>
      <c r="B66" s="142" t="s">
        <v>23</v>
      </c>
      <c r="C66" s="142" t="s">
        <v>23</v>
      </c>
      <c r="D66" s="142" t="s">
        <v>23</v>
      </c>
      <c r="E66" s="142">
        <v>1645</v>
      </c>
      <c r="F66" s="142">
        <v>7503</v>
      </c>
      <c r="G66" s="142">
        <v>12195</v>
      </c>
      <c r="H66" s="142">
        <v>3200</v>
      </c>
      <c r="I66" s="142">
        <v>99</v>
      </c>
      <c r="J66" s="142" t="s">
        <v>23</v>
      </c>
      <c r="K66" s="142" t="s">
        <v>23</v>
      </c>
      <c r="L66" s="142">
        <f t="shared" si="4"/>
        <v>24642</v>
      </c>
      <c r="N66" s="142" t="s">
        <v>23</v>
      </c>
      <c r="O66" s="142" t="s">
        <v>23</v>
      </c>
      <c r="P66" s="142" t="s">
        <v>23</v>
      </c>
      <c r="Q66" s="142">
        <v>1567</v>
      </c>
      <c r="R66" s="142">
        <v>7512</v>
      </c>
      <c r="S66" s="142">
        <v>13376</v>
      </c>
      <c r="T66" s="142">
        <v>3859</v>
      </c>
      <c r="U66" s="142">
        <v>41</v>
      </c>
      <c r="V66" s="142" t="s">
        <v>23</v>
      </c>
      <c r="W66" s="142" t="s">
        <v>23</v>
      </c>
      <c r="X66" s="142">
        <f t="shared" si="5"/>
        <v>26355</v>
      </c>
    </row>
    <row r="67" spans="1:24">
      <c r="A67" s="99">
        <v>1990</v>
      </c>
      <c r="B67" s="142" t="s">
        <v>23</v>
      </c>
      <c r="C67" s="142" t="s">
        <v>23</v>
      </c>
      <c r="D67" s="142" t="s">
        <v>23</v>
      </c>
      <c r="E67" s="142">
        <v>931</v>
      </c>
      <c r="F67" s="142">
        <v>5140</v>
      </c>
      <c r="G67" s="142">
        <v>4631</v>
      </c>
      <c r="H67" s="142">
        <v>374</v>
      </c>
      <c r="I67" s="142">
        <v>33</v>
      </c>
      <c r="J67" s="142">
        <v>0</v>
      </c>
      <c r="K67" s="142" t="s">
        <v>23</v>
      </c>
      <c r="L67" s="142">
        <f t="shared" si="4"/>
        <v>11109</v>
      </c>
      <c r="N67" s="142" t="s">
        <v>23</v>
      </c>
      <c r="O67" s="142" t="s">
        <v>23</v>
      </c>
      <c r="P67" s="142" t="s">
        <v>23</v>
      </c>
      <c r="Q67" s="142">
        <v>858</v>
      </c>
      <c r="R67" s="142">
        <v>10603</v>
      </c>
      <c r="S67" s="142">
        <v>11218</v>
      </c>
      <c r="T67" s="142">
        <v>1662</v>
      </c>
      <c r="U67" s="142">
        <v>225</v>
      </c>
      <c r="V67" s="142">
        <v>0</v>
      </c>
      <c r="W67" s="142" t="s">
        <v>23</v>
      </c>
      <c r="X67" s="142">
        <f t="shared" si="5"/>
        <v>24566</v>
      </c>
    </row>
    <row r="68" spans="1:24">
      <c r="A68" s="99">
        <v>1991</v>
      </c>
      <c r="B68" s="142" t="s">
        <v>23</v>
      </c>
      <c r="C68" s="142" t="s">
        <v>23</v>
      </c>
      <c r="D68" s="142" t="s">
        <v>23</v>
      </c>
      <c r="E68" s="142">
        <v>57</v>
      </c>
      <c r="F68" s="142">
        <v>6382</v>
      </c>
      <c r="G68" s="142">
        <v>2788</v>
      </c>
      <c r="H68" s="142">
        <v>13</v>
      </c>
      <c r="I68" s="142">
        <v>267</v>
      </c>
      <c r="J68" s="142">
        <v>1</v>
      </c>
      <c r="K68" s="142" t="s">
        <v>23</v>
      </c>
      <c r="L68" s="142">
        <f t="shared" si="4"/>
        <v>9508</v>
      </c>
      <c r="N68" s="142" t="s">
        <v>23</v>
      </c>
      <c r="O68" s="142" t="s">
        <v>23</v>
      </c>
      <c r="P68" s="142" t="s">
        <v>23</v>
      </c>
      <c r="Q68" s="142">
        <v>62</v>
      </c>
      <c r="R68" s="142">
        <v>12570</v>
      </c>
      <c r="S68" s="142">
        <v>8664</v>
      </c>
      <c r="T68" s="142">
        <v>194</v>
      </c>
      <c r="U68" s="142">
        <v>279</v>
      </c>
      <c r="V68" s="142">
        <v>2</v>
      </c>
      <c r="W68" s="142" t="s">
        <v>23</v>
      </c>
      <c r="X68" s="142">
        <f t="shared" si="5"/>
        <v>21771</v>
      </c>
    </row>
    <row r="69" spans="1:24">
      <c r="A69" s="99">
        <v>1992</v>
      </c>
      <c r="B69" s="142" t="s">
        <v>23</v>
      </c>
      <c r="C69" s="142" t="s">
        <v>23</v>
      </c>
      <c r="D69" s="142" t="s">
        <v>23</v>
      </c>
      <c r="E69" s="142" t="s">
        <v>23</v>
      </c>
      <c r="F69" s="142" t="s">
        <v>23</v>
      </c>
      <c r="G69" s="142">
        <v>1397</v>
      </c>
      <c r="H69" s="142" t="s">
        <v>23</v>
      </c>
      <c r="I69" s="142">
        <v>309</v>
      </c>
      <c r="J69" s="142" t="s">
        <v>23</v>
      </c>
      <c r="K69" s="142" t="s">
        <v>23</v>
      </c>
      <c r="L69" s="142">
        <f t="shared" si="4"/>
        <v>1706</v>
      </c>
      <c r="N69" s="142" t="s">
        <v>23</v>
      </c>
      <c r="O69" s="142" t="s">
        <v>23</v>
      </c>
      <c r="P69" s="142" t="s">
        <v>23</v>
      </c>
      <c r="Q69" s="142" t="s">
        <v>23</v>
      </c>
      <c r="R69" s="142" t="s">
        <v>23</v>
      </c>
      <c r="S69" s="142">
        <v>2732</v>
      </c>
      <c r="T69" s="142" t="s">
        <v>23</v>
      </c>
      <c r="U69" s="142">
        <v>859</v>
      </c>
      <c r="V69" s="142" t="s">
        <v>23</v>
      </c>
      <c r="W69" s="142" t="s">
        <v>23</v>
      </c>
      <c r="X69" s="142">
        <f t="shared" si="5"/>
        <v>3591</v>
      </c>
    </row>
    <row r="70" spans="1:24">
      <c r="A70" s="99">
        <v>1993</v>
      </c>
      <c r="B70" s="142" t="s">
        <v>23</v>
      </c>
      <c r="C70" s="142" t="s">
        <v>23</v>
      </c>
      <c r="D70" s="142" t="s">
        <v>23</v>
      </c>
      <c r="E70" s="142">
        <v>258</v>
      </c>
      <c r="F70" s="142">
        <v>230</v>
      </c>
      <c r="G70" s="142">
        <v>1486</v>
      </c>
      <c r="H70" s="142">
        <v>1194</v>
      </c>
      <c r="I70" s="142">
        <v>446</v>
      </c>
      <c r="J70" s="142" t="s">
        <v>23</v>
      </c>
      <c r="K70" s="142" t="s">
        <v>23</v>
      </c>
      <c r="L70" s="142">
        <f t="shared" si="4"/>
        <v>3614</v>
      </c>
      <c r="N70" s="142" t="s">
        <v>23</v>
      </c>
      <c r="O70" s="142" t="s">
        <v>23</v>
      </c>
      <c r="P70" s="142" t="s">
        <v>23</v>
      </c>
      <c r="Q70" s="142">
        <v>562</v>
      </c>
      <c r="R70" s="142">
        <v>797</v>
      </c>
      <c r="S70" s="142">
        <v>3804</v>
      </c>
      <c r="T70" s="142">
        <v>1798</v>
      </c>
      <c r="U70" s="142">
        <v>659</v>
      </c>
      <c r="V70" s="142" t="s">
        <v>23</v>
      </c>
      <c r="W70" s="142" t="s">
        <v>23</v>
      </c>
      <c r="X70" s="142">
        <f t="shared" si="5"/>
        <v>7620</v>
      </c>
    </row>
    <row r="71" spans="1:24">
      <c r="A71" s="99">
        <v>1994</v>
      </c>
      <c r="B71" s="142" t="s">
        <v>23</v>
      </c>
      <c r="C71" s="142" t="s">
        <v>23</v>
      </c>
      <c r="D71" s="142" t="s">
        <v>23</v>
      </c>
      <c r="E71" s="142">
        <v>1438</v>
      </c>
      <c r="F71" s="142">
        <v>1773</v>
      </c>
      <c r="G71" s="142" t="s">
        <v>23</v>
      </c>
      <c r="H71" s="142">
        <v>372</v>
      </c>
      <c r="I71" s="142">
        <v>81</v>
      </c>
      <c r="J71" s="142" t="s">
        <v>23</v>
      </c>
      <c r="K71" s="142" t="s">
        <v>23</v>
      </c>
      <c r="L71" s="142">
        <f t="shared" si="4"/>
        <v>3664</v>
      </c>
      <c r="N71" s="142" t="s">
        <v>23</v>
      </c>
      <c r="O71" s="142" t="s">
        <v>23</v>
      </c>
      <c r="P71" s="142" t="s">
        <v>23</v>
      </c>
      <c r="Q71" s="142" t="s">
        <v>23</v>
      </c>
      <c r="R71" s="142">
        <v>3</v>
      </c>
      <c r="S71" s="142" t="s">
        <v>23</v>
      </c>
      <c r="T71" s="142">
        <v>28</v>
      </c>
      <c r="U71" s="142">
        <v>1</v>
      </c>
      <c r="V71" s="142" t="s">
        <v>23</v>
      </c>
      <c r="W71" s="142" t="s">
        <v>23</v>
      </c>
      <c r="X71" s="142">
        <f t="shared" si="5"/>
        <v>32</v>
      </c>
    </row>
    <row r="72" spans="1:24">
      <c r="A72" s="99">
        <v>1995</v>
      </c>
      <c r="B72" s="142" t="s">
        <v>23</v>
      </c>
      <c r="C72" s="142" t="s">
        <v>23</v>
      </c>
      <c r="D72" s="142" t="s">
        <v>23</v>
      </c>
      <c r="E72" s="142">
        <v>729</v>
      </c>
      <c r="F72" s="142">
        <v>4001</v>
      </c>
      <c r="G72" s="142" t="s">
        <v>23</v>
      </c>
      <c r="H72" s="142">
        <v>1322</v>
      </c>
      <c r="I72" s="142">
        <v>2023</v>
      </c>
      <c r="J72" s="142" t="s">
        <v>23</v>
      </c>
      <c r="K72" s="142" t="s">
        <v>23</v>
      </c>
      <c r="L72" s="142">
        <f t="shared" si="4"/>
        <v>8075</v>
      </c>
      <c r="N72" s="142" t="s">
        <v>23</v>
      </c>
      <c r="O72" s="142" t="s">
        <v>23</v>
      </c>
      <c r="P72" s="142" t="s">
        <v>23</v>
      </c>
      <c r="Q72" s="142">
        <v>2</v>
      </c>
      <c r="R72" s="142">
        <v>86</v>
      </c>
      <c r="S72" s="142" t="s">
        <v>23</v>
      </c>
      <c r="T72" s="142">
        <v>2</v>
      </c>
      <c r="U72" s="142">
        <v>107</v>
      </c>
      <c r="V72" s="142" t="s">
        <v>23</v>
      </c>
      <c r="W72" s="142" t="s">
        <v>23</v>
      </c>
      <c r="X72" s="142">
        <f t="shared" si="5"/>
        <v>197</v>
      </c>
    </row>
    <row r="73" spans="1:24">
      <c r="A73" s="99">
        <v>1996</v>
      </c>
      <c r="B73" s="142" t="s">
        <v>23</v>
      </c>
      <c r="C73" s="142" t="s">
        <v>23</v>
      </c>
      <c r="D73" s="142" t="s">
        <v>23</v>
      </c>
      <c r="E73" s="142">
        <v>1711</v>
      </c>
      <c r="F73" s="142">
        <v>3584</v>
      </c>
      <c r="G73" s="142">
        <v>185</v>
      </c>
      <c r="H73" s="142">
        <v>939</v>
      </c>
      <c r="I73" s="142">
        <v>500</v>
      </c>
      <c r="J73" s="142" t="s">
        <v>23</v>
      </c>
      <c r="K73" s="142" t="s">
        <v>23</v>
      </c>
      <c r="L73" s="142">
        <f t="shared" si="4"/>
        <v>6919</v>
      </c>
      <c r="N73" s="142" t="s">
        <v>23</v>
      </c>
      <c r="O73" s="142" t="s">
        <v>23</v>
      </c>
      <c r="P73" s="142" t="s">
        <v>23</v>
      </c>
      <c r="Q73" s="142" t="s">
        <v>23</v>
      </c>
      <c r="R73" s="142">
        <v>98</v>
      </c>
      <c r="S73" s="142">
        <v>15</v>
      </c>
      <c r="T73" s="142">
        <v>17</v>
      </c>
      <c r="U73" s="142">
        <v>23</v>
      </c>
      <c r="V73" s="142" t="s">
        <v>23</v>
      </c>
      <c r="W73" s="142" t="s">
        <v>23</v>
      </c>
      <c r="X73" s="142">
        <f t="shared" si="5"/>
        <v>153</v>
      </c>
    </row>
    <row r="74" spans="1:24">
      <c r="A74" s="99">
        <v>1997</v>
      </c>
      <c r="B74" s="142" t="s">
        <v>23</v>
      </c>
      <c r="C74" s="142" t="s">
        <v>23</v>
      </c>
      <c r="D74" s="142" t="s">
        <v>23</v>
      </c>
      <c r="E74" s="142">
        <v>1484</v>
      </c>
      <c r="F74" s="142">
        <v>1738</v>
      </c>
      <c r="G74" s="142">
        <v>1160</v>
      </c>
      <c r="H74" s="142">
        <v>2000</v>
      </c>
      <c r="I74" s="142">
        <v>74</v>
      </c>
      <c r="J74" s="142" t="s">
        <v>23</v>
      </c>
      <c r="K74" s="142" t="s">
        <v>23</v>
      </c>
      <c r="L74" s="142">
        <f t="shared" si="4"/>
        <v>6456</v>
      </c>
      <c r="N74" s="142" t="s">
        <v>23</v>
      </c>
      <c r="O74" s="142" t="s">
        <v>23</v>
      </c>
      <c r="P74" s="142" t="s">
        <v>23</v>
      </c>
      <c r="Q74" s="142">
        <v>12</v>
      </c>
      <c r="R74" s="142">
        <v>40</v>
      </c>
      <c r="S74" s="142">
        <v>12</v>
      </c>
      <c r="T74" s="142">
        <v>55</v>
      </c>
      <c r="U74" s="142">
        <v>5</v>
      </c>
      <c r="V74" s="142" t="s">
        <v>23</v>
      </c>
      <c r="W74" s="142" t="s">
        <v>23</v>
      </c>
      <c r="X74" s="142">
        <f t="shared" si="5"/>
        <v>124</v>
      </c>
    </row>
    <row r="75" spans="1:24">
      <c r="A75" s="99">
        <v>1998</v>
      </c>
      <c r="B75" s="142" t="s">
        <v>23</v>
      </c>
      <c r="C75" s="142" t="s">
        <v>23</v>
      </c>
      <c r="D75" s="142" t="s">
        <v>23</v>
      </c>
      <c r="E75" s="142">
        <v>541</v>
      </c>
      <c r="F75" s="142">
        <v>470</v>
      </c>
      <c r="G75" s="142">
        <v>224</v>
      </c>
      <c r="H75" s="142">
        <v>471</v>
      </c>
      <c r="I75" s="142">
        <v>84</v>
      </c>
      <c r="J75" s="142" t="s">
        <v>23</v>
      </c>
      <c r="K75" s="142" t="s">
        <v>23</v>
      </c>
      <c r="L75" s="142">
        <f t="shared" si="4"/>
        <v>1790</v>
      </c>
      <c r="N75" s="142" t="s">
        <v>23</v>
      </c>
      <c r="O75" s="142" t="s">
        <v>23</v>
      </c>
      <c r="P75" s="142" t="s">
        <v>23</v>
      </c>
      <c r="Q75" s="142" t="s">
        <v>23</v>
      </c>
      <c r="R75" s="142">
        <v>5</v>
      </c>
      <c r="S75" s="142">
        <v>12</v>
      </c>
      <c r="T75" s="142">
        <v>30</v>
      </c>
      <c r="U75" s="142" t="s">
        <v>23</v>
      </c>
      <c r="V75" s="142" t="s">
        <v>23</v>
      </c>
      <c r="W75" s="142" t="s">
        <v>23</v>
      </c>
      <c r="X75" s="142">
        <f t="shared" si="5"/>
        <v>47</v>
      </c>
    </row>
    <row r="76" spans="1:24">
      <c r="A76" s="99">
        <v>1999</v>
      </c>
      <c r="B76" s="142" t="s">
        <v>23</v>
      </c>
      <c r="C76" s="142" t="s">
        <v>23</v>
      </c>
      <c r="D76" s="142" t="s">
        <v>23</v>
      </c>
      <c r="E76" s="142">
        <v>6</v>
      </c>
      <c r="F76" s="142">
        <v>2150</v>
      </c>
      <c r="G76" s="142">
        <v>1041</v>
      </c>
      <c r="H76" s="142">
        <v>1902</v>
      </c>
      <c r="I76" s="142">
        <v>76</v>
      </c>
      <c r="J76" s="142" t="s">
        <v>23</v>
      </c>
      <c r="K76" s="142" t="s">
        <v>23</v>
      </c>
      <c r="L76" s="142">
        <f t="shared" si="4"/>
        <v>5175</v>
      </c>
      <c r="N76" s="142" t="s">
        <v>23</v>
      </c>
      <c r="O76" s="142" t="s">
        <v>23</v>
      </c>
      <c r="P76" s="142" t="s">
        <v>23</v>
      </c>
      <c r="Q76" s="142" t="s">
        <v>23</v>
      </c>
      <c r="R76" s="142">
        <v>30</v>
      </c>
      <c r="S76" s="142">
        <v>16</v>
      </c>
      <c r="T76" s="142">
        <v>44</v>
      </c>
      <c r="U76" s="142" t="s">
        <v>23</v>
      </c>
      <c r="V76" s="142" t="s">
        <v>23</v>
      </c>
      <c r="W76" s="142" t="s">
        <v>23</v>
      </c>
      <c r="X76" s="142">
        <f t="shared" si="5"/>
        <v>90</v>
      </c>
    </row>
    <row r="77" spans="1:24">
      <c r="A77" s="99">
        <v>2000</v>
      </c>
      <c r="B77" s="142" t="s">
        <v>23</v>
      </c>
      <c r="C77" s="142" t="s">
        <v>23</v>
      </c>
      <c r="D77" s="142" t="s">
        <v>23</v>
      </c>
      <c r="E77" s="142">
        <v>284</v>
      </c>
      <c r="F77" s="142">
        <v>1800</v>
      </c>
      <c r="G77" s="142">
        <v>2350</v>
      </c>
      <c r="H77" s="142">
        <v>5010</v>
      </c>
      <c r="I77" s="142">
        <v>459</v>
      </c>
      <c r="J77" s="142" t="s">
        <v>23</v>
      </c>
      <c r="K77" s="142" t="s">
        <v>23</v>
      </c>
      <c r="L77" s="142">
        <f t="shared" si="4"/>
        <v>9903</v>
      </c>
      <c r="N77" s="142" t="s">
        <v>23</v>
      </c>
      <c r="O77" s="142" t="s">
        <v>23</v>
      </c>
      <c r="P77" s="142" t="s">
        <v>23</v>
      </c>
      <c r="Q77" s="142" t="s">
        <v>23</v>
      </c>
      <c r="R77" s="142">
        <v>19</v>
      </c>
      <c r="S77" s="142">
        <v>24</v>
      </c>
      <c r="T77" s="142">
        <v>76</v>
      </c>
      <c r="U77" s="142">
        <v>8</v>
      </c>
      <c r="V77" s="142" t="s">
        <v>23</v>
      </c>
      <c r="W77" s="142" t="s">
        <v>23</v>
      </c>
      <c r="X77" s="142">
        <f t="shared" si="5"/>
        <v>127</v>
      </c>
    </row>
    <row r="78" spans="1:24">
      <c r="A78" s="99">
        <v>2001</v>
      </c>
      <c r="B78" s="142" t="s">
        <v>23</v>
      </c>
      <c r="C78" s="142" t="s">
        <v>23</v>
      </c>
      <c r="D78" s="142" t="s">
        <v>23</v>
      </c>
      <c r="E78" s="142">
        <v>1399</v>
      </c>
      <c r="F78" s="142">
        <v>3622</v>
      </c>
      <c r="G78" s="142">
        <v>2113</v>
      </c>
      <c r="H78" s="142">
        <v>2025</v>
      </c>
      <c r="I78" s="142">
        <v>1429</v>
      </c>
      <c r="J78" s="142" t="s">
        <v>23</v>
      </c>
      <c r="K78" s="142" t="s">
        <v>23</v>
      </c>
      <c r="L78" s="142">
        <f t="shared" si="4"/>
        <v>10588</v>
      </c>
      <c r="N78" s="142" t="s">
        <v>23</v>
      </c>
      <c r="O78" s="142" t="s">
        <v>23</v>
      </c>
      <c r="P78" s="142" t="s">
        <v>23</v>
      </c>
      <c r="Q78" s="142">
        <v>8</v>
      </c>
      <c r="R78" s="142">
        <v>50</v>
      </c>
      <c r="S78" s="142">
        <v>20</v>
      </c>
      <c r="T78" s="142">
        <v>13</v>
      </c>
      <c r="U78" s="142" t="s">
        <v>23</v>
      </c>
      <c r="V78" s="142" t="s">
        <v>23</v>
      </c>
      <c r="W78" s="142" t="s">
        <v>23</v>
      </c>
      <c r="X78" s="142">
        <f t="shared" si="5"/>
        <v>91</v>
      </c>
    </row>
    <row r="79" spans="1:24">
      <c r="A79" s="99">
        <v>2002</v>
      </c>
      <c r="B79" s="142" t="s">
        <v>23</v>
      </c>
      <c r="C79" s="142" t="s">
        <v>23</v>
      </c>
      <c r="D79" s="142" t="s">
        <v>23</v>
      </c>
      <c r="E79" s="142">
        <v>2259</v>
      </c>
      <c r="F79" s="142">
        <v>4991</v>
      </c>
      <c r="G79" s="142">
        <v>564</v>
      </c>
      <c r="H79" s="142">
        <v>5487</v>
      </c>
      <c r="I79" s="142">
        <v>1723</v>
      </c>
      <c r="J79" s="142" t="s">
        <v>23</v>
      </c>
      <c r="K79" s="142" t="s">
        <v>23</v>
      </c>
      <c r="L79" s="142">
        <f t="shared" si="4"/>
        <v>15024</v>
      </c>
      <c r="N79" s="142" t="s">
        <v>23</v>
      </c>
      <c r="O79" s="142" t="s">
        <v>23</v>
      </c>
      <c r="P79" s="142" t="s">
        <v>23</v>
      </c>
      <c r="Q79" s="142">
        <v>10</v>
      </c>
      <c r="R79" s="142">
        <v>196</v>
      </c>
      <c r="S79" s="142">
        <v>23</v>
      </c>
      <c r="T79" s="142">
        <v>24</v>
      </c>
      <c r="U79" s="142">
        <v>9</v>
      </c>
      <c r="V79" s="142" t="s">
        <v>23</v>
      </c>
      <c r="W79" s="142" t="s">
        <v>23</v>
      </c>
      <c r="X79" s="142">
        <f t="shared" si="5"/>
        <v>262</v>
      </c>
    </row>
    <row r="80" spans="1:24">
      <c r="A80" s="99">
        <v>2003</v>
      </c>
      <c r="B80" s="142" t="s">
        <v>23</v>
      </c>
      <c r="C80" s="142" t="s">
        <v>23</v>
      </c>
      <c r="D80" s="142" t="s">
        <v>23</v>
      </c>
      <c r="E80" s="142">
        <v>2875</v>
      </c>
      <c r="F80" s="142">
        <v>1764</v>
      </c>
      <c r="G80" s="142">
        <v>1379</v>
      </c>
      <c r="H80" s="142">
        <v>1686</v>
      </c>
      <c r="I80" s="142">
        <v>657</v>
      </c>
      <c r="J80" s="142" t="s">
        <v>23</v>
      </c>
      <c r="K80" s="142" t="s">
        <v>23</v>
      </c>
      <c r="L80" s="142">
        <f t="shared" si="4"/>
        <v>8361</v>
      </c>
      <c r="N80" s="142" t="s">
        <v>23</v>
      </c>
      <c r="O80" s="142" t="s">
        <v>23</v>
      </c>
      <c r="P80" s="142" t="s">
        <v>23</v>
      </c>
      <c r="Q80" s="142">
        <v>29</v>
      </c>
      <c r="R80" s="142">
        <v>50</v>
      </c>
      <c r="S80" s="142">
        <v>8</v>
      </c>
      <c r="T80" s="142">
        <v>34</v>
      </c>
      <c r="U80" s="142" t="s">
        <v>23</v>
      </c>
      <c r="V80" s="142" t="s">
        <v>23</v>
      </c>
      <c r="W80" s="142" t="s">
        <v>23</v>
      </c>
      <c r="X80" s="142">
        <f t="shared" si="5"/>
        <v>121</v>
      </c>
    </row>
    <row r="81" spans="1:24">
      <c r="A81" s="99">
        <v>2004</v>
      </c>
      <c r="B81" s="142" t="s">
        <v>23</v>
      </c>
      <c r="C81" s="142" t="s">
        <v>23</v>
      </c>
      <c r="D81" s="142" t="s">
        <v>23</v>
      </c>
      <c r="E81" s="142">
        <v>5496</v>
      </c>
      <c r="F81" s="142">
        <v>1946</v>
      </c>
      <c r="G81" s="142">
        <v>4377</v>
      </c>
      <c r="H81" s="142">
        <v>7153</v>
      </c>
      <c r="I81" s="142">
        <v>2582</v>
      </c>
      <c r="J81" s="142" t="s">
        <v>23</v>
      </c>
      <c r="K81" s="142" t="s">
        <v>23</v>
      </c>
      <c r="L81" s="142">
        <f t="shared" si="4"/>
        <v>21554</v>
      </c>
      <c r="N81" s="142" t="s">
        <v>23</v>
      </c>
      <c r="O81" s="142" t="s">
        <v>23</v>
      </c>
      <c r="P81" s="142" t="s">
        <v>23</v>
      </c>
      <c r="Q81" s="142">
        <v>184</v>
      </c>
      <c r="R81" s="142">
        <v>76</v>
      </c>
      <c r="S81" s="142">
        <v>74</v>
      </c>
      <c r="T81" s="142">
        <v>123</v>
      </c>
      <c r="U81" s="142">
        <v>24</v>
      </c>
      <c r="V81" s="142" t="s">
        <v>23</v>
      </c>
      <c r="W81" s="142" t="s">
        <v>23</v>
      </c>
      <c r="X81" s="142">
        <f t="shared" si="5"/>
        <v>481</v>
      </c>
    </row>
    <row r="82" spans="1:24">
      <c r="A82" s="99">
        <v>2005</v>
      </c>
      <c r="B82" s="142" t="s">
        <v>23</v>
      </c>
      <c r="C82" s="142" t="s">
        <v>23</v>
      </c>
      <c r="D82" s="142" t="s">
        <v>23</v>
      </c>
      <c r="E82" s="142">
        <v>1015</v>
      </c>
      <c r="F82" s="142">
        <v>6485</v>
      </c>
      <c r="G82" s="142">
        <v>1879</v>
      </c>
      <c r="H82" s="142">
        <v>4020</v>
      </c>
      <c r="I82" s="142">
        <v>2647</v>
      </c>
      <c r="J82" s="142" t="s">
        <v>23</v>
      </c>
      <c r="K82" s="142" t="s">
        <v>23</v>
      </c>
      <c r="L82" s="142">
        <f t="shared" si="4"/>
        <v>16046</v>
      </c>
      <c r="N82" s="142" t="s">
        <v>23</v>
      </c>
      <c r="O82" s="142" t="s">
        <v>23</v>
      </c>
      <c r="P82" s="142" t="s">
        <v>23</v>
      </c>
      <c r="Q82" s="142">
        <v>24</v>
      </c>
      <c r="R82" s="142">
        <v>44</v>
      </c>
      <c r="S82" s="142">
        <v>3</v>
      </c>
      <c r="T82" s="142">
        <v>11</v>
      </c>
      <c r="U82" s="142">
        <v>48</v>
      </c>
      <c r="V82" s="142" t="s">
        <v>23</v>
      </c>
      <c r="W82" s="142" t="s">
        <v>23</v>
      </c>
      <c r="X82" s="142">
        <f t="shared" si="5"/>
        <v>130</v>
      </c>
    </row>
    <row r="83" spans="1:24">
      <c r="A83" s="99">
        <v>2006</v>
      </c>
      <c r="B83" s="142" t="s">
        <v>23</v>
      </c>
      <c r="C83" s="142" t="s">
        <v>23</v>
      </c>
      <c r="D83" s="142" t="s">
        <v>23</v>
      </c>
      <c r="E83" s="142">
        <v>4316</v>
      </c>
      <c r="F83" s="142">
        <v>5413</v>
      </c>
      <c r="G83" s="142">
        <v>2113</v>
      </c>
      <c r="H83" s="142" t="s">
        <v>23</v>
      </c>
      <c r="I83" s="142">
        <v>3805</v>
      </c>
      <c r="J83" s="142" t="s">
        <v>23</v>
      </c>
      <c r="K83" s="142" t="s">
        <v>23</v>
      </c>
      <c r="L83" s="142">
        <f t="shared" si="4"/>
        <v>15647</v>
      </c>
      <c r="N83" s="142" t="s">
        <v>23</v>
      </c>
      <c r="O83" s="142" t="s">
        <v>23</v>
      </c>
      <c r="P83" s="142" t="s">
        <v>23</v>
      </c>
      <c r="Q83" s="142">
        <v>88</v>
      </c>
      <c r="R83" s="142">
        <v>20</v>
      </c>
      <c r="S83" s="142">
        <v>25</v>
      </c>
      <c r="T83" s="142" t="s">
        <v>23</v>
      </c>
      <c r="U83" s="142">
        <v>88</v>
      </c>
      <c r="V83" s="142" t="s">
        <v>23</v>
      </c>
      <c r="W83" s="142" t="s">
        <v>23</v>
      </c>
      <c r="X83" s="142">
        <f t="shared" si="5"/>
        <v>221</v>
      </c>
    </row>
    <row r="84" spans="1:24">
      <c r="A84" s="99">
        <v>2007</v>
      </c>
      <c r="B84" s="142" t="s">
        <v>23</v>
      </c>
      <c r="C84" s="142" t="s">
        <v>23</v>
      </c>
      <c r="D84" s="142" t="s">
        <v>23</v>
      </c>
      <c r="E84" s="142">
        <v>797</v>
      </c>
      <c r="F84" s="142">
        <v>5050</v>
      </c>
      <c r="G84" s="142">
        <v>4296</v>
      </c>
      <c r="H84" s="142">
        <v>6037</v>
      </c>
      <c r="I84" s="142">
        <v>1845</v>
      </c>
      <c r="J84" s="142" t="s">
        <v>23</v>
      </c>
      <c r="K84" s="142" t="s">
        <v>23</v>
      </c>
      <c r="L84" s="142">
        <f t="shared" si="4"/>
        <v>18025</v>
      </c>
      <c r="N84" s="142" t="s">
        <v>23</v>
      </c>
      <c r="O84" s="142" t="s">
        <v>23</v>
      </c>
      <c r="P84" s="142" t="s">
        <v>23</v>
      </c>
      <c r="Q84" s="142" t="s">
        <v>23</v>
      </c>
      <c r="R84" s="142">
        <v>105</v>
      </c>
      <c r="S84" s="142">
        <v>96</v>
      </c>
      <c r="T84" s="142">
        <v>108</v>
      </c>
      <c r="U84" s="142">
        <v>36</v>
      </c>
      <c r="V84" s="142" t="s">
        <v>23</v>
      </c>
      <c r="W84" s="142" t="s">
        <v>23</v>
      </c>
      <c r="X84" s="142">
        <f t="shared" si="5"/>
        <v>345</v>
      </c>
    </row>
    <row r="85" spans="1:24">
      <c r="A85" s="99">
        <v>2008</v>
      </c>
      <c r="B85" s="142" t="s">
        <v>23</v>
      </c>
      <c r="C85" s="142" t="s">
        <v>23</v>
      </c>
      <c r="D85" s="142" t="s">
        <v>23</v>
      </c>
      <c r="E85" s="142" t="s">
        <v>23</v>
      </c>
      <c r="F85" s="142" t="s">
        <v>23</v>
      </c>
      <c r="G85" s="142" t="s">
        <v>23</v>
      </c>
      <c r="H85" s="142" t="s">
        <v>23</v>
      </c>
      <c r="I85" s="142" t="s">
        <v>23</v>
      </c>
      <c r="J85" s="142" t="s">
        <v>23</v>
      </c>
      <c r="K85" s="142" t="s">
        <v>23</v>
      </c>
      <c r="L85" s="142" t="s">
        <v>23</v>
      </c>
      <c r="N85" s="142" t="s">
        <v>23</v>
      </c>
      <c r="O85" s="142" t="s">
        <v>23</v>
      </c>
      <c r="P85" s="142" t="s">
        <v>23</v>
      </c>
      <c r="Q85" s="142" t="s">
        <v>23</v>
      </c>
      <c r="R85" s="142" t="s">
        <v>23</v>
      </c>
      <c r="S85" s="142" t="s">
        <v>23</v>
      </c>
      <c r="T85" s="142" t="s">
        <v>23</v>
      </c>
      <c r="U85" s="142" t="s">
        <v>23</v>
      </c>
      <c r="V85" s="142" t="s">
        <v>23</v>
      </c>
      <c r="W85" s="142" t="s">
        <v>23</v>
      </c>
      <c r="X85" s="142" t="s">
        <v>23</v>
      </c>
    </row>
    <row r="86" spans="1:24">
      <c r="A86" s="99">
        <v>2009</v>
      </c>
      <c r="B86" s="142" t="s">
        <v>23</v>
      </c>
      <c r="C86" s="142" t="s">
        <v>23</v>
      </c>
      <c r="D86" s="142" t="s">
        <v>23</v>
      </c>
      <c r="E86" s="142" t="s">
        <v>23</v>
      </c>
      <c r="F86" s="142" t="s">
        <v>23</v>
      </c>
      <c r="G86" s="142" t="s">
        <v>23</v>
      </c>
      <c r="H86" s="142">
        <v>266</v>
      </c>
      <c r="I86" s="142">
        <v>259</v>
      </c>
      <c r="J86" s="142" t="s">
        <v>23</v>
      </c>
      <c r="K86" s="142" t="s">
        <v>23</v>
      </c>
      <c r="L86" s="142">
        <f t="shared" ref="L86:L98" si="6">SUM(B86:K86)</f>
        <v>525</v>
      </c>
      <c r="N86" s="142" t="s">
        <v>23</v>
      </c>
      <c r="O86" s="142" t="s">
        <v>23</v>
      </c>
      <c r="P86" s="142" t="s">
        <v>23</v>
      </c>
      <c r="Q86" s="142" t="s">
        <v>23</v>
      </c>
      <c r="R86" s="142" t="s">
        <v>23</v>
      </c>
      <c r="S86" s="142" t="s">
        <v>23</v>
      </c>
      <c r="T86" s="142" t="s">
        <v>23</v>
      </c>
      <c r="U86" s="142">
        <v>5</v>
      </c>
      <c r="V86" s="142" t="s">
        <v>23</v>
      </c>
      <c r="W86" s="142" t="s">
        <v>23</v>
      </c>
      <c r="X86" s="142">
        <f t="shared" ref="X86:X98" si="7">SUM(N86:W86)</f>
        <v>5</v>
      </c>
    </row>
    <row r="87" spans="1:24">
      <c r="A87" s="99">
        <v>2010</v>
      </c>
      <c r="B87" s="142" t="s">
        <v>23</v>
      </c>
      <c r="C87" s="142" t="s">
        <v>23</v>
      </c>
      <c r="D87" s="142" t="s">
        <v>23</v>
      </c>
      <c r="E87" s="142">
        <v>17</v>
      </c>
      <c r="F87" s="142">
        <v>158</v>
      </c>
      <c r="G87" s="142">
        <v>37</v>
      </c>
      <c r="H87" s="142">
        <v>477</v>
      </c>
      <c r="I87" s="142">
        <v>31</v>
      </c>
      <c r="J87" s="142" t="s">
        <v>23</v>
      </c>
      <c r="K87" s="142" t="s">
        <v>23</v>
      </c>
      <c r="L87" s="142">
        <f t="shared" si="6"/>
        <v>720</v>
      </c>
      <c r="N87" s="142" t="s">
        <v>23</v>
      </c>
      <c r="O87" s="142" t="s">
        <v>23</v>
      </c>
      <c r="P87" s="142" t="s">
        <v>23</v>
      </c>
      <c r="Q87" s="142" t="s">
        <v>23</v>
      </c>
      <c r="R87" s="142" t="s">
        <v>23</v>
      </c>
      <c r="S87" s="142" t="s">
        <v>23</v>
      </c>
      <c r="T87" s="142">
        <v>50</v>
      </c>
      <c r="U87" s="142" t="s">
        <v>23</v>
      </c>
      <c r="V87" s="142" t="s">
        <v>23</v>
      </c>
      <c r="W87" s="142" t="s">
        <v>23</v>
      </c>
      <c r="X87" s="142">
        <f t="shared" si="7"/>
        <v>50</v>
      </c>
    </row>
    <row r="88" spans="1:24">
      <c r="A88" s="99">
        <v>2011</v>
      </c>
      <c r="B88" s="142" t="s">
        <v>23</v>
      </c>
      <c r="C88" s="142" t="s">
        <v>23</v>
      </c>
      <c r="D88" s="142" t="s">
        <v>23</v>
      </c>
      <c r="E88" s="142">
        <v>630</v>
      </c>
      <c r="F88" s="142">
        <v>934</v>
      </c>
      <c r="G88" s="142">
        <v>4342</v>
      </c>
      <c r="H88" s="142">
        <v>3672</v>
      </c>
      <c r="I88" s="142">
        <v>296</v>
      </c>
      <c r="J88" s="142" t="s">
        <v>23</v>
      </c>
      <c r="K88" s="142" t="s">
        <v>23</v>
      </c>
      <c r="L88" s="142">
        <f t="shared" si="6"/>
        <v>9874</v>
      </c>
      <c r="N88" s="142" t="s">
        <v>23</v>
      </c>
      <c r="O88" s="142" t="s">
        <v>23</v>
      </c>
      <c r="P88" s="142" t="s">
        <v>23</v>
      </c>
      <c r="Q88" s="142">
        <v>5</v>
      </c>
      <c r="R88" s="142">
        <v>10</v>
      </c>
      <c r="S88" s="142">
        <v>50</v>
      </c>
      <c r="T88" s="142">
        <v>29</v>
      </c>
      <c r="U88" s="142">
        <v>4</v>
      </c>
      <c r="V88" s="142" t="s">
        <v>23</v>
      </c>
      <c r="W88" s="142" t="s">
        <v>23</v>
      </c>
      <c r="X88" s="142">
        <f t="shared" si="7"/>
        <v>98</v>
      </c>
    </row>
    <row r="89" spans="1:24">
      <c r="A89" s="99">
        <v>2012</v>
      </c>
      <c r="B89" s="142" t="s">
        <v>23</v>
      </c>
      <c r="C89" s="142" t="s">
        <v>23</v>
      </c>
      <c r="D89" s="142" t="s">
        <v>23</v>
      </c>
      <c r="E89" s="142">
        <v>3462</v>
      </c>
      <c r="F89" s="142">
        <v>10104</v>
      </c>
      <c r="G89" s="142">
        <v>7049</v>
      </c>
      <c r="H89" s="142">
        <v>9019</v>
      </c>
      <c r="I89" s="142">
        <v>2378</v>
      </c>
      <c r="J89" s="142" t="s">
        <v>23</v>
      </c>
      <c r="K89" s="142" t="s">
        <v>23</v>
      </c>
      <c r="L89" s="142">
        <f t="shared" si="6"/>
        <v>32012</v>
      </c>
      <c r="N89" s="142" t="s">
        <v>23</v>
      </c>
      <c r="O89" s="142" t="s">
        <v>23</v>
      </c>
      <c r="P89" s="142" t="s">
        <v>23</v>
      </c>
      <c r="Q89" s="142" t="s">
        <v>23</v>
      </c>
      <c r="R89" s="142">
        <v>12</v>
      </c>
      <c r="S89" s="142">
        <v>5</v>
      </c>
      <c r="T89" s="142" t="s">
        <v>23</v>
      </c>
      <c r="U89" s="142" t="s">
        <v>23</v>
      </c>
      <c r="V89" s="142" t="s">
        <v>23</v>
      </c>
      <c r="W89" s="142" t="s">
        <v>23</v>
      </c>
      <c r="X89" s="142">
        <f t="shared" si="7"/>
        <v>17</v>
      </c>
    </row>
    <row r="90" spans="1:24">
      <c r="A90" s="99">
        <v>2013</v>
      </c>
      <c r="B90" s="142" t="s">
        <v>23</v>
      </c>
      <c r="C90" s="142" t="s">
        <v>23</v>
      </c>
      <c r="D90" s="142" t="s">
        <v>23</v>
      </c>
      <c r="E90" s="142">
        <v>2423</v>
      </c>
      <c r="F90" s="142">
        <v>7601</v>
      </c>
      <c r="G90" s="142">
        <v>8579</v>
      </c>
      <c r="H90" s="142">
        <v>8876</v>
      </c>
      <c r="I90" s="142">
        <v>439</v>
      </c>
      <c r="J90" s="142" t="s">
        <v>23</v>
      </c>
      <c r="K90" s="142" t="s">
        <v>23</v>
      </c>
      <c r="L90" s="142">
        <f t="shared" si="6"/>
        <v>27918</v>
      </c>
      <c r="N90" s="142" t="s">
        <v>23</v>
      </c>
      <c r="O90" s="142" t="s">
        <v>23</v>
      </c>
      <c r="P90" s="142" t="s">
        <v>23</v>
      </c>
      <c r="Q90" s="142" t="s">
        <v>23</v>
      </c>
      <c r="R90" s="142">
        <v>35</v>
      </c>
      <c r="S90" s="142">
        <v>39</v>
      </c>
      <c r="T90" s="142">
        <v>122</v>
      </c>
      <c r="U90" s="142" t="s">
        <v>23</v>
      </c>
      <c r="V90" s="142" t="s">
        <v>23</v>
      </c>
      <c r="W90" s="142" t="s">
        <v>23</v>
      </c>
      <c r="X90" s="142">
        <f t="shared" si="7"/>
        <v>196</v>
      </c>
    </row>
    <row r="91" spans="1:24">
      <c r="A91" s="99">
        <v>2014</v>
      </c>
      <c r="B91" s="142" t="s">
        <v>23</v>
      </c>
      <c r="C91" s="142" t="s">
        <v>23</v>
      </c>
      <c r="D91" s="142" t="s">
        <v>23</v>
      </c>
      <c r="E91" s="142">
        <v>2074</v>
      </c>
      <c r="F91" s="142">
        <v>4877</v>
      </c>
      <c r="G91" s="142">
        <v>3159</v>
      </c>
      <c r="H91" s="142">
        <v>2181</v>
      </c>
      <c r="I91" s="142">
        <v>303</v>
      </c>
      <c r="J91" s="142" t="s">
        <v>23</v>
      </c>
      <c r="K91" s="142" t="s">
        <v>23</v>
      </c>
      <c r="L91" s="142">
        <f t="shared" si="6"/>
        <v>12594</v>
      </c>
      <c r="N91" s="142" t="s">
        <v>23</v>
      </c>
      <c r="O91" s="142" t="s">
        <v>23</v>
      </c>
      <c r="P91" s="142" t="s">
        <v>23</v>
      </c>
      <c r="Q91" s="142">
        <v>19</v>
      </c>
      <c r="R91" s="142">
        <v>72</v>
      </c>
      <c r="S91" s="142">
        <v>118</v>
      </c>
      <c r="T91" s="142">
        <v>4</v>
      </c>
      <c r="U91" s="142">
        <v>3</v>
      </c>
      <c r="V91" s="142" t="s">
        <v>23</v>
      </c>
      <c r="W91" s="142" t="s">
        <v>23</v>
      </c>
      <c r="X91" s="142">
        <f t="shared" si="7"/>
        <v>216</v>
      </c>
    </row>
    <row r="92" spans="1:24" ht="12" customHeight="1">
      <c r="A92" s="99">
        <v>2015</v>
      </c>
      <c r="B92" s="142" t="s">
        <v>23</v>
      </c>
      <c r="C92" s="142" t="s">
        <v>23</v>
      </c>
      <c r="D92" s="142" t="s">
        <v>23</v>
      </c>
      <c r="E92" s="142">
        <v>877</v>
      </c>
      <c r="F92" s="142">
        <v>260</v>
      </c>
      <c r="G92" s="142">
        <v>1088</v>
      </c>
      <c r="H92" s="142">
        <v>1385</v>
      </c>
      <c r="I92" s="142">
        <v>16</v>
      </c>
      <c r="J92" s="142" t="s">
        <v>23</v>
      </c>
      <c r="K92" s="142" t="s">
        <v>23</v>
      </c>
      <c r="L92" s="142">
        <f t="shared" si="6"/>
        <v>3626</v>
      </c>
      <c r="N92" s="142" t="s">
        <v>23</v>
      </c>
      <c r="O92" s="142" t="s">
        <v>23</v>
      </c>
      <c r="P92" s="142" t="s">
        <v>23</v>
      </c>
      <c r="Q92" s="142" t="s">
        <v>23</v>
      </c>
      <c r="R92" s="142">
        <v>8</v>
      </c>
      <c r="S92" s="142">
        <v>4</v>
      </c>
      <c r="T92" s="142" t="s">
        <v>23</v>
      </c>
      <c r="U92" s="142" t="s">
        <v>23</v>
      </c>
      <c r="V92" s="142" t="s">
        <v>23</v>
      </c>
      <c r="W92" s="142" t="s">
        <v>23</v>
      </c>
      <c r="X92" s="142">
        <f t="shared" si="7"/>
        <v>12</v>
      </c>
    </row>
    <row r="93" spans="1:24">
      <c r="A93" s="99">
        <v>2016</v>
      </c>
      <c r="B93" s="142" t="s">
        <v>23</v>
      </c>
      <c r="C93" s="142" t="s">
        <v>23</v>
      </c>
      <c r="D93" s="142" t="s">
        <v>23</v>
      </c>
      <c r="E93" s="142">
        <v>1450</v>
      </c>
      <c r="F93" s="142">
        <v>934</v>
      </c>
      <c r="G93" s="142">
        <v>1414</v>
      </c>
      <c r="H93" s="142">
        <v>646</v>
      </c>
      <c r="I93" s="142">
        <v>523</v>
      </c>
      <c r="J93" s="142" t="s">
        <v>23</v>
      </c>
      <c r="K93" s="142" t="s">
        <v>23</v>
      </c>
      <c r="L93" s="142">
        <f t="shared" si="6"/>
        <v>4967</v>
      </c>
      <c r="N93" s="142" t="s">
        <v>23</v>
      </c>
      <c r="O93" s="142" t="s">
        <v>23</v>
      </c>
      <c r="P93" s="142" t="s">
        <v>23</v>
      </c>
      <c r="Q93" s="142" t="s">
        <v>23</v>
      </c>
      <c r="R93" s="142">
        <v>18</v>
      </c>
      <c r="S93" s="142">
        <v>9</v>
      </c>
      <c r="T93" s="142" t="s">
        <v>23</v>
      </c>
      <c r="U93" s="142" t="s">
        <v>23</v>
      </c>
      <c r="V93" s="142" t="s">
        <v>23</v>
      </c>
      <c r="W93" s="142" t="s">
        <v>23</v>
      </c>
      <c r="X93" s="142">
        <f t="shared" si="7"/>
        <v>27</v>
      </c>
    </row>
    <row r="94" spans="1:24">
      <c r="A94" s="99">
        <v>2017</v>
      </c>
      <c r="B94" s="142" t="s">
        <v>23</v>
      </c>
      <c r="C94" s="142" t="s">
        <v>23</v>
      </c>
      <c r="D94" s="142" t="s">
        <v>23</v>
      </c>
      <c r="E94" s="142" t="s">
        <v>23</v>
      </c>
      <c r="F94" s="142" t="s">
        <v>23</v>
      </c>
      <c r="G94" s="142" t="s">
        <v>23</v>
      </c>
      <c r="H94" s="142" t="s">
        <v>23</v>
      </c>
      <c r="I94" s="142" t="s">
        <v>23</v>
      </c>
      <c r="J94" s="142" t="s">
        <v>23</v>
      </c>
      <c r="K94" s="142" t="s">
        <v>23</v>
      </c>
      <c r="L94" s="142" t="s">
        <v>23</v>
      </c>
      <c r="M94" s="142"/>
      <c r="N94" s="142" t="s">
        <v>23</v>
      </c>
      <c r="O94" s="142" t="s">
        <v>23</v>
      </c>
      <c r="P94" s="142" t="s">
        <v>23</v>
      </c>
      <c r="Q94" s="142" t="s">
        <v>23</v>
      </c>
      <c r="R94" s="142" t="s">
        <v>23</v>
      </c>
      <c r="S94" s="142" t="s">
        <v>23</v>
      </c>
      <c r="T94" s="142" t="s">
        <v>23</v>
      </c>
      <c r="U94" s="142" t="s">
        <v>23</v>
      </c>
      <c r="V94" s="142" t="s">
        <v>23</v>
      </c>
      <c r="W94" s="142" t="s">
        <v>23</v>
      </c>
      <c r="X94" s="142" t="s">
        <v>23</v>
      </c>
    </row>
    <row r="95" spans="1:24">
      <c r="A95" s="99">
        <v>2018</v>
      </c>
      <c r="B95" s="142" t="s">
        <v>23</v>
      </c>
      <c r="C95" s="142" t="s">
        <v>23</v>
      </c>
      <c r="D95" s="142" t="s">
        <v>23</v>
      </c>
      <c r="E95" s="142" t="s">
        <v>23</v>
      </c>
      <c r="F95" s="142">
        <v>1590</v>
      </c>
      <c r="G95" s="142">
        <v>734</v>
      </c>
      <c r="H95" s="142">
        <v>1059</v>
      </c>
      <c r="I95" s="142">
        <v>27</v>
      </c>
      <c r="J95" s="142" t="s">
        <v>23</v>
      </c>
      <c r="K95" s="142" t="s">
        <v>23</v>
      </c>
      <c r="L95" s="142">
        <f t="shared" si="6"/>
        <v>3410</v>
      </c>
      <c r="M95" s="142"/>
      <c r="N95" s="142" t="s">
        <v>23</v>
      </c>
      <c r="O95" s="142" t="s">
        <v>23</v>
      </c>
      <c r="P95" s="142" t="s">
        <v>23</v>
      </c>
      <c r="Q95" s="142" t="s">
        <v>23</v>
      </c>
      <c r="R95" s="142">
        <v>41</v>
      </c>
      <c r="S95" s="142">
        <v>4</v>
      </c>
      <c r="T95" s="142">
        <v>33</v>
      </c>
      <c r="U95" s="142" t="s">
        <v>23</v>
      </c>
      <c r="V95" s="142" t="s">
        <v>23</v>
      </c>
      <c r="W95" s="142" t="s">
        <v>23</v>
      </c>
      <c r="X95" s="142">
        <f t="shared" si="7"/>
        <v>78</v>
      </c>
    </row>
    <row r="96" spans="1:24">
      <c r="A96" s="239">
        <v>2019</v>
      </c>
      <c r="B96" s="142" t="s">
        <v>23</v>
      </c>
      <c r="C96" s="142" t="s">
        <v>23</v>
      </c>
      <c r="D96" s="142" t="s">
        <v>23</v>
      </c>
      <c r="E96" s="142">
        <v>315</v>
      </c>
      <c r="F96" s="142">
        <v>2273</v>
      </c>
      <c r="G96" s="142">
        <v>1308</v>
      </c>
      <c r="H96" s="142">
        <v>941</v>
      </c>
      <c r="I96" s="142">
        <v>59</v>
      </c>
      <c r="J96" s="142" t="s">
        <v>23</v>
      </c>
      <c r="K96" s="142" t="s">
        <v>23</v>
      </c>
      <c r="L96" s="142">
        <f t="shared" ref="L96:L97" si="8">SUM(B96:K96)</f>
        <v>4896</v>
      </c>
      <c r="M96" s="142"/>
      <c r="N96" s="142" t="s">
        <v>23</v>
      </c>
      <c r="O96" s="142" t="s">
        <v>23</v>
      </c>
      <c r="P96" s="142" t="s">
        <v>23</v>
      </c>
      <c r="Q96" s="142" t="s">
        <v>23</v>
      </c>
      <c r="R96" s="142">
        <v>47</v>
      </c>
      <c r="S96" s="142">
        <v>61</v>
      </c>
      <c r="T96" s="142">
        <v>39</v>
      </c>
      <c r="U96" s="142" t="s">
        <v>23</v>
      </c>
      <c r="V96" s="142" t="s">
        <v>23</v>
      </c>
      <c r="W96" s="142" t="s">
        <v>23</v>
      </c>
      <c r="X96" s="142">
        <f t="shared" ref="X96:X97" si="9">SUM(N96:W96)</f>
        <v>147</v>
      </c>
    </row>
    <row r="97" spans="1:24" ht="13">
      <c r="A97" s="239" t="s">
        <v>343</v>
      </c>
      <c r="B97" s="142" t="s">
        <v>23</v>
      </c>
      <c r="C97" s="142" t="s">
        <v>23</v>
      </c>
      <c r="D97" s="142" t="s">
        <v>23</v>
      </c>
      <c r="E97" s="142" t="s">
        <v>23</v>
      </c>
      <c r="F97" s="142" t="s">
        <v>106</v>
      </c>
      <c r="G97" s="142">
        <v>1244</v>
      </c>
      <c r="H97" s="142">
        <v>204</v>
      </c>
      <c r="I97" s="142" t="s">
        <v>23</v>
      </c>
      <c r="J97" s="142" t="s">
        <v>23</v>
      </c>
      <c r="K97" s="142" t="s">
        <v>23</v>
      </c>
      <c r="L97" s="142">
        <f t="shared" si="8"/>
        <v>1448</v>
      </c>
      <c r="M97" s="142"/>
      <c r="N97" s="142" t="s">
        <v>23</v>
      </c>
      <c r="O97" s="142" t="s">
        <v>23</v>
      </c>
      <c r="P97" s="142" t="s">
        <v>23</v>
      </c>
      <c r="Q97" s="142" t="s">
        <v>23</v>
      </c>
      <c r="R97" s="142" t="s">
        <v>23</v>
      </c>
      <c r="S97" s="142">
        <v>4</v>
      </c>
      <c r="T97" s="142" t="s">
        <v>23</v>
      </c>
      <c r="U97" s="142" t="s">
        <v>23</v>
      </c>
      <c r="V97" s="142" t="s">
        <v>23</v>
      </c>
      <c r="W97" s="142" t="s">
        <v>23</v>
      </c>
      <c r="X97" s="142">
        <f t="shared" si="9"/>
        <v>4</v>
      </c>
    </row>
    <row r="98" spans="1:24" ht="13">
      <c r="A98" s="239" t="s">
        <v>317</v>
      </c>
      <c r="B98" s="142" t="s">
        <v>23</v>
      </c>
      <c r="C98" s="142" t="s">
        <v>23</v>
      </c>
      <c r="D98" s="142" t="s">
        <v>23</v>
      </c>
      <c r="E98" s="142" t="s">
        <v>23</v>
      </c>
      <c r="F98" s="142">
        <v>12</v>
      </c>
      <c r="G98" s="142">
        <v>540</v>
      </c>
      <c r="H98" s="142">
        <v>0</v>
      </c>
      <c r="I98" s="142" t="s">
        <v>23</v>
      </c>
      <c r="J98" s="142" t="s">
        <v>23</v>
      </c>
      <c r="K98" s="142" t="s">
        <v>23</v>
      </c>
      <c r="L98" s="142">
        <f t="shared" si="6"/>
        <v>552</v>
      </c>
      <c r="M98" s="142"/>
      <c r="N98" s="142" t="s">
        <v>23</v>
      </c>
      <c r="O98" s="142" t="s">
        <v>23</v>
      </c>
      <c r="P98" s="142" t="s">
        <v>23</v>
      </c>
      <c r="Q98" s="142" t="s">
        <v>23</v>
      </c>
      <c r="R98" s="142" t="s">
        <v>23</v>
      </c>
      <c r="S98" s="142">
        <v>9</v>
      </c>
      <c r="T98" s="142" t="s">
        <v>23</v>
      </c>
      <c r="U98" s="142" t="s">
        <v>23</v>
      </c>
      <c r="V98" s="142" t="s">
        <v>23</v>
      </c>
      <c r="W98" s="142" t="s">
        <v>23</v>
      </c>
      <c r="X98" s="142">
        <f t="shared" si="7"/>
        <v>9</v>
      </c>
    </row>
    <row r="99" spans="1:24" ht="16">
      <c r="N99" s="218"/>
      <c r="O99" s="218"/>
      <c r="P99" s="218"/>
      <c r="Q99" s="218"/>
      <c r="R99" s="218"/>
      <c r="S99" s="218"/>
      <c r="T99" s="218"/>
      <c r="U99" s="218"/>
      <c r="V99" s="218"/>
      <c r="W99" s="218"/>
    </row>
    <row r="100" spans="1:24" ht="16">
      <c r="A100" s="94" t="s">
        <v>18</v>
      </c>
      <c r="N100" s="218"/>
      <c r="O100" s="218"/>
      <c r="P100" s="218"/>
      <c r="Q100" s="218"/>
      <c r="R100" s="218"/>
      <c r="S100" s="218"/>
      <c r="T100" s="218"/>
      <c r="U100" s="218"/>
      <c r="V100" s="218"/>
      <c r="W100" s="218"/>
    </row>
    <row r="101" spans="1:24">
      <c r="A101" s="99">
        <v>1976</v>
      </c>
      <c r="B101" s="48" t="s">
        <v>106</v>
      </c>
      <c r="C101" s="48" t="s">
        <v>106</v>
      </c>
      <c r="D101" s="142">
        <v>0</v>
      </c>
      <c r="E101" s="142">
        <v>18</v>
      </c>
      <c r="F101" s="142">
        <v>287</v>
      </c>
      <c r="G101" s="142">
        <v>1469</v>
      </c>
      <c r="H101" s="142">
        <v>543</v>
      </c>
      <c r="I101" s="142">
        <v>6</v>
      </c>
      <c r="J101" s="142">
        <v>1</v>
      </c>
      <c r="K101" s="142">
        <v>0</v>
      </c>
      <c r="L101" s="142">
        <f t="shared" ref="L101:L146" si="10">SUM(B101:K101)</f>
        <v>2324</v>
      </c>
      <c r="N101" s="48" t="s">
        <v>106</v>
      </c>
      <c r="O101" s="48" t="s">
        <v>106</v>
      </c>
      <c r="P101" s="142">
        <v>0</v>
      </c>
      <c r="Q101" s="142">
        <v>234</v>
      </c>
      <c r="R101" s="142">
        <v>1492</v>
      </c>
      <c r="S101" s="142">
        <v>4071</v>
      </c>
      <c r="T101" s="142">
        <v>1450</v>
      </c>
      <c r="U101" s="142">
        <v>5</v>
      </c>
      <c r="V101" s="142">
        <v>1</v>
      </c>
      <c r="W101" s="142">
        <v>0</v>
      </c>
      <c r="X101" s="142">
        <f t="shared" ref="X101:X132" si="11">SUM(N101:W101)</f>
        <v>7253</v>
      </c>
    </row>
    <row r="102" spans="1:24">
      <c r="A102" s="99">
        <v>1977</v>
      </c>
      <c r="B102" s="48" t="s">
        <v>106</v>
      </c>
      <c r="C102" s="48" t="s">
        <v>106</v>
      </c>
      <c r="D102" s="142">
        <v>0</v>
      </c>
      <c r="E102" s="142">
        <v>11</v>
      </c>
      <c r="F102" s="142">
        <v>41</v>
      </c>
      <c r="G102" s="142">
        <v>2168</v>
      </c>
      <c r="H102" s="142">
        <v>3698</v>
      </c>
      <c r="I102" s="142">
        <v>405</v>
      </c>
      <c r="J102" s="142">
        <v>0</v>
      </c>
      <c r="K102" s="142">
        <v>0</v>
      </c>
      <c r="L102" s="142">
        <f t="shared" si="10"/>
        <v>6323</v>
      </c>
      <c r="N102" s="48" t="s">
        <v>106</v>
      </c>
      <c r="O102" s="48" t="s">
        <v>106</v>
      </c>
      <c r="P102" s="142">
        <v>0</v>
      </c>
      <c r="Q102" s="142">
        <v>0</v>
      </c>
      <c r="R102" s="142">
        <v>0</v>
      </c>
      <c r="S102" s="142">
        <v>156</v>
      </c>
      <c r="T102" s="142">
        <v>176</v>
      </c>
      <c r="U102" s="142">
        <v>363</v>
      </c>
      <c r="V102" s="142">
        <v>0</v>
      </c>
      <c r="W102" s="142">
        <v>0</v>
      </c>
      <c r="X102" s="142">
        <f t="shared" si="11"/>
        <v>695</v>
      </c>
    </row>
    <row r="103" spans="1:24">
      <c r="A103" s="99">
        <v>1978</v>
      </c>
      <c r="B103" s="48" t="s">
        <v>106</v>
      </c>
      <c r="C103" s="48" t="s">
        <v>106</v>
      </c>
      <c r="D103" s="142">
        <v>1</v>
      </c>
      <c r="E103" s="142">
        <v>15</v>
      </c>
      <c r="F103" s="142">
        <v>616</v>
      </c>
      <c r="G103" s="142">
        <v>1386</v>
      </c>
      <c r="H103" s="142">
        <v>516</v>
      </c>
      <c r="I103" s="142">
        <v>0</v>
      </c>
      <c r="J103" s="142">
        <v>0</v>
      </c>
      <c r="K103" s="142">
        <v>0</v>
      </c>
      <c r="L103" s="142">
        <f t="shared" si="10"/>
        <v>2534</v>
      </c>
      <c r="N103" s="48" t="s">
        <v>106</v>
      </c>
      <c r="O103" s="48" t="s">
        <v>106</v>
      </c>
      <c r="P103" s="142">
        <v>0</v>
      </c>
      <c r="Q103" s="142">
        <v>12</v>
      </c>
      <c r="R103" s="142">
        <v>1043</v>
      </c>
      <c r="S103" s="142">
        <v>829</v>
      </c>
      <c r="T103" s="142">
        <v>106</v>
      </c>
      <c r="U103" s="142">
        <v>0</v>
      </c>
      <c r="V103" s="142">
        <v>0</v>
      </c>
      <c r="W103" s="142">
        <v>0</v>
      </c>
      <c r="X103" s="142">
        <f t="shared" si="11"/>
        <v>1990</v>
      </c>
    </row>
    <row r="104" spans="1:24">
      <c r="A104" s="99">
        <v>1979</v>
      </c>
      <c r="B104" s="48" t="s">
        <v>106</v>
      </c>
      <c r="C104" s="48" t="s">
        <v>106</v>
      </c>
      <c r="D104" s="142">
        <v>0</v>
      </c>
      <c r="E104" s="142">
        <v>0</v>
      </c>
      <c r="F104" s="142">
        <v>564</v>
      </c>
      <c r="G104" s="142">
        <v>2877</v>
      </c>
      <c r="H104" s="142">
        <v>1110</v>
      </c>
      <c r="I104" s="142">
        <v>75</v>
      </c>
      <c r="J104" s="142">
        <v>0</v>
      </c>
      <c r="K104" s="142">
        <v>0</v>
      </c>
      <c r="L104" s="142">
        <f t="shared" si="10"/>
        <v>4626</v>
      </c>
      <c r="N104" s="48" t="s">
        <v>106</v>
      </c>
      <c r="O104" s="48" t="s">
        <v>106</v>
      </c>
      <c r="P104" s="142">
        <v>0</v>
      </c>
      <c r="Q104" s="142">
        <v>0</v>
      </c>
      <c r="R104" s="142">
        <v>315</v>
      </c>
      <c r="S104" s="142">
        <v>348</v>
      </c>
      <c r="T104" s="142">
        <v>116</v>
      </c>
      <c r="U104" s="142">
        <v>44</v>
      </c>
      <c r="V104" s="142">
        <v>0</v>
      </c>
      <c r="W104" s="142" t="s">
        <v>23</v>
      </c>
      <c r="X104" s="142">
        <f t="shared" si="11"/>
        <v>823</v>
      </c>
    </row>
    <row r="105" spans="1:24">
      <c r="A105" s="99">
        <v>1980</v>
      </c>
      <c r="B105" s="48" t="s">
        <v>106</v>
      </c>
      <c r="C105" s="48" t="s">
        <v>106</v>
      </c>
      <c r="D105" s="142">
        <v>1</v>
      </c>
      <c r="E105" s="142">
        <v>51</v>
      </c>
      <c r="F105" s="142">
        <v>328</v>
      </c>
      <c r="G105" s="142">
        <v>721</v>
      </c>
      <c r="H105" s="142">
        <v>194</v>
      </c>
      <c r="I105" s="142">
        <v>13</v>
      </c>
      <c r="J105" s="142">
        <v>0</v>
      </c>
      <c r="K105" s="142">
        <v>0</v>
      </c>
      <c r="L105" s="142">
        <f t="shared" si="10"/>
        <v>1308</v>
      </c>
      <c r="N105" s="48" t="s">
        <v>106</v>
      </c>
      <c r="O105" s="48" t="s">
        <v>106</v>
      </c>
      <c r="P105" s="142">
        <v>0</v>
      </c>
      <c r="Q105" s="142">
        <v>49</v>
      </c>
      <c r="R105" s="142">
        <v>320</v>
      </c>
      <c r="S105" s="142">
        <v>791</v>
      </c>
      <c r="T105" s="142">
        <v>107</v>
      </c>
      <c r="U105" s="142">
        <v>0</v>
      </c>
      <c r="V105" s="142">
        <v>0</v>
      </c>
      <c r="W105" s="142" t="s">
        <v>23</v>
      </c>
      <c r="X105" s="142">
        <f t="shared" si="11"/>
        <v>1267</v>
      </c>
    </row>
    <row r="106" spans="1:24">
      <c r="A106" s="99">
        <v>1981</v>
      </c>
      <c r="B106" s="48" t="s">
        <v>106</v>
      </c>
      <c r="C106" s="48" t="s">
        <v>106</v>
      </c>
      <c r="D106" s="142">
        <v>5</v>
      </c>
      <c r="E106" s="142">
        <v>37</v>
      </c>
      <c r="F106" s="142">
        <v>434</v>
      </c>
      <c r="G106" s="142">
        <v>1006</v>
      </c>
      <c r="H106" s="142">
        <v>290</v>
      </c>
      <c r="I106" s="142">
        <v>10</v>
      </c>
      <c r="J106" s="142">
        <v>5</v>
      </c>
      <c r="K106" s="142">
        <v>0</v>
      </c>
      <c r="L106" s="142">
        <f t="shared" si="10"/>
        <v>1787</v>
      </c>
      <c r="N106" s="48" t="s">
        <v>106</v>
      </c>
      <c r="O106" s="48" t="s">
        <v>106</v>
      </c>
      <c r="P106" s="142">
        <v>0</v>
      </c>
      <c r="Q106" s="142">
        <v>0</v>
      </c>
      <c r="R106" s="142">
        <v>0</v>
      </c>
      <c r="S106" s="142">
        <v>340</v>
      </c>
      <c r="T106" s="142">
        <v>181</v>
      </c>
      <c r="U106" s="142">
        <v>0</v>
      </c>
      <c r="V106" s="142">
        <v>0</v>
      </c>
      <c r="W106" s="142">
        <v>0</v>
      </c>
      <c r="X106" s="142">
        <f t="shared" si="11"/>
        <v>521</v>
      </c>
    </row>
    <row r="107" spans="1:24">
      <c r="A107" s="99">
        <v>1982</v>
      </c>
      <c r="B107" s="48" t="s">
        <v>106</v>
      </c>
      <c r="C107" s="48" t="s">
        <v>106</v>
      </c>
      <c r="D107" s="142">
        <v>0</v>
      </c>
      <c r="E107" s="142">
        <v>62</v>
      </c>
      <c r="F107" s="142">
        <v>843</v>
      </c>
      <c r="G107" s="142">
        <v>1319</v>
      </c>
      <c r="H107" s="142">
        <v>709</v>
      </c>
      <c r="I107" s="142">
        <v>15</v>
      </c>
      <c r="J107" s="142">
        <v>0</v>
      </c>
      <c r="K107" s="142">
        <v>0</v>
      </c>
      <c r="L107" s="142">
        <f t="shared" si="10"/>
        <v>2948</v>
      </c>
      <c r="N107" s="48" t="s">
        <v>106</v>
      </c>
      <c r="O107" s="48" t="s">
        <v>106</v>
      </c>
      <c r="P107" s="142">
        <v>0</v>
      </c>
      <c r="Q107" s="142">
        <v>0</v>
      </c>
      <c r="R107" s="142">
        <v>193</v>
      </c>
      <c r="S107" s="142">
        <v>546</v>
      </c>
      <c r="T107" s="142">
        <v>167</v>
      </c>
      <c r="U107" s="142">
        <v>15</v>
      </c>
      <c r="V107" s="142">
        <v>0</v>
      </c>
      <c r="W107" s="142">
        <v>0</v>
      </c>
      <c r="X107" s="142">
        <f t="shared" si="11"/>
        <v>921</v>
      </c>
    </row>
    <row r="108" spans="1:24">
      <c r="A108" s="99">
        <v>1983</v>
      </c>
      <c r="B108" s="48" t="s">
        <v>106</v>
      </c>
      <c r="C108" s="48" t="s">
        <v>106</v>
      </c>
      <c r="D108" s="142">
        <v>0</v>
      </c>
      <c r="E108" s="142">
        <v>12</v>
      </c>
      <c r="F108" s="142">
        <v>747</v>
      </c>
      <c r="G108" s="142">
        <v>931</v>
      </c>
      <c r="H108" s="142">
        <v>232</v>
      </c>
      <c r="I108" s="142">
        <v>11</v>
      </c>
      <c r="J108" s="142">
        <v>0</v>
      </c>
      <c r="K108" s="142">
        <v>0</v>
      </c>
      <c r="L108" s="142">
        <f t="shared" si="10"/>
        <v>1933</v>
      </c>
      <c r="N108" s="48" t="s">
        <v>106</v>
      </c>
      <c r="O108" s="48" t="s">
        <v>106</v>
      </c>
      <c r="P108" s="142">
        <v>0</v>
      </c>
      <c r="Q108" s="142">
        <v>0</v>
      </c>
      <c r="R108" s="142">
        <v>347</v>
      </c>
      <c r="S108" s="142">
        <v>1169</v>
      </c>
      <c r="T108" s="142">
        <v>215</v>
      </c>
      <c r="U108" s="142">
        <v>0</v>
      </c>
      <c r="V108" s="142">
        <v>0</v>
      </c>
      <c r="W108" s="142">
        <v>0</v>
      </c>
      <c r="X108" s="142">
        <f t="shared" si="11"/>
        <v>1731</v>
      </c>
    </row>
    <row r="109" spans="1:24">
      <c r="A109" s="99">
        <v>1984</v>
      </c>
      <c r="B109" s="48" t="s">
        <v>106</v>
      </c>
      <c r="C109" s="48" t="s">
        <v>106</v>
      </c>
      <c r="D109" s="142">
        <v>1</v>
      </c>
      <c r="E109" s="142">
        <v>3</v>
      </c>
      <c r="F109" s="142">
        <v>251</v>
      </c>
      <c r="G109" s="142">
        <v>594</v>
      </c>
      <c r="H109" s="142">
        <v>143</v>
      </c>
      <c r="I109" s="142">
        <v>7</v>
      </c>
      <c r="J109" s="142">
        <v>0</v>
      </c>
      <c r="K109" s="142">
        <v>0</v>
      </c>
      <c r="L109" s="142">
        <f t="shared" si="10"/>
        <v>999</v>
      </c>
      <c r="N109" s="48" t="s">
        <v>106</v>
      </c>
      <c r="O109" s="48" t="s">
        <v>106</v>
      </c>
      <c r="P109" s="142">
        <v>0</v>
      </c>
      <c r="Q109" s="142">
        <v>0</v>
      </c>
      <c r="R109" s="142">
        <v>104</v>
      </c>
      <c r="S109" s="142">
        <v>494</v>
      </c>
      <c r="T109" s="142">
        <v>116</v>
      </c>
      <c r="U109" s="142">
        <v>0</v>
      </c>
      <c r="V109" s="142">
        <v>0</v>
      </c>
      <c r="W109" s="142">
        <v>0</v>
      </c>
      <c r="X109" s="142">
        <f t="shared" si="11"/>
        <v>714</v>
      </c>
    </row>
    <row r="110" spans="1:24">
      <c r="A110" s="99">
        <v>1985</v>
      </c>
      <c r="B110" s="48" t="s">
        <v>106</v>
      </c>
      <c r="C110" s="48" t="s">
        <v>106</v>
      </c>
      <c r="D110" s="142">
        <v>1</v>
      </c>
      <c r="E110" s="142">
        <v>33</v>
      </c>
      <c r="F110" s="142">
        <v>806</v>
      </c>
      <c r="G110" s="142">
        <v>3913</v>
      </c>
      <c r="H110" s="142">
        <v>221</v>
      </c>
      <c r="I110" s="142">
        <v>10</v>
      </c>
      <c r="J110" s="142">
        <v>1</v>
      </c>
      <c r="K110" s="142">
        <v>0</v>
      </c>
      <c r="L110" s="142">
        <f t="shared" si="10"/>
        <v>4985</v>
      </c>
      <c r="N110" s="48" t="s">
        <v>106</v>
      </c>
      <c r="O110" s="48" t="s">
        <v>106</v>
      </c>
      <c r="P110" s="142">
        <v>0</v>
      </c>
      <c r="Q110" s="142">
        <v>0</v>
      </c>
      <c r="R110" s="142">
        <v>474</v>
      </c>
      <c r="S110" s="142">
        <v>290</v>
      </c>
      <c r="T110" s="142">
        <v>8</v>
      </c>
      <c r="U110" s="142">
        <v>0</v>
      </c>
      <c r="V110" s="142">
        <v>0</v>
      </c>
      <c r="W110" s="142">
        <v>0</v>
      </c>
      <c r="X110" s="142">
        <f t="shared" si="11"/>
        <v>772</v>
      </c>
    </row>
    <row r="111" spans="1:24">
      <c r="A111" s="99">
        <v>1986</v>
      </c>
      <c r="B111" s="142">
        <v>0</v>
      </c>
      <c r="C111" s="142">
        <v>0</v>
      </c>
      <c r="D111" s="142">
        <v>8</v>
      </c>
      <c r="E111" s="142">
        <v>170</v>
      </c>
      <c r="F111" s="142">
        <v>3227</v>
      </c>
      <c r="G111" s="142">
        <v>6399</v>
      </c>
      <c r="H111" s="142">
        <v>780</v>
      </c>
      <c r="I111" s="142">
        <v>0</v>
      </c>
      <c r="J111" s="142">
        <v>0</v>
      </c>
      <c r="K111" s="142">
        <v>0</v>
      </c>
      <c r="L111" s="142">
        <f t="shared" si="10"/>
        <v>10584</v>
      </c>
      <c r="N111" s="142">
        <v>0</v>
      </c>
      <c r="O111" s="142">
        <v>0</v>
      </c>
      <c r="P111" s="142">
        <v>0</v>
      </c>
      <c r="Q111" s="142">
        <v>13</v>
      </c>
      <c r="R111" s="142">
        <v>189</v>
      </c>
      <c r="S111" s="142">
        <v>1140</v>
      </c>
      <c r="T111" s="142">
        <v>249</v>
      </c>
      <c r="U111" s="142">
        <v>3</v>
      </c>
      <c r="V111" s="142">
        <v>0</v>
      </c>
      <c r="W111" s="142">
        <v>0</v>
      </c>
      <c r="X111" s="142">
        <f t="shared" si="11"/>
        <v>1594</v>
      </c>
    </row>
    <row r="112" spans="1:24">
      <c r="A112" s="99">
        <v>1987</v>
      </c>
      <c r="B112" s="142">
        <v>0</v>
      </c>
      <c r="C112" s="142">
        <v>4</v>
      </c>
      <c r="D112" s="142">
        <v>45</v>
      </c>
      <c r="E112" s="142">
        <v>253</v>
      </c>
      <c r="F112" s="142">
        <v>2359</v>
      </c>
      <c r="G112" s="142">
        <v>5208</v>
      </c>
      <c r="H112" s="142">
        <v>1115</v>
      </c>
      <c r="I112" s="142">
        <v>217</v>
      </c>
      <c r="J112" s="142">
        <v>0</v>
      </c>
      <c r="K112" s="142">
        <v>0</v>
      </c>
      <c r="L112" s="142">
        <f t="shared" si="10"/>
        <v>9201</v>
      </c>
      <c r="N112" s="142">
        <v>0</v>
      </c>
      <c r="O112" s="142">
        <v>0</v>
      </c>
      <c r="P112" s="142">
        <v>0</v>
      </c>
      <c r="Q112" s="142">
        <v>0</v>
      </c>
      <c r="R112" s="142">
        <v>671</v>
      </c>
      <c r="S112" s="142">
        <v>1125</v>
      </c>
      <c r="T112" s="142">
        <v>471</v>
      </c>
      <c r="U112" s="142">
        <v>241</v>
      </c>
      <c r="V112" s="142">
        <v>0</v>
      </c>
      <c r="W112" s="142">
        <v>0</v>
      </c>
      <c r="X112" s="142">
        <f t="shared" si="11"/>
        <v>2508</v>
      </c>
    </row>
    <row r="113" spans="1:24">
      <c r="A113" s="99">
        <v>1988</v>
      </c>
      <c r="B113" s="142">
        <v>0</v>
      </c>
      <c r="C113" s="142">
        <v>0</v>
      </c>
      <c r="D113" s="142">
        <v>311</v>
      </c>
      <c r="E113" s="142">
        <v>1110</v>
      </c>
      <c r="F113" s="142">
        <v>3431</v>
      </c>
      <c r="G113" s="142">
        <v>3799</v>
      </c>
      <c r="H113" s="142">
        <v>707</v>
      </c>
      <c r="I113" s="142">
        <v>48</v>
      </c>
      <c r="J113" s="142">
        <v>0</v>
      </c>
      <c r="K113" s="142">
        <v>0</v>
      </c>
      <c r="L113" s="142">
        <f t="shared" si="10"/>
        <v>9406</v>
      </c>
      <c r="N113" s="142">
        <v>0</v>
      </c>
      <c r="O113" s="142">
        <v>0</v>
      </c>
      <c r="P113" s="142">
        <v>0</v>
      </c>
      <c r="Q113" s="142">
        <v>81</v>
      </c>
      <c r="R113" s="142">
        <v>163</v>
      </c>
      <c r="S113" s="142">
        <v>2809</v>
      </c>
      <c r="T113" s="142">
        <v>95</v>
      </c>
      <c r="U113" s="142">
        <v>0</v>
      </c>
      <c r="V113" s="142">
        <v>0</v>
      </c>
      <c r="W113" s="142">
        <v>0</v>
      </c>
      <c r="X113" s="142">
        <f t="shared" si="11"/>
        <v>3148</v>
      </c>
    </row>
    <row r="114" spans="1:24">
      <c r="A114" s="99">
        <v>1989</v>
      </c>
      <c r="B114" s="142">
        <v>0</v>
      </c>
      <c r="C114" s="142">
        <v>0</v>
      </c>
      <c r="D114" s="142">
        <v>58</v>
      </c>
      <c r="E114" s="142">
        <v>182</v>
      </c>
      <c r="F114" s="142">
        <v>2527</v>
      </c>
      <c r="G114" s="142">
        <v>2409</v>
      </c>
      <c r="H114" s="142">
        <v>579</v>
      </c>
      <c r="I114" s="142">
        <v>36</v>
      </c>
      <c r="J114" s="142">
        <v>12</v>
      </c>
      <c r="K114" s="142">
        <v>0</v>
      </c>
      <c r="L114" s="142">
        <f t="shared" si="10"/>
        <v>5803</v>
      </c>
      <c r="N114" s="142">
        <v>0</v>
      </c>
      <c r="O114" s="142">
        <v>0</v>
      </c>
      <c r="P114" s="142">
        <v>0</v>
      </c>
      <c r="Q114" s="142">
        <v>14</v>
      </c>
      <c r="R114" s="142">
        <v>1084</v>
      </c>
      <c r="S114" s="142">
        <v>2109</v>
      </c>
      <c r="T114" s="142">
        <v>397</v>
      </c>
      <c r="U114" s="142">
        <v>75</v>
      </c>
      <c r="V114" s="142">
        <v>0</v>
      </c>
      <c r="W114" s="142">
        <v>0</v>
      </c>
      <c r="X114" s="142">
        <f t="shared" si="11"/>
        <v>3679</v>
      </c>
    </row>
    <row r="115" spans="1:24">
      <c r="A115" s="99">
        <v>1990</v>
      </c>
      <c r="B115" s="142">
        <v>0</v>
      </c>
      <c r="C115" s="142">
        <v>0</v>
      </c>
      <c r="D115" s="142">
        <v>1</v>
      </c>
      <c r="E115" s="142">
        <v>84</v>
      </c>
      <c r="F115" s="142">
        <v>1588</v>
      </c>
      <c r="G115" s="142">
        <v>1472</v>
      </c>
      <c r="H115" s="142">
        <v>191</v>
      </c>
      <c r="I115" s="142">
        <v>52</v>
      </c>
      <c r="J115" s="142">
        <v>0</v>
      </c>
      <c r="K115" s="142">
        <v>0</v>
      </c>
      <c r="L115" s="142">
        <f t="shared" si="10"/>
        <v>3388</v>
      </c>
      <c r="N115" s="142">
        <v>0</v>
      </c>
      <c r="O115" s="142">
        <v>0</v>
      </c>
      <c r="P115" s="142">
        <v>0</v>
      </c>
      <c r="Q115" s="142">
        <v>84</v>
      </c>
      <c r="R115" s="142">
        <v>2193</v>
      </c>
      <c r="S115" s="142">
        <v>2127</v>
      </c>
      <c r="T115" s="142">
        <v>107</v>
      </c>
      <c r="U115" s="142">
        <v>29</v>
      </c>
      <c r="V115" s="142">
        <v>0</v>
      </c>
      <c r="W115" s="142">
        <v>0</v>
      </c>
      <c r="X115" s="142">
        <f t="shared" si="11"/>
        <v>4540</v>
      </c>
    </row>
    <row r="116" spans="1:24">
      <c r="A116" s="99">
        <v>1991</v>
      </c>
      <c r="B116" s="142">
        <v>0</v>
      </c>
      <c r="C116" s="142">
        <v>0</v>
      </c>
      <c r="D116" s="142">
        <v>6</v>
      </c>
      <c r="E116" s="142">
        <v>156</v>
      </c>
      <c r="F116" s="142">
        <v>1629</v>
      </c>
      <c r="G116" s="142">
        <v>3580</v>
      </c>
      <c r="H116" s="142">
        <v>467</v>
      </c>
      <c r="I116" s="142">
        <v>16</v>
      </c>
      <c r="J116" s="48" t="s">
        <v>106</v>
      </c>
      <c r="K116" s="48" t="s">
        <v>106</v>
      </c>
      <c r="L116" s="142">
        <f t="shared" si="10"/>
        <v>5854</v>
      </c>
      <c r="N116" s="142">
        <v>0</v>
      </c>
      <c r="O116" s="142">
        <v>0</v>
      </c>
      <c r="P116" s="142">
        <v>0</v>
      </c>
      <c r="Q116" s="142">
        <v>500</v>
      </c>
      <c r="R116" s="142">
        <v>7894</v>
      </c>
      <c r="S116" s="142">
        <v>9557</v>
      </c>
      <c r="T116" s="142">
        <v>627</v>
      </c>
      <c r="U116" s="142">
        <v>8</v>
      </c>
      <c r="V116" s="48" t="s">
        <v>106</v>
      </c>
      <c r="W116" s="48" t="s">
        <v>106</v>
      </c>
      <c r="X116" s="142">
        <f t="shared" si="11"/>
        <v>18586</v>
      </c>
    </row>
    <row r="117" spans="1:24">
      <c r="A117" s="99">
        <v>1992</v>
      </c>
      <c r="B117" s="142">
        <v>0</v>
      </c>
      <c r="C117" s="142">
        <v>2</v>
      </c>
      <c r="D117" s="142">
        <v>80</v>
      </c>
      <c r="E117" s="142">
        <v>983</v>
      </c>
      <c r="F117" s="142">
        <v>54</v>
      </c>
      <c r="G117" s="142">
        <v>2412</v>
      </c>
      <c r="H117" s="142" t="s">
        <v>23</v>
      </c>
      <c r="I117" s="142">
        <v>707</v>
      </c>
      <c r="J117" s="142">
        <v>24</v>
      </c>
      <c r="K117" s="142">
        <v>1</v>
      </c>
      <c r="L117" s="142">
        <f t="shared" si="10"/>
        <v>4263</v>
      </c>
      <c r="N117" s="142">
        <v>0</v>
      </c>
      <c r="O117" s="142">
        <v>0</v>
      </c>
      <c r="P117" s="142">
        <v>0</v>
      </c>
      <c r="Q117" s="142">
        <v>284</v>
      </c>
      <c r="R117" s="142">
        <v>151</v>
      </c>
      <c r="S117" s="142">
        <v>2467</v>
      </c>
      <c r="T117" s="142" t="s">
        <v>23</v>
      </c>
      <c r="U117" s="142">
        <v>405</v>
      </c>
      <c r="V117" s="142">
        <v>25</v>
      </c>
      <c r="W117" s="142">
        <v>0</v>
      </c>
      <c r="X117" s="142">
        <f t="shared" si="11"/>
        <v>3332</v>
      </c>
    </row>
    <row r="118" spans="1:24">
      <c r="A118" s="99">
        <v>1993</v>
      </c>
      <c r="B118" s="142">
        <v>2</v>
      </c>
      <c r="C118" s="142">
        <v>43</v>
      </c>
      <c r="D118" s="142">
        <v>210</v>
      </c>
      <c r="E118" s="142">
        <v>284</v>
      </c>
      <c r="F118" s="142">
        <v>491</v>
      </c>
      <c r="G118" s="142">
        <v>2615</v>
      </c>
      <c r="H118" s="142">
        <v>1929</v>
      </c>
      <c r="I118" s="142">
        <v>233</v>
      </c>
      <c r="J118" s="142">
        <v>14</v>
      </c>
      <c r="K118" s="142">
        <v>0</v>
      </c>
      <c r="L118" s="142">
        <f t="shared" si="10"/>
        <v>5821</v>
      </c>
      <c r="N118" s="142">
        <v>0</v>
      </c>
      <c r="O118" s="142">
        <v>5</v>
      </c>
      <c r="P118" s="142">
        <v>4</v>
      </c>
      <c r="Q118" s="142">
        <v>96</v>
      </c>
      <c r="R118" s="142">
        <v>712</v>
      </c>
      <c r="S118" s="142">
        <v>9448</v>
      </c>
      <c r="T118" s="142">
        <v>1936</v>
      </c>
      <c r="U118" s="142">
        <v>123</v>
      </c>
      <c r="V118" s="142">
        <v>3</v>
      </c>
      <c r="W118" s="142">
        <v>0</v>
      </c>
      <c r="X118" s="142">
        <f t="shared" si="11"/>
        <v>12327</v>
      </c>
    </row>
    <row r="119" spans="1:24">
      <c r="A119" s="99">
        <v>1994</v>
      </c>
      <c r="B119" s="142">
        <v>27</v>
      </c>
      <c r="C119" s="142">
        <v>78</v>
      </c>
      <c r="D119" s="142">
        <v>872</v>
      </c>
      <c r="E119" s="142">
        <v>3343</v>
      </c>
      <c r="F119" s="142">
        <v>7060</v>
      </c>
      <c r="G119" s="142" t="s">
        <v>23</v>
      </c>
      <c r="H119" s="142">
        <v>2320</v>
      </c>
      <c r="I119" s="142">
        <v>309</v>
      </c>
      <c r="J119" s="142">
        <v>9</v>
      </c>
      <c r="K119" s="48" t="s">
        <v>106</v>
      </c>
      <c r="L119" s="142">
        <f t="shared" si="10"/>
        <v>14018</v>
      </c>
      <c r="N119" s="142">
        <v>0</v>
      </c>
      <c r="O119" s="142">
        <v>0</v>
      </c>
      <c r="P119" s="142">
        <v>13</v>
      </c>
      <c r="Q119" s="142">
        <v>0</v>
      </c>
      <c r="R119" s="142">
        <v>171</v>
      </c>
      <c r="S119" s="142" t="s">
        <v>23</v>
      </c>
      <c r="T119" s="142">
        <v>39</v>
      </c>
      <c r="U119" s="142">
        <v>0</v>
      </c>
      <c r="V119" s="142">
        <v>3</v>
      </c>
      <c r="W119" s="48" t="s">
        <v>106</v>
      </c>
      <c r="X119" s="142">
        <f t="shared" si="11"/>
        <v>226</v>
      </c>
    </row>
    <row r="120" spans="1:24">
      <c r="A120" s="99">
        <v>1995</v>
      </c>
      <c r="B120" s="142">
        <v>229</v>
      </c>
      <c r="C120" s="142">
        <v>300</v>
      </c>
      <c r="D120" s="142">
        <v>976</v>
      </c>
      <c r="E120" s="142">
        <v>1146</v>
      </c>
      <c r="F120" s="142">
        <v>20464</v>
      </c>
      <c r="G120" s="142" t="s">
        <v>23</v>
      </c>
      <c r="H120" s="142">
        <v>4795</v>
      </c>
      <c r="I120" s="142">
        <v>1015</v>
      </c>
      <c r="J120" s="142">
        <v>123</v>
      </c>
      <c r="K120" s="48" t="s">
        <v>106</v>
      </c>
      <c r="L120" s="142">
        <f t="shared" si="10"/>
        <v>29048</v>
      </c>
      <c r="N120" s="142">
        <v>0</v>
      </c>
      <c r="O120" s="142">
        <v>0</v>
      </c>
      <c r="P120" s="142">
        <v>5</v>
      </c>
      <c r="Q120" s="142">
        <v>3</v>
      </c>
      <c r="R120" s="142">
        <v>307</v>
      </c>
      <c r="S120" s="142" t="s">
        <v>23</v>
      </c>
      <c r="T120" s="142">
        <v>111</v>
      </c>
      <c r="U120" s="142">
        <v>20</v>
      </c>
      <c r="V120" s="142">
        <v>9</v>
      </c>
      <c r="W120" s="48" t="s">
        <v>106</v>
      </c>
      <c r="X120" s="142">
        <f t="shared" si="11"/>
        <v>455</v>
      </c>
    </row>
    <row r="121" spans="1:24">
      <c r="A121" s="99">
        <v>1996</v>
      </c>
      <c r="B121" s="142">
        <v>11</v>
      </c>
      <c r="C121" s="142">
        <v>277</v>
      </c>
      <c r="D121" s="142">
        <v>1368</v>
      </c>
      <c r="E121" s="142">
        <v>1945</v>
      </c>
      <c r="F121" s="142">
        <v>13727</v>
      </c>
      <c r="G121" s="142">
        <v>1900</v>
      </c>
      <c r="H121" s="142">
        <v>3213</v>
      </c>
      <c r="I121" s="142">
        <v>1450</v>
      </c>
      <c r="J121" s="142">
        <v>111</v>
      </c>
      <c r="K121" s="48" t="s">
        <v>106</v>
      </c>
      <c r="L121" s="142">
        <f t="shared" si="10"/>
        <v>24002</v>
      </c>
      <c r="N121" s="142" t="s">
        <v>23</v>
      </c>
      <c r="O121" s="142" t="s">
        <v>23</v>
      </c>
      <c r="P121" s="142">
        <v>3</v>
      </c>
      <c r="Q121" s="142" t="s">
        <v>23</v>
      </c>
      <c r="R121" s="142">
        <v>180</v>
      </c>
      <c r="S121" s="142">
        <v>23</v>
      </c>
      <c r="T121" s="142">
        <v>98</v>
      </c>
      <c r="U121" s="142">
        <v>30</v>
      </c>
      <c r="V121" s="142" t="s">
        <v>23</v>
      </c>
      <c r="W121" s="142" t="s">
        <v>23</v>
      </c>
      <c r="X121" s="142">
        <f t="shared" si="11"/>
        <v>334</v>
      </c>
    </row>
    <row r="122" spans="1:24">
      <c r="A122" s="99">
        <v>1997</v>
      </c>
      <c r="B122" s="48" t="s">
        <v>106</v>
      </c>
      <c r="C122" s="142">
        <v>128</v>
      </c>
      <c r="D122" s="142">
        <v>475</v>
      </c>
      <c r="E122" s="142">
        <v>1871</v>
      </c>
      <c r="F122" s="142">
        <v>4168</v>
      </c>
      <c r="G122" s="142">
        <v>3615</v>
      </c>
      <c r="H122" s="142">
        <v>1259</v>
      </c>
      <c r="I122" s="142">
        <v>68</v>
      </c>
      <c r="J122" s="48" t="s">
        <v>106</v>
      </c>
      <c r="K122" s="48" t="s">
        <v>106</v>
      </c>
      <c r="L122" s="142">
        <f t="shared" si="10"/>
        <v>11584</v>
      </c>
      <c r="N122" s="142" t="s">
        <v>23</v>
      </c>
      <c r="O122" s="142" t="s">
        <v>23</v>
      </c>
      <c r="P122" s="142" t="s">
        <v>23</v>
      </c>
      <c r="Q122" s="142">
        <v>8</v>
      </c>
      <c r="R122" s="142">
        <v>21</v>
      </c>
      <c r="S122" s="142">
        <v>21</v>
      </c>
      <c r="T122" s="142">
        <v>9</v>
      </c>
      <c r="U122" s="142" t="s">
        <v>23</v>
      </c>
      <c r="V122" s="142" t="s">
        <v>23</v>
      </c>
      <c r="W122" s="142" t="s">
        <v>23</v>
      </c>
      <c r="X122" s="142">
        <f t="shared" si="11"/>
        <v>59</v>
      </c>
    </row>
    <row r="123" spans="1:24">
      <c r="A123" s="99">
        <v>1998</v>
      </c>
      <c r="B123" s="48" t="s">
        <v>106</v>
      </c>
      <c r="C123" s="142">
        <v>40</v>
      </c>
      <c r="D123" s="48" t="s">
        <v>106</v>
      </c>
      <c r="E123" s="142">
        <v>594</v>
      </c>
      <c r="F123" s="142">
        <v>520</v>
      </c>
      <c r="G123" s="142">
        <v>683</v>
      </c>
      <c r="H123" s="142">
        <v>2197</v>
      </c>
      <c r="I123" s="142">
        <v>629</v>
      </c>
      <c r="J123" s="142">
        <v>0</v>
      </c>
      <c r="K123" s="48" t="s">
        <v>106</v>
      </c>
      <c r="L123" s="142">
        <f t="shared" si="10"/>
        <v>4663</v>
      </c>
      <c r="N123" s="142" t="s">
        <v>23</v>
      </c>
      <c r="O123" s="142" t="s">
        <v>23</v>
      </c>
      <c r="P123" s="142" t="s">
        <v>23</v>
      </c>
      <c r="Q123" s="142" t="s">
        <v>23</v>
      </c>
      <c r="R123" s="142" t="s">
        <v>23</v>
      </c>
      <c r="S123" s="142" t="s">
        <v>23</v>
      </c>
      <c r="T123" s="142">
        <v>3</v>
      </c>
      <c r="U123" s="142" t="s">
        <v>23</v>
      </c>
      <c r="V123" s="142" t="s">
        <v>23</v>
      </c>
      <c r="W123" s="142" t="s">
        <v>23</v>
      </c>
      <c r="X123" s="142">
        <f t="shared" si="11"/>
        <v>3</v>
      </c>
    </row>
    <row r="124" spans="1:24">
      <c r="A124" s="99">
        <v>1999</v>
      </c>
      <c r="B124" s="142">
        <v>0</v>
      </c>
      <c r="C124" s="142">
        <v>1</v>
      </c>
      <c r="D124" s="142">
        <v>22</v>
      </c>
      <c r="E124" s="142">
        <v>32</v>
      </c>
      <c r="F124" s="142">
        <v>481</v>
      </c>
      <c r="G124" s="142">
        <v>2020</v>
      </c>
      <c r="H124" s="142">
        <v>2550</v>
      </c>
      <c r="I124" s="142">
        <v>157</v>
      </c>
      <c r="J124" s="48" t="s">
        <v>106</v>
      </c>
      <c r="K124" s="48" t="s">
        <v>106</v>
      </c>
      <c r="L124" s="142">
        <f t="shared" si="10"/>
        <v>5263</v>
      </c>
      <c r="N124" s="142" t="s">
        <v>23</v>
      </c>
      <c r="O124" s="142" t="s">
        <v>23</v>
      </c>
      <c r="P124" s="142" t="s">
        <v>23</v>
      </c>
      <c r="Q124" s="142" t="s">
        <v>23</v>
      </c>
      <c r="R124" s="142">
        <v>15</v>
      </c>
      <c r="S124" s="142">
        <v>27</v>
      </c>
      <c r="T124" s="142">
        <v>112</v>
      </c>
      <c r="U124" s="142" t="s">
        <v>23</v>
      </c>
      <c r="V124" s="142" t="s">
        <v>23</v>
      </c>
      <c r="W124" s="142" t="s">
        <v>23</v>
      </c>
      <c r="X124" s="142">
        <f t="shared" si="11"/>
        <v>154</v>
      </c>
    </row>
    <row r="125" spans="1:24">
      <c r="A125" s="99">
        <v>2000</v>
      </c>
      <c r="B125" s="48" t="s">
        <v>106</v>
      </c>
      <c r="C125" s="48" t="s">
        <v>106</v>
      </c>
      <c r="D125" s="142">
        <v>700</v>
      </c>
      <c r="E125" s="142">
        <v>2725</v>
      </c>
      <c r="F125" s="142">
        <v>5720</v>
      </c>
      <c r="G125" s="142">
        <v>8120</v>
      </c>
      <c r="H125" s="142">
        <v>7342</v>
      </c>
      <c r="I125" s="142">
        <v>1335</v>
      </c>
      <c r="J125" s="48">
        <v>0</v>
      </c>
      <c r="K125" s="48" t="s">
        <v>106</v>
      </c>
      <c r="L125" s="142">
        <f t="shared" si="10"/>
        <v>25942</v>
      </c>
      <c r="N125" s="142" t="s">
        <v>23</v>
      </c>
      <c r="O125" s="142" t="s">
        <v>23</v>
      </c>
      <c r="P125" s="142" t="s">
        <v>23</v>
      </c>
      <c r="Q125" s="142" t="s">
        <v>23</v>
      </c>
      <c r="R125" s="142">
        <v>46</v>
      </c>
      <c r="S125" s="142">
        <v>8</v>
      </c>
      <c r="T125" s="142">
        <v>9</v>
      </c>
      <c r="U125" s="142">
        <v>3</v>
      </c>
      <c r="V125" s="142" t="s">
        <v>23</v>
      </c>
      <c r="W125" s="142" t="s">
        <v>23</v>
      </c>
      <c r="X125" s="142">
        <f t="shared" si="11"/>
        <v>66</v>
      </c>
    </row>
    <row r="126" spans="1:24">
      <c r="A126" s="99">
        <v>2001</v>
      </c>
      <c r="B126" s="48" t="s">
        <v>106</v>
      </c>
      <c r="C126" s="142">
        <v>464</v>
      </c>
      <c r="D126" s="142">
        <v>516</v>
      </c>
      <c r="E126" s="142">
        <v>2663</v>
      </c>
      <c r="F126" s="142">
        <v>6305</v>
      </c>
      <c r="G126" s="142">
        <v>10402</v>
      </c>
      <c r="H126" s="142">
        <v>5348</v>
      </c>
      <c r="I126" s="142">
        <v>358</v>
      </c>
      <c r="J126" s="142">
        <v>6</v>
      </c>
      <c r="K126" s="142">
        <v>2</v>
      </c>
      <c r="L126" s="142">
        <f t="shared" si="10"/>
        <v>26064</v>
      </c>
      <c r="N126" s="142" t="s">
        <v>23</v>
      </c>
      <c r="O126" s="142" t="s">
        <v>23</v>
      </c>
      <c r="P126" s="142" t="s">
        <v>23</v>
      </c>
      <c r="Q126" s="142">
        <v>57</v>
      </c>
      <c r="R126" s="142">
        <v>199</v>
      </c>
      <c r="S126" s="142">
        <v>145</v>
      </c>
      <c r="T126" s="142">
        <v>36</v>
      </c>
      <c r="U126" s="142" t="s">
        <v>23</v>
      </c>
      <c r="V126" s="142" t="s">
        <v>23</v>
      </c>
      <c r="W126" s="142" t="s">
        <v>23</v>
      </c>
      <c r="X126" s="142">
        <f t="shared" si="11"/>
        <v>437</v>
      </c>
    </row>
    <row r="127" spans="1:24">
      <c r="A127" s="99">
        <v>2002</v>
      </c>
      <c r="B127" s="142">
        <v>14</v>
      </c>
      <c r="C127" s="142">
        <v>200</v>
      </c>
      <c r="D127" s="142">
        <v>2496</v>
      </c>
      <c r="E127" s="142">
        <v>3960</v>
      </c>
      <c r="F127" s="142">
        <v>8636</v>
      </c>
      <c r="G127" s="142">
        <v>11582</v>
      </c>
      <c r="H127" s="142">
        <v>4151</v>
      </c>
      <c r="I127" s="142">
        <v>163</v>
      </c>
      <c r="J127" s="142">
        <v>0</v>
      </c>
      <c r="K127" s="142">
        <v>0</v>
      </c>
      <c r="L127" s="142">
        <f t="shared" si="10"/>
        <v>31202</v>
      </c>
      <c r="N127" s="142" t="s">
        <v>23</v>
      </c>
      <c r="O127" s="142" t="s">
        <v>23</v>
      </c>
      <c r="P127" s="142" t="s">
        <v>23</v>
      </c>
      <c r="Q127" s="142">
        <v>3</v>
      </c>
      <c r="R127" s="142">
        <v>47</v>
      </c>
      <c r="S127" s="142">
        <v>127</v>
      </c>
      <c r="T127" s="142">
        <v>30</v>
      </c>
      <c r="U127" s="142" t="s">
        <v>23</v>
      </c>
      <c r="V127" s="142" t="s">
        <v>23</v>
      </c>
      <c r="W127" s="142" t="s">
        <v>23</v>
      </c>
      <c r="X127" s="142">
        <f t="shared" si="11"/>
        <v>207</v>
      </c>
    </row>
    <row r="128" spans="1:24">
      <c r="A128" s="99">
        <v>2003</v>
      </c>
      <c r="B128" s="142">
        <v>444</v>
      </c>
      <c r="C128" s="142">
        <v>845</v>
      </c>
      <c r="D128" s="142">
        <v>428</v>
      </c>
      <c r="E128" s="142">
        <v>1222</v>
      </c>
      <c r="F128" s="142">
        <v>5063</v>
      </c>
      <c r="G128" s="142">
        <v>6353</v>
      </c>
      <c r="H128" s="142">
        <v>1420</v>
      </c>
      <c r="I128" s="142">
        <v>400</v>
      </c>
      <c r="J128" s="142">
        <v>5</v>
      </c>
      <c r="K128" s="142">
        <v>0</v>
      </c>
      <c r="L128" s="142">
        <f t="shared" si="10"/>
        <v>16180</v>
      </c>
      <c r="N128" s="142" t="s">
        <v>23</v>
      </c>
      <c r="O128" s="142" t="s">
        <v>23</v>
      </c>
      <c r="P128" s="142" t="s">
        <v>23</v>
      </c>
      <c r="Q128" s="142">
        <v>3</v>
      </c>
      <c r="R128" s="142">
        <v>45</v>
      </c>
      <c r="S128" s="142">
        <v>45</v>
      </c>
      <c r="T128" s="142">
        <v>11</v>
      </c>
      <c r="U128" s="142">
        <v>5</v>
      </c>
      <c r="V128" s="142" t="s">
        <v>23</v>
      </c>
      <c r="W128" s="142" t="s">
        <v>23</v>
      </c>
      <c r="X128" s="142">
        <f t="shared" si="11"/>
        <v>109</v>
      </c>
    </row>
    <row r="129" spans="1:24">
      <c r="A129" s="99">
        <v>2004</v>
      </c>
      <c r="B129" s="142">
        <v>41</v>
      </c>
      <c r="C129" s="142">
        <v>510</v>
      </c>
      <c r="D129" s="142">
        <v>107</v>
      </c>
      <c r="E129" s="142">
        <v>1657</v>
      </c>
      <c r="F129" s="142">
        <v>8494</v>
      </c>
      <c r="G129" s="142">
        <v>10211</v>
      </c>
      <c r="H129" s="142">
        <v>1334</v>
      </c>
      <c r="I129" s="142">
        <v>729</v>
      </c>
      <c r="J129" s="142">
        <v>122</v>
      </c>
      <c r="K129" s="142">
        <v>0</v>
      </c>
      <c r="L129" s="142">
        <f t="shared" si="10"/>
        <v>23205</v>
      </c>
      <c r="N129" s="142" t="s">
        <v>23</v>
      </c>
      <c r="O129" s="142" t="s">
        <v>23</v>
      </c>
      <c r="P129" s="142" t="s">
        <v>23</v>
      </c>
      <c r="Q129" s="142" t="s">
        <v>23</v>
      </c>
      <c r="R129" s="142">
        <v>64</v>
      </c>
      <c r="S129" s="142">
        <v>230</v>
      </c>
      <c r="T129" s="142">
        <v>61</v>
      </c>
      <c r="U129" s="142">
        <v>21</v>
      </c>
      <c r="V129" s="142" t="s">
        <v>23</v>
      </c>
      <c r="W129" s="142" t="s">
        <v>23</v>
      </c>
      <c r="X129" s="142">
        <f t="shared" si="11"/>
        <v>376</v>
      </c>
    </row>
    <row r="130" spans="1:24">
      <c r="A130" s="99">
        <v>2005</v>
      </c>
      <c r="B130" s="142">
        <v>285</v>
      </c>
      <c r="C130" s="142">
        <v>111</v>
      </c>
      <c r="D130" s="142">
        <v>183</v>
      </c>
      <c r="E130" s="142">
        <v>1142</v>
      </c>
      <c r="F130" s="142">
        <v>3848</v>
      </c>
      <c r="G130" s="142">
        <v>6632</v>
      </c>
      <c r="H130" s="142">
        <v>9642</v>
      </c>
      <c r="I130" s="142">
        <v>335</v>
      </c>
      <c r="J130" s="142">
        <v>5</v>
      </c>
      <c r="K130" s="142">
        <v>0</v>
      </c>
      <c r="L130" s="142">
        <f t="shared" si="10"/>
        <v>22183</v>
      </c>
      <c r="N130" s="142" t="s">
        <v>23</v>
      </c>
      <c r="O130" s="142" t="s">
        <v>23</v>
      </c>
      <c r="P130" s="142" t="s">
        <v>23</v>
      </c>
      <c r="Q130" s="142" t="s">
        <v>23</v>
      </c>
      <c r="R130" s="142" t="s">
        <v>23</v>
      </c>
      <c r="S130" s="142">
        <v>48</v>
      </c>
      <c r="T130" s="142">
        <v>28</v>
      </c>
      <c r="U130" s="142" t="s">
        <v>23</v>
      </c>
      <c r="V130" s="142" t="s">
        <v>23</v>
      </c>
      <c r="W130" s="142" t="s">
        <v>23</v>
      </c>
      <c r="X130" s="142">
        <f t="shared" si="11"/>
        <v>76</v>
      </c>
    </row>
    <row r="131" spans="1:24">
      <c r="A131" s="99">
        <v>2006</v>
      </c>
      <c r="B131" s="142">
        <v>55</v>
      </c>
      <c r="C131" s="142">
        <v>109</v>
      </c>
      <c r="D131" s="142">
        <v>255</v>
      </c>
      <c r="E131" s="142">
        <v>1418</v>
      </c>
      <c r="F131" s="142">
        <v>4630</v>
      </c>
      <c r="G131" s="142">
        <v>4672</v>
      </c>
      <c r="H131" s="142">
        <v>2743</v>
      </c>
      <c r="I131" s="142">
        <v>111</v>
      </c>
      <c r="J131" s="142">
        <v>0</v>
      </c>
      <c r="K131" s="142">
        <v>0</v>
      </c>
      <c r="L131" s="142">
        <f t="shared" si="10"/>
        <v>13993</v>
      </c>
      <c r="N131" s="142" t="s">
        <v>23</v>
      </c>
      <c r="O131" s="142" t="s">
        <v>23</v>
      </c>
      <c r="P131" s="142" t="s">
        <v>23</v>
      </c>
      <c r="Q131" s="142">
        <v>19</v>
      </c>
      <c r="R131" s="142">
        <v>140</v>
      </c>
      <c r="S131" s="142">
        <v>176</v>
      </c>
      <c r="T131" s="142">
        <v>40</v>
      </c>
      <c r="U131" s="142" t="s">
        <v>23</v>
      </c>
      <c r="V131" s="142" t="s">
        <v>23</v>
      </c>
      <c r="W131" s="142" t="s">
        <v>23</v>
      </c>
      <c r="X131" s="142">
        <f t="shared" si="11"/>
        <v>375</v>
      </c>
    </row>
    <row r="132" spans="1:24">
      <c r="A132" s="99">
        <v>2007</v>
      </c>
      <c r="B132" s="142">
        <v>48</v>
      </c>
      <c r="C132" s="142">
        <v>200</v>
      </c>
      <c r="D132" s="142">
        <v>67</v>
      </c>
      <c r="E132" s="142">
        <v>1425</v>
      </c>
      <c r="F132" s="142">
        <v>1873</v>
      </c>
      <c r="G132" s="142">
        <v>1980</v>
      </c>
      <c r="H132" s="142">
        <v>158</v>
      </c>
      <c r="I132" s="142">
        <v>0</v>
      </c>
      <c r="J132" s="142">
        <v>0</v>
      </c>
      <c r="K132" s="142">
        <v>0</v>
      </c>
      <c r="L132" s="142">
        <f t="shared" si="10"/>
        <v>5751</v>
      </c>
      <c r="N132" s="142" t="s">
        <v>23</v>
      </c>
      <c r="O132" s="142" t="s">
        <v>23</v>
      </c>
      <c r="P132" s="142" t="s">
        <v>23</v>
      </c>
      <c r="Q132" s="142" t="s">
        <v>23</v>
      </c>
      <c r="R132" s="142">
        <v>5</v>
      </c>
      <c r="S132" s="142">
        <v>12</v>
      </c>
      <c r="T132" s="142">
        <v>4</v>
      </c>
      <c r="U132" s="142" t="s">
        <v>23</v>
      </c>
      <c r="V132" s="142" t="s">
        <v>23</v>
      </c>
      <c r="W132" s="142" t="s">
        <v>23</v>
      </c>
      <c r="X132" s="142">
        <f t="shared" si="11"/>
        <v>21</v>
      </c>
    </row>
    <row r="133" spans="1:24">
      <c r="A133" s="99">
        <v>2008</v>
      </c>
      <c r="B133" s="142">
        <v>0</v>
      </c>
      <c r="C133" s="142">
        <v>6</v>
      </c>
      <c r="D133" s="142" t="s">
        <v>23</v>
      </c>
      <c r="E133" s="142" t="s">
        <v>23</v>
      </c>
      <c r="F133" s="142" t="s">
        <v>23</v>
      </c>
      <c r="G133" s="142" t="s">
        <v>23</v>
      </c>
      <c r="H133" s="142" t="s">
        <v>23</v>
      </c>
      <c r="I133" s="142" t="s">
        <v>23</v>
      </c>
      <c r="J133" s="142" t="s">
        <v>23</v>
      </c>
      <c r="K133" s="142" t="s">
        <v>23</v>
      </c>
      <c r="L133" s="142">
        <f t="shared" si="10"/>
        <v>6</v>
      </c>
      <c r="N133" s="142" t="s">
        <v>23</v>
      </c>
      <c r="O133" s="142" t="s">
        <v>23</v>
      </c>
      <c r="P133" s="142" t="s">
        <v>23</v>
      </c>
      <c r="Q133" s="142" t="s">
        <v>23</v>
      </c>
      <c r="R133" s="142" t="s">
        <v>23</v>
      </c>
      <c r="S133" s="142" t="s">
        <v>23</v>
      </c>
      <c r="T133" s="142" t="s">
        <v>23</v>
      </c>
      <c r="U133" s="142" t="s">
        <v>23</v>
      </c>
      <c r="V133" s="142" t="s">
        <v>23</v>
      </c>
      <c r="W133" s="142" t="s">
        <v>23</v>
      </c>
      <c r="X133" s="142" t="s">
        <v>23</v>
      </c>
    </row>
    <row r="134" spans="1:24">
      <c r="A134" s="99">
        <v>2009</v>
      </c>
      <c r="B134" s="142" t="s">
        <v>23</v>
      </c>
      <c r="C134" s="142" t="s">
        <v>23</v>
      </c>
      <c r="D134" s="142" t="s">
        <v>23</v>
      </c>
      <c r="E134" s="142" t="s">
        <v>23</v>
      </c>
      <c r="F134" s="142" t="s">
        <v>23</v>
      </c>
      <c r="G134" s="142" t="s">
        <v>23</v>
      </c>
      <c r="H134" s="142" t="s">
        <v>23</v>
      </c>
      <c r="I134" s="142" t="s">
        <v>23</v>
      </c>
      <c r="J134" s="142" t="s">
        <v>23</v>
      </c>
      <c r="K134" s="142" t="s">
        <v>23</v>
      </c>
      <c r="L134" s="142" t="s">
        <v>23</v>
      </c>
      <c r="N134" s="142" t="s">
        <v>23</v>
      </c>
      <c r="O134" s="142" t="s">
        <v>23</v>
      </c>
      <c r="P134" s="142" t="s">
        <v>23</v>
      </c>
      <c r="Q134" s="142" t="s">
        <v>23</v>
      </c>
      <c r="R134" s="142" t="s">
        <v>23</v>
      </c>
      <c r="S134" s="142" t="s">
        <v>23</v>
      </c>
      <c r="T134" s="142" t="s">
        <v>23</v>
      </c>
      <c r="U134" s="142" t="s">
        <v>23</v>
      </c>
      <c r="V134" s="142" t="s">
        <v>23</v>
      </c>
      <c r="W134" s="142" t="s">
        <v>23</v>
      </c>
      <c r="X134" s="142" t="s">
        <v>23</v>
      </c>
    </row>
    <row r="135" spans="1:24">
      <c r="A135" s="99">
        <v>2010</v>
      </c>
      <c r="B135" s="142" t="s">
        <v>23</v>
      </c>
      <c r="C135" s="142" t="s">
        <v>23</v>
      </c>
      <c r="D135" s="142">
        <v>204</v>
      </c>
      <c r="E135" s="142">
        <v>264</v>
      </c>
      <c r="F135" s="142">
        <v>27</v>
      </c>
      <c r="G135" s="142">
        <v>417</v>
      </c>
      <c r="H135" s="142">
        <v>657</v>
      </c>
      <c r="I135" s="142">
        <v>109</v>
      </c>
      <c r="J135" s="142" t="s">
        <v>23</v>
      </c>
      <c r="K135" s="142" t="s">
        <v>23</v>
      </c>
      <c r="L135" s="142">
        <f>SUM(B135:K135)</f>
        <v>1678</v>
      </c>
      <c r="N135" s="142" t="s">
        <v>23</v>
      </c>
      <c r="O135" s="142" t="s">
        <v>23</v>
      </c>
      <c r="P135" s="142" t="s">
        <v>23</v>
      </c>
      <c r="Q135" s="142">
        <v>7</v>
      </c>
      <c r="R135" s="142" t="s">
        <v>23</v>
      </c>
      <c r="S135" s="142">
        <v>15</v>
      </c>
      <c r="T135" s="142">
        <v>19</v>
      </c>
      <c r="U135" s="142" t="s">
        <v>23</v>
      </c>
      <c r="V135" s="142" t="s">
        <v>23</v>
      </c>
      <c r="W135" s="142" t="s">
        <v>23</v>
      </c>
      <c r="X135" s="142">
        <f t="shared" ref="X135:X146" si="12">SUM(N135:W135)</f>
        <v>41</v>
      </c>
    </row>
    <row r="136" spans="1:24">
      <c r="A136" s="99">
        <v>2011</v>
      </c>
      <c r="B136" s="142" t="s">
        <v>23</v>
      </c>
      <c r="C136" s="142" t="s">
        <v>23</v>
      </c>
      <c r="D136" s="142">
        <v>880</v>
      </c>
      <c r="E136" s="142">
        <v>705</v>
      </c>
      <c r="F136" s="142">
        <v>938</v>
      </c>
      <c r="G136" s="142">
        <v>4043</v>
      </c>
      <c r="H136" s="142">
        <v>510</v>
      </c>
      <c r="I136" s="142">
        <v>204</v>
      </c>
      <c r="J136" s="142">
        <v>118</v>
      </c>
      <c r="K136" s="142" t="s">
        <v>23</v>
      </c>
      <c r="L136" s="142">
        <f>SUM(B136:K136)</f>
        <v>7398</v>
      </c>
      <c r="N136" s="142" t="s">
        <v>23</v>
      </c>
      <c r="O136" s="142" t="s">
        <v>23</v>
      </c>
      <c r="P136" s="142" t="s">
        <v>23</v>
      </c>
      <c r="Q136" s="142" t="s">
        <v>23</v>
      </c>
      <c r="R136" s="142">
        <v>18</v>
      </c>
      <c r="S136" s="142">
        <v>83</v>
      </c>
      <c r="T136" s="142">
        <v>4</v>
      </c>
      <c r="U136" s="142" t="s">
        <v>23</v>
      </c>
      <c r="V136" s="142">
        <v>5</v>
      </c>
      <c r="W136" s="142" t="s">
        <v>23</v>
      </c>
      <c r="X136" s="142">
        <f t="shared" si="12"/>
        <v>110</v>
      </c>
    </row>
    <row r="137" spans="1:24">
      <c r="A137" s="99">
        <v>2012</v>
      </c>
      <c r="B137" s="142" t="s">
        <v>23</v>
      </c>
      <c r="C137" s="142" t="s">
        <v>23</v>
      </c>
      <c r="D137" s="142">
        <v>414</v>
      </c>
      <c r="E137" s="142">
        <v>1530</v>
      </c>
      <c r="F137" s="142">
        <v>1951</v>
      </c>
      <c r="G137" s="142">
        <v>2300</v>
      </c>
      <c r="H137" s="142">
        <v>1185</v>
      </c>
      <c r="I137" s="142">
        <v>393</v>
      </c>
      <c r="J137" s="142">
        <v>84</v>
      </c>
      <c r="K137" s="142">
        <v>72</v>
      </c>
      <c r="L137" s="142">
        <f t="shared" ref="L137:L145" si="13">SUM(B137:K137)</f>
        <v>7929</v>
      </c>
      <c r="N137" s="142" t="s">
        <v>23</v>
      </c>
      <c r="O137" s="142" t="s">
        <v>23</v>
      </c>
      <c r="P137" s="142" t="s">
        <v>23</v>
      </c>
      <c r="Q137" s="142" t="s">
        <v>23</v>
      </c>
      <c r="R137" s="142">
        <v>13</v>
      </c>
      <c r="S137" s="142">
        <v>9</v>
      </c>
      <c r="T137" s="142" t="s">
        <v>23</v>
      </c>
      <c r="U137" s="142">
        <v>3</v>
      </c>
      <c r="V137" s="142" t="s">
        <v>23</v>
      </c>
      <c r="W137" s="142" t="s">
        <v>23</v>
      </c>
      <c r="X137" s="142">
        <f t="shared" si="12"/>
        <v>25</v>
      </c>
    </row>
    <row r="138" spans="1:24">
      <c r="A138" s="99">
        <v>2013</v>
      </c>
      <c r="B138" s="142" t="s">
        <v>23</v>
      </c>
      <c r="C138" s="142" t="s">
        <v>23</v>
      </c>
      <c r="D138" s="142">
        <v>310</v>
      </c>
      <c r="E138" s="142">
        <v>695</v>
      </c>
      <c r="F138" s="142">
        <v>2459</v>
      </c>
      <c r="G138" s="142">
        <v>5145</v>
      </c>
      <c r="H138" s="142">
        <v>1296</v>
      </c>
      <c r="I138" s="142">
        <v>258</v>
      </c>
      <c r="J138" s="142">
        <v>5</v>
      </c>
      <c r="K138" s="142">
        <v>0</v>
      </c>
      <c r="L138" s="142">
        <f t="shared" si="13"/>
        <v>10168</v>
      </c>
      <c r="N138" s="142" t="s">
        <v>23</v>
      </c>
      <c r="O138" s="142" t="s">
        <v>23</v>
      </c>
      <c r="P138" s="142" t="s">
        <v>23</v>
      </c>
      <c r="Q138" s="142" t="s">
        <v>23</v>
      </c>
      <c r="R138" s="142">
        <v>9</v>
      </c>
      <c r="S138" s="142">
        <v>20</v>
      </c>
      <c r="T138" s="142">
        <v>4</v>
      </c>
      <c r="U138" s="142" t="s">
        <v>23</v>
      </c>
      <c r="V138" s="142" t="s">
        <v>23</v>
      </c>
      <c r="W138" s="142" t="s">
        <v>23</v>
      </c>
      <c r="X138" s="142">
        <f t="shared" si="12"/>
        <v>33</v>
      </c>
    </row>
    <row r="139" spans="1:24">
      <c r="A139" s="99">
        <v>2014</v>
      </c>
      <c r="B139" s="142" t="s">
        <v>23</v>
      </c>
      <c r="C139" s="142" t="s">
        <v>23</v>
      </c>
      <c r="D139" s="142">
        <v>714</v>
      </c>
      <c r="E139" s="142">
        <v>630</v>
      </c>
      <c r="F139" s="142">
        <v>1358</v>
      </c>
      <c r="G139" s="142">
        <v>9035</v>
      </c>
      <c r="H139" s="142">
        <v>696</v>
      </c>
      <c r="I139" s="142">
        <v>103</v>
      </c>
      <c r="J139" s="142">
        <v>4</v>
      </c>
      <c r="K139" s="142">
        <v>0</v>
      </c>
      <c r="L139" s="142">
        <f t="shared" si="13"/>
        <v>12540</v>
      </c>
      <c r="N139" s="142" t="s">
        <v>23</v>
      </c>
      <c r="O139" s="142" t="s">
        <v>23</v>
      </c>
      <c r="P139" s="142" t="s">
        <v>23</v>
      </c>
      <c r="Q139" s="142" t="s">
        <v>23</v>
      </c>
      <c r="R139" s="142">
        <v>18</v>
      </c>
      <c r="S139" s="142">
        <v>123</v>
      </c>
      <c r="T139" s="142" t="s">
        <v>23</v>
      </c>
      <c r="U139" s="142" t="s">
        <v>23</v>
      </c>
      <c r="V139" s="142" t="s">
        <v>23</v>
      </c>
      <c r="W139" s="142" t="s">
        <v>23</v>
      </c>
      <c r="X139" s="142">
        <f t="shared" si="12"/>
        <v>141</v>
      </c>
    </row>
    <row r="140" spans="1:24">
      <c r="A140" s="99">
        <v>2015</v>
      </c>
      <c r="B140" s="142" t="s">
        <v>23</v>
      </c>
      <c r="C140" s="142" t="s">
        <v>23</v>
      </c>
      <c r="D140" s="142">
        <v>394</v>
      </c>
      <c r="E140" s="142">
        <v>331</v>
      </c>
      <c r="F140" s="142">
        <v>215</v>
      </c>
      <c r="G140" s="142">
        <v>3071</v>
      </c>
      <c r="H140" s="142">
        <v>1295</v>
      </c>
      <c r="I140" s="142">
        <v>183</v>
      </c>
      <c r="J140" s="142">
        <v>4</v>
      </c>
      <c r="K140" s="142">
        <v>0</v>
      </c>
      <c r="L140" s="142">
        <f t="shared" si="13"/>
        <v>5493</v>
      </c>
      <c r="N140" s="142" t="s">
        <v>23</v>
      </c>
      <c r="O140" s="142" t="s">
        <v>23</v>
      </c>
      <c r="P140" s="142" t="s">
        <v>23</v>
      </c>
      <c r="Q140" s="142">
        <v>5</v>
      </c>
      <c r="R140" s="142" t="s">
        <v>23</v>
      </c>
      <c r="S140" s="142">
        <v>13</v>
      </c>
      <c r="T140" s="142">
        <v>5</v>
      </c>
      <c r="U140" s="142" t="s">
        <v>23</v>
      </c>
      <c r="V140" s="142" t="s">
        <v>23</v>
      </c>
      <c r="W140" s="142" t="s">
        <v>23</v>
      </c>
      <c r="X140" s="142">
        <f>SUM(N140:W140)</f>
        <v>23</v>
      </c>
    </row>
    <row r="141" spans="1:24">
      <c r="A141" s="99">
        <v>2016</v>
      </c>
      <c r="B141" s="142" t="s">
        <v>23</v>
      </c>
      <c r="C141" s="142" t="s">
        <v>23</v>
      </c>
      <c r="D141" s="142">
        <v>108</v>
      </c>
      <c r="E141" s="142">
        <v>104</v>
      </c>
      <c r="F141" s="142">
        <v>222</v>
      </c>
      <c r="G141" s="142">
        <v>3524</v>
      </c>
      <c r="H141" s="142">
        <v>990</v>
      </c>
      <c r="I141" s="142">
        <v>75</v>
      </c>
      <c r="J141" s="142">
        <v>8</v>
      </c>
      <c r="K141" s="142">
        <v>0</v>
      </c>
      <c r="L141" s="142">
        <f t="shared" si="13"/>
        <v>5031</v>
      </c>
      <c r="N141" s="142" t="s">
        <v>23</v>
      </c>
      <c r="O141" s="142" t="s">
        <v>23</v>
      </c>
      <c r="P141" s="142" t="s">
        <v>23</v>
      </c>
      <c r="Q141" s="142" t="s">
        <v>23</v>
      </c>
      <c r="R141" s="142" t="s">
        <v>23</v>
      </c>
      <c r="S141" s="142">
        <v>35</v>
      </c>
      <c r="T141" s="142" t="s">
        <v>23</v>
      </c>
      <c r="U141" s="142" t="s">
        <v>23</v>
      </c>
      <c r="V141" s="142" t="s">
        <v>23</v>
      </c>
      <c r="W141" s="142" t="s">
        <v>23</v>
      </c>
      <c r="X141" s="142">
        <f>SUM(N141:W141)</f>
        <v>35</v>
      </c>
    </row>
    <row r="142" spans="1:24">
      <c r="A142" s="99">
        <v>2017</v>
      </c>
      <c r="B142" s="142" t="s">
        <v>23</v>
      </c>
      <c r="C142" s="142" t="s">
        <v>23</v>
      </c>
      <c r="D142" s="142">
        <v>22</v>
      </c>
      <c r="E142" s="142">
        <v>650</v>
      </c>
      <c r="F142" s="142" t="s">
        <v>23</v>
      </c>
      <c r="G142" s="142" t="s">
        <v>23</v>
      </c>
      <c r="H142" s="142">
        <v>837</v>
      </c>
      <c r="I142" s="142">
        <v>370</v>
      </c>
      <c r="J142" s="142">
        <v>8</v>
      </c>
      <c r="K142" s="142">
        <v>0</v>
      </c>
      <c r="L142" s="142">
        <f t="shared" si="13"/>
        <v>1887</v>
      </c>
      <c r="N142" s="142" t="s">
        <v>23</v>
      </c>
      <c r="O142" s="142" t="s">
        <v>23</v>
      </c>
      <c r="P142" s="142" t="s">
        <v>23</v>
      </c>
      <c r="Q142" s="142" t="s">
        <v>23</v>
      </c>
      <c r="R142" s="142" t="s">
        <v>23</v>
      </c>
      <c r="S142" s="142" t="s">
        <v>23</v>
      </c>
      <c r="T142" s="142">
        <v>4</v>
      </c>
      <c r="U142" s="142" t="s">
        <v>23</v>
      </c>
      <c r="V142" s="142" t="s">
        <v>23</v>
      </c>
      <c r="W142" s="142" t="s">
        <v>23</v>
      </c>
      <c r="X142" s="142">
        <f>SUM(N142:W142)</f>
        <v>4</v>
      </c>
    </row>
    <row r="143" spans="1:24">
      <c r="A143" s="99">
        <v>2018</v>
      </c>
      <c r="B143" s="142" t="s">
        <v>23</v>
      </c>
      <c r="C143" s="142" t="s">
        <v>23</v>
      </c>
      <c r="D143" s="142" t="s">
        <v>23</v>
      </c>
      <c r="E143" s="142" t="s">
        <v>23</v>
      </c>
      <c r="F143" s="142">
        <v>540</v>
      </c>
      <c r="G143" s="142">
        <v>3217</v>
      </c>
      <c r="H143" s="142">
        <v>1846</v>
      </c>
      <c r="I143" s="142">
        <v>95</v>
      </c>
      <c r="J143" s="142">
        <v>0</v>
      </c>
      <c r="K143" s="142" t="s">
        <v>23</v>
      </c>
      <c r="L143" s="142">
        <f t="shared" si="13"/>
        <v>5698</v>
      </c>
      <c r="N143" s="142" t="s">
        <v>23</v>
      </c>
      <c r="O143" s="142" t="s">
        <v>23</v>
      </c>
      <c r="P143" s="142" t="s">
        <v>23</v>
      </c>
      <c r="Q143" s="142" t="s">
        <v>23</v>
      </c>
      <c r="R143" s="142" t="s">
        <v>23</v>
      </c>
      <c r="S143" s="142">
        <v>13</v>
      </c>
      <c r="T143" s="142">
        <v>4</v>
      </c>
      <c r="U143" s="142">
        <v>8</v>
      </c>
      <c r="V143" s="142" t="s">
        <v>23</v>
      </c>
      <c r="W143" s="142" t="s">
        <v>23</v>
      </c>
      <c r="X143" s="142">
        <f>SUM(N143:W143)</f>
        <v>25</v>
      </c>
    </row>
    <row r="144" spans="1:24">
      <c r="A144" s="239">
        <v>2019</v>
      </c>
      <c r="B144" s="142" t="s">
        <v>23</v>
      </c>
      <c r="C144" s="142" t="s">
        <v>23</v>
      </c>
      <c r="D144" s="142">
        <v>206</v>
      </c>
      <c r="E144" s="142">
        <v>81</v>
      </c>
      <c r="F144" s="142">
        <v>947</v>
      </c>
      <c r="G144" s="142">
        <v>1697</v>
      </c>
      <c r="H144" s="142">
        <v>825</v>
      </c>
      <c r="I144" s="142">
        <v>101</v>
      </c>
      <c r="J144" s="142">
        <v>0</v>
      </c>
      <c r="K144" s="142" t="s">
        <v>23</v>
      </c>
      <c r="L144" s="142">
        <f t="shared" si="13"/>
        <v>3857</v>
      </c>
      <c r="N144" s="142" t="s">
        <v>23</v>
      </c>
      <c r="O144" s="142" t="s">
        <v>23</v>
      </c>
      <c r="P144" s="142" t="s">
        <v>23</v>
      </c>
      <c r="Q144" s="142" t="s">
        <v>23</v>
      </c>
      <c r="R144" s="142">
        <v>13</v>
      </c>
      <c r="S144" s="142">
        <v>22</v>
      </c>
      <c r="T144" s="142">
        <v>5</v>
      </c>
      <c r="U144" s="142" t="s">
        <v>23</v>
      </c>
      <c r="V144" s="142" t="s">
        <v>23</v>
      </c>
      <c r="W144" s="142" t="s">
        <v>23</v>
      </c>
      <c r="X144" s="142">
        <f t="shared" ref="X144:X145" si="14">SUM(N144:W144)</f>
        <v>40</v>
      </c>
    </row>
    <row r="145" spans="1:24" ht="13">
      <c r="A145" s="239" t="s">
        <v>343</v>
      </c>
      <c r="B145" s="142" t="s">
        <v>23</v>
      </c>
      <c r="C145" s="142" t="s">
        <v>23</v>
      </c>
      <c r="D145" s="142" t="s">
        <v>23</v>
      </c>
      <c r="E145" s="142" t="s">
        <v>106</v>
      </c>
      <c r="F145" s="142" t="s">
        <v>106</v>
      </c>
      <c r="G145" s="142">
        <v>1198</v>
      </c>
      <c r="H145" s="142">
        <v>565</v>
      </c>
      <c r="I145" s="142">
        <v>114</v>
      </c>
      <c r="J145" s="142">
        <v>0</v>
      </c>
      <c r="K145" s="142">
        <v>0</v>
      </c>
      <c r="L145" s="142">
        <f t="shared" si="13"/>
        <v>1877</v>
      </c>
      <c r="N145" s="142" t="s">
        <v>23</v>
      </c>
      <c r="O145" s="142" t="s">
        <v>23</v>
      </c>
      <c r="P145" s="142" t="s">
        <v>23</v>
      </c>
      <c r="Q145" s="142" t="s">
        <v>23</v>
      </c>
      <c r="R145" s="142" t="s">
        <v>23</v>
      </c>
      <c r="S145" s="142">
        <v>19</v>
      </c>
      <c r="T145" s="142" t="s">
        <v>23</v>
      </c>
      <c r="U145" s="142">
        <v>4</v>
      </c>
      <c r="V145" s="142" t="s">
        <v>23</v>
      </c>
      <c r="W145" s="142" t="s">
        <v>23</v>
      </c>
      <c r="X145" s="142">
        <f t="shared" si="14"/>
        <v>23</v>
      </c>
    </row>
    <row r="146" spans="1:24" ht="13">
      <c r="A146" s="239" t="s">
        <v>317</v>
      </c>
      <c r="B146" s="142" t="s">
        <v>23</v>
      </c>
      <c r="C146" s="142" t="s">
        <v>23</v>
      </c>
      <c r="D146" s="142" t="s">
        <v>23</v>
      </c>
      <c r="E146" s="142" t="s">
        <v>23</v>
      </c>
      <c r="F146" s="142">
        <v>153</v>
      </c>
      <c r="G146" s="142">
        <v>1907</v>
      </c>
      <c r="H146" s="142">
        <v>827</v>
      </c>
      <c r="I146" s="142">
        <v>146</v>
      </c>
      <c r="J146" s="142">
        <v>661</v>
      </c>
      <c r="K146" s="142" t="s">
        <v>23</v>
      </c>
      <c r="L146" s="142">
        <f t="shared" si="10"/>
        <v>3694</v>
      </c>
      <c r="N146" s="142" t="s">
        <v>23</v>
      </c>
      <c r="O146" s="142" t="s">
        <v>23</v>
      </c>
      <c r="P146" s="142" t="s">
        <v>23</v>
      </c>
      <c r="Q146" s="142" t="s">
        <v>23</v>
      </c>
      <c r="R146" s="142">
        <v>12</v>
      </c>
      <c r="S146" s="142">
        <v>78</v>
      </c>
      <c r="T146" s="142">
        <v>14</v>
      </c>
      <c r="U146" s="142" t="s">
        <v>23</v>
      </c>
      <c r="V146" s="142">
        <v>4</v>
      </c>
      <c r="W146" s="142" t="s">
        <v>23</v>
      </c>
      <c r="X146" s="142">
        <f t="shared" si="12"/>
        <v>108</v>
      </c>
    </row>
    <row r="147" spans="1:24" ht="16">
      <c r="N147" s="218"/>
      <c r="O147" s="218"/>
      <c r="P147" s="218"/>
      <c r="Q147" s="218"/>
      <c r="R147" s="218"/>
      <c r="S147" s="218"/>
      <c r="T147" s="218"/>
      <c r="U147" s="218"/>
      <c r="V147" s="218"/>
      <c r="W147" s="218"/>
    </row>
    <row r="148" spans="1:24" ht="16">
      <c r="A148" s="94" t="s">
        <v>19</v>
      </c>
      <c r="N148" s="218"/>
      <c r="O148" s="218"/>
      <c r="P148" s="218"/>
      <c r="Q148" s="218"/>
      <c r="R148" s="218"/>
      <c r="S148" s="218"/>
      <c r="T148" s="218"/>
      <c r="U148" s="218"/>
      <c r="V148" s="218"/>
      <c r="W148" s="218"/>
    </row>
    <row r="149" spans="1:24">
      <c r="A149" s="99">
        <v>1976</v>
      </c>
      <c r="B149" s="142">
        <v>2257</v>
      </c>
      <c r="C149" s="142">
        <v>929</v>
      </c>
      <c r="D149" s="142">
        <v>6023</v>
      </c>
      <c r="E149" s="142">
        <v>12021</v>
      </c>
      <c r="F149" s="142">
        <v>9155</v>
      </c>
      <c r="G149" s="142">
        <v>5594</v>
      </c>
      <c r="H149" s="142">
        <v>9497</v>
      </c>
      <c r="I149" s="142">
        <v>5232</v>
      </c>
      <c r="J149" s="142">
        <v>10505</v>
      </c>
      <c r="K149" s="142">
        <v>2547</v>
      </c>
      <c r="L149" s="142">
        <f t="shared" ref="L149:L180" si="15">SUM(B149:K149)</f>
        <v>63760</v>
      </c>
      <c r="N149" s="142">
        <v>0</v>
      </c>
      <c r="O149" s="142">
        <v>0</v>
      </c>
      <c r="P149" s="142">
        <v>759</v>
      </c>
      <c r="Q149" s="142">
        <v>5650</v>
      </c>
      <c r="R149" s="142">
        <v>2974</v>
      </c>
      <c r="S149" s="142">
        <v>3020</v>
      </c>
      <c r="T149" s="142">
        <v>680</v>
      </c>
      <c r="U149" s="142">
        <v>204</v>
      </c>
      <c r="V149" s="142">
        <v>0</v>
      </c>
      <c r="W149" s="142">
        <v>0</v>
      </c>
      <c r="X149" s="142">
        <f t="shared" ref="X149:X180" si="16">SUM(N149:W149)</f>
        <v>13287</v>
      </c>
    </row>
    <row r="150" spans="1:24">
      <c r="A150" s="99">
        <v>1977</v>
      </c>
      <c r="B150" s="142">
        <v>3737</v>
      </c>
      <c r="C150" s="142">
        <v>4389</v>
      </c>
      <c r="D150" s="142">
        <v>14178</v>
      </c>
      <c r="E150" s="142">
        <v>3541</v>
      </c>
      <c r="F150" s="142">
        <v>8649</v>
      </c>
      <c r="G150" s="142">
        <v>17802</v>
      </c>
      <c r="H150" s="142">
        <v>6899</v>
      </c>
      <c r="I150" s="142">
        <v>7866</v>
      </c>
      <c r="J150" s="142">
        <v>4045</v>
      </c>
      <c r="K150" s="142">
        <v>1488</v>
      </c>
      <c r="L150" s="142">
        <f t="shared" si="15"/>
        <v>72594</v>
      </c>
      <c r="N150" s="142">
        <v>12</v>
      </c>
      <c r="O150" s="142">
        <v>0</v>
      </c>
      <c r="P150" s="142">
        <v>348</v>
      </c>
      <c r="Q150" s="142">
        <v>861</v>
      </c>
      <c r="R150" s="142">
        <v>602</v>
      </c>
      <c r="S150" s="142">
        <v>260</v>
      </c>
      <c r="T150" s="142">
        <v>100</v>
      </c>
      <c r="U150" s="142">
        <v>20</v>
      </c>
      <c r="V150" s="142">
        <v>63</v>
      </c>
      <c r="W150" s="142">
        <v>6</v>
      </c>
      <c r="X150" s="142">
        <f t="shared" si="16"/>
        <v>2272</v>
      </c>
    </row>
    <row r="151" spans="1:24">
      <c r="A151" s="99">
        <v>1978</v>
      </c>
      <c r="B151" s="142">
        <v>9622</v>
      </c>
      <c r="C151" s="142">
        <v>8336</v>
      </c>
      <c r="D151" s="142">
        <v>2850</v>
      </c>
      <c r="E151" s="142">
        <v>2638</v>
      </c>
      <c r="F151" s="142">
        <v>6760</v>
      </c>
      <c r="G151" s="142">
        <v>11626</v>
      </c>
      <c r="H151" s="142">
        <v>7106</v>
      </c>
      <c r="I151" s="142">
        <v>4916</v>
      </c>
      <c r="J151" s="142">
        <v>7628</v>
      </c>
      <c r="K151" s="142">
        <v>2603</v>
      </c>
      <c r="L151" s="142">
        <f t="shared" si="15"/>
        <v>64085</v>
      </c>
      <c r="N151" s="142">
        <v>0</v>
      </c>
      <c r="O151" s="142">
        <v>0</v>
      </c>
      <c r="P151" s="142">
        <v>0</v>
      </c>
      <c r="Q151" s="142">
        <v>0</v>
      </c>
      <c r="R151" s="142">
        <v>296</v>
      </c>
      <c r="S151" s="142">
        <v>600</v>
      </c>
      <c r="T151" s="142">
        <v>144</v>
      </c>
      <c r="U151" s="142">
        <v>30</v>
      </c>
      <c r="V151" s="142">
        <v>0</v>
      </c>
      <c r="W151" s="142">
        <v>0</v>
      </c>
      <c r="X151" s="142">
        <f t="shared" si="16"/>
        <v>1070</v>
      </c>
    </row>
    <row r="152" spans="1:24">
      <c r="A152" s="99">
        <v>1979</v>
      </c>
      <c r="B152" s="142">
        <v>6829</v>
      </c>
      <c r="C152" s="142">
        <v>13752</v>
      </c>
      <c r="D152" s="142">
        <v>8538</v>
      </c>
      <c r="E152" s="142">
        <v>5095</v>
      </c>
      <c r="F152" s="142">
        <v>14735</v>
      </c>
      <c r="G152" s="142">
        <v>22273</v>
      </c>
      <c r="H152" s="142">
        <v>11080</v>
      </c>
      <c r="I152" s="142">
        <v>13300</v>
      </c>
      <c r="J152" s="142">
        <v>6945</v>
      </c>
      <c r="K152" s="142">
        <v>0</v>
      </c>
      <c r="L152" s="142">
        <f t="shared" si="15"/>
        <v>102547</v>
      </c>
      <c r="N152" s="142">
        <v>10</v>
      </c>
      <c r="O152" s="142">
        <v>39</v>
      </c>
      <c r="P152" s="142">
        <v>20</v>
      </c>
      <c r="Q152" s="142">
        <v>169</v>
      </c>
      <c r="R152" s="142">
        <v>369</v>
      </c>
      <c r="S152" s="142">
        <v>438</v>
      </c>
      <c r="T152" s="142">
        <v>32</v>
      </c>
      <c r="U152" s="142">
        <v>13</v>
      </c>
      <c r="V152" s="142">
        <v>0</v>
      </c>
      <c r="W152" s="142" t="s">
        <v>23</v>
      </c>
      <c r="X152" s="142">
        <f t="shared" si="16"/>
        <v>1090</v>
      </c>
    </row>
    <row r="153" spans="1:24">
      <c r="A153" s="99">
        <v>1980</v>
      </c>
      <c r="B153" s="142">
        <v>4243</v>
      </c>
      <c r="C153" s="142">
        <v>11530</v>
      </c>
      <c r="D153" s="142">
        <v>5525</v>
      </c>
      <c r="E153" s="142">
        <v>5521</v>
      </c>
      <c r="F153" s="142">
        <v>15110</v>
      </c>
      <c r="G153" s="142">
        <v>14685</v>
      </c>
      <c r="H153" s="142">
        <v>7367</v>
      </c>
      <c r="I153" s="142">
        <v>5146</v>
      </c>
      <c r="J153" s="142">
        <v>3966</v>
      </c>
      <c r="K153" s="142">
        <v>0</v>
      </c>
      <c r="L153" s="142">
        <f t="shared" si="15"/>
        <v>73093</v>
      </c>
      <c r="N153" s="142">
        <v>0</v>
      </c>
      <c r="O153" s="142">
        <v>0</v>
      </c>
      <c r="P153" s="142">
        <v>17</v>
      </c>
      <c r="Q153" s="142">
        <v>23</v>
      </c>
      <c r="R153" s="142">
        <v>132</v>
      </c>
      <c r="S153" s="142">
        <v>96</v>
      </c>
      <c r="T153" s="142">
        <v>58</v>
      </c>
      <c r="U153" s="142">
        <v>0</v>
      </c>
      <c r="V153" s="142">
        <v>8</v>
      </c>
      <c r="W153" s="142" t="s">
        <v>23</v>
      </c>
      <c r="X153" s="142">
        <f t="shared" si="16"/>
        <v>334</v>
      </c>
    </row>
    <row r="154" spans="1:24">
      <c r="A154" s="99">
        <v>1981</v>
      </c>
      <c r="B154" s="142">
        <v>2971</v>
      </c>
      <c r="C154" s="142">
        <v>2507</v>
      </c>
      <c r="D154" s="142">
        <v>6806</v>
      </c>
      <c r="E154" s="142">
        <v>3239</v>
      </c>
      <c r="F154" s="142">
        <v>9327</v>
      </c>
      <c r="G154" s="142">
        <v>18593</v>
      </c>
      <c r="H154" s="142">
        <v>11713</v>
      </c>
      <c r="I154" s="142">
        <v>8882</v>
      </c>
      <c r="J154" s="142">
        <v>4937</v>
      </c>
      <c r="K154" s="142">
        <v>1109</v>
      </c>
      <c r="L154" s="142">
        <f t="shared" si="15"/>
        <v>70084</v>
      </c>
      <c r="N154" s="142">
        <v>0</v>
      </c>
      <c r="O154" s="142">
        <v>0</v>
      </c>
      <c r="P154" s="142">
        <v>0</v>
      </c>
      <c r="Q154" s="142">
        <v>0</v>
      </c>
      <c r="R154" s="142">
        <v>233</v>
      </c>
      <c r="S154" s="142">
        <v>669</v>
      </c>
      <c r="T154" s="142">
        <v>515</v>
      </c>
      <c r="U154" s="142">
        <v>157</v>
      </c>
      <c r="V154" s="142">
        <v>147</v>
      </c>
      <c r="W154" s="142">
        <v>0</v>
      </c>
      <c r="X154" s="142">
        <f t="shared" si="16"/>
        <v>1721</v>
      </c>
    </row>
    <row r="155" spans="1:24">
      <c r="A155" s="99">
        <v>1982</v>
      </c>
      <c r="B155" s="142">
        <v>10527</v>
      </c>
      <c r="C155" s="142">
        <v>10123</v>
      </c>
      <c r="D155" s="142">
        <v>2999</v>
      </c>
      <c r="E155" s="142">
        <v>7056</v>
      </c>
      <c r="F155" s="142">
        <v>10251</v>
      </c>
      <c r="G155" s="142">
        <v>17480</v>
      </c>
      <c r="H155" s="142">
        <v>26460</v>
      </c>
      <c r="I155" s="142">
        <v>14871</v>
      </c>
      <c r="J155" s="142">
        <v>13945</v>
      </c>
      <c r="K155" s="142">
        <v>3198</v>
      </c>
      <c r="L155" s="142">
        <f t="shared" si="15"/>
        <v>116910</v>
      </c>
      <c r="N155" s="142">
        <v>0</v>
      </c>
      <c r="O155" s="142">
        <v>0</v>
      </c>
      <c r="P155" s="142">
        <v>0</v>
      </c>
      <c r="Q155" s="142">
        <v>525</v>
      </c>
      <c r="R155" s="142">
        <v>1643</v>
      </c>
      <c r="S155" s="142">
        <v>301</v>
      </c>
      <c r="T155" s="142">
        <v>43</v>
      </c>
      <c r="U155" s="142">
        <v>12</v>
      </c>
      <c r="V155" s="142">
        <v>0</v>
      </c>
      <c r="W155" s="142">
        <v>0</v>
      </c>
      <c r="X155" s="142">
        <f t="shared" si="16"/>
        <v>2524</v>
      </c>
    </row>
    <row r="156" spans="1:24">
      <c r="A156" s="99">
        <v>1983</v>
      </c>
      <c r="B156" s="142">
        <v>2332</v>
      </c>
      <c r="C156" s="142">
        <v>3000</v>
      </c>
      <c r="D156" s="142">
        <v>3812</v>
      </c>
      <c r="E156" s="142">
        <v>10325</v>
      </c>
      <c r="F156" s="142">
        <v>7928</v>
      </c>
      <c r="G156" s="142">
        <v>9571</v>
      </c>
      <c r="H156" s="142">
        <v>6785</v>
      </c>
      <c r="I156" s="142">
        <v>4347</v>
      </c>
      <c r="J156" s="142">
        <v>1561</v>
      </c>
      <c r="K156" s="142">
        <v>56</v>
      </c>
      <c r="L156" s="142">
        <f t="shared" si="15"/>
        <v>49717</v>
      </c>
      <c r="N156" s="142">
        <v>0</v>
      </c>
      <c r="O156" s="142">
        <v>3</v>
      </c>
      <c r="P156" s="142">
        <v>8</v>
      </c>
      <c r="Q156" s="142">
        <v>44</v>
      </c>
      <c r="R156" s="142">
        <v>194</v>
      </c>
      <c r="S156" s="142">
        <v>240</v>
      </c>
      <c r="T156" s="142">
        <v>52</v>
      </c>
      <c r="U156" s="142">
        <v>0</v>
      </c>
      <c r="V156" s="142">
        <v>0</v>
      </c>
      <c r="W156" s="142">
        <v>0</v>
      </c>
      <c r="X156" s="142">
        <f t="shared" si="16"/>
        <v>541</v>
      </c>
    </row>
    <row r="157" spans="1:24">
      <c r="A157" s="99">
        <v>1984</v>
      </c>
      <c r="B157" s="142">
        <v>377</v>
      </c>
      <c r="C157" s="142">
        <v>683</v>
      </c>
      <c r="D157" s="142">
        <v>3222</v>
      </c>
      <c r="E157" s="142">
        <v>6766</v>
      </c>
      <c r="F157" s="142">
        <v>16209</v>
      </c>
      <c r="G157" s="142">
        <v>19227</v>
      </c>
      <c r="H157" s="142">
        <v>16345</v>
      </c>
      <c r="I157" s="142">
        <v>7352</v>
      </c>
      <c r="J157" s="142">
        <v>2297</v>
      </c>
      <c r="K157" s="142">
        <v>755</v>
      </c>
      <c r="L157" s="142">
        <f t="shared" si="15"/>
        <v>73233</v>
      </c>
      <c r="N157" s="142">
        <v>0</v>
      </c>
      <c r="O157" s="142">
        <v>0</v>
      </c>
      <c r="P157" s="142">
        <v>0</v>
      </c>
      <c r="Q157" s="142">
        <v>41</v>
      </c>
      <c r="R157" s="142">
        <v>0</v>
      </c>
      <c r="S157" s="142">
        <v>393</v>
      </c>
      <c r="T157" s="142">
        <v>112</v>
      </c>
      <c r="U157" s="142">
        <v>0</v>
      </c>
      <c r="V157" s="142">
        <v>0</v>
      </c>
      <c r="W157" s="142">
        <v>0</v>
      </c>
      <c r="X157" s="142">
        <f t="shared" si="16"/>
        <v>546</v>
      </c>
    </row>
    <row r="158" spans="1:24">
      <c r="A158" s="99">
        <v>1985</v>
      </c>
      <c r="B158" s="142">
        <v>10486</v>
      </c>
      <c r="C158" s="142">
        <v>12784</v>
      </c>
      <c r="D158" s="142">
        <v>10688</v>
      </c>
      <c r="E158" s="142">
        <v>8519</v>
      </c>
      <c r="F158" s="142">
        <v>18017</v>
      </c>
      <c r="G158" s="142">
        <v>19475</v>
      </c>
      <c r="H158" s="142">
        <v>18857</v>
      </c>
      <c r="I158" s="142">
        <v>7033</v>
      </c>
      <c r="J158" s="142">
        <v>4897</v>
      </c>
      <c r="K158" s="142">
        <v>1719</v>
      </c>
      <c r="L158" s="142">
        <f t="shared" si="15"/>
        <v>112475</v>
      </c>
      <c r="N158" s="142">
        <v>0</v>
      </c>
      <c r="O158" s="142">
        <v>0</v>
      </c>
      <c r="P158" s="142">
        <v>48</v>
      </c>
      <c r="Q158" s="142">
        <v>80</v>
      </c>
      <c r="R158" s="142">
        <v>125</v>
      </c>
      <c r="S158" s="142">
        <v>12</v>
      </c>
      <c r="T158" s="142">
        <v>4</v>
      </c>
      <c r="U158" s="142">
        <v>14</v>
      </c>
      <c r="V158" s="142">
        <v>0</v>
      </c>
      <c r="W158" s="142">
        <v>0</v>
      </c>
      <c r="X158" s="142">
        <f t="shared" si="16"/>
        <v>283</v>
      </c>
    </row>
    <row r="159" spans="1:24">
      <c r="A159" s="99">
        <v>1986</v>
      </c>
      <c r="B159" s="142">
        <v>1048</v>
      </c>
      <c r="C159" s="142">
        <v>12251</v>
      </c>
      <c r="D159" s="142">
        <v>11395</v>
      </c>
      <c r="E159" s="142">
        <v>7296</v>
      </c>
      <c r="F159" s="142">
        <v>13397</v>
      </c>
      <c r="G159" s="142">
        <v>19747</v>
      </c>
      <c r="H159" s="142">
        <v>14022</v>
      </c>
      <c r="I159" s="142">
        <v>4874</v>
      </c>
      <c r="J159" s="142">
        <v>1650</v>
      </c>
      <c r="K159" s="142">
        <v>575</v>
      </c>
      <c r="L159" s="142">
        <f t="shared" si="15"/>
        <v>86255</v>
      </c>
      <c r="N159" s="142">
        <v>0</v>
      </c>
      <c r="O159" s="142">
        <v>2</v>
      </c>
      <c r="P159" s="142">
        <v>0</v>
      </c>
      <c r="Q159" s="142">
        <v>66</v>
      </c>
      <c r="R159" s="142">
        <v>133</v>
      </c>
      <c r="S159" s="142">
        <v>135</v>
      </c>
      <c r="T159" s="142">
        <v>10</v>
      </c>
      <c r="U159" s="142">
        <v>6</v>
      </c>
      <c r="V159" s="142">
        <v>2</v>
      </c>
      <c r="W159" s="142">
        <v>0</v>
      </c>
      <c r="X159" s="142">
        <f t="shared" si="16"/>
        <v>354</v>
      </c>
    </row>
    <row r="160" spans="1:24">
      <c r="A160" s="99">
        <v>1987</v>
      </c>
      <c r="B160" s="142">
        <v>3801</v>
      </c>
      <c r="C160" s="142">
        <v>7390</v>
      </c>
      <c r="D160" s="142">
        <v>16763</v>
      </c>
      <c r="E160" s="142">
        <v>9307</v>
      </c>
      <c r="F160" s="142">
        <v>9849</v>
      </c>
      <c r="G160" s="142">
        <v>22360</v>
      </c>
      <c r="H160" s="142">
        <v>29666</v>
      </c>
      <c r="I160" s="142">
        <v>12261</v>
      </c>
      <c r="J160" s="142">
        <v>7052</v>
      </c>
      <c r="K160" s="142">
        <v>1077</v>
      </c>
      <c r="L160" s="142">
        <f t="shared" si="15"/>
        <v>119526</v>
      </c>
      <c r="N160" s="142">
        <v>0</v>
      </c>
      <c r="O160" s="142">
        <v>0</v>
      </c>
      <c r="P160" s="142">
        <v>0</v>
      </c>
      <c r="Q160" s="142">
        <v>4</v>
      </c>
      <c r="R160" s="142">
        <v>14</v>
      </c>
      <c r="S160" s="142">
        <v>18</v>
      </c>
      <c r="T160" s="142">
        <v>9</v>
      </c>
      <c r="U160" s="142">
        <v>6</v>
      </c>
      <c r="V160" s="142">
        <v>0</v>
      </c>
      <c r="W160" s="142">
        <v>0</v>
      </c>
      <c r="X160" s="142">
        <f t="shared" si="16"/>
        <v>51</v>
      </c>
    </row>
    <row r="161" spans="1:24">
      <c r="A161" s="99">
        <v>1988</v>
      </c>
      <c r="B161" s="142">
        <v>5324</v>
      </c>
      <c r="C161" s="142">
        <v>13696</v>
      </c>
      <c r="D161" s="142">
        <v>20767</v>
      </c>
      <c r="E161" s="142">
        <v>15896</v>
      </c>
      <c r="F161" s="142">
        <v>18773</v>
      </c>
      <c r="G161" s="142">
        <v>21659</v>
      </c>
      <c r="H161" s="142">
        <v>9110</v>
      </c>
      <c r="I161" s="142">
        <v>3806</v>
      </c>
      <c r="J161" s="142">
        <v>4610</v>
      </c>
      <c r="K161" s="142">
        <v>814</v>
      </c>
      <c r="L161" s="142">
        <f t="shared" si="15"/>
        <v>114455</v>
      </c>
      <c r="N161" s="142">
        <v>0</v>
      </c>
      <c r="O161" s="142">
        <v>1</v>
      </c>
      <c r="P161" s="142">
        <v>21</v>
      </c>
      <c r="Q161" s="142">
        <v>109</v>
      </c>
      <c r="R161" s="142">
        <v>79</v>
      </c>
      <c r="S161" s="142">
        <v>101</v>
      </c>
      <c r="T161" s="142">
        <v>19</v>
      </c>
      <c r="U161" s="142">
        <v>2</v>
      </c>
      <c r="V161" s="142">
        <v>0</v>
      </c>
      <c r="W161" s="142">
        <v>0</v>
      </c>
      <c r="X161" s="142">
        <f t="shared" si="16"/>
        <v>332</v>
      </c>
    </row>
    <row r="162" spans="1:24">
      <c r="A162" s="99">
        <v>1989</v>
      </c>
      <c r="B162" s="142">
        <v>7321</v>
      </c>
      <c r="C162" s="142">
        <v>8234</v>
      </c>
      <c r="D162" s="142">
        <v>20365</v>
      </c>
      <c r="E162" s="142">
        <v>4803</v>
      </c>
      <c r="F162" s="142">
        <v>12260</v>
      </c>
      <c r="G162" s="142">
        <v>11424</v>
      </c>
      <c r="H162" s="142">
        <v>10974</v>
      </c>
      <c r="I162" s="142">
        <v>12158</v>
      </c>
      <c r="J162" s="142">
        <v>3716</v>
      </c>
      <c r="K162" s="142">
        <v>2404</v>
      </c>
      <c r="L162" s="142">
        <f t="shared" si="15"/>
        <v>93659</v>
      </c>
      <c r="N162" s="142">
        <v>0</v>
      </c>
      <c r="O162" s="142">
        <v>0</v>
      </c>
      <c r="P162" s="142">
        <v>115</v>
      </c>
      <c r="Q162" s="142">
        <v>198</v>
      </c>
      <c r="R162" s="142">
        <v>434</v>
      </c>
      <c r="S162" s="142">
        <v>44</v>
      </c>
      <c r="T162" s="142">
        <v>68</v>
      </c>
      <c r="U162" s="142">
        <v>4</v>
      </c>
      <c r="V162" s="142">
        <v>0</v>
      </c>
      <c r="W162" s="142">
        <v>0</v>
      </c>
      <c r="X162" s="142">
        <f t="shared" si="16"/>
        <v>863</v>
      </c>
    </row>
    <row r="163" spans="1:24">
      <c r="A163" s="99">
        <v>1990</v>
      </c>
      <c r="B163" s="142">
        <v>5058</v>
      </c>
      <c r="C163" s="142">
        <v>13309</v>
      </c>
      <c r="D163" s="142">
        <v>15075</v>
      </c>
      <c r="E163" s="142">
        <v>4273</v>
      </c>
      <c r="F163" s="142">
        <v>6580</v>
      </c>
      <c r="G163" s="142">
        <v>10646</v>
      </c>
      <c r="H163" s="142">
        <v>13625</v>
      </c>
      <c r="I163" s="142">
        <v>4883</v>
      </c>
      <c r="J163" s="142">
        <v>3513</v>
      </c>
      <c r="K163" s="142">
        <v>600</v>
      </c>
      <c r="L163" s="142">
        <f t="shared" si="15"/>
        <v>77562</v>
      </c>
      <c r="N163" s="142">
        <v>0</v>
      </c>
      <c r="O163" s="142">
        <v>0</v>
      </c>
      <c r="P163" s="142">
        <v>56</v>
      </c>
      <c r="Q163" s="142">
        <v>417</v>
      </c>
      <c r="R163" s="142">
        <v>1033</v>
      </c>
      <c r="S163" s="142">
        <v>1595</v>
      </c>
      <c r="T163" s="142">
        <v>2292</v>
      </c>
      <c r="U163" s="142">
        <v>397</v>
      </c>
      <c r="V163" s="142">
        <v>59</v>
      </c>
      <c r="W163" s="142">
        <v>0</v>
      </c>
      <c r="X163" s="142">
        <f t="shared" si="16"/>
        <v>5849</v>
      </c>
    </row>
    <row r="164" spans="1:24">
      <c r="A164" s="99">
        <v>1991</v>
      </c>
      <c r="B164" s="142">
        <v>45</v>
      </c>
      <c r="C164" s="142">
        <v>3175</v>
      </c>
      <c r="D164" s="142">
        <v>6079</v>
      </c>
      <c r="E164" s="142">
        <v>3733</v>
      </c>
      <c r="F164" s="142">
        <v>6838</v>
      </c>
      <c r="G164" s="142">
        <v>9962</v>
      </c>
      <c r="H164" s="142">
        <v>4869</v>
      </c>
      <c r="I164" s="142">
        <v>1523</v>
      </c>
      <c r="J164" s="142">
        <v>1027</v>
      </c>
      <c r="K164" s="142">
        <v>23</v>
      </c>
      <c r="L164" s="142">
        <f t="shared" si="15"/>
        <v>37274</v>
      </c>
      <c r="N164" s="142">
        <v>0</v>
      </c>
      <c r="O164" s="142">
        <v>2</v>
      </c>
      <c r="P164" s="142">
        <v>11</v>
      </c>
      <c r="Q164" s="142">
        <v>70</v>
      </c>
      <c r="R164" s="142">
        <v>4217</v>
      </c>
      <c r="S164" s="142">
        <v>2781</v>
      </c>
      <c r="T164" s="142">
        <v>522</v>
      </c>
      <c r="U164" s="142">
        <v>62</v>
      </c>
      <c r="V164" s="142">
        <v>30</v>
      </c>
      <c r="W164" s="142">
        <v>0</v>
      </c>
      <c r="X164" s="142">
        <f t="shared" si="16"/>
        <v>7695</v>
      </c>
    </row>
    <row r="165" spans="1:24">
      <c r="A165" s="99">
        <v>1992</v>
      </c>
      <c r="B165" s="142">
        <v>87</v>
      </c>
      <c r="C165" s="142">
        <v>759</v>
      </c>
      <c r="D165" s="142">
        <v>835</v>
      </c>
      <c r="E165" s="142">
        <v>3929</v>
      </c>
      <c r="F165" s="142">
        <v>6609</v>
      </c>
      <c r="G165" s="142">
        <v>13815</v>
      </c>
      <c r="H165" s="142">
        <v>8923</v>
      </c>
      <c r="I165" s="142">
        <v>9049</v>
      </c>
      <c r="J165" s="142">
        <v>3106</v>
      </c>
      <c r="K165" s="142">
        <v>81</v>
      </c>
      <c r="L165" s="142">
        <f t="shared" si="15"/>
        <v>47193</v>
      </c>
      <c r="N165" s="142">
        <v>1</v>
      </c>
      <c r="O165" s="142">
        <v>8</v>
      </c>
      <c r="P165" s="142">
        <v>10</v>
      </c>
      <c r="Q165" s="142">
        <v>104</v>
      </c>
      <c r="R165" s="142">
        <v>120</v>
      </c>
      <c r="S165" s="142">
        <v>1092</v>
      </c>
      <c r="T165" s="142">
        <v>149</v>
      </c>
      <c r="U165" s="142">
        <v>55</v>
      </c>
      <c r="V165" s="142">
        <v>24</v>
      </c>
      <c r="W165" s="142">
        <v>0</v>
      </c>
      <c r="X165" s="142">
        <f t="shared" si="16"/>
        <v>1563</v>
      </c>
    </row>
    <row r="166" spans="1:24">
      <c r="A166" s="99">
        <v>1993</v>
      </c>
      <c r="B166" s="142">
        <v>185</v>
      </c>
      <c r="C166" s="142">
        <v>4718</v>
      </c>
      <c r="D166" s="142">
        <v>5283</v>
      </c>
      <c r="E166" s="142">
        <v>6241</v>
      </c>
      <c r="F166" s="142">
        <v>6345</v>
      </c>
      <c r="G166" s="142">
        <v>33079</v>
      </c>
      <c r="H166" s="142">
        <v>14873</v>
      </c>
      <c r="I166" s="142">
        <v>4483</v>
      </c>
      <c r="J166" s="142">
        <v>3526</v>
      </c>
      <c r="K166" s="142" t="s">
        <v>23</v>
      </c>
      <c r="L166" s="142">
        <f t="shared" si="15"/>
        <v>78733</v>
      </c>
      <c r="N166" s="48" t="s">
        <v>106</v>
      </c>
      <c r="O166" s="142">
        <v>32</v>
      </c>
      <c r="P166" s="142">
        <v>54</v>
      </c>
      <c r="Q166" s="142">
        <v>171</v>
      </c>
      <c r="R166" s="142">
        <v>749</v>
      </c>
      <c r="S166" s="142">
        <v>1812</v>
      </c>
      <c r="T166" s="142">
        <v>104</v>
      </c>
      <c r="U166" s="142">
        <v>21</v>
      </c>
      <c r="V166" s="142">
        <v>8</v>
      </c>
      <c r="W166" s="142" t="s">
        <v>23</v>
      </c>
      <c r="X166" s="142">
        <f t="shared" si="16"/>
        <v>2951</v>
      </c>
    </row>
    <row r="167" spans="1:24">
      <c r="A167" s="99">
        <v>1994</v>
      </c>
      <c r="B167" s="142">
        <v>678</v>
      </c>
      <c r="C167" s="142">
        <v>3867</v>
      </c>
      <c r="D167" s="142">
        <v>8902</v>
      </c>
      <c r="E167" s="142">
        <v>7131</v>
      </c>
      <c r="F167" s="142">
        <v>25083</v>
      </c>
      <c r="G167" s="142">
        <v>50608</v>
      </c>
      <c r="H167" s="142">
        <v>22594</v>
      </c>
      <c r="I167" s="142">
        <v>13815</v>
      </c>
      <c r="J167" s="142">
        <v>8299</v>
      </c>
      <c r="K167" s="142" t="s">
        <v>23</v>
      </c>
      <c r="L167" s="142">
        <f t="shared" si="15"/>
        <v>140977</v>
      </c>
      <c r="N167" s="48" t="s">
        <v>106</v>
      </c>
      <c r="O167" s="142">
        <v>0</v>
      </c>
      <c r="P167" s="142">
        <v>7</v>
      </c>
      <c r="Q167" s="142">
        <v>7</v>
      </c>
      <c r="R167" s="142">
        <v>54</v>
      </c>
      <c r="S167" s="142">
        <v>107</v>
      </c>
      <c r="T167" s="142">
        <v>4</v>
      </c>
      <c r="U167" s="142">
        <v>11</v>
      </c>
      <c r="V167" s="142">
        <v>5</v>
      </c>
      <c r="W167" s="142" t="s">
        <v>23</v>
      </c>
      <c r="X167" s="142">
        <f t="shared" si="16"/>
        <v>195</v>
      </c>
    </row>
    <row r="168" spans="1:24">
      <c r="A168" s="99">
        <v>1995</v>
      </c>
      <c r="B168" s="142" t="s">
        <v>23</v>
      </c>
      <c r="C168" s="142">
        <v>12730</v>
      </c>
      <c r="D168" s="142">
        <v>14040</v>
      </c>
      <c r="E168" s="142">
        <v>13573</v>
      </c>
      <c r="F168" s="142">
        <v>25872</v>
      </c>
      <c r="G168" s="142">
        <v>59555</v>
      </c>
      <c r="H168" s="142">
        <v>15674</v>
      </c>
      <c r="I168" s="142">
        <v>12237</v>
      </c>
      <c r="J168" s="142">
        <v>1996</v>
      </c>
      <c r="K168" s="142" t="s">
        <v>23</v>
      </c>
      <c r="L168" s="142">
        <f t="shared" si="15"/>
        <v>155677</v>
      </c>
      <c r="N168" s="142" t="s">
        <v>23</v>
      </c>
      <c r="O168" s="142">
        <v>0</v>
      </c>
      <c r="P168" s="142">
        <v>5</v>
      </c>
      <c r="Q168" s="142">
        <v>3</v>
      </c>
      <c r="R168" s="142">
        <v>37</v>
      </c>
      <c r="S168" s="142">
        <v>126</v>
      </c>
      <c r="T168" s="142">
        <v>5</v>
      </c>
      <c r="U168" s="142">
        <v>6</v>
      </c>
      <c r="V168" s="142">
        <v>0</v>
      </c>
      <c r="W168" s="142" t="s">
        <v>23</v>
      </c>
      <c r="X168" s="142">
        <f t="shared" si="16"/>
        <v>182</v>
      </c>
    </row>
    <row r="169" spans="1:24">
      <c r="A169" s="99">
        <v>1996</v>
      </c>
      <c r="B169" s="142" t="s">
        <v>23</v>
      </c>
      <c r="C169" s="142">
        <v>21395</v>
      </c>
      <c r="D169" s="142">
        <v>14222</v>
      </c>
      <c r="E169" s="142">
        <v>6057</v>
      </c>
      <c r="F169" s="142">
        <v>11224</v>
      </c>
      <c r="G169" s="142">
        <v>22630</v>
      </c>
      <c r="H169" s="142">
        <v>4791</v>
      </c>
      <c r="I169" s="142">
        <v>2921</v>
      </c>
      <c r="J169" s="142">
        <v>1231</v>
      </c>
      <c r="K169" s="142" t="s">
        <v>23</v>
      </c>
      <c r="L169" s="142">
        <f t="shared" si="15"/>
        <v>84471</v>
      </c>
      <c r="N169" s="142" t="s">
        <v>23</v>
      </c>
      <c r="O169" s="142" t="s">
        <v>23</v>
      </c>
      <c r="P169" s="142" t="s">
        <v>23</v>
      </c>
      <c r="Q169" s="142">
        <v>2</v>
      </c>
      <c r="R169" s="142">
        <v>7</v>
      </c>
      <c r="S169" s="142">
        <v>21</v>
      </c>
      <c r="T169" s="142">
        <v>26</v>
      </c>
      <c r="U169" s="142" t="s">
        <v>23</v>
      </c>
      <c r="V169" s="142" t="s">
        <v>23</v>
      </c>
      <c r="W169" s="142" t="s">
        <v>23</v>
      </c>
      <c r="X169" s="142">
        <f t="shared" si="16"/>
        <v>56</v>
      </c>
    </row>
    <row r="170" spans="1:24">
      <c r="A170" s="99">
        <v>1997</v>
      </c>
      <c r="B170" s="142" t="s">
        <v>23</v>
      </c>
      <c r="C170" s="142">
        <v>3021</v>
      </c>
      <c r="D170" s="142">
        <v>11040</v>
      </c>
      <c r="E170" s="142">
        <v>19706</v>
      </c>
      <c r="F170" s="142">
        <v>15133</v>
      </c>
      <c r="G170" s="142">
        <v>48956</v>
      </c>
      <c r="H170" s="142">
        <v>20829</v>
      </c>
      <c r="I170" s="142">
        <v>2847</v>
      </c>
      <c r="J170" s="142">
        <v>2384</v>
      </c>
      <c r="K170" s="142">
        <v>58</v>
      </c>
      <c r="L170" s="142">
        <f t="shared" si="15"/>
        <v>123974</v>
      </c>
      <c r="N170" s="142" t="s">
        <v>23</v>
      </c>
      <c r="O170" s="142" t="s">
        <v>23</v>
      </c>
      <c r="P170" s="142" t="s">
        <v>23</v>
      </c>
      <c r="Q170" s="142">
        <v>10</v>
      </c>
      <c r="R170" s="142" t="s">
        <v>23</v>
      </c>
      <c r="S170" s="142">
        <v>161</v>
      </c>
      <c r="T170" s="142">
        <v>8</v>
      </c>
      <c r="U170" s="142">
        <v>17</v>
      </c>
      <c r="V170" s="142" t="s">
        <v>23</v>
      </c>
      <c r="W170" s="142" t="s">
        <v>23</v>
      </c>
      <c r="X170" s="142">
        <f t="shared" si="16"/>
        <v>196</v>
      </c>
    </row>
    <row r="171" spans="1:24">
      <c r="A171" s="99">
        <v>1998</v>
      </c>
      <c r="B171" s="142" t="s">
        <v>23</v>
      </c>
      <c r="C171" s="142">
        <v>80</v>
      </c>
      <c r="D171" s="142">
        <v>3748</v>
      </c>
      <c r="E171" s="142">
        <v>4414</v>
      </c>
      <c r="F171" s="142">
        <v>12262</v>
      </c>
      <c r="G171" s="142">
        <v>27369</v>
      </c>
      <c r="H171" s="142">
        <v>17577</v>
      </c>
      <c r="I171" s="142">
        <v>3730</v>
      </c>
      <c r="J171" s="142">
        <v>1789</v>
      </c>
      <c r="K171" s="48" t="s">
        <v>106</v>
      </c>
      <c r="L171" s="142">
        <f t="shared" si="15"/>
        <v>70969</v>
      </c>
      <c r="N171" s="142" t="s">
        <v>23</v>
      </c>
      <c r="O171" s="142" t="s">
        <v>23</v>
      </c>
      <c r="P171" s="142" t="s">
        <v>23</v>
      </c>
      <c r="Q171" s="142" t="s">
        <v>23</v>
      </c>
      <c r="R171" s="142">
        <v>8</v>
      </c>
      <c r="S171" s="142">
        <v>16</v>
      </c>
      <c r="T171" s="142">
        <v>4</v>
      </c>
      <c r="U171" s="142" t="s">
        <v>23</v>
      </c>
      <c r="V171" s="142" t="s">
        <v>23</v>
      </c>
      <c r="W171" s="142" t="s">
        <v>23</v>
      </c>
      <c r="X171" s="142">
        <f t="shared" si="16"/>
        <v>28</v>
      </c>
    </row>
    <row r="172" spans="1:24">
      <c r="A172" s="99">
        <v>1999</v>
      </c>
      <c r="B172" s="142" t="s">
        <v>23</v>
      </c>
      <c r="C172" s="142">
        <v>744</v>
      </c>
      <c r="D172" s="142">
        <v>6260</v>
      </c>
      <c r="E172" s="142">
        <v>1330</v>
      </c>
      <c r="F172" s="142">
        <v>10686</v>
      </c>
      <c r="G172" s="142">
        <v>29869</v>
      </c>
      <c r="H172" s="142">
        <v>11570</v>
      </c>
      <c r="I172" s="142">
        <v>6237</v>
      </c>
      <c r="J172" s="142">
        <v>2555</v>
      </c>
      <c r="K172" s="142" t="s">
        <v>23</v>
      </c>
      <c r="L172" s="142">
        <f t="shared" si="15"/>
        <v>69251</v>
      </c>
      <c r="N172" s="142" t="s">
        <v>23</v>
      </c>
      <c r="O172" s="142" t="s">
        <v>23</v>
      </c>
      <c r="P172" s="142" t="s">
        <v>23</v>
      </c>
      <c r="Q172" s="142">
        <v>12</v>
      </c>
      <c r="R172" s="142">
        <v>175</v>
      </c>
      <c r="S172" s="142">
        <v>107</v>
      </c>
      <c r="T172" s="142">
        <v>11</v>
      </c>
      <c r="U172" s="142">
        <v>12</v>
      </c>
      <c r="V172" s="142">
        <v>6</v>
      </c>
      <c r="W172" s="142" t="s">
        <v>23</v>
      </c>
      <c r="X172" s="142">
        <f t="shared" si="16"/>
        <v>323</v>
      </c>
    </row>
    <row r="173" spans="1:24">
      <c r="A173" s="99">
        <v>2000</v>
      </c>
      <c r="B173" s="142" t="s">
        <v>23</v>
      </c>
      <c r="C173" s="142" t="s">
        <v>23</v>
      </c>
      <c r="D173" s="142">
        <v>5684</v>
      </c>
      <c r="E173" s="142">
        <v>10207</v>
      </c>
      <c r="F173" s="142">
        <v>16317</v>
      </c>
      <c r="G173" s="142">
        <v>8458</v>
      </c>
      <c r="H173" s="142">
        <v>7207</v>
      </c>
      <c r="I173" s="142">
        <v>8060</v>
      </c>
      <c r="J173" s="142">
        <v>6815</v>
      </c>
      <c r="K173" s="142">
        <v>1905</v>
      </c>
      <c r="L173" s="142">
        <f t="shared" si="15"/>
        <v>64653</v>
      </c>
      <c r="N173" s="142" t="s">
        <v>23</v>
      </c>
      <c r="O173" s="142" t="s">
        <v>23</v>
      </c>
      <c r="P173" s="142" t="s">
        <v>23</v>
      </c>
      <c r="Q173" s="142" t="s">
        <v>23</v>
      </c>
      <c r="R173" s="142">
        <v>50</v>
      </c>
      <c r="S173" s="142">
        <v>36</v>
      </c>
      <c r="T173" s="142">
        <v>12</v>
      </c>
      <c r="U173" s="142" t="s">
        <v>23</v>
      </c>
      <c r="V173" s="142" t="s">
        <v>23</v>
      </c>
      <c r="W173" s="142" t="s">
        <v>23</v>
      </c>
      <c r="X173" s="142">
        <f t="shared" si="16"/>
        <v>98</v>
      </c>
    </row>
    <row r="174" spans="1:24">
      <c r="A174" s="99">
        <v>2001</v>
      </c>
      <c r="B174" s="142" t="s">
        <v>23</v>
      </c>
      <c r="C174" s="142" t="s">
        <v>23</v>
      </c>
      <c r="D174" s="142">
        <v>3314</v>
      </c>
      <c r="E174" s="142">
        <v>6207</v>
      </c>
      <c r="F174" s="142">
        <v>1613</v>
      </c>
      <c r="G174" s="142">
        <v>11167</v>
      </c>
      <c r="H174" s="142">
        <v>6717</v>
      </c>
      <c r="I174" s="142">
        <v>6552</v>
      </c>
      <c r="J174" s="142">
        <v>3065</v>
      </c>
      <c r="K174" s="142">
        <v>1221</v>
      </c>
      <c r="L174" s="142">
        <f t="shared" si="15"/>
        <v>39856</v>
      </c>
      <c r="N174" s="142" t="s">
        <v>23</v>
      </c>
      <c r="O174" s="142" t="s">
        <v>23</v>
      </c>
      <c r="P174" s="142" t="s">
        <v>23</v>
      </c>
      <c r="Q174" s="142">
        <v>165</v>
      </c>
      <c r="R174" s="142">
        <v>8</v>
      </c>
      <c r="S174" s="142">
        <v>306</v>
      </c>
      <c r="T174" s="142">
        <v>10</v>
      </c>
      <c r="U174" s="142" t="s">
        <v>23</v>
      </c>
      <c r="V174" s="142" t="s">
        <v>23</v>
      </c>
      <c r="W174" s="142" t="s">
        <v>23</v>
      </c>
      <c r="X174" s="142">
        <f t="shared" si="16"/>
        <v>489</v>
      </c>
    </row>
    <row r="175" spans="1:24">
      <c r="A175" s="99">
        <v>2002</v>
      </c>
      <c r="B175" s="142" t="s">
        <v>23</v>
      </c>
      <c r="C175" s="142" t="s">
        <v>23</v>
      </c>
      <c r="D175" s="142">
        <v>4953</v>
      </c>
      <c r="E175" s="142">
        <v>13189</v>
      </c>
      <c r="F175" s="142">
        <v>17955</v>
      </c>
      <c r="G175" s="142">
        <v>34305</v>
      </c>
      <c r="H175" s="142">
        <v>13097</v>
      </c>
      <c r="I175" s="142">
        <v>3100</v>
      </c>
      <c r="J175" s="142">
        <v>348</v>
      </c>
      <c r="K175" s="142">
        <v>61</v>
      </c>
      <c r="L175" s="142">
        <f t="shared" si="15"/>
        <v>87008</v>
      </c>
      <c r="N175" s="142" t="s">
        <v>23</v>
      </c>
      <c r="O175" s="142" t="s">
        <v>23</v>
      </c>
      <c r="P175" s="142">
        <v>2</v>
      </c>
      <c r="Q175" s="142">
        <v>19</v>
      </c>
      <c r="R175" s="142">
        <v>72</v>
      </c>
      <c r="S175" s="142">
        <v>191</v>
      </c>
      <c r="T175" s="142">
        <v>16</v>
      </c>
      <c r="U175" s="142" t="s">
        <v>23</v>
      </c>
      <c r="V175" s="142" t="s">
        <v>23</v>
      </c>
      <c r="W175" s="142" t="s">
        <v>23</v>
      </c>
      <c r="X175" s="142">
        <f t="shared" si="16"/>
        <v>300</v>
      </c>
    </row>
    <row r="176" spans="1:24">
      <c r="A176" s="99">
        <v>2003</v>
      </c>
      <c r="B176" s="142" t="s">
        <v>23</v>
      </c>
      <c r="C176" s="142" t="s">
        <v>23</v>
      </c>
      <c r="D176" s="142">
        <v>4707</v>
      </c>
      <c r="E176" s="142">
        <v>9358</v>
      </c>
      <c r="F176" s="142">
        <v>13179</v>
      </c>
      <c r="G176" s="142">
        <v>19974</v>
      </c>
      <c r="H176" s="142">
        <v>5067</v>
      </c>
      <c r="I176" s="142">
        <v>3288</v>
      </c>
      <c r="J176" s="142">
        <v>1043</v>
      </c>
      <c r="K176" s="142">
        <v>0</v>
      </c>
      <c r="L176" s="142">
        <f t="shared" si="15"/>
        <v>56616</v>
      </c>
      <c r="N176" s="142" t="s">
        <v>23</v>
      </c>
      <c r="O176" s="142" t="s">
        <v>23</v>
      </c>
      <c r="P176" s="142" t="s">
        <v>23</v>
      </c>
      <c r="Q176" s="142">
        <v>38</v>
      </c>
      <c r="R176" s="142">
        <v>71</v>
      </c>
      <c r="S176" s="142">
        <v>94</v>
      </c>
      <c r="T176" s="142" t="s">
        <v>23</v>
      </c>
      <c r="U176" s="142">
        <v>4</v>
      </c>
      <c r="V176" s="142" t="s">
        <v>23</v>
      </c>
      <c r="W176" s="142" t="s">
        <v>23</v>
      </c>
      <c r="X176" s="142">
        <f t="shared" si="16"/>
        <v>207</v>
      </c>
    </row>
    <row r="177" spans="1:24">
      <c r="A177" s="99">
        <v>2004</v>
      </c>
      <c r="B177" s="142" t="s">
        <v>23</v>
      </c>
      <c r="C177" s="142" t="s">
        <v>23</v>
      </c>
      <c r="D177" s="142">
        <v>6847</v>
      </c>
      <c r="E177" s="142">
        <v>18714</v>
      </c>
      <c r="F177" s="142">
        <v>23692</v>
      </c>
      <c r="G177" s="142">
        <v>47484</v>
      </c>
      <c r="H177" s="142">
        <v>22562</v>
      </c>
      <c r="I177" s="142">
        <v>7887</v>
      </c>
      <c r="J177" s="142">
        <v>2696</v>
      </c>
      <c r="K177" s="142">
        <v>338</v>
      </c>
      <c r="L177" s="142">
        <f t="shared" si="15"/>
        <v>130220</v>
      </c>
      <c r="N177" s="142" t="s">
        <v>23</v>
      </c>
      <c r="O177" s="142" t="s">
        <v>23</v>
      </c>
      <c r="P177" s="142" t="s">
        <v>23</v>
      </c>
      <c r="Q177" s="142">
        <v>41</v>
      </c>
      <c r="R177" s="142">
        <v>40</v>
      </c>
      <c r="S177" s="142">
        <v>236</v>
      </c>
      <c r="T177" s="142">
        <v>140</v>
      </c>
      <c r="U177" s="142">
        <v>13</v>
      </c>
      <c r="V177" s="142" t="s">
        <v>23</v>
      </c>
      <c r="W177" s="142" t="s">
        <v>23</v>
      </c>
      <c r="X177" s="142">
        <f t="shared" si="16"/>
        <v>470</v>
      </c>
    </row>
    <row r="178" spans="1:24">
      <c r="A178" s="99">
        <v>2005</v>
      </c>
      <c r="B178" s="142" t="s">
        <v>23</v>
      </c>
      <c r="C178" s="142" t="s">
        <v>23</v>
      </c>
      <c r="D178" s="142">
        <v>7878</v>
      </c>
      <c r="E178" s="142">
        <v>10827</v>
      </c>
      <c r="F178" s="142">
        <v>12593</v>
      </c>
      <c r="G178" s="142">
        <v>20653</v>
      </c>
      <c r="H178" s="142">
        <v>5959</v>
      </c>
      <c r="I178" s="142">
        <v>10609</v>
      </c>
      <c r="J178" s="142">
        <v>3950</v>
      </c>
      <c r="K178" s="142">
        <v>355</v>
      </c>
      <c r="L178" s="142">
        <f t="shared" si="15"/>
        <v>72824</v>
      </c>
      <c r="N178" s="142" t="s">
        <v>23</v>
      </c>
      <c r="O178" s="142" t="s">
        <v>23</v>
      </c>
      <c r="P178" s="142" t="s">
        <v>23</v>
      </c>
      <c r="Q178" s="142">
        <v>16</v>
      </c>
      <c r="R178" s="142">
        <v>147</v>
      </c>
      <c r="S178" s="142">
        <v>110</v>
      </c>
      <c r="T178" s="142" t="s">
        <v>23</v>
      </c>
      <c r="U178" s="142" t="s">
        <v>23</v>
      </c>
      <c r="V178" s="142" t="s">
        <v>23</v>
      </c>
      <c r="W178" s="142" t="s">
        <v>23</v>
      </c>
      <c r="X178" s="142">
        <f t="shared" si="16"/>
        <v>273</v>
      </c>
    </row>
    <row r="179" spans="1:24">
      <c r="A179" s="99">
        <v>2006</v>
      </c>
      <c r="B179" s="142" t="s">
        <v>23</v>
      </c>
      <c r="C179" s="142" t="s">
        <v>23</v>
      </c>
      <c r="D179" s="142">
        <v>1803</v>
      </c>
      <c r="E179" s="142">
        <v>12416</v>
      </c>
      <c r="F179" s="142">
        <v>18151</v>
      </c>
      <c r="G179" s="142">
        <v>20092</v>
      </c>
      <c r="H179" s="142">
        <v>1280</v>
      </c>
      <c r="I179" s="142">
        <v>861</v>
      </c>
      <c r="J179" s="142">
        <v>256</v>
      </c>
      <c r="K179" s="142">
        <v>67</v>
      </c>
      <c r="L179" s="142">
        <f t="shared" si="15"/>
        <v>54926</v>
      </c>
      <c r="N179" s="142" t="s">
        <v>23</v>
      </c>
      <c r="O179" s="142" t="s">
        <v>23</v>
      </c>
      <c r="P179" s="142" t="s">
        <v>23</v>
      </c>
      <c r="Q179" s="142">
        <v>57</v>
      </c>
      <c r="R179" s="142">
        <v>296</v>
      </c>
      <c r="S179" s="142">
        <v>310</v>
      </c>
      <c r="T179" s="142">
        <v>9</v>
      </c>
      <c r="U179" s="142" t="s">
        <v>23</v>
      </c>
      <c r="V179" s="142" t="s">
        <v>23</v>
      </c>
      <c r="W179" s="142" t="s">
        <v>23</v>
      </c>
      <c r="X179" s="142">
        <f t="shared" si="16"/>
        <v>672</v>
      </c>
    </row>
    <row r="180" spans="1:24">
      <c r="A180" s="99">
        <v>2007</v>
      </c>
      <c r="B180" s="142" t="s">
        <v>23</v>
      </c>
      <c r="C180" s="142" t="s">
        <v>23</v>
      </c>
      <c r="D180" s="142">
        <v>796</v>
      </c>
      <c r="E180" s="142">
        <v>4245</v>
      </c>
      <c r="F180" s="142">
        <v>4642</v>
      </c>
      <c r="G180" s="142">
        <v>5419</v>
      </c>
      <c r="H180" s="142">
        <v>650</v>
      </c>
      <c r="I180" s="142">
        <v>278</v>
      </c>
      <c r="J180" s="142">
        <v>441</v>
      </c>
      <c r="K180" s="142">
        <v>325</v>
      </c>
      <c r="L180" s="142">
        <f t="shared" si="15"/>
        <v>16796</v>
      </c>
      <c r="N180" s="142" t="s">
        <v>23</v>
      </c>
      <c r="O180" s="142" t="s">
        <v>23</v>
      </c>
      <c r="P180" s="142" t="s">
        <v>23</v>
      </c>
      <c r="Q180" s="142">
        <v>37</v>
      </c>
      <c r="R180" s="142">
        <v>30</v>
      </c>
      <c r="S180" s="142">
        <v>114</v>
      </c>
      <c r="T180" s="142">
        <v>9</v>
      </c>
      <c r="U180" s="142">
        <v>14</v>
      </c>
      <c r="V180" s="142" t="s">
        <v>23</v>
      </c>
      <c r="W180" s="142" t="s">
        <v>23</v>
      </c>
      <c r="X180" s="142">
        <f t="shared" si="16"/>
        <v>204</v>
      </c>
    </row>
    <row r="181" spans="1:24">
      <c r="A181" s="99">
        <v>2008</v>
      </c>
      <c r="B181" s="142" t="s">
        <v>23</v>
      </c>
      <c r="C181" s="142" t="s">
        <v>23</v>
      </c>
      <c r="D181" s="142" t="s">
        <v>23</v>
      </c>
      <c r="E181" s="142" t="s">
        <v>23</v>
      </c>
      <c r="F181" s="142" t="s">
        <v>23</v>
      </c>
      <c r="G181" s="142" t="s">
        <v>23</v>
      </c>
      <c r="H181" s="142" t="s">
        <v>23</v>
      </c>
      <c r="I181" s="142" t="s">
        <v>23</v>
      </c>
      <c r="J181" s="142" t="s">
        <v>23</v>
      </c>
      <c r="K181" s="142" t="s">
        <v>23</v>
      </c>
      <c r="L181" s="142" t="s">
        <v>23</v>
      </c>
      <c r="N181" s="142" t="s">
        <v>23</v>
      </c>
      <c r="O181" s="142" t="s">
        <v>23</v>
      </c>
      <c r="P181" s="142" t="s">
        <v>23</v>
      </c>
      <c r="Q181" s="142" t="s">
        <v>23</v>
      </c>
      <c r="R181" s="142" t="s">
        <v>23</v>
      </c>
      <c r="S181" s="142" t="s">
        <v>23</v>
      </c>
      <c r="T181" s="142" t="s">
        <v>23</v>
      </c>
      <c r="U181" s="142" t="s">
        <v>23</v>
      </c>
      <c r="V181" s="142" t="s">
        <v>23</v>
      </c>
      <c r="W181" s="142" t="s">
        <v>23</v>
      </c>
      <c r="X181" s="142" t="s">
        <v>23</v>
      </c>
    </row>
    <row r="182" spans="1:24">
      <c r="A182" s="99">
        <v>2009</v>
      </c>
      <c r="B182" s="142" t="s">
        <v>23</v>
      </c>
      <c r="C182" s="142" t="s">
        <v>23</v>
      </c>
      <c r="D182" s="142" t="s">
        <v>23</v>
      </c>
      <c r="E182" s="142" t="s">
        <v>23</v>
      </c>
      <c r="F182" s="142" t="s">
        <v>23</v>
      </c>
      <c r="G182" s="142" t="s">
        <v>23</v>
      </c>
      <c r="H182" s="142" t="s">
        <v>23</v>
      </c>
      <c r="I182" s="142" t="s">
        <v>23</v>
      </c>
      <c r="J182" s="142" t="s">
        <v>23</v>
      </c>
      <c r="K182" s="142" t="s">
        <v>23</v>
      </c>
      <c r="L182" s="142" t="s">
        <v>23</v>
      </c>
      <c r="N182" s="142" t="s">
        <v>23</v>
      </c>
      <c r="O182" s="142" t="s">
        <v>23</v>
      </c>
      <c r="P182" s="142" t="s">
        <v>23</v>
      </c>
      <c r="Q182" s="142" t="s">
        <v>23</v>
      </c>
      <c r="R182" s="142" t="s">
        <v>23</v>
      </c>
      <c r="S182" s="142" t="s">
        <v>23</v>
      </c>
      <c r="T182" s="142" t="s">
        <v>23</v>
      </c>
      <c r="U182" s="142" t="s">
        <v>23</v>
      </c>
      <c r="V182" s="142" t="s">
        <v>23</v>
      </c>
      <c r="W182" s="142" t="s">
        <v>23</v>
      </c>
      <c r="X182" s="142" t="s">
        <v>23</v>
      </c>
    </row>
    <row r="183" spans="1:24">
      <c r="A183" s="99">
        <v>2010</v>
      </c>
      <c r="B183" s="142" t="s">
        <v>23</v>
      </c>
      <c r="C183" s="142" t="s">
        <v>23</v>
      </c>
      <c r="D183" s="142">
        <v>1004</v>
      </c>
      <c r="E183" s="142">
        <v>452</v>
      </c>
      <c r="F183" s="142">
        <v>598</v>
      </c>
      <c r="G183" s="142">
        <v>1764</v>
      </c>
      <c r="H183" s="142">
        <v>2012</v>
      </c>
      <c r="I183" s="142">
        <v>286</v>
      </c>
      <c r="J183" s="142" t="s">
        <v>23</v>
      </c>
      <c r="K183" s="142" t="s">
        <v>23</v>
      </c>
      <c r="L183" s="142">
        <f t="shared" ref="L183:L194" si="17">SUM(B183:K183)</f>
        <v>6116</v>
      </c>
      <c r="N183" s="142" t="s">
        <v>23</v>
      </c>
      <c r="O183" s="142" t="s">
        <v>23</v>
      </c>
      <c r="P183" s="142" t="s">
        <v>23</v>
      </c>
      <c r="Q183" s="142" t="s">
        <v>23</v>
      </c>
      <c r="R183" s="142">
        <v>68</v>
      </c>
      <c r="S183" s="142" t="s">
        <v>23</v>
      </c>
      <c r="T183" s="142" t="s">
        <v>23</v>
      </c>
      <c r="U183" s="142">
        <v>8</v>
      </c>
      <c r="V183" s="142" t="s">
        <v>23</v>
      </c>
      <c r="W183" s="142" t="s">
        <v>23</v>
      </c>
      <c r="X183" s="142">
        <f t="shared" ref="X183:X194" si="18">SUM(N183:W183)</f>
        <v>76</v>
      </c>
    </row>
    <row r="184" spans="1:24">
      <c r="A184" s="99">
        <v>2011</v>
      </c>
      <c r="B184" s="142" t="s">
        <v>23</v>
      </c>
      <c r="C184" s="142" t="s">
        <v>23</v>
      </c>
      <c r="D184" s="142">
        <v>432</v>
      </c>
      <c r="E184" s="142">
        <v>934</v>
      </c>
      <c r="F184" s="142">
        <v>326</v>
      </c>
      <c r="G184" s="142">
        <v>4457</v>
      </c>
      <c r="H184" s="142">
        <v>6531</v>
      </c>
      <c r="I184" s="142">
        <v>5914</v>
      </c>
      <c r="J184" s="142">
        <v>1140</v>
      </c>
      <c r="K184" s="142" t="s">
        <v>23</v>
      </c>
      <c r="L184" s="142">
        <f t="shared" si="17"/>
        <v>19734</v>
      </c>
      <c r="N184" s="142" t="s">
        <v>23</v>
      </c>
      <c r="O184" s="142" t="s">
        <v>23</v>
      </c>
      <c r="P184" s="142" t="s">
        <v>23</v>
      </c>
      <c r="Q184" s="142" t="s">
        <v>23</v>
      </c>
      <c r="R184" s="142">
        <v>17</v>
      </c>
      <c r="S184" s="142">
        <v>26</v>
      </c>
      <c r="T184" s="142" t="s">
        <v>23</v>
      </c>
      <c r="U184" s="142" t="s">
        <v>23</v>
      </c>
      <c r="V184" s="142" t="s">
        <v>23</v>
      </c>
      <c r="W184" s="142" t="s">
        <v>23</v>
      </c>
      <c r="X184" s="142">
        <f t="shared" si="18"/>
        <v>43</v>
      </c>
    </row>
    <row r="185" spans="1:24">
      <c r="A185" s="99">
        <v>2012</v>
      </c>
      <c r="B185" s="142" t="s">
        <v>23</v>
      </c>
      <c r="C185" s="142" t="s">
        <v>23</v>
      </c>
      <c r="D185" s="142">
        <v>3837</v>
      </c>
      <c r="E185" s="142">
        <v>5143</v>
      </c>
      <c r="F185" s="142">
        <v>10700</v>
      </c>
      <c r="G185" s="142">
        <v>15329</v>
      </c>
      <c r="H185" s="142">
        <v>5340</v>
      </c>
      <c r="I185" s="142">
        <v>3871</v>
      </c>
      <c r="J185" s="142">
        <v>1881</v>
      </c>
      <c r="K185" s="142">
        <v>88</v>
      </c>
      <c r="L185" s="142">
        <f t="shared" si="17"/>
        <v>46189</v>
      </c>
      <c r="N185" s="142" t="s">
        <v>23</v>
      </c>
      <c r="O185" s="142" t="s">
        <v>23</v>
      </c>
      <c r="P185" s="142" t="s">
        <v>23</v>
      </c>
      <c r="Q185" s="142">
        <v>3</v>
      </c>
      <c r="R185" s="142" t="s">
        <v>23</v>
      </c>
      <c r="S185" s="142">
        <v>5</v>
      </c>
      <c r="T185" s="142" t="s">
        <v>23</v>
      </c>
      <c r="U185" s="142" t="s">
        <v>23</v>
      </c>
      <c r="V185" s="142" t="s">
        <v>23</v>
      </c>
      <c r="W185" s="142" t="s">
        <v>23</v>
      </c>
      <c r="X185" s="142">
        <f t="shared" si="18"/>
        <v>8</v>
      </c>
    </row>
    <row r="186" spans="1:24">
      <c r="A186" s="99">
        <v>2013</v>
      </c>
      <c r="B186" s="142" t="s">
        <v>23</v>
      </c>
      <c r="C186" s="142" t="s">
        <v>23</v>
      </c>
      <c r="D186" s="142">
        <v>8121</v>
      </c>
      <c r="E186" s="142">
        <v>9018</v>
      </c>
      <c r="F186" s="142">
        <v>12204</v>
      </c>
      <c r="G186" s="142">
        <v>21798</v>
      </c>
      <c r="H186" s="142">
        <v>6818</v>
      </c>
      <c r="I186" s="142">
        <v>1891</v>
      </c>
      <c r="J186" s="142">
        <v>1354</v>
      </c>
      <c r="K186" s="142">
        <v>87</v>
      </c>
      <c r="L186" s="142">
        <f t="shared" si="17"/>
        <v>61291</v>
      </c>
      <c r="N186" s="142" t="s">
        <v>23</v>
      </c>
      <c r="O186" s="142" t="s">
        <v>23</v>
      </c>
      <c r="P186" s="142" t="s">
        <v>23</v>
      </c>
      <c r="Q186" s="142" t="s">
        <v>23</v>
      </c>
      <c r="R186" s="142">
        <v>24</v>
      </c>
      <c r="S186" s="142">
        <v>62</v>
      </c>
      <c r="T186" s="142" t="s">
        <v>23</v>
      </c>
      <c r="U186" s="142" t="s">
        <v>23</v>
      </c>
      <c r="V186" s="142" t="s">
        <v>23</v>
      </c>
      <c r="W186" s="142" t="s">
        <v>23</v>
      </c>
      <c r="X186" s="142">
        <f t="shared" si="18"/>
        <v>86</v>
      </c>
    </row>
    <row r="187" spans="1:24">
      <c r="A187" s="99">
        <v>2014</v>
      </c>
      <c r="B187" s="142" t="s">
        <v>23</v>
      </c>
      <c r="C187" s="142" t="s">
        <v>23</v>
      </c>
      <c r="D187" s="142">
        <v>1854</v>
      </c>
      <c r="E187" s="142">
        <v>2318</v>
      </c>
      <c r="F187" s="142">
        <v>559</v>
      </c>
      <c r="G187" s="142">
        <v>5587</v>
      </c>
      <c r="H187" s="142">
        <v>12679</v>
      </c>
      <c r="I187" s="142">
        <v>6266</v>
      </c>
      <c r="J187" s="142">
        <v>3065</v>
      </c>
      <c r="K187" s="142">
        <v>125</v>
      </c>
      <c r="L187" s="142">
        <f t="shared" si="17"/>
        <v>32453</v>
      </c>
      <c r="N187" s="142" t="s">
        <v>23</v>
      </c>
      <c r="O187" s="142" t="s">
        <v>23</v>
      </c>
      <c r="P187" s="142" t="s">
        <v>23</v>
      </c>
      <c r="Q187" s="142">
        <v>4</v>
      </c>
      <c r="R187" s="142" t="s">
        <v>23</v>
      </c>
      <c r="S187" s="142">
        <v>40</v>
      </c>
      <c r="T187" s="142" t="s">
        <v>23</v>
      </c>
      <c r="U187" s="142" t="s">
        <v>23</v>
      </c>
      <c r="V187" s="142" t="s">
        <v>23</v>
      </c>
      <c r="W187" s="142" t="s">
        <v>23</v>
      </c>
      <c r="X187" s="142">
        <f t="shared" si="18"/>
        <v>44</v>
      </c>
    </row>
    <row r="188" spans="1:24">
      <c r="A188" s="99">
        <v>2015</v>
      </c>
      <c r="B188" s="142" t="s">
        <v>23</v>
      </c>
      <c r="C188" s="142" t="s">
        <v>23</v>
      </c>
      <c r="D188" s="142">
        <v>933</v>
      </c>
      <c r="E188" s="142">
        <v>1072</v>
      </c>
      <c r="F188" s="142">
        <v>2396</v>
      </c>
      <c r="G188" s="142">
        <v>5126</v>
      </c>
      <c r="H188" s="142">
        <v>6113</v>
      </c>
      <c r="I188" s="142">
        <v>8014</v>
      </c>
      <c r="J188" s="142">
        <v>1573</v>
      </c>
      <c r="K188" s="142" t="s">
        <v>23</v>
      </c>
      <c r="L188" s="142">
        <f>SUM(B188:K188)</f>
        <v>25227</v>
      </c>
      <c r="N188" s="142" t="s">
        <v>23</v>
      </c>
      <c r="O188" s="142" t="s">
        <v>23</v>
      </c>
      <c r="P188" s="142" t="s">
        <v>23</v>
      </c>
      <c r="Q188" s="142" t="s">
        <v>23</v>
      </c>
      <c r="R188" s="142">
        <v>4</v>
      </c>
      <c r="S188" s="142">
        <v>2</v>
      </c>
      <c r="T188" s="142" t="s">
        <v>23</v>
      </c>
      <c r="U188" s="142" t="s">
        <v>23</v>
      </c>
      <c r="V188" s="142" t="s">
        <v>23</v>
      </c>
      <c r="W188" s="142" t="s">
        <v>23</v>
      </c>
      <c r="X188" s="142">
        <f>SUM(N188:W188)</f>
        <v>6</v>
      </c>
    </row>
    <row r="189" spans="1:24" ht="12.75" customHeight="1">
      <c r="A189" s="99">
        <v>2016</v>
      </c>
      <c r="B189" s="142" t="s">
        <v>23</v>
      </c>
      <c r="C189" s="142" t="s">
        <v>23</v>
      </c>
      <c r="D189" s="142">
        <v>1206</v>
      </c>
      <c r="E189" s="142">
        <v>3563</v>
      </c>
      <c r="F189" s="142">
        <v>1253</v>
      </c>
      <c r="G189" s="142">
        <v>8025</v>
      </c>
      <c r="H189" s="142">
        <v>6111</v>
      </c>
      <c r="I189" s="142">
        <v>5858</v>
      </c>
      <c r="J189" s="142">
        <v>630</v>
      </c>
      <c r="K189" s="142" t="s">
        <v>23</v>
      </c>
      <c r="L189" s="142">
        <f>SUM(B189:K189)</f>
        <v>26646</v>
      </c>
      <c r="N189" s="142" t="s">
        <v>23</v>
      </c>
      <c r="O189" s="142" t="s">
        <v>23</v>
      </c>
      <c r="P189" s="142" t="s">
        <v>23</v>
      </c>
      <c r="Q189" s="142" t="s">
        <v>23</v>
      </c>
      <c r="R189" s="142" t="s">
        <v>23</v>
      </c>
      <c r="S189" s="142" t="s">
        <v>23</v>
      </c>
      <c r="T189" s="142">
        <v>8</v>
      </c>
      <c r="U189" s="142" t="s">
        <v>23</v>
      </c>
      <c r="V189" s="142" t="s">
        <v>23</v>
      </c>
      <c r="W189" s="142" t="s">
        <v>23</v>
      </c>
      <c r="X189" s="142">
        <f>SUM(N189:W189)</f>
        <v>8</v>
      </c>
    </row>
    <row r="190" spans="1:24">
      <c r="A190" s="99">
        <v>2017</v>
      </c>
      <c r="B190" s="142" t="s">
        <v>23</v>
      </c>
      <c r="C190" s="142" t="s">
        <v>23</v>
      </c>
      <c r="D190" s="142">
        <v>398</v>
      </c>
      <c r="E190" s="142">
        <v>1206</v>
      </c>
      <c r="F190" s="142">
        <v>5241</v>
      </c>
      <c r="G190" s="142">
        <v>24206</v>
      </c>
      <c r="H190" s="142">
        <v>17972</v>
      </c>
      <c r="I190" s="142">
        <v>3890</v>
      </c>
      <c r="J190" s="142">
        <v>843</v>
      </c>
      <c r="K190" s="142" t="s">
        <v>23</v>
      </c>
      <c r="L190" s="142">
        <f>SUM(B190:K190)</f>
        <v>53756</v>
      </c>
      <c r="N190" s="142" t="s">
        <v>23</v>
      </c>
      <c r="O190" s="142" t="s">
        <v>23</v>
      </c>
      <c r="P190" s="142" t="s">
        <v>23</v>
      </c>
      <c r="Q190" s="142">
        <v>3</v>
      </c>
      <c r="R190" s="142" t="s">
        <v>23</v>
      </c>
      <c r="S190" s="142">
        <v>322</v>
      </c>
      <c r="T190" s="142">
        <v>40</v>
      </c>
      <c r="U190" s="142" t="s">
        <v>23</v>
      </c>
      <c r="V190" s="142" t="s">
        <v>23</v>
      </c>
      <c r="W190" s="142" t="s">
        <v>23</v>
      </c>
      <c r="X190" s="142">
        <f>SUM(N190:W190)</f>
        <v>365</v>
      </c>
    </row>
    <row r="191" spans="1:24">
      <c r="A191" s="99">
        <v>2018</v>
      </c>
      <c r="B191" s="142" t="s">
        <v>23</v>
      </c>
      <c r="C191" s="142" t="s">
        <v>23</v>
      </c>
      <c r="D191" s="142" t="s">
        <v>23</v>
      </c>
      <c r="E191" s="142" t="s">
        <v>23</v>
      </c>
      <c r="F191" s="142">
        <v>11361</v>
      </c>
      <c r="G191" s="142">
        <v>38248</v>
      </c>
      <c r="H191" s="142">
        <v>11717</v>
      </c>
      <c r="I191" s="142">
        <v>6689</v>
      </c>
      <c r="J191" s="142">
        <v>4172</v>
      </c>
      <c r="K191" s="142" t="s">
        <v>23</v>
      </c>
      <c r="L191" s="142">
        <f>SUM(B191:K191)</f>
        <v>72187</v>
      </c>
      <c r="N191" s="142" t="s">
        <v>23</v>
      </c>
      <c r="O191" s="142" t="s">
        <v>23</v>
      </c>
      <c r="P191" s="142" t="s">
        <v>23</v>
      </c>
      <c r="Q191" s="142" t="s">
        <v>23</v>
      </c>
      <c r="R191" s="142">
        <v>5</v>
      </c>
      <c r="S191" s="142">
        <v>63</v>
      </c>
      <c r="T191" s="142" t="s">
        <v>23</v>
      </c>
      <c r="U191" s="142" t="s">
        <v>23</v>
      </c>
      <c r="V191" s="142" t="s">
        <v>23</v>
      </c>
      <c r="W191" s="142" t="s">
        <v>23</v>
      </c>
      <c r="X191" s="142">
        <f>SUM(N191:W191)</f>
        <v>68</v>
      </c>
    </row>
    <row r="192" spans="1:24">
      <c r="A192" s="239">
        <v>2019</v>
      </c>
      <c r="B192" s="142" t="s">
        <v>23</v>
      </c>
      <c r="C192" s="142" t="s">
        <v>23</v>
      </c>
      <c r="D192" s="142">
        <v>2982</v>
      </c>
      <c r="E192" s="142">
        <v>1645</v>
      </c>
      <c r="F192" s="142">
        <v>15459</v>
      </c>
      <c r="G192" s="142">
        <v>16558</v>
      </c>
      <c r="H192" s="142">
        <v>15861</v>
      </c>
      <c r="I192" s="142">
        <v>3570</v>
      </c>
      <c r="J192" s="142">
        <v>468</v>
      </c>
      <c r="K192" s="142" t="s">
        <v>23</v>
      </c>
      <c r="L192" s="142">
        <f t="shared" ref="L192:L193" si="19">SUM(B192:K192)</f>
        <v>56543</v>
      </c>
      <c r="N192" s="142" t="s">
        <v>23</v>
      </c>
      <c r="O192" s="142" t="s">
        <v>23</v>
      </c>
      <c r="P192" s="142" t="s">
        <v>23</v>
      </c>
      <c r="Q192" s="142">
        <v>2</v>
      </c>
      <c r="R192" s="142">
        <v>100</v>
      </c>
      <c r="S192" s="142">
        <v>4</v>
      </c>
      <c r="T192" s="142">
        <v>348</v>
      </c>
      <c r="U192" s="142">
        <v>14</v>
      </c>
      <c r="V192" s="142">
        <v>5</v>
      </c>
      <c r="W192" s="142" t="s">
        <v>23</v>
      </c>
      <c r="X192" s="142">
        <f t="shared" ref="X192:X193" si="20">SUM(N192:W192)</f>
        <v>473</v>
      </c>
    </row>
    <row r="193" spans="1:24" ht="13">
      <c r="A193" s="239" t="s">
        <v>343</v>
      </c>
      <c r="B193" s="142" t="s">
        <v>23</v>
      </c>
      <c r="C193" s="142" t="s">
        <v>23</v>
      </c>
      <c r="D193" s="142" t="s">
        <v>23</v>
      </c>
      <c r="E193" s="142" t="s">
        <v>106</v>
      </c>
      <c r="F193" s="142" t="s">
        <v>106</v>
      </c>
      <c r="G193" s="142">
        <v>19662</v>
      </c>
      <c r="H193" s="142">
        <v>9140</v>
      </c>
      <c r="I193" s="142">
        <v>3945</v>
      </c>
      <c r="J193" s="142">
        <v>2364</v>
      </c>
      <c r="K193" s="142">
        <v>29</v>
      </c>
      <c r="L193" s="142">
        <f t="shared" si="19"/>
        <v>35140</v>
      </c>
      <c r="N193" s="142" t="s">
        <v>23</v>
      </c>
      <c r="O193" s="142" t="s">
        <v>23</v>
      </c>
      <c r="P193" s="142" t="s">
        <v>23</v>
      </c>
      <c r="Q193" s="142" t="s">
        <v>23</v>
      </c>
      <c r="R193" s="142" t="s">
        <v>23</v>
      </c>
      <c r="S193" s="142">
        <v>11</v>
      </c>
      <c r="T193" s="142" t="s">
        <v>23</v>
      </c>
      <c r="U193" s="142" t="s">
        <v>23</v>
      </c>
      <c r="V193" s="142" t="s">
        <v>23</v>
      </c>
      <c r="W193" s="142" t="s">
        <v>23</v>
      </c>
      <c r="X193" s="142">
        <f t="shared" si="20"/>
        <v>11</v>
      </c>
    </row>
    <row r="194" spans="1:24" ht="13">
      <c r="A194" s="239" t="s">
        <v>317</v>
      </c>
      <c r="B194" s="142" t="s">
        <v>23</v>
      </c>
      <c r="C194" s="142" t="s">
        <v>23</v>
      </c>
      <c r="D194" s="142" t="s">
        <v>23</v>
      </c>
      <c r="E194" s="142" t="s">
        <v>23</v>
      </c>
      <c r="F194" s="142">
        <v>3864</v>
      </c>
      <c r="G194" s="142">
        <v>16407</v>
      </c>
      <c r="H194" s="142">
        <v>9065</v>
      </c>
      <c r="I194" s="142">
        <v>3799</v>
      </c>
      <c r="J194" s="142">
        <v>861</v>
      </c>
      <c r="K194" s="142" t="s">
        <v>23</v>
      </c>
      <c r="L194" s="142">
        <f t="shared" si="17"/>
        <v>33996</v>
      </c>
      <c r="N194" s="142" t="s">
        <v>23</v>
      </c>
      <c r="O194" s="142" t="s">
        <v>23</v>
      </c>
      <c r="P194" s="142" t="s">
        <v>23</v>
      </c>
      <c r="Q194" s="142" t="s">
        <v>23</v>
      </c>
      <c r="R194" s="142">
        <v>18</v>
      </c>
      <c r="S194" s="142">
        <v>125</v>
      </c>
      <c r="T194" s="142">
        <v>4</v>
      </c>
      <c r="U194" s="142" t="s">
        <v>23</v>
      </c>
      <c r="V194" s="142" t="s">
        <v>23</v>
      </c>
      <c r="W194" s="142" t="s">
        <v>23</v>
      </c>
      <c r="X194" s="142">
        <f t="shared" si="18"/>
        <v>147</v>
      </c>
    </row>
    <row r="195" spans="1:24" ht="16">
      <c r="N195" s="218"/>
      <c r="O195" s="218"/>
      <c r="P195" s="218"/>
      <c r="Q195" s="218"/>
      <c r="R195" s="218"/>
      <c r="S195" s="218"/>
      <c r="T195" s="218"/>
      <c r="U195" s="218"/>
      <c r="V195" s="218"/>
      <c r="W195" s="218"/>
    </row>
    <row r="196" spans="1:24" ht="16">
      <c r="A196" s="94" t="s">
        <v>20</v>
      </c>
      <c r="N196" s="218"/>
      <c r="O196" s="218"/>
      <c r="P196" s="218"/>
      <c r="Q196" s="218"/>
      <c r="R196" s="218"/>
      <c r="S196" s="218"/>
      <c r="T196" s="218"/>
      <c r="U196" s="218"/>
      <c r="V196" s="218"/>
      <c r="W196" s="218"/>
    </row>
    <row r="197" spans="1:24">
      <c r="A197" s="99">
        <v>1976</v>
      </c>
      <c r="B197" s="142">
        <v>429</v>
      </c>
      <c r="C197" s="142">
        <v>292</v>
      </c>
      <c r="D197" s="142">
        <v>611</v>
      </c>
      <c r="E197" s="142">
        <v>977</v>
      </c>
      <c r="F197" s="142">
        <v>985</v>
      </c>
      <c r="G197" s="142">
        <v>1136</v>
      </c>
      <c r="H197" s="142">
        <v>187</v>
      </c>
      <c r="I197" s="142">
        <v>33</v>
      </c>
      <c r="J197" s="142">
        <v>110</v>
      </c>
      <c r="K197" s="142">
        <v>47</v>
      </c>
      <c r="L197" s="142">
        <f t="shared" ref="L197:L228" si="21">SUM(B197:K197)</f>
        <v>4807</v>
      </c>
      <c r="N197" s="142">
        <v>29</v>
      </c>
      <c r="O197" s="142">
        <v>32</v>
      </c>
      <c r="P197" s="142">
        <v>46</v>
      </c>
      <c r="Q197" s="142">
        <v>196</v>
      </c>
      <c r="R197" s="142">
        <v>194</v>
      </c>
      <c r="S197" s="142">
        <v>137</v>
      </c>
      <c r="T197" s="142">
        <v>7</v>
      </c>
      <c r="U197" s="142">
        <v>0</v>
      </c>
      <c r="V197" s="142">
        <v>0</v>
      </c>
      <c r="W197" s="142">
        <v>0</v>
      </c>
      <c r="X197" s="142">
        <f t="shared" ref="X197:X226" si="22">SUM(N197:W197)</f>
        <v>641</v>
      </c>
    </row>
    <row r="198" spans="1:24">
      <c r="A198" s="99">
        <v>1977</v>
      </c>
      <c r="B198" s="142">
        <v>359</v>
      </c>
      <c r="C198" s="142">
        <v>1121</v>
      </c>
      <c r="D198" s="142">
        <v>1347</v>
      </c>
      <c r="E198" s="142">
        <v>718</v>
      </c>
      <c r="F198" s="142">
        <v>144</v>
      </c>
      <c r="G198" s="142">
        <v>144</v>
      </c>
      <c r="H198" s="142">
        <v>68</v>
      </c>
      <c r="I198" s="142">
        <v>83</v>
      </c>
      <c r="J198" s="142">
        <v>18</v>
      </c>
      <c r="K198" s="142">
        <v>4</v>
      </c>
      <c r="L198" s="142">
        <f t="shared" si="21"/>
        <v>4006</v>
      </c>
      <c r="N198" s="142">
        <v>0</v>
      </c>
      <c r="O198" s="142">
        <v>0</v>
      </c>
      <c r="P198" s="142">
        <v>0</v>
      </c>
      <c r="Q198" s="142">
        <v>0</v>
      </c>
      <c r="R198" s="142">
        <v>0</v>
      </c>
      <c r="S198" s="142">
        <v>0</v>
      </c>
      <c r="T198" s="142">
        <v>0</v>
      </c>
      <c r="U198" s="142">
        <v>0</v>
      </c>
      <c r="V198" s="142">
        <v>0</v>
      </c>
      <c r="W198" s="142">
        <v>0</v>
      </c>
      <c r="X198" s="142">
        <f t="shared" si="22"/>
        <v>0</v>
      </c>
    </row>
    <row r="199" spans="1:24">
      <c r="A199" s="99">
        <v>1978</v>
      </c>
      <c r="B199" s="142">
        <v>168</v>
      </c>
      <c r="C199" s="142">
        <v>258</v>
      </c>
      <c r="D199" s="142">
        <v>298</v>
      </c>
      <c r="E199" s="142">
        <v>239</v>
      </c>
      <c r="F199" s="142">
        <v>560</v>
      </c>
      <c r="G199" s="142">
        <v>220</v>
      </c>
      <c r="H199" s="142">
        <v>40</v>
      </c>
      <c r="I199" s="142">
        <v>9</v>
      </c>
      <c r="J199" s="142">
        <v>14</v>
      </c>
      <c r="K199" s="142">
        <v>3</v>
      </c>
      <c r="L199" s="142">
        <f t="shared" si="21"/>
        <v>1809</v>
      </c>
      <c r="N199" s="142">
        <v>0</v>
      </c>
      <c r="O199" s="142">
        <v>0</v>
      </c>
      <c r="P199" s="142">
        <v>0</v>
      </c>
      <c r="Q199" s="142">
        <v>0</v>
      </c>
      <c r="R199" s="142">
        <v>12</v>
      </c>
      <c r="S199" s="142">
        <v>6</v>
      </c>
      <c r="T199" s="142">
        <v>26</v>
      </c>
      <c r="U199" s="142">
        <v>0</v>
      </c>
      <c r="V199" s="142">
        <v>0</v>
      </c>
      <c r="W199" s="142">
        <v>0</v>
      </c>
      <c r="X199" s="142">
        <f t="shared" si="22"/>
        <v>44</v>
      </c>
    </row>
    <row r="200" spans="1:24">
      <c r="A200" s="99">
        <v>1979</v>
      </c>
      <c r="B200" s="142">
        <v>1047</v>
      </c>
      <c r="C200" s="142">
        <v>1409</v>
      </c>
      <c r="D200" s="142">
        <v>3058</v>
      </c>
      <c r="E200" s="142">
        <v>113</v>
      </c>
      <c r="F200" s="142">
        <v>34</v>
      </c>
      <c r="G200" s="142">
        <v>153</v>
      </c>
      <c r="H200" s="142">
        <v>83</v>
      </c>
      <c r="I200" s="142">
        <v>31</v>
      </c>
      <c r="J200" s="142">
        <v>1</v>
      </c>
      <c r="K200" s="142">
        <v>0</v>
      </c>
      <c r="L200" s="142">
        <f t="shared" si="21"/>
        <v>5929</v>
      </c>
      <c r="N200" s="142">
        <v>0</v>
      </c>
      <c r="O200" s="142">
        <v>0</v>
      </c>
      <c r="P200" s="142">
        <v>0</v>
      </c>
      <c r="Q200" s="142">
        <v>0</v>
      </c>
      <c r="R200" s="142">
        <v>7</v>
      </c>
      <c r="S200" s="142">
        <v>2</v>
      </c>
      <c r="T200" s="142">
        <v>0</v>
      </c>
      <c r="U200" s="142">
        <v>0</v>
      </c>
      <c r="V200" s="142">
        <v>0</v>
      </c>
      <c r="W200" s="142" t="s">
        <v>23</v>
      </c>
      <c r="X200" s="142">
        <f t="shared" si="22"/>
        <v>9</v>
      </c>
    </row>
    <row r="201" spans="1:24">
      <c r="A201" s="99">
        <v>1980</v>
      </c>
      <c r="B201" s="142">
        <v>460</v>
      </c>
      <c r="C201" s="142">
        <v>503</v>
      </c>
      <c r="D201" s="142">
        <v>1145</v>
      </c>
      <c r="E201" s="142">
        <v>232</v>
      </c>
      <c r="F201" s="142">
        <v>935</v>
      </c>
      <c r="G201" s="142">
        <v>532</v>
      </c>
      <c r="H201" s="142">
        <v>84</v>
      </c>
      <c r="I201" s="142">
        <v>47</v>
      </c>
      <c r="J201" s="142">
        <v>82</v>
      </c>
      <c r="K201" s="142">
        <v>0</v>
      </c>
      <c r="L201" s="142">
        <f t="shared" si="21"/>
        <v>4020</v>
      </c>
      <c r="N201" s="142">
        <v>0</v>
      </c>
      <c r="O201" s="142">
        <v>0</v>
      </c>
      <c r="P201" s="142">
        <v>0</v>
      </c>
      <c r="Q201" s="142">
        <v>0</v>
      </c>
      <c r="R201" s="142">
        <v>1</v>
      </c>
      <c r="S201" s="142">
        <v>0</v>
      </c>
      <c r="T201" s="142">
        <v>0</v>
      </c>
      <c r="U201" s="142">
        <v>0</v>
      </c>
      <c r="V201" s="142">
        <v>0</v>
      </c>
      <c r="W201" s="142" t="s">
        <v>23</v>
      </c>
      <c r="X201" s="142">
        <f t="shared" si="22"/>
        <v>1</v>
      </c>
    </row>
    <row r="202" spans="1:24">
      <c r="A202" s="99">
        <v>1981</v>
      </c>
      <c r="B202" s="142">
        <v>422</v>
      </c>
      <c r="C202" s="142">
        <v>634</v>
      </c>
      <c r="D202" s="142">
        <v>1660</v>
      </c>
      <c r="E202" s="142">
        <v>84</v>
      </c>
      <c r="F202" s="142">
        <v>31</v>
      </c>
      <c r="G202" s="142">
        <v>452</v>
      </c>
      <c r="H202" s="142">
        <v>185</v>
      </c>
      <c r="I202" s="142">
        <v>14</v>
      </c>
      <c r="J202" s="142">
        <v>51</v>
      </c>
      <c r="K202" s="142">
        <v>210</v>
      </c>
      <c r="L202" s="142">
        <f t="shared" si="21"/>
        <v>3743</v>
      </c>
      <c r="N202" s="142">
        <v>0</v>
      </c>
      <c r="O202" s="142">
        <v>0</v>
      </c>
      <c r="P202" s="142">
        <v>0</v>
      </c>
      <c r="Q202" s="142">
        <v>0</v>
      </c>
      <c r="R202" s="142">
        <v>0</v>
      </c>
      <c r="S202" s="142">
        <v>0</v>
      </c>
      <c r="T202" s="142">
        <v>0</v>
      </c>
      <c r="U202" s="142">
        <v>0</v>
      </c>
      <c r="V202" s="142">
        <v>0</v>
      </c>
      <c r="W202" s="142">
        <v>0</v>
      </c>
      <c r="X202" s="142">
        <f t="shared" si="22"/>
        <v>0</v>
      </c>
    </row>
    <row r="203" spans="1:24">
      <c r="A203" s="99">
        <v>1982</v>
      </c>
      <c r="B203" s="142">
        <v>660</v>
      </c>
      <c r="C203" s="142">
        <v>1256</v>
      </c>
      <c r="D203" s="142">
        <v>2053</v>
      </c>
      <c r="E203" s="142">
        <v>284</v>
      </c>
      <c r="F203" s="142">
        <v>401</v>
      </c>
      <c r="G203" s="142">
        <v>470</v>
      </c>
      <c r="H203" s="142">
        <v>387</v>
      </c>
      <c r="I203" s="142">
        <v>68</v>
      </c>
      <c r="J203" s="142">
        <v>7</v>
      </c>
      <c r="K203" s="142">
        <v>0</v>
      </c>
      <c r="L203" s="142">
        <f t="shared" si="21"/>
        <v>5586</v>
      </c>
      <c r="N203" s="142">
        <v>0</v>
      </c>
      <c r="O203" s="142">
        <v>0</v>
      </c>
      <c r="P203" s="142">
        <v>0</v>
      </c>
      <c r="Q203" s="142">
        <v>7</v>
      </c>
      <c r="R203" s="142">
        <v>67</v>
      </c>
      <c r="S203" s="142">
        <v>4</v>
      </c>
      <c r="T203" s="142">
        <v>6</v>
      </c>
      <c r="U203" s="142">
        <v>0</v>
      </c>
      <c r="V203" s="142">
        <v>0</v>
      </c>
      <c r="W203" s="142">
        <v>0</v>
      </c>
      <c r="X203" s="142">
        <f t="shared" si="22"/>
        <v>84</v>
      </c>
    </row>
    <row r="204" spans="1:24">
      <c r="A204" s="99">
        <v>1983</v>
      </c>
      <c r="B204" s="142">
        <v>295</v>
      </c>
      <c r="C204" s="142">
        <v>80</v>
      </c>
      <c r="D204" s="142">
        <v>978</v>
      </c>
      <c r="E204" s="142">
        <v>1049</v>
      </c>
      <c r="F204" s="142">
        <v>355</v>
      </c>
      <c r="G204" s="142">
        <v>432</v>
      </c>
      <c r="H204" s="142">
        <v>29</v>
      </c>
      <c r="I204" s="142">
        <v>10</v>
      </c>
      <c r="J204" s="142">
        <v>15</v>
      </c>
      <c r="K204" s="142">
        <v>0</v>
      </c>
      <c r="L204" s="142">
        <f t="shared" si="21"/>
        <v>3243</v>
      </c>
      <c r="N204" s="142">
        <v>0</v>
      </c>
      <c r="O204" s="142">
        <v>0</v>
      </c>
      <c r="P204" s="142">
        <v>48</v>
      </c>
      <c r="Q204" s="142">
        <v>5</v>
      </c>
      <c r="R204" s="142">
        <v>6</v>
      </c>
      <c r="S204" s="142">
        <v>13</v>
      </c>
      <c r="T204" s="142">
        <v>0</v>
      </c>
      <c r="U204" s="142">
        <v>0</v>
      </c>
      <c r="V204" s="142">
        <v>0</v>
      </c>
      <c r="W204" s="142">
        <v>0</v>
      </c>
      <c r="X204" s="142">
        <f t="shared" si="22"/>
        <v>72</v>
      </c>
    </row>
    <row r="205" spans="1:24">
      <c r="A205" s="99">
        <v>1984</v>
      </c>
      <c r="B205" s="142">
        <v>15</v>
      </c>
      <c r="C205" s="142">
        <v>75</v>
      </c>
      <c r="D205" s="142">
        <v>2709</v>
      </c>
      <c r="E205" s="142">
        <v>646</v>
      </c>
      <c r="F205" s="142">
        <v>676</v>
      </c>
      <c r="G205" s="142">
        <v>1083</v>
      </c>
      <c r="H205" s="142">
        <v>208</v>
      </c>
      <c r="I205" s="142">
        <v>6</v>
      </c>
      <c r="J205" s="142">
        <v>15</v>
      </c>
      <c r="K205" s="142">
        <v>4</v>
      </c>
      <c r="L205" s="142">
        <f t="shared" si="21"/>
        <v>5437</v>
      </c>
      <c r="N205" s="142">
        <v>0</v>
      </c>
      <c r="O205" s="142">
        <v>0</v>
      </c>
      <c r="P205" s="142">
        <v>2</v>
      </c>
      <c r="Q205" s="142">
        <v>38</v>
      </c>
      <c r="R205" s="142">
        <v>12</v>
      </c>
      <c r="S205" s="142">
        <v>32</v>
      </c>
      <c r="T205" s="142">
        <v>85</v>
      </c>
      <c r="U205" s="142">
        <v>0</v>
      </c>
      <c r="V205" s="142">
        <v>0</v>
      </c>
      <c r="W205" s="142">
        <v>0</v>
      </c>
      <c r="X205" s="142">
        <f t="shared" si="22"/>
        <v>169</v>
      </c>
    </row>
    <row r="206" spans="1:24">
      <c r="A206" s="99">
        <v>1985</v>
      </c>
      <c r="B206" s="142">
        <v>1648</v>
      </c>
      <c r="C206" s="142">
        <v>5186</v>
      </c>
      <c r="D206" s="142">
        <v>1256</v>
      </c>
      <c r="E206" s="142">
        <v>157</v>
      </c>
      <c r="F206" s="142">
        <v>240</v>
      </c>
      <c r="G206" s="142">
        <v>405</v>
      </c>
      <c r="H206" s="142">
        <v>371</v>
      </c>
      <c r="I206" s="142">
        <v>13</v>
      </c>
      <c r="J206" s="142">
        <v>0</v>
      </c>
      <c r="K206" s="142">
        <v>0</v>
      </c>
      <c r="L206" s="142">
        <f t="shared" si="21"/>
        <v>9276</v>
      </c>
      <c r="N206" s="142">
        <v>0</v>
      </c>
      <c r="O206" s="142">
        <v>0</v>
      </c>
      <c r="P206" s="142">
        <v>0</v>
      </c>
      <c r="Q206" s="142">
        <v>3</v>
      </c>
      <c r="R206" s="142">
        <v>2</v>
      </c>
      <c r="S206" s="142">
        <v>10</v>
      </c>
      <c r="T206" s="142">
        <v>9</v>
      </c>
      <c r="U206" s="142">
        <v>0</v>
      </c>
      <c r="V206" s="142">
        <v>0</v>
      </c>
      <c r="W206" s="142">
        <v>0</v>
      </c>
      <c r="X206" s="142">
        <f t="shared" si="22"/>
        <v>24</v>
      </c>
    </row>
    <row r="207" spans="1:24">
      <c r="A207" s="99">
        <v>1986</v>
      </c>
      <c r="B207" s="142">
        <v>135</v>
      </c>
      <c r="C207" s="142">
        <v>3840</v>
      </c>
      <c r="D207" s="142">
        <v>12055</v>
      </c>
      <c r="E207" s="142">
        <v>1315</v>
      </c>
      <c r="F207" s="142">
        <v>3960</v>
      </c>
      <c r="G207" s="142">
        <v>5367</v>
      </c>
      <c r="H207" s="142">
        <v>1198</v>
      </c>
      <c r="I207" s="142">
        <v>367</v>
      </c>
      <c r="J207" s="142">
        <v>312</v>
      </c>
      <c r="K207" s="142">
        <v>9</v>
      </c>
      <c r="L207" s="142">
        <f t="shared" si="21"/>
        <v>28558</v>
      </c>
      <c r="N207" s="142">
        <v>0</v>
      </c>
      <c r="O207" s="142">
        <v>0</v>
      </c>
      <c r="P207" s="142">
        <v>0</v>
      </c>
      <c r="Q207" s="142">
        <v>0</v>
      </c>
      <c r="R207" s="142">
        <v>24</v>
      </c>
      <c r="S207" s="142">
        <v>1</v>
      </c>
      <c r="T207" s="142">
        <v>5</v>
      </c>
      <c r="U207" s="142">
        <v>0</v>
      </c>
      <c r="V207" s="142">
        <v>0</v>
      </c>
      <c r="W207" s="142">
        <v>0</v>
      </c>
      <c r="X207" s="142">
        <f t="shared" si="22"/>
        <v>30</v>
      </c>
    </row>
    <row r="208" spans="1:24">
      <c r="A208" s="99">
        <v>1987</v>
      </c>
      <c r="B208" s="142">
        <v>1719</v>
      </c>
      <c r="C208" s="142">
        <v>6690</v>
      </c>
      <c r="D208" s="142">
        <v>2403</v>
      </c>
      <c r="E208" s="142">
        <v>1410</v>
      </c>
      <c r="F208" s="142">
        <v>3454</v>
      </c>
      <c r="G208" s="142">
        <v>12689</v>
      </c>
      <c r="H208" s="142">
        <v>4484</v>
      </c>
      <c r="I208" s="142">
        <v>391</v>
      </c>
      <c r="J208" s="142">
        <v>74</v>
      </c>
      <c r="K208" s="142">
        <v>6</v>
      </c>
      <c r="L208" s="142">
        <f t="shared" si="21"/>
        <v>33320</v>
      </c>
      <c r="N208" s="142">
        <v>0</v>
      </c>
      <c r="O208" s="142">
        <v>0</v>
      </c>
      <c r="P208" s="142">
        <v>0</v>
      </c>
      <c r="Q208" s="142">
        <v>0</v>
      </c>
      <c r="R208" s="142">
        <v>0</v>
      </c>
      <c r="S208" s="142">
        <v>6</v>
      </c>
      <c r="T208" s="142">
        <v>0</v>
      </c>
      <c r="U208" s="142">
        <v>3</v>
      </c>
      <c r="V208" s="142">
        <v>0</v>
      </c>
      <c r="W208" s="142">
        <v>0</v>
      </c>
      <c r="X208" s="142">
        <f t="shared" si="22"/>
        <v>9</v>
      </c>
    </row>
    <row r="209" spans="1:24">
      <c r="A209" s="99">
        <v>1988</v>
      </c>
      <c r="B209" s="142">
        <v>1484</v>
      </c>
      <c r="C209" s="142">
        <v>2238</v>
      </c>
      <c r="D209" s="142">
        <v>3865</v>
      </c>
      <c r="E209" s="142">
        <v>1898</v>
      </c>
      <c r="F209" s="142">
        <v>2908</v>
      </c>
      <c r="G209" s="142">
        <v>3293</v>
      </c>
      <c r="H209" s="142">
        <v>228</v>
      </c>
      <c r="I209" s="142">
        <v>5</v>
      </c>
      <c r="J209" s="142">
        <v>0</v>
      </c>
      <c r="K209" s="142">
        <v>0</v>
      </c>
      <c r="L209" s="142">
        <f t="shared" si="21"/>
        <v>15919</v>
      </c>
      <c r="N209" s="142">
        <v>0</v>
      </c>
      <c r="O209" s="142">
        <v>0</v>
      </c>
      <c r="P209" s="142">
        <v>0</v>
      </c>
      <c r="Q209" s="142">
        <v>7</v>
      </c>
      <c r="R209" s="142">
        <v>37</v>
      </c>
      <c r="S209" s="142">
        <v>0</v>
      </c>
      <c r="T209" s="142">
        <v>0</v>
      </c>
      <c r="U209" s="142">
        <v>0</v>
      </c>
      <c r="V209" s="142">
        <v>0</v>
      </c>
      <c r="W209" s="142">
        <v>0</v>
      </c>
      <c r="X209" s="142">
        <f t="shared" si="22"/>
        <v>44</v>
      </c>
    </row>
    <row r="210" spans="1:24">
      <c r="A210" s="99">
        <v>1989</v>
      </c>
      <c r="B210" s="142">
        <v>629</v>
      </c>
      <c r="C210" s="142">
        <v>4500</v>
      </c>
      <c r="D210" s="142">
        <v>22143</v>
      </c>
      <c r="E210" s="142">
        <v>1507</v>
      </c>
      <c r="F210" s="142">
        <v>1960</v>
      </c>
      <c r="G210" s="142">
        <v>4694</v>
      </c>
      <c r="H210" s="142">
        <v>1768</v>
      </c>
      <c r="I210" s="142">
        <v>25</v>
      </c>
      <c r="J210" s="142">
        <v>16</v>
      </c>
      <c r="K210" s="142">
        <v>6</v>
      </c>
      <c r="L210" s="142">
        <f t="shared" si="21"/>
        <v>37248</v>
      </c>
      <c r="N210" s="142">
        <v>0</v>
      </c>
      <c r="O210" s="142">
        <v>0</v>
      </c>
      <c r="P210" s="142">
        <v>0</v>
      </c>
      <c r="Q210" s="142">
        <v>0</v>
      </c>
      <c r="R210" s="142">
        <v>170</v>
      </c>
      <c r="S210" s="142">
        <v>17</v>
      </c>
      <c r="T210" s="142">
        <v>29</v>
      </c>
      <c r="U210" s="142">
        <v>0</v>
      </c>
      <c r="V210" s="142">
        <v>0</v>
      </c>
      <c r="W210" s="142">
        <v>0</v>
      </c>
      <c r="X210" s="142">
        <f t="shared" si="22"/>
        <v>216</v>
      </c>
    </row>
    <row r="211" spans="1:24">
      <c r="A211" s="99">
        <v>1990</v>
      </c>
      <c r="B211" s="142">
        <v>1632</v>
      </c>
      <c r="C211" s="142">
        <v>4290</v>
      </c>
      <c r="D211" s="142">
        <v>6569</v>
      </c>
      <c r="E211" s="142">
        <v>682</v>
      </c>
      <c r="F211" s="142">
        <v>8350</v>
      </c>
      <c r="G211" s="142">
        <v>11291</v>
      </c>
      <c r="H211" s="142">
        <v>844</v>
      </c>
      <c r="I211" s="142">
        <v>49</v>
      </c>
      <c r="J211" s="142">
        <v>243</v>
      </c>
      <c r="K211" s="142">
        <v>1103</v>
      </c>
      <c r="L211" s="142">
        <f t="shared" si="21"/>
        <v>35053</v>
      </c>
      <c r="N211" s="142">
        <v>0</v>
      </c>
      <c r="O211" s="142">
        <v>0</v>
      </c>
      <c r="P211" s="142">
        <v>88</v>
      </c>
      <c r="Q211" s="142">
        <v>67</v>
      </c>
      <c r="R211" s="142">
        <v>276</v>
      </c>
      <c r="S211" s="142">
        <v>694</v>
      </c>
      <c r="T211" s="142">
        <v>108</v>
      </c>
      <c r="U211" s="142">
        <v>0</v>
      </c>
      <c r="V211" s="142">
        <v>0</v>
      </c>
      <c r="W211" s="142">
        <v>0</v>
      </c>
      <c r="X211" s="142">
        <f t="shared" si="22"/>
        <v>1233</v>
      </c>
    </row>
    <row r="212" spans="1:24">
      <c r="A212" s="99">
        <v>1991</v>
      </c>
      <c r="B212" s="142">
        <v>8</v>
      </c>
      <c r="C212" s="142">
        <v>4773</v>
      </c>
      <c r="D212" s="142">
        <v>6944</v>
      </c>
      <c r="E212" s="142">
        <v>872</v>
      </c>
      <c r="F212" s="142">
        <v>3736</v>
      </c>
      <c r="G212" s="142">
        <v>6850</v>
      </c>
      <c r="H212" s="142">
        <v>358</v>
      </c>
      <c r="I212" s="142">
        <v>85</v>
      </c>
      <c r="J212" s="142">
        <v>1204</v>
      </c>
      <c r="K212" s="48" t="s">
        <v>106</v>
      </c>
      <c r="L212" s="142">
        <f t="shared" si="21"/>
        <v>24830</v>
      </c>
      <c r="N212" s="142">
        <v>0</v>
      </c>
      <c r="O212" s="142">
        <v>0</v>
      </c>
      <c r="P212" s="142">
        <v>0</v>
      </c>
      <c r="Q212" s="142">
        <v>49</v>
      </c>
      <c r="R212" s="142">
        <v>1014</v>
      </c>
      <c r="S212" s="142">
        <v>1657</v>
      </c>
      <c r="T212" s="142">
        <v>156</v>
      </c>
      <c r="U212" s="142">
        <v>0</v>
      </c>
      <c r="V212" s="142">
        <v>17</v>
      </c>
      <c r="W212" s="142" t="s">
        <v>23</v>
      </c>
      <c r="X212" s="142">
        <f t="shared" si="22"/>
        <v>2893</v>
      </c>
    </row>
    <row r="213" spans="1:24">
      <c r="A213" s="99">
        <v>1992</v>
      </c>
      <c r="B213" s="142">
        <v>386</v>
      </c>
      <c r="C213" s="142">
        <v>2646</v>
      </c>
      <c r="D213" s="142">
        <v>4495</v>
      </c>
      <c r="E213" s="142">
        <v>1413</v>
      </c>
      <c r="F213" s="142">
        <v>2797</v>
      </c>
      <c r="G213" s="142">
        <v>5874</v>
      </c>
      <c r="H213" s="142">
        <v>1183</v>
      </c>
      <c r="I213" s="142">
        <v>168</v>
      </c>
      <c r="J213" s="142">
        <v>192</v>
      </c>
      <c r="K213" s="142">
        <v>372</v>
      </c>
      <c r="L213" s="142">
        <f t="shared" si="21"/>
        <v>19526</v>
      </c>
      <c r="N213" s="142">
        <v>0</v>
      </c>
      <c r="O213" s="142">
        <v>0</v>
      </c>
      <c r="P213" s="142">
        <v>0</v>
      </c>
      <c r="Q213" s="142">
        <v>0</v>
      </c>
      <c r="R213" s="142">
        <v>175</v>
      </c>
      <c r="S213" s="142">
        <v>20</v>
      </c>
      <c r="T213" s="142">
        <v>0</v>
      </c>
      <c r="U213" s="142">
        <v>0</v>
      </c>
      <c r="V213" s="142">
        <v>0</v>
      </c>
      <c r="W213" s="142">
        <v>0</v>
      </c>
      <c r="X213" s="142">
        <f t="shared" si="22"/>
        <v>195</v>
      </c>
    </row>
    <row r="214" spans="1:24">
      <c r="A214" s="99">
        <v>1993</v>
      </c>
      <c r="B214" s="142">
        <v>252</v>
      </c>
      <c r="C214" s="142">
        <v>5094</v>
      </c>
      <c r="D214" s="142">
        <v>9530</v>
      </c>
      <c r="E214" s="142">
        <v>2022</v>
      </c>
      <c r="F214" s="142">
        <v>490</v>
      </c>
      <c r="G214" s="142">
        <v>2694</v>
      </c>
      <c r="H214" s="142">
        <v>407</v>
      </c>
      <c r="I214" s="142">
        <v>41</v>
      </c>
      <c r="J214" s="142">
        <v>54</v>
      </c>
      <c r="K214" s="142" t="s">
        <v>23</v>
      </c>
      <c r="L214" s="142">
        <f t="shared" si="21"/>
        <v>20584</v>
      </c>
      <c r="N214" s="142" t="s">
        <v>23</v>
      </c>
      <c r="O214" s="142" t="s">
        <v>23</v>
      </c>
      <c r="P214" s="142" t="s">
        <v>23</v>
      </c>
      <c r="Q214" s="142">
        <v>12</v>
      </c>
      <c r="R214" s="142">
        <v>30</v>
      </c>
      <c r="S214" s="142">
        <v>107</v>
      </c>
      <c r="T214" s="142">
        <v>8</v>
      </c>
      <c r="U214" s="142" t="s">
        <v>23</v>
      </c>
      <c r="V214" s="142" t="s">
        <v>23</v>
      </c>
      <c r="W214" s="142" t="s">
        <v>23</v>
      </c>
      <c r="X214" s="142">
        <f t="shared" si="22"/>
        <v>157</v>
      </c>
    </row>
    <row r="215" spans="1:24">
      <c r="A215" s="99">
        <v>1994</v>
      </c>
      <c r="B215" s="142">
        <v>523</v>
      </c>
      <c r="C215" s="142">
        <v>3188</v>
      </c>
      <c r="D215" s="142">
        <v>6654</v>
      </c>
      <c r="E215" s="142">
        <v>1860</v>
      </c>
      <c r="F215" s="142">
        <v>3833</v>
      </c>
      <c r="G215" s="142">
        <v>3937</v>
      </c>
      <c r="H215" s="142">
        <v>1352</v>
      </c>
      <c r="I215" s="142">
        <v>809</v>
      </c>
      <c r="J215" s="142">
        <v>2679</v>
      </c>
      <c r="K215" s="142" t="s">
        <v>23</v>
      </c>
      <c r="L215" s="142">
        <f t="shared" si="21"/>
        <v>24835</v>
      </c>
      <c r="N215" s="142" t="s">
        <v>23</v>
      </c>
      <c r="O215" s="142">
        <v>0</v>
      </c>
      <c r="P215" s="142">
        <v>0</v>
      </c>
      <c r="Q215" s="142">
        <v>0</v>
      </c>
      <c r="R215" s="142">
        <v>3</v>
      </c>
      <c r="S215" s="142">
        <v>3</v>
      </c>
      <c r="T215" s="142">
        <v>0</v>
      </c>
      <c r="U215" s="142">
        <v>0</v>
      </c>
      <c r="V215" s="142">
        <v>0</v>
      </c>
      <c r="W215" s="142" t="s">
        <v>23</v>
      </c>
      <c r="X215" s="142">
        <f t="shared" si="22"/>
        <v>6</v>
      </c>
    </row>
    <row r="216" spans="1:24">
      <c r="A216" s="99">
        <v>1995</v>
      </c>
      <c r="B216" s="142" t="s">
        <v>23</v>
      </c>
      <c r="C216" s="142">
        <v>14305</v>
      </c>
      <c r="D216" s="142">
        <v>42913</v>
      </c>
      <c r="E216" s="142">
        <v>31117</v>
      </c>
      <c r="F216" s="142">
        <v>27015</v>
      </c>
      <c r="G216" s="142">
        <v>74096</v>
      </c>
      <c r="H216" s="142">
        <v>9293</v>
      </c>
      <c r="I216" s="142">
        <v>136</v>
      </c>
      <c r="J216" s="48" t="s">
        <v>106</v>
      </c>
      <c r="K216" s="142" t="s">
        <v>23</v>
      </c>
      <c r="L216" s="142">
        <f t="shared" si="21"/>
        <v>198875</v>
      </c>
      <c r="N216" s="142" t="s">
        <v>23</v>
      </c>
      <c r="O216" s="142">
        <v>0</v>
      </c>
      <c r="P216" s="142">
        <v>6</v>
      </c>
      <c r="Q216" s="142">
        <v>0</v>
      </c>
      <c r="R216" s="142">
        <v>5</v>
      </c>
      <c r="S216" s="142">
        <v>17</v>
      </c>
      <c r="T216" s="142">
        <v>5</v>
      </c>
      <c r="U216" s="142">
        <v>0</v>
      </c>
      <c r="V216" s="142" t="s">
        <v>23</v>
      </c>
      <c r="W216" s="142" t="s">
        <v>23</v>
      </c>
      <c r="X216" s="142">
        <f t="shared" si="22"/>
        <v>33</v>
      </c>
    </row>
    <row r="217" spans="1:24">
      <c r="A217" s="99">
        <v>1996</v>
      </c>
      <c r="B217" s="142" t="s">
        <v>23</v>
      </c>
      <c r="C217" s="142">
        <v>10294</v>
      </c>
      <c r="D217" s="142">
        <v>16068</v>
      </c>
      <c r="E217" s="142">
        <v>5221</v>
      </c>
      <c r="F217" s="142">
        <v>2261</v>
      </c>
      <c r="G217" s="142">
        <v>7809</v>
      </c>
      <c r="H217" s="142">
        <v>3159</v>
      </c>
      <c r="I217" s="142" t="s">
        <v>23</v>
      </c>
      <c r="J217" s="142" t="s">
        <v>23</v>
      </c>
      <c r="K217" s="142" t="s">
        <v>23</v>
      </c>
      <c r="L217" s="142">
        <f t="shared" si="21"/>
        <v>44812</v>
      </c>
      <c r="N217" s="142" t="s">
        <v>23</v>
      </c>
      <c r="O217" s="142" t="s">
        <v>23</v>
      </c>
      <c r="P217" s="142" t="s">
        <v>23</v>
      </c>
      <c r="Q217" s="142" t="s">
        <v>23</v>
      </c>
      <c r="R217" s="142" t="s">
        <v>23</v>
      </c>
      <c r="S217" s="142" t="s">
        <v>23</v>
      </c>
      <c r="T217" s="142" t="s">
        <v>23</v>
      </c>
      <c r="U217" s="142" t="s">
        <v>23</v>
      </c>
      <c r="V217" s="142" t="s">
        <v>23</v>
      </c>
      <c r="W217" s="142" t="s">
        <v>23</v>
      </c>
      <c r="X217" s="142">
        <f t="shared" si="22"/>
        <v>0</v>
      </c>
    </row>
    <row r="218" spans="1:24">
      <c r="A218" s="99">
        <v>1997</v>
      </c>
      <c r="B218" s="142" t="s">
        <v>23</v>
      </c>
      <c r="C218" s="142">
        <v>16941</v>
      </c>
      <c r="D218" s="142">
        <v>15424</v>
      </c>
      <c r="E218" s="142">
        <v>4168</v>
      </c>
      <c r="F218" s="142">
        <v>26355</v>
      </c>
      <c r="G218" s="142">
        <v>19974</v>
      </c>
      <c r="H218" s="142">
        <v>1470</v>
      </c>
      <c r="I218" s="142">
        <v>95</v>
      </c>
      <c r="J218" s="48" t="s">
        <v>106</v>
      </c>
      <c r="K218" s="142" t="s">
        <v>23</v>
      </c>
      <c r="L218" s="142">
        <f t="shared" si="21"/>
        <v>84427</v>
      </c>
      <c r="N218" s="142" t="s">
        <v>23</v>
      </c>
      <c r="O218" s="142" t="s">
        <v>23</v>
      </c>
      <c r="P218" s="142" t="s">
        <v>23</v>
      </c>
      <c r="Q218" s="142" t="s">
        <v>23</v>
      </c>
      <c r="R218" s="142">
        <v>9</v>
      </c>
      <c r="S218" s="142">
        <v>21</v>
      </c>
      <c r="T218" s="142" t="s">
        <v>23</v>
      </c>
      <c r="U218" s="142" t="s">
        <v>23</v>
      </c>
      <c r="V218" s="142" t="s">
        <v>23</v>
      </c>
      <c r="W218" s="142" t="s">
        <v>23</v>
      </c>
      <c r="X218" s="142">
        <f t="shared" si="22"/>
        <v>30</v>
      </c>
    </row>
    <row r="219" spans="1:24">
      <c r="A219" s="99">
        <v>1998</v>
      </c>
      <c r="B219" s="142" t="s">
        <v>23</v>
      </c>
      <c r="C219" s="142">
        <v>2869</v>
      </c>
      <c r="D219" s="142">
        <v>9382</v>
      </c>
      <c r="E219" s="142">
        <v>10262</v>
      </c>
      <c r="F219" s="142">
        <v>10959</v>
      </c>
      <c r="G219" s="142">
        <v>9033</v>
      </c>
      <c r="H219" s="142">
        <v>901</v>
      </c>
      <c r="I219" s="142">
        <v>62</v>
      </c>
      <c r="J219" s="142" t="s">
        <v>23</v>
      </c>
      <c r="K219" s="142" t="s">
        <v>23</v>
      </c>
      <c r="L219" s="142">
        <f t="shared" si="21"/>
        <v>43468</v>
      </c>
      <c r="N219" s="142" t="s">
        <v>23</v>
      </c>
      <c r="O219" s="142" t="s">
        <v>23</v>
      </c>
      <c r="P219" s="142" t="s">
        <v>23</v>
      </c>
      <c r="Q219" s="142" t="s">
        <v>23</v>
      </c>
      <c r="R219" s="142">
        <v>4</v>
      </c>
      <c r="S219" s="142">
        <v>5</v>
      </c>
      <c r="T219" s="142" t="s">
        <v>23</v>
      </c>
      <c r="U219" s="142" t="s">
        <v>23</v>
      </c>
      <c r="V219" s="142" t="s">
        <v>23</v>
      </c>
      <c r="W219" s="142" t="s">
        <v>23</v>
      </c>
      <c r="X219" s="142">
        <f t="shared" si="22"/>
        <v>9</v>
      </c>
    </row>
    <row r="220" spans="1:24">
      <c r="A220" s="99">
        <v>1999</v>
      </c>
      <c r="B220" s="142" t="s">
        <v>23</v>
      </c>
      <c r="C220" s="142">
        <v>946</v>
      </c>
      <c r="D220" s="142">
        <v>349</v>
      </c>
      <c r="E220" s="142">
        <v>271</v>
      </c>
      <c r="F220" s="142">
        <v>2277</v>
      </c>
      <c r="G220" s="142">
        <v>2101</v>
      </c>
      <c r="H220" s="142">
        <v>1052</v>
      </c>
      <c r="I220" s="142">
        <v>144</v>
      </c>
      <c r="J220" s="142" t="s">
        <v>23</v>
      </c>
      <c r="K220" s="142" t="s">
        <v>23</v>
      </c>
      <c r="L220" s="142">
        <f t="shared" si="21"/>
        <v>7140</v>
      </c>
      <c r="N220" s="142" t="s">
        <v>23</v>
      </c>
      <c r="O220" s="142" t="s">
        <v>23</v>
      </c>
      <c r="P220" s="142" t="s">
        <v>23</v>
      </c>
      <c r="Q220" s="142" t="s">
        <v>23</v>
      </c>
      <c r="R220" s="142" t="s">
        <v>23</v>
      </c>
      <c r="S220" s="142" t="s">
        <v>23</v>
      </c>
      <c r="T220" s="142" t="s">
        <v>23</v>
      </c>
      <c r="U220" s="142" t="s">
        <v>23</v>
      </c>
      <c r="V220" s="142" t="s">
        <v>23</v>
      </c>
      <c r="W220" s="142" t="s">
        <v>23</v>
      </c>
      <c r="X220" s="142">
        <f t="shared" si="22"/>
        <v>0</v>
      </c>
    </row>
    <row r="221" spans="1:24">
      <c r="A221" s="99">
        <v>2000</v>
      </c>
      <c r="B221" s="142" t="s">
        <v>23</v>
      </c>
      <c r="C221" s="142" t="s">
        <v>23</v>
      </c>
      <c r="D221" s="142">
        <v>33927</v>
      </c>
      <c r="E221" s="142">
        <v>19178</v>
      </c>
      <c r="F221" s="142">
        <v>13261</v>
      </c>
      <c r="G221" s="142">
        <v>10799</v>
      </c>
      <c r="H221" s="142">
        <v>2960</v>
      </c>
      <c r="I221" s="142">
        <v>1657</v>
      </c>
      <c r="J221" s="142" t="s">
        <v>23</v>
      </c>
      <c r="K221" s="142" t="s">
        <v>23</v>
      </c>
      <c r="L221" s="142">
        <f t="shared" si="21"/>
        <v>81782</v>
      </c>
      <c r="N221" s="142" t="s">
        <v>23</v>
      </c>
      <c r="O221" s="142" t="s">
        <v>23</v>
      </c>
      <c r="P221" s="142" t="s">
        <v>23</v>
      </c>
      <c r="Q221" s="142" t="s">
        <v>23</v>
      </c>
      <c r="R221" s="142">
        <v>45</v>
      </c>
      <c r="S221" s="142">
        <v>10</v>
      </c>
      <c r="T221" s="142">
        <v>4</v>
      </c>
      <c r="U221" s="142" t="s">
        <v>23</v>
      </c>
      <c r="V221" s="142" t="s">
        <v>23</v>
      </c>
      <c r="W221" s="142" t="s">
        <v>23</v>
      </c>
      <c r="X221" s="142">
        <f t="shared" si="22"/>
        <v>59</v>
      </c>
    </row>
    <row r="222" spans="1:24">
      <c r="A222" s="99">
        <v>2001</v>
      </c>
      <c r="B222" s="142" t="s">
        <v>23</v>
      </c>
      <c r="C222" s="142">
        <v>792</v>
      </c>
      <c r="D222" s="142">
        <v>14229</v>
      </c>
      <c r="E222" s="142">
        <v>3022</v>
      </c>
      <c r="F222" s="142">
        <v>235</v>
      </c>
      <c r="G222" s="142">
        <v>1552</v>
      </c>
      <c r="H222" s="142">
        <v>89</v>
      </c>
      <c r="I222" s="142">
        <v>120</v>
      </c>
      <c r="J222" s="142" t="s">
        <v>23</v>
      </c>
      <c r="K222" s="142" t="s">
        <v>23</v>
      </c>
      <c r="L222" s="142">
        <f t="shared" si="21"/>
        <v>20039</v>
      </c>
      <c r="N222" s="142" t="s">
        <v>23</v>
      </c>
      <c r="O222" s="142" t="s">
        <v>23</v>
      </c>
      <c r="P222" s="142">
        <v>4</v>
      </c>
      <c r="Q222" s="142">
        <v>198</v>
      </c>
      <c r="R222" s="142">
        <v>4</v>
      </c>
      <c r="S222" s="142">
        <v>11</v>
      </c>
      <c r="T222" s="142" t="s">
        <v>23</v>
      </c>
      <c r="U222" s="142" t="s">
        <v>23</v>
      </c>
      <c r="V222" s="142" t="s">
        <v>23</v>
      </c>
      <c r="W222" s="142" t="s">
        <v>23</v>
      </c>
      <c r="X222" s="142">
        <f t="shared" si="22"/>
        <v>217</v>
      </c>
    </row>
    <row r="223" spans="1:24">
      <c r="A223" s="99">
        <v>2002</v>
      </c>
      <c r="B223" s="142" t="s">
        <v>23</v>
      </c>
      <c r="C223" s="142">
        <v>2779</v>
      </c>
      <c r="D223" s="142">
        <v>30310</v>
      </c>
      <c r="E223" s="142">
        <v>4784</v>
      </c>
      <c r="F223" s="142">
        <v>3751</v>
      </c>
      <c r="G223" s="142">
        <v>5441</v>
      </c>
      <c r="H223" s="142">
        <v>611</v>
      </c>
      <c r="I223" s="142">
        <v>27</v>
      </c>
      <c r="J223" s="142" t="s">
        <v>23</v>
      </c>
      <c r="K223" s="142" t="s">
        <v>23</v>
      </c>
      <c r="L223" s="142">
        <f t="shared" si="21"/>
        <v>47703</v>
      </c>
      <c r="N223" s="142" t="s">
        <v>23</v>
      </c>
      <c r="O223" s="142" t="s">
        <v>23</v>
      </c>
      <c r="P223" s="142" t="s">
        <v>23</v>
      </c>
      <c r="Q223" s="142" t="s">
        <v>23</v>
      </c>
      <c r="R223" s="142">
        <v>11</v>
      </c>
      <c r="S223" s="142">
        <v>15</v>
      </c>
      <c r="T223" s="142" t="s">
        <v>23</v>
      </c>
      <c r="U223" s="142" t="s">
        <v>23</v>
      </c>
      <c r="V223" s="142" t="s">
        <v>23</v>
      </c>
      <c r="W223" s="142" t="s">
        <v>23</v>
      </c>
      <c r="X223" s="142">
        <f t="shared" si="22"/>
        <v>26</v>
      </c>
    </row>
    <row r="224" spans="1:24">
      <c r="A224" s="99">
        <v>2003</v>
      </c>
      <c r="B224" s="142" t="s">
        <v>23</v>
      </c>
      <c r="C224" s="142">
        <v>3133</v>
      </c>
      <c r="D224" s="142">
        <v>4434</v>
      </c>
      <c r="E224" s="142">
        <v>1629</v>
      </c>
      <c r="F224" s="142">
        <v>801</v>
      </c>
      <c r="G224" s="142">
        <v>3115</v>
      </c>
      <c r="H224" s="142">
        <v>14</v>
      </c>
      <c r="I224" s="48" t="s">
        <v>106</v>
      </c>
      <c r="J224" s="142" t="s">
        <v>23</v>
      </c>
      <c r="K224" s="142" t="s">
        <v>23</v>
      </c>
      <c r="L224" s="142">
        <f t="shared" si="21"/>
        <v>13126</v>
      </c>
      <c r="N224" s="142" t="s">
        <v>23</v>
      </c>
      <c r="O224" s="142" t="s">
        <v>23</v>
      </c>
      <c r="P224" s="142" t="s">
        <v>23</v>
      </c>
      <c r="Q224" s="142">
        <v>29</v>
      </c>
      <c r="R224" s="142">
        <v>81</v>
      </c>
      <c r="S224" s="142">
        <v>50</v>
      </c>
      <c r="T224" s="142" t="s">
        <v>23</v>
      </c>
      <c r="U224" s="142" t="s">
        <v>23</v>
      </c>
      <c r="V224" s="142" t="s">
        <v>23</v>
      </c>
      <c r="W224" s="142" t="s">
        <v>23</v>
      </c>
      <c r="X224" s="142">
        <f t="shared" si="22"/>
        <v>160</v>
      </c>
    </row>
    <row r="225" spans="1:24">
      <c r="A225" s="99">
        <v>2004</v>
      </c>
      <c r="B225" s="142" t="s">
        <v>23</v>
      </c>
      <c r="C225" s="142" t="s">
        <v>23</v>
      </c>
      <c r="D225" s="142">
        <v>24516</v>
      </c>
      <c r="E225" s="142">
        <v>4476</v>
      </c>
      <c r="F225" s="142">
        <v>1762</v>
      </c>
      <c r="G225" s="142">
        <v>12916</v>
      </c>
      <c r="H225" s="142">
        <v>1074</v>
      </c>
      <c r="I225" s="142">
        <v>101</v>
      </c>
      <c r="J225" s="48" t="s">
        <v>106</v>
      </c>
      <c r="K225" s="142" t="s">
        <v>23</v>
      </c>
      <c r="L225" s="142">
        <f t="shared" si="21"/>
        <v>44845</v>
      </c>
      <c r="N225" s="142" t="s">
        <v>23</v>
      </c>
      <c r="O225" s="142" t="s">
        <v>23</v>
      </c>
      <c r="P225" s="142" t="s">
        <v>23</v>
      </c>
      <c r="Q225" s="142" t="s">
        <v>23</v>
      </c>
      <c r="R225" s="142">
        <v>9</v>
      </c>
      <c r="S225" s="142">
        <v>9</v>
      </c>
      <c r="T225" s="142" t="s">
        <v>23</v>
      </c>
      <c r="U225" s="142" t="s">
        <v>23</v>
      </c>
      <c r="V225" s="142" t="s">
        <v>23</v>
      </c>
      <c r="W225" s="142" t="s">
        <v>23</v>
      </c>
      <c r="X225" s="142">
        <f t="shared" si="22"/>
        <v>18</v>
      </c>
    </row>
    <row r="226" spans="1:24">
      <c r="A226" s="99">
        <v>2005</v>
      </c>
      <c r="B226" s="142" t="s">
        <v>23</v>
      </c>
      <c r="C226" s="142" t="s">
        <v>23</v>
      </c>
      <c r="D226" s="142">
        <v>6194</v>
      </c>
      <c r="E226" s="142">
        <v>2303</v>
      </c>
      <c r="F226" s="142">
        <v>14910</v>
      </c>
      <c r="G226" s="142">
        <v>6809</v>
      </c>
      <c r="H226" s="142">
        <v>414</v>
      </c>
      <c r="I226" s="142">
        <v>76</v>
      </c>
      <c r="J226" s="142" t="s">
        <v>23</v>
      </c>
      <c r="K226" s="142" t="s">
        <v>23</v>
      </c>
      <c r="L226" s="142">
        <f t="shared" si="21"/>
        <v>30706</v>
      </c>
      <c r="N226" s="142" t="s">
        <v>23</v>
      </c>
      <c r="O226" s="142" t="s">
        <v>23</v>
      </c>
      <c r="P226" s="142" t="s">
        <v>23</v>
      </c>
      <c r="Q226" s="142">
        <v>19</v>
      </c>
      <c r="R226" s="142">
        <v>95</v>
      </c>
      <c r="S226" s="142">
        <v>85</v>
      </c>
      <c r="T226" s="142" t="s">
        <v>23</v>
      </c>
      <c r="U226" s="142" t="s">
        <v>23</v>
      </c>
      <c r="V226" s="142" t="s">
        <v>23</v>
      </c>
      <c r="W226" s="142" t="s">
        <v>23</v>
      </c>
      <c r="X226" s="142">
        <f t="shared" si="22"/>
        <v>199</v>
      </c>
    </row>
    <row r="227" spans="1:24">
      <c r="A227" s="99">
        <v>2006</v>
      </c>
      <c r="B227" s="142" t="s">
        <v>23</v>
      </c>
      <c r="C227" s="142" t="s">
        <v>23</v>
      </c>
      <c r="D227" s="142">
        <v>7350</v>
      </c>
      <c r="E227" s="142">
        <v>399</v>
      </c>
      <c r="F227" s="142">
        <v>1318</v>
      </c>
      <c r="G227" s="142">
        <v>1893</v>
      </c>
      <c r="H227" s="142">
        <v>0</v>
      </c>
      <c r="I227" s="142">
        <v>10</v>
      </c>
      <c r="J227" s="142" t="s">
        <v>23</v>
      </c>
      <c r="K227" s="142" t="s">
        <v>23</v>
      </c>
      <c r="L227" s="142">
        <f t="shared" si="21"/>
        <v>10970</v>
      </c>
      <c r="N227" s="142" t="s">
        <v>23</v>
      </c>
      <c r="O227" s="142" t="s">
        <v>23</v>
      </c>
      <c r="P227" s="142" t="s">
        <v>23</v>
      </c>
      <c r="Q227" s="142">
        <v>32</v>
      </c>
      <c r="R227" s="142">
        <v>204</v>
      </c>
      <c r="S227" s="142">
        <v>102</v>
      </c>
      <c r="T227" s="142" t="s">
        <v>23</v>
      </c>
      <c r="U227" s="142" t="s">
        <v>23</v>
      </c>
      <c r="V227" s="142" t="s">
        <v>23</v>
      </c>
      <c r="W227" s="142" t="s">
        <v>23</v>
      </c>
      <c r="X227" s="142">
        <v>338</v>
      </c>
    </row>
    <row r="228" spans="1:24">
      <c r="A228" s="99">
        <v>2007</v>
      </c>
      <c r="B228" s="142" t="s">
        <v>23</v>
      </c>
      <c r="C228" s="142" t="s">
        <v>23</v>
      </c>
      <c r="D228" s="142">
        <v>2289</v>
      </c>
      <c r="E228" s="142">
        <v>735</v>
      </c>
      <c r="F228" s="142">
        <v>2098</v>
      </c>
      <c r="G228" s="142">
        <v>681</v>
      </c>
      <c r="H228" s="142">
        <v>346</v>
      </c>
      <c r="I228" s="142">
        <v>112</v>
      </c>
      <c r="J228" s="142" t="s">
        <v>23</v>
      </c>
      <c r="K228" s="142" t="s">
        <v>23</v>
      </c>
      <c r="L228" s="142">
        <f t="shared" si="21"/>
        <v>6261</v>
      </c>
      <c r="N228" s="142" t="s">
        <v>23</v>
      </c>
      <c r="O228" s="142" t="s">
        <v>23</v>
      </c>
      <c r="P228" s="142" t="s">
        <v>23</v>
      </c>
      <c r="Q228" s="142">
        <v>16</v>
      </c>
      <c r="R228" s="142">
        <v>69</v>
      </c>
      <c r="S228" s="142">
        <v>23</v>
      </c>
      <c r="T228" s="142">
        <v>12</v>
      </c>
      <c r="U228" s="142" t="s">
        <v>23</v>
      </c>
      <c r="V228" s="142" t="s">
        <v>23</v>
      </c>
      <c r="W228" s="142" t="s">
        <v>23</v>
      </c>
      <c r="X228" s="142">
        <f>SUM(N228:W228)</f>
        <v>120</v>
      </c>
    </row>
    <row r="229" spans="1:24">
      <c r="A229" s="99">
        <v>2008</v>
      </c>
      <c r="B229" s="142" t="s">
        <v>23</v>
      </c>
      <c r="C229" s="142" t="s">
        <v>23</v>
      </c>
      <c r="D229" s="142" t="s">
        <v>23</v>
      </c>
      <c r="E229" s="142" t="s">
        <v>23</v>
      </c>
      <c r="F229" s="142" t="s">
        <v>23</v>
      </c>
      <c r="G229" s="142" t="s">
        <v>23</v>
      </c>
      <c r="H229" s="142" t="s">
        <v>23</v>
      </c>
      <c r="I229" s="142" t="s">
        <v>23</v>
      </c>
      <c r="J229" s="142" t="s">
        <v>23</v>
      </c>
      <c r="K229" s="142" t="s">
        <v>23</v>
      </c>
      <c r="L229" s="142" t="s">
        <v>23</v>
      </c>
      <c r="N229" s="142" t="s">
        <v>23</v>
      </c>
      <c r="O229" s="142" t="s">
        <v>23</v>
      </c>
      <c r="P229" s="142" t="s">
        <v>23</v>
      </c>
      <c r="Q229" s="142" t="s">
        <v>23</v>
      </c>
      <c r="R229" s="142" t="s">
        <v>23</v>
      </c>
      <c r="S229" s="142" t="s">
        <v>23</v>
      </c>
      <c r="T229" s="142" t="s">
        <v>23</v>
      </c>
      <c r="U229" s="142" t="s">
        <v>23</v>
      </c>
      <c r="V229" s="142" t="s">
        <v>23</v>
      </c>
      <c r="W229" s="142" t="s">
        <v>23</v>
      </c>
      <c r="X229" s="142" t="s">
        <v>23</v>
      </c>
    </row>
    <row r="230" spans="1:24">
      <c r="A230" s="99">
        <v>2009</v>
      </c>
      <c r="B230" s="142" t="s">
        <v>23</v>
      </c>
      <c r="C230" s="142" t="s">
        <v>23</v>
      </c>
      <c r="D230" s="142" t="s">
        <v>23</v>
      </c>
      <c r="E230" s="142" t="s">
        <v>23</v>
      </c>
      <c r="F230" s="142" t="s">
        <v>23</v>
      </c>
      <c r="G230" s="142" t="s">
        <v>23</v>
      </c>
      <c r="H230" s="142" t="s">
        <v>23</v>
      </c>
      <c r="I230" s="142" t="s">
        <v>23</v>
      </c>
      <c r="J230" s="142" t="s">
        <v>23</v>
      </c>
      <c r="K230" s="142" t="s">
        <v>23</v>
      </c>
      <c r="L230" s="142" t="s">
        <v>23</v>
      </c>
      <c r="N230" s="142" t="s">
        <v>23</v>
      </c>
      <c r="O230" s="142" t="s">
        <v>23</v>
      </c>
      <c r="P230" s="142" t="s">
        <v>23</v>
      </c>
      <c r="Q230" s="142" t="s">
        <v>23</v>
      </c>
      <c r="R230" s="142" t="s">
        <v>23</v>
      </c>
      <c r="S230" s="142" t="s">
        <v>23</v>
      </c>
      <c r="T230" s="142" t="s">
        <v>23</v>
      </c>
      <c r="U230" s="142" t="s">
        <v>23</v>
      </c>
      <c r="V230" s="142" t="s">
        <v>23</v>
      </c>
      <c r="W230" s="142" t="s">
        <v>23</v>
      </c>
      <c r="X230" s="142" t="s">
        <v>23</v>
      </c>
    </row>
    <row r="231" spans="1:24">
      <c r="A231" s="99">
        <v>2010</v>
      </c>
      <c r="B231" s="142" t="s">
        <v>23</v>
      </c>
      <c r="C231" s="142" t="s">
        <v>23</v>
      </c>
      <c r="D231" s="142">
        <v>4057</v>
      </c>
      <c r="E231" s="142">
        <v>1692</v>
      </c>
      <c r="F231" s="142">
        <v>5</v>
      </c>
      <c r="G231" s="142">
        <v>387</v>
      </c>
      <c r="H231" s="142">
        <v>154</v>
      </c>
      <c r="I231" s="142">
        <v>0</v>
      </c>
      <c r="J231" s="142" t="s">
        <v>23</v>
      </c>
      <c r="K231" s="142" t="s">
        <v>23</v>
      </c>
      <c r="L231" s="142">
        <f t="shared" ref="L231:L242" si="23">SUM(B231:K231)</f>
        <v>6295</v>
      </c>
      <c r="N231" s="142" t="s">
        <v>23</v>
      </c>
      <c r="O231" s="142" t="s">
        <v>23</v>
      </c>
      <c r="P231" s="142">
        <v>8</v>
      </c>
      <c r="Q231" s="142" t="s">
        <v>23</v>
      </c>
      <c r="R231" s="142" t="s">
        <v>23</v>
      </c>
      <c r="S231" s="142" t="s">
        <v>23</v>
      </c>
      <c r="T231" s="142" t="s">
        <v>23</v>
      </c>
      <c r="U231" s="142" t="s">
        <v>23</v>
      </c>
      <c r="V231" s="142" t="s">
        <v>23</v>
      </c>
      <c r="W231" s="142" t="s">
        <v>23</v>
      </c>
      <c r="X231" s="142">
        <f>SUM(N231:W231)</f>
        <v>8</v>
      </c>
    </row>
    <row r="232" spans="1:24">
      <c r="A232" s="99">
        <v>2011</v>
      </c>
      <c r="B232" s="142" t="s">
        <v>23</v>
      </c>
      <c r="C232" s="142" t="s">
        <v>23</v>
      </c>
      <c r="D232" s="142">
        <v>4210</v>
      </c>
      <c r="E232" s="142">
        <v>280</v>
      </c>
      <c r="F232" s="142">
        <v>1170</v>
      </c>
      <c r="G232" s="142">
        <v>3998</v>
      </c>
      <c r="H232" s="142">
        <v>2369</v>
      </c>
      <c r="I232" s="142">
        <v>676</v>
      </c>
      <c r="J232" s="142" t="s">
        <v>23</v>
      </c>
      <c r="K232" s="142" t="s">
        <v>23</v>
      </c>
      <c r="L232" s="142">
        <f t="shared" si="23"/>
        <v>12703</v>
      </c>
      <c r="N232" s="142" t="s">
        <v>23</v>
      </c>
      <c r="O232" s="142" t="s">
        <v>23</v>
      </c>
      <c r="P232" s="142">
        <v>8</v>
      </c>
      <c r="Q232" s="142">
        <v>10</v>
      </c>
      <c r="R232" s="142">
        <v>27</v>
      </c>
      <c r="S232" s="142">
        <v>7</v>
      </c>
      <c r="T232" s="142">
        <v>13</v>
      </c>
      <c r="U232" s="142" t="s">
        <v>23</v>
      </c>
      <c r="V232" s="142" t="s">
        <v>23</v>
      </c>
      <c r="W232" s="142" t="s">
        <v>23</v>
      </c>
      <c r="X232" s="142">
        <f>SUM(N232:W232)</f>
        <v>65</v>
      </c>
    </row>
    <row r="233" spans="1:24">
      <c r="A233" s="99">
        <v>2012</v>
      </c>
      <c r="B233" s="142" t="s">
        <v>23</v>
      </c>
      <c r="C233" s="142" t="s">
        <v>23</v>
      </c>
      <c r="D233" s="142">
        <v>14535</v>
      </c>
      <c r="E233" s="142">
        <v>4473</v>
      </c>
      <c r="F233" s="142">
        <v>4376</v>
      </c>
      <c r="G233" s="142">
        <v>6268</v>
      </c>
      <c r="H233" s="142">
        <v>462</v>
      </c>
      <c r="I233" s="142">
        <v>121</v>
      </c>
      <c r="J233" s="142">
        <v>129</v>
      </c>
      <c r="K233" s="142" t="s">
        <v>23</v>
      </c>
      <c r="L233" s="142">
        <f t="shared" si="23"/>
        <v>30364</v>
      </c>
      <c r="N233" s="142" t="s">
        <v>23</v>
      </c>
      <c r="O233" s="142" t="s">
        <v>23</v>
      </c>
      <c r="P233" s="142" t="s">
        <v>23</v>
      </c>
      <c r="Q233" s="142" t="s">
        <v>23</v>
      </c>
      <c r="R233" s="142">
        <v>1</v>
      </c>
      <c r="S233" s="142" t="s">
        <v>23</v>
      </c>
      <c r="T233" s="142" t="s">
        <v>23</v>
      </c>
      <c r="U233" s="142" t="s">
        <v>23</v>
      </c>
      <c r="V233" s="142" t="s">
        <v>23</v>
      </c>
      <c r="W233" s="142" t="s">
        <v>23</v>
      </c>
      <c r="X233" s="142">
        <f>SUM(N233:W233)</f>
        <v>1</v>
      </c>
    </row>
    <row r="234" spans="1:24">
      <c r="A234" s="99">
        <v>2013</v>
      </c>
      <c r="B234" s="142" t="s">
        <v>23</v>
      </c>
      <c r="C234" s="142" t="s">
        <v>23</v>
      </c>
      <c r="D234" s="142">
        <v>5225</v>
      </c>
      <c r="E234" s="142">
        <v>1624</v>
      </c>
      <c r="F234" s="142">
        <v>1066</v>
      </c>
      <c r="G234" s="142">
        <v>2261</v>
      </c>
      <c r="H234" s="142">
        <v>440</v>
      </c>
      <c r="I234" s="142">
        <v>18</v>
      </c>
      <c r="J234" s="142">
        <v>0</v>
      </c>
      <c r="K234" s="142" t="s">
        <v>23</v>
      </c>
      <c r="L234" s="142">
        <f t="shared" si="23"/>
        <v>10634</v>
      </c>
      <c r="N234" s="142" t="s">
        <v>23</v>
      </c>
      <c r="O234" s="142" t="s">
        <v>23</v>
      </c>
      <c r="P234" s="142" t="s">
        <v>23</v>
      </c>
      <c r="Q234" s="142" t="s">
        <v>23</v>
      </c>
      <c r="R234" s="142">
        <v>1</v>
      </c>
      <c r="S234" s="142">
        <v>4</v>
      </c>
      <c r="T234" s="142" t="s">
        <v>23</v>
      </c>
      <c r="U234" s="142" t="s">
        <v>23</v>
      </c>
      <c r="V234" s="142" t="s">
        <v>23</v>
      </c>
      <c r="W234" s="142" t="s">
        <v>23</v>
      </c>
      <c r="X234" s="142">
        <f>SUM(N234:W234)</f>
        <v>5</v>
      </c>
    </row>
    <row r="235" spans="1:24">
      <c r="A235" s="99">
        <v>2014</v>
      </c>
      <c r="B235" s="142" t="s">
        <v>23</v>
      </c>
      <c r="C235" s="142" t="s">
        <v>23</v>
      </c>
      <c r="D235" s="142">
        <v>11356</v>
      </c>
      <c r="E235" s="142">
        <v>964</v>
      </c>
      <c r="F235" s="142">
        <v>782</v>
      </c>
      <c r="G235" s="142">
        <v>613</v>
      </c>
      <c r="H235" s="142">
        <v>267</v>
      </c>
      <c r="I235" s="142">
        <v>34</v>
      </c>
      <c r="J235" s="142">
        <v>4</v>
      </c>
      <c r="K235" s="142" t="s">
        <v>23</v>
      </c>
      <c r="L235" s="142">
        <f t="shared" si="23"/>
        <v>14020</v>
      </c>
      <c r="N235" s="142" t="s">
        <v>23</v>
      </c>
      <c r="O235" s="142" t="s">
        <v>23</v>
      </c>
      <c r="P235" s="142" t="s">
        <v>23</v>
      </c>
      <c r="Q235" s="142" t="s">
        <v>23</v>
      </c>
      <c r="R235" s="142">
        <v>12</v>
      </c>
      <c r="S235" s="142" t="s">
        <v>23</v>
      </c>
      <c r="T235" s="142" t="s">
        <v>23</v>
      </c>
      <c r="U235" s="142" t="s">
        <v>23</v>
      </c>
      <c r="V235" s="142" t="s">
        <v>23</v>
      </c>
      <c r="W235" s="142" t="s">
        <v>23</v>
      </c>
      <c r="X235" s="142">
        <f>SUM(N235:W235)</f>
        <v>12</v>
      </c>
    </row>
    <row r="236" spans="1:24">
      <c r="A236" s="99">
        <v>2015</v>
      </c>
      <c r="B236" s="142" t="s">
        <v>23</v>
      </c>
      <c r="C236" s="142" t="s">
        <v>23</v>
      </c>
      <c r="D236" s="142">
        <v>1697</v>
      </c>
      <c r="E236" s="142">
        <v>490</v>
      </c>
      <c r="F236" s="142">
        <v>543</v>
      </c>
      <c r="G236" s="142">
        <v>313</v>
      </c>
      <c r="H236" s="142">
        <v>27</v>
      </c>
      <c r="I236" s="142">
        <v>0</v>
      </c>
      <c r="J236" s="142" t="s">
        <v>23</v>
      </c>
      <c r="K236" s="142" t="s">
        <v>23</v>
      </c>
      <c r="L236" s="142">
        <f>SUM(B236:K236)</f>
        <v>3070</v>
      </c>
      <c r="N236" s="142" t="s">
        <v>23</v>
      </c>
      <c r="O236" s="142" t="s">
        <v>23</v>
      </c>
      <c r="P236" s="142" t="s">
        <v>23</v>
      </c>
      <c r="Q236" s="142" t="s">
        <v>23</v>
      </c>
      <c r="R236" s="142" t="s">
        <v>23</v>
      </c>
      <c r="S236" s="142" t="s">
        <v>23</v>
      </c>
      <c r="T236" s="142" t="s">
        <v>23</v>
      </c>
      <c r="U236" s="142" t="s">
        <v>23</v>
      </c>
      <c r="V236" s="142" t="s">
        <v>23</v>
      </c>
      <c r="W236" s="142" t="s">
        <v>23</v>
      </c>
      <c r="X236" s="142" t="s">
        <v>23</v>
      </c>
    </row>
    <row r="237" spans="1:24">
      <c r="A237" s="99">
        <v>2016</v>
      </c>
      <c r="B237" s="142" t="s">
        <v>23</v>
      </c>
      <c r="C237" s="142" t="s">
        <v>23</v>
      </c>
      <c r="D237" s="142">
        <v>716</v>
      </c>
      <c r="E237" s="142">
        <v>572</v>
      </c>
      <c r="F237" s="142">
        <v>47</v>
      </c>
      <c r="G237" s="142">
        <v>0</v>
      </c>
      <c r="H237" s="142" t="s">
        <v>23</v>
      </c>
      <c r="I237" s="142" t="s">
        <v>23</v>
      </c>
      <c r="J237" s="142" t="s">
        <v>23</v>
      </c>
      <c r="K237" s="142" t="s">
        <v>23</v>
      </c>
      <c r="L237" s="142">
        <f>SUM(B237:K237)</f>
        <v>1335</v>
      </c>
      <c r="N237" s="142" t="s">
        <v>23</v>
      </c>
      <c r="O237" s="142" t="s">
        <v>23</v>
      </c>
      <c r="P237" s="142" t="s">
        <v>23</v>
      </c>
      <c r="Q237" s="142" t="s">
        <v>23</v>
      </c>
      <c r="R237" s="142" t="s">
        <v>23</v>
      </c>
      <c r="S237" s="142" t="s">
        <v>23</v>
      </c>
      <c r="T237" s="142" t="s">
        <v>23</v>
      </c>
      <c r="U237" s="142" t="s">
        <v>23</v>
      </c>
      <c r="V237" s="142" t="s">
        <v>23</v>
      </c>
      <c r="W237" s="142" t="s">
        <v>23</v>
      </c>
      <c r="X237" s="142" t="s">
        <v>23</v>
      </c>
    </row>
    <row r="238" spans="1:24">
      <c r="A238" s="99">
        <v>2017</v>
      </c>
      <c r="B238" s="142" t="s">
        <v>23</v>
      </c>
      <c r="C238" s="142" t="s">
        <v>23</v>
      </c>
      <c r="D238" s="142">
        <v>3878</v>
      </c>
      <c r="E238" s="142">
        <v>449</v>
      </c>
      <c r="F238" s="142">
        <v>192</v>
      </c>
      <c r="G238" s="142">
        <v>2035</v>
      </c>
      <c r="H238" s="142" t="s">
        <v>23</v>
      </c>
      <c r="I238" s="142" t="s">
        <v>23</v>
      </c>
      <c r="J238" s="142" t="s">
        <v>23</v>
      </c>
      <c r="K238" s="142" t="s">
        <v>23</v>
      </c>
      <c r="L238" s="142">
        <f>SUM(B238:K238)</f>
        <v>6554</v>
      </c>
      <c r="N238" s="142" t="s">
        <v>23</v>
      </c>
      <c r="O238" s="142" t="s">
        <v>23</v>
      </c>
      <c r="P238" s="142" t="s">
        <v>23</v>
      </c>
      <c r="Q238" s="142" t="s">
        <v>23</v>
      </c>
      <c r="R238" s="142" t="s">
        <v>23</v>
      </c>
      <c r="S238" s="142">
        <v>96</v>
      </c>
      <c r="T238" s="142" t="s">
        <v>23</v>
      </c>
      <c r="U238" s="142" t="s">
        <v>23</v>
      </c>
      <c r="V238" s="142" t="s">
        <v>23</v>
      </c>
      <c r="W238" s="142" t="s">
        <v>23</v>
      </c>
      <c r="X238" s="142">
        <f>SUM(N238:W238)</f>
        <v>96</v>
      </c>
    </row>
    <row r="239" spans="1:24">
      <c r="A239" s="99">
        <v>2018</v>
      </c>
      <c r="B239" s="142" t="s">
        <v>23</v>
      </c>
      <c r="C239" s="142" t="s">
        <v>23</v>
      </c>
      <c r="D239" s="142">
        <v>3935</v>
      </c>
      <c r="E239" s="142">
        <v>476</v>
      </c>
      <c r="F239" s="142">
        <v>1157</v>
      </c>
      <c r="G239" s="142">
        <v>123</v>
      </c>
      <c r="H239" s="142" t="s">
        <v>23</v>
      </c>
      <c r="I239" s="142" t="s">
        <v>23</v>
      </c>
      <c r="J239" s="142" t="s">
        <v>23</v>
      </c>
      <c r="K239" s="142" t="s">
        <v>23</v>
      </c>
      <c r="L239" s="142">
        <f>SUM(B239:K239)</f>
        <v>5691</v>
      </c>
      <c r="N239" s="142" t="s">
        <v>23</v>
      </c>
      <c r="O239" s="142" t="s">
        <v>23</v>
      </c>
      <c r="P239" s="142" t="s">
        <v>23</v>
      </c>
      <c r="Q239" s="142" t="s">
        <v>23</v>
      </c>
      <c r="R239" s="142" t="s">
        <v>23</v>
      </c>
      <c r="S239" s="142" t="s">
        <v>23</v>
      </c>
      <c r="T239" s="142" t="s">
        <v>23</v>
      </c>
      <c r="U239" s="142" t="s">
        <v>23</v>
      </c>
      <c r="V239" s="142" t="s">
        <v>23</v>
      </c>
      <c r="W239" s="142" t="s">
        <v>23</v>
      </c>
      <c r="X239" s="142" t="s">
        <v>23</v>
      </c>
    </row>
    <row r="240" spans="1:24">
      <c r="A240" s="239">
        <v>2019</v>
      </c>
      <c r="B240" s="142" t="s">
        <v>23</v>
      </c>
      <c r="C240" s="142" t="s">
        <v>23</v>
      </c>
      <c r="D240" s="142">
        <v>13592</v>
      </c>
      <c r="E240" s="142">
        <v>1437</v>
      </c>
      <c r="F240" s="142">
        <v>2159</v>
      </c>
      <c r="G240" s="142">
        <v>2636</v>
      </c>
      <c r="H240" s="142">
        <v>3279</v>
      </c>
      <c r="I240" s="142" t="s">
        <v>23</v>
      </c>
      <c r="J240" s="142" t="s">
        <v>23</v>
      </c>
      <c r="K240" s="142" t="s">
        <v>23</v>
      </c>
      <c r="L240" s="142">
        <f t="shared" ref="L240:L241" si="24">SUM(B240:K240)</f>
        <v>23103</v>
      </c>
      <c r="N240" s="142" t="s">
        <v>23</v>
      </c>
      <c r="O240" s="142" t="s">
        <v>23</v>
      </c>
      <c r="P240" s="142" t="s">
        <v>23</v>
      </c>
      <c r="Q240" s="142" t="s">
        <v>23</v>
      </c>
      <c r="R240" s="142">
        <v>2</v>
      </c>
      <c r="S240" s="142">
        <v>26</v>
      </c>
      <c r="T240" s="142" t="s">
        <v>23</v>
      </c>
      <c r="U240" s="142" t="s">
        <v>23</v>
      </c>
      <c r="V240" s="142" t="s">
        <v>23</v>
      </c>
      <c r="W240" s="142" t="s">
        <v>23</v>
      </c>
      <c r="X240" s="142">
        <f>SUM(N240:W240)</f>
        <v>28</v>
      </c>
    </row>
    <row r="241" spans="1:24" ht="13">
      <c r="A241" s="239" t="s">
        <v>343</v>
      </c>
      <c r="B241" s="142" t="s">
        <v>23</v>
      </c>
      <c r="C241" s="142" t="s">
        <v>23</v>
      </c>
      <c r="D241" s="142" t="s">
        <v>23</v>
      </c>
      <c r="E241" s="142" t="s">
        <v>106</v>
      </c>
      <c r="F241" s="142" t="s">
        <v>106</v>
      </c>
      <c r="G241" s="142">
        <v>1242</v>
      </c>
      <c r="H241" s="142">
        <v>33</v>
      </c>
      <c r="I241" s="142">
        <v>18</v>
      </c>
      <c r="J241" s="142">
        <v>0</v>
      </c>
      <c r="K241" s="142" t="s">
        <v>23</v>
      </c>
      <c r="L241" s="142">
        <f t="shared" si="24"/>
        <v>1293</v>
      </c>
      <c r="N241" s="142" t="s">
        <v>23</v>
      </c>
      <c r="O241" s="142" t="s">
        <v>23</v>
      </c>
      <c r="P241" s="142" t="s">
        <v>23</v>
      </c>
      <c r="Q241" s="142" t="s">
        <v>23</v>
      </c>
      <c r="R241" s="142" t="s">
        <v>23</v>
      </c>
      <c r="S241" s="142" t="s">
        <v>23</v>
      </c>
      <c r="T241" s="142" t="s">
        <v>23</v>
      </c>
      <c r="U241" s="142" t="s">
        <v>23</v>
      </c>
      <c r="V241" s="142" t="s">
        <v>23</v>
      </c>
      <c r="W241" s="142" t="s">
        <v>23</v>
      </c>
      <c r="X241" s="142" t="s">
        <v>23</v>
      </c>
    </row>
    <row r="242" spans="1:24" ht="13">
      <c r="A242" s="239" t="s">
        <v>317</v>
      </c>
      <c r="B242" s="142" t="s">
        <v>23</v>
      </c>
      <c r="C242" s="142" t="s">
        <v>23</v>
      </c>
      <c r="D242" s="142">
        <v>7626</v>
      </c>
      <c r="E242" s="142">
        <v>4184</v>
      </c>
      <c r="F242" s="142">
        <v>3196</v>
      </c>
      <c r="G242" s="142">
        <v>1710</v>
      </c>
      <c r="H242" s="142">
        <v>177</v>
      </c>
      <c r="I242" s="142">
        <v>57</v>
      </c>
      <c r="J242" s="142" t="s">
        <v>23</v>
      </c>
      <c r="K242" s="142" t="s">
        <v>23</v>
      </c>
      <c r="L242" s="142">
        <f t="shared" si="23"/>
        <v>16950</v>
      </c>
      <c r="N242" s="142" t="s">
        <v>23</v>
      </c>
      <c r="O242" s="142" t="s">
        <v>23</v>
      </c>
      <c r="P242" s="142" t="s">
        <v>23</v>
      </c>
      <c r="Q242" s="142">
        <v>210</v>
      </c>
      <c r="R242" s="142">
        <v>54</v>
      </c>
      <c r="S242" s="142">
        <v>12</v>
      </c>
      <c r="T242" s="142" t="s">
        <v>23</v>
      </c>
      <c r="U242" s="142" t="s">
        <v>23</v>
      </c>
      <c r="V242" s="142" t="s">
        <v>23</v>
      </c>
      <c r="W242" s="142" t="s">
        <v>23</v>
      </c>
      <c r="X242" s="142">
        <f>SUM(N242:W242)</f>
        <v>276</v>
      </c>
    </row>
    <row r="244" spans="1:24">
      <c r="A244" s="97" t="s">
        <v>35</v>
      </c>
    </row>
    <row r="245" spans="1:24">
      <c r="A245" s="99">
        <v>1976</v>
      </c>
      <c r="B245" s="142">
        <f t="shared" ref="B245:L245" si="25">IF(AND(B197="-",B149="-",B101="-",B53="-",B5="-"),"-",SUM(B197,B149,B101,B53,B5))</f>
        <v>2686</v>
      </c>
      <c r="C245" s="142">
        <f t="shared" si="25"/>
        <v>1221</v>
      </c>
      <c r="D245" s="142">
        <f t="shared" si="25"/>
        <v>6634</v>
      </c>
      <c r="E245" s="142">
        <f t="shared" si="25"/>
        <v>13031</v>
      </c>
      <c r="F245" s="142">
        <f t="shared" si="25"/>
        <v>14125</v>
      </c>
      <c r="G245" s="142">
        <f t="shared" si="25"/>
        <v>11813</v>
      </c>
      <c r="H245" s="142">
        <f t="shared" si="25"/>
        <v>12619</v>
      </c>
      <c r="I245" s="142">
        <f t="shared" si="25"/>
        <v>5654</v>
      </c>
      <c r="J245" s="142">
        <f t="shared" si="25"/>
        <v>10616</v>
      </c>
      <c r="K245" s="142">
        <f t="shared" si="25"/>
        <v>2594</v>
      </c>
      <c r="L245" s="142">
        <f t="shared" si="25"/>
        <v>80993</v>
      </c>
      <c r="N245" s="142">
        <f t="shared" ref="N245:X245" si="26">IF(AND(N197="-",N149="-",N101="-",N53="-",N5="-"),"-",SUM(N197,N149,N101,N53,N5))</f>
        <v>29</v>
      </c>
      <c r="O245" s="142">
        <f t="shared" si="26"/>
        <v>32</v>
      </c>
      <c r="P245" s="142">
        <f t="shared" si="26"/>
        <v>805</v>
      </c>
      <c r="Q245" s="142">
        <f t="shared" si="26"/>
        <v>6269</v>
      </c>
      <c r="R245" s="142">
        <f t="shared" si="26"/>
        <v>16234</v>
      </c>
      <c r="S245" s="142">
        <f t="shared" si="26"/>
        <v>24369</v>
      </c>
      <c r="T245" s="142">
        <f t="shared" si="26"/>
        <v>9184</v>
      </c>
      <c r="U245" s="142">
        <f t="shared" si="26"/>
        <v>983</v>
      </c>
      <c r="V245" s="142">
        <f t="shared" si="26"/>
        <v>1</v>
      </c>
      <c r="W245" s="142">
        <f t="shared" si="26"/>
        <v>0</v>
      </c>
      <c r="X245" s="142">
        <f t="shared" si="26"/>
        <v>57906</v>
      </c>
    </row>
    <row r="246" spans="1:24">
      <c r="A246" s="99">
        <v>1977</v>
      </c>
      <c r="B246" s="142">
        <f t="shared" ref="B246:L246" si="27">IF(AND(B198="-",B150="-",B102="-",B54="-",B6="-"),"-",SUM(B198,B150,B102,B54,B6))</f>
        <v>4096</v>
      </c>
      <c r="C246" s="142">
        <f t="shared" si="27"/>
        <v>5510</v>
      </c>
      <c r="D246" s="142">
        <f t="shared" si="27"/>
        <v>15525</v>
      </c>
      <c r="E246" s="142">
        <f t="shared" si="27"/>
        <v>5038</v>
      </c>
      <c r="F246" s="142">
        <f t="shared" si="27"/>
        <v>9450</v>
      </c>
      <c r="G246" s="142">
        <f t="shared" si="27"/>
        <v>35221</v>
      </c>
      <c r="H246" s="142">
        <f t="shared" si="27"/>
        <v>14783</v>
      </c>
      <c r="I246" s="142">
        <f t="shared" si="27"/>
        <v>8406</v>
      </c>
      <c r="J246" s="142">
        <f t="shared" si="27"/>
        <v>4063</v>
      </c>
      <c r="K246" s="142">
        <f t="shared" si="27"/>
        <v>1492</v>
      </c>
      <c r="L246" s="142">
        <f t="shared" si="27"/>
        <v>103584</v>
      </c>
      <c r="N246" s="142">
        <f t="shared" ref="N246:X246" si="28">IF(AND(N198="-",N150="-",N102="-",N54="-",N6="-"),"-",SUM(N198,N150,N102,N54,N6))</f>
        <v>12</v>
      </c>
      <c r="O246" s="142">
        <f t="shared" si="28"/>
        <v>0</v>
      </c>
      <c r="P246" s="142">
        <f t="shared" si="28"/>
        <v>348</v>
      </c>
      <c r="Q246" s="142">
        <f t="shared" si="28"/>
        <v>1146</v>
      </c>
      <c r="R246" s="142">
        <f t="shared" si="28"/>
        <v>649</v>
      </c>
      <c r="S246" s="142">
        <f t="shared" si="28"/>
        <v>8032</v>
      </c>
      <c r="T246" s="142">
        <f t="shared" si="28"/>
        <v>3424</v>
      </c>
      <c r="U246" s="142">
        <f t="shared" si="28"/>
        <v>518</v>
      </c>
      <c r="V246" s="142">
        <f t="shared" si="28"/>
        <v>64</v>
      </c>
      <c r="W246" s="142">
        <f t="shared" si="28"/>
        <v>6</v>
      </c>
      <c r="X246" s="142">
        <f t="shared" si="28"/>
        <v>14199</v>
      </c>
    </row>
    <row r="247" spans="1:24">
      <c r="A247" s="99">
        <v>1978</v>
      </c>
      <c r="B247" s="142">
        <f t="shared" ref="B247:L247" si="29">IF(AND(B199="-",B151="-",B103="-",B55="-",B7="-"),"-",SUM(B199,B151,B103,B55,B7))</f>
        <v>9790</v>
      </c>
      <c r="C247" s="142">
        <f t="shared" si="29"/>
        <v>8594</v>
      </c>
      <c r="D247" s="142">
        <f t="shared" si="29"/>
        <v>3149</v>
      </c>
      <c r="E247" s="142">
        <f t="shared" si="29"/>
        <v>2899</v>
      </c>
      <c r="F247" s="142">
        <f t="shared" si="29"/>
        <v>9066</v>
      </c>
      <c r="G247" s="142">
        <f t="shared" si="29"/>
        <v>15050</v>
      </c>
      <c r="H247" s="142">
        <f t="shared" si="29"/>
        <v>9001</v>
      </c>
      <c r="I247" s="142">
        <f t="shared" si="29"/>
        <v>4925</v>
      </c>
      <c r="J247" s="142">
        <f t="shared" si="29"/>
        <v>7642</v>
      </c>
      <c r="K247" s="142">
        <f t="shared" si="29"/>
        <v>2606</v>
      </c>
      <c r="L247" s="142">
        <f t="shared" si="29"/>
        <v>72722</v>
      </c>
      <c r="N247" s="142">
        <f t="shared" ref="N247:X247" si="30">IF(AND(N199="-",N151="-",N103="-",N55="-",N7="-"),"-",SUM(N199,N151,N103,N55,N7))</f>
        <v>0</v>
      </c>
      <c r="O247" s="142">
        <f t="shared" si="30"/>
        <v>0</v>
      </c>
      <c r="P247" s="142">
        <f t="shared" si="30"/>
        <v>1</v>
      </c>
      <c r="Q247" s="142">
        <f t="shared" si="30"/>
        <v>34</v>
      </c>
      <c r="R247" s="142">
        <f t="shared" si="30"/>
        <v>18334</v>
      </c>
      <c r="S247" s="142">
        <f t="shared" si="30"/>
        <v>19709</v>
      </c>
      <c r="T247" s="142">
        <f t="shared" si="30"/>
        <v>3063</v>
      </c>
      <c r="U247" s="142">
        <f t="shared" si="30"/>
        <v>94</v>
      </c>
      <c r="V247" s="142">
        <f t="shared" si="30"/>
        <v>0</v>
      </c>
      <c r="W247" s="142">
        <f t="shared" si="30"/>
        <v>0</v>
      </c>
      <c r="X247" s="142">
        <f t="shared" si="30"/>
        <v>41235</v>
      </c>
    </row>
    <row r="248" spans="1:24">
      <c r="A248" s="99">
        <v>1979</v>
      </c>
      <c r="B248" s="142">
        <f t="shared" ref="B248:L248" si="31">IF(AND(B200="-",B152="-",B104="-",B56="-",B8="-"),"-",SUM(B200,B152,B104,B56,B8))</f>
        <v>7876</v>
      </c>
      <c r="C248" s="142">
        <f t="shared" si="31"/>
        <v>15161</v>
      </c>
      <c r="D248" s="142">
        <f t="shared" si="31"/>
        <v>11597</v>
      </c>
      <c r="E248" s="142">
        <f t="shared" si="31"/>
        <v>5219</v>
      </c>
      <c r="F248" s="142">
        <f t="shared" si="31"/>
        <v>16617</v>
      </c>
      <c r="G248" s="142">
        <f t="shared" si="31"/>
        <v>28382</v>
      </c>
      <c r="H248" s="142">
        <f t="shared" si="31"/>
        <v>14353</v>
      </c>
      <c r="I248" s="142">
        <f t="shared" si="31"/>
        <v>13456</v>
      </c>
      <c r="J248" s="142">
        <f t="shared" si="31"/>
        <v>6967</v>
      </c>
      <c r="K248" s="142">
        <f t="shared" si="31"/>
        <v>0</v>
      </c>
      <c r="L248" s="142">
        <f t="shared" si="31"/>
        <v>119628</v>
      </c>
      <c r="N248" s="142">
        <f t="shared" ref="N248:X248" si="32">IF(AND(N200="-",N152="-",N104="-",N56="-",N8="-"),"-",SUM(N200,N152,N104,N56,N8))</f>
        <v>10</v>
      </c>
      <c r="O248" s="142">
        <f t="shared" si="32"/>
        <v>39</v>
      </c>
      <c r="P248" s="142">
        <f t="shared" si="32"/>
        <v>23</v>
      </c>
      <c r="Q248" s="142">
        <f t="shared" si="32"/>
        <v>196</v>
      </c>
      <c r="R248" s="142">
        <f t="shared" si="32"/>
        <v>4818</v>
      </c>
      <c r="S248" s="142">
        <f t="shared" si="32"/>
        <v>11877</v>
      </c>
      <c r="T248" s="142">
        <f t="shared" si="32"/>
        <v>4258</v>
      </c>
      <c r="U248" s="142">
        <f t="shared" si="32"/>
        <v>57</v>
      </c>
      <c r="V248" s="142">
        <f t="shared" si="32"/>
        <v>0</v>
      </c>
      <c r="W248" s="142" t="str">
        <f t="shared" si="32"/>
        <v>-</v>
      </c>
      <c r="X248" s="142">
        <f t="shared" si="32"/>
        <v>21278</v>
      </c>
    </row>
    <row r="249" spans="1:24">
      <c r="A249" s="99">
        <v>1980</v>
      </c>
      <c r="B249" s="142">
        <f t="shared" ref="B249:L249" si="33">IF(AND(B201="-",B153="-",B105="-",B57="-",B9="-"),"-",SUM(B201,B153,B105,B57,B9))</f>
        <v>4703</v>
      </c>
      <c r="C249" s="142">
        <f t="shared" si="33"/>
        <v>12033</v>
      </c>
      <c r="D249" s="142">
        <f t="shared" si="33"/>
        <v>6671</v>
      </c>
      <c r="E249" s="142">
        <f t="shared" si="33"/>
        <v>5807</v>
      </c>
      <c r="F249" s="142">
        <f t="shared" si="33"/>
        <v>18229</v>
      </c>
      <c r="G249" s="142">
        <f t="shared" si="33"/>
        <v>19379</v>
      </c>
      <c r="H249" s="142">
        <f t="shared" si="33"/>
        <v>8911</v>
      </c>
      <c r="I249" s="142">
        <f t="shared" si="33"/>
        <v>5404</v>
      </c>
      <c r="J249" s="142">
        <f t="shared" si="33"/>
        <v>4048</v>
      </c>
      <c r="K249" s="142">
        <f t="shared" si="33"/>
        <v>0</v>
      </c>
      <c r="L249" s="142">
        <f t="shared" si="33"/>
        <v>85185</v>
      </c>
      <c r="N249" s="142">
        <f t="shared" ref="N249:X249" si="34">IF(AND(N201="-",N153="-",N105="-",N57="-",N9="-"),"-",SUM(N201,N153,N105,N57,N9))</f>
        <v>0</v>
      </c>
      <c r="O249" s="142">
        <f t="shared" si="34"/>
        <v>0</v>
      </c>
      <c r="P249" s="142">
        <f t="shared" si="34"/>
        <v>17</v>
      </c>
      <c r="Q249" s="142">
        <f t="shared" si="34"/>
        <v>78</v>
      </c>
      <c r="R249" s="142">
        <f t="shared" si="34"/>
        <v>3833</v>
      </c>
      <c r="S249" s="142">
        <f t="shared" si="34"/>
        <v>15072</v>
      </c>
      <c r="T249" s="142">
        <f t="shared" si="34"/>
        <v>1985</v>
      </c>
      <c r="U249" s="142">
        <f t="shared" si="34"/>
        <v>178</v>
      </c>
      <c r="V249" s="142">
        <f t="shared" si="34"/>
        <v>8</v>
      </c>
      <c r="W249" s="142" t="str">
        <f t="shared" si="34"/>
        <v>-</v>
      </c>
      <c r="X249" s="142">
        <f t="shared" si="34"/>
        <v>21171</v>
      </c>
    </row>
    <row r="250" spans="1:24">
      <c r="A250" s="99">
        <v>1981</v>
      </c>
      <c r="B250" s="142">
        <f t="shared" ref="B250:L250" si="35">IF(AND(B202="-",B154="-",B106="-",B58="-",B10="-"),"-",SUM(B202,B154,B106,B58,B10))</f>
        <v>3393</v>
      </c>
      <c r="C250" s="142">
        <f t="shared" si="35"/>
        <v>3141</v>
      </c>
      <c r="D250" s="142">
        <f t="shared" si="35"/>
        <v>8471</v>
      </c>
      <c r="E250" s="142">
        <f t="shared" si="35"/>
        <v>3372</v>
      </c>
      <c r="F250" s="142">
        <f t="shared" si="35"/>
        <v>10649</v>
      </c>
      <c r="G250" s="142">
        <f t="shared" si="35"/>
        <v>23703</v>
      </c>
      <c r="H250" s="142">
        <f t="shared" si="35"/>
        <v>16074</v>
      </c>
      <c r="I250" s="142">
        <f t="shared" si="35"/>
        <v>8912</v>
      </c>
      <c r="J250" s="142">
        <f t="shared" si="35"/>
        <v>4993</v>
      </c>
      <c r="K250" s="142">
        <f t="shared" si="35"/>
        <v>1319</v>
      </c>
      <c r="L250" s="142">
        <f t="shared" si="35"/>
        <v>84027</v>
      </c>
      <c r="N250" s="142">
        <f t="shared" ref="N250:X250" si="36">IF(AND(N202="-",N154="-",N106="-",N58="-",N10="-"),"-",SUM(N202,N154,N106,N58,N10))</f>
        <v>0</v>
      </c>
      <c r="O250" s="142">
        <f t="shared" si="36"/>
        <v>0</v>
      </c>
      <c r="P250" s="142">
        <f t="shared" si="36"/>
        <v>0</v>
      </c>
      <c r="Q250" s="142">
        <f t="shared" si="36"/>
        <v>0</v>
      </c>
      <c r="R250" s="142">
        <f t="shared" si="36"/>
        <v>946</v>
      </c>
      <c r="S250" s="142">
        <f t="shared" si="36"/>
        <v>5308</v>
      </c>
      <c r="T250" s="142">
        <f t="shared" si="36"/>
        <v>3983</v>
      </c>
      <c r="U250" s="142">
        <f t="shared" si="36"/>
        <v>197</v>
      </c>
      <c r="V250" s="142">
        <f t="shared" si="36"/>
        <v>147</v>
      </c>
      <c r="W250" s="142">
        <f t="shared" si="36"/>
        <v>0</v>
      </c>
      <c r="X250" s="142">
        <f t="shared" si="36"/>
        <v>10581</v>
      </c>
    </row>
    <row r="251" spans="1:24">
      <c r="A251" s="99">
        <v>1982</v>
      </c>
      <c r="B251" s="142">
        <f t="shared" ref="B251:L251" si="37">IF(AND(B203="-",B155="-",B107="-",B59="-",B11="-"),"-",SUM(B203,B155,B107,B59,B11))</f>
        <v>11187</v>
      </c>
      <c r="C251" s="142">
        <f t="shared" si="37"/>
        <v>11379</v>
      </c>
      <c r="D251" s="142">
        <f t="shared" si="37"/>
        <v>5052</v>
      </c>
      <c r="E251" s="142">
        <f t="shared" si="37"/>
        <v>7406</v>
      </c>
      <c r="F251" s="142">
        <f t="shared" si="37"/>
        <v>15911</v>
      </c>
      <c r="G251" s="142">
        <f t="shared" si="37"/>
        <v>24307</v>
      </c>
      <c r="H251" s="142">
        <f t="shared" si="37"/>
        <v>31220</v>
      </c>
      <c r="I251" s="142">
        <f t="shared" si="37"/>
        <v>15112</v>
      </c>
      <c r="J251" s="142">
        <f t="shared" si="37"/>
        <v>13952</v>
      </c>
      <c r="K251" s="142">
        <f t="shared" si="37"/>
        <v>3198</v>
      </c>
      <c r="L251" s="142">
        <f t="shared" si="37"/>
        <v>138724</v>
      </c>
      <c r="N251" s="142">
        <f t="shared" ref="N251:X251" si="38">IF(AND(N203="-",N155="-",N107="-",N59="-",N11="-"),"-",SUM(N203,N155,N107,N59,N11))</f>
        <v>0</v>
      </c>
      <c r="O251" s="142">
        <f t="shared" si="38"/>
        <v>0</v>
      </c>
      <c r="P251" s="142">
        <f t="shared" si="38"/>
        <v>0</v>
      </c>
      <c r="Q251" s="142">
        <f t="shared" si="38"/>
        <v>532</v>
      </c>
      <c r="R251" s="142">
        <f t="shared" si="38"/>
        <v>10648</v>
      </c>
      <c r="S251" s="142">
        <f t="shared" si="38"/>
        <v>12133</v>
      </c>
      <c r="T251" s="142">
        <f t="shared" si="38"/>
        <v>3242</v>
      </c>
      <c r="U251" s="142">
        <f t="shared" si="38"/>
        <v>139</v>
      </c>
      <c r="V251" s="142">
        <f t="shared" si="38"/>
        <v>0</v>
      </c>
      <c r="W251" s="142">
        <f t="shared" si="38"/>
        <v>0</v>
      </c>
      <c r="X251" s="142">
        <f t="shared" si="38"/>
        <v>26694</v>
      </c>
    </row>
    <row r="252" spans="1:24">
      <c r="A252" s="99">
        <v>1983</v>
      </c>
      <c r="B252" s="142">
        <f t="shared" ref="B252:L252" si="39">IF(AND(B204="-",B156="-",B108="-",B60="-",B12="-"),"-",SUM(B204,B156,B108,B60,B12))</f>
        <v>2627</v>
      </c>
      <c r="C252" s="142">
        <f t="shared" si="39"/>
        <v>3080</v>
      </c>
      <c r="D252" s="142">
        <f t="shared" si="39"/>
        <v>4790</v>
      </c>
      <c r="E252" s="142">
        <f t="shared" si="39"/>
        <v>11389</v>
      </c>
      <c r="F252" s="142">
        <f t="shared" si="39"/>
        <v>12427</v>
      </c>
      <c r="G252" s="142">
        <f t="shared" si="39"/>
        <v>15104</v>
      </c>
      <c r="H252" s="142">
        <f t="shared" si="39"/>
        <v>8189</v>
      </c>
      <c r="I252" s="142">
        <f t="shared" si="39"/>
        <v>4550</v>
      </c>
      <c r="J252" s="142">
        <f t="shared" si="39"/>
        <v>1610</v>
      </c>
      <c r="K252" s="142">
        <f t="shared" si="39"/>
        <v>56</v>
      </c>
      <c r="L252" s="142">
        <f t="shared" si="39"/>
        <v>63822</v>
      </c>
      <c r="N252" s="142">
        <f t="shared" ref="N252:X252" si="40">IF(AND(N204="-",N156="-",N108="-",N60="-",N12="-"),"-",SUM(N204,N156,N108,N60,N12))</f>
        <v>0</v>
      </c>
      <c r="O252" s="142">
        <f t="shared" si="40"/>
        <v>3</v>
      </c>
      <c r="P252" s="142">
        <f t="shared" si="40"/>
        <v>56</v>
      </c>
      <c r="Q252" s="142">
        <f t="shared" si="40"/>
        <v>54</v>
      </c>
      <c r="R252" s="142">
        <f t="shared" si="40"/>
        <v>9640</v>
      </c>
      <c r="S252" s="142">
        <f t="shared" si="40"/>
        <v>13247</v>
      </c>
      <c r="T252" s="142">
        <f t="shared" si="40"/>
        <v>3978</v>
      </c>
      <c r="U252" s="142">
        <f t="shared" si="40"/>
        <v>268</v>
      </c>
      <c r="V252" s="142">
        <f t="shared" si="40"/>
        <v>0</v>
      </c>
      <c r="W252" s="142">
        <f t="shared" si="40"/>
        <v>0</v>
      </c>
      <c r="X252" s="142">
        <f t="shared" si="40"/>
        <v>27246</v>
      </c>
    </row>
    <row r="253" spans="1:24">
      <c r="A253" s="99">
        <v>1984</v>
      </c>
      <c r="B253" s="142">
        <f t="shared" ref="B253:L253" si="41">IF(AND(B205="-",B157="-",B109="-",B61="-",B13="-"),"-",SUM(B205,B157,B109,B61,B13))</f>
        <v>392</v>
      </c>
      <c r="C253" s="142">
        <f t="shared" si="41"/>
        <v>758</v>
      </c>
      <c r="D253" s="142">
        <f t="shared" si="41"/>
        <v>5932</v>
      </c>
      <c r="E253" s="142">
        <f t="shared" si="41"/>
        <v>7434</v>
      </c>
      <c r="F253" s="142">
        <f t="shared" si="41"/>
        <v>17264</v>
      </c>
      <c r="G253" s="142">
        <f t="shared" si="41"/>
        <v>26585</v>
      </c>
      <c r="H253" s="142">
        <f t="shared" si="41"/>
        <v>18901</v>
      </c>
      <c r="I253" s="142">
        <f t="shared" si="41"/>
        <v>7461</v>
      </c>
      <c r="J253" s="142">
        <f t="shared" si="41"/>
        <v>2317</v>
      </c>
      <c r="K253" s="142">
        <f t="shared" si="41"/>
        <v>759</v>
      </c>
      <c r="L253" s="142">
        <f t="shared" si="41"/>
        <v>87803</v>
      </c>
      <c r="N253" s="142">
        <f t="shared" ref="N253:X253" si="42">IF(AND(N205="-",N157="-",N109="-",N61="-",N13="-"),"-",SUM(N205,N157,N109,N61,N13))</f>
        <v>0</v>
      </c>
      <c r="O253" s="142">
        <f t="shared" si="42"/>
        <v>0</v>
      </c>
      <c r="P253" s="142">
        <f t="shared" si="42"/>
        <v>2</v>
      </c>
      <c r="Q253" s="142">
        <f t="shared" si="42"/>
        <v>79</v>
      </c>
      <c r="R253" s="142">
        <f t="shared" si="42"/>
        <v>175</v>
      </c>
      <c r="S253" s="142">
        <f t="shared" si="42"/>
        <v>15819</v>
      </c>
      <c r="T253" s="142">
        <f t="shared" si="42"/>
        <v>2845</v>
      </c>
      <c r="U253" s="142">
        <f t="shared" si="42"/>
        <v>64</v>
      </c>
      <c r="V253" s="142">
        <f t="shared" si="42"/>
        <v>0</v>
      </c>
      <c r="W253" s="142">
        <f t="shared" si="42"/>
        <v>0</v>
      </c>
      <c r="X253" s="142">
        <f t="shared" si="42"/>
        <v>18984</v>
      </c>
    </row>
    <row r="254" spans="1:24">
      <c r="A254" s="99">
        <v>1985</v>
      </c>
      <c r="B254" s="142">
        <f t="shared" ref="B254:L254" si="43">IF(AND(B206="-",B158="-",B110="-",B62="-",B14="-"),"-",SUM(B206,B158,B110,B62,B14))</f>
        <v>12134</v>
      </c>
      <c r="C254" s="142">
        <f t="shared" si="43"/>
        <v>17970</v>
      </c>
      <c r="D254" s="142">
        <f t="shared" si="43"/>
        <v>11950</v>
      </c>
      <c r="E254" s="142">
        <f t="shared" si="43"/>
        <v>17575</v>
      </c>
      <c r="F254" s="142">
        <f t="shared" si="43"/>
        <v>28587</v>
      </c>
      <c r="G254" s="142">
        <f t="shared" si="43"/>
        <v>45422</v>
      </c>
      <c r="H254" s="142">
        <f t="shared" si="43"/>
        <v>23552</v>
      </c>
      <c r="I254" s="142">
        <f t="shared" si="43"/>
        <v>7302</v>
      </c>
      <c r="J254" s="142">
        <f t="shared" si="43"/>
        <v>4898</v>
      </c>
      <c r="K254" s="142">
        <f t="shared" si="43"/>
        <v>1719</v>
      </c>
      <c r="L254" s="142">
        <f t="shared" si="43"/>
        <v>171109</v>
      </c>
      <c r="N254" s="142">
        <f t="shared" ref="N254:X254" si="44">IF(AND(N206="-",N158="-",N110="-",N62="-",N14="-"),"-",SUM(N206,N158,N110,N62,N14))</f>
        <v>0</v>
      </c>
      <c r="O254" s="142">
        <f t="shared" si="44"/>
        <v>0</v>
      </c>
      <c r="P254" s="142">
        <f t="shared" si="44"/>
        <v>48</v>
      </c>
      <c r="Q254" s="142">
        <f t="shared" si="44"/>
        <v>979</v>
      </c>
      <c r="R254" s="142">
        <f t="shared" si="44"/>
        <v>1023</v>
      </c>
      <c r="S254" s="142">
        <f t="shared" si="44"/>
        <v>8798</v>
      </c>
      <c r="T254" s="142">
        <f t="shared" si="44"/>
        <v>4337</v>
      </c>
      <c r="U254" s="142">
        <f t="shared" si="44"/>
        <v>642</v>
      </c>
      <c r="V254" s="142">
        <f t="shared" si="44"/>
        <v>0</v>
      </c>
      <c r="W254" s="142">
        <f t="shared" si="44"/>
        <v>0</v>
      </c>
      <c r="X254" s="142">
        <f t="shared" si="44"/>
        <v>15827</v>
      </c>
    </row>
    <row r="255" spans="1:24">
      <c r="A255" s="99">
        <v>1986</v>
      </c>
      <c r="B255" s="142">
        <f t="shared" ref="B255:L255" si="45">IF(AND(B207="-",B159="-",B111="-",B63="-",B15="-"),"-",SUM(B207,B159,B111,B63,B15))</f>
        <v>1183</v>
      </c>
      <c r="C255" s="142">
        <f t="shared" si="45"/>
        <v>16091</v>
      </c>
      <c r="D255" s="142">
        <f t="shared" si="45"/>
        <v>23458</v>
      </c>
      <c r="E255" s="142">
        <f t="shared" si="45"/>
        <v>9528</v>
      </c>
      <c r="F255" s="142">
        <f t="shared" si="45"/>
        <v>24729</v>
      </c>
      <c r="G255" s="142">
        <f t="shared" si="45"/>
        <v>37415</v>
      </c>
      <c r="H255" s="142">
        <f t="shared" si="45"/>
        <v>21386</v>
      </c>
      <c r="I255" s="142">
        <f t="shared" si="45"/>
        <v>5280</v>
      </c>
      <c r="J255" s="142">
        <f t="shared" si="45"/>
        <v>1962</v>
      </c>
      <c r="K255" s="142">
        <f t="shared" si="45"/>
        <v>584</v>
      </c>
      <c r="L255" s="142">
        <f t="shared" si="45"/>
        <v>141616</v>
      </c>
      <c r="N255" s="142">
        <f t="shared" ref="N255:X255" si="46">IF(AND(N207="-",N159="-",N111="-",N63="-",N15="-"),"-",SUM(N207,N159,N111,N63,N15))</f>
        <v>0</v>
      </c>
      <c r="O255" s="142">
        <f t="shared" si="46"/>
        <v>2</v>
      </c>
      <c r="P255" s="142">
        <f t="shared" si="46"/>
        <v>0</v>
      </c>
      <c r="Q255" s="142">
        <f t="shared" si="46"/>
        <v>495</v>
      </c>
      <c r="R255" s="142">
        <f t="shared" si="46"/>
        <v>5510</v>
      </c>
      <c r="S255" s="142">
        <f t="shared" si="46"/>
        <v>9088</v>
      </c>
      <c r="T255" s="142">
        <f t="shared" si="46"/>
        <v>3616</v>
      </c>
      <c r="U255" s="142">
        <f t="shared" si="46"/>
        <v>15</v>
      </c>
      <c r="V255" s="142">
        <f t="shared" si="46"/>
        <v>2</v>
      </c>
      <c r="W255" s="142">
        <f t="shared" si="46"/>
        <v>0</v>
      </c>
      <c r="X255" s="142">
        <f t="shared" si="46"/>
        <v>18728</v>
      </c>
    </row>
    <row r="256" spans="1:24">
      <c r="A256" s="99">
        <v>1987</v>
      </c>
      <c r="B256" s="142">
        <f t="shared" ref="B256:L256" si="47">IF(AND(B208="-",B160="-",B112="-",B64="-",B16="-"),"-",SUM(B208,B160,B112,B64,B16))</f>
        <v>5520</v>
      </c>
      <c r="C256" s="142">
        <f t="shared" si="47"/>
        <v>14084</v>
      </c>
      <c r="D256" s="142">
        <f t="shared" si="47"/>
        <v>19211</v>
      </c>
      <c r="E256" s="142">
        <f t="shared" si="47"/>
        <v>12368</v>
      </c>
      <c r="F256" s="142">
        <f t="shared" si="47"/>
        <v>23113</v>
      </c>
      <c r="G256" s="142">
        <f t="shared" si="47"/>
        <v>51041</v>
      </c>
      <c r="H256" s="142">
        <f t="shared" si="47"/>
        <v>44051</v>
      </c>
      <c r="I256" s="142">
        <f t="shared" si="47"/>
        <v>14946</v>
      </c>
      <c r="J256" s="142">
        <f t="shared" si="47"/>
        <v>7126</v>
      </c>
      <c r="K256" s="142">
        <f t="shared" si="47"/>
        <v>1083</v>
      </c>
      <c r="L256" s="142">
        <f t="shared" si="47"/>
        <v>192543</v>
      </c>
      <c r="N256" s="142">
        <f t="shared" ref="N256:X256" si="48">IF(AND(N208="-",N160="-",N112="-",N64="-",N16="-"),"-",SUM(N208,N160,N112,N64,N16))</f>
        <v>0</v>
      </c>
      <c r="O256" s="142">
        <f t="shared" si="48"/>
        <v>0</v>
      </c>
      <c r="P256" s="142">
        <f t="shared" si="48"/>
        <v>0</v>
      </c>
      <c r="Q256" s="142">
        <f t="shared" si="48"/>
        <v>85</v>
      </c>
      <c r="R256" s="142">
        <f t="shared" si="48"/>
        <v>5070</v>
      </c>
      <c r="S256" s="142">
        <f t="shared" si="48"/>
        <v>33086</v>
      </c>
      <c r="T256" s="142">
        <f t="shared" si="48"/>
        <v>7519</v>
      </c>
      <c r="U256" s="142">
        <f t="shared" si="48"/>
        <v>1493</v>
      </c>
      <c r="V256" s="142">
        <f t="shared" si="48"/>
        <v>0</v>
      </c>
      <c r="W256" s="142">
        <f t="shared" si="48"/>
        <v>0</v>
      </c>
      <c r="X256" s="142">
        <f t="shared" si="48"/>
        <v>47253</v>
      </c>
    </row>
    <row r="257" spans="1:24">
      <c r="A257" s="99">
        <v>1988</v>
      </c>
      <c r="B257" s="142">
        <f t="shared" ref="B257:L257" si="49">IF(AND(B209="-",B161="-",B113="-",B65="-",B17="-"),"-",SUM(B209,B161,B113,B65,B17))</f>
        <v>6808</v>
      </c>
      <c r="C257" s="142">
        <f t="shared" si="49"/>
        <v>15934</v>
      </c>
      <c r="D257" s="142">
        <f t="shared" si="49"/>
        <v>24943</v>
      </c>
      <c r="E257" s="142">
        <f t="shared" si="49"/>
        <v>20482</v>
      </c>
      <c r="F257" s="142">
        <f t="shared" si="49"/>
        <v>38219</v>
      </c>
      <c r="G257" s="142">
        <f t="shared" si="49"/>
        <v>43329</v>
      </c>
      <c r="H257" s="142">
        <f t="shared" si="49"/>
        <v>12190</v>
      </c>
      <c r="I257" s="142">
        <f t="shared" si="49"/>
        <v>4032</v>
      </c>
      <c r="J257" s="142">
        <f t="shared" si="49"/>
        <v>4610</v>
      </c>
      <c r="K257" s="142">
        <f t="shared" si="49"/>
        <v>814</v>
      </c>
      <c r="L257" s="142">
        <f t="shared" si="49"/>
        <v>171361</v>
      </c>
      <c r="N257" s="142">
        <f t="shared" ref="N257:X257" si="50">IF(AND(N209="-",N161="-",N113="-",N65="-",N17="-"),"-",SUM(N209,N161,N113,N65,N17))</f>
        <v>0</v>
      </c>
      <c r="O257" s="142">
        <f t="shared" si="50"/>
        <v>1</v>
      </c>
      <c r="P257" s="142">
        <f t="shared" si="50"/>
        <v>21</v>
      </c>
      <c r="Q257" s="142">
        <f t="shared" si="50"/>
        <v>876</v>
      </c>
      <c r="R257" s="142">
        <f t="shared" si="50"/>
        <v>4341</v>
      </c>
      <c r="S257" s="142">
        <f t="shared" si="50"/>
        <v>25346</v>
      </c>
      <c r="T257" s="142">
        <f t="shared" si="50"/>
        <v>3680</v>
      </c>
      <c r="U257" s="142">
        <f t="shared" si="50"/>
        <v>445</v>
      </c>
      <c r="V257" s="142">
        <f t="shared" si="50"/>
        <v>0</v>
      </c>
      <c r="W257" s="142">
        <f t="shared" si="50"/>
        <v>0</v>
      </c>
      <c r="X257" s="142">
        <f t="shared" si="50"/>
        <v>34710</v>
      </c>
    </row>
    <row r="258" spans="1:24">
      <c r="A258" s="99">
        <v>1989</v>
      </c>
      <c r="B258" s="142">
        <f t="shared" ref="B258:L258" si="51">IF(AND(B210="-",B162="-",B114="-",B66="-",B18="-"),"-",SUM(B210,B162,B114,B66,B18))</f>
        <v>7950</v>
      </c>
      <c r="C258" s="142">
        <f t="shared" si="51"/>
        <v>12734</v>
      </c>
      <c r="D258" s="142">
        <f t="shared" si="51"/>
        <v>42566</v>
      </c>
      <c r="E258" s="142">
        <f t="shared" si="51"/>
        <v>8554</v>
      </c>
      <c r="F258" s="142">
        <f t="shared" si="51"/>
        <v>27839</v>
      </c>
      <c r="G258" s="142">
        <f t="shared" si="51"/>
        <v>48712</v>
      </c>
      <c r="H258" s="142">
        <f t="shared" si="51"/>
        <v>19748</v>
      </c>
      <c r="I258" s="142">
        <f t="shared" si="51"/>
        <v>12370</v>
      </c>
      <c r="J258" s="142">
        <f t="shared" si="51"/>
        <v>3744</v>
      </c>
      <c r="K258" s="142">
        <f t="shared" si="51"/>
        <v>2410</v>
      </c>
      <c r="L258" s="142">
        <f t="shared" si="51"/>
        <v>186627</v>
      </c>
      <c r="N258" s="142">
        <f t="shared" ref="N258:X258" si="52">IF(AND(N210="-",N162="-",N114="-",N66="-",N18="-"),"-",SUM(N210,N162,N114,N66,N18))</f>
        <v>0</v>
      </c>
      <c r="O258" s="142">
        <f t="shared" si="52"/>
        <v>0</v>
      </c>
      <c r="P258" s="142">
        <f t="shared" si="52"/>
        <v>115</v>
      </c>
      <c r="Q258" s="142">
        <f t="shared" si="52"/>
        <v>1822</v>
      </c>
      <c r="R258" s="142">
        <f t="shared" si="52"/>
        <v>14082</v>
      </c>
      <c r="S258" s="142">
        <f t="shared" si="52"/>
        <v>27208</v>
      </c>
      <c r="T258" s="142">
        <f t="shared" si="52"/>
        <v>6188</v>
      </c>
      <c r="U258" s="142">
        <f t="shared" si="52"/>
        <v>189</v>
      </c>
      <c r="V258" s="142">
        <f t="shared" si="52"/>
        <v>0</v>
      </c>
      <c r="W258" s="142">
        <f t="shared" si="52"/>
        <v>0</v>
      </c>
      <c r="X258" s="142">
        <f t="shared" si="52"/>
        <v>49604</v>
      </c>
    </row>
    <row r="259" spans="1:24">
      <c r="A259" s="99">
        <v>1990</v>
      </c>
      <c r="B259" s="142">
        <f t="shared" ref="B259:L259" si="53">IF(AND(B211="-",B163="-",B115="-",B67="-",B19="-"),"-",SUM(B211,B163,B115,B67,B19))</f>
        <v>6690</v>
      </c>
      <c r="C259" s="142">
        <f t="shared" si="53"/>
        <v>17599</v>
      </c>
      <c r="D259" s="142">
        <f t="shared" si="53"/>
        <v>21645</v>
      </c>
      <c r="E259" s="142">
        <f t="shared" si="53"/>
        <v>6088</v>
      </c>
      <c r="F259" s="142">
        <f t="shared" si="53"/>
        <v>28109</v>
      </c>
      <c r="G259" s="142">
        <f t="shared" si="53"/>
        <v>34015</v>
      </c>
      <c r="H259" s="142">
        <f t="shared" si="53"/>
        <v>15185</v>
      </c>
      <c r="I259" s="142">
        <f t="shared" si="53"/>
        <v>5039</v>
      </c>
      <c r="J259" s="142">
        <f t="shared" si="53"/>
        <v>3756</v>
      </c>
      <c r="K259" s="142">
        <f t="shared" si="53"/>
        <v>1703</v>
      </c>
      <c r="L259" s="142">
        <f t="shared" si="53"/>
        <v>139829</v>
      </c>
      <c r="N259" s="142">
        <f t="shared" ref="N259:X259" si="54">IF(AND(N211="-",N163="-",N115="-",N67="-",N19="-"),"-",SUM(N211,N163,N115,N67,N19))</f>
        <v>0</v>
      </c>
      <c r="O259" s="142">
        <f t="shared" si="54"/>
        <v>0</v>
      </c>
      <c r="P259" s="142">
        <f t="shared" si="54"/>
        <v>144</v>
      </c>
      <c r="Q259" s="142">
        <f t="shared" si="54"/>
        <v>1437</v>
      </c>
      <c r="R259" s="142">
        <f t="shared" si="54"/>
        <v>23058</v>
      </c>
      <c r="S259" s="142">
        <f t="shared" si="54"/>
        <v>21567</v>
      </c>
      <c r="T259" s="142">
        <f t="shared" si="54"/>
        <v>4707</v>
      </c>
      <c r="U259" s="142">
        <f t="shared" si="54"/>
        <v>673</v>
      </c>
      <c r="V259" s="142">
        <f t="shared" si="54"/>
        <v>59</v>
      </c>
      <c r="W259" s="142">
        <f t="shared" si="54"/>
        <v>0</v>
      </c>
      <c r="X259" s="142">
        <f t="shared" si="54"/>
        <v>51645</v>
      </c>
    </row>
    <row r="260" spans="1:24">
      <c r="A260" s="99">
        <v>1991</v>
      </c>
      <c r="B260" s="142">
        <f t="shared" ref="B260:L260" si="55">IF(AND(B212="-",B164="-",B116="-",B68="-",B20="-"),"-",SUM(B212,B164,B116,B68,B20))</f>
        <v>53</v>
      </c>
      <c r="C260" s="142">
        <f t="shared" si="55"/>
        <v>7948</v>
      </c>
      <c r="D260" s="142">
        <f t="shared" si="55"/>
        <v>13029</v>
      </c>
      <c r="E260" s="142">
        <f t="shared" si="55"/>
        <v>4825</v>
      </c>
      <c r="F260" s="142">
        <f t="shared" si="55"/>
        <v>19906</v>
      </c>
      <c r="G260" s="142">
        <f t="shared" si="55"/>
        <v>25123</v>
      </c>
      <c r="H260" s="142">
        <f t="shared" si="55"/>
        <v>5742</v>
      </c>
      <c r="I260" s="142">
        <f t="shared" si="55"/>
        <v>1952</v>
      </c>
      <c r="J260" s="142">
        <f t="shared" si="55"/>
        <v>2232</v>
      </c>
      <c r="K260" s="142">
        <f t="shared" si="55"/>
        <v>23</v>
      </c>
      <c r="L260" s="142">
        <f t="shared" si="55"/>
        <v>80833</v>
      </c>
      <c r="N260" s="142">
        <f t="shared" ref="N260:X260" si="56">IF(AND(N212="-",N164="-",N116="-",N68="-",N20="-"),"-",SUM(N212,N164,N116,N68,N20))</f>
        <v>0</v>
      </c>
      <c r="O260" s="142">
        <f t="shared" si="56"/>
        <v>2</v>
      </c>
      <c r="P260" s="142">
        <f t="shared" si="56"/>
        <v>11</v>
      </c>
      <c r="Q260" s="142">
        <f t="shared" si="56"/>
        <v>681</v>
      </c>
      <c r="R260" s="142">
        <f t="shared" si="56"/>
        <v>34485</v>
      </c>
      <c r="S260" s="142">
        <f t="shared" si="56"/>
        <v>31893</v>
      </c>
      <c r="T260" s="142">
        <f t="shared" si="56"/>
        <v>1599</v>
      </c>
      <c r="U260" s="142">
        <f t="shared" si="56"/>
        <v>543</v>
      </c>
      <c r="V260" s="142">
        <f t="shared" si="56"/>
        <v>49</v>
      </c>
      <c r="W260" s="142">
        <f t="shared" si="56"/>
        <v>0</v>
      </c>
      <c r="X260" s="142">
        <f t="shared" si="56"/>
        <v>69263</v>
      </c>
    </row>
    <row r="261" spans="1:24">
      <c r="A261" s="99">
        <v>1992</v>
      </c>
      <c r="B261" s="142">
        <f t="shared" ref="B261:L261" si="57">IF(AND(B213="-",B165="-",B117="-",B69="-",B21="-"),"-",SUM(B213,B165,B117,B69,B21))</f>
        <v>473</v>
      </c>
      <c r="C261" s="142">
        <f t="shared" si="57"/>
        <v>3407</v>
      </c>
      <c r="D261" s="142">
        <f t="shared" si="57"/>
        <v>5410</v>
      </c>
      <c r="E261" s="142">
        <f t="shared" si="57"/>
        <v>6325</v>
      </c>
      <c r="F261" s="142">
        <f t="shared" si="57"/>
        <v>9460</v>
      </c>
      <c r="G261" s="142">
        <f t="shared" si="57"/>
        <v>24340</v>
      </c>
      <c r="H261" s="142">
        <f t="shared" si="57"/>
        <v>10106</v>
      </c>
      <c r="I261" s="142">
        <f t="shared" si="57"/>
        <v>10280</v>
      </c>
      <c r="J261" s="142">
        <f t="shared" si="57"/>
        <v>3322</v>
      </c>
      <c r="K261" s="142">
        <f t="shared" si="57"/>
        <v>454</v>
      </c>
      <c r="L261" s="142">
        <f t="shared" si="57"/>
        <v>73577</v>
      </c>
      <c r="N261" s="142">
        <f t="shared" ref="N261:X261" si="58">IF(AND(N213="-",N165="-",N117="-",N69="-",N21="-"),"-",SUM(N213,N165,N117,N69,N21))</f>
        <v>1</v>
      </c>
      <c r="O261" s="142">
        <f t="shared" si="58"/>
        <v>8</v>
      </c>
      <c r="P261" s="142">
        <f t="shared" si="58"/>
        <v>10</v>
      </c>
      <c r="Q261" s="142">
        <f t="shared" si="58"/>
        <v>388</v>
      </c>
      <c r="R261" s="142">
        <f t="shared" si="58"/>
        <v>446</v>
      </c>
      <c r="S261" s="142">
        <f t="shared" si="58"/>
        <v>8953</v>
      </c>
      <c r="T261" s="142">
        <f t="shared" si="58"/>
        <v>149</v>
      </c>
      <c r="U261" s="142">
        <f t="shared" si="58"/>
        <v>1517</v>
      </c>
      <c r="V261" s="142">
        <f t="shared" si="58"/>
        <v>49</v>
      </c>
      <c r="W261" s="142">
        <f t="shared" si="58"/>
        <v>0</v>
      </c>
      <c r="X261" s="142">
        <f t="shared" si="58"/>
        <v>11521</v>
      </c>
    </row>
    <row r="262" spans="1:24">
      <c r="A262" s="99">
        <v>1993</v>
      </c>
      <c r="B262" s="142">
        <f t="shared" ref="B262:J262" si="59">IF(AND(B214="-",B166="-",B118="-",B70="-",B22="-"),"-",SUM(B214,B166,B118,B70,B22))</f>
        <v>439</v>
      </c>
      <c r="C262" s="142">
        <f t="shared" si="59"/>
        <v>9855</v>
      </c>
      <c r="D262" s="142">
        <f t="shared" si="59"/>
        <v>15023</v>
      </c>
      <c r="E262" s="142">
        <f t="shared" si="59"/>
        <v>8930</v>
      </c>
      <c r="F262" s="142">
        <f t="shared" si="59"/>
        <v>7594</v>
      </c>
      <c r="G262" s="142">
        <f t="shared" si="59"/>
        <v>40393</v>
      </c>
      <c r="H262" s="142">
        <f t="shared" si="59"/>
        <v>18809</v>
      </c>
      <c r="I262" s="142">
        <f t="shared" si="59"/>
        <v>5387</v>
      </c>
      <c r="J262" s="142">
        <f t="shared" si="59"/>
        <v>3594</v>
      </c>
      <c r="K262" s="48" t="s">
        <v>106</v>
      </c>
      <c r="L262" s="142">
        <f t="shared" ref="L262:L288" si="60">IF(AND(L214="-",L166="-",L118="-",L70="-",L22="-"),"-",SUM(L214,L166,L118,L70,L22))</f>
        <v>110024</v>
      </c>
      <c r="N262" s="142">
        <f t="shared" ref="N262:X262" si="61">IF(AND(N214="-",N166="-",N118="-",N70="-",N22="-"),"-",SUM(N214,N166,N118,N70,N22))</f>
        <v>0</v>
      </c>
      <c r="O262" s="142">
        <f t="shared" si="61"/>
        <v>37</v>
      </c>
      <c r="P262" s="142">
        <f t="shared" si="61"/>
        <v>58</v>
      </c>
      <c r="Q262" s="142">
        <f t="shared" si="61"/>
        <v>851</v>
      </c>
      <c r="R262" s="142">
        <f t="shared" si="61"/>
        <v>2350</v>
      </c>
      <c r="S262" s="142">
        <f t="shared" si="61"/>
        <v>18809</v>
      </c>
      <c r="T262" s="142">
        <f t="shared" si="61"/>
        <v>6577</v>
      </c>
      <c r="U262" s="142">
        <f t="shared" si="61"/>
        <v>1060</v>
      </c>
      <c r="V262" s="142">
        <f t="shared" si="61"/>
        <v>11</v>
      </c>
      <c r="W262" s="142">
        <f t="shared" si="61"/>
        <v>0</v>
      </c>
      <c r="X262" s="142">
        <f t="shared" si="61"/>
        <v>29753</v>
      </c>
    </row>
    <row r="263" spans="1:24">
      <c r="A263" s="99">
        <v>1994</v>
      </c>
      <c r="B263" s="142">
        <f t="shared" ref="B263:J263" si="62">IF(AND(B215="-",B167="-",B119="-",B71="-",B23="-"),"-",SUM(B215,B167,B119,B71,B23))</f>
        <v>1228</v>
      </c>
      <c r="C263" s="142">
        <f t="shared" si="62"/>
        <v>7133</v>
      </c>
      <c r="D263" s="142">
        <f t="shared" si="62"/>
        <v>16428</v>
      </c>
      <c r="E263" s="142">
        <f t="shared" si="62"/>
        <v>18246</v>
      </c>
      <c r="F263" s="142">
        <f t="shared" si="62"/>
        <v>39028</v>
      </c>
      <c r="G263" s="142">
        <f t="shared" si="62"/>
        <v>54545</v>
      </c>
      <c r="H263" s="142">
        <f t="shared" si="62"/>
        <v>27066</v>
      </c>
      <c r="I263" s="142">
        <f t="shared" si="62"/>
        <v>15154</v>
      </c>
      <c r="J263" s="142">
        <f t="shared" si="62"/>
        <v>10987</v>
      </c>
      <c r="K263" s="48" t="s">
        <v>106</v>
      </c>
      <c r="L263" s="142">
        <f t="shared" si="60"/>
        <v>189815</v>
      </c>
      <c r="N263" s="142">
        <f t="shared" ref="N263:X263" si="63">IF(AND(N215="-",N167="-",N119="-",N71="-",N23="-"),"-",SUM(N215,N167,N119,N71,N23))</f>
        <v>0</v>
      </c>
      <c r="O263" s="142">
        <f t="shared" si="63"/>
        <v>0</v>
      </c>
      <c r="P263" s="142">
        <f t="shared" si="63"/>
        <v>20</v>
      </c>
      <c r="Q263" s="142">
        <f t="shared" si="63"/>
        <v>10</v>
      </c>
      <c r="R263" s="142">
        <f t="shared" si="63"/>
        <v>231</v>
      </c>
      <c r="S263" s="142">
        <f t="shared" si="63"/>
        <v>110</v>
      </c>
      <c r="T263" s="142">
        <f t="shared" si="63"/>
        <v>123</v>
      </c>
      <c r="U263" s="142">
        <f t="shared" si="63"/>
        <v>14</v>
      </c>
      <c r="V263" s="142">
        <f t="shared" si="63"/>
        <v>8</v>
      </c>
      <c r="W263" s="142">
        <f t="shared" si="63"/>
        <v>0</v>
      </c>
      <c r="X263" s="142">
        <f t="shared" si="63"/>
        <v>516</v>
      </c>
    </row>
    <row r="264" spans="1:24">
      <c r="A264" s="99">
        <v>1995</v>
      </c>
      <c r="B264" s="142">
        <f t="shared" ref="B264:J264" si="64">IF(AND(B216="-",B168="-",B120="-",B72="-",B24="-"),"-",SUM(B216,B168,B120,B72,B24))</f>
        <v>229</v>
      </c>
      <c r="C264" s="142">
        <f t="shared" si="64"/>
        <v>27335</v>
      </c>
      <c r="D264" s="142">
        <f t="shared" si="64"/>
        <v>57929</v>
      </c>
      <c r="E264" s="142">
        <f t="shared" si="64"/>
        <v>47221</v>
      </c>
      <c r="F264" s="142">
        <f t="shared" si="64"/>
        <v>80323</v>
      </c>
      <c r="G264" s="142">
        <f t="shared" si="64"/>
        <v>133651</v>
      </c>
      <c r="H264" s="142">
        <f t="shared" si="64"/>
        <v>31418</v>
      </c>
      <c r="I264" s="142">
        <f t="shared" si="64"/>
        <v>17006</v>
      </c>
      <c r="J264" s="142">
        <f t="shared" si="64"/>
        <v>2119</v>
      </c>
      <c r="K264" s="48" t="s">
        <v>106</v>
      </c>
      <c r="L264" s="142">
        <f t="shared" si="60"/>
        <v>397231</v>
      </c>
      <c r="N264" s="142">
        <f t="shared" ref="N264:X264" si="65">IF(AND(N216="-",N168="-",N120="-",N72="-",N24="-"),"-",SUM(N216,N168,N120,N72,N24))</f>
        <v>0</v>
      </c>
      <c r="O264" s="142">
        <f t="shared" si="65"/>
        <v>0</v>
      </c>
      <c r="P264" s="142">
        <f t="shared" si="65"/>
        <v>16</v>
      </c>
      <c r="Q264" s="142">
        <f t="shared" si="65"/>
        <v>15</v>
      </c>
      <c r="R264" s="142">
        <f t="shared" si="65"/>
        <v>473</v>
      </c>
      <c r="S264" s="142">
        <f t="shared" si="65"/>
        <v>143</v>
      </c>
      <c r="T264" s="142">
        <f t="shared" si="65"/>
        <v>138</v>
      </c>
      <c r="U264" s="142">
        <f t="shared" si="65"/>
        <v>146</v>
      </c>
      <c r="V264" s="142">
        <f t="shared" si="65"/>
        <v>9</v>
      </c>
      <c r="W264" s="142">
        <f t="shared" si="65"/>
        <v>0</v>
      </c>
      <c r="X264" s="142">
        <f t="shared" si="65"/>
        <v>940</v>
      </c>
    </row>
    <row r="265" spans="1:24">
      <c r="A265" s="99">
        <v>1996</v>
      </c>
      <c r="B265" s="142">
        <f t="shared" ref="B265:J265" si="66">IF(AND(B217="-",B169="-",B121="-",B73="-",B25="-"),"-",SUM(B217,B169,B121,B73,B25))</f>
        <v>11</v>
      </c>
      <c r="C265" s="142">
        <f t="shared" si="66"/>
        <v>31966</v>
      </c>
      <c r="D265" s="142">
        <f t="shared" si="66"/>
        <v>31658</v>
      </c>
      <c r="E265" s="142">
        <f t="shared" si="66"/>
        <v>15249</v>
      </c>
      <c r="F265" s="142">
        <f t="shared" si="66"/>
        <v>33049</v>
      </c>
      <c r="G265" s="142">
        <f t="shared" si="66"/>
        <v>33281</v>
      </c>
      <c r="H265" s="142">
        <f t="shared" si="66"/>
        <v>12443</v>
      </c>
      <c r="I265" s="142">
        <f t="shared" si="66"/>
        <v>5033</v>
      </c>
      <c r="J265" s="142">
        <f t="shared" si="66"/>
        <v>1342</v>
      </c>
      <c r="K265" s="48" t="s">
        <v>106</v>
      </c>
      <c r="L265" s="142">
        <f t="shared" si="60"/>
        <v>164032</v>
      </c>
      <c r="N265" s="142" t="str">
        <f t="shared" ref="N265:X265" si="67">IF(AND(N217="-",N169="-",N121="-",N73="-",N25="-"),"-",SUM(N217,N169,N121,N73,N25))</f>
        <v>-</v>
      </c>
      <c r="O265" s="142" t="str">
        <f t="shared" si="67"/>
        <v>-</v>
      </c>
      <c r="P265" s="142">
        <f t="shared" si="67"/>
        <v>3</v>
      </c>
      <c r="Q265" s="142">
        <f t="shared" si="67"/>
        <v>2</v>
      </c>
      <c r="R265" s="142">
        <f t="shared" si="67"/>
        <v>352</v>
      </c>
      <c r="S265" s="142">
        <f t="shared" si="67"/>
        <v>59</v>
      </c>
      <c r="T265" s="142">
        <f t="shared" si="67"/>
        <v>156</v>
      </c>
      <c r="U265" s="142">
        <f t="shared" si="67"/>
        <v>72</v>
      </c>
      <c r="V265" s="142" t="str">
        <f t="shared" si="67"/>
        <v>-</v>
      </c>
      <c r="W265" s="142" t="str">
        <f t="shared" si="67"/>
        <v>-</v>
      </c>
      <c r="X265" s="142">
        <f t="shared" si="67"/>
        <v>644</v>
      </c>
    </row>
    <row r="266" spans="1:24">
      <c r="A266" s="99">
        <v>1997</v>
      </c>
      <c r="B266" s="48" t="s">
        <v>106</v>
      </c>
      <c r="C266" s="142">
        <f t="shared" ref="C266:K266" si="68">IF(AND(C218="-",C170="-",C122="-",C74="-",C26="-"),"-",SUM(C218,C170,C122,C74,C26))</f>
        <v>20090</v>
      </c>
      <c r="D266" s="142">
        <f t="shared" si="68"/>
        <v>26939</v>
      </c>
      <c r="E266" s="142">
        <f t="shared" si="68"/>
        <v>27517</v>
      </c>
      <c r="F266" s="142">
        <f t="shared" si="68"/>
        <v>47934</v>
      </c>
      <c r="G266" s="142">
        <f t="shared" si="68"/>
        <v>74545</v>
      </c>
      <c r="H266" s="142">
        <f t="shared" si="68"/>
        <v>26407</v>
      </c>
      <c r="I266" s="142">
        <f t="shared" si="68"/>
        <v>3094</v>
      </c>
      <c r="J266" s="142">
        <f t="shared" si="68"/>
        <v>2384</v>
      </c>
      <c r="K266" s="142">
        <f t="shared" si="68"/>
        <v>58</v>
      </c>
      <c r="L266" s="142">
        <f t="shared" si="60"/>
        <v>228968</v>
      </c>
      <c r="N266" s="142" t="str">
        <f t="shared" ref="N266:X266" si="69">IF(AND(N218="-",N170="-",N122="-",N74="-",N26="-"),"-",SUM(N218,N170,N122,N74,N26))</f>
        <v>-</v>
      </c>
      <c r="O266" s="142" t="str">
        <f t="shared" si="69"/>
        <v>-</v>
      </c>
      <c r="P266" s="142" t="str">
        <f t="shared" si="69"/>
        <v>-</v>
      </c>
      <c r="Q266" s="142">
        <f t="shared" si="69"/>
        <v>34</v>
      </c>
      <c r="R266" s="142">
        <f t="shared" si="69"/>
        <v>70</v>
      </c>
      <c r="S266" s="142">
        <f t="shared" si="69"/>
        <v>275</v>
      </c>
      <c r="T266" s="142">
        <f t="shared" si="69"/>
        <v>85</v>
      </c>
      <c r="U266" s="142">
        <f t="shared" si="69"/>
        <v>22</v>
      </c>
      <c r="V266" s="142" t="str">
        <f t="shared" si="69"/>
        <v>-</v>
      </c>
      <c r="W266" s="142" t="str">
        <f t="shared" si="69"/>
        <v>-</v>
      </c>
      <c r="X266" s="142">
        <f t="shared" si="69"/>
        <v>486</v>
      </c>
    </row>
    <row r="267" spans="1:24">
      <c r="A267" s="99">
        <v>1998</v>
      </c>
      <c r="B267" s="48" t="s">
        <v>106</v>
      </c>
      <c r="C267" s="142">
        <f t="shared" ref="C267:J268" si="70">IF(AND(C219="-",C171="-",C123="-",C75="-",C27="-"),"-",SUM(C219,C171,C123,C75,C27))</f>
        <v>2989</v>
      </c>
      <c r="D267" s="142">
        <f t="shared" si="70"/>
        <v>13130</v>
      </c>
      <c r="E267" s="142">
        <f t="shared" si="70"/>
        <v>16026</v>
      </c>
      <c r="F267" s="142">
        <f t="shared" si="70"/>
        <v>24898</v>
      </c>
      <c r="G267" s="142">
        <f t="shared" si="70"/>
        <v>37451</v>
      </c>
      <c r="H267" s="142">
        <f t="shared" si="70"/>
        <v>21205</v>
      </c>
      <c r="I267" s="142">
        <f t="shared" si="70"/>
        <v>4525</v>
      </c>
      <c r="J267" s="142">
        <f t="shared" si="70"/>
        <v>1789</v>
      </c>
      <c r="K267" s="48" t="s">
        <v>106</v>
      </c>
      <c r="L267" s="142">
        <f t="shared" si="60"/>
        <v>122013</v>
      </c>
      <c r="N267" s="142" t="str">
        <f t="shared" ref="N267:X267" si="71">IF(AND(N219="-",N171="-",N123="-",N75="-",N27="-"),"-",SUM(N219,N171,N123,N75,N27))</f>
        <v>-</v>
      </c>
      <c r="O267" s="142" t="str">
        <f t="shared" si="71"/>
        <v>-</v>
      </c>
      <c r="P267" s="142" t="str">
        <f t="shared" si="71"/>
        <v>-</v>
      </c>
      <c r="Q267" s="142" t="str">
        <f t="shared" si="71"/>
        <v>-</v>
      </c>
      <c r="R267" s="142">
        <f t="shared" si="71"/>
        <v>27</v>
      </c>
      <c r="S267" s="142">
        <f t="shared" si="71"/>
        <v>36</v>
      </c>
      <c r="T267" s="142">
        <f t="shared" si="71"/>
        <v>40</v>
      </c>
      <c r="U267" s="142" t="str">
        <f t="shared" si="71"/>
        <v>-</v>
      </c>
      <c r="V267" s="142" t="str">
        <f t="shared" si="71"/>
        <v>-</v>
      </c>
      <c r="W267" s="142" t="str">
        <f t="shared" si="71"/>
        <v>-</v>
      </c>
      <c r="X267" s="142">
        <f t="shared" si="71"/>
        <v>103</v>
      </c>
    </row>
    <row r="268" spans="1:24">
      <c r="A268" s="99">
        <v>1999</v>
      </c>
      <c r="B268" s="142">
        <f>IF(AND(B220="-",B172="-",B124="-",B76="-",B28="-"),"-",SUM(B220,B172,B124,B76,B28))</f>
        <v>0</v>
      </c>
      <c r="C268" s="142">
        <f t="shared" si="70"/>
        <v>1691</v>
      </c>
      <c r="D268" s="142">
        <f t="shared" si="70"/>
        <v>6631</v>
      </c>
      <c r="E268" s="142">
        <f t="shared" si="70"/>
        <v>1639</v>
      </c>
      <c r="F268" s="142">
        <f t="shared" si="70"/>
        <v>15728</v>
      </c>
      <c r="G268" s="142">
        <f t="shared" si="70"/>
        <v>35249</v>
      </c>
      <c r="H268" s="142">
        <f t="shared" si="70"/>
        <v>17664</v>
      </c>
      <c r="I268" s="142">
        <f t="shared" si="70"/>
        <v>6688</v>
      </c>
      <c r="J268" s="142">
        <f t="shared" si="70"/>
        <v>2555</v>
      </c>
      <c r="K268" s="48" t="s">
        <v>106</v>
      </c>
      <c r="L268" s="142">
        <f t="shared" si="60"/>
        <v>87845</v>
      </c>
      <c r="N268" s="142" t="str">
        <f t="shared" ref="N268:X268" si="72">IF(AND(N220="-",N172="-",N124="-",N76="-",N28="-"),"-",SUM(N220,N172,N124,N76,N28))</f>
        <v>-</v>
      </c>
      <c r="O268" s="142" t="str">
        <f t="shared" si="72"/>
        <v>-</v>
      </c>
      <c r="P268" s="142" t="str">
        <f t="shared" si="72"/>
        <v>-</v>
      </c>
      <c r="Q268" s="142">
        <f t="shared" si="72"/>
        <v>12</v>
      </c>
      <c r="R268" s="142">
        <f t="shared" si="72"/>
        <v>224</v>
      </c>
      <c r="S268" s="142">
        <f t="shared" si="72"/>
        <v>168</v>
      </c>
      <c r="T268" s="142">
        <f t="shared" si="72"/>
        <v>186</v>
      </c>
      <c r="U268" s="142">
        <f t="shared" si="72"/>
        <v>12</v>
      </c>
      <c r="V268" s="142">
        <f t="shared" si="72"/>
        <v>6</v>
      </c>
      <c r="W268" s="142" t="str">
        <f t="shared" si="72"/>
        <v>-</v>
      </c>
      <c r="X268" s="142">
        <f t="shared" si="72"/>
        <v>608</v>
      </c>
    </row>
    <row r="269" spans="1:24">
      <c r="A269" s="99">
        <v>2000</v>
      </c>
      <c r="B269" s="48" t="s">
        <v>106</v>
      </c>
      <c r="C269" s="48" t="s">
        <v>106</v>
      </c>
      <c r="D269" s="142">
        <f t="shared" ref="D269:K278" si="73">IF(AND(D221="-",D173="-",D125="-",D77="-",D29="-"),"-",SUM(D221,D173,D125,D77,D29))</f>
        <v>40311</v>
      </c>
      <c r="E269" s="142">
        <f t="shared" si="73"/>
        <v>32406</v>
      </c>
      <c r="F269" s="142">
        <f t="shared" si="73"/>
        <v>37620</v>
      </c>
      <c r="G269" s="142">
        <f t="shared" si="73"/>
        <v>31170</v>
      </c>
      <c r="H269" s="142">
        <f t="shared" si="73"/>
        <v>23973</v>
      </c>
      <c r="I269" s="142">
        <f t="shared" si="73"/>
        <v>11651</v>
      </c>
      <c r="J269" s="142">
        <f t="shared" si="73"/>
        <v>6815</v>
      </c>
      <c r="K269" s="142">
        <f t="shared" si="73"/>
        <v>1905</v>
      </c>
      <c r="L269" s="142">
        <f t="shared" si="60"/>
        <v>185851</v>
      </c>
      <c r="N269" s="142" t="str">
        <f t="shared" ref="N269:X269" si="74">IF(AND(N221="-",N173="-",N125="-",N77="-",N29="-"),"-",SUM(N221,N173,N125,N77,N29))</f>
        <v>-</v>
      </c>
      <c r="O269" s="142" t="str">
        <f t="shared" si="74"/>
        <v>-</v>
      </c>
      <c r="P269" s="142" t="str">
        <f t="shared" si="74"/>
        <v>-</v>
      </c>
      <c r="Q269" s="142" t="str">
        <f t="shared" si="74"/>
        <v>-</v>
      </c>
      <c r="R269" s="142">
        <f t="shared" si="74"/>
        <v>160</v>
      </c>
      <c r="S269" s="142">
        <f t="shared" si="74"/>
        <v>90</v>
      </c>
      <c r="T269" s="142">
        <f t="shared" si="74"/>
        <v>158</v>
      </c>
      <c r="U269" s="142">
        <f t="shared" si="74"/>
        <v>11</v>
      </c>
      <c r="V269" s="142" t="str">
        <f t="shared" si="74"/>
        <v>-</v>
      </c>
      <c r="W269" s="142" t="str">
        <f t="shared" si="74"/>
        <v>-</v>
      </c>
      <c r="X269" s="142">
        <f t="shared" si="74"/>
        <v>419</v>
      </c>
    </row>
    <row r="270" spans="1:24">
      <c r="A270" s="99">
        <v>2001</v>
      </c>
      <c r="B270" s="48" t="s">
        <v>106</v>
      </c>
      <c r="C270" s="142">
        <f t="shared" ref="C270:C288" si="75">IF(AND(C222="-",C174="-",C126="-",C78="-",C30="-"),"-",SUM(C222,C174,C126,C78,C30))</f>
        <v>1256</v>
      </c>
      <c r="D270" s="142">
        <f t="shared" si="73"/>
        <v>18059</v>
      </c>
      <c r="E270" s="142">
        <f t="shared" si="73"/>
        <v>13775</v>
      </c>
      <c r="F270" s="142">
        <f t="shared" si="73"/>
        <v>12382</v>
      </c>
      <c r="G270" s="142">
        <f t="shared" si="73"/>
        <v>25767</v>
      </c>
      <c r="H270" s="142">
        <f t="shared" si="73"/>
        <v>14686</v>
      </c>
      <c r="I270" s="142">
        <f t="shared" si="73"/>
        <v>8564</v>
      </c>
      <c r="J270" s="142">
        <f t="shared" si="73"/>
        <v>3071</v>
      </c>
      <c r="K270" s="142">
        <f t="shared" si="73"/>
        <v>1223</v>
      </c>
      <c r="L270" s="142">
        <f t="shared" si="60"/>
        <v>98783</v>
      </c>
      <c r="N270" s="142" t="str">
        <f t="shared" ref="N270:X270" si="76">IF(AND(N222="-",N174="-",N126="-",N78="-",N30="-"),"-",SUM(N222,N174,N126,N78,N30))</f>
        <v>-</v>
      </c>
      <c r="O270" s="142" t="str">
        <f t="shared" si="76"/>
        <v>-</v>
      </c>
      <c r="P270" s="142">
        <f t="shared" si="76"/>
        <v>4</v>
      </c>
      <c r="Q270" s="142">
        <f t="shared" si="76"/>
        <v>431</v>
      </c>
      <c r="R270" s="142">
        <f t="shared" si="76"/>
        <v>313</v>
      </c>
      <c r="S270" s="142">
        <f t="shared" si="76"/>
        <v>506</v>
      </c>
      <c r="T270" s="142">
        <f t="shared" si="76"/>
        <v>75</v>
      </c>
      <c r="U270" s="142" t="str">
        <f t="shared" si="76"/>
        <v>-</v>
      </c>
      <c r="V270" s="142" t="str">
        <f t="shared" si="76"/>
        <v>-</v>
      </c>
      <c r="W270" s="142" t="str">
        <f t="shared" si="76"/>
        <v>-</v>
      </c>
      <c r="X270" s="142">
        <f t="shared" si="76"/>
        <v>1329</v>
      </c>
    </row>
    <row r="271" spans="1:24">
      <c r="A271" s="99">
        <v>2002</v>
      </c>
      <c r="B271" s="142">
        <f t="shared" ref="B271:B288" si="77">IF(AND(B223="-",B175="-",B127="-",B79="-",B31="-"),"-",SUM(B223,B175,B127,B79,B31))</f>
        <v>14</v>
      </c>
      <c r="C271" s="142">
        <f t="shared" si="75"/>
        <v>2979</v>
      </c>
      <c r="D271" s="142">
        <f t="shared" si="73"/>
        <v>37759</v>
      </c>
      <c r="E271" s="142">
        <f t="shared" si="73"/>
        <v>24475</v>
      </c>
      <c r="F271" s="142">
        <f t="shared" si="73"/>
        <v>35578</v>
      </c>
      <c r="G271" s="142">
        <f t="shared" si="73"/>
        <v>51923</v>
      </c>
      <c r="H271" s="142">
        <f t="shared" si="73"/>
        <v>23738</v>
      </c>
      <c r="I271" s="142">
        <f t="shared" si="73"/>
        <v>5169</v>
      </c>
      <c r="J271" s="142">
        <f t="shared" si="73"/>
        <v>348</v>
      </c>
      <c r="K271" s="142">
        <f t="shared" si="73"/>
        <v>61</v>
      </c>
      <c r="L271" s="142">
        <f t="shared" si="60"/>
        <v>182044</v>
      </c>
      <c r="N271" s="142" t="str">
        <f t="shared" ref="N271:X271" si="78">IF(AND(N223="-",N175="-",N127="-",N79="-",N31="-"),"-",SUM(N223,N175,N127,N79,N31))</f>
        <v>-</v>
      </c>
      <c r="O271" s="142" t="str">
        <f t="shared" si="78"/>
        <v>-</v>
      </c>
      <c r="P271" s="142">
        <f t="shared" si="78"/>
        <v>2</v>
      </c>
      <c r="Q271" s="142">
        <f t="shared" si="78"/>
        <v>32</v>
      </c>
      <c r="R271" s="142">
        <f t="shared" si="78"/>
        <v>352</v>
      </c>
      <c r="S271" s="142">
        <f t="shared" si="78"/>
        <v>359</v>
      </c>
      <c r="T271" s="142">
        <f t="shared" si="78"/>
        <v>74</v>
      </c>
      <c r="U271" s="142">
        <f t="shared" si="78"/>
        <v>9</v>
      </c>
      <c r="V271" s="142" t="str">
        <f t="shared" si="78"/>
        <v>-</v>
      </c>
      <c r="W271" s="142" t="str">
        <f t="shared" si="78"/>
        <v>-</v>
      </c>
      <c r="X271" s="142">
        <f t="shared" si="78"/>
        <v>828</v>
      </c>
    </row>
    <row r="272" spans="1:24">
      <c r="A272" s="99">
        <v>2003</v>
      </c>
      <c r="B272" s="142">
        <f t="shared" si="77"/>
        <v>444</v>
      </c>
      <c r="C272" s="142">
        <f t="shared" si="75"/>
        <v>3978</v>
      </c>
      <c r="D272" s="142">
        <f t="shared" si="73"/>
        <v>9569</v>
      </c>
      <c r="E272" s="142">
        <f t="shared" si="73"/>
        <v>15146</v>
      </c>
      <c r="F272" s="142">
        <f t="shared" si="73"/>
        <v>20883</v>
      </c>
      <c r="G272" s="142">
        <f t="shared" si="73"/>
        <v>30881</v>
      </c>
      <c r="H272" s="142">
        <f t="shared" si="73"/>
        <v>8277</v>
      </c>
      <c r="I272" s="142">
        <f t="shared" si="73"/>
        <v>4448</v>
      </c>
      <c r="J272" s="142">
        <f t="shared" si="73"/>
        <v>1048</v>
      </c>
      <c r="K272" s="142">
        <f t="shared" si="73"/>
        <v>0</v>
      </c>
      <c r="L272" s="142">
        <f t="shared" si="60"/>
        <v>94674</v>
      </c>
      <c r="N272" s="142" t="str">
        <f t="shared" ref="N272:X272" si="79">IF(AND(N224="-",N176="-",N128="-",N80="-",N32="-"),"-",SUM(N224,N176,N128,N80,N32))</f>
        <v>-</v>
      </c>
      <c r="O272" s="142" t="str">
        <f t="shared" si="79"/>
        <v>-</v>
      </c>
      <c r="P272" s="142" t="str">
        <f t="shared" si="79"/>
        <v>-</v>
      </c>
      <c r="Q272" s="142">
        <f t="shared" si="79"/>
        <v>99</v>
      </c>
      <c r="R272" s="142">
        <f t="shared" si="79"/>
        <v>251</v>
      </c>
      <c r="S272" s="142">
        <f t="shared" si="79"/>
        <v>197</v>
      </c>
      <c r="T272" s="142">
        <f t="shared" si="79"/>
        <v>57</v>
      </c>
      <c r="U272" s="142">
        <f t="shared" si="79"/>
        <v>9</v>
      </c>
      <c r="V272" s="142" t="str">
        <f t="shared" si="79"/>
        <v>-</v>
      </c>
      <c r="W272" s="142" t="str">
        <f t="shared" si="79"/>
        <v>-</v>
      </c>
      <c r="X272" s="142">
        <f t="shared" si="79"/>
        <v>613</v>
      </c>
    </row>
    <row r="273" spans="1:24">
      <c r="A273" s="99">
        <v>2004</v>
      </c>
      <c r="B273" s="142">
        <f t="shared" si="77"/>
        <v>41</v>
      </c>
      <c r="C273" s="142">
        <f t="shared" si="75"/>
        <v>510</v>
      </c>
      <c r="D273" s="142">
        <f t="shared" si="73"/>
        <v>31470</v>
      </c>
      <c r="E273" s="142">
        <f t="shared" si="73"/>
        <v>30830</v>
      </c>
      <c r="F273" s="142">
        <f t="shared" si="73"/>
        <v>36153</v>
      </c>
      <c r="G273" s="142">
        <f t="shared" si="73"/>
        <v>75160</v>
      </c>
      <c r="H273" s="142">
        <f t="shared" si="73"/>
        <v>32432</v>
      </c>
      <c r="I273" s="142">
        <f t="shared" si="73"/>
        <v>11362</v>
      </c>
      <c r="J273" s="142">
        <f t="shared" si="73"/>
        <v>2818</v>
      </c>
      <c r="K273" s="142">
        <f t="shared" si="73"/>
        <v>338</v>
      </c>
      <c r="L273" s="142">
        <f t="shared" si="60"/>
        <v>221114</v>
      </c>
      <c r="N273" s="142" t="str">
        <f t="shared" ref="N273:X273" si="80">IF(AND(N225="-",N177="-",N129="-",N81="-",N33="-"),"-",SUM(N225,N177,N129,N81,N33))</f>
        <v>-</v>
      </c>
      <c r="O273" s="142" t="str">
        <f t="shared" si="80"/>
        <v>-</v>
      </c>
      <c r="P273" s="142" t="str">
        <f t="shared" si="80"/>
        <v>-</v>
      </c>
      <c r="Q273" s="142">
        <f t="shared" si="80"/>
        <v>233</v>
      </c>
      <c r="R273" s="142">
        <f t="shared" si="80"/>
        <v>196</v>
      </c>
      <c r="S273" s="142">
        <f t="shared" si="80"/>
        <v>589</v>
      </c>
      <c r="T273" s="142">
        <f t="shared" si="80"/>
        <v>348</v>
      </c>
      <c r="U273" s="142">
        <f t="shared" si="80"/>
        <v>58</v>
      </c>
      <c r="V273" s="142" t="str">
        <f t="shared" si="80"/>
        <v>-</v>
      </c>
      <c r="W273" s="142" t="str">
        <f t="shared" si="80"/>
        <v>-</v>
      </c>
      <c r="X273" s="142">
        <f t="shared" si="80"/>
        <v>1424</v>
      </c>
    </row>
    <row r="274" spans="1:24">
      <c r="A274" s="99">
        <v>2005</v>
      </c>
      <c r="B274" s="142">
        <f t="shared" si="77"/>
        <v>285</v>
      </c>
      <c r="C274" s="142">
        <f t="shared" si="75"/>
        <v>111</v>
      </c>
      <c r="D274" s="142">
        <f t="shared" si="73"/>
        <v>14255</v>
      </c>
      <c r="E274" s="142">
        <f t="shared" si="73"/>
        <v>15298</v>
      </c>
      <c r="F274" s="142">
        <f t="shared" si="73"/>
        <v>38665</v>
      </c>
      <c r="G274" s="142">
        <f t="shared" si="73"/>
        <v>36362</v>
      </c>
      <c r="H274" s="142">
        <f t="shared" si="73"/>
        <v>20275</v>
      </c>
      <c r="I274" s="142">
        <f t="shared" si="73"/>
        <v>13696</v>
      </c>
      <c r="J274" s="142">
        <f t="shared" si="73"/>
        <v>3955</v>
      </c>
      <c r="K274" s="142">
        <f t="shared" si="73"/>
        <v>355</v>
      </c>
      <c r="L274" s="142">
        <f t="shared" si="60"/>
        <v>143257</v>
      </c>
      <c r="N274" s="142" t="str">
        <f t="shared" ref="N274:X274" si="81">IF(AND(N226="-",N178="-",N130="-",N82="-",N34="-"),"-",SUM(N226,N178,N130,N82,N34))</f>
        <v>-</v>
      </c>
      <c r="O274" s="142" t="str">
        <f t="shared" si="81"/>
        <v>-</v>
      </c>
      <c r="P274" s="142" t="str">
        <f t="shared" si="81"/>
        <v>-</v>
      </c>
      <c r="Q274" s="142">
        <f t="shared" si="81"/>
        <v>59</v>
      </c>
      <c r="R274" s="142">
        <f t="shared" si="81"/>
        <v>290</v>
      </c>
      <c r="S274" s="142">
        <f t="shared" si="81"/>
        <v>246</v>
      </c>
      <c r="T274" s="142">
        <f t="shared" si="81"/>
        <v>56</v>
      </c>
      <c r="U274" s="142">
        <f t="shared" si="81"/>
        <v>48</v>
      </c>
      <c r="V274" s="142" t="str">
        <f t="shared" si="81"/>
        <v>-</v>
      </c>
      <c r="W274" s="142" t="str">
        <f t="shared" si="81"/>
        <v>-</v>
      </c>
      <c r="X274" s="142">
        <f t="shared" si="81"/>
        <v>699</v>
      </c>
    </row>
    <row r="275" spans="1:24">
      <c r="A275" s="99">
        <v>2006</v>
      </c>
      <c r="B275" s="142">
        <f t="shared" si="77"/>
        <v>55</v>
      </c>
      <c r="C275" s="142">
        <f t="shared" si="75"/>
        <v>109</v>
      </c>
      <c r="D275" s="142">
        <f t="shared" si="73"/>
        <v>9408</v>
      </c>
      <c r="E275" s="142">
        <f t="shared" si="73"/>
        <v>18801</v>
      </c>
      <c r="F275" s="142">
        <f t="shared" si="73"/>
        <v>29785</v>
      </c>
      <c r="G275" s="142">
        <f t="shared" si="73"/>
        <v>28986</v>
      </c>
      <c r="H275" s="142">
        <f t="shared" si="73"/>
        <v>4023</v>
      </c>
      <c r="I275" s="142">
        <f t="shared" si="73"/>
        <v>4802</v>
      </c>
      <c r="J275" s="142">
        <f t="shared" si="73"/>
        <v>256</v>
      </c>
      <c r="K275" s="142">
        <f t="shared" si="73"/>
        <v>67</v>
      </c>
      <c r="L275" s="142">
        <f t="shared" si="60"/>
        <v>96292</v>
      </c>
      <c r="N275" s="142" t="str">
        <f t="shared" ref="N275:X275" si="82">IF(AND(N227="-",N179="-",N131="-",N83="-",N35="-"),"-",SUM(N227,N179,N131,N83,N35))</f>
        <v>-</v>
      </c>
      <c r="O275" s="142" t="str">
        <f t="shared" si="82"/>
        <v>-</v>
      </c>
      <c r="P275" s="142" t="str">
        <f t="shared" si="82"/>
        <v>-</v>
      </c>
      <c r="Q275" s="142">
        <f t="shared" si="82"/>
        <v>199</v>
      </c>
      <c r="R275" s="142">
        <f t="shared" si="82"/>
        <v>669</v>
      </c>
      <c r="S275" s="142">
        <f t="shared" si="82"/>
        <v>621</v>
      </c>
      <c r="T275" s="142">
        <f t="shared" si="82"/>
        <v>49</v>
      </c>
      <c r="U275" s="142">
        <f t="shared" si="82"/>
        <v>88</v>
      </c>
      <c r="V275" s="142" t="str">
        <f t="shared" si="82"/>
        <v>-</v>
      </c>
      <c r="W275" s="142" t="str">
        <f t="shared" si="82"/>
        <v>-</v>
      </c>
      <c r="X275" s="142">
        <f t="shared" si="82"/>
        <v>1626</v>
      </c>
    </row>
    <row r="276" spans="1:24">
      <c r="A276" s="99">
        <v>2007</v>
      </c>
      <c r="B276" s="142">
        <f t="shared" si="77"/>
        <v>48</v>
      </c>
      <c r="C276" s="142">
        <f t="shared" si="75"/>
        <v>200</v>
      </c>
      <c r="D276" s="142">
        <f t="shared" si="73"/>
        <v>3152</v>
      </c>
      <c r="E276" s="142">
        <f t="shared" si="73"/>
        <v>7232</v>
      </c>
      <c r="F276" s="142">
        <f t="shared" si="73"/>
        <v>13861</v>
      </c>
      <c r="G276" s="142">
        <f t="shared" si="73"/>
        <v>12965</v>
      </c>
      <c r="H276" s="142">
        <f t="shared" si="73"/>
        <v>7218</v>
      </c>
      <c r="I276" s="142">
        <f t="shared" si="73"/>
        <v>2262</v>
      </c>
      <c r="J276" s="142">
        <f t="shared" si="73"/>
        <v>441</v>
      </c>
      <c r="K276" s="142">
        <f t="shared" si="73"/>
        <v>325</v>
      </c>
      <c r="L276" s="142">
        <f t="shared" si="60"/>
        <v>47704</v>
      </c>
      <c r="N276" s="142" t="str">
        <f t="shared" ref="N276:X276" si="83">IF(AND(N228="-",N180="-",N132="-",N84="-",N36="-"),"-",SUM(N228,N180,N132,N84,N36))</f>
        <v>-</v>
      </c>
      <c r="O276" s="142" t="str">
        <f t="shared" si="83"/>
        <v>-</v>
      </c>
      <c r="P276" s="142" t="str">
        <f t="shared" si="83"/>
        <v>-</v>
      </c>
      <c r="Q276" s="142">
        <f t="shared" si="83"/>
        <v>53</v>
      </c>
      <c r="R276" s="142">
        <f t="shared" si="83"/>
        <v>217</v>
      </c>
      <c r="S276" s="142">
        <f t="shared" si="83"/>
        <v>288</v>
      </c>
      <c r="T276" s="142">
        <f t="shared" si="83"/>
        <v>133</v>
      </c>
      <c r="U276" s="142">
        <f t="shared" si="83"/>
        <v>55</v>
      </c>
      <c r="V276" s="142" t="str">
        <f t="shared" si="83"/>
        <v>-</v>
      </c>
      <c r="W276" s="142" t="str">
        <f t="shared" si="83"/>
        <v>-</v>
      </c>
      <c r="X276" s="142">
        <f t="shared" si="83"/>
        <v>746</v>
      </c>
    </row>
    <row r="277" spans="1:24">
      <c r="A277" s="99">
        <v>2008</v>
      </c>
      <c r="B277" s="142">
        <f t="shared" si="77"/>
        <v>0</v>
      </c>
      <c r="C277" s="142">
        <f t="shared" si="75"/>
        <v>6</v>
      </c>
      <c r="D277" s="142" t="str">
        <f t="shared" si="73"/>
        <v>-</v>
      </c>
      <c r="E277" s="142" t="str">
        <f t="shared" si="73"/>
        <v>-</v>
      </c>
      <c r="F277" s="142" t="str">
        <f t="shared" si="73"/>
        <v>-</v>
      </c>
      <c r="G277" s="142" t="str">
        <f t="shared" si="73"/>
        <v>-</v>
      </c>
      <c r="H277" s="142" t="str">
        <f t="shared" si="73"/>
        <v>-</v>
      </c>
      <c r="I277" s="142" t="str">
        <f t="shared" si="73"/>
        <v>-</v>
      </c>
      <c r="J277" s="142" t="str">
        <f t="shared" si="73"/>
        <v>-</v>
      </c>
      <c r="K277" s="142" t="str">
        <f t="shared" si="73"/>
        <v>-</v>
      </c>
      <c r="L277" s="142">
        <f t="shared" si="60"/>
        <v>6</v>
      </c>
      <c r="N277" s="142" t="str">
        <f t="shared" ref="N277:X277" si="84">IF(AND(N229="-",N181="-",N133="-",N85="-",N37="-"),"-",SUM(N229,N181,N133,N85,N37))</f>
        <v>-</v>
      </c>
      <c r="O277" s="142" t="str">
        <f t="shared" si="84"/>
        <v>-</v>
      </c>
      <c r="P277" s="142" t="str">
        <f t="shared" si="84"/>
        <v>-</v>
      </c>
      <c r="Q277" s="142" t="str">
        <f t="shared" si="84"/>
        <v>-</v>
      </c>
      <c r="R277" s="142" t="str">
        <f t="shared" si="84"/>
        <v>-</v>
      </c>
      <c r="S277" s="142" t="str">
        <f t="shared" si="84"/>
        <v>-</v>
      </c>
      <c r="T277" s="142" t="str">
        <f t="shared" si="84"/>
        <v>-</v>
      </c>
      <c r="U277" s="142" t="str">
        <f t="shared" si="84"/>
        <v>-</v>
      </c>
      <c r="V277" s="142" t="str">
        <f t="shared" si="84"/>
        <v>-</v>
      </c>
      <c r="W277" s="142" t="str">
        <f t="shared" si="84"/>
        <v>-</v>
      </c>
      <c r="X277" s="142" t="str">
        <f t="shared" si="84"/>
        <v>-</v>
      </c>
    </row>
    <row r="278" spans="1:24">
      <c r="A278" s="99">
        <v>2009</v>
      </c>
      <c r="B278" s="142" t="str">
        <f t="shared" si="77"/>
        <v>-</v>
      </c>
      <c r="C278" s="142" t="str">
        <f t="shared" si="75"/>
        <v>-</v>
      </c>
      <c r="D278" s="142" t="str">
        <f t="shared" si="73"/>
        <v>-</v>
      </c>
      <c r="E278" s="142" t="str">
        <f t="shared" si="73"/>
        <v>-</v>
      </c>
      <c r="F278" s="142" t="str">
        <f t="shared" si="73"/>
        <v>-</v>
      </c>
      <c r="G278" s="142" t="str">
        <f t="shared" si="73"/>
        <v>-</v>
      </c>
      <c r="H278" s="142">
        <f t="shared" si="73"/>
        <v>302</v>
      </c>
      <c r="I278" s="142">
        <f t="shared" si="73"/>
        <v>370</v>
      </c>
      <c r="J278" s="142" t="str">
        <f t="shared" si="73"/>
        <v>-</v>
      </c>
      <c r="K278" s="142" t="str">
        <f t="shared" si="73"/>
        <v>-</v>
      </c>
      <c r="L278" s="142">
        <f t="shared" si="60"/>
        <v>672</v>
      </c>
      <c r="N278" s="142" t="str">
        <f t="shared" ref="N278:X278" si="85">IF(AND(N230="-",N182="-",N134="-",N86="-",N38="-"),"-",SUM(N230,N182,N134,N86,N38))</f>
        <v>-</v>
      </c>
      <c r="O278" s="142" t="str">
        <f t="shared" si="85"/>
        <v>-</v>
      </c>
      <c r="P278" s="142" t="str">
        <f t="shared" si="85"/>
        <v>-</v>
      </c>
      <c r="Q278" s="142" t="str">
        <f t="shared" si="85"/>
        <v>-</v>
      </c>
      <c r="R278" s="142" t="str">
        <f t="shared" si="85"/>
        <v>-</v>
      </c>
      <c r="S278" s="142" t="str">
        <f t="shared" si="85"/>
        <v>-</v>
      </c>
      <c r="T278" s="142" t="str">
        <f t="shared" si="85"/>
        <v>-</v>
      </c>
      <c r="U278" s="142">
        <f t="shared" si="85"/>
        <v>8</v>
      </c>
      <c r="V278" s="142" t="str">
        <f t="shared" si="85"/>
        <v>-</v>
      </c>
      <c r="W278" s="142" t="str">
        <f t="shared" si="85"/>
        <v>-</v>
      </c>
      <c r="X278" s="142">
        <f t="shared" si="85"/>
        <v>8</v>
      </c>
    </row>
    <row r="279" spans="1:24">
      <c r="A279" s="99">
        <v>2010</v>
      </c>
      <c r="B279" s="142" t="str">
        <f t="shared" si="77"/>
        <v>-</v>
      </c>
      <c r="C279" s="142" t="str">
        <f t="shared" si="75"/>
        <v>-</v>
      </c>
      <c r="D279" s="142">
        <f t="shared" ref="D279:K288" si="86">IF(AND(D231="-",D183="-",D135="-",D87="-",D39="-"),"-",SUM(D231,D183,D135,D87,D39))</f>
        <v>5265</v>
      </c>
      <c r="E279" s="142">
        <f t="shared" si="86"/>
        <v>2425</v>
      </c>
      <c r="F279" s="142">
        <f t="shared" si="86"/>
        <v>788</v>
      </c>
      <c r="G279" s="142">
        <f t="shared" si="86"/>
        <v>2605</v>
      </c>
      <c r="H279" s="142">
        <f t="shared" si="86"/>
        <v>3300</v>
      </c>
      <c r="I279" s="142">
        <f t="shared" si="86"/>
        <v>426</v>
      </c>
      <c r="J279" s="142" t="str">
        <f t="shared" si="86"/>
        <v>-</v>
      </c>
      <c r="K279" s="142" t="str">
        <f t="shared" si="86"/>
        <v>-</v>
      </c>
      <c r="L279" s="142">
        <f t="shared" si="60"/>
        <v>14809</v>
      </c>
      <c r="N279" s="142" t="str">
        <f t="shared" ref="N279:X279" si="87">IF(AND(N231="-",N183="-",N135="-",N87="-",N39="-"),"-",SUM(N231,N183,N135,N87,N39))</f>
        <v>-</v>
      </c>
      <c r="O279" s="142" t="str">
        <f t="shared" si="87"/>
        <v>-</v>
      </c>
      <c r="P279" s="142">
        <f t="shared" si="87"/>
        <v>8</v>
      </c>
      <c r="Q279" s="142">
        <f t="shared" si="87"/>
        <v>7</v>
      </c>
      <c r="R279" s="142">
        <f t="shared" si="87"/>
        <v>68</v>
      </c>
      <c r="S279" s="142">
        <f t="shared" si="87"/>
        <v>15</v>
      </c>
      <c r="T279" s="142">
        <f t="shared" si="87"/>
        <v>69</v>
      </c>
      <c r="U279" s="142">
        <f t="shared" si="87"/>
        <v>8</v>
      </c>
      <c r="V279" s="142" t="str">
        <f t="shared" si="87"/>
        <v>-</v>
      </c>
      <c r="W279" s="142" t="str">
        <f t="shared" si="87"/>
        <v>-</v>
      </c>
      <c r="X279" s="142">
        <f t="shared" si="87"/>
        <v>175</v>
      </c>
    </row>
    <row r="280" spans="1:24">
      <c r="A280" s="99">
        <v>2011</v>
      </c>
      <c r="B280" s="142" t="str">
        <f t="shared" si="77"/>
        <v>-</v>
      </c>
      <c r="C280" s="142" t="str">
        <f t="shared" si="75"/>
        <v>-</v>
      </c>
      <c r="D280" s="142">
        <f t="shared" si="86"/>
        <v>5522</v>
      </c>
      <c r="E280" s="142">
        <f t="shared" si="86"/>
        <v>2585</v>
      </c>
      <c r="F280" s="142">
        <f t="shared" si="86"/>
        <v>3380</v>
      </c>
      <c r="G280" s="142">
        <f t="shared" si="86"/>
        <v>16882</v>
      </c>
      <c r="H280" s="142">
        <f t="shared" si="86"/>
        <v>13100</v>
      </c>
      <c r="I280" s="142">
        <f t="shared" si="86"/>
        <v>7095</v>
      </c>
      <c r="J280" s="142">
        <f t="shared" si="86"/>
        <v>1258</v>
      </c>
      <c r="K280" s="142" t="str">
        <f t="shared" si="86"/>
        <v>-</v>
      </c>
      <c r="L280" s="142">
        <f t="shared" si="60"/>
        <v>49822</v>
      </c>
      <c r="N280" s="142" t="str">
        <f t="shared" ref="N280:X280" si="88">IF(AND(N232="-",N184="-",N136="-",N88="-",N40="-"),"-",SUM(N232,N184,N136,N88,N40))</f>
        <v>-</v>
      </c>
      <c r="O280" s="142" t="str">
        <f t="shared" si="88"/>
        <v>-</v>
      </c>
      <c r="P280" s="142">
        <f t="shared" si="88"/>
        <v>8</v>
      </c>
      <c r="Q280" s="142">
        <f t="shared" si="88"/>
        <v>15</v>
      </c>
      <c r="R280" s="142">
        <f t="shared" si="88"/>
        <v>72</v>
      </c>
      <c r="S280" s="142">
        <f t="shared" si="88"/>
        <v>166</v>
      </c>
      <c r="T280" s="142">
        <f t="shared" si="88"/>
        <v>46</v>
      </c>
      <c r="U280" s="142">
        <f t="shared" si="88"/>
        <v>4</v>
      </c>
      <c r="V280" s="142">
        <f t="shared" si="88"/>
        <v>5</v>
      </c>
      <c r="W280" s="142" t="str">
        <f t="shared" si="88"/>
        <v>-</v>
      </c>
      <c r="X280" s="142">
        <f t="shared" si="88"/>
        <v>316</v>
      </c>
    </row>
    <row r="281" spans="1:24">
      <c r="A281" s="99">
        <v>2012</v>
      </c>
      <c r="B281" s="142" t="str">
        <f t="shared" si="77"/>
        <v>-</v>
      </c>
      <c r="C281" s="142" t="str">
        <f t="shared" si="75"/>
        <v>-</v>
      </c>
      <c r="D281" s="142">
        <f t="shared" si="86"/>
        <v>18786</v>
      </c>
      <c r="E281" s="142">
        <f t="shared" si="86"/>
        <v>14723</v>
      </c>
      <c r="F281" s="142">
        <f t="shared" si="86"/>
        <v>27892</v>
      </c>
      <c r="G281" s="142">
        <f t="shared" si="86"/>
        <v>35707</v>
      </c>
      <c r="H281" s="142">
        <f t="shared" si="86"/>
        <v>17475</v>
      </c>
      <c r="I281" s="142">
        <f t="shared" si="86"/>
        <v>7089</v>
      </c>
      <c r="J281" s="142">
        <f t="shared" si="86"/>
        <v>2094</v>
      </c>
      <c r="K281" s="142">
        <f t="shared" si="86"/>
        <v>160</v>
      </c>
      <c r="L281" s="142">
        <f t="shared" si="60"/>
        <v>123926</v>
      </c>
      <c r="N281" s="142" t="str">
        <f t="shared" ref="N281:X281" si="89">IF(AND(N233="-",N185="-",N137="-",N89="-",N41="-"),"-",SUM(N233,N185,N137,N89,N41))</f>
        <v>-</v>
      </c>
      <c r="O281" s="142" t="str">
        <f t="shared" si="89"/>
        <v>-</v>
      </c>
      <c r="P281" s="142" t="str">
        <f t="shared" si="89"/>
        <v>-</v>
      </c>
      <c r="Q281" s="142">
        <f t="shared" si="89"/>
        <v>3</v>
      </c>
      <c r="R281" s="142">
        <f t="shared" si="89"/>
        <v>49</v>
      </c>
      <c r="S281" s="142">
        <f t="shared" si="89"/>
        <v>46</v>
      </c>
      <c r="T281" s="142" t="str">
        <f t="shared" si="89"/>
        <v>-</v>
      </c>
      <c r="U281" s="142">
        <f t="shared" si="89"/>
        <v>3</v>
      </c>
      <c r="V281" s="142" t="str">
        <f t="shared" si="89"/>
        <v>-</v>
      </c>
      <c r="W281" s="142" t="str">
        <f t="shared" si="89"/>
        <v>-</v>
      </c>
      <c r="X281" s="142">
        <f t="shared" si="89"/>
        <v>101</v>
      </c>
    </row>
    <row r="282" spans="1:24">
      <c r="A282" s="99">
        <v>2013</v>
      </c>
      <c r="B282" s="142" t="str">
        <f t="shared" si="77"/>
        <v>-</v>
      </c>
      <c r="C282" s="142" t="str">
        <f t="shared" si="75"/>
        <v>-</v>
      </c>
      <c r="D282" s="142">
        <f t="shared" si="86"/>
        <v>13656</v>
      </c>
      <c r="E282" s="142">
        <f t="shared" si="86"/>
        <v>13900</v>
      </c>
      <c r="F282" s="142">
        <f t="shared" si="86"/>
        <v>26243</v>
      </c>
      <c r="G282" s="142">
        <f t="shared" si="86"/>
        <v>40509</v>
      </c>
      <c r="H282" s="142">
        <f t="shared" si="86"/>
        <v>17714</v>
      </c>
      <c r="I282" s="142">
        <f t="shared" si="86"/>
        <v>2606</v>
      </c>
      <c r="J282" s="142">
        <f t="shared" si="86"/>
        <v>1359</v>
      </c>
      <c r="K282" s="142">
        <f t="shared" si="86"/>
        <v>87</v>
      </c>
      <c r="L282" s="142">
        <f t="shared" si="60"/>
        <v>116074</v>
      </c>
      <c r="N282" s="142" t="str">
        <f t="shared" ref="N282:X282" si="90">IF(AND(N234="-",N186="-",N138="-",N90="-",N42="-"),"-",SUM(N234,N186,N138,N90,N42))</f>
        <v>-</v>
      </c>
      <c r="O282" s="142" t="str">
        <f t="shared" si="90"/>
        <v>-</v>
      </c>
      <c r="P282" s="142" t="str">
        <f t="shared" si="90"/>
        <v>-</v>
      </c>
      <c r="Q282" s="142" t="str">
        <f t="shared" si="90"/>
        <v>-</v>
      </c>
      <c r="R282" s="142">
        <f t="shared" si="90"/>
        <v>91</v>
      </c>
      <c r="S282" s="142">
        <f t="shared" si="90"/>
        <v>144</v>
      </c>
      <c r="T282" s="142">
        <f t="shared" si="90"/>
        <v>126</v>
      </c>
      <c r="U282" s="142" t="str">
        <f t="shared" si="90"/>
        <v>-</v>
      </c>
      <c r="V282" s="142" t="str">
        <f t="shared" si="90"/>
        <v>-</v>
      </c>
      <c r="W282" s="142" t="str">
        <f t="shared" si="90"/>
        <v>-</v>
      </c>
      <c r="X282" s="142">
        <f t="shared" si="90"/>
        <v>361</v>
      </c>
    </row>
    <row r="283" spans="1:24">
      <c r="A283" s="99">
        <v>2014</v>
      </c>
      <c r="B283" s="142" t="str">
        <f t="shared" si="77"/>
        <v>-</v>
      </c>
      <c r="C283" s="142" t="str">
        <f t="shared" si="75"/>
        <v>-</v>
      </c>
      <c r="D283" s="142">
        <f t="shared" si="86"/>
        <v>13924</v>
      </c>
      <c r="E283" s="142">
        <f t="shared" si="86"/>
        <v>7508</v>
      </c>
      <c r="F283" s="142">
        <f t="shared" si="86"/>
        <v>7978</v>
      </c>
      <c r="G283" s="142">
        <f t="shared" si="86"/>
        <v>19678</v>
      </c>
      <c r="H283" s="142">
        <f t="shared" si="86"/>
        <v>15848</v>
      </c>
      <c r="I283" s="142">
        <f t="shared" si="86"/>
        <v>6706</v>
      </c>
      <c r="J283" s="142">
        <f t="shared" si="86"/>
        <v>3073</v>
      </c>
      <c r="K283" s="142">
        <f t="shared" si="86"/>
        <v>125</v>
      </c>
      <c r="L283" s="142">
        <f t="shared" si="60"/>
        <v>74840</v>
      </c>
      <c r="N283" s="142" t="str">
        <f t="shared" ref="N283:X283" si="91">IF(AND(N235="-",N187="-",N139="-",N91="-",N43="-"),"-",SUM(N235,N187,N139,N91,N43))</f>
        <v>-</v>
      </c>
      <c r="O283" s="142" t="str">
        <f t="shared" si="91"/>
        <v>-</v>
      </c>
      <c r="P283" s="142" t="str">
        <f t="shared" si="91"/>
        <v>-</v>
      </c>
      <c r="Q283" s="142">
        <f t="shared" si="91"/>
        <v>23</v>
      </c>
      <c r="R283" s="142">
        <f t="shared" si="91"/>
        <v>118</v>
      </c>
      <c r="S283" s="142">
        <f t="shared" si="91"/>
        <v>331</v>
      </c>
      <c r="T283" s="142">
        <f t="shared" si="91"/>
        <v>4</v>
      </c>
      <c r="U283" s="142">
        <f t="shared" si="91"/>
        <v>3</v>
      </c>
      <c r="V283" s="142" t="str">
        <f t="shared" si="91"/>
        <v>-</v>
      </c>
      <c r="W283" s="142" t="str">
        <f t="shared" si="91"/>
        <v>-</v>
      </c>
      <c r="X283" s="142">
        <f t="shared" si="91"/>
        <v>479</v>
      </c>
    </row>
    <row r="284" spans="1:24">
      <c r="A284" s="99">
        <v>2015</v>
      </c>
      <c r="B284" s="142" t="str">
        <f t="shared" si="77"/>
        <v>-</v>
      </c>
      <c r="C284" s="142" t="str">
        <f t="shared" si="75"/>
        <v>-</v>
      </c>
      <c r="D284" s="142">
        <f t="shared" si="86"/>
        <v>3024</v>
      </c>
      <c r="E284" s="142">
        <f t="shared" si="86"/>
        <v>2793</v>
      </c>
      <c r="F284" s="142">
        <f t="shared" si="86"/>
        <v>3433</v>
      </c>
      <c r="G284" s="142">
        <f t="shared" si="86"/>
        <v>9598</v>
      </c>
      <c r="H284" s="142">
        <f t="shared" si="86"/>
        <v>8842</v>
      </c>
      <c r="I284" s="142">
        <f t="shared" si="86"/>
        <v>8213</v>
      </c>
      <c r="J284" s="142">
        <f t="shared" si="86"/>
        <v>1577</v>
      </c>
      <c r="K284" s="142">
        <f t="shared" si="86"/>
        <v>0</v>
      </c>
      <c r="L284" s="142">
        <f t="shared" si="60"/>
        <v>37480</v>
      </c>
      <c r="N284" s="142" t="str">
        <f t="shared" ref="N284:X284" si="92">IF(AND(N236="-",N188="-",N140="-",N92="-",N44="-"),"-",SUM(N236,N188,N140,N92,N44))</f>
        <v>-</v>
      </c>
      <c r="O284" s="142" t="str">
        <f t="shared" si="92"/>
        <v>-</v>
      </c>
      <c r="P284" s="142" t="str">
        <f t="shared" si="92"/>
        <v>-</v>
      </c>
      <c r="Q284" s="142">
        <f t="shared" si="92"/>
        <v>5</v>
      </c>
      <c r="R284" s="142">
        <f t="shared" si="92"/>
        <v>12</v>
      </c>
      <c r="S284" s="142">
        <f t="shared" si="92"/>
        <v>19</v>
      </c>
      <c r="T284" s="142">
        <f t="shared" si="92"/>
        <v>5</v>
      </c>
      <c r="U284" s="142" t="str">
        <f t="shared" si="92"/>
        <v>-</v>
      </c>
      <c r="V284" s="142" t="str">
        <f t="shared" si="92"/>
        <v>-</v>
      </c>
      <c r="W284" s="142" t="str">
        <f t="shared" si="92"/>
        <v>-</v>
      </c>
      <c r="X284" s="142">
        <f t="shared" si="92"/>
        <v>41</v>
      </c>
    </row>
    <row r="285" spans="1:24">
      <c r="A285" s="99">
        <v>2016</v>
      </c>
      <c r="B285" s="142" t="str">
        <f t="shared" si="77"/>
        <v>-</v>
      </c>
      <c r="C285" s="142" t="str">
        <f t="shared" si="75"/>
        <v>-</v>
      </c>
      <c r="D285" s="142">
        <f t="shared" si="86"/>
        <v>2030</v>
      </c>
      <c r="E285" s="142">
        <f t="shared" si="86"/>
        <v>5693</v>
      </c>
      <c r="F285" s="142">
        <f t="shared" si="86"/>
        <v>2465</v>
      </c>
      <c r="G285" s="142">
        <f t="shared" si="86"/>
        <v>12983</v>
      </c>
      <c r="H285" s="142">
        <f t="shared" si="86"/>
        <v>7747</v>
      </c>
      <c r="I285" s="142">
        <f t="shared" si="86"/>
        <v>6456</v>
      </c>
      <c r="J285" s="142">
        <f t="shared" si="86"/>
        <v>638</v>
      </c>
      <c r="K285" s="142">
        <f t="shared" si="86"/>
        <v>0</v>
      </c>
      <c r="L285" s="142">
        <f t="shared" si="60"/>
        <v>38012</v>
      </c>
      <c r="N285" s="142" t="str">
        <f t="shared" ref="N285:X285" si="93">IF(AND(N237="-",N189="-",N141="-",N93="-",N45="-"),"-",SUM(N237,N189,N141,N93,N45))</f>
        <v>-</v>
      </c>
      <c r="O285" s="142" t="str">
        <f t="shared" si="93"/>
        <v>-</v>
      </c>
      <c r="P285" s="142" t="str">
        <f t="shared" si="93"/>
        <v>-</v>
      </c>
      <c r="Q285" s="142" t="str">
        <f t="shared" si="93"/>
        <v>-</v>
      </c>
      <c r="R285" s="142">
        <f t="shared" si="93"/>
        <v>18</v>
      </c>
      <c r="S285" s="142">
        <f t="shared" si="93"/>
        <v>44</v>
      </c>
      <c r="T285" s="142">
        <f t="shared" si="93"/>
        <v>8</v>
      </c>
      <c r="U285" s="142" t="str">
        <f t="shared" si="93"/>
        <v>-</v>
      </c>
      <c r="V285" s="142" t="str">
        <f t="shared" si="93"/>
        <v>-</v>
      </c>
      <c r="W285" s="142" t="str">
        <f t="shared" si="93"/>
        <v>-</v>
      </c>
      <c r="X285" s="142">
        <f t="shared" si="93"/>
        <v>70</v>
      </c>
    </row>
    <row r="286" spans="1:24">
      <c r="A286" s="99">
        <v>2017</v>
      </c>
      <c r="B286" s="142" t="str">
        <f t="shared" si="77"/>
        <v>-</v>
      </c>
      <c r="C286" s="142" t="str">
        <f t="shared" si="75"/>
        <v>-</v>
      </c>
      <c r="D286" s="142">
        <f t="shared" si="86"/>
        <v>4298</v>
      </c>
      <c r="E286" s="142">
        <f t="shared" si="86"/>
        <v>2305</v>
      </c>
      <c r="F286" s="142">
        <f t="shared" si="86"/>
        <v>5433</v>
      </c>
      <c r="G286" s="142">
        <f t="shared" si="86"/>
        <v>26241</v>
      </c>
      <c r="H286" s="142">
        <f t="shared" si="86"/>
        <v>18809</v>
      </c>
      <c r="I286" s="142">
        <f t="shared" si="86"/>
        <v>4260</v>
      </c>
      <c r="J286" s="142">
        <f t="shared" si="86"/>
        <v>851</v>
      </c>
      <c r="K286" s="142">
        <f t="shared" si="86"/>
        <v>0</v>
      </c>
      <c r="L286" s="142">
        <f t="shared" si="60"/>
        <v>62197</v>
      </c>
      <c r="N286" s="142" t="str">
        <f t="shared" ref="N286:X286" si="94">IF(AND(N238="-",N190="-",N142="-",N94="-",N46="-"),"-",SUM(N238,N190,N142,N94,N46))</f>
        <v>-</v>
      </c>
      <c r="O286" s="142" t="str">
        <f t="shared" si="94"/>
        <v>-</v>
      </c>
      <c r="P286" s="142" t="str">
        <f t="shared" si="94"/>
        <v>-</v>
      </c>
      <c r="Q286" s="142">
        <f t="shared" si="94"/>
        <v>3</v>
      </c>
      <c r="R286" s="142" t="str">
        <f t="shared" si="94"/>
        <v>-</v>
      </c>
      <c r="S286" s="142">
        <f t="shared" si="94"/>
        <v>418</v>
      </c>
      <c r="T286" s="142">
        <f t="shared" si="94"/>
        <v>44</v>
      </c>
      <c r="U286" s="142" t="str">
        <f t="shared" si="94"/>
        <v>-</v>
      </c>
      <c r="V286" s="142" t="str">
        <f t="shared" si="94"/>
        <v>-</v>
      </c>
      <c r="W286" s="142" t="str">
        <f t="shared" si="94"/>
        <v>-</v>
      </c>
      <c r="X286" s="142">
        <f t="shared" si="94"/>
        <v>465</v>
      </c>
    </row>
    <row r="287" spans="1:24">
      <c r="A287" s="99">
        <v>2018</v>
      </c>
      <c r="B287" s="142" t="str">
        <f t="shared" si="77"/>
        <v>-</v>
      </c>
      <c r="C287" s="142" t="str">
        <f t="shared" si="75"/>
        <v>-</v>
      </c>
      <c r="D287" s="142">
        <f t="shared" si="86"/>
        <v>3935</v>
      </c>
      <c r="E287" s="142">
        <f t="shared" si="86"/>
        <v>476</v>
      </c>
      <c r="F287" s="142">
        <f t="shared" si="86"/>
        <v>14772</v>
      </c>
      <c r="G287" s="142">
        <f t="shared" si="86"/>
        <v>42450</v>
      </c>
      <c r="H287" s="142">
        <f t="shared" si="86"/>
        <v>14698</v>
      </c>
      <c r="I287" s="142">
        <f t="shared" si="86"/>
        <v>6811</v>
      </c>
      <c r="J287" s="142">
        <f t="shared" si="86"/>
        <v>4172</v>
      </c>
      <c r="K287" s="142" t="str">
        <f t="shared" si="86"/>
        <v>-</v>
      </c>
      <c r="L287" s="142">
        <f t="shared" si="60"/>
        <v>87314</v>
      </c>
      <c r="N287" s="142" t="str">
        <f t="shared" ref="N287:X287" si="95">IF(AND(N239="-",N191="-",N143="-",N95="-",N47="-"),"-",SUM(N239,N191,N143,N95,N47))</f>
        <v>-</v>
      </c>
      <c r="O287" s="142" t="str">
        <f t="shared" si="95"/>
        <v>-</v>
      </c>
      <c r="P287" s="142" t="str">
        <f t="shared" si="95"/>
        <v>-</v>
      </c>
      <c r="Q287" s="142" t="str">
        <f t="shared" si="95"/>
        <v>-</v>
      </c>
      <c r="R287" s="142">
        <f t="shared" si="95"/>
        <v>54</v>
      </c>
      <c r="S287" s="142">
        <f t="shared" si="95"/>
        <v>96</v>
      </c>
      <c r="T287" s="142">
        <f t="shared" si="95"/>
        <v>37</v>
      </c>
      <c r="U287" s="142">
        <f t="shared" si="95"/>
        <v>8</v>
      </c>
      <c r="V287" s="142" t="str">
        <f t="shared" si="95"/>
        <v>-</v>
      </c>
      <c r="W287" s="142" t="str">
        <f t="shared" si="95"/>
        <v>-</v>
      </c>
      <c r="X287" s="142">
        <f t="shared" si="95"/>
        <v>195</v>
      </c>
    </row>
    <row r="288" spans="1:24">
      <c r="A288" s="239">
        <v>2019</v>
      </c>
      <c r="B288" s="142" t="str">
        <f t="shared" si="77"/>
        <v>-</v>
      </c>
      <c r="C288" s="142" t="str">
        <f t="shared" si="75"/>
        <v>-</v>
      </c>
      <c r="D288" s="142">
        <f t="shared" si="86"/>
        <v>16780</v>
      </c>
      <c r="E288" s="142">
        <f t="shared" si="86"/>
        <v>3479</v>
      </c>
      <c r="F288" s="142">
        <f t="shared" si="86"/>
        <v>20871</v>
      </c>
      <c r="G288" s="142">
        <f t="shared" si="86"/>
        <v>22209</v>
      </c>
      <c r="H288" s="142">
        <f t="shared" si="86"/>
        <v>20919</v>
      </c>
      <c r="I288" s="142">
        <f t="shared" si="86"/>
        <v>3734</v>
      </c>
      <c r="J288" s="142">
        <f t="shared" si="86"/>
        <v>468</v>
      </c>
      <c r="K288" s="142" t="str">
        <f t="shared" si="86"/>
        <v>-</v>
      </c>
      <c r="L288" s="142">
        <f t="shared" si="60"/>
        <v>88460</v>
      </c>
      <c r="N288" s="142" t="str">
        <f t="shared" ref="N288:X288" si="96">IF(AND(N240="-",N192="-",N144="-",N96="-",N48="-"),"-",SUM(N240,N192,N144,N96,N48))</f>
        <v>-</v>
      </c>
      <c r="O288" s="142" t="str">
        <f t="shared" si="96"/>
        <v>-</v>
      </c>
      <c r="P288" s="142" t="str">
        <f t="shared" si="96"/>
        <v>-</v>
      </c>
      <c r="Q288" s="142">
        <f t="shared" si="96"/>
        <v>2</v>
      </c>
      <c r="R288" s="142">
        <f t="shared" si="96"/>
        <v>162</v>
      </c>
      <c r="S288" s="142">
        <f t="shared" si="96"/>
        <v>117</v>
      </c>
      <c r="T288" s="142">
        <f t="shared" si="96"/>
        <v>396</v>
      </c>
      <c r="U288" s="142">
        <f t="shared" si="96"/>
        <v>14</v>
      </c>
      <c r="V288" s="142">
        <f t="shared" si="96"/>
        <v>5</v>
      </c>
      <c r="W288" s="142" t="str">
        <f t="shared" si="96"/>
        <v>-</v>
      </c>
      <c r="X288" s="142">
        <f t="shared" si="96"/>
        <v>696</v>
      </c>
    </row>
    <row r="289" spans="1:24" ht="13">
      <c r="A289" s="239" t="s">
        <v>343</v>
      </c>
      <c r="B289" s="142" t="str">
        <f t="shared" ref="B289:L290" si="97">IF(AND(B241="-",B193="-",B145="-",B97="-",B49="-"),"-",SUM(B241,B193,B145,B97,B49))</f>
        <v>-</v>
      </c>
      <c r="C289" s="142" t="str">
        <f t="shared" si="97"/>
        <v>-</v>
      </c>
      <c r="D289" s="142" t="str">
        <f t="shared" si="97"/>
        <v>-</v>
      </c>
      <c r="E289" s="142" t="s">
        <v>106</v>
      </c>
      <c r="F289" s="142" t="s">
        <v>106</v>
      </c>
      <c r="G289" s="142">
        <f t="shared" si="97"/>
        <v>23664</v>
      </c>
      <c r="H289" s="142">
        <f t="shared" si="97"/>
        <v>10007</v>
      </c>
      <c r="I289" s="142">
        <f t="shared" si="97"/>
        <v>4077</v>
      </c>
      <c r="J289" s="142">
        <f t="shared" si="97"/>
        <v>2364</v>
      </c>
      <c r="K289" s="142">
        <f t="shared" si="97"/>
        <v>29</v>
      </c>
      <c r="L289" s="142">
        <f t="shared" si="97"/>
        <v>40141</v>
      </c>
      <c r="N289" s="142" t="str">
        <f t="shared" ref="N289:X290" si="98">IF(AND(N241="-",N193="-",N145="-",N97="-",N49="-"),"-",SUM(N241,N193,N145,N97,N49))</f>
        <v>-</v>
      </c>
      <c r="O289" s="142" t="str">
        <f t="shared" si="98"/>
        <v>-</v>
      </c>
      <c r="P289" s="142" t="str">
        <f t="shared" si="98"/>
        <v>-</v>
      </c>
      <c r="Q289" s="142" t="str">
        <f t="shared" si="98"/>
        <v>-</v>
      </c>
      <c r="R289" s="142" t="str">
        <f t="shared" si="98"/>
        <v>-</v>
      </c>
      <c r="S289" s="142">
        <f t="shared" si="98"/>
        <v>48</v>
      </c>
      <c r="T289" s="142" t="str">
        <f t="shared" si="98"/>
        <v>-</v>
      </c>
      <c r="U289" s="142">
        <f t="shared" si="98"/>
        <v>4</v>
      </c>
      <c r="V289" s="142" t="str">
        <f t="shared" si="98"/>
        <v>-</v>
      </c>
      <c r="W289" s="142" t="str">
        <f t="shared" si="98"/>
        <v>-</v>
      </c>
      <c r="X289" s="142">
        <f t="shared" si="98"/>
        <v>52</v>
      </c>
    </row>
    <row r="290" spans="1:24" ht="13">
      <c r="A290" s="239" t="s">
        <v>317</v>
      </c>
      <c r="B290" s="142" t="str">
        <f t="shared" si="97"/>
        <v>-</v>
      </c>
      <c r="C290" s="142" t="str">
        <f t="shared" si="97"/>
        <v>-</v>
      </c>
      <c r="D290" s="142">
        <f t="shared" si="97"/>
        <v>7626</v>
      </c>
      <c r="E290" s="142">
        <f t="shared" si="97"/>
        <v>4184</v>
      </c>
      <c r="F290" s="142">
        <f t="shared" si="97"/>
        <v>7241</v>
      </c>
      <c r="G290" s="142">
        <f t="shared" si="97"/>
        <v>20637</v>
      </c>
      <c r="H290" s="142">
        <f t="shared" si="97"/>
        <v>10069</v>
      </c>
      <c r="I290" s="142">
        <f t="shared" si="97"/>
        <v>4002</v>
      </c>
      <c r="J290" s="142">
        <f t="shared" si="97"/>
        <v>1522</v>
      </c>
      <c r="K290" s="142" t="str">
        <f t="shared" si="97"/>
        <v>-</v>
      </c>
      <c r="L290" s="142">
        <f t="shared" si="97"/>
        <v>55281</v>
      </c>
      <c r="N290" s="142" t="str">
        <f t="shared" si="98"/>
        <v>-</v>
      </c>
      <c r="O290" s="142" t="str">
        <f t="shared" si="98"/>
        <v>-</v>
      </c>
      <c r="P290" s="142" t="str">
        <f t="shared" si="98"/>
        <v>-</v>
      </c>
      <c r="Q290" s="142">
        <f t="shared" si="98"/>
        <v>210</v>
      </c>
      <c r="R290" s="142">
        <f t="shared" si="98"/>
        <v>84</v>
      </c>
      <c r="S290" s="142">
        <f t="shared" si="98"/>
        <v>224</v>
      </c>
      <c r="T290" s="142">
        <f t="shared" si="98"/>
        <v>18</v>
      </c>
      <c r="U290" s="142" t="str">
        <f t="shared" si="98"/>
        <v>-</v>
      </c>
      <c r="V290" s="142">
        <f t="shared" si="98"/>
        <v>4</v>
      </c>
      <c r="W290" s="142" t="str">
        <f t="shared" si="98"/>
        <v>-</v>
      </c>
      <c r="X290" s="142">
        <f t="shared" si="98"/>
        <v>540</v>
      </c>
    </row>
    <row r="291" spans="1:24">
      <c r="A291" s="293" t="s">
        <v>342</v>
      </c>
      <c r="B291" s="293"/>
      <c r="C291" s="293"/>
      <c r="D291" s="293"/>
      <c r="E291" s="293"/>
      <c r="F291" s="293"/>
      <c r="G291" s="293"/>
      <c r="H291" s="293"/>
      <c r="I291" s="293"/>
      <c r="J291" s="293"/>
      <c r="K291" s="293"/>
      <c r="L291" s="293"/>
      <c r="M291" s="293"/>
      <c r="N291" s="293"/>
      <c r="O291" s="293"/>
      <c r="P291" s="293"/>
      <c r="Q291" s="293"/>
      <c r="R291" s="293"/>
      <c r="S291" s="293"/>
      <c r="T291" s="293"/>
      <c r="U291" s="293"/>
      <c r="V291" s="293"/>
      <c r="W291" s="293"/>
      <c r="X291" s="293"/>
    </row>
    <row r="292" spans="1:24">
      <c r="A292" s="292" t="s">
        <v>42</v>
      </c>
      <c r="B292" s="292"/>
      <c r="C292" s="292"/>
      <c r="D292" s="292"/>
      <c r="E292" s="292"/>
      <c r="F292" s="292"/>
      <c r="G292" s="292"/>
      <c r="H292" s="292"/>
      <c r="I292" s="292"/>
      <c r="J292" s="292"/>
      <c r="K292" s="292"/>
      <c r="L292" s="292"/>
      <c r="M292" s="292"/>
      <c r="N292" s="292"/>
      <c r="O292" s="292"/>
      <c r="P292" s="292"/>
      <c r="Q292" s="292"/>
      <c r="R292" s="292"/>
      <c r="S292" s="292"/>
      <c r="T292" s="292"/>
      <c r="U292" s="292"/>
      <c r="V292" s="292"/>
      <c r="W292" s="292"/>
      <c r="X292" s="292"/>
    </row>
    <row r="293" spans="1:24" ht="11.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row>
    <row r="295" spans="1:24" s="199" customFormat="1">
      <c r="A295" s="158"/>
      <c r="B295" s="159"/>
      <c r="C295" s="159"/>
      <c r="D295" s="159"/>
      <c r="E295" s="159"/>
      <c r="F295" s="159"/>
      <c r="G295" s="159"/>
      <c r="H295" s="159"/>
      <c r="I295" s="159"/>
      <c r="J295" s="159"/>
      <c r="K295" s="159"/>
      <c r="L295" s="159"/>
      <c r="M295" s="160"/>
      <c r="N295" s="159"/>
      <c r="O295" s="159"/>
      <c r="P295" s="159"/>
      <c r="Q295" s="159"/>
      <c r="R295" s="159"/>
      <c r="S295" s="159"/>
      <c r="T295" s="159"/>
      <c r="U295" s="159"/>
      <c r="V295" s="159"/>
      <c r="W295" s="159"/>
      <c r="X295" s="159"/>
    </row>
    <row r="301" spans="1:24">
      <c r="A301" s="291" t="s">
        <v>177</v>
      </c>
      <c r="B301" s="291"/>
      <c r="C301" s="291"/>
      <c r="D301" s="291"/>
      <c r="E301" s="291"/>
      <c r="F301" s="291"/>
      <c r="G301" s="291"/>
      <c r="H301" s="291"/>
      <c r="I301" s="291"/>
      <c r="J301" s="291"/>
      <c r="K301" s="291"/>
      <c r="L301" s="291"/>
      <c r="M301" s="291"/>
      <c r="N301" s="291"/>
      <c r="O301" s="291"/>
      <c r="P301" s="291"/>
      <c r="Q301" s="291"/>
      <c r="R301" s="291"/>
      <c r="S301" s="291"/>
      <c r="T301" s="291"/>
      <c r="U301" s="291"/>
      <c r="V301" s="291"/>
      <c r="W301" s="291"/>
      <c r="X301" s="291"/>
    </row>
    <row r="302" spans="1:24">
      <c r="A302" s="98" t="s">
        <v>27</v>
      </c>
      <c r="B302" s="196" t="s">
        <v>36</v>
      </c>
      <c r="C302" s="196" t="s">
        <v>37</v>
      </c>
      <c r="D302" s="196" t="s">
        <v>28</v>
      </c>
      <c r="E302" s="196" t="s">
        <v>29</v>
      </c>
      <c r="F302" s="196" t="s">
        <v>30</v>
      </c>
      <c r="G302" s="196" t="s">
        <v>31</v>
      </c>
      <c r="H302" s="196" t="s">
        <v>32</v>
      </c>
      <c r="I302" s="196" t="s">
        <v>33</v>
      </c>
      <c r="J302" s="196" t="s">
        <v>34</v>
      </c>
      <c r="K302" s="196" t="s">
        <v>38</v>
      </c>
      <c r="L302" s="196" t="s">
        <v>22</v>
      </c>
      <c r="M302" s="262"/>
      <c r="N302" s="196" t="s">
        <v>36</v>
      </c>
      <c r="O302" s="196" t="s">
        <v>37</v>
      </c>
      <c r="P302" s="196" t="s">
        <v>28</v>
      </c>
      <c r="Q302" s="196" t="s">
        <v>29</v>
      </c>
      <c r="R302" s="196" t="s">
        <v>30</v>
      </c>
      <c r="S302" s="196" t="s">
        <v>31</v>
      </c>
      <c r="T302" s="196" t="s">
        <v>32</v>
      </c>
      <c r="U302" s="196" t="s">
        <v>33</v>
      </c>
      <c r="V302" s="196" t="s">
        <v>34</v>
      </c>
      <c r="W302" s="196" t="s">
        <v>38</v>
      </c>
      <c r="X302" s="196" t="s">
        <v>22</v>
      </c>
    </row>
    <row r="303" spans="1:24">
      <c r="B303" s="288" t="s">
        <v>61</v>
      </c>
      <c r="C303" s="288"/>
      <c r="D303" s="288"/>
      <c r="E303" s="288"/>
      <c r="F303" s="288"/>
      <c r="G303" s="288"/>
      <c r="H303" s="288"/>
      <c r="I303" s="288"/>
      <c r="J303" s="288"/>
      <c r="K303" s="288"/>
      <c r="L303" s="288"/>
      <c r="M303" s="14"/>
      <c r="N303" s="288" t="s">
        <v>62</v>
      </c>
      <c r="O303" s="288"/>
      <c r="P303" s="288"/>
      <c r="Q303" s="288"/>
      <c r="R303" s="288"/>
      <c r="S303" s="288"/>
      <c r="T303" s="288"/>
      <c r="U303" s="288"/>
      <c r="V303" s="288"/>
      <c r="W303" s="288"/>
      <c r="X303" s="288"/>
    </row>
    <row r="304" spans="1:24">
      <c r="A304" s="94" t="s">
        <v>16</v>
      </c>
    </row>
    <row r="305" spans="1:24">
      <c r="A305" s="99" t="s">
        <v>78</v>
      </c>
      <c r="B305" s="48" t="s">
        <v>106</v>
      </c>
      <c r="C305" s="48" t="s">
        <v>106</v>
      </c>
      <c r="D305" s="142" t="s">
        <v>23</v>
      </c>
      <c r="E305" s="142">
        <f t="shared" ref="E305:X305" si="99">AVERAGE(E15:E19)</f>
        <v>414</v>
      </c>
      <c r="F305" s="142">
        <f t="shared" si="99"/>
        <v>4551.6000000000004</v>
      </c>
      <c r="G305" s="142">
        <f t="shared" si="99"/>
        <v>7688.6</v>
      </c>
      <c r="H305" s="142">
        <f t="shared" si="99"/>
        <v>1640.2</v>
      </c>
      <c r="I305" s="142">
        <f t="shared" si="99"/>
        <v>315.2</v>
      </c>
      <c r="J305" s="142" t="s">
        <v>23</v>
      </c>
      <c r="K305" s="142" t="s">
        <v>23</v>
      </c>
      <c r="L305" s="142">
        <f t="shared" si="99"/>
        <v>14609.6</v>
      </c>
      <c r="N305" s="48" t="s">
        <v>106</v>
      </c>
      <c r="O305" s="48" t="s">
        <v>106</v>
      </c>
      <c r="P305" s="142" t="s">
        <v>23</v>
      </c>
      <c r="Q305" s="142">
        <f t="shared" si="99"/>
        <v>70.599999999999994</v>
      </c>
      <c r="R305" s="142">
        <f t="shared" si="99"/>
        <v>3560.8</v>
      </c>
      <c r="S305" s="142">
        <f t="shared" si="99"/>
        <v>8430</v>
      </c>
      <c r="T305" s="142">
        <f t="shared" si="99"/>
        <v>1644.6</v>
      </c>
      <c r="U305" s="142">
        <f t="shared" si="99"/>
        <v>141</v>
      </c>
      <c r="V305" s="142" t="s">
        <v>23</v>
      </c>
      <c r="W305" s="142" t="s">
        <v>23</v>
      </c>
      <c r="X305" s="142">
        <f t="shared" si="99"/>
        <v>13847</v>
      </c>
    </row>
    <row r="306" spans="1:24">
      <c r="A306" s="99" t="s">
        <v>10</v>
      </c>
      <c r="B306" s="142" t="s">
        <v>23</v>
      </c>
      <c r="C306" s="142" t="s">
        <v>23</v>
      </c>
      <c r="D306" s="142" t="s">
        <v>23</v>
      </c>
      <c r="E306" s="142">
        <f>AVERAGE(E20:E24)</f>
        <v>1315.5</v>
      </c>
      <c r="F306" s="142">
        <f>AVERAGE(F20:F24)</f>
        <v>1402.25</v>
      </c>
      <c r="G306" s="142">
        <f>AVERAGE(G20:G24)</f>
        <v>1101.3333333333333</v>
      </c>
      <c r="H306" s="142">
        <f>AVERAGE(H20:H24)</f>
        <v>300.75</v>
      </c>
      <c r="I306" s="142">
        <f>AVERAGE(I20:I24)</f>
        <v>405.4</v>
      </c>
      <c r="J306" s="142" t="s">
        <v>23</v>
      </c>
      <c r="K306" s="142" t="s">
        <v>23</v>
      </c>
      <c r="L306" s="142">
        <f>AVERAGE(L20:L24)</f>
        <v>3481</v>
      </c>
      <c r="N306" s="142" t="s">
        <v>23</v>
      </c>
      <c r="O306" s="142" t="s">
        <v>23</v>
      </c>
      <c r="P306" s="142" t="s">
        <v>23</v>
      </c>
      <c r="Q306" s="142">
        <f>AVERAGE(Q20:Q24)</f>
        <v>5</v>
      </c>
      <c r="R306" s="142">
        <f>AVERAGE(R20:R24)</f>
        <v>2222.5</v>
      </c>
      <c r="S306" s="142">
        <f>AVERAGE(S20:S24)</f>
        <v>5171.333333333333</v>
      </c>
      <c r="T306" s="142">
        <f>AVERAGE(T20:T24)</f>
        <v>724.5</v>
      </c>
      <c r="U306" s="142">
        <f>AVERAGE(U20:U24)</f>
        <v>132.80000000000001</v>
      </c>
      <c r="V306" s="142" t="s">
        <v>23</v>
      </c>
      <c r="W306" s="142" t="s">
        <v>23</v>
      </c>
      <c r="X306" s="142">
        <f>AVERAGE(X20:X24)</f>
        <v>5597.2</v>
      </c>
    </row>
    <row r="307" spans="1:24">
      <c r="A307" s="99" t="s">
        <v>144</v>
      </c>
      <c r="B307" s="142" t="s">
        <v>23</v>
      </c>
      <c r="C307" s="142" t="s">
        <v>23</v>
      </c>
      <c r="D307" s="142" t="s">
        <v>23</v>
      </c>
      <c r="E307" s="142">
        <f>AVERAGE(E25:E29)</f>
        <v>166</v>
      </c>
      <c r="F307" s="142">
        <f>AVERAGE(F25:F29)</f>
        <v>827.2</v>
      </c>
      <c r="G307" s="142">
        <f>AVERAGE(G25:G29)</f>
        <v>680</v>
      </c>
      <c r="H307" s="142">
        <f>AVERAGE(H25:H29)</f>
        <v>658.6</v>
      </c>
      <c r="I307" s="142">
        <f>AVERAGE(I25:I29)</f>
        <v>81.2</v>
      </c>
      <c r="J307" s="142" t="s">
        <v>23</v>
      </c>
      <c r="K307" s="142" t="s">
        <v>23</v>
      </c>
      <c r="L307" s="142">
        <f>AVERAGE(L25:L29)</f>
        <v>2413</v>
      </c>
      <c r="N307" s="142" t="s">
        <v>23</v>
      </c>
      <c r="O307" s="142" t="s">
        <v>23</v>
      </c>
      <c r="P307" s="142" t="s">
        <v>23</v>
      </c>
      <c r="Q307" s="142">
        <f>AVERAGE(Q25:Q29)</f>
        <v>4</v>
      </c>
      <c r="R307" s="142">
        <f>AVERAGE(R25:R29)</f>
        <v>27</v>
      </c>
      <c r="S307" s="142">
        <f>AVERAGE(S25:S29)</f>
        <v>23.25</v>
      </c>
      <c r="T307" s="142">
        <f>AVERAGE(T25:T29)</f>
        <v>21.4</v>
      </c>
      <c r="U307" s="142">
        <f>AVERAGE(U25:U29)</f>
        <v>19</v>
      </c>
      <c r="V307" s="142" t="s">
        <v>23</v>
      </c>
      <c r="W307" s="142" t="s">
        <v>23</v>
      </c>
      <c r="X307" s="142">
        <f>AVERAGE(X25:X29)</f>
        <v>60.8</v>
      </c>
    </row>
    <row r="308" spans="1:24">
      <c r="A308" s="99" t="s">
        <v>166</v>
      </c>
      <c r="B308" s="142" t="str">
        <f t="shared" ref="B308:K308" si="100">B30</f>
        <v>-</v>
      </c>
      <c r="C308" s="142" t="str">
        <f t="shared" si="100"/>
        <v>-</v>
      </c>
      <c r="D308" s="142" t="str">
        <f t="shared" si="100"/>
        <v>-</v>
      </c>
      <c r="E308" s="142">
        <f>AVERAGE(E30:E34)</f>
        <v>265.39999999999998</v>
      </c>
      <c r="F308" s="142">
        <f>AVERAGE(F30:F34)</f>
        <v>403.2</v>
      </c>
      <c r="G308" s="142">
        <f>AVERAGE(G30:G34)</f>
        <v>237</v>
      </c>
      <c r="H308" s="142">
        <f>AVERAGE(H30:H34)</f>
        <v>307.60000000000002</v>
      </c>
      <c r="I308" s="142">
        <f>AVERAGE(I30:I34)</f>
        <v>91.2</v>
      </c>
      <c r="J308" s="142" t="str">
        <f t="shared" si="100"/>
        <v>-</v>
      </c>
      <c r="K308" s="142" t="str">
        <f t="shared" si="100"/>
        <v>-</v>
      </c>
      <c r="L308" s="142">
        <f>AVERAGE(L30:L34)</f>
        <v>1304.4000000000001</v>
      </c>
      <c r="N308" s="142" t="str">
        <f t="shared" ref="N308:W308" si="101">N30</f>
        <v>-</v>
      </c>
      <c r="O308" s="142" t="str">
        <f t="shared" si="101"/>
        <v>-</v>
      </c>
      <c r="P308" s="142" t="str">
        <f t="shared" si="101"/>
        <v>-</v>
      </c>
      <c r="Q308" s="142">
        <f>AVERAGE(Q30:Q34)</f>
        <v>5.5</v>
      </c>
      <c r="R308" s="142">
        <f>AVERAGE(R30:R34)</f>
        <v>18.600000000000001</v>
      </c>
      <c r="S308" s="142">
        <f>AVERAGE(S30:S34)</f>
        <v>22.333333333333332</v>
      </c>
      <c r="T308" s="142">
        <f>AVERAGE(T30:T34)</f>
        <v>14.6</v>
      </c>
      <c r="U308" s="142" t="str">
        <f t="shared" si="101"/>
        <v>-</v>
      </c>
      <c r="V308" s="142" t="str">
        <f t="shared" si="101"/>
        <v>-</v>
      </c>
      <c r="W308" s="142" t="str">
        <f t="shared" si="101"/>
        <v>-</v>
      </c>
      <c r="X308" s="142">
        <f>AVERAGE(X30:X34)</f>
        <v>48.8</v>
      </c>
    </row>
    <row r="309" spans="1:24">
      <c r="A309" s="99" t="s">
        <v>315</v>
      </c>
      <c r="B309" s="142" t="str">
        <f>B35</f>
        <v>-</v>
      </c>
      <c r="C309" s="142" t="str">
        <f t="shared" ref="C309:D309" si="102">C35</f>
        <v>-</v>
      </c>
      <c r="D309" s="142" t="str">
        <f t="shared" si="102"/>
        <v>-</v>
      </c>
      <c r="E309" s="142">
        <f>AVERAGE(E35:E39)</f>
        <v>94</v>
      </c>
      <c r="F309" s="142">
        <f t="shared" ref="F309:I309" si="103">AVERAGE(F35:F39)</f>
        <v>157</v>
      </c>
      <c r="G309" s="142">
        <f t="shared" si="103"/>
        <v>268.33333333333331</v>
      </c>
      <c r="H309" s="142">
        <f t="shared" si="103"/>
        <v>21</v>
      </c>
      <c r="I309" s="142">
        <f t="shared" si="103"/>
        <v>38.25</v>
      </c>
      <c r="J309" s="142" t="str">
        <f t="shared" ref="J309:K309" si="104">J35</f>
        <v>-</v>
      </c>
      <c r="K309" s="142" t="str">
        <f t="shared" si="104"/>
        <v>-</v>
      </c>
      <c r="L309" s="142">
        <f t="shared" ref="L309" si="105">AVERAGE(L35:L39)</f>
        <v>443.5</v>
      </c>
      <c r="N309" s="142" t="str">
        <f t="shared" ref="N309:P309" si="106">N35</f>
        <v>-</v>
      </c>
      <c r="O309" s="142" t="str">
        <f t="shared" si="106"/>
        <v>-</v>
      </c>
      <c r="P309" s="142" t="str">
        <f t="shared" si="106"/>
        <v>-</v>
      </c>
      <c r="Q309" s="142">
        <f t="shared" ref="Q309:S309" si="107">AVERAGE(Q35:Q39)</f>
        <v>3</v>
      </c>
      <c r="R309" s="142">
        <f t="shared" si="107"/>
        <v>8.5</v>
      </c>
      <c r="S309" s="142">
        <f t="shared" si="107"/>
        <v>25.5</v>
      </c>
      <c r="T309" s="142" t="str">
        <f t="shared" ref="T309:W309" si="108">T35</f>
        <v>-</v>
      </c>
      <c r="U309" s="142">
        <f>AVERAGE(U35:U39)</f>
        <v>4</v>
      </c>
      <c r="V309" s="142" t="str">
        <f t="shared" si="108"/>
        <v>-</v>
      </c>
      <c r="W309" s="142" t="str">
        <f t="shared" si="108"/>
        <v>-</v>
      </c>
      <c r="X309" s="142">
        <f t="shared" ref="X309" si="109">AVERAGE(X35:X39)</f>
        <v>26.333333333333332</v>
      </c>
    </row>
    <row r="310" spans="1:24">
      <c r="A310" s="99">
        <v>2011</v>
      </c>
      <c r="B310" s="142" t="str">
        <f t="shared" ref="B310:L310" si="110">B40</f>
        <v>-</v>
      </c>
      <c r="C310" s="142" t="str">
        <f t="shared" si="110"/>
        <v>-</v>
      </c>
      <c r="D310" s="142" t="str">
        <f t="shared" si="110"/>
        <v>-</v>
      </c>
      <c r="E310" s="142">
        <f t="shared" si="110"/>
        <v>36</v>
      </c>
      <c r="F310" s="142">
        <f t="shared" si="110"/>
        <v>12</v>
      </c>
      <c r="G310" s="142">
        <f t="shared" si="110"/>
        <v>42</v>
      </c>
      <c r="H310" s="142">
        <f t="shared" si="110"/>
        <v>18</v>
      </c>
      <c r="I310" s="142">
        <f t="shared" si="110"/>
        <v>5</v>
      </c>
      <c r="J310" s="142" t="str">
        <f t="shared" si="110"/>
        <v>-</v>
      </c>
      <c r="K310" s="142" t="str">
        <f t="shared" si="110"/>
        <v>-</v>
      </c>
      <c r="L310" s="142">
        <f t="shared" si="110"/>
        <v>113</v>
      </c>
      <c r="N310" s="142" t="str">
        <f t="shared" ref="N310:X310" si="111">N40</f>
        <v>-</v>
      </c>
      <c r="O310" s="142" t="str">
        <f t="shared" si="111"/>
        <v>-</v>
      </c>
      <c r="P310" s="142" t="str">
        <f t="shared" si="111"/>
        <v>-</v>
      </c>
      <c r="Q310" s="142" t="str">
        <f t="shared" si="111"/>
        <v>-</v>
      </c>
      <c r="R310" s="142" t="str">
        <f t="shared" si="111"/>
        <v>-</v>
      </c>
      <c r="S310" s="142" t="str">
        <f t="shared" si="111"/>
        <v>-</v>
      </c>
      <c r="T310" s="142" t="str">
        <f t="shared" si="111"/>
        <v>-</v>
      </c>
      <c r="U310" s="142" t="str">
        <f t="shared" si="111"/>
        <v>-</v>
      </c>
      <c r="V310" s="142" t="str">
        <f t="shared" si="111"/>
        <v>-</v>
      </c>
      <c r="W310" s="142" t="str">
        <f t="shared" si="111"/>
        <v>-</v>
      </c>
      <c r="X310" s="142" t="str">
        <f t="shared" si="111"/>
        <v>-</v>
      </c>
    </row>
    <row r="311" spans="1:24">
      <c r="A311" s="99">
        <v>2012</v>
      </c>
      <c r="B311" s="142" t="str">
        <f t="shared" ref="B311:L311" si="112">B41</f>
        <v>-</v>
      </c>
      <c r="C311" s="142" t="str">
        <f t="shared" si="112"/>
        <v>-</v>
      </c>
      <c r="D311" s="142" t="str">
        <f t="shared" si="112"/>
        <v>-</v>
      </c>
      <c r="E311" s="142">
        <f t="shared" si="112"/>
        <v>115</v>
      </c>
      <c r="F311" s="142">
        <f t="shared" si="112"/>
        <v>761</v>
      </c>
      <c r="G311" s="142">
        <f t="shared" si="112"/>
        <v>4761</v>
      </c>
      <c r="H311" s="142">
        <f t="shared" si="112"/>
        <v>1469</v>
      </c>
      <c r="I311" s="142">
        <f t="shared" si="112"/>
        <v>326</v>
      </c>
      <c r="J311" s="142" t="str">
        <f t="shared" si="112"/>
        <v>-</v>
      </c>
      <c r="K311" s="142" t="str">
        <f t="shared" si="112"/>
        <v>-</v>
      </c>
      <c r="L311" s="142">
        <f t="shared" si="112"/>
        <v>7432</v>
      </c>
      <c r="N311" s="142" t="str">
        <f t="shared" ref="N311:X311" si="113">N41</f>
        <v>-</v>
      </c>
      <c r="O311" s="142" t="str">
        <f t="shared" si="113"/>
        <v>-</v>
      </c>
      <c r="P311" s="142" t="str">
        <f t="shared" si="113"/>
        <v>-</v>
      </c>
      <c r="Q311" s="142" t="str">
        <f t="shared" si="113"/>
        <v>-</v>
      </c>
      <c r="R311" s="142">
        <f t="shared" si="113"/>
        <v>23</v>
      </c>
      <c r="S311" s="142">
        <f t="shared" si="113"/>
        <v>27</v>
      </c>
      <c r="T311" s="142" t="str">
        <f t="shared" si="113"/>
        <v>-</v>
      </c>
      <c r="U311" s="142" t="str">
        <f t="shared" si="113"/>
        <v>-</v>
      </c>
      <c r="V311" s="142" t="str">
        <f t="shared" si="113"/>
        <v>-</v>
      </c>
      <c r="W311" s="142" t="str">
        <f t="shared" si="113"/>
        <v>-</v>
      </c>
      <c r="X311" s="142">
        <f t="shared" si="113"/>
        <v>50</v>
      </c>
    </row>
    <row r="312" spans="1:24">
      <c r="A312" s="99">
        <v>2013</v>
      </c>
      <c r="B312" s="142" t="str">
        <f t="shared" ref="B312:L312" si="114">B42</f>
        <v>-</v>
      </c>
      <c r="C312" s="142" t="str">
        <f t="shared" si="114"/>
        <v>-</v>
      </c>
      <c r="D312" s="142" t="str">
        <f t="shared" si="114"/>
        <v>-</v>
      </c>
      <c r="E312" s="142">
        <f t="shared" si="114"/>
        <v>140</v>
      </c>
      <c r="F312" s="142">
        <f t="shared" si="114"/>
        <v>2913</v>
      </c>
      <c r="G312" s="142">
        <f t="shared" si="114"/>
        <v>2726</v>
      </c>
      <c r="H312" s="142">
        <f t="shared" si="114"/>
        <v>284</v>
      </c>
      <c r="I312" s="142">
        <f t="shared" si="114"/>
        <v>0</v>
      </c>
      <c r="J312" s="142" t="str">
        <f t="shared" si="114"/>
        <v>-</v>
      </c>
      <c r="K312" s="142" t="str">
        <f t="shared" si="114"/>
        <v>-</v>
      </c>
      <c r="L312" s="142">
        <f t="shared" si="114"/>
        <v>6063</v>
      </c>
      <c r="N312" s="142" t="str">
        <f t="shared" ref="N312:X312" si="115">N42</f>
        <v>-</v>
      </c>
      <c r="O312" s="142" t="str">
        <f t="shared" si="115"/>
        <v>-</v>
      </c>
      <c r="P312" s="142" t="str">
        <f t="shared" si="115"/>
        <v>-</v>
      </c>
      <c r="Q312" s="142" t="str">
        <f t="shared" si="115"/>
        <v>-</v>
      </c>
      <c r="R312" s="142">
        <f t="shared" si="115"/>
        <v>22</v>
      </c>
      <c r="S312" s="142">
        <f t="shared" si="115"/>
        <v>19</v>
      </c>
      <c r="T312" s="142" t="str">
        <f t="shared" si="115"/>
        <v>-</v>
      </c>
      <c r="U312" s="142" t="str">
        <f t="shared" si="115"/>
        <v>-</v>
      </c>
      <c r="V312" s="142" t="str">
        <f t="shared" si="115"/>
        <v>-</v>
      </c>
      <c r="W312" s="142" t="str">
        <f t="shared" si="115"/>
        <v>-</v>
      </c>
      <c r="X312" s="142">
        <f t="shared" si="115"/>
        <v>41</v>
      </c>
    </row>
    <row r="313" spans="1:24">
      <c r="A313" s="99">
        <v>2014</v>
      </c>
      <c r="B313" s="142" t="str">
        <f t="shared" ref="B313:L313" si="116">B43</f>
        <v>-</v>
      </c>
      <c r="C313" s="142" t="str">
        <f t="shared" si="116"/>
        <v>-</v>
      </c>
      <c r="D313" s="142" t="str">
        <f t="shared" si="116"/>
        <v>-</v>
      </c>
      <c r="E313" s="142">
        <f t="shared" si="116"/>
        <v>1522</v>
      </c>
      <c r="F313" s="142">
        <f t="shared" si="116"/>
        <v>402</v>
      </c>
      <c r="G313" s="142">
        <f t="shared" si="116"/>
        <v>1284</v>
      </c>
      <c r="H313" s="142">
        <f t="shared" si="116"/>
        <v>25</v>
      </c>
      <c r="I313" s="142">
        <f t="shared" si="116"/>
        <v>0</v>
      </c>
      <c r="J313" s="142" t="str">
        <f t="shared" si="116"/>
        <v>-</v>
      </c>
      <c r="K313" s="142" t="str">
        <f t="shared" si="116"/>
        <v>-</v>
      </c>
      <c r="L313" s="142">
        <f t="shared" si="116"/>
        <v>3233</v>
      </c>
      <c r="N313" s="142" t="str">
        <f t="shared" ref="N313:X313" si="117">N43</f>
        <v>-</v>
      </c>
      <c r="O313" s="142" t="str">
        <f t="shared" si="117"/>
        <v>-</v>
      </c>
      <c r="P313" s="142" t="str">
        <f t="shared" si="117"/>
        <v>-</v>
      </c>
      <c r="Q313" s="142" t="str">
        <f t="shared" si="117"/>
        <v>-</v>
      </c>
      <c r="R313" s="142">
        <f t="shared" si="117"/>
        <v>16</v>
      </c>
      <c r="S313" s="142">
        <f t="shared" si="117"/>
        <v>50</v>
      </c>
      <c r="T313" s="142" t="str">
        <f t="shared" si="117"/>
        <v>-</v>
      </c>
      <c r="U313" s="142" t="str">
        <f t="shared" si="117"/>
        <v>-</v>
      </c>
      <c r="V313" s="142" t="str">
        <f t="shared" si="117"/>
        <v>-</v>
      </c>
      <c r="W313" s="142" t="str">
        <f t="shared" si="117"/>
        <v>-</v>
      </c>
      <c r="X313" s="142">
        <f t="shared" si="117"/>
        <v>66</v>
      </c>
    </row>
    <row r="314" spans="1:24">
      <c r="A314" s="99">
        <v>2015</v>
      </c>
      <c r="B314" s="142" t="str">
        <f t="shared" ref="B314:L314" si="118">B44</f>
        <v>-</v>
      </c>
      <c r="C314" s="142" t="str">
        <f t="shared" si="118"/>
        <v>-</v>
      </c>
      <c r="D314" s="142" t="str">
        <f t="shared" si="118"/>
        <v>-</v>
      </c>
      <c r="E314" s="142">
        <f t="shared" si="118"/>
        <v>23</v>
      </c>
      <c r="F314" s="142">
        <f t="shared" si="118"/>
        <v>19</v>
      </c>
      <c r="G314" s="142">
        <f t="shared" si="118"/>
        <v>0</v>
      </c>
      <c r="H314" s="142">
        <f t="shared" si="118"/>
        <v>22</v>
      </c>
      <c r="I314" s="142">
        <f t="shared" si="118"/>
        <v>0</v>
      </c>
      <c r="J314" s="142" t="str">
        <f t="shared" si="118"/>
        <v>-</v>
      </c>
      <c r="K314" s="142" t="str">
        <f t="shared" si="118"/>
        <v>-</v>
      </c>
      <c r="L314" s="142">
        <f t="shared" si="118"/>
        <v>64</v>
      </c>
      <c r="N314" s="142" t="str">
        <f t="shared" ref="N314:X314" si="119">N44</f>
        <v>-</v>
      </c>
      <c r="O314" s="142" t="str">
        <f t="shared" si="119"/>
        <v>-</v>
      </c>
      <c r="P314" s="142" t="str">
        <f t="shared" si="119"/>
        <v>-</v>
      </c>
      <c r="Q314" s="142" t="str">
        <f t="shared" si="119"/>
        <v>-</v>
      </c>
      <c r="R314" s="142" t="str">
        <f t="shared" si="119"/>
        <v>-</v>
      </c>
      <c r="S314" s="142" t="str">
        <f t="shared" si="119"/>
        <v>-</v>
      </c>
      <c r="T314" s="142" t="str">
        <f t="shared" si="119"/>
        <v>-</v>
      </c>
      <c r="U314" s="142" t="str">
        <f t="shared" si="119"/>
        <v>-</v>
      </c>
      <c r="V314" s="142" t="str">
        <f t="shared" si="119"/>
        <v>-</v>
      </c>
      <c r="W314" s="142" t="str">
        <f t="shared" si="119"/>
        <v>-</v>
      </c>
      <c r="X314" s="142" t="str">
        <f t="shared" si="119"/>
        <v>-</v>
      </c>
    </row>
    <row r="315" spans="1:24">
      <c r="A315" s="99">
        <v>2016</v>
      </c>
      <c r="B315" s="142" t="str">
        <f t="shared" ref="B315:L315" si="120">B45</f>
        <v>-</v>
      </c>
      <c r="C315" s="142" t="str">
        <f t="shared" si="120"/>
        <v>-</v>
      </c>
      <c r="D315" s="142" t="str">
        <f t="shared" si="120"/>
        <v>-</v>
      </c>
      <c r="E315" s="142">
        <f t="shared" si="120"/>
        <v>4</v>
      </c>
      <c r="F315" s="142">
        <f t="shared" si="120"/>
        <v>9</v>
      </c>
      <c r="G315" s="142">
        <f t="shared" si="120"/>
        <v>20</v>
      </c>
      <c r="H315" s="142">
        <f t="shared" si="120"/>
        <v>0</v>
      </c>
      <c r="I315" s="142">
        <f t="shared" si="120"/>
        <v>0</v>
      </c>
      <c r="J315" s="142" t="str">
        <f t="shared" si="120"/>
        <v>-</v>
      </c>
      <c r="K315" s="142" t="str">
        <f t="shared" si="120"/>
        <v>-</v>
      </c>
      <c r="L315" s="142">
        <f t="shared" si="120"/>
        <v>33</v>
      </c>
      <c r="N315" s="142" t="str">
        <f t="shared" ref="N315:X315" si="121">N45</f>
        <v>-</v>
      </c>
      <c r="O315" s="142" t="str">
        <f t="shared" si="121"/>
        <v>-</v>
      </c>
      <c r="P315" s="142" t="str">
        <f t="shared" si="121"/>
        <v>-</v>
      </c>
      <c r="Q315" s="142" t="str">
        <f t="shared" si="121"/>
        <v>-</v>
      </c>
      <c r="R315" s="142" t="str">
        <f t="shared" si="121"/>
        <v>-</v>
      </c>
      <c r="S315" s="142" t="str">
        <f t="shared" si="121"/>
        <v>-</v>
      </c>
      <c r="T315" s="142" t="str">
        <f t="shared" si="121"/>
        <v>-</v>
      </c>
      <c r="U315" s="142" t="str">
        <f t="shared" si="121"/>
        <v>-</v>
      </c>
      <c r="V315" s="142" t="str">
        <f t="shared" si="121"/>
        <v>-</v>
      </c>
      <c r="W315" s="142" t="str">
        <f t="shared" si="121"/>
        <v>-</v>
      </c>
      <c r="X315" s="142" t="str">
        <f t="shared" si="121"/>
        <v>-</v>
      </c>
    </row>
    <row r="316" spans="1:24">
      <c r="A316" s="99">
        <v>2017</v>
      </c>
      <c r="B316" s="142" t="str">
        <f t="shared" ref="B316:L316" si="122">B46</f>
        <v>-</v>
      </c>
      <c r="C316" s="142" t="str">
        <f t="shared" si="122"/>
        <v>-</v>
      </c>
      <c r="D316" s="142" t="str">
        <f t="shared" si="122"/>
        <v>-</v>
      </c>
      <c r="E316" s="142" t="str">
        <f t="shared" si="122"/>
        <v>-</v>
      </c>
      <c r="F316" s="142" t="str">
        <f t="shared" si="122"/>
        <v>-</v>
      </c>
      <c r="G316" s="142" t="str">
        <f t="shared" si="122"/>
        <v>-</v>
      </c>
      <c r="H316" s="142" t="str">
        <f t="shared" si="122"/>
        <v>-</v>
      </c>
      <c r="I316" s="142" t="str">
        <f t="shared" si="122"/>
        <v>-</v>
      </c>
      <c r="J316" s="142" t="str">
        <f t="shared" si="122"/>
        <v>-</v>
      </c>
      <c r="K316" s="142" t="str">
        <f t="shared" si="122"/>
        <v>-</v>
      </c>
      <c r="L316" s="142" t="str">
        <f t="shared" si="122"/>
        <v>-</v>
      </c>
      <c r="N316" s="142" t="str">
        <f t="shared" ref="N316:X316" si="123">N46</f>
        <v>-</v>
      </c>
      <c r="O316" s="142" t="str">
        <f t="shared" si="123"/>
        <v>-</v>
      </c>
      <c r="P316" s="142" t="str">
        <f t="shared" si="123"/>
        <v>-</v>
      </c>
      <c r="Q316" s="142" t="str">
        <f t="shared" si="123"/>
        <v>-</v>
      </c>
      <c r="R316" s="142" t="str">
        <f t="shared" si="123"/>
        <v>-</v>
      </c>
      <c r="S316" s="142" t="str">
        <f t="shared" si="123"/>
        <v>-</v>
      </c>
      <c r="T316" s="142" t="str">
        <f t="shared" si="123"/>
        <v>-</v>
      </c>
      <c r="U316" s="142" t="str">
        <f t="shared" si="123"/>
        <v>-</v>
      </c>
      <c r="V316" s="142" t="str">
        <f t="shared" si="123"/>
        <v>-</v>
      </c>
      <c r="W316" s="142" t="str">
        <f t="shared" si="123"/>
        <v>-</v>
      </c>
      <c r="X316" s="142" t="str">
        <f t="shared" si="123"/>
        <v>-</v>
      </c>
    </row>
    <row r="317" spans="1:24">
      <c r="A317" s="99">
        <v>2018</v>
      </c>
      <c r="B317" s="142" t="str">
        <f t="shared" ref="B317:L317" si="124">B47</f>
        <v>-</v>
      </c>
      <c r="C317" s="142" t="str">
        <f t="shared" si="124"/>
        <v>-</v>
      </c>
      <c r="D317" s="142" t="str">
        <f t="shared" si="124"/>
        <v>-</v>
      </c>
      <c r="E317" s="142" t="str">
        <f t="shared" si="124"/>
        <v>-</v>
      </c>
      <c r="F317" s="142">
        <f t="shared" si="124"/>
        <v>124</v>
      </c>
      <c r="G317" s="142">
        <f t="shared" si="124"/>
        <v>128</v>
      </c>
      <c r="H317" s="142">
        <f t="shared" si="124"/>
        <v>76</v>
      </c>
      <c r="I317" s="142">
        <f t="shared" si="124"/>
        <v>0</v>
      </c>
      <c r="J317" s="142" t="str">
        <f t="shared" si="124"/>
        <v>-</v>
      </c>
      <c r="K317" s="142" t="str">
        <f t="shared" si="124"/>
        <v>-</v>
      </c>
      <c r="L317" s="142">
        <f t="shared" si="124"/>
        <v>328</v>
      </c>
      <c r="N317" s="142" t="str">
        <f t="shared" ref="N317:X317" si="125">N47</f>
        <v>-</v>
      </c>
      <c r="O317" s="142" t="str">
        <f t="shared" si="125"/>
        <v>-</v>
      </c>
      <c r="P317" s="142" t="str">
        <f t="shared" si="125"/>
        <v>-</v>
      </c>
      <c r="Q317" s="142" t="str">
        <f t="shared" si="125"/>
        <v>-</v>
      </c>
      <c r="R317" s="142">
        <f t="shared" si="125"/>
        <v>8</v>
      </c>
      <c r="S317" s="142">
        <f t="shared" si="125"/>
        <v>16</v>
      </c>
      <c r="T317" s="142" t="str">
        <f t="shared" si="125"/>
        <v>-</v>
      </c>
      <c r="U317" s="142" t="str">
        <f t="shared" si="125"/>
        <v>-</v>
      </c>
      <c r="V317" s="142" t="str">
        <f t="shared" si="125"/>
        <v>-</v>
      </c>
      <c r="W317" s="142" t="str">
        <f t="shared" si="125"/>
        <v>-</v>
      </c>
      <c r="X317" s="142">
        <f t="shared" si="125"/>
        <v>24</v>
      </c>
    </row>
    <row r="318" spans="1:24">
      <c r="A318" s="239">
        <v>2019</v>
      </c>
      <c r="B318" s="142" t="str">
        <f t="shared" ref="B318:L318" si="126">B48</f>
        <v>-</v>
      </c>
      <c r="C318" s="142" t="str">
        <f t="shared" si="126"/>
        <v>-</v>
      </c>
      <c r="D318" s="142" t="str">
        <f t="shared" si="126"/>
        <v>-</v>
      </c>
      <c r="E318" s="142">
        <f t="shared" si="126"/>
        <v>1</v>
      </c>
      <c r="F318" s="142">
        <f t="shared" si="126"/>
        <v>33</v>
      </c>
      <c r="G318" s="142">
        <f t="shared" si="126"/>
        <v>10</v>
      </c>
      <c r="H318" s="142">
        <f t="shared" si="126"/>
        <v>13</v>
      </c>
      <c r="I318" s="142">
        <f t="shared" si="126"/>
        <v>4</v>
      </c>
      <c r="J318" s="142" t="str">
        <f t="shared" si="126"/>
        <v>-</v>
      </c>
      <c r="K318" s="142" t="str">
        <f t="shared" si="126"/>
        <v>-</v>
      </c>
      <c r="L318" s="142">
        <f t="shared" si="126"/>
        <v>61</v>
      </c>
      <c r="N318" s="142" t="str">
        <f t="shared" ref="N318:X318" si="127">N48</f>
        <v>-</v>
      </c>
      <c r="O318" s="142" t="str">
        <f t="shared" si="127"/>
        <v>-</v>
      </c>
      <c r="P318" s="142" t="str">
        <f t="shared" si="127"/>
        <v>-</v>
      </c>
      <c r="Q318" s="142" t="str">
        <f t="shared" si="127"/>
        <v>-</v>
      </c>
      <c r="R318" s="142" t="str">
        <f t="shared" si="127"/>
        <v>-</v>
      </c>
      <c r="S318" s="142">
        <f t="shared" si="127"/>
        <v>4</v>
      </c>
      <c r="T318" s="142">
        <f t="shared" si="127"/>
        <v>4</v>
      </c>
      <c r="U318" s="142" t="str">
        <f t="shared" si="127"/>
        <v>-</v>
      </c>
      <c r="V318" s="142" t="str">
        <f t="shared" si="127"/>
        <v>-</v>
      </c>
      <c r="W318" s="142" t="str">
        <f t="shared" si="127"/>
        <v>-</v>
      </c>
      <c r="X318" s="142">
        <f t="shared" si="127"/>
        <v>8</v>
      </c>
    </row>
    <row r="319" spans="1:24" ht="13">
      <c r="A319" s="239" t="s">
        <v>343</v>
      </c>
      <c r="B319" s="142" t="str">
        <f>B49</f>
        <v>-</v>
      </c>
      <c r="C319" s="142" t="str">
        <f t="shared" ref="C319:X320" si="128">C49</f>
        <v>-</v>
      </c>
      <c r="D319" s="142" t="str">
        <f t="shared" si="128"/>
        <v>-</v>
      </c>
      <c r="E319" s="142" t="str">
        <f t="shared" si="128"/>
        <v>-</v>
      </c>
      <c r="F319" s="142" t="str">
        <f t="shared" si="128"/>
        <v>--</v>
      </c>
      <c r="G319" s="142">
        <f t="shared" si="128"/>
        <v>318</v>
      </c>
      <c r="H319" s="142">
        <f t="shared" si="128"/>
        <v>65</v>
      </c>
      <c r="I319" s="142" t="str">
        <f t="shared" si="128"/>
        <v>-</v>
      </c>
      <c r="J319" s="142" t="str">
        <f t="shared" si="128"/>
        <v>-</v>
      </c>
      <c r="K319" s="142" t="str">
        <f t="shared" si="128"/>
        <v>-</v>
      </c>
      <c r="L319" s="142">
        <f t="shared" si="128"/>
        <v>383</v>
      </c>
      <c r="N319" s="142" t="str">
        <f t="shared" si="128"/>
        <v>-</v>
      </c>
      <c r="O319" s="142" t="str">
        <f t="shared" si="128"/>
        <v>-</v>
      </c>
      <c r="P319" s="142" t="str">
        <f t="shared" si="128"/>
        <v>-</v>
      </c>
      <c r="Q319" s="142" t="str">
        <f t="shared" si="128"/>
        <v>-</v>
      </c>
      <c r="R319" s="142" t="str">
        <f t="shared" si="128"/>
        <v>-</v>
      </c>
      <c r="S319" s="142">
        <f t="shared" si="128"/>
        <v>14</v>
      </c>
      <c r="T319" s="142" t="str">
        <f t="shared" si="128"/>
        <v>-</v>
      </c>
      <c r="U319" s="142" t="str">
        <f t="shared" si="128"/>
        <v>-</v>
      </c>
      <c r="V319" s="142" t="str">
        <f t="shared" si="128"/>
        <v>-</v>
      </c>
      <c r="W319" s="142" t="str">
        <f t="shared" si="128"/>
        <v>-</v>
      </c>
      <c r="X319" s="142">
        <f t="shared" si="128"/>
        <v>14</v>
      </c>
    </row>
    <row r="320" spans="1:24" ht="13">
      <c r="A320" s="239" t="s">
        <v>317</v>
      </c>
      <c r="B320" s="142" t="str">
        <f>B50</f>
        <v>-</v>
      </c>
      <c r="C320" s="142" t="str">
        <f t="shared" si="128"/>
        <v>-</v>
      </c>
      <c r="D320" s="142" t="str">
        <f t="shared" si="128"/>
        <v>-</v>
      </c>
      <c r="E320" s="142" t="str">
        <f t="shared" si="128"/>
        <v>-</v>
      </c>
      <c r="F320" s="142">
        <f t="shared" si="128"/>
        <v>16</v>
      </c>
      <c r="G320" s="142">
        <f t="shared" si="128"/>
        <v>73</v>
      </c>
      <c r="H320" s="142">
        <f t="shared" si="128"/>
        <v>0</v>
      </c>
      <c r="I320" s="142" t="str">
        <f t="shared" si="128"/>
        <v>-</v>
      </c>
      <c r="J320" s="142" t="str">
        <f t="shared" si="128"/>
        <v>-</v>
      </c>
      <c r="K320" s="142" t="str">
        <f t="shared" si="128"/>
        <v>-</v>
      </c>
      <c r="L320" s="142">
        <f t="shared" si="128"/>
        <v>89</v>
      </c>
      <c r="N320" s="142" t="str">
        <f t="shared" si="128"/>
        <v>-</v>
      </c>
      <c r="O320" s="142" t="str">
        <f t="shared" si="128"/>
        <v>-</v>
      </c>
      <c r="P320" s="142" t="str">
        <f t="shared" si="128"/>
        <v>-</v>
      </c>
      <c r="Q320" s="142" t="str">
        <f t="shared" si="128"/>
        <v>-</v>
      </c>
      <c r="R320" s="142" t="str">
        <f t="shared" si="128"/>
        <v>-</v>
      </c>
      <c r="S320" s="142" t="str">
        <f t="shared" si="128"/>
        <v>-</v>
      </c>
      <c r="T320" s="142" t="str">
        <f t="shared" si="128"/>
        <v>-</v>
      </c>
      <c r="U320" s="142" t="str">
        <f t="shared" si="128"/>
        <v>-</v>
      </c>
      <c r="V320" s="142" t="str">
        <f t="shared" si="128"/>
        <v>-</v>
      </c>
      <c r="W320" s="142" t="str">
        <f t="shared" si="128"/>
        <v>-</v>
      </c>
      <c r="X320" s="142">
        <f t="shared" si="128"/>
        <v>0</v>
      </c>
    </row>
    <row r="321" spans="1:25" ht="6.75" customHeight="1"/>
    <row r="322" spans="1:25">
      <c r="A322" s="94" t="str">
        <f>A52</f>
        <v>Eureka</v>
      </c>
    </row>
    <row r="323" spans="1:25">
      <c r="A323" s="99" t="s">
        <v>78</v>
      </c>
      <c r="B323" s="48" t="s">
        <v>106</v>
      </c>
      <c r="C323" s="48" t="s">
        <v>106</v>
      </c>
      <c r="D323" s="142" t="s">
        <v>23</v>
      </c>
      <c r="E323" s="142">
        <f t="shared" ref="E323:X323" si="129">AVERAGE(E63:E67)</f>
        <v>952.8</v>
      </c>
      <c r="F323" s="142">
        <f t="shared" si="129"/>
        <v>4925.6000000000004</v>
      </c>
      <c r="G323" s="142">
        <f t="shared" si="129"/>
        <v>6722.4</v>
      </c>
      <c r="H323" s="142">
        <f t="shared" si="129"/>
        <v>3013.6</v>
      </c>
      <c r="I323" s="142">
        <f t="shared" si="129"/>
        <v>183.8</v>
      </c>
      <c r="J323" s="142">
        <f t="shared" si="129"/>
        <v>0</v>
      </c>
      <c r="K323" s="142" t="s">
        <v>23</v>
      </c>
      <c r="L323" s="142">
        <f t="shared" si="129"/>
        <v>15798.2</v>
      </c>
      <c r="N323" s="48" t="s">
        <v>106</v>
      </c>
      <c r="O323" s="48" t="s">
        <v>106</v>
      </c>
      <c r="P323" s="142" t="s">
        <v>23</v>
      </c>
      <c r="Q323" s="142">
        <f t="shared" si="129"/>
        <v>660.4</v>
      </c>
      <c r="R323" s="142">
        <f t="shared" si="129"/>
        <v>5551.4</v>
      </c>
      <c r="S323" s="142">
        <f t="shared" si="129"/>
        <v>12444.8</v>
      </c>
      <c r="T323" s="142">
        <f t="shared" si="129"/>
        <v>2725.6</v>
      </c>
      <c r="U323" s="142">
        <f t="shared" si="129"/>
        <v>268.8</v>
      </c>
      <c r="V323" s="142">
        <f t="shared" si="129"/>
        <v>0</v>
      </c>
      <c r="W323" s="142" t="s">
        <v>23</v>
      </c>
      <c r="X323" s="142">
        <f t="shared" si="129"/>
        <v>21651</v>
      </c>
    </row>
    <row r="324" spans="1:25">
      <c r="A324" s="99" t="s">
        <v>10</v>
      </c>
      <c r="B324" s="142" t="s">
        <v>23</v>
      </c>
      <c r="C324" s="142" t="s">
        <v>23</v>
      </c>
      <c r="D324" s="142" t="s">
        <v>23</v>
      </c>
      <c r="E324" s="142">
        <f t="shared" ref="E324:J324" si="130">AVERAGE(E68:E72)</f>
        <v>620.5</v>
      </c>
      <c r="F324" s="142">
        <f t="shared" si="130"/>
        <v>3096.5</v>
      </c>
      <c r="G324" s="142">
        <f t="shared" si="130"/>
        <v>1890.3333333333333</v>
      </c>
      <c r="H324" s="142">
        <f t="shared" si="130"/>
        <v>725.25</v>
      </c>
      <c r="I324" s="142">
        <f t="shared" si="130"/>
        <v>625.20000000000005</v>
      </c>
      <c r="J324" s="142">
        <f t="shared" si="130"/>
        <v>1</v>
      </c>
      <c r="K324" s="142" t="s">
        <v>23</v>
      </c>
      <c r="L324" s="142">
        <f>AVERAGE(L68:L72)</f>
        <v>5313.4</v>
      </c>
      <c r="N324" s="142" t="s">
        <v>23</v>
      </c>
      <c r="O324" s="142" t="s">
        <v>23</v>
      </c>
      <c r="P324" s="142" t="s">
        <v>23</v>
      </c>
      <c r="Q324" s="142">
        <f t="shared" ref="Q324:V324" si="131">AVERAGE(Q68:Q72)</f>
        <v>208.66666666666666</v>
      </c>
      <c r="R324" s="142">
        <f t="shared" si="131"/>
        <v>3364</v>
      </c>
      <c r="S324" s="142">
        <f t="shared" si="131"/>
        <v>5066.666666666667</v>
      </c>
      <c r="T324" s="142">
        <f t="shared" si="131"/>
        <v>505.5</v>
      </c>
      <c r="U324" s="142">
        <f t="shared" si="131"/>
        <v>381</v>
      </c>
      <c r="V324" s="142">
        <f t="shared" si="131"/>
        <v>2</v>
      </c>
      <c r="W324" s="142" t="s">
        <v>23</v>
      </c>
      <c r="X324" s="142">
        <f>AVERAGE(X68:X72)</f>
        <v>6642.2</v>
      </c>
    </row>
    <row r="325" spans="1:25">
      <c r="A325" s="99" t="s">
        <v>144</v>
      </c>
      <c r="B325" s="142" t="s">
        <v>23</v>
      </c>
      <c r="C325" s="142" t="s">
        <v>23</v>
      </c>
      <c r="D325" s="142" t="s">
        <v>23</v>
      </c>
      <c r="E325" s="142">
        <f>AVERAGE(E73:E77)</f>
        <v>805.2</v>
      </c>
      <c r="F325" s="142">
        <f>AVERAGE(F73:F77)</f>
        <v>1948.4</v>
      </c>
      <c r="G325" s="142">
        <f>AVERAGE(G73:G77)</f>
        <v>992</v>
      </c>
      <c r="H325" s="142">
        <f>AVERAGE(H73:H77)</f>
        <v>2064.4</v>
      </c>
      <c r="I325" s="142">
        <f>AVERAGE(I73:I77)</f>
        <v>238.6</v>
      </c>
      <c r="J325" s="142" t="s">
        <v>23</v>
      </c>
      <c r="K325" s="142" t="s">
        <v>23</v>
      </c>
      <c r="L325" s="142">
        <f>AVERAGE(L73:L77)</f>
        <v>6048.6</v>
      </c>
      <c r="N325" s="142" t="s">
        <v>23</v>
      </c>
      <c r="O325" s="142" t="s">
        <v>23</v>
      </c>
      <c r="P325" s="142" t="s">
        <v>23</v>
      </c>
      <c r="Q325" s="142">
        <f>AVERAGE(Q73:Q77)</f>
        <v>12</v>
      </c>
      <c r="R325" s="142">
        <f>AVERAGE(R73:R77)</f>
        <v>38.4</v>
      </c>
      <c r="S325" s="142">
        <f>AVERAGE(S73:S77)</f>
        <v>15.8</v>
      </c>
      <c r="T325" s="142">
        <f>AVERAGE(T73:T77)</f>
        <v>44.4</v>
      </c>
      <c r="U325" s="142">
        <f>AVERAGE(U73:U77)</f>
        <v>12</v>
      </c>
      <c r="V325" s="142" t="s">
        <v>23</v>
      </c>
      <c r="W325" s="142" t="s">
        <v>23</v>
      </c>
      <c r="X325" s="142">
        <f>AVERAGE(X73:X77)</f>
        <v>108.2</v>
      </c>
    </row>
    <row r="326" spans="1:25">
      <c r="A326" s="99" t="s">
        <v>166</v>
      </c>
      <c r="B326" s="142" t="str">
        <f t="shared" ref="B326:K326" si="132">B78</f>
        <v>-</v>
      </c>
      <c r="C326" s="142" t="str">
        <f t="shared" si="132"/>
        <v>-</v>
      </c>
      <c r="D326" s="142" t="str">
        <f t="shared" si="132"/>
        <v>-</v>
      </c>
      <c r="E326" s="142">
        <f>AVERAGE(E78:E82)</f>
        <v>2608.8000000000002</v>
      </c>
      <c r="F326" s="142">
        <f>AVERAGE(F78:F82)</f>
        <v>3761.6</v>
      </c>
      <c r="G326" s="142">
        <f>AVERAGE(G78:G82)</f>
        <v>2062.4</v>
      </c>
      <c r="H326" s="142">
        <f>AVERAGE(H78:H82)</f>
        <v>4074.2</v>
      </c>
      <c r="I326" s="142">
        <f>AVERAGE(I78:I82)</f>
        <v>1807.6</v>
      </c>
      <c r="J326" s="142" t="str">
        <f t="shared" si="132"/>
        <v>-</v>
      </c>
      <c r="K326" s="142" t="str">
        <f t="shared" si="132"/>
        <v>-</v>
      </c>
      <c r="L326" s="142">
        <f>AVERAGE(L78:L82)</f>
        <v>14314.6</v>
      </c>
      <c r="N326" s="142" t="str">
        <f t="shared" ref="N326:W326" si="133">N78</f>
        <v>-</v>
      </c>
      <c r="O326" s="142" t="str">
        <f t="shared" si="133"/>
        <v>-</v>
      </c>
      <c r="P326" s="142" t="str">
        <f t="shared" si="133"/>
        <v>-</v>
      </c>
      <c r="Q326" s="142">
        <f>AVERAGE(Q78:Q82)</f>
        <v>51</v>
      </c>
      <c r="R326" s="142">
        <f>AVERAGE(R78:R82)</f>
        <v>83.2</v>
      </c>
      <c r="S326" s="142">
        <f>AVERAGE(S78:S82)</f>
        <v>25.6</v>
      </c>
      <c r="T326" s="142">
        <f>AVERAGE(T78:T82)</f>
        <v>41</v>
      </c>
      <c r="U326" s="142">
        <f>AVERAGE(U78:U82)</f>
        <v>27</v>
      </c>
      <c r="V326" s="142" t="str">
        <f t="shared" si="133"/>
        <v>-</v>
      </c>
      <c r="W326" s="142" t="str">
        <f t="shared" si="133"/>
        <v>-</v>
      </c>
      <c r="X326" s="142">
        <f>AVERAGE(X78:X82)</f>
        <v>217</v>
      </c>
      <c r="Y326" s="142"/>
    </row>
    <row r="327" spans="1:25">
      <c r="A327" s="99" t="s">
        <v>315</v>
      </c>
      <c r="B327" s="142" t="str">
        <f>B83</f>
        <v>-</v>
      </c>
      <c r="C327" s="142" t="str">
        <f t="shared" ref="C327:D327" si="134">C83</f>
        <v>-</v>
      </c>
      <c r="D327" s="142" t="str">
        <f t="shared" si="134"/>
        <v>-</v>
      </c>
      <c r="E327" s="142">
        <f>AVERAGE(E83:E87)</f>
        <v>1710</v>
      </c>
      <c r="F327" s="142">
        <f t="shared" ref="F327:I327" si="135">AVERAGE(F83:F87)</f>
        <v>3540.3333333333335</v>
      </c>
      <c r="G327" s="142">
        <f t="shared" si="135"/>
        <v>2148.6666666666665</v>
      </c>
      <c r="H327" s="142">
        <f t="shared" si="135"/>
        <v>2260</v>
      </c>
      <c r="I327" s="142">
        <f t="shared" si="135"/>
        <v>1485</v>
      </c>
      <c r="J327" s="142" t="str">
        <f t="shared" ref="J327:K327" si="136">J83</f>
        <v>-</v>
      </c>
      <c r="K327" s="142" t="str">
        <f t="shared" si="136"/>
        <v>-</v>
      </c>
      <c r="L327" s="142">
        <f t="shared" ref="L327" si="137">AVERAGE(L83:L87)</f>
        <v>8729.25</v>
      </c>
      <c r="N327" s="142" t="str">
        <f t="shared" ref="N327:P327" si="138">N83</f>
        <v>-</v>
      </c>
      <c r="O327" s="142" t="str">
        <f t="shared" si="138"/>
        <v>-</v>
      </c>
      <c r="P327" s="142" t="str">
        <f t="shared" si="138"/>
        <v>-</v>
      </c>
      <c r="Q327" s="142">
        <f t="shared" ref="Q327:U327" si="139">AVERAGE(Q83:Q87)</f>
        <v>88</v>
      </c>
      <c r="R327" s="142">
        <f t="shared" si="139"/>
        <v>62.5</v>
      </c>
      <c r="S327" s="142">
        <f t="shared" si="139"/>
        <v>60.5</v>
      </c>
      <c r="T327" s="142">
        <f t="shared" si="139"/>
        <v>79</v>
      </c>
      <c r="U327" s="142">
        <f t="shared" si="139"/>
        <v>43</v>
      </c>
      <c r="V327" s="142" t="str">
        <f t="shared" ref="V327:W327" si="140">V83</f>
        <v>-</v>
      </c>
      <c r="W327" s="142" t="str">
        <f t="shared" si="140"/>
        <v>-</v>
      </c>
      <c r="X327" s="142">
        <f t="shared" ref="X327" si="141">AVERAGE(X83:X87)</f>
        <v>155.25</v>
      </c>
      <c r="Y327" s="142"/>
    </row>
    <row r="328" spans="1:25">
      <c r="A328" s="99">
        <v>2011</v>
      </c>
      <c r="B328" s="142" t="str">
        <f t="shared" ref="B328:L328" si="142">B88</f>
        <v>-</v>
      </c>
      <c r="C328" s="142" t="str">
        <f t="shared" si="142"/>
        <v>-</v>
      </c>
      <c r="D328" s="142" t="str">
        <f t="shared" si="142"/>
        <v>-</v>
      </c>
      <c r="E328" s="142">
        <f t="shared" si="142"/>
        <v>630</v>
      </c>
      <c r="F328" s="142">
        <f t="shared" si="142"/>
        <v>934</v>
      </c>
      <c r="G328" s="142">
        <f t="shared" si="142"/>
        <v>4342</v>
      </c>
      <c r="H328" s="142">
        <f t="shared" si="142"/>
        <v>3672</v>
      </c>
      <c r="I328" s="142">
        <f t="shared" si="142"/>
        <v>296</v>
      </c>
      <c r="J328" s="142" t="str">
        <f t="shared" si="142"/>
        <v>-</v>
      </c>
      <c r="K328" s="142" t="str">
        <f t="shared" si="142"/>
        <v>-</v>
      </c>
      <c r="L328" s="142">
        <f t="shared" si="142"/>
        <v>9874</v>
      </c>
      <c r="N328" s="142" t="str">
        <f t="shared" ref="N328:X328" si="143">N88</f>
        <v>-</v>
      </c>
      <c r="O328" s="142" t="str">
        <f t="shared" si="143"/>
        <v>-</v>
      </c>
      <c r="P328" s="142" t="str">
        <f t="shared" si="143"/>
        <v>-</v>
      </c>
      <c r="Q328" s="142">
        <f t="shared" si="143"/>
        <v>5</v>
      </c>
      <c r="R328" s="142">
        <f t="shared" si="143"/>
        <v>10</v>
      </c>
      <c r="S328" s="142">
        <f t="shared" si="143"/>
        <v>50</v>
      </c>
      <c r="T328" s="142">
        <f t="shared" si="143"/>
        <v>29</v>
      </c>
      <c r="U328" s="142">
        <f t="shared" si="143"/>
        <v>4</v>
      </c>
      <c r="V328" s="142" t="str">
        <f t="shared" si="143"/>
        <v>-</v>
      </c>
      <c r="W328" s="142" t="str">
        <f t="shared" si="143"/>
        <v>-</v>
      </c>
      <c r="X328" s="142">
        <f t="shared" si="143"/>
        <v>98</v>
      </c>
    </row>
    <row r="329" spans="1:25">
      <c r="A329" s="99">
        <v>2012</v>
      </c>
      <c r="B329" s="142" t="str">
        <f t="shared" ref="B329:L329" si="144">B89</f>
        <v>-</v>
      </c>
      <c r="C329" s="142" t="str">
        <f t="shared" si="144"/>
        <v>-</v>
      </c>
      <c r="D329" s="142" t="str">
        <f t="shared" si="144"/>
        <v>-</v>
      </c>
      <c r="E329" s="142">
        <f t="shared" si="144"/>
        <v>3462</v>
      </c>
      <c r="F329" s="142">
        <f t="shared" si="144"/>
        <v>10104</v>
      </c>
      <c r="G329" s="142">
        <f t="shared" si="144"/>
        <v>7049</v>
      </c>
      <c r="H329" s="142">
        <f t="shared" si="144"/>
        <v>9019</v>
      </c>
      <c r="I329" s="142">
        <f t="shared" si="144"/>
        <v>2378</v>
      </c>
      <c r="J329" s="142" t="str">
        <f t="shared" si="144"/>
        <v>-</v>
      </c>
      <c r="K329" s="142" t="str">
        <f t="shared" si="144"/>
        <v>-</v>
      </c>
      <c r="L329" s="142">
        <f t="shared" si="144"/>
        <v>32012</v>
      </c>
      <c r="N329" s="142" t="str">
        <f t="shared" ref="N329:X329" si="145">N89</f>
        <v>-</v>
      </c>
      <c r="O329" s="142" t="str">
        <f t="shared" si="145"/>
        <v>-</v>
      </c>
      <c r="P329" s="142" t="str">
        <f t="shared" si="145"/>
        <v>-</v>
      </c>
      <c r="Q329" s="142" t="str">
        <f t="shared" si="145"/>
        <v>-</v>
      </c>
      <c r="R329" s="142">
        <f t="shared" si="145"/>
        <v>12</v>
      </c>
      <c r="S329" s="142">
        <f t="shared" si="145"/>
        <v>5</v>
      </c>
      <c r="T329" s="142" t="str">
        <f t="shared" si="145"/>
        <v>-</v>
      </c>
      <c r="U329" s="142" t="str">
        <f t="shared" si="145"/>
        <v>-</v>
      </c>
      <c r="V329" s="142" t="str">
        <f t="shared" si="145"/>
        <v>-</v>
      </c>
      <c r="W329" s="142" t="str">
        <f t="shared" si="145"/>
        <v>-</v>
      </c>
      <c r="X329" s="142">
        <f t="shared" si="145"/>
        <v>17</v>
      </c>
    </row>
    <row r="330" spans="1:25">
      <c r="A330" s="99">
        <v>2013</v>
      </c>
      <c r="B330" s="142" t="str">
        <f t="shared" ref="B330:L330" si="146">B90</f>
        <v>-</v>
      </c>
      <c r="C330" s="142" t="str">
        <f t="shared" si="146"/>
        <v>-</v>
      </c>
      <c r="D330" s="142" t="str">
        <f t="shared" si="146"/>
        <v>-</v>
      </c>
      <c r="E330" s="142">
        <f t="shared" si="146"/>
        <v>2423</v>
      </c>
      <c r="F330" s="142">
        <f t="shared" si="146"/>
        <v>7601</v>
      </c>
      <c r="G330" s="142">
        <f t="shared" si="146"/>
        <v>8579</v>
      </c>
      <c r="H330" s="142">
        <f t="shared" si="146"/>
        <v>8876</v>
      </c>
      <c r="I330" s="142">
        <f t="shared" si="146"/>
        <v>439</v>
      </c>
      <c r="J330" s="142" t="str">
        <f t="shared" si="146"/>
        <v>-</v>
      </c>
      <c r="K330" s="142" t="str">
        <f t="shared" si="146"/>
        <v>-</v>
      </c>
      <c r="L330" s="142">
        <f t="shared" si="146"/>
        <v>27918</v>
      </c>
      <c r="N330" s="142" t="str">
        <f t="shared" ref="N330:X330" si="147">N90</f>
        <v>-</v>
      </c>
      <c r="O330" s="142" t="str">
        <f t="shared" si="147"/>
        <v>-</v>
      </c>
      <c r="P330" s="142" t="str">
        <f t="shared" si="147"/>
        <v>-</v>
      </c>
      <c r="Q330" s="142" t="str">
        <f t="shared" si="147"/>
        <v>-</v>
      </c>
      <c r="R330" s="142">
        <f t="shared" si="147"/>
        <v>35</v>
      </c>
      <c r="S330" s="142">
        <f t="shared" si="147"/>
        <v>39</v>
      </c>
      <c r="T330" s="142">
        <f t="shared" si="147"/>
        <v>122</v>
      </c>
      <c r="U330" s="142" t="str">
        <f t="shared" si="147"/>
        <v>-</v>
      </c>
      <c r="V330" s="142" t="str">
        <f t="shared" si="147"/>
        <v>-</v>
      </c>
      <c r="W330" s="142" t="str">
        <f t="shared" si="147"/>
        <v>-</v>
      </c>
      <c r="X330" s="142">
        <f t="shared" si="147"/>
        <v>196</v>
      </c>
    </row>
    <row r="331" spans="1:25">
      <c r="A331" s="99">
        <v>2014</v>
      </c>
      <c r="B331" s="142" t="str">
        <f t="shared" ref="B331:L331" si="148">B91</f>
        <v>-</v>
      </c>
      <c r="C331" s="142" t="str">
        <f t="shared" si="148"/>
        <v>-</v>
      </c>
      <c r="D331" s="142" t="str">
        <f t="shared" si="148"/>
        <v>-</v>
      </c>
      <c r="E331" s="142">
        <f t="shared" si="148"/>
        <v>2074</v>
      </c>
      <c r="F331" s="142">
        <f t="shared" si="148"/>
        <v>4877</v>
      </c>
      <c r="G331" s="142">
        <f t="shared" si="148"/>
        <v>3159</v>
      </c>
      <c r="H331" s="142">
        <f t="shared" si="148"/>
        <v>2181</v>
      </c>
      <c r="I331" s="142">
        <f t="shared" si="148"/>
        <v>303</v>
      </c>
      <c r="J331" s="142" t="str">
        <f t="shared" si="148"/>
        <v>-</v>
      </c>
      <c r="K331" s="142" t="str">
        <f t="shared" si="148"/>
        <v>-</v>
      </c>
      <c r="L331" s="142">
        <f t="shared" si="148"/>
        <v>12594</v>
      </c>
      <c r="N331" s="142" t="str">
        <f t="shared" ref="N331:X331" si="149">N91</f>
        <v>-</v>
      </c>
      <c r="O331" s="142" t="str">
        <f t="shared" si="149"/>
        <v>-</v>
      </c>
      <c r="P331" s="142" t="str">
        <f t="shared" si="149"/>
        <v>-</v>
      </c>
      <c r="Q331" s="142">
        <f t="shared" si="149"/>
        <v>19</v>
      </c>
      <c r="R331" s="142">
        <f t="shared" si="149"/>
        <v>72</v>
      </c>
      <c r="S331" s="142">
        <f t="shared" si="149"/>
        <v>118</v>
      </c>
      <c r="T331" s="142">
        <f t="shared" si="149"/>
        <v>4</v>
      </c>
      <c r="U331" s="142">
        <f t="shared" si="149"/>
        <v>3</v>
      </c>
      <c r="V331" s="142" t="str">
        <f t="shared" si="149"/>
        <v>-</v>
      </c>
      <c r="W331" s="142" t="str">
        <f t="shared" si="149"/>
        <v>-</v>
      </c>
      <c r="X331" s="142">
        <f t="shared" si="149"/>
        <v>216</v>
      </c>
    </row>
    <row r="332" spans="1:25">
      <c r="A332" s="99">
        <v>2015</v>
      </c>
      <c r="B332" s="142" t="str">
        <f t="shared" ref="B332:L332" si="150">B92</f>
        <v>-</v>
      </c>
      <c r="C332" s="142" t="str">
        <f t="shared" si="150"/>
        <v>-</v>
      </c>
      <c r="D332" s="142" t="str">
        <f t="shared" si="150"/>
        <v>-</v>
      </c>
      <c r="E332" s="142">
        <f t="shared" si="150"/>
        <v>877</v>
      </c>
      <c r="F332" s="142">
        <f t="shared" si="150"/>
        <v>260</v>
      </c>
      <c r="G332" s="142">
        <f t="shared" si="150"/>
        <v>1088</v>
      </c>
      <c r="H332" s="142">
        <f t="shared" si="150"/>
        <v>1385</v>
      </c>
      <c r="I332" s="142">
        <f t="shared" si="150"/>
        <v>16</v>
      </c>
      <c r="J332" s="142" t="str">
        <f t="shared" si="150"/>
        <v>-</v>
      </c>
      <c r="K332" s="142" t="str">
        <f t="shared" si="150"/>
        <v>-</v>
      </c>
      <c r="L332" s="142">
        <f t="shared" si="150"/>
        <v>3626</v>
      </c>
      <c r="N332" s="142" t="str">
        <f t="shared" ref="N332:X332" si="151">N92</f>
        <v>-</v>
      </c>
      <c r="O332" s="142" t="str">
        <f t="shared" si="151"/>
        <v>-</v>
      </c>
      <c r="P332" s="142" t="str">
        <f t="shared" si="151"/>
        <v>-</v>
      </c>
      <c r="Q332" s="142" t="str">
        <f t="shared" si="151"/>
        <v>-</v>
      </c>
      <c r="R332" s="142">
        <f t="shared" si="151"/>
        <v>8</v>
      </c>
      <c r="S332" s="142">
        <f t="shared" si="151"/>
        <v>4</v>
      </c>
      <c r="T332" s="142" t="str">
        <f t="shared" si="151"/>
        <v>-</v>
      </c>
      <c r="U332" s="142" t="str">
        <f t="shared" si="151"/>
        <v>-</v>
      </c>
      <c r="V332" s="142" t="str">
        <f t="shared" si="151"/>
        <v>-</v>
      </c>
      <c r="W332" s="142" t="str">
        <f t="shared" si="151"/>
        <v>-</v>
      </c>
      <c r="X332" s="142">
        <f t="shared" si="151"/>
        <v>12</v>
      </c>
    </row>
    <row r="333" spans="1:25">
      <c r="A333" s="99">
        <v>2016</v>
      </c>
      <c r="B333" s="142" t="str">
        <f t="shared" ref="B333:L333" si="152">B93</f>
        <v>-</v>
      </c>
      <c r="C333" s="142" t="str">
        <f t="shared" si="152"/>
        <v>-</v>
      </c>
      <c r="D333" s="142" t="str">
        <f t="shared" si="152"/>
        <v>-</v>
      </c>
      <c r="E333" s="142">
        <f t="shared" si="152"/>
        <v>1450</v>
      </c>
      <c r="F333" s="142">
        <f t="shared" si="152"/>
        <v>934</v>
      </c>
      <c r="G333" s="142">
        <f t="shared" si="152"/>
        <v>1414</v>
      </c>
      <c r="H333" s="142">
        <f t="shared" si="152"/>
        <v>646</v>
      </c>
      <c r="I333" s="142">
        <f t="shared" si="152"/>
        <v>523</v>
      </c>
      <c r="J333" s="142" t="str">
        <f t="shared" si="152"/>
        <v>-</v>
      </c>
      <c r="K333" s="142" t="str">
        <f t="shared" si="152"/>
        <v>-</v>
      </c>
      <c r="L333" s="142">
        <f t="shared" si="152"/>
        <v>4967</v>
      </c>
      <c r="N333" s="142" t="str">
        <f t="shared" ref="N333:X333" si="153">N93</f>
        <v>-</v>
      </c>
      <c r="O333" s="142" t="str">
        <f t="shared" si="153"/>
        <v>-</v>
      </c>
      <c r="P333" s="142" t="str">
        <f t="shared" si="153"/>
        <v>-</v>
      </c>
      <c r="Q333" s="142" t="str">
        <f t="shared" si="153"/>
        <v>-</v>
      </c>
      <c r="R333" s="142">
        <f t="shared" si="153"/>
        <v>18</v>
      </c>
      <c r="S333" s="142">
        <f t="shared" si="153"/>
        <v>9</v>
      </c>
      <c r="T333" s="142" t="str">
        <f t="shared" si="153"/>
        <v>-</v>
      </c>
      <c r="U333" s="142" t="str">
        <f t="shared" si="153"/>
        <v>-</v>
      </c>
      <c r="V333" s="142" t="str">
        <f t="shared" si="153"/>
        <v>-</v>
      </c>
      <c r="W333" s="142" t="str">
        <f t="shared" si="153"/>
        <v>-</v>
      </c>
      <c r="X333" s="142">
        <f t="shared" si="153"/>
        <v>27</v>
      </c>
    </row>
    <row r="334" spans="1:25">
      <c r="A334" s="99">
        <v>2017</v>
      </c>
      <c r="B334" s="142" t="str">
        <f t="shared" ref="B334:L334" si="154">B94</f>
        <v>-</v>
      </c>
      <c r="C334" s="142" t="str">
        <f t="shared" si="154"/>
        <v>-</v>
      </c>
      <c r="D334" s="142" t="str">
        <f t="shared" si="154"/>
        <v>-</v>
      </c>
      <c r="E334" s="142" t="str">
        <f t="shared" si="154"/>
        <v>-</v>
      </c>
      <c r="F334" s="142" t="str">
        <f t="shared" si="154"/>
        <v>-</v>
      </c>
      <c r="G334" s="142" t="str">
        <f t="shared" si="154"/>
        <v>-</v>
      </c>
      <c r="H334" s="142" t="str">
        <f t="shared" si="154"/>
        <v>-</v>
      </c>
      <c r="I334" s="142" t="str">
        <f t="shared" si="154"/>
        <v>-</v>
      </c>
      <c r="J334" s="142" t="str">
        <f t="shared" si="154"/>
        <v>-</v>
      </c>
      <c r="K334" s="142" t="str">
        <f t="shared" si="154"/>
        <v>-</v>
      </c>
      <c r="L334" s="142" t="str">
        <f t="shared" si="154"/>
        <v>-</v>
      </c>
      <c r="N334" s="142" t="str">
        <f t="shared" ref="N334:X334" si="155">N94</f>
        <v>-</v>
      </c>
      <c r="O334" s="142" t="str">
        <f t="shared" si="155"/>
        <v>-</v>
      </c>
      <c r="P334" s="142" t="str">
        <f t="shared" si="155"/>
        <v>-</v>
      </c>
      <c r="Q334" s="142" t="str">
        <f t="shared" si="155"/>
        <v>-</v>
      </c>
      <c r="R334" s="142" t="str">
        <f t="shared" si="155"/>
        <v>-</v>
      </c>
      <c r="S334" s="142" t="str">
        <f t="shared" si="155"/>
        <v>-</v>
      </c>
      <c r="T334" s="142" t="str">
        <f t="shared" si="155"/>
        <v>-</v>
      </c>
      <c r="U334" s="142" t="str">
        <f t="shared" si="155"/>
        <v>-</v>
      </c>
      <c r="V334" s="142" t="str">
        <f t="shared" si="155"/>
        <v>-</v>
      </c>
      <c r="W334" s="142" t="str">
        <f t="shared" si="155"/>
        <v>-</v>
      </c>
      <c r="X334" s="142" t="str">
        <f t="shared" si="155"/>
        <v>-</v>
      </c>
    </row>
    <row r="335" spans="1:25">
      <c r="A335" s="99">
        <v>2018</v>
      </c>
      <c r="B335" s="142" t="str">
        <f t="shared" ref="B335:L335" si="156">B95</f>
        <v>-</v>
      </c>
      <c r="C335" s="142" t="str">
        <f t="shared" si="156"/>
        <v>-</v>
      </c>
      <c r="D335" s="142" t="str">
        <f t="shared" si="156"/>
        <v>-</v>
      </c>
      <c r="E335" s="142" t="str">
        <f t="shared" si="156"/>
        <v>-</v>
      </c>
      <c r="F335" s="142">
        <f t="shared" si="156"/>
        <v>1590</v>
      </c>
      <c r="G335" s="142">
        <f t="shared" si="156"/>
        <v>734</v>
      </c>
      <c r="H335" s="142">
        <f t="shared" si="156"/>
        <v>1059</v>
      </c>
      <c r="I335" s="142">
        <f t="shared" si="156"/>
        <v>27</v>
      </c>
      <c r="J335" s="142" t="str">
        <f t="shared" si="156"/>
        <v>-</v>
      </c>
      <c r="K335" s="142" t="str">
        <f t="shared" si="156"/>
        <v>-</v>
      </c>
      <c r="L335" s="142">
        <f t="shared" si="156"/>
        <v>3410</v>
      </c>
      <c r="N335" s="142" t="str">
        <f t="shared" ref="N335:X335" si="157">N95</f>
        <v>-</v>
      </c>
      <c r="O335" s="142" t="str">
        <f t="shared" si="157"/>
        <v>-</v>
      </c>
      <c r="P335" s="142" t="str">
        <f t="shared" si="157"/>
        <v>-</v>
      </c>
      <c r="Q335" s="142" t="str">
        <f t="shared" si="157"/>
        <v>-</v>
      </c>
      <c r="R335" s="142">
        <f t="shared" si="157"/>
        <v>41</v>
      </c>
      <c r="S335" s="142">
        <f t="shared" si="157"/>
        <v>4</v>
      </c>
      <c r="T335" s="142">
        <f t="shared" si="157"/>
        <v>33</v>
      </c>
      <c r="U335" s="142" t="str">
        <f t="shared" si="157"/>
        <v>-</v>
      </c>
      <c r="V335" s="142" t="str">
        <f t="shared" si="157"/>
        <v>-</v>
      </c>
      <c r="W335" s="142" t="str">
        <f t="shared" si="157"/>
        <v>-</v>
      </c>
      <c r="X335" s="142">
        <f t="shared" si="157"/>
        <v>78</v>
      </c>
    </row>
    <row r="336" spans="1:25">
      <c r="A336" s="239">
        <v>2019</v>
      </c>
      <c r="B336" s="142" t="str">
        <f t="shared" ref="B336:L336" si="158">B96</f>
        <v>-</v>
      </c>
      <c r="C336" s="142" t="str">
        <f t="shared" si="158"/>
        <v>-</v>
      </c>
      <c r="D336" s="142" t="str">
        <f t="shared" si="158"/>
        <v>-</v>
      </c>
      <c r="E336" s="142">
        <f t="shared" si="158"/>
        <v>315</v>
      </c>
      <c r="F336" s="142">
        <f t="shared" si="158"/>
        <v>2273</v>
      </c>
      <c r="G336" s="142">
        <f t="shared" si="158"/>
        <v>1308</v>
      </c>
      <c r="H336" s="142">
        <f t="shared" si="158"/>
        <v>941</v>
      </c>
      <c r="I336" s="142">
        <f t="shared" si="158"/>
        <v>59</v>
      </c>
      <c r="J336" s="142" t="str">
        <f t="shared" si="158"/>
        <v>-</v>
      </c>
      <c r="K336" s="142" t="str">
        <f t="shared" si="158"/>
        <v>-</v>
      </c>
      <c r="L336" s="142">
        <f t="shared" si="158"/>
        <v>4896</v>
      </c>
      <c r="N336" s="142" t="str">
        <f t="shared" ref="N336:X336" si="159">N96</f>
        <v>-</v>
      </c>
      <c r="O336" s="142" t="str">
        <f t="shared" si="159"/>
        <v>-</v>
      </c>
      <c r="P336" s="142" t="str">
        <f t="shared" si="159"/>
        <v>-</v>
      </c>
      <c r="Q336" s="142" t="str">
        <f t="shared" si="159"/>
        <v>-</v>
      </c>
      <c r="R336" s="142">
        <f t="shared" si="159"/>
        <v>47</v>
      </c>
      <c r="S336" s="142">
        <f t="shared" si="159"/>
        <v>61</v>
      </c>
      <c r="T336" s="142">
        <f t="shared" si="159"/>
        <v>39</v>
      </c>
      <c r="U336" s="142" t="str">
        <f t="shared" si="159"/>
        <v>-</v>
      </c>
      <c r="V336" s="142" t="str">
        <f t="shared" si="159"/>
        <v>-</v>
      </c>
      <c r="W336" s="142" t="str">
        <f t="shared" si="159"/>
        <v>-</v>
      </c>
      <c r="X336" s="142">
        <f t="shared" si="159"/>
        <v>147</v>
      </c>
    </row>
    <row r="337" spans="1:24" ht="13">
      <c r="A337" s="239" t="s">
        <v>343</v>
      </c>
      <c r="B337" s="142" t="str">
        <f>B97</f>
        <v>-</v>
      </c>
      <c r="C337" s="142" t="str">
        <f t="shared" ref="C337:X338" si="160">C97</f>
        <v>-</v>
      </c>
      <c r="D337" s="142" t="str">
        <f t="shared" si="160"/>
        <v>-</v>
      </c>
      <c r="E337" s="142" t="str">
        <f t="shared" si="160"/>
        <v>-</v>
      </c>
      <c r="F337" s="142" t="str">
        <f t="shared" si="160"/>
        <v>--</v>
      </c>
      <c r="G337" s="142">
        <f t="shared" si="160"/>
        <v>1244</v>
      </c>
      <c r="H337" s="142">
        <f t="shared" si="160"/>
        <v>204</v>
      </c>
      <c r="I337" s="142" t="str">
        <f t="shared" si="160"/>
        <v>-</v>
      </c>
      <c r="J337" s="142" t="str">
        <f t="shared" si="160"/>
        <v>-</v>
      </c>
      <c r="K337" s="142" t="str">
        <f t="shared" si="160"/>
        <v>-</v>
      </c>
      <c r="L337" s="142">
        <f t="shared" si="160"/>
        <v>1448</v>
      </c>
      <c r="N337" s="142" t="str">
        <f t="shared" si="160"/>
        <v>-</v>
      </c>
      <c r="O337" s="142" t="str">
        <f t="shared" si="160"/>
        <v>-</v>
      </c>
      <c r="P337" s="142" t="str">
        <f t="shared" si="160"/>
        <v>-</v>
      </c>
      <c r="Q337" s="142" t="str">
        <f t="shared" si="160"/>
        <v>-</v>
      </c>
      <c r="R337" s="142" t="str">
        <f t="shared" si="160"/>
        <v>-</v>
      </c>
      <c r="S337" s="142">
        <f t="shared" si="160"/>
        <v>4</v>
      </c>
      <c r="T337" s="142" t="str">
        <f t="shared" si="160"/>
        <v>-</v>
      </c>
      <c r="U337" s="142" t="str">
        <f t="shared" si="160"/>
        <v>-</v>
      </c>
      <c r="V337" s="142" t="str">
        <f t="shared" si="160"/>
        <v>-</v>
      </c>
      <c r="W337" s="142" t="str">
        <f t="shared" si="160"/>
        <v>-</v>
      </c>
      <c r="X337" s="142">
        <f t="shared" si="160"/>
        <v>4</v>
      </c>
    </row>
    <row r="338" spans="1:24" ht="13">
      <c r="A338" s="239" t="s">
        <v>317</v>
      </c>
      <c r="B338" s="142" t="str">
        <f>B98</f>
        <v>-</v>
      </c>
      <c r="C338" s="142" t="str">
        <f t="shared" si="160"/>
        <v>-</v>
      </c>
      <c r="D338" s="142" t="str">
        <f t="shared" si="160"/>
        <v>-</v>
      </c>
      <c r="E338" s="142" t="str">
        <f t="shared" si="160"/>
        <v>-</v>
      </c>
      <c r="F338" s="142">
        <f t="shared" si="160"/>
        <v>12</v>
      </c>
      <c r="G338" s="142">
        <f t="shared" si="160"/>
        <v>540</v>
      </c>
      <c r="H338" s="142">
        <f t="shared" si="160"/>
        <v>0</v>
      </c>
      <c r="I338" s="142" t="str">
        <f t="shared" si="160"/>
        <v>-</v>
      </c>
      <c r="J338" s="142" t="str">
        <f t="shared" si="160"/>
        <v>-</v>
      </c>
      <c r="K338" s="142" t="str">
        <f t="shared" si="160"/>
        <v>-</v>
      </c>
      <c r="L338" s="142">
        <f t="shared" si="160"/>
        <v>552</v>
      </c>
      <c r="N338" s="142" t="str">
        <f t="shared" si="160"/>
        <v>-</v>
      </c>
      <c r="O338" s="142" t="str">
        <f t="shared" si="160"/>
        <v>-</v>
      </c>
      <c r="P338" s="142" t="str">
        <f t="shared" si="160"/>
        <v>-</v>
      </c>
      <c r="Q338" s="142" t="str">
        <f t="shared" si="160"/>
        <v>-</v>
      </c>
      <c r="R338" s="142" t="str">
        <f t="shared" si="160"/>
        <v>-</v>
      </c>
      <c r="S338" s="142">
        <f t="shared" si="160"/>
        <v>9</v>
      </c>
      <c r="T338" s="142" t="str">
        <f t="shared" si="160"/>
        <v>-</v>
      </c>
      <c r="U338" s="142" t="str">
        <f t="shared" si="160"/>
        <v>-</v>
      </c>
      <c r="V338" s="142" t="str">
        <f t="shared" si="160"/>
        <v>-</v>
      </c>
      <c r="W338" s="142" t="str">
        <f t="shared" si="160"/>
        <v>-</v>
      </c>
      <c r="X338" s="142">
        <f t="shared" si="160"/>
        <v>9</v>
      </c>
    </row>
    <row r="339" spans="1:24" ht="9" customHeight="1"/>
    <row r="340" spans="1:24" ht="15" customHeight="1">
      <c r="A340" s="290" t="s">
        <v>178</v>
      </c>
      <c r="B340" s="290"/>
      <c r="C340" s="290"/>
      <c r="D340" s="290"/>
      <c r="E340" s="290"/>
      <c r="F340" s="290"/>
      <c r="G340" s="290"/>
      <c r="H340" s="290"/>
      <c r="I340" s="290"/>
      <c r="J340" s="290"/>
      <c r="K340" s="290"/>
      <c r="L340" s="290"/>
      <c r="M340" s="290"/>
      <c r="N340" s="290"/>
      <c r="O340" s="290"/>
      <c r="P340" s="290"/>
      <c r="Q340" s="290"/>
      <c r="R340" s="290"/>
      <c r="S340" s="290"/>
      <c r="T340" s="290"/>
      <c r="U340" s="290"/>
      <c r="V340" s="290"/>
      <c r="W340" s="290"/>
      <c r="X340" s="290"/>
    </row>
    <row r="341" spans="1:24">
      <c r="A341" s="96" t="s">
        <v>27</v>
      </c>
      <c r="B341" s="225" t="s">
        <v>36</v>
      </c>
      <c r="C341" s="225" t="s">
        <v>37</v>
      </c>
      <c r="D341" s="225" t="s">
        <v>28</v>
      </c>
      <c r="E341" s="225" t="s">
        <v>29</v>
      </c>
      <c r="F341" s="225" t="s">
        <v>30</v>
      </c>
      <c r="G341" s="225" t="s">
        <v>31</v>
      </c>
      <c r="H341" s="225" t="s">
        <v>32</v>
      </c>
      <c r="I341" s="225" t="s">
        <v>33</v>
      </c>
      <c r="J341" s="225" t="s">
        <v>34</v>
      </c>
      <c r="K341" s="225" t="s">
        <v>38</v>
      </c>
      <c r="L341" s="225" t="s">
        <v>22</v>
      </c>
      <c r="M341" s="14"/>
      <c r="N341" s="225" t="s">
        <v>36</v>
      </c>
      <c r="O341" s="225" t="s">
        <v>37</v>
      </c>
      <c r="P341" s="225" t="s">
        <v>28</v>
      </c>
      <c r="Q341" s="225" t="s">
        <v>29</v>
      </c>
      <c r="R341" s="225" t="s">
        <v>30</v>
      </c>
      <c r="S341" s="225" t="s">
        <v>31</v>
      </c>
      <c r="T341" s="225" t="s">
        <v>32</v>
      </c>
      <c r="U341" s="225" t="s">
        <v>33</v>
      </c>
      <c r="V341" s="225" t="s">
        <v>34</v>
      </c>
      <c r="W341" s="225" t="s">
        <v>38</v>
      </c>
      <c r="X341" s="225" t="s">
        <v>22</v>
      </c>
    </row>
    <row r="342" spans="1:24">
      <c r="B342" s="288" t="s">
        <v>61</v>
      </c>
      <c r="C342" s="288"/>
      <c r="D342" s="288"/>
      <c r="E342" s="288"/>
      <c r="F342" s="288"/>
      <c r="G342" s="288"/>
      <c r="H342" s="288"/>
      <c r="I342" s="288"/>
      <c r="J342" s="288"/>
      <c r="K342" s="288"/>
      <c r="L342" s="288"/>
      <c r="M342" s="14"/>
      <c r="N342" s="288" t="s">
        <v>62</v>
      </c>
      <c r="O342" s="288"/>
      <c r="P342" s="288"/>
      <c r="Q342" s="288"/>
      <c r="R342" s="288"/>
      <c r="S342" s="288"/>
      <c r="T342" s="288"/>
      <c r="U342" s="288"/>
      <c r="V342" s="288"/>
      <c r="W342" s="288"/>
      <c r="X342" s="288"/>
    </row>
    <row r="343" spans="1:24">
      <c r="A343" s="94" t="str">
        <f>A100</f>
        <v>Fort Bragg</v>
      </c>
    </row>
    <row r="344" spans="1:24">
      <c r="A344" s="99" t="s">
        <v>78</v>
      </c>
      <c r="B344" s="142">
        <f t="shared" ref="B344:L344" si="161">AVERAGE(B111:B115)</f>
        <v>0</v>
      </c>
      <c r="C344" s="142">
        <f t="shared" si="161"/>
        <v>0.8</v>
      </c>
      <c r="D344" s="142">
        <f t="shared" si="161"/>
        <v>84.6</v>
      </c>
      <c r="E344" s="142">
        <f t="shared" si="161"/>
        <v>359.8</v>
      </c>
      <c r="F344" s="142">
        <f t="shared" si="161"/>
        <v>2626.4</v>
      </c>
      <c r="G344" s="142">
        <f t="shared" si="161"/>
        <v>3857.4</v>
      </c>
      <c r="H344" s="142">
        <f t="shared" si="161"/>
        <v>674.4</v>
      </c>
      <c r="I344" s="142">
        <f t="shared" si="161"/>
        <v>70.599999999999994</v>
      </c>
      <c r="J344" s="142">
        <f t="shared" si="161"/>
        <v>2.4</v>
      </c>
      <c r="K344" s="142">
        <f t="shared" si="161"/>
        <v>0</v>
      </c>
      <c r="L344" s="142">
        <f t="shared" si="161"/>
        <v>7676.4</v>
      </c>
      <c r="N344" s="142">
        <f t="shared" ref="N344:X344" si="162">AVERAGE(N111:N115)</f>
        <v>0</v>
      </c>
      <c r="O344" s="142">
        <f t="shared" si="162"/>
        <v>0</v>
      </c>
      <c r="P344" s="142">
        <f t="shared" si="162"/>
        <v>0</v>
      </c>
      <c r="Q344" s="142">
        <f t="shared" si="162"/>
        <v>38.4</v>
      </c>
      <c r="R344" s="142">
        <f t="shared" si="162"/>
        <v>860</v>
      </c>
      <c r="S344" s="142">
        <f t="shared" si="162"/>
        <v>1862</v>
      </c>
      <c r="T344" s="142">
        <f t="shared" si="162"/>
        <v>263.8</v>
      </c>
      <c r="U344" s="142">
        <f t="shared" si="162"/>
        <v>69.599999999999994</v>
      </c>
      <c r="V344" s="142">
        <f t="shared" si="162"/>
        <v>0</v>
      </c>
      <c r="W344" s="142">
        <f t="shared" si="162"/>
        <v>0</v>
      </c>
      <c r="X344" s="142">
        <f t="shared" si="162"/>
        <v>3093.8</v>
      </c>
    </row>
    <row r="345" spans="1:24">
      <c r="A345" s="99" t="s">
        <v>10</v>
      </c>
      <c r="B345" s="142">
        <f>AVERAGE(B116:B120)</f>
        <v>51.6</v>
      </c>
      <c r="C345" s="142">
        <f>AVERAGE(C116:C120)</f>
        <v>84.6</v>
      </c>
      <c r="D345" s="142">
        <f>AVERAGE(D116:D120)</f>
        <v>428.8</v>
      </c>
      <c r="E345" s="142">
        <f t="shared" ref="E345:L345" si="163">AVERAGE(E116:E120)</f>
        <v>1182.4000000000001</v>
      </c>
      <c r="F345" s="142">
        <f t="shared" si="163"/>
        <v>5939.6</v>
      </c>
      <c r="G345" s="142">
        <f t="shared" si="163"/>
        <v>2869</v>
      </c>
      <c r="H345" s="142">
        <f t="shared" si="163"/>
        <v>2377.75</v>
      </c>
      <c r="I345" s="142">
        <f t="shared" si="163"/>
        <v>456</v>
      </c>
      <c r="J345" s="142">
        <f t="shared" si="163"/>
        <v>42.5</v>
      </c>
      <c r="K345" s="142">
        <f t="shared" si="163"/>
        <v>0.5</v>
      </c>
      <c r="L345" s="142">
        <f t="shared" si="163"/>
        <v>11800.8</v>
      </c>
      <c r="N345" s="142">
        <f t="shared" ref="N345:X345" si="164">AVERAGE(N116:N120)</f>
        <v>0</v>
      </c>
      <c r="O345" s="142">
        <f t="shared" si="164"/>
        <v>1</v>
      </c>
      <c r="P345" s="142">
        <f t="shared" si="164"/>
        <v>4.4000000000000004</v>
      </c>
      <c r="Q345" s="142">
        <f t="shared" si="164"/>
        <v>176.6</v>
      </c>
      <c r="R345" s="142">
        <f t="shared" si="164"/>
        <v>1847</v>
      </c>
      <c r="S345" s="142">
        <f t="shared" si="164"/>
        <v>7157.333333333333</v>
      </c>
      <c r="T345" s="142">
        <f t="shared" si="164"/>
        <v>678.25</v>
      </c>
      <c r="U345" s="142">
        <f t="shared" si="164"/>
        <v>111.2</v>
      </c>
      <c r="V345" s="142">
        <f t="shared" si="164"/>
        <v>10</v>
      </c>
      <c r="W345" s="142">
        <f t="shared" si="164"/>
        <v>0</v>
      </c>
      <c r="X345" s="142">
        <f t="shared" si="164"/>
        <v>6985.2</v>
      </c>
    </row>
    <row r="346" spans="1:24">
      <c r="A346" s="99" t="s">
        <v>144</v>
      </c>
      <c r="B346" s="142">
        <f t="shared" ref="B346:J346" si="165">AVERAGE(B121:B125)</f>
        <v>5.5</v>
      </c>
      <c r="C346" s="142">
        <f t="shared" si="165"/>
        <v>111.5</v>
      </c>
      <c r="D346" s="142">
        <f t="shared" si="165"/>
        <v>641.25</v>
      </c>
      <c r="E346" s="142">
        <f t="shared" si="165"/>
        <v>1433.4</v>
      </c>
      <c r="F346" s="142">
        <f t="shared" si="165"/>
        <v>4923.2</v>
      </c>
      <c r="G346" s="142">
        <f t="shared" si="165"/>
        <v>3267.6</v>
      </c>
      <c r="H346" s="142">
        <f t="shared" si="165"/>
        <v>3312.2</v>
      </c>
      <c r="I346" s="142">
        <f t="shared" si="165"/>
        <v>727.8</v>
      </c>
      <c r="J346" s="142">
        <f t="shared" si="165"/>
        <v>37</v>
      </c>
      <c r="K346" s="142" t="s">
        <v>23</v>
      </c>
      <c r="L346" s="142">
        <f>AVERAGE(L121:L125)</f>
        <v>14290.8</v>
      </c>
      <c r="N346" s="142" t="s">
        <v>23</v>
      </c>
      <c r="O346" s="142" t="s">
        <v>23</v>
      </c>
      <c r="P346" s="142">
        <f t="shared" ref="P346:U346" si="166">AVERAGE(P121:P125)</f>
        <v>3</v>
      </c>
      <c r="Q346" s="142">
        <f t="shared" si="166"/>
        <v>8</v>
      </c>
      <c r="R346" s="142">
        <f t="shared" si="166"/>
        <v>65.5</v>
      </c>
      <c r="S346" s="142">
        <f t="shared" si="166"/>
        <v>19.75</v>
      </c>
      <c r="T346" s="142">
        <f t="shared" si="166"/>
        <v>46.2</v>
      </c>
      <c r="U346" s="142">
        <f t="shared" si="166"/>
        <v>16.5</v>
      </c>
      <c r="V346" s="142" t="s">
        <v>23</v>
      </c>
      <c r="W346" s="142" t="s">
        <v>23</v>
      </c>
      <c r="X346" s="142">
        <f>AVERAGE(X121:X125)</f>
        <v>123.2</v>
      </c>
    </row>
    <row r="347" spans="1:24">
      <c r="A347" s="99" t="s">
        <v>166</v>
      </c>
      <c r="B347" s="142">
        <f>AVERAGE(B126:B130)</f>
        <v>196</v>
      </c>
      <c r="C347" s="142">
        <f>AVERAGE(C126:C130)</f>
        <v>426</v>
      </c>
      <c r="D347" s="142">
        <f>AVERAGE(D126:D130)</f>
        <v>746</v>
      </c>
      <c r="E347" s="142">
        <f>AVERAGE(E126:E130)</f>
        <v>2128.8000000000002</v>
      </c>
      <c r="F347" s="142">
        <f t="shared" ref="F347:L347" si="167">AVERAGE(F126:F130)</f>
        <v>6469.2</v>
      </c>
      <c r="G347" s="142">
        <f t="shared" si="167"/>
        <v>9036</v>
      </c>
      <c r="H347" s="142">
        <f t="shared" si="167"/>
        <v>4379</v>
      </c>
      <c r="I347" s="142">
        <f t="shared" si="167"/>
        <v>397</v>
      </c>
      <c r="J347" s="142">
        <f t="shared" si="167"/>
        <v>27.6</v>
      </c>
      <c r="K347" s="142">
        <f t="shared" si="167"/>
        <v>0.4</v>
      </c>
      <c r="L347" s="142">
        <f t="shared" si="167"/>
        <v>23766.799999999999</v>
      </c>
      <c r="N347" s="142" t="str">
        <f t="shared" ref="N347:W347" si="168">N126</f>
        <v>-</v>
      </c>
      <c r="O347" s="142" t="str">
        <f t="shared" si="168"/>
        <v>-</v>
      </c>
      <c r="P347" s="142" t="str">
        <f t="shared" si="168"/>
        <v>-</v>
      </c>
      <c r="Q347" s="142">
        <f>AVERAGE(Q126:Q130)</f>
        <v>21</v>
      </c>
      <c r="R347" s="142">
        <f>AVERAGE(R126:R130)</f>
        <v>88.75</v>
      </c>
      <c r="S347" s="142">
        <f>AVERAGE(S126:S130)</f>
        <v>119</v>
      </c>
      <c r="T347" s="142">
        <f>AVERAGE(T126:T130)</f>
        <v>33.200000000000003</v>
      </c>
      <c r="U347" s="142">
        <f>AVERAGE(U126:U130)</f>
        <v>13</v>
      </c>
      <c r="V347" s="142" t="str">
        <f t="shared" si="168"/>
        <v>-</v>
      </c>
      <c r="W347" s="142" t="str">
        <f t="shared" si="168"/>
        <v>-</v>
      </c>
      <c r="X347" s="142">
        <f>AVERAGE(X126:X130)</f>
        <v>241</v>
      </c>
    </row>
    <row r="348" spans="1:24">
      <c r="A348" s="99" t="s">
        <v>315</v>
      </c>
      <c r="B348" s="142">
        <f>AVERAGE(B131:B135)</f>
        <v>34.333333333333336</v>
      </c>
      <c r="C348" s="142">
        <f t="shared" ref="C348:L348" si="169">AVERAGE(C131:C135)</f>
        <v>105</v>
      </c>
      <c r="D348" s="142">
        <f t="shared" si="169"/>
        <v>175.33333333333334</v>
      </c>
      <c r="E348" s="142">
        <f t="shared" si="169"/>
        <v>1035.6666666666667</v>
      </c>
      <c r="F348" s="142">
        <f t="shared" si="169"/>
        <v>2176.6666666666665</v>
      </c>
      <c r="G348" s="142">
        <f t="shared" si="169"/>
        <v>2356.3333333333335</v>
      </c>
      <c r="H348" s="142">
        <f t="shared" si="169"/>
        <v>1186</v>
      </c>
      <c r="I348" s="142">
        <f t="shared" si="169"/>
        <v>73.333333333333329</v>
      </c>
      <c r="J348" s="142">
        <f t="shared" si="169"/>
        <v>0</v>
      </c>
      <c r="K348" s="142">
        <f t="shared" si="169"/>
        <v>0</v>
      </c>
      <c r="L348" s="142">
        <f t="shared" si="169"/>
        <v>5357</v>
      </c>
      <c r="N348" s="142" t="str">
        <f>N131</f>
        <v>-</v>
      </c>
      <c r="O348" s="142" t="str">
        <f t="shared" ref="O348:P348" si="170">O131</f>
        <v>-</v>
      </c>
      <c r="P348" s="142" t="str">
        <f t="shared" si="170"/>
        <v>-</v>
      </c>
      <c r="Q348" s="142">
        <f t="shared" ref="Q348:T348" si="171">AVERAGE(Q131:Q135)</f>
        <v>13</v>
      </c>
      <c r="R348" s="142">
        <f t="shared" si="171"/>
        <v>72.5</v>
      </c>
      <c r="S348" s="142">
        <f t="shared" si="171"/>
        <v>67.666666666666671</v>
      </c>
      <c r="T348" s="142">
        <f t="shared" si="171"/>
        <v>21</v>
      </c>
      <c r="U348" s="142" t="str">
        <f t="shared" ref="U348:W348" si="172">U131</f>
        <v>-</v>
      </c>
      <c r="V348" s="142" t="str">
        <f t="shared" si="172"/>
        <v>-</v>
      </c>
      <c r="W348" s="142" t="str">
        <f t="shared" si="172"/>
        <v>-</v>
      </c>
      <c r="X348" s="142">
        <f t="shared" ref="X348" si="173">AVERAGE(X131:X135)</f>
        <v>145.66666666666666</v>
      </c>
    </row>
    <row r="349" spans="1:24">
      <c r="A349" s="99">
        <v>2011</v>
      </c>
      <c r="B349" s="142" t="str">
        <f t="shared" ref="B349:L349" si="174">B136</f>
        <v>-</v>
      </c>
      <c r="C349" s="142" t="str">
        <f t="shared" si="174"/>
        <v>-</v>
      </c>
      <c r="D349" s="142">
        <f t="shared" si="174"/>
        <v>880</v>
      </c>
      <c r="E349" s="142">
        <f t="shared" si="174"/>
        <v>705</v>
      </c>
      <c r="F349" s="142">
        <f t="shared" si="174"/>
        <v>938</v>
      </c>
      <c r="G349" s="142">
        <f t="shared" si="174"/>
        <v>4043</v>
      </c>
      <c r="H349" s="142">
        <f t="shared" si="174"/>
        <v>510</v>
      </c>
      <c r="I349" s="142">
        <f t="shared" si="174"/>
        <v>204</v>
      </c>
      <c r="J349" s="142">
        <f t="shared" si="174"/>
        <v>118</v>
      </c>
      <c r="K349" s="142" t="str">
        <f t="shared" si="174"/>
        <v>-</v>
      </c>
      <c r="L349" s="142">
        <f t="shared" si="174"/>
        <v>7398</v>
      </c>
      <c r="N349" s="142" t="str">
        <f t="shared" ref="N349:X349" si="175">N136</f>
        <v>-</v>
      </c>
      <c r="O349" s="142" t="str">
        <f t="shared" si="175"/>
        <v>-</v>
      </c>
      <c r="P349" s="142" t="str">
        <f t="shared" si="175"/>
        <v>-</v>
      </c>
      <c r="Q349" s="142" t="str">
        <f t="shared" si="175"/>
        <v>-</v>
      </c>
      <c r="R349" s="142">
        <f t="shared" si="175"/>
        <v>18</v>
      </c>
      <c r="S349" s="142">
        <f t="shared" si="175"/>
        <v>83</v>
      </c>
      <c r="T349" s="142">
        <f t="shared" si="175"/>
        <v>4</v>
      </c>
      <c r="U349" s="142" t="str">
        <f t="shared" si="175"/>
        <v>-</v>
      </c>
      <c r="V349" s="142">
        <f t="shared" si="175"/>
        <v>5</v>
      </c>
      <c r="W349" s="142" t="str">
        <f t="shared" si="175"/>
        <v>-</v>
      </c>
      <c r="X349" s="142">
        <f t="shared" si="175"/>
        <v>110</v>
      </c>
    </row>
    <row r="350" spans="1:24">
      <c r="A350" s="99">
        <v>2012</v>
      </c>
      <c r="B350" s="142" t="str">
        <f t="shared" ref="B350:L350" si="176">B137</f>
        <v>-</v>
      </c>
      <c r="C350" s="142" t="str">
        <f t="shared" si="176"/>
        <v>-</v>
      </c>
      <c r="D350" s="142">
        <f t="shared" si="176"/>
        <v>414</v>
      </c>
      <c r="E350" s="142">
        <f t="shared" si="176"/>
        <v>1530</v>
      </c>
      <c r="F350" s="142">
        <f t="shared" si="176"/>
        <v>1951</v>
      </c>
      <c r="G350" s="142">
        <f t="shared" si="176"/>
        <v>2300</v>
      </c>
      <c r="H350" s="142">
        <f t="shared" si="176"/>
        <v>1185</v>
      </c>
      <c r="I350" s="142">
        <f t="shared" si="176"/>
        <v>393</v>
      </c>
      <c r="J350" s="142">
        <f t="shared" si="176"/>
        <v>84</v>
      </c>
      <c r="K350" s="142">
        <f t="shared" si="176"/>
        <v>72</v>
      </c>
      <c r="L350" s="142">
        <f t="shared" si="176"/>
        <v>7929</v>
      </c>
      <c r="N350" s="142" t="str">
        <f t="shared" ref="N350:X350" si="177">N137</f>
        <v>-</v>
      </c>
      <c r="O350" s="142" t="str">
        <f t="shared" si="177"/>
        <v>-</v>
      </c>
      <c r="P350" s="142" t="str">
        <f t="shared" si="177"/>
        <v>-</v>
      </c>
      <c r="Q350" s="142" t="str">
        <f t="shared" si="177"/>
        <v>-</v>
      </c>
      <c r="R350" s="142">
        <f t="shared" si="177"/>
        <v>13</v>
      </c>
      <c r="S350" s="142">
        <f t="shared" si="177"/>
        <v>9</v>
      </c>
      <c r="T350" s="142" t="str">
        <f t="shared" si="177"/>
        <v>-</v>
      </c>
      <c r="U350" s="142">
        <f t="shared" si="177"/>
        <v>3</v>
      </c>
      <c r="V350" s="142" t="str">
        <f t="shared" si="177"/>
        <v>-</v>
      </c>
      <c r="W350" s="142" t="str">
        <f t="shared" si="177"/>
        <v>-</v>
      </c>
      <c r="X350" s="142">
        <f t="shared" si="177"/>
        <v>25</v>
      </c>
    </row>
    <row r="351" spans="1:24">
      <c r="A351" s="99">
        <v>2013</v>
      </c>
      <c r="B351" s="142" t="str">
        <f t="shared" ref="B351:L351" si="178">B138</f>
        <v>-</v>
      </c>
      <c r="C351" s="142" t="str">
        <f t="shared" si="178"/>
        <v>-</v>
      </c>
      <c r="D351" s="142">
        <f t="shared" si="178"/>
        <v>310</v>
      </c>
      <c r="E351" s="142">
        <f t="shared" si="178"/>
        <v>695</v>
      </c>
      <c r="F351" s="142">
        <f t="shared" si="178"/>
        <v>2459</v>
      </c>
      <c r="G351" s="142">
        <f t="shared" si="178"/>
        <v>5145</v>
      </c>
      <c r="H351" s="142">
        <f t="shared" si="178"/>
        <v>1296</v>
      </c>
      <c r="I351" s="142">
        <f t="shared" si="178"/>
        <v>258</v>
      </c>
      <c r="J351" s="142">
        <f t="shared" si="178"/>
        <v>5</v>
      </c>
      <c r="K351" s="142">
        <f t="shared" si="178"/>
        <v>0</v>
      </c>
      <c r="L351" s="142">
        <f t="shared" si="178"/>
        <v>10168</v>
      </c>
      <c r="N351" s="142" t="str">
        <f t="shared" ref="N351:X351" si="179">N138</f>
        <v>-</v>
      </c>
      <c r="O351" s="142" t="str">
        <f t="shared" si="179"/>
        <v>-</v>
      </c>
      <c r="P351" s="142" t="str">
        <f t="shared" si="179"/>
        <v>-</v>
      </c>
      <c r="Q351" s="142" t="str">
        <f t="shared" si="179"/>
        <v>-</v>
      </c>
      <c r="R351" s="142">
        <f t="shared" si="179"/>
        <v>9</v>
      </c>
      <c r="S351" s="142">
        <f t="shared" si="179"/>
        <v>20</v>
      </c>
      <c r="T351" s="142">
        <f t="shared" si="179"/>
        <v>4</v>
      </c>
      <c r="U351" s="142" t="str">
        <f t="shared" si="179"/>
        <v>-</v>
      </c>
      <c r="V351" s="142" t="str">
        <f t="shared" si="179"/>
        <v>-</v>
      </c>
      <c r="W351" s="142" t="str">
        <f t="shared" si="179"/>
        <v>-</v>
      </c>
      <c r="X351" s="142">
        <f t="shared" si="179"/>
        <v>33</v>
      </c>
    </row>
    <row r="352" spans="1:24">
      <c r="A352" s="99">
        <v>2014</v>
      </c>
      <c r="B352" s="142" t="str">
        <f t="shared" ref="B352:L352" si="180">B139</f>
        <v>-</v>
      </c>
      <c r="C352" s="142" t="str">
        <f t="shared" si="180"/>
        <v>-</v>
      </c>
      <c r="D352" s="142">
        <f t="shared" si="180"/>
        <v>714</v>
      </c>
      <c r="E352" s="142">
        <f t="shared" si="180"/>
        <v>630</v>
      </c>
      <c r="F352" s="142">
        <f t="shared" si="180"/>
        <v>1358</v>
      </c>
      <c r="G352" s="142">
        <f t="shared" si="180"/>
        <v>9035</v>
      </c>
      <c r="H352" s="142">
        <f t="shared" si="180"/>
        <v>696</v>
      </c>
      <c r="I352" s="142">
        <f t="shared" si="180"/>
        <v>103</v>
      </c>
      <c r="J352" s="142">
        <f t="shared" si="180"/>
        <v>4</v>
      </c>
      <c r="K352" s="142">
        <f t="shared" si="180"/>
        <v>0</v>
      </c>
      <c r="L352" s="142">
        <f t="shared" si="180"/>
        <v>12540</v>
      </c>
      <c r="N352" s="142" t="str">
        <f t="shared" ref="N352:X352" si="181">N139</f>
        <v>-</v>
      </c>
      <c r="O352" s="142" t="str">
        <f t="shared" si="181"/>
        <v>-</v>
      </c>
      <c r="P352" s="142" t="str">
        <f t="shared" si="181"/>
        <v>-</v>
      </c>
      <c r="Q352" s="142" t="str">
        <f t="shared" si="181"/>
        <v>-</v>
      </c>
      <c r="R352" s="142">
        <f t="shared" si="181"/>
        <v>18</v>
      </c>
      <c r="S352" s="142">
        <f t="shared" si="181"/>
        <v>123</v>
      </c>
      <c r="T352" s="142" t="str">
        <f t="shared" si="181"/>
        <v>-</v>
      </c>
      <c r="U352" s="142" t="str">
        <f t="shared" si="181"/>
        <v>-</v>
      </c>
      <c r="V352" s="142" t="str">
        <f t="shared" si="181"/>
        <v>-</v>
      </c>
      <c r="W352" s="142" t="str">
        <f t="shared" si="181"/>
        <v>-</v>
      </c>
      <c r="X352" s="142">
        <f t="shared" si="181"/>
        <v>141</v>
      </c>
    </row>
    <row r="353" spans="1:24">
      <c r="A353" s="99">
        <v>2015</v>
      </c>
      <c r="B353" s="142" t="str">
        <f t="shared" ref="B353:L353" si="182">B140</f>
        <v>-</v>
      </c>
      <c r="C353" s="142" t="str">
        <f t="shared" si="182"/>
        <v>-</v>
      </c>
      <c r="D353" s="142">
        <f t="shared" si="182"/>
        <v>394</v>
      </c>
      <c r="E353" s="142">
        <f t="shared" si="182"/>
        <v>331</v>
      </c>
      <c r="F353" s="142">
        <f t="shared" si="182"/>
        <v>215</v>
      </c>
      <c r="G353" s="142">
        <f t="shared" si="182"/>
        <v>3071</v>
      </c>
      <c r="H353" s="142">
        <f t="shared" si="182"/>
        <v>1295</v>
      </c>
      <c r="I353" s="142">
        <f t="shared" si="182"/>
        <v>183</v>
      </c>
      <c r="J353" s="142">
        <f t="shared" si="182"/>
        <v>4</v>
      </c>
      <c r="K353" s="142">
        <f t="shared" si="182"/>
        <v>0</v>
      </c>
      <c r="L353" s="142">
        <f t="shared" si="182"/>
        <v>5493</v>
      </c>
      <c r="N353" s="142" t="str">
        <f t="shared" ref="N353:X353" si="183">N140</f>
        <v>-</v>
      </c>
      <c r="O353" s="142" t="str">
        <f t="shared" si="183"/>
        <v>-</v>
      </c>
      <c r="P353" s="142" t="str">
        <f t="shared" si="183"/>
        <v>-</v>
      </c>
      <c r="Q353" s="142">
        <f t="shared" si="183"/>
        <v>5</v>
      </c>
      <c r="R353" s="142" t="str">
        <f t="shared" si="183"/>
        <v>-</v>
      </c>
      <c r="S353" s="142">
        <f t="shared" si="183"/>
        <v>13</v>
      </c>
      <c r="T353" s="142">
        <f t="shared" si="183"/>
        <v>5</v>
      </c>
      <c r="U353" s="142" t="str">
        <f t="shared" si="183"/>
        <v>-</v>
      </c>
      <c r="V353" s="142" t="str">
        <f t="shared" si="183"/>
        <v>-</v>
      </c>
      <c r="W353" s="142" t="str">
        <f t="shared" si="183"/>
        <v>-</v>
      </c>
      <c r="X353" s="142">
        <f t="shared" si="183"/>
        <v>23</v>
      </c>
    </row>
    <row r="354" spans="1:24">
      <c r="A354" s="99">
        <v>2016</v>
      </c>
      <c r="B354" s="142" t="str">
        <f t="shared" ref="B354:L354" si="184">B141</f>
        <v>-</v>
      </c>
      <c r="C354" s="142" t="str">
        <f t="shared" si="184"/>
        <v>-</v>
      </c>
      <c r="D354" s="142">
        <f t="shared" si="184"/>
        <v>108</v>
      </c>
      <c r="E354" s="142">
        <f t="shared" si="184"/>
        <v>104</v>
      </c>
      <c r="F354" s="142">
        <f t="shared" si="184"/>
        <v>222</v>
      </c>
      <c r="G354" s="142">
        <f t="shared" si="184"/>
        <v>3524</v>
      </c>
      <c r="H354" s="142">
        <f t="shared" si="184"/>
        <v>990</v>
      </c>
      <c r="I354" s="142">
        <f t="shared" si="184"/>
        <v>75</v>
      </c>
      <c r="J354" s="142">
        <f t="shared" si="184"/>
        <v>8</v>
      </c>
      <c r="K354" s="142">
        <f t="shared" si="184"/>
        <v>0</v>
      </c>
      <c r="L354" s="142">
        <f t="shared" si="184"/>
        <v>5031</v>
      </c>
      <c r="N354" s="142" t="str">
        <f t="shared" ref="N354:X354" si="185">N141</f>
        <v>-</v>
      </c>
      <c r="O354" s="142" t="str">
        <f t="shared" si="185"/>
        <v>-</v>
      </c>
      <c r="P354" s="142" t="str">
        <f t="shared" si="185"/>
        <v>-</v>
      </c>
      <c r="Q354" s="142" t="str">
        <f t="shared" si="185"/>
        <v>-</v>
      </c>
      <c r="R354" s="142" t="str">
        <f t="shared" si="185"/>
        <v>-</v>
      </c>
      <c r="S354" s="142">
        <f t="shared" si="185"/>
        <v>35</v>
      </c>
      <c r="T354" s="142" t="str">
        <f t="shared" si="185"/>
        <v>-</v>
      </c>
      <c r="U354" s="142" t="str">
        <f t="shared" si="185"/>
        <v>-</v>
      </c>
      <c r="V354" s="142" t="str">
        <f t="shared" si="185"/>
        <v>-</v>
      </c>
      <c r="W354" s="142" t="str">
        <f t="shared" si="185"/>
        <v>-</v>
      </c>
      <c r="X354" s="142">
        <f t="shared" si="185"/>
        <v>35</v>
      </c>
    </row>
    <row r="355" spans="1:24">
      <c r="A355" s="99">
        <v>2017</v>
      </c>
      <c r="B355" s="142" t="str">
        <f t="shared" ref="B355:L355" si="186">B142</f>
        <v>-</v>
      </c>
      <c r="C355" s="142" t="str">
        <f t="shared" si="186"/>
        <v>-</v>
      </c>
      <c r="D355" s="142">
        <f t="shared" si="186"/>
        <v>22</v>
      </c>
      <c r="E355" s="142">
        <f t="shared" si="186"/>
        <v>650</v>
      </c>
      <c r="F355" s="142" t="str">
        <f t="shared" si="186"/>
        <v>-</v>
      </c>
      <c r="G355" s="142" t="str">
        <f t="shared" si="186"/>
        <v>-</v>
      </c>
      <c r="H355" s="142">
        <f t="shared" si="186"/>
        <v>837</v>
      </c>
      <c r="I355" s="142">
        <f t="shared" si="186"/>
        <v>370</v>
      </c>
      <c r="J355" s="142">
        <f t="shared" si="186"/>
        <v>8</v>
      </c>
      <c r="K355" s="142">
        <f t="shared" si="186"/>
        <v>0</v>
      </c>
      <c r="L355" s="142">
        <f t="shared" si="186"/>
        <v>1887</v>
      </c>
      <c r="N355" s="142" t="str">
        <f t="shared" ref="N355:X355" si="187">N142</f>
        <v>-</v>
      </c>
      <c r="O355" s="142" t="str">
        <f t="shared" si="187"/>
        <v>-</v>
      </c>
      <c r="P355" s="142" t="str">
        <f t="shared" si="187"/>
        <v>-</v>
      </c>
      <c r="Q355" s="142" t="str">
        <f t="shared" si="187"/>
        <v>-</v>
      </c>
      <c r="R355" s="142" t="str">
        <f t="shared" si="187"/>
        <v>-</v>
      </c>
      <c r="S355" s="142" t="str">
        <f t="shared" si="187"/>
        <v>-</v>
      </c>
      <c r="T355" s="142">
        <f t="shared" si="187"/>
        <v>4</v>
      </c>
      <c r="U355" s="142" t="str">
        <f t="shared" si="187"/>
        <v>-</v>
      </c>
      <c r="V355" s="142" t="str">
        <f t="shared" si="187"/>
        <v>-</v>
      </c>
      <c r="W355" s="142" t="str">
        <f t="shared" si="187"/>
        <v>-</v>
      </c>
      <c r="X355" s="142">
        <f t="shared" si="187"/>
        <v>4</v>
      </c>
    </row>
    <row r="356" spans="1:24">
      <c r="A356" s="99">
        <v>2018</v>
      </c>
      <c r="B356" s="142" t="str">
        <f t="shared" ref="B356:L356" si="188">B143</f>
        <v>-</v>
      </c>
      <c r="C356" s="142" t="str">
        <f t="shared" si="188"/>
        <v>-</v>
      </c>
      <c r="D356" s="142" t="str">
        <f t="shared" si="188"/>
        <v>-</v>
      </c>
      <c r="E356" s="142" t="str">
        <f t="shared" si="188"/>
        <v>-</v>
      </c>
      <c r="F356" s="142">
        <f t="shared" si="188"/>
        <v>540</v>
      </c>
      <c r="G356" s="142">
        <f t="shared" si="188"/>
        <v>3217</v>
      </c>
      <c r="H356" s="142">
        <f t="shared" si="188"/>
        <v>1846</v>
      </c>
      <c r="I356" s="142">
        <f t="shared" si="188"/>
        <v>95</v>
      </c>
      <c r="J356" s="142">
        <f t="shared" si="188"/>
        <v>0</v>
      </c>
      <c r="K356" s="142" t="str">
        <f t="shared" si="188"/>
        <v>-</v>
      </c>
      <c r="L356" s="142">
        <f t="shared" si="188"/>
        <v>5698</v>
      </c>
      <c r="N356" s="142" t="str">
        <f t="shared" ref="N356:X356" si="189">N143</f>
        <v>-</v>
      </c>
      <c r="O356" s="142" t="str">
        <f t="shared" si="189"/>
        <v>-</v>
      </c>
      <c r="P356" s="142" t="str">
        <f t="shared" si="189"/>
        <v>-</v>
      </c>
      <c r="Q356" s="142" t="str">
        <f t="shared" si="189"/>
        <v>-</v>
      </c>
      <c r="R356" s="142" t="str">
        <f t="shared" si="189"/>
        <v>-</v>
      </c>
      <c r="S356" s="142">
        <f t="shared" si="189"/>
        <v>13</v>
      </c>
      <c r="T356" s="142">
        <f t="shared" si="189"/>
        <v>4</v>
      </c>
      <c r="U356" s="142">
        <f t="shared" si="189"/>
        <v>8</v>
      </c>
      <c r="V356" s="142" t="str">
        <f t="shared" si="189"/>
        <v>-</v>
      </c>
      <c r="W356" s="142" t="str">
        <f t="shared" si="189"/>
        <v>-</v>
      </c>
      <c r="X356" s="142">
        <f t="shared" si="189"/>
        <v>25</v>
      </c>
    </row>
    <row r="357" spans="1:24">
      <c r="A357" s="239">
        <v>2019</v>
      </c>
      <c r="B357" s="142" t="str">
        <f t="shared" ref="B357:L357" si="190">B144</f>
        <v>-</v>
      </c>
      <c r="C357" s="142" t="str">
        <f t="shared" si="190"/>
        <v>-</v>
      </c>
      <c r="D357" s="142">
        <f t="shared" si="190"/>
        <v>206</v>
      </c>
      <c r="E357" s="142">
        <f t="shared" si="190"/>
        <v>81</v>
      </c>
      <c r="F357" s="142">
        <f t="shared" si="190"/>
        <v>947</v>
      </c>
      <c r="G357" s="142">
        <f t="shared" si="190"/>
        <v>1697</v>
      </c>
      <c r="H357" s="142">
        <f t="shared" si="190"/>
        <v>825</v>
      </c>
      <c r="I357" s="142">
        <f t="shared" si="190"/>
        <v>101</v>
      </c>
      <c r="J357" s="142">
        <f t="shared" si="190"/>
        <v>0</v>
      </c>
      <c r="K357" s="142" t="str">
        <f t="shared" si="190"/>
        <v>-</v>
      </c>
      <c r="L357" s="142">
        <f t="shared" si="190"/>
        <v>3857</v>
      </c>
      <c r="N357" s="142" t="str">
        <f t="shared" ref="N357:X357" si="191">N144</f>
        <v>-</v>
      </c>
      <c r="O357" s="142" t="str">
        <f t="shared" si="191"/>
        <v>-</v>
      </c>
      <c r="P357" s="142" t="str">
        <f t="shared" si="191"/>
        <v>-</v>
      </c>
      <c r="Q357" s="142" t="str">
        <f t="shared" si="191"/>
        <v>-</v>
      </c>
      <c r="R357" s="142">
        <f t="shared" si="191"/>
        <v>13</v>
      </c>
      <c r="S357" s="142">
        <f t="shared" si="191"/>
        <v>22</v>
      </c>
      <c r="T357" s="142">
        <f t="shared" si="191"/>
        <v>5</v>
      </c>
      <c r="U357" s="142" t="str">
        <f t="shared" si="191"/>
        <v>-</v>
      </c>
      <c r="V357" s="142" t="str">
        <f t="shared" si="191"/>
        <v>-</v>
      </c>
      <c r="W357" s="142" t="str">
        <f t="shared" si="191"/>
        <v>-</v>
      </c>
      <c r="X357" s="142">
        <f t="shared" si="191"/>
        <v>40</v>
      </c>
    </row>
    <row r="358" spans="1:24" ht="13">
      <c r="A358" s="239" t="s">
        <v>343</v>
      </c>
      <c r="B358" s="142" t="str">
        <f t="shared" ref="B358:L359" si="192">B145</f>
        <v>-</v>
      </c>
      <c r="C358" s="142" t="str">
        <f t="shared" si="192"/>
        <v>-</v>
      </c>
      <c r="D358" s="142" t="str">
        <f t="shared" si="192"/>
        <v>-</v>
      </c>
      <c r="E358" s="142" t="str">
        <f t="shared" si="192"/>
        <v>--</v>
      </c>
      <c r="F358" s="142" t="str">
        <f t="shared" si="192"/>
        <v>--</v>
      </c>
      <c r="G358" s="142">
        <f t="shared" si="192"/>
        <v>1198</v>
      </c>
      <c r="H358" s="142">
        <f t="shared" si="192"/>
        <v>565</v>
      </c>
      <c r="I358" s="142">
        <f t="shared" si="192"/>
        <v>114</v>
      </c>
      <c r="J358" s="142">
        <f t="shared" si="192"/>
        <v>0</v>
      </c>
      <c r="K358" s="142">
        <f t="shared" si="192"/>
        <v>0</v>
      </c>
      <c r="L358" s="142">
        <f t="shared" si="192"/>
        <v>1877</v>
      </c>
      <c r="N358" s="142" t="str">
        <f t="shared" ref="N358:X359" si="193">N145</f>
        <v>-</v>
      </c>
      <c r="O358" s="142" t="str">
        <f t="shared" si="193"/>
        <v>-</v>
      </c>
      <c r="P358" s="142" t="str">
        <f t="shared" si="193"/>
        <v>-</v>
      </c>
      <c r="Q358" s="142" t="str">
        <f t="shared" si="193"/>
        <v>-</v>
      </c>
      <c r="R358" s="142" t="str">
        <f t="shared" si="193"/>
        <v>-</v>
      </c>
      <c r="S358" s="142">
        <f t="shared" si="193"/>
        <v>19</v>
      </c>
      <c r="T358" s="142" t="str">
        <f t="shared" si="193"/>
        <v>-</v>
      </c>
      <c r="U358" s="142">
        <f t="shared" si="193"/>
        <v>4</v>
      </c>
      <c r="V358" s="142" t="str">
        <f t="shared" si="193"/>
        <v>-</v>
      </c>
      <c r="W358" s="142" t="str">
        <f t="shared" si="193"/>
        <v>-</v>
      </c>
      <c r="X358" s="142">
        <f t="shared" si="193"/>
        <v>23</v>
      </c>
    </row>
    <row r="359" spans="1:24" ht="13">
      <c r="A359" s="239" t="s">
        <v>317</v>
      </c>
      <c r="B359" s="142" t="str">
        <f t="shared" si="192"/>
        <v>-</v>
      </c>
      <c r="C359" s="142" t="str">
        <f t="shared" si="192"/>
        <v>-</v>
      </c>
      <c r="D359" s="142" t="str">
        <f t="shared" si="192"/>
        <v>-</v>
      </c>
      <c r="E359" s="142" t="str">
        <f t="shared" si="192"/>
        <v>-</v>
      </c>
      <c r="F359" s="142">
        <f t="shared" si="192"/>
        <v>153</v>
      </c>
      <c r="G359" s="142">
        <f t="shared" si="192"/>
        <v>1907</v>
      </c>
      <c r="H359" s="142">
        <f t="shared" si="192"/>
        <v>827</v>
      </c>
      <c r="I359" s="142">
        <f t="shared" si="192"/>
        <v>146</v>
      </c>
      <c r="J359" s="142">
        <f t="shared" si="192"/>
        <v>661</v>
      </c>
      <c r="K359" s="142" t="str">
        <f t="shared" si="192"/>
        <v>-</v>
      </c>
      <c r="L359" s="142">
        <f t="shared" si="192"/>
        <v>3694</v>
      </c>
      <c r="N359" s="142" t="str">
        <f t="shared" si="193"/>
        <v>-</v>
      </c>
      <c r="O359" s="142" t="str">
        <f t="shared" si="193"/>
        <v>-</v>
      </c>
      <c r="P359" s="142" t="str">
        <f t="shared" si="193"/>
        <v>-</v>
      </c>
      <c r="Q359" s="142" t="str">
        <f t="shared" si="193"/>
        <v>-</v>
      </c>
      <c r="R359" s="142">
        <f t="shared" si="193"/>
        <v>12</v>
      </c>
      <c r="S359" s="142">
        <f t="shared" si="193"/>
        <v>78</v>
      </c>
      <c r="T359" s="142">
        <f t="shared" si="193"/>
        <v>14</v>
      </c>
      <c r="U359" s="142" t="str">
        <f t="shared" si="193"/>
        <v>-</v>
      </c>
      <c r="V359" s="142">
        <f t="shared" si="193"/>
        <v>4</v>
      </c>
      <c r="W359" s="142" t="str">
        <f t="shared" si="193"/>
        <v>-</v>
      </c>
      <c r="X359" s="142">
        <f t="shared" si="193"/>
        <v>108</v>
      </c>
    </row>
    <row r="361" spans="1:24">
      <c r="A361" s="247" t="str">
        <f>A148</f>
        <v>San Francisco</v>
      </c>
    </row>
    <row r="362" spans="1:24">
      <c r="A362" s="99" t="s">
        <v>78</v>
      </c>
      <c r="B362" s="142">
        <f t="shared" ref="B362:L362" si="194">AVERAGE(B159:B163)</f>
        <v>4510.3999999999996</v>
      </c>
      <c r="C362" s="142">
        <f t="shared" si="194"/>
        <v>10976</v>
      </c>
      <c r="D362" s="142">
        <f t="shared" si="194"/>
        <v>16873</v>
      </c>
      <c r="E362" s="142">
        <f t="shared" si="194"/>
        <v>8315</v>
      </c>
      <c r="F362" s="142">
        <f t="shared" si="194"/>
        <v>12171.8</v>
      </c>
      <c r="G362" s="142">
        <f t="shared" si="194"/>
        <v>17167.2</v>
      </c>
      <c r="H362" s="142">
        <f t="shared" si="194"/>
        <v>15479.4</v>
      </c>
      <c r="I362" s="142">
        <f t="shared" si="194"/>
        <v>7596.4</v>
      </c>
      <c r="J362" s="142">
        <f t="shared" si="194"/>
        <v>4108.2</v>
      </c>
      <c r="K362" s="142">
        <f t="shared" si="194"/>
        <v>1094</v>
      </c>
      <c r="L362" s="142">
        <f t="shared" si="194"/>
        <v>98291.4</v>
      </c>
      <c r="N362" s="142">
        <f t="shared" ref="N362:X362" si="195">AVERAGE(N159:N163)</f>
        <v>0</v>
      </c>
      <c r="O362" s="142">
        <f t="shared" si="195"/>
        <v>0.6</v>
      </c>
      <c r="P362" s="142">
        <f t="shared" si="195"/>
        <v>38.4</v>
      </c>
      <c r="Q362" s="142">
        <f t="shared" si="195"/>
        <v>158.80000000000001</v>
      </c>
      <c r="R362" s="142">
        <f t="shared" si="195"/>
        <v>338.6</v>
      </c>
      <c r="S362" s="142">
        <f t="shared" si="195"/>
        <v>378.6</v>
      </c>
      <c r="T362" s="142">
        <f t="shared" si="195"/>
        <v>479.6</v>
      </c>
      <c r="U362" s="142">
        <f t="shared" si="195"/>
        <v>83</v>
      </c>
      <c r="V362" s="142">
        <f t="shared" si="195"/>
        <v>12.2</v>
      </c>
      <c r="W362" s="142">
        <f t="shared" si="195"/>
        <v>0</v>
      </c>
      <c r="X362" s="142">
        <f t="shared" si="195"/>
        <v>1489.8</v>
      </c>
    </row>
    <row r="363" spans="1:24">
      <c r="A363" s="99" t="s">
        <v>10</v>
      </c>
      <c r="B363" s="142">
        <f>AVERAGE(B164:B168)</f>
        <v>248.75</v>
      </c>
      <c r="C363" s="142">
        <f t="shared" ref="C363:L363" si="196">AVERAGE(C164:C168)</f>
        <v>5049.8</v>
      </c>
      <c r="D363" s="142">
        <f t="shared" si="196"/>
        <v>7027.8</v>
      </c>
      <c r="E363" s="142">
        <f t="shared" si="196"/>
        <v>6921.4</v>
      </c>
      <c r="F363" s="142">
        <f t="shared" si="196"/>
        <v>14149.4</v>
      </c>
      <c r="G363" s="142">
        <f t="shared" si="196"/>
        <v>33403.800000000003</v>
      </c>
      <c r="H363" s="142">
        <f t="shared" si="196"/>
        <v>13386.6</v>
      </c>
      <c r="I363" s="142">
        <f t="shared" si="196"/>
        <v>8221.4</v>
      </c>
      <c r="J363" s="142">
        <f t="shared" si="196"/>
        <v>3590.8</v>
      </c>
      <c r="K363" s="142">
        <f t="shared" si="196"/>
        <v>52</v>
      </c>
      <c r="L363" s="142">
        <f t="shared" si="196"/>
        <v>91970.8</v>
      </c>
      <c r="N363" s="142">
        <f t="shared" ref="N363:X363" si="197">AVERAGE(N164:N168)</f>
        <v>0.5</v>
      </c>
      <c r="O363" s="142">
        <f t="shared" si="197"/>
        <v>8.4</v>
      </c>
      <c r="P363" s="142">
        <f t="shared" si="197"/>
        <v>17.399999999999999</v>
      </c>
      <c r="Q363" s="142">
        <f t="shared" si="197"/>
        <v>71</v>
      </c>
      <c r="R363" s="142">
        <f t="shared" si="197"/>
        <v>1035.4000000000001</v>
      </c>
      <c r="S363" s="142">
        <f t="shared" si="197"/>
        <v>1183.5999999999999</v>
      </c>
      <c r="T363" s="142">
        <f t="shared" si="197"/>
        <v>156.80000000000001</v>
      </c>
      <c r="U363" s="142">
        <f t="shared" si="197"/>
        <v>31</v>
      </c>
      <c r="V363" s="142">
        <f t="shared" si="197"/>
        <v>13.4</v>
      </c>
      <c r="W363" s="142">
        <f t="shared" si="197"/>
        <v>0</v>
      </c>
      <c r="X363" s="142">
        <f t="shared" si="197"/>
        <v>2517.1999999999998</v>
      </c>
    </row>
    <row r="364" spans="1:24">
      <c r="A364" s="99" t="s">
        <v>144</v>
      </c>
      <c r="B364" s="142" t="s">
        <v>23</v>
      </c>
      <c r="C364" s="142">
        <f t="shared" ref="C364:L364" si="198">AVERAGE(C169:C173)</f>
        <v>6310</v>
      </c>
      <c r="D364" s="142">
        <f t="shared" si="198"/>
        <v>8190.8</v>
      </c>
      <c r="E364" s="142">
        <f t="shared" si="198"/>
        <v>8342.7999999999993</v>
      </c>
      <c r="F364" s="142">
        <f t="shared" si="198"/>
        <v>13124.4</v>
      </c>
      <c r="G364" s="142">
        <f t="shared" si="198"/>
        <v>27456.400000000001</v>
      </c>
      <c r="H364" s="142">
        <f t="shared" si="198"/>
        <v>12394.8</v>
      </c>
      <c r="I364" s="142">
        <f t="shared" si="198"/>
        <v>4759</v>
      </c>
      <c r="J364" s="142">
        <f t="shared" si="198"/>
        <v>2954.8</v>
      </c>
      <c r="K364" s="142">
        <f t="shared" si="198"/>
        <v>981.5</v>
      </c>
      <c r="L364" s="142">
        <f t="shared" si="198"/>
        <v>82663.600000000006</v>
      </c>
      <c r="N364" s="142" t="s">
        <v>23</v>
      </c>
      <c r="O364" s="142" t="s">
        <v>23</v>
      </c>
      <c r="P364" s="142" t="s">
        <v>23</v>
      </c>
      <c r="Q364" s="142">
        <f t="shared" ref="Q364:V364" si="199">AVERAGE(Q169:Q173)</f>
        <v>8</v>
      </c>
      <c r="R364" s="142">
        <f t="shared" si="199"/>
        <v>60</v>
      </c>
      <c r="S364" s="142">
        <f t="shared" si="199"/>
        <v>68.2</v>
      </c>
      <c r="T364" s="142">
        <f t="shared" si="199"/>
        <v>12.2</v>
      </c>
      <c r="U364" s="142">
        <f t="shared" si="199"/>
        <v>14.5</v>
      </c>
      <c r="V364" s="142">
        <f t="shared" si="199"/>
        <v>6</v>
      </c>
      <c r="W364" s="142" t="s">
        <v>23</v>
      </c>
      <c r="X364" s="142">
        <f>AVERAGE(X169:X173)</f>
        <v>140.19999999999999</v>
      </c>
    </row>
    <row r="365" spans="1:24">
      <c r="A365" s="99" t="s">
        <v>166</v>
      </c>
      <c r="B365" s="142" t="str">
        <f>B174</f>
        <v>-</v>
      </c>
      <c r="C365" s="142" t="str">
        <f>C174</f>
        <v>-</v>
      </c>
      <c r="D365" s="142">
        <f>AVERAGE(D174:D178)</f>
        <v>5539.8</v>
      </c>
      <c r="E365" s="142">
        <f>AVERAGE(E174:E178)</f>
        <v>11659</v>
      </c>
      <c r="F365" s="142">
        <f>AVERAGE(F174:F178)</f>
        <v>13806.4</v>
      </c>
      <c r="G365" s="142">
        <f t="shared" ref="G365:L365" si="200">AVERAGE(G174:G178)</f>
        <v>26716.6</v>
      </c>
      <c r="H365" s="142">
        <f t="shared" si="200"/>
        <v>10680.4</v>
      </c>
      <c r="I365" s="142">
        <f t="shared" si="200"/>
        <v>6287.2</v>
      </c>
      <c r="J365" s="142">
        <f t="shared" si="200"/>
        <v>2220.4</v>
      </c>
      <c r="K365" s="142">
        <f t="shared" si="200"/>
        <v>395</v>
      </c>
      <c r="L365" s="142">
        <f t="shared" si="200"/>
        <v>77304.800000000003</v>
      </c>
      <c r="N365" s="142" t="str">
        <f>N174</f>
        <v>-</v>
      </c>
      <c r="O365" s="142" t="str">
        <f>O174</f>
        <v>-</v>
      </c>
      <c r="P365" s="142">
        <f t="shared" ref="P365:U365" si="201">AVERAGE(P174:P178)</f>
        <v>2</v>
      </c>
      <c r="Q365" s="142">
        <f t="shared" si="201"/>
        <v>55.8</v>
      </c>
      <c r="R365" s="142">
        <f t="shared" si="201"/>
        <v>67.599999999999994</v>
      </c>
      <c r="S365" s="142">
        <f t="shared" si="201"/>
        <v>187.4</v>
      </c>
      <c r="T365" s="142">
        <f t="shared" si="201"/>
        <v>55.333333333333336</v>
      </c>
      <c r="U365" s="142">
        <f t="shared" si="201"/>
        <v>8.5</v>
      </c>
      <c r="V365" s="142" t="str">
        <f>V174</f>
        <v>-</v>
      </c>
      <c r="W365" s="142" t="str">
        <f>W174</f>
        <v>-</v>
      </c>
      <c r="X365" s="142">
        <f>AVERAGE(X174:X178)</f>
        <v>347.8</v>
      </c>
    </row>
    <row r="366" spans="1:24">
      <c r="A366" s="99" t="s">
        <v>315</v>
      </c>
      <c r="B366" s="142" t="str">
        <f>B179</f>
        <v>-</v>
      </c>
      <c r="C366" s="142" t="str">
        <f>C179</f>
        <v>-</v>
      </c>
      <c r="D366" s="142">
        <f>AVERAGE(D179:D183)</f>
        <v>1201</v>
      </c>
      <c r="E366" s="142">
        <f t="shared" ref="E366:L366" si="202">AVERAGE(E179:E183)</f>
        <v>5704.333333333333</v>
      </c>
      <c r="F366" s="142">
        <f t="shared" si="202"/>
        <v>7797</v>
      </c>
      <c r="G366" s="142">
        <f t="shared" si="202"/>
        <v>9091.6666666666661</v>
      </c>
      <c r="H366" s="142">
        <f t="shared" si="202"/>
        <v>1314</v>
      </c>
      <c r="I366" s="142">
        <f t="shared" si="202"/>
        <v>475</v>
      </c>
      <c r="J366" s="142">
        <f t="shared" si="202"/>
        <v>348.5</v>
      </c>
      <c r="K366" s="142">
        <f t="shared" si="202"/>
        <v>196</v>
      </c>
      <c r="L366" s="142">
        <f t="shared" si="202"/>
        <v>25946</v>
      </c>
      <c r="N366" s="142" t="str">
        <f t="shared" ref="N366:P366" si="203">N179</f>
        <v>-</v>
      </c>
      <c r="O366" s="142" t="str">
        <f t="shared" si="203"/>
        <v>-</v>
      </c>
      <c r="P366" s="142" t="str">
        <f t="shared" si="203"/>
        <v>-</v>
      </c>
      <c r="Q366" s="142">
        <f t="shared" ref="Q366:U366" si="204">AVERAGE(Q179:Q183)</f>
        <v>47</v>
      </c>
      <c r="R366" s="142">
        <f t="shared" si="204"/>
        <v>131.33333333333334</v>
      </c>
      <c r="S366" s="142">
        <f t="shared" si="204"/>
        <v>212</v>
      </c>
      <c r="T366" s="142">
        <f t="shared" si="204"/>
        <v>9</v>
      </c>
      <c r="U366" s="142">
        <f t="shared" si="204"/>
        <v>11</v>
      </c>
      <c r="V366" s="142" t="str">
        <f t="shared" ref="V366:W366" si="205">V179</f>
        <v>-</v>
      </c>
      <c r="W366" s="142" t="str">
        <f t="shared" si="205"/>
        <v>-</v>
      </c>
      <c r="X366" s="142">
        <f t="shared" ref="X366" si="206">AVERAGE(X179:X183)</f>
        <v>317.33333333333331</v>
      </c>
    </row>
    <row r="367" spans="1:24">
      <c r="A367" s="99">
        <v>2011</v>
      </c>
      <c r="B367" s="142" t="str">
        <f t="shared" ref="B367:L367" si="207">B184</f>
        <v>-</v>
      </c>
      <c r="C367" s="142" t="str">
        <f t="shared" si="207"/>
        <v>-</v>
      </c>
      <c r="D367" s="142">
        <f t="shared" si="207"/>
        <v>432</v>
      </c>
      <c r="E367" s="142">
        <f t="shared" si="207"/>
        <v>934</v>
      </c>
      <c r="F367" s="142">
        <f t="shared" si="207"/>
        <v>326</v>
      </c>
      <c r="G367" s="142">
        <f t="shared" si="207"/>
        <v>4457</v>
      </c>
      <c r="H367" s="142">
        <f t="shared" si="207"/>
        <v>6531</v>
      </c>
      <c r="I367" s="142">
        <f t="shared" si="207"/>
        <v>5914</v>
      </c>
      <c r="J367" s="142">
        <f t="shared" si="207"/>
        <v>1140</v>
      </c>
      <c r="K367" s="142" t="str">
        <f t="shared" si="207"/>
        <v>-</v>
      </c>
      <c r="L367" s="142">
        <f t="shared" si="207"/>
        <v>19734</v>
      </c>
      <c r="N367" s="142" t="str">
        <f t="shared" ref="N367:X367" si="208">N184</f>
        <v>-</v>
      </c>
      <c r="O367" s="142" t="str">
        <f t="shared" si="208"/>
        <v>-</v>
      </c>
      <c r="P367" s="142" t="str">
        <f t="shared" si="208"/>
        <v>-</v>
      </c>
      <c r="Q367" s="142" t="str">
        <f t="shared" si="208"/>
        <v>-</v>
      </c>
      <c r="R367" s="142">
        <f t="shared" si="208"/>
        <v>17</v>
      </c>
      <c r="S367" s="142">
        <f t="shared" si="208"/>
        <v>26</v>
      </c>
      <c r="T367" s="142" t="str">
        <f t="shared" si="208"/>
        <v>-</v>
      </c>
      <c r="U367" s="142" t="str">
        <f t="shared" si="208"/>
        <v>-</v>
      </c>
      <c r="V367" s="142" t="str">
        <f t="shared" si="208"/>
        <v>-</v>
      </c>
      <c r="W367" s="142" t="str">
        <f t="shared" si="208"/>
        <v>-</v>
      </c>
      <c r="X367" s="142">
        <f t="shared" si="208"/>
        <v>43</v>
      </c>
    </row>
    <row r="368" spans="1:24">
      <c r="A368" s="99">
        <v>2012</v>
      </c>
      <c r="B368" s="142" t="str">
        <f t="shared" ref="B368:L368" si="209">B185</f>
        <v>-</v>
      </c>
      <c r="C368" s="142" t="str">
        <f t="shared" si="209"/>
        <v>-</v>
      </c>
      <c r="D368" s="142">
        <f t="shared" si="209"/>
        <v>3837</v>
      </c>
      <c r="E368" s="142">
        <f t="shared" si="209"/>
        <v>5143</v>
      </c>
      <c r="F368" s="142">
        <f t="shared" si="209"/>
        <v>10700</v>
      </c>
      <c r="G368" s="142">
        <f t="shared" si="209"/>
        <v>15329</v>
      </c>
      <c r="H368" s="142">
        <f t="shared" si="209"/>
        <v>5340</v>
      </c>
      <c r="I368" s="142">
        <f t="shared" si="209"/>
        <v>3871</v>
      </c>
      <c r="J368" s="142">
        <f t="shared" si="209"/>
        <v>1881</v>
      </c>
      <c r="K368" s="142">
        <f t="shared" si="209"/>
        <v>88</v>
      </c>
      <c r="L368" s="142">
        <f t="shared" si="209"/>
        <v>46189</v>
      </c>
      <c r="N368" s="142" t="str">
        <f t="shared" ref="N368:X368" si="210">N185</f>
        <v>-</v>
      </c>
      <c r="O368" s="142" t="str">
        <f t="shared" si="210"/>
        <v>-</v>
      </c>
      <c r="P368" s="142" t="str">
        <f t="shared" si="210"/>
        <v>-</v>
      </c>
      <c r="Q368" s="142">
        <f t="shared" si="210"/>
        <v>3</v>
      </c>
      <c r="R368" s="142" t="str">
        <f t="shared" si="210"/>
        <v>-</v>
      </c>
      <c r="S368" s="142">
        <f t="shared" si="210"/>
        <v>5</v>
      </c>
      <c r="T368" s="142" t="str">
        <f t="shared" si="210"/>
        <v>-</v>
      </c>
      <c r="U368" s="142" t="str">
        <f t="shared" si="210"/>
        <v>-</v>
      </c>
      <c r="V368" s="142" t="str">
        <f t="shared" si="210"/>
        <v>-</v>
      </c>
      <c r="W368" s="142" t="str">
        <f t="shared" si="210"/>
        <v>-</v>
      </c>
      <c r="X368" s="142">
        <f t="shared" si="210"/>
        <v>8</v>
      </c>
    </row>
    <row r="369" spans="1:24">
      <c r="A369" s="99">
        <v>2013</v>
      </c>
      <c r="B369" s="142" t="str">
        <f t="shared" ref="B369:L369" si="211">B186</f>
        <v>-</v>
      </c>
      <c r="C369" s="142" t="str">
        <f t="shared" si="211"/>
        <v>-</v>
      </c>
      <c r="D369" s="142">
        <f t="shared" si="211"/>
        <v>8121</v>
      </c>
      <c r="E369" s="142">
        <f t="shared" si="211"/>
        <v>9018</v>
      </c>
      <c r="F369" s="142">
        <f t="shared" si="211"/>
        <v>12204</v>
      </c>
      <c r="G369" s="142">
        <f t="shared" si="211"/>
        <v>21798</v>
      </c>
      <c r="H369" s="142">
        <f t="shared" si="211"/>
        <v>6818</v>
      </c>
      <c r="I369" s="142">
        <f t="shared" si="211"/>
        <v>1891</v>
      </c>
      <c r="J369" s="142">
        <f t="shared" si="211"/>
        <v>1354</v>
      </c>
      <c r="K369" s="142">
        <f t="shared" si="211"/>
        <v>87</v>
      </c>
      <c r="L369" s="142">
        <f t="shared" si="211"/>
        <v>61291</v>
      </c>
      <c r="N369" s="142" t="str">
        <f t="shared" ref="N369:X369" si="212">N186</f>
        <v>-</v>
      </c>
      <c r="O369" s="142" t="str">
        <f t="shared" si="212"/>
        <v>-</v>
      </c>
      <c r="P369" s="142" t="str">
        <f t="shared" si="212"/>
        <v>-</v>
      </c>
      <c r="Q369" s="142" t="str">
        <f t="shared" si="212"/>
        <v>-</v>
      </c>
      <c r="R369" s="142">
        <f t="shared" si="212"/>
        <v>24</v>
      </c>
      <c r="S369" s="142">
        <f t="shared" si="212"/>
        <v>62</v>
      </c>
      <c r="T369" s="142" t="str">
        <f t="shared" si="212"/>
        <v>-</v>
      </c>
      <c r="U369" s="142" t="str">
        <f t="shared" si="212"/>
        <v>-</v>
      </c>
      <c r="V369" s="142" t="str">
        <f t="shared" si="212"/>
        <v>-</v>
      </c>
      <c r="W369" s="142" t="str">
        <f t="shared" si="212"/>
        <v>-</v>
      </c>
      <c r="X369" s="142">
        <f t="shared" si="212"/>
        <v>86</v>
      </c>
    </row>
    <row r="370" spans="1:24">
      <c r="A370" s="99">
        <v>2014</v>
      </c>
      <c r="B370" s="142" t="str">
        <f t="shared" ref="B370:L370" si="213">B187</f>
        <v>-</v>
      </c>
      <c r="C370" s="142" t="str">
        <f t="shared" si="213"/>
        <v>-</v>
      </c>
      <c r="D370" s="142">
        <f t="shared" si="213"/>
        <v>1854</v>
      </c>
      <c r="E370" s="142">
        <f t="shared" si="213"/>
        <v>2318</v>
      </c>
      <c r="F370" s="142">
        <f t="shared" si="213"/>
        <v>559</v>
      </c>
      <c r="G370" s="142">
        <f t="shared" si="213"/>
        <v>5587</v>
      </c>
      <c r="H370" s="142">
        <f t="shared" si="213"/>
        <v>12679</v>
      </c>
      <c r="I370" s="142">
        <f t="shared" si="213"/>
        <v>6266</v>
      </c>
      <c r="J370" s="142">
        <f t="shared" si="213"/>
        <v>3065</v>
      </c>
      <c r="K370" s="142">
        <f t="shared" si="213"/>
        <v>125</v>
      </c>
      <c r="L370" s="142">
        <f t="shared" si="213"/>
        <v>32453</v>
      </c>
      <c r="N370" s="142" t="str">
        <f t="shared" ref="N370:X370" si="214">N187</f>
        <v>-</v>
      </c>
      <c r="O370" s="142" t="str">
        <f t="shared" si="214"/>
        <v>-</v>
      </c>
      <c r="P370" s="142" t="str">
        <f t="shared" si="214"/>
        <v>-</v>
      </c>
      <c r="Q370" s="142">
        <f t="shared" si="214"/>
        <v>4</v>
      </c>
      <c r="R370" s="142" t="str">
        <f t="shared" si="214"/>
        <v>-</v>
      </c>
      <c r="S370" s="142">
        <f t="shared" si="214"/>
        <v>40</v>
      </c>
      <c r="T370" s="142" t="str">
        <f t="shared" si="214"/>
        <v>-</v>
      </c>
      <c r="U370" s="142" t="str">
        <f t="shared" si="214"/>
        <v>-</v>
      </c>
      <c r="V370" s="142" t="str">
        <f t="shared" si="214"/>
        <v>-</v>
      </c>
      <c r="W370" s="142" t="str">
        <f t="shared" si="214"/>
        <v>-</v>
      </c>
      <c r="X370" s="142">
        <f t="shared" si="214"/>
        <v>44</v>
      </c>
    </row>
    <row r="371" spans="1:24">
      <c r="A371" s="99">
        <v>2015</v>
      </c>
      <c r="B371" s="142" t="str">
        <f t="shared" ref="B371:L371" si="215">B188</f>
        <v>-</v>
      </c>
      <c r="C371" s="142" t="str">
        <f t="shared" si="215"/>
        <v>-</v>
      </c>
      <c r="D371" s="142">
        <f t="shared" si="215"/>
        <v>933</v>
      </c>
      <c r="E371" s="142">
        <f t="shared" si="215"/>
        <v>1072</v>
      </c>
      <c r="F371" s="142">
        <f t="shared" si="215"/>
        <v>2396</v>
      </c>
      <c r="G371" s="142">
        <f t="shared" si="215"/>
        <v>5126</v>
      </c>
      <c r="H371" s="142">
        <f t="shared" si="215"/>
        <v>6113</v>
      </c>
      <c r="I371" s="142">
        <f t="shared" si="215"/>
        <v>8014</v>
      </c>
      <c r="J371" s="142">
        <f t="shared" si="215"/>
        <v>1573</v>
      </c>
      <c r="K371" s="142" t="str">
        <f t="shared" si="215"/>
        <v>-</v>
      </c>
      <c r="L371" s="142">
        <f t="shared" si="215"/>
        <v>25227</v>
      </c>
      <c r="N371" s="142" t="str">
        <f t="shared" ref="N371:X371" si="216">N188</f>
        <v>-</v>
      </c>
      <c r="O371" s="142" t="str">
        <f t="shared" si="216"/>
        <v>-</v>
      </c>
      <c r="P371" s="142" t="str">
        <f t="shared" si="216"/>
        <v>-</v>
      </c>
      <c r="Q371" s="142" t="str">
        <f t="shared" si="216"/>
        <v>-</v>
      </c>
      <c r="R371" s="142">
        <f t="shared" si="216"/>
        <v>4</v>
      </c>
      <c r="S371" s="142">
        <f t="shared" si="216"/>
        <v>2</v>
      </c>
      <c r="T371" s="142" t="str">
        <f t="shared" si="216"/>
        <v>-</v>
      </c>
      <c r="U371" s="142" t="str">
        <f t="shared" si="216"/>
        <v>-</v>
      </c>
      <c r="V371" s="142" t="str">
        <f t="shared" si="216"/>
        <v>-</v>
      </c>
      <c r="W371" s="142" t="str">
        <f t="shared" si="216"/>
        <v>-</v>
      </c>
      <c r="X371" s="142">
        <f t="shared" si="216"/>
        <v>6</v>
      </c>
    </row>
    <row r="372" spans="1:24">
      <c r="A372" s="99">
        <v>2016</v>
      </c>
      <c r="B372" s="142" t="str">
        <f t="shared" ref="B372:L372" si="217">B189</f>
        <v>-</v>
      </c>
      <c r="C372" s="142" t="str">
        <f t="shared" si="217"/>
        <v>-</v>
      </c>
      <c r="D372" s="142">
        <f t="shared" si="217"/>
        <v>1206</v>
      </c>
      <c r="E372" s="142">
        <f t="shared" si="217"/>
        <v>3563</v>
      </c>
      <c r="F372" s="142">
        <f t="shared" si="217"/>
        <v>1253</v>
      </c>
      <c r="G372" s="142">
        <f t="shared" si="217"/>
        <v>8025</v>
      </c>
      <c r="H372" s="142">
        <f t="shared" si="217"/>
        <v>6111</v>
      </c>
      <c r="I372" s="142">
        <f t="shared" si="217"/>
        <v>5858</v>
      </c>
      <c r="J372" s="142">
        <f t="shared" si="217"/>
        <v>630</v>
      </c>
      <c r="K372" s="142" t="str">
        <f t="shared" si="217"/>
        <v>-</v>
      </c>
      <c r="L372" s="142">
        <f t="shared" si="217"/>
        <v>26646</v>
      </c>
      <c r="N372" s="142" t="str">
        <f t="shared" ref="N372:X372" si="218">N189</f>
        <v>-</v>
      </c>
      <c r="O372" s="142" t="str">
        <f t="shared" si="218"/>
        <v>-</v>
      </c>
      <c r="P372" s="142" t="str">
        <f t="shared" si="218"/>
        <v>-</v>
      </c>
      <c r="Q372" s="142" t="str">
        <f t="shared" si="218"/>
        <v>-</v>
      </c>
      <c r="R372" s="142" t="str">
        <f t="shared" si="218"/>
        <v>-</v>
      </c>
      <c r="S372" s="142" t="str">
        <f t="shared" si="218"/>
        <v>-</v>
      </c>
      <c r="T372" s="142">
        <f t="shared" si="218"/>
        <v>8</v>
      </c>
      <c r="U372" s="142" t="str">
        <f t="shared" si="218"/>
        <v>-</v>
      </c>
      <c r="V372" s="142" t="str">
        <f t="shared" si="218"/>
        <v>-</v>
      </c>
      <c r="W372" s="142" t="str">
        <f t="shared" si="218"/>
        <v>-</v>
      </c>
      <c r="X372" s="142">
        <f t="shared" si="218"/>
        <v>8</v>
      </c>
    </row>
    <row r="373" spans="1:24">
      <c r="A373" s="99">
        <v>2017</v>
      </c>
      <c r="B373" s="142" t="str">
        <f t="shared" ref="B373:L373" si="219">B190</f>
        <v>-</v>
      </c>
      <c r="C373" s="142" t="str">
        <f t="shared" si="219"/>
        <v>-</v>
      </c>
      <c r="D373" s="142">
        <f t="shared" si="219"/>
        <v>398</v>
      </c>
      <c r="E373" s="142">
        <f t="shared" si="219"/>
        <v>1206</v>
      </c>
      <c r="F373" s="142">
        <f t="shared" si="219"/>
        <v>5241</v>
      </c>
      <c r="G373" s="142">
        <f t="shared" si="219"/>
        <v>24206</v>
      </c>
      <c r="H373" s="142">
        <f t="shared" si="219"/>
        <v>17972</v>
      </c>
      <c r="I373" s="142">
        <f t="shared" si="219"/>
        <v>3890</v>
      </c>
      <c r="J373" s="142">
        <f t="shared" si="219"/>
        <v>843</v>
      </c>
      <c r="K373" s="142" t="str">
        <f t="shared" si="219"/>
        <v>-</v>
      </c>
      <c r="L373" s="142">
        <f t="shared" si="219"/>
        <v>53756</v>
      </c>
      <c r="N373" s="142" t="str">
        <f t="shared" ref="N373:X373" si="220">N190</f>
        <v>-</v>
      </c>
      <c r="O373" s="142" t="str">
        <f t="shared" si="220"/>
        <v>-</v>
      </c>
      <c r="P373" s="142" t="str">
        <f t="shared" si="220"/>
        <v>-</v>
      </c>
      <c r="Q373" s="142">
        <f t="shared" si="220"/>
        <v>3</v>
      </c>
      <c r="R373" s="142" t="str">
        <f t="shared" si="220"/>
        <v>-</v>
      </c>
      <c r="S373" s="142">
        <f t="shared" si="220"/>
        <v>322</v>
      </c>
      <c r="T373" s="142">
        <f t="shared" si="220"/>
        <v>40</v>
      </c>
      <c r="U373" s="142" t="str">
        <f t="shared" si="220"/>
        <v>-</v>
      </c>
      <c r="V373" s="142" t="str">
        <f t="shared" si="220"/>
        <v>-</v>
      </c>
      <c r="W373" s="142" t="str">
        <f t="shared" si="220"/>
        <v>-</v>
      </c>
      <c r="X373" s="142">
        <f t="shared" si="220"/>
        <v>365</v>
      </c>
    </row>
    <row r="374" spans="1:24">
      <c r="A374" s="99">
        <v>2018</v>
      </c>
      <c r="B374" s="142" t="str">
        <f t="shared" ref="B374:L374" si="221">B191</f>
        <v>-</v>
      </c>
      <c r="C374" s="142" t="str">
        <f t="shared" si="221"/>
        <v>-</v>
      </c>
      <c r="D374" s="142" t="str">
        <f t="shared" si="221"/>
        <v>-</v>
      </c>
      <c r="E374" s="142" t="str">
        <f t="shared" si="221"/>
        <v>-</v>
      </c>
      <c r="F374" s="142">
        <f t="shared" si="221"/>
        <v>11361</v>
      </c>
      <c r="G374" s="142">
        <f t="shared" si="221"/>
        <v>38248</v>
      </c>
      <c r="H374" s="142">
        <f t="shared" si="221"/>
        <v>11717</v>
      </c>
      <c r="I374" s="142">
        <f t="shared" si="221"/>
        <v>6689</v>
      </c>
      <c r="J374" s="142">
        <f t="shared" si="221"/>
        <v>4172</v>
      </c>
      <c r="K374" s="142" t="str">
        <f t="shared" si="221"/>
        <v>-</v>
      </c>
      <c r="L374" s="142">
        <f t="shared" si="221"/>
        <v>72187</v>
      </c>
      <c r="N374" s="142" t="str">
        <f t="shared" ref="N374:X374" si="222">N191</f>
        <v>-</v>
      </c>
      <c r="O374" s="142" t="str">
        <f t="shared" si="222"/>
        <v>-</v>
      </c>
      <c r="P374" s="142" t="str">
        <f t="shared" si="222"/>
        <v>-</v>
      </c>
      <c r="Q374" s="142" t="str">
        <f t="shared" si="222"/>
        <v>-</v>
      </c>
      <c r="R374" s="142">
        <f t="shared" si="222"/>
        <v>5</v>
      </c>
      <c r="S374" s="142">
        <f t="shared" si="222"/>
        <v>63</v>
      </c>
      <c r="T374" s="142" t="str">
        <f t="shared" si="222"/>
        <v>-</v>
      </c>
      <c r="U374" s="142" t="str">
        <f t="shared" si="222"/>
        <v>-</v>
      </c>
      <c r="V374" s="142" t="str">
        <f t="shared" si="222"/>
        <v>-</v>
      </c>
      <c r="W374" s="142" t="str">
        <f t="shared" si="222"/>
        <v>-</v>
      </c>
      <c r="X374" s="142">
        <f t="shared" si="222"/>
        <v>68</v>
      </c>
    </row>
    <row r="375" spans="1:24">
      <c r="A375" s="239">
        <v>2019</v>
      </c>
      <c r="B375" s="142" t="str">
        <f t="shared" ref="B375:L375" si="223">B192</f>
        <v>-</v>
      </c>
      <c r="C375" s="142" t="str">
        <f t="shared" si="223"/>
        <v>-</v>
      </c>
      <c r="D375" s="142">
        <f t="shared" si="223"/>
        <v>2982</v>
      </c>
      <c r="E375" s="142">
        <f t="shared" si="223"/>
        <v>1645</v>
      </c>
      <c r="F375" s="142">
        <f t="shared" si="223"/>
        <v>15459</v>
      </c>
      <c r="G375" s="142">
        <f t="shared" si="223"/>
        <v>16558</v>
      </c>
      <c r="H375" s="142">
        <f t="shared" si="223"/>
        <v>15861</v>
      </c>
      <c r="I375" s="142">
        <f t="shared" si="223"/>
        <v>3570</v>
      </c>
      <c r="J375" s="142">
        <f t="shared" si="223"/>
        <v>468</v>
      </c>
      <c r="K375" s="142" t="str">
        <f t="shared" si="223"/>
        <v>-</v>
      </c>
      <c r="L375" s="142">
        <f t="shared" si="223"/>
        <v>56543</v>
      </c>
      <c r="N375" s="142" t="str">
        <f t="shared" ref="N375:X375" si="224">N192</f>
        <v>-</v>
      </c>
      <c r="O375" s="142" t="str">
        <f t="shared" si="224"/>
        <v>-</v>
      </c>
      <c r="P375" s="142" t="str">
        <f t="shared" si="224"/>
        <v>-</v>
      </c>
      <c r="Q375" s="142">
        <f t="shared" si="224"/>
        <v>2</v>
      </c>
      <c r="R375" s="142">
        <f t="shared" si="224"/>
        <v>100</v>
      </c>
      <c r="S375" s="142">
        <f t="shared" si="224"/>
        <v>4</v>
      </c>
      <c r="T375" s="142">
        <f t="shared" si="224"/>
        <v>348</v>
      </c>
      <c r="U375" s="142">
        <f t="shared" si="224"/>
        <v>14</v>
      </c>
      <c r="V375" s="142">
        <f t="shared" si="224"/>
        <v>5</v>
      </c>
      <c r="W375" s="142" t="str">
        <f t="shared" si="224"/>
        <v>-</v>
      </c>
      <c r="X375" s="142">
        <f t="shared" si="224"/>
        <v>473</v>
      </c>
    </row>
    <row r="376" spans="1:24" ht="13">
      <c r="A376" s="239" t="s">
        <v>343</v>
      </c>
      <c r="B376" s="142" t="str">
        <f t="shared" ref="B376:L377" si="225">B193</f>
        <v>-</v>
      </c>
      <c r="C376" s="142" t="str">
        <f t="shared" si="225"/>
        <v>-</v>
      </c>
      <c r="D376" s="142" t="str">
        <f t="shared" si="225"/>
        <v>-</v>
      </c>
      <c r="E376" s="142" t="str">
        <f t="shared" si="225"/>
        <v>--</v>
      </c>
      <c r="F376" s="142" t="str">
        <f t="shared" si="225"/>
        <v>--</v>
      </c>
      <c r="G376" s="142">
        <f t="shared" si="225"/>
        <v>19662</v>
      </c>
      <c r="H376" s="142">
        <f t="shared" si="225"/>
        <v>9140</v>
      </c>
      <c r="I376" s="142">
        <f t="shared" si="225"/>
        <v>3945</v>
      </c>
      <c r="J376" s="142">
        <f t="shared" si="225"/>
        <v>2364</v>
      </c>
      <c r="K376" s="142">
        <f t="shared" si="225"/>
        <v>29</v>
      </c>
      <c r="L376" s="142">
        <f t="shared" si="225"/>
        <v>35140</v>
      </c>
      <c r="N376" s="142" t="str">
        <f t="shared" ref="N376:X377" si="226">N193</f>
        <v>-</v>
      </c>
      <c r="O376" s="142" t="str">
        <f t="shared" si="226"/>
        <v>-</v>
      </c>
      <c r="P376" s="142" t="str">
        <f t="shared" si="226"/>
        <v>-</v>
      </c>
      <c r="Q376" s="142" t="str">
        <f t="shared" si="226"/>
        <v>-</v>
      </c>
      <c r="R376" s="142" t="str">
        <f t="shared" si="226"/>
        <v>-</v>
      </c>
      <c r="S376" s="142">
        <f t="shared" si="226"/>
        <v>11</v>
      </c>
      <c r="T376" s="142" t="str">
        <f t="shared" si="226"/>
        <v>-</v>
      </c>
      <c r="U376" s="142" t="str">
        <f t="shared" si="226"/>
        <v>-</v>
      </c>
      <c r="V376" s="142" t="str">
        <f t="shared" si="226"/>
        <v>-</v>
      </c>
      <c r="W376" s="142" t="str">
        <f t="shared" si="226"/>
        <v>-</v>
      </c>
      <c r="X376" s="142">
        <f t="shared" si="226"/>
        <v>11</v>
      </c>
    </row>
    <row r="377" spans="1:24" ht="13">
      <c r="A377" s="239" t="s">
        <v>317</v>
      </c>
      <c r="B377" s="142" t="str">
        <f t="shared" si="225"/>
        <v>-</v>
      </c>
      <c r="C377" s="142" t="str">
        <f t="shared" si="225"/>
        <v>-</v>
      </c>
      <c r="D377" s="142" t="str">
        <f t="shared" si="225"/>
        <v>-</v>
      </c>
      <c r="E377" s="142" t="str">
        <f t="shared" si="225"/>
        <v>-</v>
      </c>
      <c r="F377" s="142">
        <f t="shared" si="225"/>
        <v>3864</v>
      </c>
      <c r="G377" s="142">
        <f t="shared" si="225"/>
        <v>16407</v>
      </c>
      <c r="H377" s="142">
        <f t="shared" si="225"/>
        <v>9065</v>
      </c>
      <c r="I377" s="142">
        <f t="shared" si="225"/>
        <v>3799</v>
      </c>
      <c r="J377" s="142">
        <f t="shared" si="225"/>
        <v>861</v>
      </c>
      <c r="K377" s="142" t="str">
        <f t="shared" si="225"/>
        <v>-</v>
      </c>
      <c r="L377" s="142">
        <f t="shared" si="225"/>
        <v>33996</v>
      </c>
      <c r="N377" s="142" t="str">
        <f t="shared" si="226"/>
        <v>-</v>
      </c>
      <c r="O377" s="142" t="str">
        <f t="shared" si="226"/>
        <v>-</v>
      </c>
      <c r="P377" s="142" t="str">
        <f t="shared" si="226"/>
        <v>-</v>
      </c>
      <c r="Q377" s="142" t="str">
        <f t="shared" si="226"/>
        <v>-</v>
      </c>
      <c r="R377" s="142">
        <f t="shared" si="226"/>
        <v>18</v>
      </c>
      <c r="S377" s="142">
        <f t="shared" si="226"/>
        <v>125</v>
      </c>
      <c r="T377" s="142">
        <f t="shared" si="226"/>
        <v>4</v>
      </c>
      <c r="U377" s="142" t="str">
        <f t="shared" si="226"/>
        <v>-</v>
      </c>
      <c r="V377" s="142" t="str">
        <f t="shared" si="226"/>
        <v>-</v>
      </c>
      <c r="W377" s="142" t="str">
        <f t="shared" si="226"/>
        <v>-</v>
      </c>
      <c r="X377" s="142">
        <f t="shared" si="226"/>
        <v>147</v>
      </c>
    </row>
    <row r="379" spans="1:24">
      <c r="A379" s="290" t="s">
        <v>179</v>
      </c>
      <c r="B379" s="290"/>
      <c r="C379" s="290"/>
      <c r="D379" s="290"/>
      <c r="E379" s="290"/>
      <c r="F379" s="290"/>
      <c r="G379" s="290"/>
      <c r="H379" s="290"/>
      <c r="I379" s="290"/>
      <c r="J379" s="290"/>
      <c r="K379" s="290"/>
      <c r="L379" s="290"/>
      <c r="M379" s="290"/>
      <c r="N379" s="290"/>
      <c r="O379" s="290"/>
      <c r="P379" s="290"/>
      <c r="Q379" s="290"/>
      <c r="R379" s="290"/>
      <c r="S379" s="290"/>
      <c r="T379" s="290"/>
      <c r="U379" s="290"/>
      <c r="V379" s="290"/>
      <c r="W379" s="290"/>
      <c r="X379" s="290"/>
    </row>
    <row r="380" spans="1:24">
      <c r="A380" s="96" t="s">
        <v>27</v>
      </c>
      <c r="B380" s="225" t="s">
        <v>36</v>
      </c>
      <c r="C380" s="225" t="s">
        <v>37</v>
      </c>
      <c r="D380" s="225" t="s">
        <v>28</v>
      </c>
      <c r="E380" s="225" t="s">
        <v>29</v>
      </c>
      <c r="F380" s="225" t="s">
        <v>30</v>
      </c>
      <c r="G380" s="225" t="s">
        <v>31</v>
      </c>
      <c r="H380" s="225" t="s">
        <v>32</v>
      </c>
      <c r="I380" s="225" t="s">
        <v>33</v>
      </c>
      <c r="J380" s="225" t="s">
        <v>34</v>
      </c>
      <c r="K380" s="225" t="s">
        <v>38</v>
      </c>
      <c r="L380" s="225" t="s">
        <v>22</v>
      </c>
      <c r="M380" s="14"/>
      <c r="N380" s="225" t="s">
        <v>36</v>
      </c>
      <c r="O380" s="225" t="s">
        <v>37</v>
      </c>
      <c r="P380" s="225" t="s">
        <v>28</v>
      </c>
      <c r="Q380" s="225" t="s">
        <v>29</v>
      </c>
      <c r="R380" s="225" t="s">
        <v>30</v>
      </c>
      <c r="S380" s="225" t="s">
        <v>31</v>
      </c>
      <c r="T380" s="225" t="s">
        <v>32</v>
      </c>
      <c r="U380" s="225" t="s">
        <v>33</v>
      </c>
      <c r="V380" s="225" t="s">
        <v>34</v>
      </c>
      <c r="W380" s="225" t="s">
        <v>38</v>
      </c>
      <c r="X380" s="225" t="s">
        <v>22</v>
      </c>
    </row>
    <row r="381" spans="1:24">
      <c r="B381" s="288" t="s">
        <v>61</v>
      </c>
      <c r="C381" s="288"/>
      <c r="D381" s="288"/>
      <c r="E381" s="288"/>
      <c r="F381" s="288"/>
      <c r="G381" s="288"/>
      <c r="H381" s="288"/>
      <c r="I381" s="288"/>
      <c r="J381" s="288"/>
      <c r="K381" s="288"/>
      <c r="L381" s="288"/>
      <c r="M381" s="14"/>
      <c r="N381" s="288" t="s">
        <v>62</v>
      </c>
      <c r="O381" s="288"/>
      <c r="P381" s="288"/>
      <c r="Q381" s="288"/>
      <c r="R381" s="288"/>
      <c r="S381" s="288"/>
      <c r="T381" s="288"/>
      <c r="U381" s="288"/>
      <c r="V381" s="288"/>
      <c r="W381" s="288"/>
      <c r="X381" s="288"/>
    </row>
    <row r="382" spans="1:24">
      <c r="A382" s="247" t="str">
        <f>A196</f>
        <v>Monterey</v>
      </c>
    </row>
    <row r="383" spans="1:24">
      <c r="A383" s="99" t="s">
        <v>78</v>
      </c>
      <c r="B383" s="142">
        <f t="shared" ref="B383:L383" si="227">AVERAGE(B207:B211)</f>
        <v>1119.8</v>
      </c>
      <c r="C383" s="142">
        <f t="shared" si="227"/>
        <v>4311.6000000000004</v>
      </c>
      <c r="D383" s="142">
        <f t="shared" si="227"/>
        <v>9407</v>
      </c>
      <c r="E383" s="142">
        <f t="shared" si="227"/>
        <v>1362.4</v>
      </c>
      <c r="F383" s="142">
        <f t="shared" si="227"/>
        <v>4126.3999999999996</v>
      </c>
      <c r="G383" s="142">
        <f t="shared" si="227"/>
        <v>7466.8</v>
      </c>
      <c r="H383" s="142">
        <f t="shared" si="227"/>
        <v>1704.4</v>
      </c>
      <c r="I383" s="142">
        <f t="shared" si="227"/>
        <v>167.4</v>
      </c>
      <c r="J383" s="142">
        <f t="shared" si="227"/>
        <v>129</v>
      </c>
      <c r="K383" s="142">
        <f t="shared" si="227"/>
        <v>224.8</v>
      </c>
      <c r="L383" s="142">
        <f t="shared" si="227"/>
        <v>30019.599999999999</v>
      </c>
      <c r="N383" s="142">
        <f t="shared" ref="N383:X383" si="228">AVERAGE(N207:N211)</f>
        <v>0</v>
      </c>
      <c r="O383" s="142">
        <f t="shared" si="228"/>
        <v>0</v>
      </c>
      <c r="P383" s="142">
        <f t="shared" si="228"/>
        <v>17.600000000000001</v>
      </c>
      <c r="Q383" s="142">
        <f t="shared" si="228"/>
        <v>14.8</v>
      </c>
      <c r="R383" s="142">
        <f t="shared" si="228"/>
        <v>101.4</v>
      </c>
      <c r="S383" s="142">
        <f t="shared" si="228"/>
        <v>143.6</v>
      </c>
      <c r="T383" s="142">
        <f t="shared" si="228"/>
        <v>28.4</v>
      </c>
      <c r="U383" s="142">
        <f t="shared" si="228"/>
        <v>0.6</v>
      </c>
      <c r="V383" s="142">
        <f t="shared" si="228"/>
        <v>0</v>
      </c>
      <c r="W383" s="142">
        <f t="shared" si="228"/>
        <v>0</v>
      </c>
      <c r="X383" s="142">
        <f t="shared" si="228"/>
        <v>306.39999999999998</v>
      </c>
    </row>
    <row r="384" spans="1:24">
      <c r="A384" s="99" t="s">
        <v>10</v>
      </c>
      <c r="B384" s="142">
        <f>AVERAGE(B212:B216)</f>
        <v>292.25</v>
      </c>
      <c r="C384" s="142">
        <f t="shared" ref="C384:L384" si="229">AVERAGE(C212:C216)</f>
        <v>6001.2</v>
      </c>
      <c r="D384" s="142">
        <f t="shared" si="229"/>
        <v>14107.2</v>
      </c>
      <c r="E384" s="142">
        <f t="shared" si="229"/>
        <v>7456.8</v>
      </c>
      <c r="F384" s="142">
        <f t="shared" si="229"/>
        <v>7574.2</v>
      </c>
      <c r="G384" s="142">
        <f t="shared" si="229"/>
        <v>18690.2</v>
      </c>
      <c r="H384" s="142">
        <f t="shared" si="229"/>
        <v>2518.6</v>
      </c>
      <c r="I384" s="142">
        <f t="shared" si="229"/>
        <v>247.8</v>
      </c>
      <c r="J384" s="142">
        <f t="shared" si="229"/>
        <v>1032.25</v>
      </c>
      <c r="K384" s="142">
        <f t="shared" si="229"/>
        <v>372</v>
      </c>
      <c r="L384" s="142">
        <f t="shared" si="229"/>
        <v>57730</v>
      </c>
      <c r="N384" s="142">
        <f t="shared" ref="N384:X384" si="230">AVERAGE(N212:N216)</f>
        <v>0</v>
      </c>
      <c r="O384" s="142">
        <f t="shared" si="230"/>
        <v>0</v>
      </c>
      <c r="P384" s="142">
        <f t="shared" si="230"/>
        <v>1.5</v>
      </c>
      <c r="Q384" s="142">
        <f t="shared" si="230"/>
        <v>12.2</v>
      </c>
      <c r="R384" s="142">
        <f t="shared" si="230"/>
        <v>245.4</v>
      </c>
      <c r="S384" s="142">
        <f t="shared" si="230"/>
        <v>360.8</v>
      </c>
      <c r="T384" s="142">
        <f t="shared" si="230"/>
        <v>33.799999999999997</v>
      </c>
      <c r="U384" s="142">
        <f t="shared" si="230"/>
        <v>0</v>
      </c>
      <c r="V384" s="142">
        <f t="shared" si="230"/>
        <v>5.666666666666667</v>
      </c>
      <c r="W384" s="142">
        <f t="shared" si="230"/>
        <v>0</v>
      </c>
      <c r="X384" s="142">
        <f t="shared" si="230"/>
        <v>656.8</v>
      </c>
    </row>
    <row r="385" spans="1:24">
      <c r="A385" s="99" t="s">
        <v>144</v>
      </c>
      <c r="B385" s="142" t="s">
        <v>23</v>
      </c>
      <c r="C385" s="142">
        <f t="shared" ref="C385:I385" si="231">AVERAGE(C217:C221)</f>
        <v>7762.5</v>
      </c>
      <c r="D385" s="142">
        <f t="shared" si="231"/>
        <v>15030</v>
      </c>
      <c r="E385" s="142">
        <f t="shared" si="231"/>
        <v>7820</v>
      </c>
      <c r="F385" s="142">
        <f t="shared" si="231"/>
        <v>11022.6</v>
      </c>
      <c r="G385" s="142">
        <f t="shared" si="231"/>
        <v>9943.2000000000007</v>
      </c>
      <c r="H385" s="142">
        <f t="shared" si="231"/>
        <v>1908.4</v>
      </c>
      <c r="I385" s="142">
        <f t="shared" si="231"/>
        <v>489.5</v>
      </c>
      <c r="J385" s="142" t="s">
        <v>23</v>
      </c>
      <c r="K385" s="142" t="s">
        <v>23</v>
      </c>
      <c r="L385" s="142">
        <f>AVERAGE(L217:L221)</f>
        <v>52325.8</v>
      </c>
      <c r="N385" s="142" t="s">
        <v>23</v>
      </c>
      <c r="O385" s="142" t="s">
        <v>23</v>
      </c>
      <c r="P385" s="142" t="s">
        <v>23</v>
      </c>
      <c r="Q385" s="142" t="s">
        <v>23</v>
      </c>
      <c r="R385" s="142">
        <f>AVERAGE(R217:R221)</f>
        <v>19.333333333333332</v>
      </c>
      <c r="S385" s="142">
        <f>AVERAGE(S217:S221)</f>
        <v>12</v>
      </c>
      <c r="T385" s="142">
        <f>AVERAGE(T217:T221)</f>
        <v>4</v>
      </c>
      <c r="U385" s="142" t="s">
        <v>23</v>
      </c>
      <c r="V385" s="142" t="s">
        <v>23</v>
      </c>
      <c r="W385" s="142" t="s">
        <v>23</v>
      </c>
      <c r="X385" s="142">
        <f>AVERAGE(X217:X221)</f>
        <v>19.600000000000001</v>
      </c>
    </row>
    <row r="386" spans="1:24">
      <c r="A386" s="99" t="s">
        <v>166</v>
      </c>
      <c r="B386" s="142" t="str">
        <f>B222</f>
        <v>-</v>
      </c>
      <c r="C386" s="142">
        <f t="shared" ref="C386:I386" si="232">AVERAGE(C222:C226)</f>
        <v>2234.6666666666665</v>
      </c>
      <c r="D386" s="142">
        <f t="shared" si="232"/>
        <v>15936.6</v>
      </c>
      <c r="E386" s="142">
        <f t="shared" si="232"/>
        <v>3242.8</v>
      </c>
      <c r="F386" s="142">
        <f t="shared" si="232"/>
        <v>4291.8</v>
      </c>
      <c r="G386" s="142">
        <f t="shared" si="232"/>
        <v>5966.6</v>
      </c>
      <c r="H386" s="142">
        <f t="shared" si="232"/>
        <v>440.4</v>
      </c>
      <c r="I386" s="142">
        <f t="shared" si="232"/>
        <v>81</v>
      </c>
      <c r="J386" s="48" t="s">
        <v>106</v>
      </c>
      <c r="K386" s="142" t="s">
        <v>23</v>
      </c>
      <c r="L386" s="142">
        <f>AVERAGE(L222:L226)</f>
        <v>31283.8</v>
      </c>
      <c r="N386" s="142" t="str">
        <f t="shared" ref="N386:W386" si="233">N222</f>
        <v>-</v>
      </c>
      <c r="O386" s="142" t="str">
        <f t="shared" si="233"/>
        <v>-</v>
      </c>
      <c r="P386" s="142">
        <f>AVERAGE(P222:P226)</f>
        <v>4</v>
      </c>
      <c r="Q386" s="142">
        <f>AVERAGE(Q222:Q226)</f>
        <v>82</v>
      </c>
      <c r="R386" s="142">
        <f>AVERAGE(R222:R226)</f>
        <v>40</v>
      </c>
      <c r="S386" s="142">
        <f>AVERAGE(S222:S226)</f>
        <v>34</v>
      </c>
      <c r="T386" s="142" t="str">
        <f t="shared" si="233"/>
        <v>-</v>
      </c>
      <c r="U386" s="142" t="str">
        <f t="shared" si="233"/>
        <v>-</v>
      </c>
      <c r="V386" s="142" t="str">
        <f t="shared" si="233"/>
        <v>-</v>
      </c>
      <c r="W386" s="142" t="str">
        <f t="shared" si="233"/>
        <v>-</v>
      </c>
      <c r="X386" s="142">
        <f>AVERAGE(X222:X226)</f>
        <v>124</v>
      </c>
    </row>
    <row r="387" spans="1:24">
      <c r="A387" s="99" t="s">
        <v>315</v>
      </c>
      <c r="B387" s="142" t="str">
        <f>B227</f>
        <v>-</v>
      </c>
      <c r="C387" s="142" t="str">
        <f>C227</f>
        <v>-</v>
      </c>
      <c r="D387" s="142">
        <f>AVERAGE(D227:D231)</f>
        <v>4565.333333333333</v>
      </c>
      <c r="E387" s="142">
        <f t="shared" ref="E387:L387" si="234">AVERAGE(E227:E231)</f>
        <v>942</v>
      </c>
      <c r="F387" s="142">
        <f t="shared" si="234"/>
        <v>1140.3333333333333</v>
      </c>
      <c r="G387" s="142">
        <f t="shared" si="234"/>
        <v>987</v>
      </c>
      <c r="H387" s="142">
        <f t="shared" si="234"/>
        <v>166.66666666666666</v>
      </c>
      <c r="I387" s="142">
        <f t="shared" si="234"/>
        <v>40.666666666666664</v>
      </c>
      <c r="J387" s="142">
        <v>0</v>
      </c>
      <c r="K387" s="142" t="str">
        <f>K227</f>
        <v>-</v>
      </c>
      <c r="L387" s="142">
        <f t="shared" si="234"/>
        <v>7842</v>
      </c>
      <c r="N387" s="142" t="str">
        <f t="shared" ref="N387:O387" si="235">N227</f>
        <v>-</v>
      </c>
      <c r="O387" s="142" t="str">
        <f t="shared" si="235"/>
        <v>-</v>
      </c>
      <c r="P387" s="142">
        <f t="shared" ref="P387:S387" si="236">AVERAGE(P227:P231)</f>
        <v>8</v>
      </c>
      <c r="Q387" s="142">
        <f t="shared" si="236"/>
        <v>24</v>
      </c>
      <c r="R387" s="142">
        <f t="shared" si="236"/>
        <v>136.5</v>
      </c>
      <c r="S387" s="142">
        <f t="shared" si="236"/>
        <v>62.5</v>
      </c>
      <c r="U387" s="142" t="str">
        <f t="shared" ref="U387:W387" si="237">U227</f>
        <v>-</v>
      </c>
      <c r="V387" s="142" t="str">
        <f t="shared" si="237"/>
        <v>-</v>
      </c>
      <c r="W387" s="142" t="str">
        <f t="shared" si="237"/>
        <v>-</v>
      </c>
      <c r="X387" s="142">
        <f t="shared" ref="X387" si="238">AVERAGE(X227:X231)</f>
        <v>155.33333333333334</v>
      </c>
    </row>
    <row r="388" spans="1:24">
      <c r="A388" s="99">
        <v>2011</v>
      </c>
      <c r="B388" s="142" t="str">
        <f t="shared" ref="B388:L388" si="239">B232</f>
        <v>-</v>
      </c>
      <c r="C388" s="142" t="str">
        <f t="shared" si="239"/>
        <v>-</v>
      </c>
      <c r="D388" s="142">
        <f t="shared" si="239"/>
        <v>4210</v>
      </c>
      <c r="E388" s="142">
        <f t="shared" si="239"/>
        <v>280</v>
      </c>
      <c r="F388" s="142">
        <f t="shared" si="239"/>
        <v>1170</v>
      </c>
      <c r="G388" s="142">
        <f t="shared" si="239"/>
        <v>3998</v>
      </c>
      <c r="H388" s="142">
        <f t="shared" si="239"/>
        <v>2369</v>
      </c>
      <c r="I388" s="142">
        <f t="shared" si="239"/>
        <v>676</v>
      </c>
      <c r="J388" s="142" t="str">
        <f t="shared" si="239"/>
        <v>-</v>
      </c>
      <c r="K388" s="142" t="str">
        <f t="shared" si="239"/>
        <v>-</v>
      </c>
      <c r="L388" s="142">
        <f t="shared" si="239"/>
        <v>12703</v>
      </c>
      <c r="N388" s="142" t="str">
        <f t="shared" ref="N388:X388" si="240">N232</f>
        <v>-</v>
      </c>
      <c r="O388" s="142" t="str">
        <f t="shared" si="240"/>
        <v>-</v>
      </c>
      <c r="P388" s="142">
        <f t="shared" si="240"/>
        <v>8</v>
      </c>
      <c r="Q388" s="142">
        <f t="shared" si="240"/>
        <v>10</v>
      </c>
      <c r="R388" s="142">
        <f t="shared" si="240"/>
        <v>27</v>
      </c>
      <c r="S388" s="142">
        <f t="shared" si="240"/>
        <v>7</v>
      </c>
      <c r="T388" s="142">
        <f t="shared" si="240"/>
        <v>13</v>
      </c>
      <c r="U388" s="142" t="str">
        <f t="shared" si="240"/>
        <v>-</v>
      </c>
      <c r="V388" s="142" t="str">
        <f t="shared" si="240"/>
        <v>-</v>
      </c>
      <c r="W388" s="142" t="str">
        <f t="shared" si="240"/>
        <v>-</v>
      </c>
      <c r="X388" s="142">
        <f t="shared" si="240"/>
        <v>65</v>
      </c>
    </row>
    <row r="389" spans="1:24">
      <c r="A389" s="99">
        <v>2012</v>
      </c>
      <c r="B389" s="142" t="str">
        <f t="shared" ref="B389:L389" si="241">B233</f>
        <v>-</v>
      </c>
      <c r="C389" s="142" t="str">
        <f t="shared" si="241"/>
        <v>-</v>
      </c>
      <c r="D389" s="142">
        <f t="shared" si="241"/>
        <v>14535</v>
      </c>
      <c r="E389" s="142">
        <f t="shared" si="241"/>
        <v>4473</v>
      </c>
      <c r="F389" s="142">
        <f t="shared" si="241"/>
        <v>4376</v>
      </c>
      <c r="G389" s="142">
        <f t="shared" si="241"/>
        <v>6268</v>
      </c>
      <c r="H389" s="142">
        <f t="shared" si="241"/>
        <v>462</v>
      </c>
      <c r="I389" s="142">
        <f t="shared" si="241"/>
        <v>121</v>
      </c>
      <c r="J389" s="142">
        <f t="shared" si="241"/>
        <v>129</v>
      </c>
      <c r="K389" s="142" t="str">
        <f t="shared" si="241"/>
        <v>-</v>
      </c>
      <c r="L389" s="142">
        <f t="shared" si="241"/>
        <v>30364</v>
      </c>
      <c r="N389" s="142" t="str">
        <f t="shared" ref="N389:X389" si="242">N233</f>
        <v>-</v>
      </c>
      <c r="O389" s="142" t="str">
        <f t="shared" si="242"/>
        <v>-</v>
      </c>
      <c r="P389" s="142" t="str">
        <f t="shared" si="242"/>
        <v>-</v>
      </c>
      <c r="Q389" s="142" t="str">
        <f t="shared" si="242"/>
        <v>-</v>
      </c>
      <c r="R389" s="142">
        <f t="shared" si="242"/>
        <v>1</v>
      </c>
      <c r="S389" s="142" t="str">
        <f t="shared" si="242"/>
        <v>-</v>
      </c>
      <c r="T389" s="142" t="str">
        <f t="shared" si="242"/>
        <v>-</v>
      </c>
      <c r="U389" s="142" t="str">
        <f t="shared" si="242"/>
        <v>-</v>
      </c>
      <c r="V389" s="142" t="str">
        <f t="shared" si="242"/>
        <v>-</v>
      </c>
      <c r="W389" s="142" t="str">
        <f t="shared" si="242"/>
        <v>-</v>
      </c>
      <c r="X389" s="142">
        <f t="shared" si="242"/>
        <v>1</v>
      </c>
    </row>
    <row r="390" spans="1:24">
      <c r="A390" s="99">
        <v>2013</v>
      </c>
      <c r="B390" s="142" t="str">
        <f t="shared" ref="B390:L390" si="243">B234</f>
        <v>-</v>
      </c>
      <c r="C390" s="142" t="str">
        <f t="shared" si="243"/>
        <v>-</v>
      </c>
      <c r="D390" s="142">
        <f t="shared" si="243"/>
        <v>5225</v>
      </c>
      <c r="E390" s="142">
        <f t="shared" si="243"/>
        <v>1624</v>
      </c>
      <c r="F390" s="142">
        <f t="shared" si="243"/>
        <v>1066</v>
      </c>
      <c r="G390" s="142">
        <f t="shared" si="243"/>
        <v>2261</v>
      </c>
      <c r="H390" s="142">
        <f t="shared" si="243"/>
        <v>440</v>
      </c>
      <c r="I390" s="142">
        <f t="shared" si="243"/>
        <v>18</v>
      </c>
      <c r="J390" s="142">
        <f t="shared" si="243"/>
        <v>0</v>
      </c>
      <c r="K390" s="142" t="str">
        <f t="shared" si="243"/>
        <v>-</v>
      </c>
      <c r="L390" s="142">
        <f t="shared" si="243"/>
        <v>10634</v>
      </c>
      <c r="N390" s="142" t="str">
        <f t="shared" ref="N390:X390" si="244">N234</f>
        <v>-</v>
      </c>
      <c r="O390" s="142" t="str">
        <f t="shared" si="244"/>
        <v>-</v>
      </c>
      <c r="P390" s="142" t="str">
        <f t="shared" si="244"/>
        <v>-</v>
      </c>
      <c r="Q390" s="142" t="str">
        <f t="shared" si="244"/>
        <v>-</v>
      </c>
      <c r="R390" s="142">
        <f t="shared" si="244"/>
        <v>1</v>
      </c>
      <c r="S390" s="142">
        <f t="shared" si="244"/>
        <v>4</v>
      </c>
      <c r="T390" s="142" t="str">
        <f t="shared" si="244"/>
        <v>-</v>
      </c>
      <c r="U390" s="142" t="str">
        <f t="shared" si="244"/>
        <v>-</v>
      </c>
      <c r="V390" s="142" t="str">
        <f t="shared" si="244"/>
        <v>-</v>
      </c>
      <c r="W390" s="142" t="str">
        <f t="shared" si="244"/>
        <v>-</v>
      </c>
      <c r="X390" s="142">
        <f t="shared" si="244"/>
        <v>5</v>
      </c>
    </row>
    <row r="391" spans="1:24">
      <c r="A391" s="99">
        <v>2014</v>
      </c>
      <c r="B391" s="142" t="str">
        <f t="shared" ref="B391:L391" si="245">B235</f>
        <v>-</v>
      </c>
      <c r="C391" s="142" t="str">
        <f t="shared" si="245"/>
        <v>-</v>
      </c>
      <c r="D391" s="142">
        <f t="shared" si="245"/>
        <v>11356</v>
      </c>
      <c r="E391" s="142">
        <f t="shared" si="245"/>
        <v>964</v>
      </c>
      <c r="F391" s="142">
        <f t="shared" si="245"/>
        <v>782</v>
      </c>
      <c r="G391" s="142">
        <f t="shared" si="245"/>
        <v>613</v>
      </c>
      <c r="H391" s="142">
        <f t="shared" si="245"/>
        <v>267</v>
      </c>
      <c r="I391" s="142">
        <f t="shared" si="245"/>
        <v>34</v>
      </c>
      <c r="J391" s="142">
        <f t="shared" si="245"/>
        <v>4</v>
      </c>
      <c r="K391" s="142" t="str">
        <f t="shared" si="245"/>
        <v>-</v>
      </c>
      <c r="L391" s="142">
        <f t="shared" si="245"/>
        <v>14020</v>
      </c>
      <c r="N391" s="142" t="str">
        <f t="shared" ref="N391:X391" si="246">N235</f>
        <v>-</v>
      </c>
      <c r="O391" s="142" t="str">
        <f t="shared" si="246"/>
        <v>-</v>
      </c>
      <c r="P391" s="142" t="str">
        <f t="shared" si="246"/>
        <v>-</v>
      </c>
      <c r="Q391" s="142" t="str">
        <f t="shared" si="246"/>
        <v>-</v>
      </c>
      <c r="R391" s="142">
        <f t="shared" si="246"/>
        <v>12</v>
      </c>
      <c r="S391" s="142" t="str">
        <f t="shared" si="246"/>
        <v>-</v>
      </c>
      <c r="T391" s="142" t="str">
        <f t="shared" si="246"/>
        <v>-</v>
      </c>
      <c r="U391" s="142" t="str">
        <f t="shared" si="246"/>
        <v>-</v>
      </c>
      <c r="V391" s="142" t="str">
        <f t="shared" si="246"/>
        <v>-</v>
      </c>
      <c r="W391" s="142" t="str">
        <f t="shared" si="246"/>
        <v>-</v>
      </c>
      <c r="X391" s="142">
        <f t="shared" si="246"/>
        <v>12</v>
      </c>
    </row>
    <row r="392" spans="1:24">
      <c r="A392" s="99">
        <v>2015</v>
      </c>
      <c r="B392" s="142" t="str">
        <f t="shared" ref="B392:L392" si="247">B236</f>
        <v>-</v>
      </c>
      <c r="C392" s="142" t="str">
        <f t="shared" si="247"/>
        <v>-</v>
      </c>
      <c r="D392" s="142">
        <f t="shared" si="247"/>
        <v>1697</v>
      </c>
      <c r="E392" s="142">
        <f t="shared" si="247"/>
        <v>490</v>
      </c>
      <c r="F392" s="142">
        <f t="shared" si="247"/>
        <v>543</v>
      </c>
      <c r="G392" s="142">
        <f t="shared" si="247"/>
        <v>313</v>
      </c>
      <c r="H392" s="142">
        <f t="shared" si="247"/>
        <v>27</v>
      </c>
      <c r="I392" s="142">
        <f t="shared" si="247"/>
        <v>0</v>
      </c>
      <c r="J392" s="142" t="str">
        <f t="shared" si="247"/>
        <v>-</v>
      </c>
      <c r="K392" s="142" t="str">
        <f t="shared" si="247"/>
        <v>-</v>
      </c>
      <c r="L392" s="142">
        <f t="shared" si="247"/>
        <v>3070</v>
      </c>
      <c r="N392" s="142" t="str">
        <f t="shared" ref="N392:X392" si="248">N236</f>
        <v>-</v>
      </c>
      <c r="O392" s="142" t="str">
        <f t="shared" si="248"/>
        <v>-</v>
      </c>
      <c r="P392" s="142" t="str">
        <f t="shared" si="248"/>
        <v>-</v>
      </c>
      <c r="Q392" s="142" t="str">
        <f t="shared" si="248"/>
        <v>-</v>
      </c>
      <c r="R392" s="142" t="str">
        <f t="shared" si="248"/>
        <v>-</v>
      </c>
      <c r="S392" s="142" t="str">
        <f t="shared" si="248"/>
        <v>-</v>
      </c>
      <c r="T392" s="142" t="str">
        <f t="shared" si="248"/>
        <v>-</v>
      </c>
      <c r="U392" s="142" t="str">
        <f t="shared" si="248"/>
        <v>-</v>
      </c>
      <c r="V392" s="142" t="str">
        <f t="shared" si="248"/>
        <v>-</v>
      </c>
      <c r="W392" s="142" t="str">
        <f t="shared" si="248"/>
        <v>-</v>
      </c>
      <c r="X392" s="142" t="str">
        <f t="shared" si="248"/>
        <v>-</v>
      </c>
    </row>
    <row r="393" spans="1:24">
      <c r="A393" s="99">
        <v>2016</v>
      </c>
      <c r="B393" s="142" t="str">
        <f t="shared" ref="B393:L393" si="249">B237</f>
        <v>-</v>
      </c>
      <c r="C393" s="142" t="str">
        <f t="shared" si="249"/>
        <v>-</v>
      </c>
      <c r="D393" s="142">
        <f t="shared" si="249"/>
        <v>716</v>
      </c>
      <c r="E393" s="142">
        <f t="shared" si="249"/>
        <v>572</v>
      </c>
      <c r="F393" s="142">
        <f t="shared" si="249"/>
        <v>47</v>
      </c>
      <c r="G393" s="142">
        <f t="shared" si="249"/>
        <v>0</v>
      </c>
      <c r="H393" s="142" t="str">
        <f t="shared" si="249"/>
        <v>-</v>
      </c>
      <c r="I393" s="142" t="str">
        <f t="shared" si="249"/>
        <v>-</v>
      </c>
      <c r="J393" s="142" t="str">
        <f t="shared" si="249"/>
        <v>-</v>
      </c>
      <c r="K393" s="142" t="str">
        <f t="shared" si="249"/>
        <v>-</v>
      </c>
      <c r="L393" s="142">
        <f t="shared" si="249"/>
        <v>1335</v>
      </c>
      <c r="N393" s="142" t="str">
        <f t="shared" ref="N393:X393" si="250">N237</f>
        <v>-</v>
      </c>
      <c r="O393" s="142" t="str">
        <f t="shared" si="250"/>
        <v>-</v>
      </c>
      <c r="P393" s="142" t="str">
        <f t="shared" si="250"/>
        <v>-</v>
      </c>
      <c r="Q393" s="142" t="str">
        <f t="shared" si="250"/>
        <v>-</v>
      </c>
      <c r="R393" s="142" t="str">
        <f t="shared" si="250"/>
        <v>-</v>
      </c>
      <c r="S393" s="142" t="str">
        <f t="shared" si="250"/>
        <v>-</v>
      </c>
      <c r="T393" s="142" t="str">
        <f t="shared" si="250"/>
        <v>-</v>
      </c>
      <c r="U393" s="142" t="str">
        <f t="shared" si="250"/>
        <v>-</v>
      </c>
      <c r="V393" s="142" t="str">
        <f t="shared" si="250"/>
        <v>-</v>
      </c>
      <c r="W393" s="142" t="str">
        <f t="shared" si="250"/>
        <v>-</v>
      </c>
      <c r="X393" s="142" t="str">
        <f t="shared" si="250"/>
        <v>-</v>
      </c>
    </row>
    <row r="394" spans="1:24">
      <c r="A394" s="99">
        <v>2017</v>
      </c>
      <c r="B394" s="142" t="str">
        <f t="shared" ref="B394:L394" si="251">B238</f>
        <v>-</v>
      </c>
      <c r="C394" s="142" t="str">
        <f t="shared" si="251"/>
        <v>-</v>
      </c>
      <c r="D394" s="142">
        <f t="shared" si="251"/>
        <v>3878</v>
      </c>
      <c r="E394" s="142">
        <f t="shared" si="251"/>
        <v>449</v>
      </c>
      <c r="F394" s="142">
        <f t="shared" si="251"/>
        <v>192</v>
      </c>
      <c r="G394" s="142">
        <f t="shared" si="251"/>
        <v>2035</v>
      </c>
      <c r="H394" s="142" t="str">
        <f t="shared" si="251"/>
        <v>-</v>
      </c>
      <c r="I394" s="142" t="str">
        <f t="shared" si="251"/>
        <v>-</v>
      </c>
      <c r="J394" s="142" t="str">
        <f t="shared" si="251"/>
        <v>-</v>
      </c>
      <c r="K394" s="142" t="str">
        <f t="shared" si="251"/>
        <v>-</v>
      </c>
      <c r="L394" s="142">
        <f t="shared" si="251"/>
        <v>6554</v>
      </c>
      <c r="N394" s="142" t="str">
        <f t="shared" ref="N394:X394" si="252">N238</f>
        <v>-</v>
      </c>
      <c r="O394" s="142" t="str">
        <f t="shared" si="252"/>
        <v>-</v>
      </c>
      <c r="P394" s="142" t="str">
        <f t="shared" si="252"/>
        <v>-</v>
      </c>
      <c r="Q394" s="142" t="str">
        <f t="shared" si="252"/>
        <v>-</v>
      </c>
      <c r="R394" s="142" t="str">
        <f t="shared" si="252"/>
        <v>-</v>
      </c>
      <c r="S394" s="142">
        <f t="shared" si="252"/>
        <v>96</v>
      </c>
      <c r="T394" s="142" t="str">
        <f t="shared" si="252"/>
        <v>-</v>
      </c>
      <c r="U394" s="142" t="str">
        <f t="shared" si="252"/>
        <v>-</v>
      </c>
      <c r="V394" s="142" t="str">
        <f t="shared" si="252"/>
        <v>-</v>
      </c>
      <c r="W394" s="142" t="str">
        <f t="shared" si="252"/>
        <v>-</v>
      </c>
      <c r="X394" s="142">
        <f t="shared" si="252"/>
        <v>96</v>
      </c>
    </row>
    <row r="395" spans="1:24">
      <c r="A395" s="99">
        <v>2018</v>
      </c>
      <c r="B395" s="142" t="str">
        <f t="shared" ref="B395:L395" si="253">B239</f>
        <v>-</v>
      </c>
      <c r="C395" s="142" t="str">
        <f t="shared" si="253"/>
        <v>-</v>
      </c>
      <c r="D395" s="142">
        <f t="shared" si="253"/>
        <v>3935</v>
      </c>
      <c r="E395" s="142">
        <f t="shared" si="253"/>
        <v>476</v>
      </c>
      <c r="F395" s="142">
        <f t="shared" si="253"/>
        <v>1157</v>
      </c>
      <c r="G395" s="142">
        <f t="shared" si="253"/>
        <v>123</v>
      </c>
      <c r="H395" s="142" t="str">
        <f t="shared" si="253"/>
        <v>-</v>
      </c>
      <c r="I395" s="142" t="str">
        <f t="shared" si="253"/>
        <v>-</v>
      </c>
      <c r="J395" s="142" t="str">
        <f t="shared" si="253"/>
        <v>-</v>
      </c>
      <c r="K395" s="142" t="str">
        <f t="shared" si="253"/>
        <v>-</v>
      </c>
      <c r="L395" s="142">
        <f t="shared" si="253"/>
        <v>5691</v>
      </c>
      <c r="N395" s="142" t="str">
        <f t="shared" ref="N395:X395" si="254">N239</f>
        <v>-</v>
      </c>
      <c r="O395" s="142" t="str">
        <f t="shared" si="254"/>
        <v>-</v>
      </c>
      <c r="P395" s="142" t="str">
        <f t="shared" si="254"/>
        <v>-</v>
      </c>
      <c r="Q395" s="142" t="str">
        <f t="shared" si="254"/>
        <v>-</v>
      </c>
      <c r="R395" s="142" t="str">
        <f t="shared" si="254"/>
        <v>-</v>
      </c>
      <c r="S395" s="142" t="str">
        <f t="shared" si="254"/>
        <v>-</v>
      </c>
      <c r="T395" s="142" t="str">
        <f t="shared" si="254"/>
        <v>-</v>
      </c>
      <c r="U395" s="142" t="str">
        <f t="shared" si="254"/>
        <v>-</v>
      </c>
      <c r="V395" s="142" t="str">
        <f t="shared" si="254"/>
        <v>-</v>
      </c>
      <c r="W395" s="142" t="str">
        <f t="shared" si="254"/>
        <v>-</v>
      </c>
      <c r="X395" s="142" t="str">
        <f t="shared" si="254"/>
        <v>-</v>
      </c>
    </row>
    <row r="396" spans="1:24">
      <c r="A396" s="239">
        <v>2019</v>
      </c>
      <c r="B396" s="142" t="str">
        <f t="shared" ref="B396:L396" si="255">B240</f>
        <v>-</v>
      </c>
      <c r="C396" s="142" t="str">
        <f t="shared" si="255"/>
        <v>-</v>
      </c>
      <c r="D396" s="142">
        <f t="shared" si="255"/>
        <v>13592</v>
      </c>
      <c r="E396" s="142">
        <f t="shared" si="255"/>
        <v>1437</v>
      </c>
      <c r="F396" s="142">
        <f t="shared" si="255"/>
        <v>2159</v>
      </c>
      <c r="G396" s="142">
        <f t="shared" si="255"/>
        <v>2636</v>
      </c>
      <c r="H396" s="142">
        <f t="shared" si="255"/>
        <v>3279</v>
      </c>
      <c r="I396" s="142" t="str">
        <f t="shared" si="255"/>
        <v>-</v>
      </c>
      <c r="J396" s="142" t="str">
        <f t="shared" si="255"/>
        <v>-</v>
      </c>
      <c r="K396" s="142" t="str">
        <f t="shared" si="255"/>
        <v>-</v>
      </c>
      <c r="L396" s="142">
        <f t="shared" si="255"/>
        <v>23103</v>
      </c>
      <c r="N396" s="142" t="str">
        <f t="shared" ref="N396:X396" si="256">N240</f>
        <v>-</v>
      </c>
      <c r="O396" s="142" t="str">
        <f t="shared" si="256"/>
        <v>-</v>
      </c>
      <c r="P396" s="142" t="str">
        <f t="shared" si="256"/>
        <v>-</v>
      </c>
      <c r="Q396" s="142" t="str">
        <f t="shared" si="256"/>
        <v>-</v>
      </c>
      <c r="R396" s="142">
        <f t="shared" si="256"/>
        <v>2</v>
      </c>
      <c r="S396" s="142">
        <f t="shared" si="256"/>
        <v>26</v>
      </c>
      <c r="T396" s="142" t="str">
        <f t="shared" si="256"/>
        <v>-</v>
      </c>
      <c r="U396" s="142" t="str">
        <f t="shared" si="256"/>
        <v>-</v>
      </c>
      <c r="V396" s="142" t="str">
        <f t="shared" si="256"/>
        <v>-</v>
      </c>
      <c r="W396" s="142" t="str">
        <f t="shared" si="256"/>
        <v>-</v>
      </c>
      <c r="X396" s="142">
        <f t="shared" si="256"/>
        <v>28</v>
      </c>
    </row>
    <row r="397" spans="1:24" ht="13">
      <c r="A397" s="239" t="s">
        <v>343</v>
      </c>
      <c r="B397" s="142" t="str">
        <f t="shared" ref="B397:L398" si="257">B241</f>
        <v>-</v>
      </c>
      <c r="C397" s="142" t="str">
        <f t="shared" si="257"/>
        <v>-</v>
      </c>
      <c r="D397" s="142" t="str">
        <f t="shared" si="257"/>
        <v>-</v>
      </c>
      <c r="E397" s="142" t="str">
        <f t="shared" si="257"/>
        <v>--</v>
      </c>
      <c r="F397" s="142" t="str">
        <f t="shared" si="257"/>
        <v>--</v>
      </c>
      <c r="G397" s="142">
        <f t="shared" si="257"/>
        <v>1242</v>
      </c>
      <c r="H397" s="142">
        <f t="shared" si="257"/>
        <v>33</v>
      </c>
      <c r="I397" s="142">
        <f t="shared" si="257"/>
        <v>18</v>
      </c>
      <c r="J397" s="142">
        <f t="shared" si="257"/>
        <v>0</v>
      </c>
      <c r="K397" s="142" t="str">
        <f t="shared" si="257"/>
        <v>-</v>
      </c>
      <c r="L397" s="142">
        <f t="shared" si="257"/>
        <v>1293</v>
      </c>
      <c r="N397" s="142" t="str">
        <f t="shared" ref="N397:X398" si="258">N241</f>
        <v>-</v>
      </c>
      <c r="O397" s="142" t="str">
        <f t="shared" si="258"/>
        <v>-</v>
      </c>
      <c r="P397" s="142" t="str">
        <f t="shared" si="258"/>
        <v>-</v>
      </c>
      <c r="Q397" s="142" t="str">
        <f t="shared" si="258"/>
        <v>-</v>
      </c>
      <c r="R397" s="142" t="str">
        <f t="shared" si="258"/>
        <v>-</v>
      </c>
      <c r="S397" s="142" t="str">
        <f t="shared" si="258"/>
        <v>-</v>
      </c>
      <c r="T397" s="142" t="str">
        <f t="shared" si="258"/>
        <v>-</v>
      </c>
      <c r="U397" s="142" t="str">
        <f t="shared" si="258"/>
        <v>-</v>
      </c>
      <c r="V397" s="142" t="str">
        <f t="shared" si="258"/>
        <v>-</v>
      </c>
      <c r="W397" s="142" t="str">
        <f t="shared" si="258"/>
        <v>-</v>
      </c>
      <c r="X397" s="142" t="str">
        <f t="shared" si="258"/>
        <v>-</v>
      </c>
    </row>
    <row r="398" spans="1:24" ht="13">
      <c r="A398" s="239" t="s">
        <v>317</v>
      </c>
      <c r="B398" s="142" t="str">
        <f t="shared" si="257"/>
        <v>-</v>
      </c>
      <c r="C398" s="142" t="str">
        <f t="shared" si="257"/>
        <v>-</v>
      </c>
      <c r="D398" s="142">
        <f t="shared" si="257"/>
        <v>7626</v>
      </c>
      <c r="E398" s="142">
        <f t="shared" si="257"/>
        <v>4184</v>
      </c>
      <c r="F398" s="142">
        <f t="shared" si="257"/>
        <v>3196</v>
      </c>
      <c r="G398" s="142">
        <f t="shared" si="257"/>
        <v>1710</v>
      </c>
      <c r="H398" s="142">
        <f t="shared" si="257"/>
        <v>177</v>
      </c>
      <c r="I398" s="142">
        <f t="shared" si="257"/>
        <v>57</v>
      </c>
      <c r="J398" s="142" t="str">
        <f t="shared" si="257"/>
        <v>-</v>
      </c>
      <c r="K398" s="142" t="str">
        <f t="shared" si="257"/>
        <v>-</v>
      </c>
      <c r="L398" s="142">
        <f t="shared" si="257"/>
        <v>16950</v>
      </c>
      <c r="N398" s="142" t="str">
        <f t="shared" si="258"/>
        <v>-</v>
      </c>
      <c r="O398" s="142" t="str">
        <f t="shared" si="258"/>
        <v>-</v>
      </c>
      <c r="P398" s="142" t="str">
        <f t="shared" si="258"/>
        <v>-</v>
      </c>
      <c r="Q398" s="142">
        <f t="shared" si="258"/>
        <v>210</v>
      </c>
      <c r="R398" s="142">
        <f t="shared" si="258"/>
        <v>54</v>
      </c>
      <c r="S398" s="142">
        <f t="shared" si="258"/>
        <v>12</v>
      </c>
      <c r="T398" s="142" t="str">
        <f t="shared" si="258"/>
        <v>-</v>
      </c>
      <c r="U398" s="142" t="str">
        <f t="shared" si="258"/>
        <v>-</v>
      </c>
      <c r="V398" s="142" t="str">
        <f t="shared" si="258"/>
        <v>-</v>
      </c>
      <c r="W398" s="142" t="str">
        <f t="shared" si="258"/>
        <v>-</v>
      </c>
      <c r="X398" s="142">
        <f t="shared" si="258"/>
        <v>276</v>
      </c>
    </row>
    <row r="400" spans="1:24">
      <c r="A400" s="248" t="str">
        <f>A244</f>
        <v>Total Statewide</v>
      </c>
    </row>
    <row r="401" spans="1:24">
      <c r="A401" s="99" t="s">
        <v>78</v>
      </c>
      <c r="B401" s="142">
        <f t="shared" ref="B401:L401" si="259">AVERAGE(B255:B259)</f>
        <v>5630.2</v>
      </c>
      <c r="C401" s="142">
        <f t="shared" si="259"/>
        <v>15288.4</v>
      </c>
      <c r="D401" s="142">
        <f t="shared" si="259"/>
        <v>26364.6</v>
      </c>
      <c r="E401" s="142">
        <f t="shared" si="259"/>
        <v>11404</v>
      </c>
      <c r="F401" s="142">
        <f t="shared" si="259"/>
        <v>28401.8</v>
      </c>
      <c r="G401" s="142">
        <f t="shared" si="259"/>
        <v>42902.400000000001</v>
      </c>
      <c r="H401" s="142">
        <f t="shared" si="259"/>
        <v>22512</v>
      </c>
      <c r="I401" s="142">
        <f t="shared" si="259"/>
        <v>8333.4</v>
      </c>
      <c r="J401" s="142">
        <f t="shared" si="259"/>
        <v>4239.6000000000004</v>
      </c>
      <c r="K401" s="142">
        <f t="shared" si="259"/>
        <v>1318.8</v>
      </c>
      <c r="L401" s="142">
        <f t="shared" si="259"/>
        <v>166395.20000000001</v>
      </c>
      <c r="N401" s="142">
        <f t="shared" ref="N401:X401" si="260">AVERAGE(N255:N259)</f>
        <v>0</v>
      </c>
      <c r="O401" s="142">
        <f t="shared" si="260"/>
        <v>0.6</v>
      </c>
      <c r="P401" s="142">
        <f t="shared" si="260"/>
        <v>56</v>
      </c>
      <c r="Q401" s="142">
        <f t="shared" si="260"/>
        <v>943</v>
      </c>
      <c r="R401" s="142">
        <f t="shared" si="260"/>
        <v>10412.200000000001</v>
      </c>
      <c r="S401" s="142">
        <f t="shared" si="260"/>
        <v>23259</v>
      </c>
      <c r="T401" s="142">
        <f t="shared" si="260"/>
        <v>5142</v>
      </c>
      <c r="U401" s="142">
        <f t="shared" si="260"/>
        <v>563</v>
      </c>
      <c r="V401" s="142">
        <f t="shared" si="260"/>
        <v>12.2</v>
      </c>
      <c r="W401" s="142">
        <f t="shared" si="260"/>
        <v>0</v>
      </c>
      <c r="X401" s="142">
        <f t="shared" si="260"/>
        <v>40388</v>
      </c>
    </row>
    <row r="402" spans="1:24">
      <c r="A402" s="99" t="s">
        <v>10</v>
      </c>
      <c r="B402" s="142">
        <f>AVERAGE(B260:B264)</f>
        <v>484.4</v>
      </c>
      <c r="C402" s="142">
        <f t="shared" ref="C402:L402" si="261">AVERAGE(C260:C264)</f>
        <v>11135.6</v>
      </c>
      <c r="D402" s="142">
        <f t="shared" si="261"/>
        <v>21563.8</v>
      </c>
      <c r="E402" s="142">
        <f t="shared" si="261"/>
        <v>17109.400000000001</v>
      </c>
      <c r="F402" s="142">
        <f t="shared" si="261"/>
        <v>31262.2</v>
      </c>
      <c r="G402" s="142">
        <f t="shared" si="261"/>
        <v>55610.400000000001</v>
      </c>
      <c r="H402" s="142">
        <f t="shared" si="261"/>
        <v>18628.2</v>
      </c>
      <c r="I402" s="142">
        <f t="shared" si="261"/>
        <v>9955.7999999999993</v>
      </c>
      <c r="J402" s="142">
        <f t="shared" si="261"/>
        <v>4450.8</v>
      </c>
      <c r="K402" s="142">
        <f t="shared" si="261"/>
        <v>238.5</v>
      </c>
      <c r="L402" s="142">
        <f t="shared" si="261"/>
        <v>170296</v>
      </c>
      <c r="N402" s="142">
        <f t="shared" ref="N402:X402" si="262">AVERAGE(N260:N264)</f>
        <v>0.2</v>
      </c>
      <c r="O402" s="142">
        <f t="shared" si="262"/>
        <v>9.4</v>
      </c>
      <c r="P402" s="142">
        <f t="shared" si="262"/>
        <v>23</v>
      </c>
      <c r="Q402" s="142">
        <f t="shared" si="262"/>
        <v>389</v>
      </c>
      <c r="R402" s="142">
        <f t="shared" si="262"/>
        <v>7597</v>
      </c>
      <c r="S402" s="142">
        <f t="shared" si="262"/>
        <v>11981.6</v>
      </c>
      <c r="T402" s="142">
        <f t="shared" si="262"/>
        <v>1717.2</v>
      </c>
      <c r="U402" s="142">
        <f t="shared" si="262"/>
        <v>656</v>
      </c>
      <c r="V402" s="142">
        <f t="shared" si="262"/>
        <v>25.2</v>
      </c>
      <c r="W402" s="142">
        <f t="shared" si="262"/>
        <v>0</v>
      </c>
      <c r="X402" s="142">
        <f t="shared" si="262"/>
        <v>22398.6</v>
      </c>
    </row>
    <row r="403" spans="1:24">
      <c r="A403" s="99" t="s">
        <v>144</v>
      </c>
      <c r="B403" s="142">
        <f>AVERAGE(B265:B269)</f>
        <v>5.5</v>
      </c>
      <c r="C403" s="142">
        <f t="shared" ref="C403:L403" si="263">AVERAGE(C265:C269)</f>
        <v>14184</v>
      </c>
      <c r="D403" s="142">
        <f t="shared" si="263"/>
        <v>23733.8</v>
      </c>
      <c r="E403" s="142">
        <f t="shared" si="263"/>
        <v>18567.400000000001</v>
      </c>
      <c r="F403" s="142">
        <f t="shared" si="263"/>
        <v>31845.8</v>
      </c>
      <c r="G403" s="142">
        <f t="shared" si="263"/>
        <v>42339.199999999997</v>
      </c>
      <c r="H403" s="142">
        <f t="shared" si="263"/>
        <v>20338.400000000001</v>
      </c>
      <c r="I403" s="142">
        <f t="shared" si="263"/>
        <v>6198.2</v>
      </c>
      <c r="J403" s="142">
        <f t="shared" si="263"/>
        <v>2977</v>
      </c>
      <c r="K403" s="142">
        <f t="shared" si="263"/>
        <v>981.5</v>
      </c>
      <c r="L403" s="142">
        <f t="shared" si="263"/>
        <v>157741.79999999999</v>
      </c>
      <c r="N403" s="142" t="s">
        <v>23</v>
      </c>
      <c r="O403" s="142" t="s">
        <v>23</v>
      </c>
      <c r="P403" s="142">
        <f t="shared" ref="P403:V403" si="264">AVERAGE(P265:P269)</f>
        <v>3</v>
      </c>
      <c r="Q403" s="142">
        <f t="shared" si="264"/>
        <v>16</v>
      </c>
      <c r="R403" s="142">
        <f t="shared" si="264"/>
        <v>166.6</v>
      </c>
      <c r="S403" s="142">
        <f t="shared" si="264"/>
        <v>125.6</v>
      </c>
      <c r="T403" s="142">
        <f t="shared" si="264"/>
        <v>125</v>
      </c>
      <c r="U403" s="142">
        <f t="shared" si="264"/>
        <v>29.25</v>
      </c>
      <c r="V403" s="142">
        <f t="shared" si="264"/>
        <v>6</v>
      </c>
      <c r="W403" s="142" t="s">
        <v>23</v>
      </c>
      <c r="X403" s="142">
        <f>AVERAGE(X265:X269)</f>
        <v>452</v>
      </c>
    </row>
    <row r="404" spans="1:24">
      <c r="A404" s="99" t="s">
        <v>166</v>
      </c>
      <c r="B404" s="142">
        <f t="shared" ref="B404:L404" si="265">AVERAGE(B270:B274)</f>
        <v>196</v>
      </c>
      <c r="C404" s="142">
        <f t="shared" si="265"/>
        <v>1766.8</v>
      </c>
      <c r="D404" s="142">
        <f t="shared" si="265"/>
        <v>22222.400000000001</v>
      </c>
      <c r="E404" s="142">
        <f t="shared" si="265"/>
        <v>19904.8</v>
      </c>
      <c r="F404" s="142">
        <f t="shared" si="265"/>
        <v>28732.2</v>
      </c>
      <c r="G404" s="142">
        <f t="shared" si="265"/>
        <v>44018.6</v>
      </c>
      <c r="H404" s="142">
        <f t="shared" si="265"/>
        <v>19881.599999999999</v>
      </c>
      <c r="I404" s="142">
        <f t="shared" si="265"/>
        <v>8647.7999999999993</v>
      </c>
      <c r="J404" s="142">
        <f t="shared" si="265"/>
        <v>2248</v>
      </c>
      <c r="K404" s="142">
        <f t="shared" si="265"/>
        <v>395.4</v>
      </c>
      <c r="L404" s="142">
        <f t="shared" si="265"/>
        <v>147974.39999999999</v>
      </c>
      <c r="N404" s="142" t="str">
        <f>N270</f>
        <v>-</v>
      </c>
      <c r="O404" s="142" t="str">
        <f>O270</f>
        <v>-</v>
      </c>
      <c r="P404" s="142">
        <f t="shared" ref="P404:U404" si="266">AVERAGE(P270:P274)</f>
        <v>3</v>
      </c>
      <c r="Q404" s="142">
        <f t="shared" si="266"/>
        <v>170.8</v>
      </c>
      <c r="R404" s="142">
        <f t="shared" si="266"/>
        <v>280.39999999999998</v>
      </c>
      <c r="S404" s="142">
        <f t="shared" si="266"/>
        <v>379.4</v>
      </c>
      <c r="T404" s="142">
        <f t="shared" si="266"/>
        <v>122</v>
      </c>
      <c r="U404" s="142">
        <f t="shared" si="266"/>
        <v>31</v>
      </c>
      <c r="V404" s="142" t="str">
        <f>V270</f>
        <v>-</v>
      </c>
      <c r="W404" s="142" t="str">
        <f>W270</f>
        <v>-</v>
      </c>
      <c r="X404" s="142">
        <f>AVERAGE(X270:X274)</f>
        <v>978.6</v>
      </c>
    </row>
    <row r="405" spans="1:24">
      <c r="A405" s="99" t="s">
        <v>315</v>
      </c>
      <c r="B405" s="142">
        <f>AVERAGE(B275:B279)</f>
        <v>34.333333333333336</v>
      </c>
      <c r="C405" s="142">
        <f t="shared" ref="C405:L405" si="267">AVERAGE(C275:C279)</f>
        <v>105</v>
      </c>
      <c r="D405" s="142">
        <f t="shared" si="267"/>
        <v>5941.666666666667</v>
      </c>
      <c r="E405" s="142">
        <f t="shared" si="267"/>
        <v>9486</v>
      </c>
      <c r="F405" s="142">
        <f t="shared" si="267"/>
        <v>14811.333333333334</v>
      </c>
      <c r="G405" s="142">
        <f t="shared" si="267"/>
        <v>14852</v>
      </c>
      <c r="H405" s="142">
        <f t="shared" si="267"/>
        <v>3710.75</v>
      </c>
      <c r="I405" s="142">
        <f t="shared" si="267"/>
        <v>1965</v>
      </c>
      <c r="J405" s="142">
        <f t="shared" si="267"/>
        <v>348.5</v>
      </c>
      <c r="K405" s="142">
        <f t="shared" si="267"/>
        <v>196</v>
      </c>
      <c r="L405" s="142">
        <f t="shared" si="267"/>
        <v>31896.6</v>
      </c>
      <c r="N405" s="142" t="str">
        <f>N275</f>
        <v>-</v>
      </c>
      <c r="O405" s="142" t="str">
        <f>O275</f>
        <v>-</v>
      </c>
      <c r="P405" s="142">
        <f t="shared" ref="P405:U405" si="268">AVERAGE(P275:P279)</f>
        <v>8</v>
      </c>
      <c r="Q405" s="142">
        <f t="shared" si="268"/>
        <v>86.333333333333329</v>
      </c>
      <c r="R405" s="142">
        <f t="shared" si="268"/>
        <v>318</v>
      </c>
      <c r="S405" s="142">
        <f t="shared" si="268"/>
        <v>308</v>
      </c>
      <c r="T405" s="142">
        <f t="shared" si="268"/>
        <v>83.666666666666671</v>
      </c>
      <c r="U405" s="142">
        <f t="shared" si="268"/>
        <v>39.75</v>
      </c>
      <c r="V405" s="142" t="str">
        <f t="shared" ref="V405:W405" si="269">V275</f>
        <v>-</v>
      </c>
      <c r="W405" s="142" t="str">
        <f t="shared" si="269"/>
        <v>-</v>
      </c>
      <c r="X405" s="142">
        <f t="shared" ref="X405" si="270">AVERAGE(X275:X279)</f>
        <v>638.75</v>
      </c>
    </row>
    <row r="406" spans="1:24">
      <c r="A406" s="99">
        <v>2011</v>
      </c>
      <c r="B406" s="142" t="str">
        <f t="shared" ref="B406:L406" si="271">B280</f>
        <v>-</v>
      </c>
      <c r="C406" s="142" t="str">
        <f t="shared" si="271"/>
        <v>-</v>
      </c>
      <c r="D406" s="142">
        <f t="shared" si="271"/>
        <v>5522</v>
      </c>
      <c r="E406" s="142">
        <f t="shared" si="271"/>
        <v>2585</v>
      </c>
      <c r="F406" s="142">
        <f t="shared" si="271"/>
        <v>3380</v>
      </c>
      <c r="G406" s="142">
        <f t="shared" si="271"/>
        <v>16882</v>
      </c>
      <c r="H406" s="142">
        <f t="shared" si="271"/>
        <v>13100</v>
      </c>
      <c r="I406" s="142">
        <f t="shared" si="271"/>
        <v>7095</v>
      </c>
      <c r="J406" s="142">
        <f t="shared" si="271"/>
        <v>1258</v>
      </c>
      <c r="K406" s="142" t="str">
        <f t="shared" si="271"/>
        <v>-</v>
      </c>
      <c r="L406" s="142">
        <f t="shared" si="271"/>
        <v>49822</v>
      </c>
      <c r="N406" s="142" t="str">
        <f t="shared" ref="N406:X406" si="272">N280</f>
        <v>-</v>
      </c>
      <c r="O406" s="142" t="str">
        <f t="shared" si="272"/>
        <v>-</v>
      </c>
      <c r="P406" s="142">
        <f t="shared" si="272"/>
        <v>8</v>
      </c>
      <c r="Q406" s="142">
        <f t="shared" si="272"/>
        <v>15</v>
      </c>
      <c r="R406" s="142">
        <f t="shared" si="272"/>
        <v>72</v>
      </c>
      <c r="S406" s="142">
        <f t="shared" si="272"/>
        <v>166</v>
      </c>
      <c r="T406" s="142">
        <f t="shared" si="272"/>
        <v>46</v>
      </c>
      <c r="U406" s="142">
        <f t="shared" si="272"/>
        <v>4</v>
      </c>
      <c r="V406" s="142">
        <f t="shared" si="272"/>
        <v>5</v>
      </c>
      <c r="W406" s="142" t="str">
        <f t="shared" si="272"/>
        <v>-</v>
      </c>
      <c r="X406" s="142">
        <f t="shared" si="272"/>
        <v>316</v>
      </c>
    </row>
    <row r="407" spans="1:24">
      <c r="A407" s="99">
        <v>2012</v>
      </c>
      <c r="B407" s="142" t="str">
        <f t="shared" ref="B407:L407" si="273">B281</f>
        <v>-</v>
      </c>
      <c r="C407" s="142" t="str">
        <f t="shared" si="273"/>
        <v>-</v>
      </c>
      <c r="D407" s="142">
        <f t="shared" si="273"/>
        <v>18786</v>
      </c>
      <c r="E407" s="142">
        <f t="shared" si="273"/>
        <v>14723</v>
      </c>
      <c r="F407" s="142">
        <f t="shared" si="273"/>
        <v>27892</v>
      </c>
      <c r="G407" s="142">
        <f t="shared" si="273"/>
        <v>35707</v>
      </c>
      <c r="H407" s="142">
        <f t="shared" si="273"/>
        <v>17475</v>
      </c>
      <c r="I407" s="142">
        <f t="shared" si="273"/>
        <v>7089</v>
      </c>
      <c r="J407" s="142">
        <f t="shared" si="273"/>
        <v>2094</v>
      </c>
      <c r="K407" s="142">
        <f t="shared" si="273"/>
        <v>160</v>
      </c>
      <c r="L407" s="142">
        <f t="shared" si="273"/>
        <v>123926</v>
      </c>
      <c r="N407" s="142" t="str">
        <f t="shared" ref="N407:X407" si="274">N281</f>
        <v>-</v>
      </c>
      <c r="O407" s="142" t="str">
        <f t="shared" si="274"/>
        <v>-</v>
      </c>
      <c r="P407" s="142" t="str">
        <f t="shared" si="274"/>
        <v>-</v>
      </c>
      <c r="Q407" s="142">
        <f t="shared" si="274"/>
        <v>3</v>
      </c>
      <c r="R407" s="142">
        <f t="shared" si="274"/>
        <v>49</v>
      </c>
      <c r="S407" s="142">
        <f t="shared" si="274"/>
        <v>46</v>
      </c>
      <c r="T407" s="142" t="str">
        <f t="shared" si="274"/>
        <v>-</v>
      </c>
      <c r="U407" s="142">
        <f t="shared" si="274"/>
        <v>3</v>
      </c>
      <c r="V407" s="142" t="str">
        <f t="shared" si="274"/>
        <v>-</v>
      </c>
      <c r="W407" s="142" t="str">
        <f t="shared" si="274"/>
        <v>-</v>
      </c>
      <c r="X407" s="142">
        <f t="shared" si="274"/>
        <v>101</v>
      </c>
    </row>
    <row r="408" spans="1:24">
      <c r="A408" s="99">
        <v>2013</v>
      </c>
      <c r="B408" s="142" t="str">
        <f t="shared" ref="B408:L408" si="275">B282</f>
        <v>-</v>
      </c>
      <c r="C408" s="142" t="str">
        <f t="shared" si="275"/>
        <v>-</v>
      </c>
      <c r="D408" s="142">
        <f t="shared" si="275"/>
        <v>13656</v>
      </c>
      <c r="E408" s="142">
        <f t="shared" si="275"/>
        <v>13900</v>
      </c>
      <c r="F408" s="142">
        <f t="shared" si="275"/>
        <v>26243</v>
      </c>
      <c r="G408" s="142">
        <f t="shared" si="275"/>
        <v>40509</v>
      </c>
      <c r="H408" s="142">
        <f t="shared" si="275"/>
        <v>17714</v>
      </c>
      <c r="I408" s="142">
        <f t="shared" si="275"/>
        <v>2606</v>
      </c>
      <c r="J408" s="142">
        <f t="shared" si="275"/>
        <v>1359</v>
      </c>
      <c r="K408" s="142">
        <f t="shared" si="275"/>
        <v>87</v>
      </c>
      <c r="L408" s="142">
        <f t="shared" si="275"/>
        <v>116074</v>
      </c>
      <c r="N408" s="142" t="str">
        <f t="shared" ref="N408:X408" si="276">N282</f>
        <v>-</v>
      </c>
      <c r="O408" s="142" t="str">
        <f t="shared" si="276"/>
        <v>-</v>
      </c>
      <c r="P408" s="142" t="str">
        <f t="shared" si="276"/>
        <v>-</v>
      </c>
      <c r="Q408" s="142" t="str">
        <f t="shared" si="276"/>
        <v>-</v>
      </c>
      <c r="R408" s="142">
        <f t="shared" si="276"/>
        <v>91</v>
      </c>
      <c r="S408" s="142">
        <f t="shared" si="276"/>
        <v>144</v>
      </c>
      <c r="T408" s="142">
        <f t="shared" si="276"/>
        <v>126</v>
      </c>
      <c r="U408" s="142" t="str">
        <f t="shared" si="276"/>
        <v>-</v>
      </c>
      <c r="V408" s="142" t="str">
        <f t="shared" si="276"/>
        <v>-</v>
      </c>
      <c r="W408" s="142" t="str">
        <f t="shared" si="276"/>
        <v>-</v>
      </c>
      <c r="X408" s="142">
        <f t="shared" si="276"/>
        <v>361</v>
      </c>
    </row>
    <row r="409" spans="1:24">
      <c r="A409" s="99">
        <v>2014</v>
      </c>
      <c r="B409" s="142" t="str">
        <f t="shared" ref="B409:L409" si="277">B283</f>
        <v>-</v>
      </c>
      <c r="C409" s="142" t="str">
        <f t="shared" si="277"/>
        <v>-</v>
      </c>
      <c r="D409" s="142">
        <f t="shared" si="277"/>
        <v>13924</v>
      </c>
      <c r="E409" s="142">
        <f t="shared" si="277"/>
        <v>7508</v>
      </c>
      <c r="F409" s="142">
        <f t="shared" si="277"/>
        <v>7978</v>
      </c>
      <c r="G409" s="142">
        <f t="shared" si="277"/>
        <v>19678</v>
      </c>
      <c r="H409" s="142">
        <f t="shared" si="277"/>
        <v>15848</v>
      </c>
      <c r="I409" s="142">
        <f t="shared" si="277"/>
        <v>6706</v>
      </c>
      <c r="J409" s="142">
        <f t="shared" si="277"/>
        <v>3073</v>
      </c>
      <c r="K409" s="142">
        <f t="shared" si="277"/>
        <v>125</v>
      </c>
      <c r="L409" s="142">
        <f t="shared" si="277"/>
        <v>74840</v>
      </c>
      <c r="N409" s="142" t="str">
        <f t="shared" ref="N409:X409" si="278">N283</f>
        <v>-</v>
      </c>
      <c r="O409" s="142" t="str">
        <f t="shared" si="278"/>
        <v>-</v>
      </c>
      <c r="P409" s="142" t="str">
        <f t="shared" si="278"/>
        <v>-</v>
      </c>
      <c r="Q409" s="142">
        <f t="shared" si="278"/>
        <v>23</v>
      </c>
      <c r="R409" s="142">
        <f t="shared" si="278"/>
        <v>118</v>
      </c>
      <c r="S409" s="142">
        <f t="shared" si="278"/>
        <v>331</v>
      </c>
      <c r="T409" s="142">
        <f t="shared" si="278"/>
        <v>4</v>
      </c>
      <c r="U409" s="142">
        <f t="shared" si="278"/>
        <v>3</v>
      </c>
      <c r="V409" s="142" t="str">
        <f t="shared" si="278"/>
        <v>-</v>
      </c>
      <c r="W409" s="142" t="str">
        <f t="shared" si="278"/>
        <v>-</v>
      </c>
      <c r="X409" s="142">
        <f t="shared" si="278"/>
        <v>479</v>
      </c>
    </row>
    <row r="410" spans="1:24">
      <c r="A410" s="99">
        <v>2015</v>
      </c>
      <c r="B410" s="142" t="str">
        <f t="shared" ref="B410:L410" si="279">B284</f>
        <v>-</v>
      </c>
      <c r="C410" s="142" t="str">
        <f t="shared" si="279"/>
        <v>-</v>
      </c>
      <c r="D410" s="142">
        <f t="shared" si="279"/>
        <v>3024</v>
      </c>
      <c r="E410" s="142">
        <f t="shared" si="279"/>
        <v>2793</v>
      </c>
      <c r="F410" s="142">
        <f t="shared" si="279"/>
        <v>3433</v>
      </c>
      <c r="G410" s="142">
        <f t="shared" si="279"/>
        <v>9598</v>
      </c>
      <c r="H410" s="142">
        <f t="shared" si="279"/>
        <v>8842</v>
      </c>
      <c r="I410" s="142">
        <f t="shared" si="279"/>
        <v>8213</v>
      </c>
      <c r="J410" s="142">
        <f t="shared" si="279"/>
        <v>1577</v>
      </c>
      <c r="K410" s="142">
        <f t="shared" si="279"/>
        <v>0</v>
      </c>
      <c r="L410" s="142">
        <f t="shared" si="279"/>
        <v>37480</v>
      </c>
      <c r="N410" s="142" t="str">
        <f t="shared" ref="N410:X410" si="280">N284</f>
        <v>-</v>
      </c>
      <c r="O410" s="142" t="str">
        <f t="shared" si="280"/>
        <v>-</v>
      </c>
      <c r="P410" s="142" t="str">
        <f t="shared" si="280"/>
        <v>-</v>
      </c>
      <c r="Q410" s="142">
        <f t="shared" si="280"/>
        <v>5</v>
      </c>
      <c r="R410" s="142">
        <f t="shared" si="280"/>
        <v>12</v>
      </c>
      <c r="S410" s="142">
        <f t="shared" si="280"/>
        <v>19</v>
      </c>
      <c r="T410" s="142">
        <f t="shared" si="280"/>
        <v>5</v>
      </c>
      <c r="U410" s="142" t="str">
        <f t="shared" si="280"/>
        <v>-</v>
      </c>
      <c r="V410" s="142" t="str">
        <f t="shared" si="280"/>
        <v>-</v>
      </c>
      <c r="W410" s="142" t="str">
        <f t="shared" si="280"/>
        <v>-</v>
      </c>
      <c r="X410" s="142">
        <f t="shared" si="280"/>
        <v>41</v>
      </c>
    </row>
    <row r="411" spans="1:24">
      <c r="A411" s="99">
        <v>2016</v>
      </c>
      <c r="B411" s="142" t="str">
        <f t="shared" ref="B411:L411" si="281">B285</f>
        <v>-</v>
      </c>
      <c r="C411" s="142" t="str">
        <f t="shared" si="281"/>
        <v>-</v>
      </c>
      <c r="D411" s="142">
        <f t="shared" si="281"/>
        <v>2030</v>
      </c>
      <c r="E411" s="142">
        <f t="shared" si="281"/>
        <v>5693</v>
      </c>
      <c r="F411" s="142">
        <f t="shared" si="281"/>
        <v>2465</v>
      </c>
      <c r="G411" s="142">
        <f t="shared" si="281"/>
        <v>12983</v>
      </c>
      <c r="H411" s="142">
        <f t="shared" si="281"/>
        <v>7747</v>
      </c>
      <c r="I411" s="142">
        <f t="shared" si="281"/>
        <v>6456</v>
      </c>
      <c r="J411" s="142">
        <f t="shared" si="281"/>
        <v>638</v>
      </c>
      <c r="K411" s="142">
        <f t="shared" si="281"/>
        <v>0</v>
      </c>
      <c r="L411" s="142">
        <f t="shared" si="281"/>
        <v>38012</v>
      </c>
      <c r="N411" s="142" t="str">
        <f t="shared" ref="N411:X411" si="282">N285</f>
        <v>-</v>
      </c>
      <c r="O411" s="142" t="str">
        <f t="shared" si="282"/>
        <v>-</v>
      </c>
      <c r="P411" s="142" t="str">
        <f t="shared" si="282"/>
        <v>-</v>
      </c>
      <c r="Q411" s="142" t="str">
        <f t="shared" si="282"/>
        <v>-</v>
      </c>
      <c r="R411" s="142">
        <f t="shared" si="282"/>
        <v>18</v>
      </c>
      <c r="S411" s="142">
        <f t="shared" si="282"/>
        <v>44</v>
      </c>
      <c r="T411" s="142">
        <f t="shared" si="282"/>
        <v>8</v>
      </c>
      <c r="U411" s="142" t="str">
        <f t="shared" si="282"/>
        <v>-</v>
      </c>
      <c r="V411" s="142" t="str">
        <f t="shared" si="282"/>
        <v>-</v>
      </c>
      <c r="W411" s="142" t="str">
        <f t="shared" si="282"/>
        <v>-</v>
      </c>
      <c r="X411" s="142">
        <f t="shared" si="282"/>
        <v>70</v>
      </c>
    </row>
    <row r="412" spans="1:24">
      <c r="A412" s="99">
        <v>2017</v>
      </c>
      <c r="B412" s="142" t="str">
        <f t="shared" ref="B412:L412" si="283">B286</f>
        <v>-</v>
      </c>
      <c r="C412" s="142" t="str">
        <f t="shared" si="283"/>
        <v>-</v>
      </c>
      <c r="D412" s="142">
        <f t="shared" si="283"/>
        <v>4298</v>
      </c>
      <c r="E412" s="142">
        <f t="shared" si="283"/>
        <v>2305</v>
      </c>
      <c r="F412" s="142">
        <f t="shared" si="283"/>
        <v>5433</v>
      </c>
      <c r="G412" s="142">
        <f t="shared" si="283"/>
        <v>26241</v>
      </c>
      <c r="H412" s="142">
        <f t="shared" si="283"/>
        <v>18809</v>
      </c>
      <c r="I412" s="142">
        <f t="shared" si="283"/>
        <v>4260</v>
      </c>
      <c r="J412" s="142">
        <f t="shared" si="283"/>
        <v>851</v>
      </c>
      <c r="K412" s="142">
        <f t="shared" si="283"/>
        <v>0</v>
      </c>
      <c r="L412" s="142">
        <f t="shared" si="283"/>
        <v>62197</v>
      </c>
      <c r="N412" s="142" t="str">
        <f t="shared" ref="N412:X412" si="284">N286</f>
        <v>-</v>
      </c>
      <c r="O412" s="142" t="str">
        <f t="shared" si="284"/>
        <v>-</v>
      </c>
      <c r="P412" s="142" t="str">
        <f t="shared" si="284"/>
        <v>-</v>
      </c>
      <c r="Q412" s="142">
        <f t="shared" si="284"/>
        <v>3</v>
      </c>
      <c r="R412" s="142" t="str">
        <f t="shared" si="284"/>
        <v>-</v>
      </c>
      <c r="S412" s="142">
        <f t="shared" si="284"/>
        <v>418</v>
      </c>
      <c r="T412" s="142">
        <f t="shared" si="284"/>
        <v>44</v>
      </c>
      <c r="U412" s="142" t="str">
        <f t="shared" si="284"/>
        <v>-</v>
      </c>
      <c r="V412" s="142" t="str">
        <f t="shared" si="284"/>
        <v>-</v>
      </c>
      <c r="W412" s="142" t="str">
        <f t="shared" si="284"/>
        <v>-</v>
      </c>
      <c r="X412" s="142">
        <f t="shared" si="284"/>
        <v>465</v>
      </c>
    </row>
    <row r="413" spans="1:24">
      <c r="A413" s="99">
        <v>2018</v>
      </c>
      <c r="B413" s="142" t="str">
        <f t="shared" ref="B413:L413" si="285">B287</f>
        <v>-</v>
      </c>
      <c r="C413" s="142" t="str">
        <f t="shared" si="285"/>
        <v>-</v>
      </c>
      <c r="D413" s="142">
        <f t="shared" si="285"/>
        <v>3935</v>
      </c>
      <c r="E413" s="142">
        <f t="shared" si="285"/>
        <v>476</v>
      </c>
      <c r="F413" s="142">
        <f t="shared" si="285"/>
        <v>14772</v>
      </c>
      <c r="G413" s="142">
        <f t="shared" si="285"/>
        <v>42450</v>
      </c>
      <c r="H413" s="142">
        <f t="shared" si="285"/>
        <v>14698</v>
      </c>
      <c r="I413" s="142">
        <f t="shared" si="285"/>
        <v>6811</v>
      </c>
      <c r="J413" s="142">
        <f t="shared" si="285"/>
        <v>4172</v>
      </c>
      <c r="K413" s="142" t="str">
        <f t="shared" si="285"/>
        <v>-</v>
      </c>
      <c r="L413" s="142">
        <f t="shared" si="285"/>
        <v>87314</v>
      </c>
      <c r="N413" s="142" t="str">
        <f t="shared" ref="N413:X413" si="286">N287</f>
        <v>-</v>
      </c>
      <c r="O413" s="142" t="str">
        <f t="shared" si="286"/>
        <v>-</v>
      </c>
      <c r="P413" s="142" t="str">
        <f t="shared" si="286"/>
        <v>-</v>
      </c>
      <c r="Q413" s="142" t="str">
        <f t="shared" si="286"/>
        <v>-</v>
      </c>
      <c r="R413" s="142">
        <f t="shared" si="286"/>
        <v>54</v>
      </c>
      <c r="S413" s="142">
        <f t="shared" si="286"/>
        <v>96</v>
      </c>
      <c r="T413" s="142">
        <f t="shared" si="286"/>
        <v>37</v>
      </c>
      <c r="U413" s="142">
        <f t="shared" si="286"/>
        <v>8</v>
      </c>
      <c r="V413" s="142" t="str">
        <f t="shared" si="286"/>
        <v>-</v>
      </c>
      <c r="W413" s="142" t="str">
        <f t="shared" si="286"/>
        <v>-</v>
      </c>
      <c r="X413" s="142">
        <f t="shared" si="286"/>
        <v>195</v>
      </c>
    </row>
    <row r="414" spans="1:24">
      <c r="A414" s="239">
        <v>2019</v>
      </c>
      <c r="B414" s="142" t="str">
        <f t="shared" ref="B414:L414" si="287">B288</f>
        <v>-</v>
      </c>
      <c r="C414" s="142" t="str">
        <f t="shared" si="287"/>
        <v>-</v>
      </c>
      <c r="D414" s="142">
        <f t="shared" si="287"/>
        <v>16780</v>
      </c>
      <c r="E414" s="142">
        <f t="shared" si="287"/>
        <v>3479</v>
      </c>
      <c r="F414" s="142">
        <f t="shared" si="287"/>
        <v>20871</v>
      </c>
      <c r="G414" s="142">
        <f t="shared" si="287"/>
        <v>22209</v>
      </c>
      <c r="H414" s="142">
        <f t="shared" si="287"/>
        <v>20919</v>
      </c>
      <c r="I414" s="142">
        <f t="shared" si="287"/>
        <v>3734</v>
      </c>
      <c r="J414" s="142">
        <f t="shared" si="287"/>
        <v>468</v>
      </c>
      <c r="K414" s="142" t="str">
        <f t="shared" si="287"/>
        <v>-</v>
      </c>
      <c r="L414" s="142">
        <f t="shared" si="287"/>
        <v>88460</v>
      </c>
      <c r="N414" s="142" t="str">
        <f t="shared" ref="N414:X414" si="288">N288</f>
        <v>-</v>
      </c>
      <c r="O414" s="142" t="str">
        <f t="shared" si="288"/>
        <v>-</v>
      </c>
      <c r="P414" s="142" t="str">
        <f t="shared" si="288"/>
        <v>-</v>
      </c>
      <c r="Q414" s="142">
        <f t="shared" si="288"/>
        <v>2</v>
      </c>
      <c r="R414" s="142">
        <f t="shared" si="288"/>
        <v>162</v>
      </c>
      <c r="S414" s="142">
        <f t="shared" si="288"/>
        <v>117</v>
      </c>
      <c r="T414" s="142">
        <f t="shared" si="288"/>
        <v>396</v>
      </c>
      <c r="U414" s="142">
        <f t="shared" si="288"/>
        <v>14</v>
      </c>
      <c r="V414" s="142">
        <f t="shared" si="288"/>
        <v>5</v>
      </c>
      <c r="W414" s="142" t="str">
        <f t="shared" si="288"/>
        <v>-</v>
      </c>
      <c r="X414" s="142">
        <f t="shared" si="288"/>
        <v>696</v>
      </c>
    </row>
    <row r="415" spans="1:24" ht="13">
      <c r="A415" s="239" t="s">
        <v>343</v>
      </c>
      <c r="B415" s="142" t="str">
        <f t="shared" ref="B415:L416" si="289">B289</f>
        <v>-</v>
      </c>
      <c r="C415" s="142" t="str">
        <f t="shared" si="289"/>
        <v>-</v>
      </c>
      <c r="D415" s="142" t="str">
        <f t="shared" si="289"/>
        <v>-</v>
      </c>
      <c r="E415" s="142" t="str">
        <f t="shared" si="289"/>
        <v>--</v>
      </c>
      <c r="F415" s="142" t="str">
        <f t="shared" si="289"/>
        <v>--</v>
      </c>
      <c r="G415" s="142">
        <f t="shared" si="289"/>
        <v>23664</v>
      </c>
      <c r="H415" s="142">
        <f t="shared" si="289"/>
        <v>10007</v>
      </c>
      <c r="I415" s="142">
        <f t="shared" si="289"/>
        <v>4077</v>
      </c>
      <c r="J415" s="142">
        <f t="shared" si="289"/>
        <v>2364</v>
      </c>
      <c r="K415" s="142">
        <f t="shared" si="289"/>
        <v>29</v>
      </c>
      <c r="L415" s="142">
        <f t="shared" si="289"/>
        <v>40141</v>
      </c>
      <c r="N415" s="142" t="str">
        <f t="shared" ref="N415:X416" si="290">N289</f>
        <v>-</v>
      </c>
      <c r="O415" s="142" t="str">
        <f t="shared" si="290"/>
        <v>-</v>
      </c>
      <c r="P415" s="142" t="str">
        <f t="shared" si="290"/>
        <v>-</v>
      </c>
      <c r="Q415" s="142" t="str">
        <f t="shared" si="290"/>
        <v>-</v>
      </c>
      <c r="R415" s="142" t="str">
        <f t="shared" si="290"/>
        <v>-</v>
      </c>
      <c r="S415" s="142">
        <f t="shared" si="290"/>
        <v>48</v>
      </c>
      <c r="T415" s="142" t="str">
        <f t="shared" si="290"/>
        <v>-</v>
      </c>
      <c r="U415" s="142">
        <f t="shared" si="290"/>
        <v>4</v>
      </c>
      <c r="V415" s="142" t="str">
        <f t="shared" si="290"/>
        <v>-</v>
      </c>
      <c r="W415" s="142" t="str">
        <f t="shared" si="290"/>
        <v>-</v>
      </c>
      <c r="X415" s="142">
        <f t="shared" si="290"/>
        <v>52</v>
      </c>
    </row>
    <row r="416" spans="1:24" ht="13">
      <c r="A416" s="239" t="s">
        <v>317</v>
      </c>
      <c r="B416" s="15" t="str">
        <f t="shared" si="289"/>
        <v>-</v>
      </c>
      <c r="C416" s="15" t="str">
        <f t="shared" si="289"/>
        <v>-</v>
      </c>
      <c r="D416" s="15">
        <f t="shared" si="289"/>
        <v>7626</v>
      </c>
      <c r="E416" s="142">
        <f>E290</f>
        <v>4184</v>
      </c>
      <c r="F416" s="142">
        <f t="shared" si="289"/>
        <v>7241</v>
      </c>
      <c r="G416" s="15">
        <f t="shared" si="289"/>
        <v>20637</v>
      </c>
      <c r="H416" s="15">
        <f t="shared" si="289"/>
        <v>10069</v>
      </c>
      <c r="I416" s="15">
        <f t="shared" si="289"/>
        <v>4002</v>
      </c>
      <c r="J416" s="15">
        <f t="shared" si="289"/>
        <v>1522</v>
      </c>
      <c r="K416" s="15" t="str">
        <f t="shared" si="289"/>
        <v>-</v>
      </c>
      <c r="L416" s="15">
        <f t="shared" si="289"/>
        <v>55281</v>
      </c>
      <c r="M416" s="25"/>
      <c r="N416" s="15" t="str">
        <f t="shared" si="290"/>
        <v>-</v>
      </c>
      <c r="O416" s="15" t="str">
        <f t="shared" si="290"/>
        <v>-</v>
      </c>
      <c r="P416" s="15" t="str">
        <f t="shared" si="290"/>
        <v>-</v>
      </c>
      <c r="Q416" s="15">
        <f t="shared" si="290"/>
        <v>210</v>
      </c>
      <c r="R416" s="15">
        <f t="shared" si="290"/>
        <v>84</v>
      </c>
      <c r="S416" s="15">
        <f t="shared" si="290"/>
        <v>224</v>
      </c>
      <c r="T416" s="15">
        <f t="shared" si="290"/>
        <v>18</v>
      </c>
      <c r="U416" s="15" t="str">
        <f t="shared" si="290"/>
        <v>-</v>
      </c>
      <c r="V416" s="15">
        <f t="shared" si="290"/>
        <v>4</v>
      </c>
      <c r="W416" s="15" t="str">
        <f t="shared" si="290"/>
        <v>-</v>
      </c>
      <c r="X416" s="15">
        <f t="shared" si="290"/>
        <v>540</v>
      </c>
    </row>
    <row r="417" spans="1:24">
      <c r="A417" s="286" t="str">
        <f>A291</f>
        <v>a/  Recreational estimates are not available for May and June due to restrictions on sampling caused by the COVID-19 pandemic.</v>
      </c>
      <c r="B417" s="286"/>
      <c r="C417" s="286"/>
      <c r="D417" s="286"/>
      <c r="E417" s="286"/>
      <c r="F417" s="286"/>
      <c r="G417" s="286"/>
      <c r="H417" s="286"/>
      <c r="I417" s="286"/>
      <c r="J417" s="286"/>
      <c r="K417" s="286"/>
      <c r="L417" s="286"/>
      <c r="M417" s="286"/>
      <c r="N417" s="286"/>
      <c r="O417" s="286"/>
      <c r="P417" s="286"/>
      <c r="Q417" s="286"/>
      <c r="R417" s="286"/>
      <c r="S417" s="286"/>
      <c r="T417" s="286"/>
      <c r="U417" s="286"/>
      <c r="V417" s="286"/>
      <c r="W417" s="286"/>
      <c r="X417" s="286"/>
    </row>
    <row r="418" spans="1:24">
      <c r="A418" s="287" t="str">
        <f>A292</f>
        <v>b/  Preliminary.</v>
      </c>
      <c r="B418" s="287"/>
      <c r="C418" s="287"/>
      <c r="D418" s="287"/>
      <c r="E418" s="287"/>
      <c r="F418" s="287"/>
      <c r="G418" s="287"/>
      <c r="H418" s="287"/>
      <c r="I418" s="287"/>
      <c r="J418" s="287"/>
      <c r="K418" s="287"/>
      <c r="L418" s="287"/>
      <c r="M418" s="287"/>
      <c r="N418" s="287"/>
      <c r="O418" s="287"/>
      <c r="P418" s="287"/>
      <c r="Q418" s="287"/>
      <c r="R418" s="287"/>
      <c r="S418" s="287"/>
      <c r="T418" s="287"/>
      <c r="U418" s="287"/>
      <c r="V418" s="287"/>
      <c r="W418" s="287"/>
      <c r="X418" s="287"/>
    </row>
  </sheetData>
  <mergeCells count="16">
    <mergeCell ref="B381:L381"/>
    <mergeCell ref="N381:X381"/>
    <mergeCell ref="A417:X417"/>
    <mergeCell ref="A418:X418"/>
    <mergeCell ref="B303:L303"/>
    <mergeCell ref="N303:X303"/>
    <mergeCell ref="A340:X340"/>
    <mergeCell ref="B342:L342"/>
    <mergeCell ref="N342:X342"/>
    <mergeCell ref="A379:X379"/>
    <mergeCell ref="A301:X301"/>
    <mergeCell ref="A1:X1"/>
    <mergeCell ref="B3:L3"/>
    <mergeCell ref="N3:X3"/>
    <mergeCell ref="A292:X292"/>
    <mergeCell ref="A291:X291"/>
  </mergeCells>
  <pageMargins left="0.7" right="0.7" top="0.75" bottom="0.75" header="0.3" footer="0.3"/>
  <pageSetup scale="94" orientation="landscape" r:id="rId1"/>
  <rowBreaks count="2" manualBreakCount="2">
    <brk id="339" max="16383" man="1"/>
    <brk id="378"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9"/>
  <dimension ref="A1:M175"/>
  <sheetViews>
    <sheetView showGridLines="0" topLeftCell="A29" zoomScaleNormal="100" zoomScaleSheetLayoutView="90" workbookViewId="0">
      <selection activeCell="N421" sqref="N421"/>
    </sheetView>
  </sheetViews>
  <sheetFormatPr baseColWidth="10" defaultColWidth="8.83203125" defaultRowHeight="16"/>
  <cols>
    <col min="1" max="1" width="14.1640625" bestFit="1" customWidth="1"/>
    <col min="2" max="2" width="8.33203125" bestFit="1" customWidth="1"/>
    <col min="3" max="4" width="9.1640625" bestFit="1" customWidth="1"/>
    <col min="5" max="5" width="9.33203125" bestFit="1" customWidth="1"/>
    <col min="6" max="6" width="8.83203125" bestFit="1" customWidth="1"/>
    <col min="7" max="7" width="9.33203125" bestFit="1" customWidth="1"/>
    <col min="8" max="8" width="7.5" bestFit="1" customWidth="1"/>
    <col min="9" max="9" width="8.6640625" bestFit="1" customWidth="1"/>
    <col min="10" max="10" width="7.5" bestFit="1" customWidth="1"/>
    <col min="11" max="11" width="7.83203125" bestFit="1" customWidth="1"/>
  </cols>
  <sheetData>
    <row r="1" spans="1:13" ht="11.25" customHeight="1">
      <c r="A1" s="95" t="s">
        <v>222</v>
      </c>
      <c r="B1" s="40"/>
      <c r="C1" s="40"/>
      <c r="D1" s="40"/>
      <c r="E1" s="66"/>
      <c r="F1" s="66"/>
      <c r="G1" s="66"/>
      <c r="H1" s="40"/>
      <c r="I1" s="40"/>
      <c r="J1" s="40"/>
      <c r="K1" s="34"/>
      <c r="L1" s="28"/>
      <c r="M1" s="191" t="s">
        <v>180</v>
      </c>
    </row>
    <row r="2" spans="1:13" ht="11.25" customHeight="1">
      <c r="A2" s="108" t="s">
        <v>46</v>
      </c>
      <c r="B2" s="112"/>
      <c r="C2" s="112"/>
      <c r="D2" s="112"/>
      <c r="E2" s="113"/>
      <c r="F2" s="113"/>
      <c r="G2" s="112" t="s">
        <v>21</v>
      </c>
      <c r="H2" s="112"/>
      <c r="I2" s="112"/>
      <c r="J2" s="112"/>
      <c r="K2" s="112"/>
      <c r="L2" s="114"/>
      <c r="M2" s="191"/>
    </row>
    <row r="3" spans="1:13" ht="11.25" customHeight="1">
      <c r="A3" s="100" t="s">
        <v>189</v>
      </c>
      <c r="B3" s="90" t="s">
        <v>102</v>
      </c>
      <c r="C3" s="90" t="s">
        <v>47</v>
      </c>
      <c r="D3" s="90" t="s">
        <v>48</v>
      </c>
      <c r="E3" s="90" t="s">
        <v>49</v>
      </c>
      <c r="F3" s="90" t="s">
        <v>50</v>
      </c>
      <c r="G3" s="90" t="s">
        <v>51</v>
      </c>
      <c r="H3" s="90" t="s">
        <v>52</v>
      </c>
      <c r="I3" s="90" t="s">
        <v>53</v>
      </c>
      <c r="J3" s="90" t="s">
        <v>54</v>
      </c>
      <c r="K3" s="90" t="s">
        <v>55</v>
      </c>
      <c r="L3" s="28"/>
      <c r="M3" s="191"/>
    </row>
    <row r="4" spans="1:13" ht="11.25" customHeight="1">
      <c r="A4" s="294" t="s">
        <v>103</v>
      </c>
      <c r="B4" s="294"/>
      <c r="C4" s="294"/>
      <c r="D4" s="294"/>
      <c r="E4" s="294"/>
      <c r="F4" s="294"/>
      <c r="G4" s="294"/>
      <c r="H4" s="294"/>
      <c r="I4" s="294"/>
      <c r="J4" s="294"/>
      <c r="K4" s="294"/>
    </row>
    <row r="5" spans="1:13" ht="11.25" hidden="1" customHeight="1">
      <c r="A5" s="91" t="s">
        <v>26</v>
      </c>
      <c r="B5" s="40" t="e">
        <f>#REF!</f>
        <v>#REF!</v>
      </c>
      <c r="C5" s="40" t="e">
        <f>#REF!</f>
        <v>#REF!</v>
      </c>
      <c r="D5" s="40" t="e">
        <f>#REF!</f>
        <v>#REF!</v>
      </c>
      <c r="E5" s="66" t="e">
        <f>#REF!</f>
        <v>#REF!</v>
      </c>
      <c r="F5" s="66" t="e">
        <f>#REF!</f>
        <v>#REF!</v>
      </c>
      <c r="G5" s="66" t="e">
        <f>#REF!</f>
        <v>#REF!</v>
      </c>
      <c r="H5" s="40">
        <v>0.1</v>
      </c>
      <c r="I5" s="40">
        <v>0.7</v>
      </c>
      <c r="J5" s="40">
        <v>0.1</v>
      </c>
      <c r="K5" s="34" t="e">
        <f t="shared" ref="K5:K22" si="0">SUM(G5:J5)</f>
        <v>#REF!</v>
      </c>
    </row>
    <row r="6" spans="1:13" ht="11.25" customHeight="1">
      <c r="A6" s="91" t="s">
        <v>56</v>
      </c>
      <c r="B6" s="40">
        <f>'A-7'!L394</f>
        <v>1095.8</v>
      </c>
      <c r="C6" s="40">
        <f>'A-7'!L413</f>
        <v>3408.8</v>
      </c>
      <c r="D6" s="40">
        <f>'A-7'!L435</f>
        <v>6008</v>
      </c>
      <c r="E6" s="40">
        <f>'A-7'!L454</f>
        <v>9959.7999999999993</v>
      </c>
      <c r="F6" s="40">
        <f>'A-7'!L476</f>
        <v>5023.6000000000004</v>
      </c>
      <c r="G6" s="40">
        <f>'A-7'!L517</f>
        <v>25496</v>
      </c>
      <c r="H6" s="40">
        <v>8</v>
      </c>
      <c r="I6" s="40">
        <v>295</v>
      </c>
      <c r="J6" s="40">
        <v>210</v>
      </c>
      <c r="K6" s="34">
        <f t="shared" si="0"/>
        <v>26009</v>
      </c>
    </row>
    <row r="7" spans="1:13" ht="11.25" customHeight="1">
      <c r="A7" s="91" t="s">
        <v>78</v>
      </c>
      <c r="B7" s="40">
        <f>'A-7'!L395</f>
        <v>659</v>
      </c>
      <c r="C7" s="40">
        <f>'A-7'!L414</f>
        <v>6886.6</v>
      </c>
      <c r="D7" s="40">
        <f>'A-7'!L436</f>
        <v>8649.7999999999993</v>
      </c>
      <c r="E7" s="40">
        <f>'A-7'!L455</f>
        <v>20306.599999999999</v>
      </c>
      <c r="F7" s="40">
        <f>'A-7'!L477</f>
        <v>1651.6</v>
      </c>
      <c r="G7" s="40">
        <f>'A-7'!L518</f>
        <v>38153.599999999999</v>
      </c>
      <c r="H7" s="40">
        <v>3</v>
      </c>
      <c r="I7" s="40">
        <v>73.599999999999994</v>
      </c>
      <c r="J7" s="40">
        <v>44.4</v>
      </c>
      <c r="K7" s="34">
        <f t="shared" si="0"/>
        <v>38274.6</v>
      </c>
    </row>
    <row r="8" spans="1:13" ht="11.25" customHeight="1">
      <c r="A8" s="91" t="s">
        <v>10</v>
      </c>
      <c r="B8" s="40">
        <f>'A-7'!L396</f>
        <v>374.33333333333331</v>
      </c>
      <c r="C8" s="40">
        <f>'A-7'!L415</f>
        <v>1940.8</v>
      </c>
      <c r="D8" s="40">
        <f>'A-7'!L437</f>
        <v>4722</v>
      </c>
      <c r="E8" s="40">
        <f>'A-7'!L456</f>
        <v>2011.4</v>
      </c>
      <c r="F8" s="40">
        <f>'A-7'!L478</f>
        <v>195.66666666666666</v>
      </c>
      <c r="G8" s="40">
        <f>'A-7'!L519</f>
        <v>9016.2000000000007</v>
      </c>
      <c r="H8" s="40">
        <v>0</v>
      </c>
      <c r="I8" s="40">
        <f>AVERAGE(17,71,1,0)</f>
        <v>22.25</v>
      </c>
      <c r="J8" s="40">
        <f>AVERAGE(13,3,5,8)</f>
        <v>7.25</v>
      </c>
      <c r="K8" s="34">
        <f t="shared" si="0"/>
        <v>9045.7000000000007</v>
      </c>
    </row>
    <row r="9" spans="1:13" ht="11.25" customHeight="1">
      <c r="A9" s="95" t="s">
        <v>144</v>
      </c>
      <c r="B9" s="40">
        <f>'A-7'!L397</f>
        <v>70</v>
      </c>
      <c r="C9" s="40">
        <f>'A-7'!L416</f>
        <v>946.6</v>
      </c>
      <c r="D9" s="40">
        <f>'A-7'!L438</f>
        <v>3732.8</v>
      </c>
      <c r="E9" s="40">
        <f>'A-7'!L457</f>
        <v>2135.4</v>
      </c>
      <c r="F9" s="40">
        <f>'A-7'!L479</f>
        <v>316.2</v>
      </c>
      <c r="G9" s="40">
        <f>'A-7'!L520</f>
        <v>7187</v>
      </c>
      <c r="H9" s="40">
        <v>0</v>
      </c>
      <c r="I9" s="40">
        <f>AVERAGE(0,0,0,26,33)</f>
        <v>11.8</v>
      </c>
      <c r="J9" s="40">
        <f>AVERAGE(94,5,17,8.5)</f>
        <v>31.125</v>
      </c>
      <c r="K9" s="34">
        <f t="shared" si="0"/>
        <v>7229.9250000000002</v>
      </c>
    </row>
    <row r="10" spans="1:13" ht="11.25" customHeight="1">
      <c r="A10" s="95" t="s">
        <v>166</v>
      </c>
      <c r="B10" s="40">
        <f>'A-7'!L398</f>
        <v>389.6</v>
      </c>
      <c r="C10" s="40">
        <f>'A-7'!L417</f>
        <v>1591.4</v>
      </c>
      <c r="D10" s="40">
        <f>'A-7'!L439</f>
        <v>4663.8</v>
      </c>
      <c r="E10" s="40">
        <f>'A-7'!L458</f>
        <v>4935.2</v>
      </c>
      <c r="F10" s="40">
        <f>'A-7'!L480</f>
        <v>438.8</v>
      </c>
      <c r="G10" s="40">
        <f>'A-7'!L521</f>
        <v>12018.8</v>
      </c>
      <c r="H10" s="145">
        <v>0</v>
      </c>
      <c r="I10" s="145">
        <f>AVERAGE(19,286,101,221,0)</f>
        <v>125.4</v>
      </c>
      <c r="J10" s="145">
        <f>AVERAGE(26,7,9,0,0)</f>
        <v>8.4</v>
      </c>
      <c r="K10" s="34">
        <f t="shared" si="0"/>
        <v>12152.599999999999</v>
      </c>
    </row>
    <row r="11" spans="1:13" ht="11.25" customHeight="1">
      <c r="A11" s="95" t="s">
        <v>315</v>
      </c>
      <c r="B11" s="40">
        <f>'A-7'!L399</f>
        <v>628.20000000000005</v>
      </c>
      <c r="C11" s="40">
        <f>'A-7'!L418</f>
        <v>434.6</v>
      </c>
      <c r="D11" s="40">
        <f>'A-7'!L440</f>
        <v>1282.5</v>
      </c>
      <c r="E11" s="40">
        <f>'A-7'!L459</f>
        <v>945.4</v>
      </c>
      <c r="F11" s="40">
        <f>'A-7'!L481</f>
        <v>220.25</v>
      </c>
      <c r="G11" s="40">
        <f>'A-7'!L522</f>
        <v>3210.4</v>
      </c>
      <c r="H11" s="145">
        <v>0</v>
      </c>
      <c r="I11" s="145">
        <v>0</v>
      </c>
      <c r="J11" s="145">
        <v>0</v>
      </c>
      <c r="K11" s="34">
        <f>SUM(G11:J11)</f>
        <v>3210.4</v>
      </c>
    </row>
    <row r="12" spans="1:13" ht="11.25" customHeight="1">
      <c r="A12" s="95">
        <v>2011</v>
      </c>
      <c r="B12" s="40">
        <f>'A-7'!L400</f>
        <v>289</v>
      </c>
      <c r="C12" s="40">
        <f>'A-7'!L419</f>
        <v>220</v>
      </c>
      <c r="D12" s="40">
        <f>'A-7'!L441</f>
        <v>748</v>
      </c>
      <c r="E12" s="40">
        <f>'A-7'!L460</f>
        <v>2206</v>
      </c>
      <c r="F12" s="40">
        <f>'A-7'!L482</f>
        <v>289</v>
      </c>
      <c r="G12" s="40">
        <f>'A-7'!L523</f>
        <v>3752</v>
      </c>
      <c r="H12" s="40">
        <v>0</v>
      </c>
      <c r="I12" s="40">
        <v>0</v>
      </c>
      <c r="J12" s="40" t="s">
        <v>23</v>
      </c>
      <c r="K12" s="34">
        <f t="shared" si="0"/>
        <v>3752</v>
      </c>
    </row>
    <row r="13" spans="1:13" ht="11.25" customHeight="1">
      <c r="A13" s="95">
        <v>2012</v>
      </c>
      <c r="B13" s="40">
        <f>'A-7'!L401</f>
        <v>416</v>
      </c>
      <c r="C13" s="40">
        <f>'A-7'!L420</f>
        <v>635</v>
      </c>
      <c r="D13" s="40">
        <f>'A-7'!L442</f>
        <v>2112</v>
      </c>
      <c r="E13" s="40">
        <f>'A-7'!L461</f>
        <v>2711</v>
      </c>
      <c r="F13" s="40">
        <f>'A-7'!L483</f>
        <v>382</v>
      </c>
      <c r="G13" s="40">
        <f>'A-7'!L524</f>
        <v>6256</v>
      </c>
      <c r="H13" s="40">
        <v>0</v>
      </c>
      <c r="I13" s="40">
        <v>0</v>
      </c>
      <c r="J13" s="40" t="s">
        <v>23</v>
      </c>
      <c r="K13" s="34">
        <f t="shared" si="0"/>
        <v>6256</v>
      </c>
    </row>
    <row r="14" spans="1:13" ht="11.25" customHeight="1">
      <c r="A14" s="95">
        <v>2013</v>
      </c>
      <c r="B14" s="40">
        <f>'A-7'!L402</f>
        <v>287</v>
      </c>
      <c r="C14" s="40">
        <f>'A-7'!L421</f>
        <v>830</v>
      </c>
      <c r="D14" s="40">
        <f>'A-7'!L443</f>
        <v>1722</v>
      </c>
      <c r="E14" s="40">
        <f>'A-7'!L462</f>
        <v>5440</v>
      </c>
      <c r="F14" s="40">
        <f>'A-7'!L484</f>
        <v>707</v>
      </c>
      <c r="G14" s="40">
        <f>'A-7'!L525</f>
        <v>8986</v>
      </c>
      <c r="H14" s="40">
        <v>0</v>
      </c>
      <c r="I14" s="40">
        <v>0</v>
      </c>
      <c r="J14" s="40" t="s">
        <v>23</v>
      </c>
      <c r="K14" s="34">
        <f t="shared" si="0"/>
        <v>8986</v>
      </c>
    </row>
    <row r="15" spans="1:13" ht="11.25" customHeight="1">
      <c r="A15" s="95">
        <v>2014</v>
      </c>
      <c r="B15" s="40">
        <f>'A-7'!L403</f>
        <v>816</v>
      </c>
      <c r="C15" s="40">
        <f>'A-7'!L422</f>
        <v>556</v>
      </c>
      <c r="D15" s="40">
        <f>'A-7'!L444</f>
        <v>3697</v>
      </c>
      <c r="E15" s="40">
        <f>'A-7'!L463</f>
        <v>4864</v>
      </c>
      <c r="F15" s="40">
        <f>'A-7'!L485</f>
        <v>770</v>
      </c>
      <c r="G15" s="40">
        <f>'A-7'!L526</f>
        <v>10703</v>
      </c>
      <c r="H15" s="40">
        <v>0</v>
      </c>
      <c r="I15" s="40">
        <v>0</v>
      </c>
      <c r="J15" s="40" t="s">
        <v>23</v>
      </c>
      <c r="K15" s="34">
        <f t="shared" si="0"/>
        <v>10703</v>
      </c>
    </row>
    <row r="16" spans="1:13" ht="11.25" customHeight="1">
      <c r="A16" s="95">
        <v>2015</v>
      </c>
      <c r="B16" s="40">
        <f>'A-7'!L404</f>
        <v>818</v>
      </c>
      <c r="C16" s="40">
        <f>'A-7'!L423</f>
        <v>866</v>
      </c>
      <c r="D16" s="40">
        <f>'A-7'!L445</f>
        <v>2752</v>
      </c>
      <c r="E16" s="40">
        <f>'A-7'!L464</f>
        <v>3773</v>
      </c>
      <c r="F16" s="40">
        <f>'A-7'!L486</f>
        <v>520</v>
      </c>
      <c r="G16" s="40">
        <f>'A-7'!L527</f>
        <v>8729</v>
      </c>
      <c r="H16" s="40">
        <v>0</v>
      </c>
      <c r="I16" s="40">
        <v>0</v>
      </c>
      <c r="J16" s="40" t="s">
        <v>23</v>
      </c>
      <c r="K16" s="34">
        <f t="shared" si="0"/>
        <v>8729</v>
      </c>
    </row>
    <row r="17" spans="1:11" ht="11.25" customHeight="1">
      <c r="A17" s="95">
        <v>2016</v>
      </c>
      <c r="B17" s="40">
        <f>'A-7'!L405</f>
        <v>225</v>
      </c>
      <c r="C17" s="40">
        <f>'A-7'!L424</f>
        <v>237</v>
      </c>
      <c r="D17" s="40">
        <f>'A-7'!L446</f>
        <v>2756</v>
      </c>
      <c r="E17" s="40">
        <f>'A-7'!L465</f>
        <v>1047</v>
      </c>
      <c r="F17" s="40">
        <f>'A-7'!L487</f>
        <v>127</v>
      </c>
      <c r="G17" s="40">
        <f>'A-7'!L528</f>
        <v>4392</v>
      </c>
      <c r="H17" s="40">
        <v>0</v>
      </c>
      <c r="I17" s="40">
        <v>0</v>
      </c>
      <c r="J17" s="40" t="s">
        <v>23</v>
      </c>
      <c r="K17" s="34">
        <f t="shared" si="0"/>
        <v>4392</v>
      </c>
    </row>
    <row r="18" spans="1:11" ht="11.25" customHeight="1">
      <c r="A18" s="95">
        <v>2017</v>
      </c>
      <c r="B18" s="40">
        <f>'A-7'!L406</f>
        <v>342</v>
      </c>
      <c r="C18" s="40">
        <f>'A-7'!L425</f>
        <v>182</v>
      </c>
      <c r="D18" s="40">
        <f>'A-7'!L447</f>
        <v>1264</v>
      </c>
      <c r="E18" s="40">
        <f>'A-7'!L466</f>
        <v>155</v>
      </c>
      <c r="F18" s="40">
        <f>'A-7'!L488</f>
        <v>109</v>
      </c>
      <c r="G18" s="40">
        <f>'A-7'!L529</f>
        <v>2052</v>
      </c>
      <c r="H18" s="40">
        <v>0</v>
      </c>
      <c r="I18" s="40">
        <v>0</v>
      </c>
      <c r="J18" s="40" t="s">
        <v>23</v>
      </c>
      <c r="K18" s="34">
        <f t="shared" si="0"/>
        <v>2052</v>
      </c>
    </row>
    <row r="19" spans="1:11" ht="11.25" customHeight="1">
      <c r="A19" s="95">
        <v>2018</v>
      </c>
      <c r="B19" s="40">
        <f>'A-7'!L407</f>
        <v>98</v>
      </c>
      <c r="C19" s="40">
        <f>'A-7'!L426</f>
        <v>179</v>
      </c>
      <c r="D19" s="40">
        <f>'A-7'!L448</f>
        <v>1043</v>
      </c>
      <c r="E19" s="40">
        <f>'A-7'!L467</f>
        <v>778</v>
      </c>
      <c r="F19" s="40">
        <f>'A-7'!L489</f>
        <v>475</v>
      </c>
      <c r="G19" s="40">
        <f>'A-7'!L530</f>
        <v>2573</v>
      </c>
      <c r="H19" s="40">
        <v>0</v>
      </c>
      <c r="I19" s="40">
        <v>0</v>
      </c>
      <c r="J19" s="40" t="s">
        <v>23</v>
      </c>
      <c r="K19" s="34">
        <f t="shared" si="0"/>
        <v>2573</v>
      </c>
    </row>
    <row r="20" spans="1:11" ht="11.25" customHeight="1">
      <c r="A20" s="95">
        <v>2019</v>
      </c>
      <c r="B20" s="40">
        <f>'A-7'!L408</f>
        <v>187</v>
      </c>
      <c r="C20" s="40">
        <f>'A-7'!L427</f>
        <v>137</v>
      </c>
      <c r="D20" s="40">
        <f>'A-7'!L449</f>
        <v>1593</v>
      </c>
      <c r="E20" s="40">
        <f>'A-7'!L468</f>
        <v>387</v>
      </c>
      <c r="F20" s="40">
        <f>'A-7'!L490</f>
        <v>236</v>
      </c>
      <c r="G20" s="40">
        <f>'A-7'!L531</f>
        <v>2540</v>
      </c>
      <c r="H20" s="40">
        <v>0</v>
      </c>
      <c r="I20" s="40">
        <v>0</v>
      </c>
      <c r="J20" s="40" t="s">
        <v>23</v>
      </c>
      <c r="K20" s="34">
        <f t="shared" ref="K20" si="1">SUM(G20:J20)</f>
        <v>2540</v>
      </c>
    </row>
    <row r="21" spans="1:11" ht="11.25" customHeight="1">
      <c r="A21" s="95">
        <v>2020</v>
      </c>
      <c r="B21" s="40">
        <f>'A-7'!L409</f>
        <v>65</v>
      </c>
      <c r="C21" s="40">
        <f>'A-7'!L428</f>
        <v>134</v>
      </c>
      <c r="D21" s="40">
        <f>'A-7'!L450</f>
        <v>1185</v>
      </c>
      <c r="E21" s="40">
        <f>'A-7'!L469</f>
        <v>461</v>
      </c>
      <c r="F21" s="40">
        <f>'A-7'!L491</f>
        <v>123</v>
      </c>
      <c r="G21" s="40">
        <f>'A-7'!L532</f>
        <v>1968</v>
      </c>
      <c r="H21" s="40">
        <v>0</v>
      </c>
      <c r="I21" s="40">
        <v>0</v>
      </c>
      <c r="J21" s="40" t="s">
        <v>23</v>
      </c>
      <c r="K21" s="34">
        <f t="shared" ref="K21" si="2">SUM(G21:J21)</f>
        <v>1968</v>
      </c>
    </row>
    <row r="22" spans="1:11" ht="11.25" customHeight="1">
      <c r="A22" s="95" t="s">
        <v>317</v>
      </c>
      <c r="B22" s="40">
        <f>'A-7'!L410</f>
        <v>40</v>
      </c>
      <c r="C22" s="40">
        <f>'A-7'!L429</f>
        <v>224</v>
      </c>
      <c r="D22" s="40">
        <f>'A-7'!L451</f>
        <v>1160</v>
      </c>
      <c r="E22" s="40">
        <f>'A-7'!L470</f>
        <v>427</v>
      </c>
      <c r="F22" s="40">
        <f>'A-7'!L492</f>
        <v>118</v>
      </c>
      <c r="G22" s="40">
        <f>'A-7'!L533</f>
        <v>1969</v>
      </c>
      <c r="H22" s="40">
        <v>0</v>
      </c>
      <c r="I22" s="40">
        <v>0</v>
      </c>
      <c r="J22" s="40" t="s">
        <v>23</v>
      </c>
      <c r="K22" s="34">
        <f t="shared" si="0"/>
        <v>1969</v>
      </c>
    </row>
    <row r="23" spans="1:11" ht="11.25" customHeight="1">
      <c r="B23" s="62"/>
      <c r="C23" s="62"/>
      <c r="D23" s="62"/>
      <c r="E23" s="67"/>
      <c r="F23" s="67"/>
      <c r="G23" s="67"/>
      <c r="H23" s="62"/>
      <c r="I23" s="62"/>
      <c r="J23" s="62"/>
      <c r="K23" s="64"/>
    </row>
    <row r="24" spans="1:11" ht="11.25" customHeight="1">
      <c r="A24" s="294" t="s">
        <v>104</v>
      </c>
      <c r="B24" s="294"/>
      <c r="C24" s="294"/>
      <c r="D24" s="294"/>
      <c r="E24" s="294"/>
      <c r="F24" s="294"/>
      <c r="G24" s="294"/>
      <c r="H24" s="294"/>
      <c r="I24" s="294"/>
      <c r="J24" s="294"/>
      <c r="K24" s="294"/>
    </row>
    <row r="25" spans="1:11" ht="11.25" hidden="1" customHeight="1">
      <c r="A25" s="91" t="s">
        <v>26</v>
      </c>
      <c r="B25" s="40" t="e">
        <f>'A-8'!#REF!</f>
        <v>#REF!</v>
      </c>
      <c r="C25" s="40" t="e">
        <f>'A-8'!#REF!</f>
        <v>#REF!</v>
      </c>
      <c r="D25" s="40" t="e">
        <f>'A-8'!#REF!</f>
        <v>#REF!</v>
      </c>
      <c r="E25" s="66" t="e">
        <f>'A-8'!#REF!</f>
        <v>#REF!</v>
      </c>
      <c r="F25" s="66" t="e">
        <f>'A-8'!#REF!</f>
        <v>#REF!</v>
      </c>
      <c r="G25" s="66" t="e">
        <f>'A-8'!#REF!</f>
        <v>#REF!</v>
      </c>
      <c r="H25" s="40">
        <v>300</v>
      </c>
      <c r="I25" s="40">
        <v>2800</v>
      </c>
      <c r="J25" s="40">
        <v>900</v>
      </c>
      <c r="K25" s="34" t="e">
        <f t="shared" ref="K25:K31" si="3">SUM(G25:J25)</f>
        <v>#REF!</v>
      </c>
    </row>
    <row r="26" spans="1:11" ht="11.25" customHeight="1">
      <c r="A26" s="91" t="s">
        <v>56</v>
      </c>
      <c r="B26" s="40">
        <f>'A-8'!L538</f>
        <v>5555.8</v>
      </c>
      <c r="C26" s="40">
        <f>'A-8'!L557</f>
        <v>5901.4</v>
      </c>
      <c r="D26" s="40">
        <f>'A-8'!L579</f>
        <v>27916.6</v>
      </c>
      <c r="E26" s="40">
        <f>'A-8'!L598</f>
        <v>63506.6</v>
      </c>
      <c r="F26" s="40">
        <f>'A-8'!L620</f>
        <v>42622.6</v>
      </c>
      <c r="G26" s="40">
        <f>'A-8'!L661</f>
        <v>145503</v>
      </c>
      <c r="H26" s="40">
        <v>89</v>
      </c>
      <c r="I26" s="40">
        <v>2982</v>
      </c>
      <c r="J26" s="40">
        <v>2157</v>
      </c>
      <c r="K26" s="34">
        <f t="shared" si="3"/>
        <v>150731</v>
      </c>
    </row>
    <row r="27" spans="1:11" ht="11.25" customHeight="1">
      <c r="A27" s="91" t="s">
        <v>78</v>
      </c>
      <c r="B27" s="40">
        <f>'A-8'!L539</f>
        <v>3477.2</v>
      </c>
      <c r="C27" s="40">
        <f>'A-8'!L558</f>
        <v>26241.599999999999</v>
      </c>
      <c r="D27" s="40">
        <f>'A-8'!L580</f>
        <v>82956.800000000003</v>
      </c>
      <c r="E27" s="40">
        <f>'A-8'!L599</f>
        <v>253426.4</v>
      </c>
      <c r="F27" s="40">
        <f>'A-8'!L621</f>
        <v>28824.6</v>
      </c>
      <c r="G27" s="40">
        <f>'A-8'!L662</f>
        <v>394926.6</v>
      </c>
      <c r="H27" s="40">
        <v>137</v>
      </c>
      <c r="I27" s="40">
        <v>1179</v>
      </c>
      <c r="J27" s="40">
        <v>1385.8</v>
      </c>
      <c r="K27" s="34">
        <f>SUM(G27:J27)</f>
        <v>397628.39999999997</v>
      </c>
    </row>
    <row r="28" spans="1:11" ht="11.25" customHeight="1">
      <c r="A28" s="91" t="s">
        <v>10</v>
      </c>
      <c r="B28" s="40">
        <f>'A-8'!L540</f>
        <v>937.33333333333337</v>
      </c>
      <c r="C28" s="40">
        <f>'A-8'!L559</f>
        <v>6886.8</v>
      </c>
      <c r="D28" s="40">
        <f>'A-8'!L581</f>
        <v>76934.2</v>
      </c>
      <c r="E28" s="40">
        <f>'A-8'!L600</f>
        <v>15554</v>
      </c>
      <c r="F28" s="40">
        <f>'A-8'!L622</f>
        <v>1678.6666666666667</v>
      </c>
      <c r="G28" s="40">
        <f>'A-8'!L663</f>
        <v>100944.6</v>
      </c>
      <c r="H28" s="40">
        <v>0</v>
      </c>
      <c r="I28" s="40">
        <f>AVERAGE(33,813,0,0)</f>
        <v>211.5</v>
      </c>
      <c r="J28" s="40">
        <f>AVERAGE(150,29,119,804)</f>
        <v>275.5</v>
      </c>
      <c r="K28" s="34">
        <f>SUM(G28:J28)</f>
        <v>101431.6</v>
      </c>
    </row>
    <row r="29" spans="1:11" ht="11.25" customHeight="1">
      <c r="A29" s="95" t="s">
        <v>144</v>
      </c>
      <c r="B29" s="40">
        <f>'A-8'!L541</f>
        <v>572</v>
      </c>
      <c r="C29" s="40">
        <f>'A-8'!L560</f>
        <v>8191</v>
      </c>
      <c r="D29" s="40">
        <f>'A-8'!L582</f>
        <v>81290.399999999994</v>
      </c>
      <c r="E29" s="40">
        <f>'A-8'!L601</f>
        <v>36042.400000000001</v>
      </c>
      <c r="F29" s="40">
        <f>'A-8'!L623</f>
        <v>3541.6</v>
      </c>
      <c r="G29" s="40">
        <f>'A-8'!L664</f>
        <v>129523</v>
      </c>
      <c r="H29" s="40">
        <v>0</v>
      </c>
      <c r="I29" s="40">
        <f>AVERAGE(0,0,0,181,90)</f>
        <v>54.2</v>
      </c>
      <c r="J29" s="40">
        <f>AVERAGE(1967,148,658,90,124)</f>
        <v>597.4</v>
      </c>
      <c r="K29" s="34">
        <f>SUM(G29:J29)</f>
        <v>130174.59999999999</v>
      </c>
    </row>
    <row r="30" spans="1:11" ht="11.25" customHeight="1">
      <c r="A30" s="95" t="s">
        <v>166</v>
      </c>
      <c r="B30" s="40">
        <f>'A-8'!L542</f>
        <v>8095</v>
      </c>
      <c r="C30" s="40">
        <f>'A-8'!L561</f>
        <v>25572.2</v>
      </c>
      <c r="D30" s="40">
        <f>'A-8'!L583</f>
        <v>126126</v>
      </c>
      <c r="E30" s="40">
        <f>'A-8'!L602</f>
        <v>117528.8</v>
      </c>
      <c r="F30" s="40">
        <f>'A-8'!L624</f>
        <v>5244.8</v>
      </c>
      <c r="G30" s="40">
        <f>'A-8'!L665</f>
        <v>282566.8</v>
      </c>
      <c r="H30" s="145">
        <v>0</v>
      </c>
      <c r="I30" s="40">
        <f>AVERAGE(1194,14966,3188,8522,0)</f>
        <v>5574</v>
      </c>
      <c r="J30" s="40">
        <f>AVERAGE(539,182,833,0,0)</f>
        <v>310.8</v>
      </c>
      <c r="K30" s="34">
        <f t="shared" si="3"/>
        <v>288451.59999999998</v>
      </c>
    </row>
    <row r="31" spans="1:11" ht="11.25" customHeight="1">
      <c r="A31" s="95" t="s">
        <v>315</v>
      </c>
      <c r="B31" s="40">
        <f>'A-8'!L543</f>
        <v>5839.6</v>
      </c>
      <c r="C31" s="40">
        <f>'A-8'!L562</f>
        <v>2160.4</v>
      </c>
      <c r="D31" s="40">
        <f>'A-8'!L584</f>
        <v>11778.666666666666</v>
      </c>
      <c r="E31" s="40">
        <f>'A-8'!L603</f>
        <v>7120.8</v>
      </c>
      <c r="F31" s="40">
        <f>'A-8'!L625</f>
        <v>1485</v>
      </c>
      <c r="G31" s="40">
        <f>'A-8'!L666</f>
        <v>23376</v>
      </c>
      <c r="H31" s="145">
        <v>0</v>
      </c>
      <c r="I31" s="40">
        <v>0</v>
      </c>
      <c r="J31" s="40">
        <v>0</v>
      </c>
      <c r="K31" s="34">
        <f t="shared" si="3"/>
        <v>23376</v>
      </c>
    </row>
    <row r="32" spans="1:11" ht="11.25" customHeight="1">
      <c r="A32" s="95">
        <v>2011</v>
      </c>
      <c r="B32" s="40">
        <f>'A-8'!L64</f>
        <v>2836</v>
      </c>
      <c r="C32" s="40">
        <f>'A-8'!L136</f>
        <v>1106</v>
      </c>
      <c r="D32" s="40">
        <f>'A-8'!L208</f>
        <v>4980</v>
      </c>
      <c r="E32" s="40">
        <f>'A-8'!L280</f>
        <v>21833</v>
      </c>
      <c r="F32" s="40">
        <f>'A-8'!L352</f>
        <v>1326</v>
      </c>
      <c r="G32" s="40">
        <f>'A-8'!L496</f>
        <v>32081</v>
      </c>
      <c r="H32" s="40">
        <v>0</v>
      </c>
      <c r="I32" s="40">
        <v>0</v>
      </c>
      <c r="J32" s="40" t="s">
        <v>23</v>
      </c>
      <c r="K32" s="34">
        <f t="shared" ref="K32:K42" si="4">SUM(G32:J32)</f>
        <v>32081</v>
      </c>
    </row>
    <row r="33" spans="1:12" ht="11.25" customHeight="1">
      <c r="A33" s="95">
        <v>2012</v>
      </c>
      <c r="B33" s="40">
        <f>'A-8'!L65</f>
        <v>8444</v>
      </c>
      <c r="C33" s="40">
        <f>'A-8'!L137</f>
        <v>7397</v>
      </c>
      <c r="D33" s="40">
        <f>'A-8'!L209</f>
        <v>26612</v>
      </c>
      <c r="E33" s="40">
        <f>'A-8'!L281</f>
        <v>25204</v>
      </c>
      <c r="F33" s="40">
        <f>'A-8'!L353</f>
        <v>5444</v>
      </c>
      <c r="G33" s="40">
        <f>'A-8'!L497</f>
        <v>73101</v>
      </c>
      <c r="H33" s="40">
        <v>0</v>
      </c>
      <c r="I33" s="40">
        <v>0</v>
      </c>
      <c r="J33" s="40" t="s">
        <v>23</v>
      </c>
      <c r="K33" s="34">
        <f t="shared" si="4"/>
        <v>73101</v>
      </c>
    </row>
    <row r="34" spans="1:12" ht="11.25" customHeight="1">
      <c r="A34" s="95">
        <v>2013</v>
      </c>
      <c r="B34" s="40">
        <f>'A-8'!L66</f>
        <v>1945</v>
      </c>
      <c r="C34" s="40">
        <f>'A-8'!L138</f>
        <v>8880</v>
      </c>
      <c r="D34" s="40">
        <f>'A-8'!L210</f>
        <v>15700</v>
      </c>
      <c r="E34" s="40">
        <f>'A-8'!L282</f>
        <v>79416</v>
      </c>
      <c r="F34" s="40">
        <f>'A-8'!L354</f>
        <v>6816</v>
      </c>
      <c r="G34" s="40">
        <f>'A-8'!L498</f>
        <v>112757</v>
      </c>
      <c r="H34" s="40">
        <v>0</v>
      </c>
      <c r="I34" s="40">
        <v>0</v>
      </c>
      <c r="J34" s="40" t="s">
        <v>23</v>
      </c>
      <c r="K34" s="34">
        <f t="shared" si="4"/>
        <v>112757</v>
      </c>
    </row>
    <row r="35" spans="1:12" ht="11.25" customHeight="1">
      <c r="A35" s="95">
        <v>2014</v>
      </c>
      <c r="B35" s="40">
        <f>'A-8'!L67</f>
        <v>16182</v>
      </c>
      <c r="C35" s="40">
        <f>'A-8'!L139</f>
        <v>7009</v>
      </c>
      <c r="D35" s="40">
        <f>'A-8'!L211</f>
        <v>83122</v>
      </c>
      <c r="E35" s="40">
        <f>'A-8'!L283</f>
        <v>85637</v>
      </c>
      <c r="F35" s="40">
        <f>'A-8'!L355</f>
        <v>16146</v>
      </c>
      <c r="G35" s="40">
        <f>'A-8'!L499</f>
        <v>208096</v>
      </c>
      <c r="H35" s="40">
        <v>0</v>
      </c>
      <c r="I35" s="40">
        <v>0</v>
      </c>
      <c r="J35" s="40" t="s">
        <v>23</v>
      </c>
      <c r="K35" s="34">
        <f t="shared" si="4"/>
        <v>208096</v>
      </c>
    </row>
    <row r="36" spans="1:12" ht="11.25" customHeight="1">
      <c r="A36" s="95">
        <v>2015</v>
      </c>
      <c r="B36" s="40">
        <f>'A-8'!L68</f>
        <v>10882</v>
      </c>
      <c r="C36" s="40">
        <f>'A-8'!L140</f>
        <v>8845</v>
      </c>
      <c r="D36" s="40">
        <f>'A-8'!L212</f>
        <v>36858</v>
      </c>
      <c r="E36" s="40">
        <f>'A-8'!L284</f>
        <v>43451</v>
      </c>
      <c r="F36" s="40">
        <f>'A-8'!L356</f>
        <v>4223</v>
      </c>
      <c r="G36" s="40">
        <f>'A-8'!L500</f>
        <v>104259</v>
      </c>
      <c r="H36" s="40">
        <v>0</v>
      </c>
      <c r="I36" s="40">
        <v>0</v>
      </c>
      <c r="J36" s="40" t="s">
        <v>23</v>
      </c>
      <c r="K36" s="34">
        <f t="shared" si="4"/>
        <v>104259</v>
      </c>
    </row>
    <row r="37" spans="1:12" ht="11.25" customHeight="1">
      <c r="A37" s="95">
        <v>2016</v>
      </c>
      <c r="B37" s="40">
        <f>'A-8'!L69</f>
        <v>2058</v>
      </c>
      <c r="C37" s="40">
        <f>'A-8'!L141</f>
        <v>1067</v>
      </c>
      <c r="D37" s="40">
        <f>'A-8'!L213</f>
        <v>31281</v>
      </c>
      <c r="E37" s="40">
        <f>'A-8'!L285</f>
        <v>7543</v>
      </c>
      <c r="F37" s="40">
        <f>'A-8'!L357</f>
        <v>398</v>
      </c>
      <c r="G37" s="40">
        <f>'A-8'!L501</f>
        <v>42347</v>
      </c>
      <c r="H37" s="40">
        <v>0</v>
      </c>
      <c r="I37" s="40">
        <v>0</v>
      </c>
      <c r="J37" s="40" t="s">
        <v>23</v>
      </c>
      <c r="K37" s="34">
        <f t="shared" si="4"/>
        <v>42347</v>
      </c>
    </row>
    <row r="38" spans="1:12" ht="11.25" customHeight="1">
      <c r="A38" s="95">
        <v>2017</v>
      </c>
      <c r="B38" s="40">
        <f>'A-8'!L70</f>
        <v>2627</v>
      </c>
      <c r="C38" s="40">
        <f>'A-8'!L142</f>
        <v>717</v>
      </c>
      <c r="D38" s="40">
        <f>'A-8'!L214</f>
        <v>17438</v>
      </c>
      <c r="E38" s="40">
        <f>'A-8'!L286</f>
        <v>734</v>
      </c>
      <c r="F38" s="40">
        <f>'A-8'!L358</f>
        <v>329</v>
      </c>
      <c r="G38" s="40">
        <f>'A-8'!L502</f>
        <v>21845</v>
      </c>
      <c r="H38" s="40">
        <v>0</v>
      </c>
      <c r="I38" s="40">
        <v>0</v>
      </c>
      <c r="J38" s="40" t="s">
        <v>23</v>
      </c>
      <c r="K38" s="34">
        <f t="shared" si="4"/>
        <v>21845</v>
      </c>
    </row>
    <row r="39" spans="1:12" ht="11.25" customHeight="1">
      <c r="A39" s="95">
        <v>2018</v>
      </c>
      <c r="B39" s="40">
        <f>'A-8'!L71</f>
        <v>333</v>
      </c>
      <c r="C39" s="40">
        <f>'A-8'!L143</f>
        <v>465</v>
      </c>
      <c r="D39" s="40">
        <f>'A-8'!L215</f>
        <v>14487</v>
      </c>
      <c r="E39" s="40">
        <f>'A-8'!L287</f>
        <v>5277</v>
      </c>
      <c r="F39" s="40">
        <f>'A-8'!L359</f>
        <v>3899</v>
      </c>
      <c r="G39" s="40">
        <f>'A-8'!L503</f>
        <v>24461</v>
      </c>
      <c r="H39" s="40">
        <v>0</v>
      </c>
      <c r="I39" s="40">
        <v>0</v>
      </c>
      <c r="J39" s="40" t="s">
        <v>23</v>
      </c>
      <c r="K39" s="34">
        <f t="shared" si="4"/>
        <v>24461</v>
      </c>
    </row>
    <row r="40" spans="1:12" ht="11.25" customHeight="1">
      <c r="A40" s="95">
        <v>2019</v>
      </c>
      <c r="B40" s="40">
        <f>'A-8'!L72</f>
        <v>508</v>
      </c>
      <c r="C40" s="40">
        <f>'A-8'!L144</f>
        <v>567</v>
      </c>
      <c r="D40" s="40">
        <f>'A-8'!L216</f>
        <v>22771</v>
      </c>
      <c r="E40" s="40">
        <f>'A-8'!L288</f>
        <v>3171</v>
      </c>
      <c r="F40" s="40">
        <f>'A-8'!L360</f>
        <v>1872</v>
      </c>
      <c r="G40" s="40">
        <f>'A-8'!L504</f>
        <v>28889</v>
      </c>
      <c r="H40" s="40">
        <v>0</v>
      </c>
      <c r="I40" s="40">
        <v>0</v>
      </c>
      <c r="J40" s="40" t="s">
        <v>23</v>
      </c>
      <c r="K40" s="34">
        <f t="shared" ref="K40:K41" si="5">SUM(G40:J40)</f>
        <v>28889</v>
      </c>
    </row>
    <row r="41" spans="1:12" ht="11.25" customHeight="1">
      <c r="A41" s="95">
        <v>2020</v>
      </c>
      <c r="B41" s="40">
        <f>'A-8'!L73</f>
        <v>190</v>
      </c>
      <c r="C41" s="40">
        <f>'A-8'!L145</f>
        <v>678</v>
      </c>
      <c r="D41" s="40">
        <f>'A-8'!L217</f>
        <v>8934</v>
      </c>
      <c r="E41" s="40">
        <f>'A-8'!L289</f>
        <v>2183</v>
      </c>
      <c r="F41" s="40">
        <f>'A-8'!L361</f>
        <v>825</v>
      </c>
      <c r="G41" s="40">
        <f>'A-8'!L505</f>
        <v>12810</v>
      </c>
      <c r="H41" s="40">
        <v>0</v>
      </c>
      <c r="I41" s="40">
        <v>0</v>
      </c>
      <c r="J41" s="40" t="s">
        <v>23</v>
      </c>
      <c r="K41" s="34">
        <f t="shared" si="5"/>
        <v>12810</v>
      </c>
    </row>
    <row r="42" spans="1:12" ht="11.25" customHeight="1">
      <c r="A42" s="95" t="s">
        <v>317</v>
      </c>
      <c r="B42" s="40">
        <f>'A-8'!L74</f>
        <v>178</v>
      </c>
      <c r="C42" s="40">
        <f>'A-8'!L146</f>
        <v>1308</v>
      </c>
      <c r="D42" s="40">
        <f>'A-8'!L218</f>
        <v>12667</v>
      </c>
      <c r="E42" s="40">
        <f>'A-8'!L290</f>
        <v>2960</v>
      </c>
      <c r="F42" s="40">
        <f>'A-8'!L362</f>
        <v>424</v>
      </c>
      <c r="G42" s="40">
        <f>'A-8'!L506</f>
        <v>17537</v>
      </c>
      <c r="H42" s="40">
        <v>0</v>
      </c>
      <c r="I42" s="40">
        <v>0</v>
      </c>
      <c r="J42" s="40" t="s">
        <v>23</v>
      </c>
      <c r="K42" s="34">
        <f t="shared" si="4"/>
        <v>17537</v>
      </c>
    </row>
    <row r="43" spans="1:12" ht="11.25" customHeight="1">
      <c r="B43" s="62"/>
      <c r="C43" s="62"/>
      <c r="D43" s="62"/>
      <c r="E43" s="67"/>
      <c r="F43" s="67"/>
      <c r="G43" s="67"/>
      <c r="H43" s="62"/>
      <c r="I43" s="62"/>
      <c r="J43" s="62"/>
      <c r="K43" s="64"/>
    </row>
    <row r="44" spans="1:12" ht="11.25" customHeight="1">
      <c r="A44" s="100" t="s">
        <v>245</v>
      </c>
      <c r="B44" s="61"/>
      <c r="C44" s="61"/>
      <c r="D44" s="61"/>
      <c r="E44" s="65"/>
      <c r="F44" s="65"/>
      <c r="G44" s="65"/>
      <c r="H44" s="61"/>
      <c r="I44" s="61"/>
      <c r="J44" s="61"/>
      <c r="K44" s="33"/>
      <c r="L44" s="28"/>
    </row>
    <row r="45" spans="1:12" ht="11.25" customHeight="1">
      <c r="A45" s="91" t="s">
        <v>46</v>
      </c>
      <c r="B45" s="36"/>
      <c r="C45" s="36"/>
      <c r="D45" s="36"/>
      <c r="E45" s="66"/>
      <c r="F45" s="66"/>
      <c r="G45" s="66" t="s">
        <v>21</v>
      </c>
      <c r="H45" s="36"/>
      <c r="I45" s="36"/>
      <c r="J45" s="36"/>
      <c r="K45" s="36"/>
      <c r="L45" s="63"/>
    </row>
    <row r="46" spans="1:12" ht="11.25" customHeight="1">
      <c r="A46" s="100" t="s">
        <v>189</v>
      </c>
      <c r="B46" s="35" t="s">
        <v>102</v>
      </c>
      <c r="C46" s="35" t="s">
        <v>47</v>
      </c>
      <c r="D46" s="35" t="s">
        <v>48</v>
      </c>
      <c r="E46" s="65" t="s">
        <v>49</v>
      </c>
      <c r="F46" s="65" t="s">
        <v>50</v>
      </c>
      <c r="G46" s="65" t="s">
        <v>51</v>
      </c>
      <c r="H46" s="35" t="s">
        <v>52</v>
      </c>
      <c r="I46" s="35" t="s">
        <v>53</v>
      </c>
      <c r="J46" s="35" t="s">
        <v>54</v>
      </c>
      <c r="K46" s="35" t="s">
        <v>55</v>
      </c>
      <c r="L46" s="63"/>
    </row>
    <row r="47" spans="1:12" ht="11.25" customHeight="1">
      <c r="A47" s="294" t="s">
        <v>105</v>
      </c>
      <c r="B47" s="294"/>
      <c r="C47" s="294"/>
      <c r="D47" s="294"/>
      <c r="E47" s="294"/>
      <c r="F47" s="294"/>
      <c r="G47" s="294"/>
      <c r="H47" s="294"/>
      <c r="I47" s="294"/>
      <c r="J47" s="294"/>
      <c r="K47" s="294"/>
    </row>
    <row r="48" spans="1:12" ht="11.25" hidden="1" customHeight="1">
      <c r="A48" s="91" t="s">
        <v>26</v>
      </c>
      <c r="B48" s="40" t="e">
        <f>'A-8'!#REF!</f>
        <v>#REF!</v>
      </c>
      <c r="C48" s="40" t="e">
        <f>'A-8'!#REF!</f>
        <v>#REF!</v>
      </c>
      <c r="D48" s="40" t="e">
        <f>'A-8'!#REF!</f>
        <v>#REF!</v>
      </c>
      <c r="E48" s="66" t="e">
        <f>'A-8'!#REF!</f>
        <v>#REF!</v>
      </c>
      <c r="F48" s="66" t="e">
        <f>'A-8'!#REF!</f>
        <v>#REF!</v>
      </c>
      <c r="G48" s="66" t="e">
        <f>'A-8'!#REF!</f>
        <v>#REF!</v>
      </c>
      <c r="H48" s="40">
        <v>1800</v>
      </c>
      <c r="I48" s="40">
        <v>9300</v>
      </c>
      <c r="J48" s="40">
        <v>300</v>
      </c>
      <c r="K48" s="34" t="e">
        <f t="shared" ref="K48:K54" si="6">SUM(G48:J48)</f>
        <v>#REF!</v>
      </c>
    </row>
    <row r="49" spans="1:12" ht="11.25" customHeight="1">
      <c r="A49" s="91" t="s">
        <v>56</v>
      </c>
      <c r="B49" s="40">
        <f>'A-8'!S538</f>
        <v>21305</v>
      </c>
      <c r="C49" s="40">
        <f>'A-8'!S557</f>
        <v>84330.5</v>
      </c>
      <c r="D49" s="40">
        <f>'A-8'!S579</f>
        <v>109714.5</v>
      </c>
      <c r="E49" s="40">
        <f>'A-8'!S598</f>
        <v>131469.5</v>
      </c>
      <c r="F49" s="40">
        <f>'A-8'!S620</f>
        <v>24728.25</v>
      </c>
      <c r="G49" s="40">
        <f>'A-8'!S661</f>
        <v>301499.2</v>
      </c>
      <c r="H49" s="40">
        <v>0</v>
      </c>
      <c r="I49" s="40">
        <v>9590</v>
      </c>
      <c r="J49" s="40">
        <v>621</v>
      </c>
      <c r="K49" s="34">
        <f t="shared" si="6"/>
        <v>311710.2</v>
      </c>
    </row>
    <row r="50" spans="1:12" ht="11.25" customHeight="1">
      <c r="A50" s="91" t="s">
        <v>78</v>
      </c>
      <c r="B50" s="40">
        <f>'A-8'!S539</f>
        <v>21363.75</v>
      </c>
      <c r="C50" s="40">
        <f>'A-8'!S558</f>
        <v>106658.4</v>
      </c>
      <c r="D50" s="40">
        <f>'A-8'!S580</f>
        <v>135872.20000000001</v>
      </c>
      <c r="E50" s="40">
        <f>'A-8'!S599</f>
        <v>132522</v>
      </c>
      <c r="F50" s="40">
        <f>'A-8'!S621</f>
        <v>6374.5</v>
      </c>
      <c r="G50" s="40">
        <f>'A-8'!S662</f>
        <v>397243.2</v>
      </c>
      <c r="H50" s="40">
        <v>7.2</v>
      </c>
      <c r="I50" s="40">
        <v>4178.5</v>
      </c>
      <c r="J50" s="40">
        <v>279</v>
      </c>
      <c r="K50" s="34">
        <f>SUM(G50:J50)</f>
        <v>401707.9</v>
      </c>
    </row>
    <row r="51" spans="1:12" ht="11.25" customHeight="1">
      <c r="A51" s="91" t="s">
        <v>10</v>
      </c>
      <c r="B51" s="40">
        <f>'A-8'!S540</f>
        <v>9949</v>
      </c>
      <c r="C51" s="40">
        <f>'A-8'!S559</f>
        <v>48905</v>
      </c>
      <c r="D51" s="40">
        <f>'A-8'!S581</f>
        <v>41189.666666666664</v>
      </c>
      <c r="E51" s="40">
        <f>'A-8'!S600</f>
        <v>35624.666666666664</v>
      </c>
      <c r="F51" s="40" t="str">
        <f>'A-8'!S622</f>
        <v>-</v>
      </c>
      <c r="G51" s="40">
        <f>'A-8'!S663</f>
        <v>119366.66666666667</v>
      </c>
      <c r="H51" s="40">
        <v>0</v>
      </c>
      <c r="I51" s="40">
        <f>AVERAGE(280,137,5,0)</f>
        <v>105.5</v>
      </c>
      <c r="J51" s="40">
        <f>AVERAGE(55)</f>
        <v>55</v>
      </c>
      <c r="K51" s="34">
        <f>SUM(G51:J51)</f>
        <v>119527.16666666667</v>
      </c>
    </row>
    <row r="52" spans="1:12" ht="11.25" customHeight="1">
      <c r="A52" s="95" t="s">
        <v>144</v>
      </c>
      <c r="B52" s="40">
        <f>'A-8'!S541</f>
        <v>12258</v>
      </c>
      <c r="C52" s="40" t="str">
        <f>'A-8'!S560</f>
        <v>-</v>
      </c>
      <c r="D52" s="40" t="str">
        <f>'A-8'!S582</f>
        <v>-</v>
      </c>
      <c r="E52" s="40">
        <f>'A-8'!S601</f>
        <v>8</v>
      </c>
      <c r="F52" s="40" t="str">
        <f>'A-8'!S623</f>
        <v>-</v>
      </c>
      <c r="G52" s="40">
        <f>'A-8'!S664</f>
        <v>6133</v>
      </c>
      <c r="H52" s="40">
        <v>0</v>
      </c>
      <c r="I52" s="40">
        <f>AVERAGE(0,172,0)</f>
        <v>57.333333333333336</v>
      </c>
      <c r="J52" s="60" t="s">
        <v>23</v>
      </c>
      <c r="K52" s="34">
        <f>SUM(G52:J52)</f>
        <v>6190.333333333333</v>
      </c>
    </row>
    <row r="53" spans="1:12" ht="11.25" customHeight="1">
      <c r="A53" s="95" t="s">
        <v>166</v>
      </c>
      <c r="B53" s="40">
        <f>'A-8'!S542</f>
        <v>5749.2</v>
      </c>
      <c r="C53" s="40" t="str">
        <f>'A-8'!S561</f>
        <v>-</v>
      </c>
      <c r="D53" s="40" t="str">
        <f>'A-8'!S583</f>
        <v>-</v>
      </c>
      <c r="E53" s="40" t="str">
        <f>'A-8'!S602</f>
        <v>-</v>
      </c>
      <c r="F53" s="40" t="str">
        <f>'A-8'!S624</f>
        <v>-</v>
      </c>
      <c r="G53" s="40">
        <f>'A-8'!S665</f>
        <v>5749.2</v>
      </c>
      <c r="H53" s="40">
        <v>0</v>
      </c>
      <c r="I53" s="40">
        <f>AVERAGE(34,0,270,453)</f>
        <v>189.25</v>
      </c>
      <c r="J53" s="40" t="s">
        <v>23</v>
      </c>
      <c r="K53" s="34">
        <f t="shared" si="6"/>
        <v>5938.45</v>
      </c>
      <c r="L53" s="10"/>
    </row>
    <row r="54" spans="1:12" ht="11.25" customHeight="1">
      <c r="A54" s="95" t="s">
        <v>315</v>
      </c>
      <c r="B54" s="40">
        <f>'A-8'!S543</f>
        <v>5425.2</v>
      </c>
      <c r="C54" s="40">
        <f>'A-8'!S562</f>
        <v>2384.5</v>
      </c>
      <c r="D54" s="40">
        <f>'A-8'!S584</f>
        <v>3494</v>
      </c>
      <c r="E54" s="40">
        <f>'A-8'!S603</f>
        <v>1538</v>
      </c>
      <c r="F54" s="40" t="str">
        <f>'A-8'!S625</f>
        <v>-</v>
      </c>
      <c r="G54" s="40">
        <f>'A-8'!S666</f>
        <v>8391.7999999999993</v>
      </c>
      <c r="H54" s="40">
        <v>0</v>
      </c>
      <c r="I54" s="40">
        <v>0</v>
      </c>
      <c r="J54" s="40" t="s">
        <v>23</v>
      </c>
      <c r="K54" s="34">
        <f t="shared" si="6"/>
        <v>8391.7999999999993</v>
      </c>
      <c r="L54" s="10"/>
    </row>
    <row r="55" spans="1:12" ht="11.25" customHeight="1">
      <c r="A55" s="95">
        <v>2011</v>
      </c>
      <c r="B55" s="40">
        <f>'A-8'!S64</f>
        <v>464</v>
      </c>
      <c r="C55" s="40" t="str">
        <f>'A-8'!S136</f>
        <v>-</v>
      </c>
      <c r="D55" s="40" t="str">
        <f>'A-8'!S208</f>
        <v>-</v>
      </c>
      <c r="E55" s="40" t="str">
        <f>'A-8'!S280</f>
        <v>-</v>
      </c>
      <c r="F55" s="40" t="str">
        <f>'A-8'!S352</f>
        <v>-</v>
      </c>
      <c r="G55" s="40">
        <f>'A-8'!S496</f>
        <v>464</v>
      </c>
      <c r="H55" s="40">
        <v>0</v>
      </c>
      <c r="I55" s="40">
        <v>0</v>
      </c>
      <c r="J55" s="40" t="s">
        <v>23</v>
      </c>
      <c r="K55" s="34">
        <f t="shared" ref="K55:K65" si="7">SUM(G55:J55)</f>
        <v>464</v>
      </c>
    </row>
    <row r="56" spans="1:12" ht="11.25" customHeight="1">
      <c r="A56" s="95">
        <v>2012</v>
      </c>
      <c r="B56" s="40">
        <f>'A-8'!S65</f>
        <v>624</v>
      </c>
      <c r="C56" s="40" t="str">
        <f>'A-8'!S137</f>
        <v>-</v>
      </c>
      <c r="D56" s="40" t="str">
        <f>'A-8'!S209</f>
        <v>-</v>
      </c>
      <c r="E56" s="40" t="str">
        <f>'A-8'!S281</f>
        <v>-</v>
      </c>
      <c r="F56" s="40" t="str">
        <f>'A-8'!S353</f>
        <v>-</v>
      </c>
      <c r="G56" s="40">
        <f>'A-8'!S497</f>
        <v>624</v>
      </c>
      <c r="H56" s="40">
        <v>0</v>
      </c>
      <c r="I56" s="40">
        <v>0</v>
      </c>
      <c r="J56" s="40" t="s">
        <v>23</v>
      </c>
      <c r="K56" s="34">
        <f t="shared" si="7"/>
        <v>624</v>
      </c>
    </row>
    <row r="57" spans="1:12" ht="11.25" customHeight="1">
      <c r="A57" s="95">
        <v>2013</v>
      </c>
      <c r="B57" s="40">
        <f>'A-8'!S66</f>
        <v>452</v>
      </c>
      <c r="C57" s="40" t="str">
        <f>'A-8'!S138</f>
        <v>-</v>
      </c>
      <c r="D57" s="40" t="str">
        <f>'A-8'!S210</f>
        <v>-</v>
      </c>
      <c r="E57" s="40" t="str">
        <f>'A-8'!S282</f>
        <v>-</v>
      </c>
      <c r="F57" s="40" t="str">
        <f>'A-8'!S354</f>
        <v>-</v>
      </c>
      <c r="G57" s="40">
        <f>'A-8'!S498</f>
        <v>452</v>
      </c>
      <c r="H57" s="40">
        <v>0</v>
      </c>
      <c r="I57" s="40">
        <v>0</v>
      </c>
      <c r="J57" s="40" t="s">
        <v>23</v>
      </c>
      <c r="K57" s="34">
        <f t="shared" si="7"/>
        <v>452</v>
      </c>
    </row>
    <row r="58" spans="1:12" ht="11.25" customHeight="1">
      <c r="A58" s="95">
        <v>2014</v>
      </c>
      <c r="B58" s="40">
        <f>'A-8'!S67</f>
        <v>7702</v>
      </c>
      <c r="C58" s="40">
        <f>'A-8'!S139</f>
        <v>1104</v>
      </c>
      <c r="D58" s="40">
        <f>'A-8'!S211</f>
        <v>1222</v>
      </c>
      <c r="E58" s="40">
        <f>'A-8'!S283</f>
        <v>970</v>
      </c>
      <c r="F58" s="40" t="str">
        <f>'A-8'!S355</f>
        <v>-</v>
      </c>
      <c r="G58" s="40">
        <f>'A-8'!S499</f>
        <v>10998</v>
      </c>
      <c r="H58" s="40">
        <v>0</v>
      </c>
      <c r="I58" s="40">
        <v>0</v>
      </c>
      <c r="J58" s="40" t="s">
        <v>23</v>
      </c>
      <c r="K58" s="34">
        <f t="shared" si="7"/>
        <v>10998</v>
      </c>
    </row>
    <row r="59" spans="1:12" ht="11.25" customHeight="1">
      <c r="A59" s="95">
        <v>2015</v>
      </c>
      <c r="B59" s="40">
        <f>'A-8'!S68</f>
        <v>2213</v>
      </c>
      <c r="C59" s="40" t="str">
        <f>'A-8'!S140</f>
        <v>-</v>
      </c>
      <c r="D59" s="40" t="str">
        <f>'A-8'!S212</f>
        <v>-</v>
      </c>
      <c r="E59" s="40" t="str">
        <f>'A-8'!S284</f>
        <v>-</v>
      </c>
      <c r="F59" s="40" t="str">
        <f>'A-8'!S356</f>
        <v>-</v>
      </c>
      <c r="G59" s="40">
        <f>'A-8'!S500</f>
        <v>2213</v>
      </c>
      <c r="H59" s="40">
        <v>0</v>
      </c>
      <c r="I59" s="40">
        <v>0</v>
      </c>
      <c r="J59" s="40" t="s">
        <v>23</v>
      </c>
      <c r="K59" s="34">
        <f t="shared" si="7"/>
        <v>2213</v>
      </c>
    </row>
    <row r="60" spans="1:12" ht="11.25" customHeight="1">
      <c r="A60" s="95">
        <v>2016</v>
      </c>
      <c r="B60" s="40" t="str">
        <f>'A-8'!S69</f>
        <v>-</v>
      </c>
      <c r="C60" s="40" t="str">
        <f>'A-8'!S141</f>
        <v>-</v>
      </c>
      <c r="D60" s="40" t="str">
        <f>'A-8'!S213</f>
        <v>-</v>
      </c>
      <c r="E60" s="40" t="str">
        <f>'A-8'!S285</f>
        <v>-</v>
      </c>
      <c r="F60" s="40" t="str">
        <f>'A-8'!S357</f>
        <v>-</v>
      </c>
      <c r="G60" s="40" t="str">
        <f>'A-8'!S501</f>
        <v>-</v>
      </c>
      <c r="H60" s="40">
        <v>0</v>
      </c>
      <c r="I60" s="40">
        <v>0</v>
      </c>
      <c r="J60" s="40" t="s">
        <v>23</v>
      </c>
      <c r="K60" s="34">
        <f t="shared" si="7"/>
        <v>0</v>
      </c>
    </row>
    <row r="61" spans="1:12" ht="11.25" customHeight="1">
      <c r="A61" s="95">
        <v>2017</v>
      </c>
      <c r="B61" s="40">
        <f>'A-8'!S70</f>
        <v>470</v>
      </c>
      <c r="C61" s="40" t="str">
        <f>'A-8'!S142</f>
        <v>-</v>
      </c>
      <c r="D61" s="40" t="str">
        <f>'A-8'!S214</f>
        <v>-</v>
      </c>
      <c r="E61" s="40" t="str">
        <f>'A-8'!S286</f>
        <v>-</v>
      </c>
      <c r="F61" s="40" t="str">
        <f>'A-8'!S358</f>
        <v>-</v>
      </c>
      <c r="G61" s="40">
        <f>'A-8'!S502</f>
        <v>470</v>
      </c>
      <c r="H61" s="40">
        <v>0</v>
      </c>
      <c r="I61" s="40">
        <v>0</v>
      </c>
      <c r="J61" s="40" t="s">
        <v>23</v>
      </c>
      <c r="K61" s="34">
        <f t="shared" si="7"/>
        <v>470</v>
      </c>
    </row>
    <row r="62" spans="1:12" ht="11.25" customHeight="1">
      <c r="A62" s="95">
        <v>2018</v>
      </c>
      <c r="B62" s="40">
        <f>'A-8'!S71</f>
        <v>92</v>
      </c>
      <c r="C62" s="40" t="str">
        <f>'A-8'!S143</f>
        <v>-</v>
      </c>
      <c r="D62" s="40" t="str">
        <f>'A-8'!S215</f>
        <v>-</v>
      </c>
      <c r="E62" s="40" t="str">
        <f>'A-8'!S287</f>
        <v>-</v>
      </c>
      <c r="F62" s="40" t="str">
        <f>'A-8'!S359</f>
        <v>-</v>
      </c>
      <c r="G62" s="40">
        <f>'A-8'!S503</f>
        <v>92</v>
      </c>
      <c r="H62" s="40">
        <v>0</v>
      </c>
      <c r="I62" s="40">
        <v>0</v>
      </c>
      <c r="J62" s="40" t="s">
        <v>23</v>
      </c>
      <c r="K62" s="34">
        <f t="shared" si="7"/>
        <v>92</v>
      </c>
    </row>
    <row r="63" spans="1:12" ht="11.25" customHeight="1">
      <c r="A63" s="95">
        <v>2019</v>
      </c>
      <c r="B63" s="40">
        <f>'A-8'!S72</f>
        <v>1412</v>
      </c>
      <c r="C63" s="40" t="str">
        <f>'A-8'!S144</f>
        <v>-</v>
      </c>
      <c r="D63" s="40" t="str">
        <f>'A-8'!S216</f>
        <v>-</v>
      </c>
      <c r="E63" s="40" t="str">
        <f>'A-8'!S288</f>
        <v>-</v>
      </c>
      <c r="F63" s="40" t="str">
        <f>'A-8'!S360</f>
        <v>-</v>
      </c>
      <c r="G63" s="40">
        <f>'A-8'!S504</f>
        <v>1412</v>
      </c>
      <c r="H63" s="40">
        <v>0</v>
      </c>
      <c r="I63" s="40">
        <v>0</v>
      </c>
      <c r="J63" s="40" t="s">
        <v>23</v>
      </c>
      <c r="K63" s="34">
        <f t="shared" ref="K63" si="8">SUM(G63:J63)</f>
        <v>1412</v>
      </c>
    </row>
    <row r="64" spans="1:12" ht="11.25" customHeight="1">
      <c r="A64" s="95">
        <v>2020</v>
      </c>
      <c r="B64" s="40">
        <f>'A-8'!S73</f>
        <v>129</v>
      </c>
      <c r="C64" s="40" t="str">
        <f>'A-8'!S145</f>
        <v>-</v>
      </c>
      <c r="D64" s="40" t="str">
        <f>'A-8'!S217</f>
        <v>-</v>
      </c>
      <c r="E64" s="40" t="str">
        <f>'A-8'!S289</f>
        <v>-</v>
      </c>
      <c r="F64" s="40" t="str">
        <f>'A-8'!S361</f>
        <v>-</v>
      </c>
      <c r="G64" s="40">
        <f>'A-8'!S505</f>
        <v>129</v>
      </c>
      <c r="H64" s="40">
        <v>0</v>
      </c>
      <c r="I64" s="40">
        <v>0</v>
      </c>
      <c r="J64" s="40" t="s">
        <v>23</v>
      </c>
      <c r="K64" s="34">
        <f t="shared" ref="K64" si="9">SUM(G64:J64)</f>
        <v>129</v>
      </c>
    </row>
    <row r="65" spans="1:11" ht="11.25" customHeight="1">
      <c r="A65" s="95" t="s">
        <v>317</v>
      </c>
      <c r="B65" s="40">
        <f>'A-8'!S74</f>
        <v>141</v>
      </c>
      <c r="C65" s="40">
        <f>'A-8'!S146</f>
        <v>117</v>
      </c>
      <c r="D65" s="40">
        <f>'A-8'!S218</f>
        <v>1945</v>
      </c>
      <c r="E65" s="40">
        <f>'A-8'!S290</f>
        <v>26</v>
      </c>
      <c r="F65" s="40" t="str">
        <f>'A-8'!S362</f>
        <v>-</v>
      </c>
      <c r="G65" s="40">
        <f>'A-8'!S506</f>
        <v>2229</v>
      </c>
      <c r="H65" s="40">
        <v>0</v>
      </c>
      <c r="I65" s="40">
        <v>0</v>
      </c>
      <c r="J65" s="40" t="s">
        <v>23</v>
      </c>
      <c r="K65" s="34">
        <f t="shared" si="7"/>
        <v>2229</v>
      </c>
    </row>
    <row r="66" spans="1:11" s="214" customFormat="1" ht="55.5" customHeight="1">
      <c r="A66" s="295" t="s">
        <v>136</v>
      </c>
      <c r="B66" s="295"/>
      <c r="C66" s="295"/>
      <c r="D66" s="295"/>
      <c r="E66" s="295"/>
      <c r="F66" s="295"/>
      <c r="G66" s="295"/>
      <c r="H66" s="295"/>
      <c r="I66" s="295"/>
      <c r="J66" s="295"/>
      <c r="K66" s="295"/>
    </row>
    <row r="67" spans="1:11" ht="11.25" customHeight="1">
      <c r="A67" s="91" t="s">
        <v>42</v>
      </c>
      <c r="B67" s="192"/>
      <c r="C67" s="192"/>
      <c r="D67" s="192"/>
      <c r="E67" s="192"/>
      <c r="F67" s="192"/>
      <c r="G67" s="192"/>
      <c r="H67" s="192"/>
      <c r="I67" s="192"/>
      <c r="J67" s="192"/>
      <c r="K67" s="192"/>
    </row>
    <row r="68" spans="1:11" ht="11.25" customHeight="1">
      <c r="A68" s="192"/>
      <c r="B68" s="192"/>
      <c r="C68" s="192"/>
      <c r="D68" s="192"/>
      <c r="E68" s="192"/>
      <c r="F68" s="192"/>
      <c r="G68" s="192"/>
      <c r="H68" s="192"/>
      <c r="I68" s="192"/>
      <c r="J68" s="192"/>
      <c r="K68" s="192"/>
    </row>
    <row r="69" spans="1:11" ht="11.25" customHeight="1">
      <c r="A69" s="192"/>
      <c r="B69" s="192"/>
      <c r="C69" s="192"/>
      <c r="D69" s="192"/>
      <c r="E69" s="192"/>
      <c r="F69" s="192"/>
      <c r="G69" s="192"/>
      <c r="H69" s="192"/>
      <c r="I69" s="192"/>
      <c r="J69" s="192"/>
      <c r="K69" s="192"/>
    </row>
    <row r="70" spans="1:11" ht="11.25" customHeight="1">
      <c r="B70" s="91"/>
      <c r="C70" s="91"/>
      <c r="D70" s="91"/>
      <c r="E70" s="91"/>
      <c r="F70" s="91"/>
      <c r="G70" s="91"/>
      <c r="H70" s="91"/>
      <c r="I70" s="91"/>
      <c r="J70" s="91"/>
      <c r="K70" s="91"/>
    </row>
    <row r="175" spans="1:1">
      <c r="A175" s="95"/>
    </row>
  </sheetData>
  <mergeCells count="4">
    <mergeCell ref="A4:K4"/>
    <mergeCell ref="A66:K66"/>
    <mergeCell ref="A47:K47"/>
    <mergeCell ref="A24:K24"/>
  </mergeCells>
  <pageMargins left="0.7" right="0.7" top="0.75" bottom="0.75" header="0.3" footer="0.3"/>
  <pageSetup orientation="landscape" r:id="rId1"/>
  <rowBreaks count="1" manualBreakCount="1">
    <brk id="43" max="10"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0"/>
  <dimension ref="A1:L626"/>
  <sheetViews>
    <sheetView showGridLines="0" zoomScaleNormal="100" zoomScaleSheetLayoutView="90" workbookViewId="0">
      <pane xSplit="1" ySplit="3" topLeftCell="B490"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8" defaultRowHeight="11"/>
  <cols>
    <col min="1" max="1" width="8.83203125" style="95" customWidth="1"/>
    <col min="2" max="12" width="8.83203125" style="60" customWidth="1"/>
    <col min="13" max="16384" width="8" style="182"/>
  </cols>
  <sheetData>
    <row r="1" spans="1:12" s="200" customFormat="1" ht="12.75" customHeight="1">
      <c r="A1" s="297" t="s">
        <v>213</v>
      </c>
      <c r="B1" s="297"/>
      <c r="C1" s="297"/>
      <c r="D1" s="297"/>
      <c r="E1" s="297"/>
      <c r="F1" s="297"/>
      <c r="G1" s="297"/>
      <c r="H1" s="297"/>
      <c r="I1" s="297"/>
      <c r="J1" s="297"/>
      <c r="K1" s="297"/>
      <c r="L1" s="297"/>
    </row>
    <row r="2" spans="1:12" s="201" customFormat="1" ht="12.75" customHeight="1">
      <c r="A2" s="298" t="s">
        <v>43</v>
      </c>
      <c r="B2" s="224"/>
      <c r="C2" s="224"/>
      <c r="D2" s="224"/>
      <c r="E2" s="224"/>
      <c r="F2" s="224"/>
      <c r="G2" s="224"/>
      <c r="H2" s="224"/>
      <c r="I2" s="224"/>
      <c r="J2" s="224"/>
      <c r="K2" s="224"/>
      <c r="L2" s="224"/>
    </row>
    <row r="3" spans="1:12" s="147" customFormat="1">
      <c r="A3" s="299"/>
      <c r="B3" s="146" t="s">
        <v>37</v>
      </c>
      <c r="C3" s="146" t="s">
        <v>28</v>
      </c>
      <c r="D3" s="146" t="s">
        <v>29</v>
      </c>
      <c r="E3" s="146" t="s">
        <v>30</v>
      </c>
      <c r="F3" s="146" t="s">
        <v>31</v>
      </c>
      <c r="G3" s="146" t="s">
        <v>32</v>
      </c>
      <c r="H3" s="146" t="s">
        <v>33</v>
      </c>
      <c r="I3" s="146" t="s">
        <v>34</v>
      </c>
      <c r="J3" s="146" t="s">
        <v>38</v>
      </c>
      <c r="K3" s="146" t="s">
        <v>75</v>
      </c>
      <c r="L3" s="146" t="s">
        <v>22</v>
      </c>
    </row>
    <row r="4" spans="1:12" s="147" customFormat="1">
      <c r="A4" s="148" t="s">
        <v>102</v>
      </c>
      <c r="B4" s="149"/>
      <c r="C4" s="149"/>
      <c r="D4" s="149"/>
      <c r="E4" s="149"/>
      <c r="F4" s="149"/>
      <c r="G4" s="149"/>
      <c r="H4" s="149"/>
      <c r="I4" s="149"/>
      <c r="J4" s="149"/>
      <c r="K4" s="149"/>
      <c r="L4" s="149"/>
    </row>
    <row r="5" spans="1:12" s="147" customFormat="1">
      <c r="A5" s="150">
        <v>1971</v>
      </c>
      <c r="B5" s="149" t="s">
        <v>23</v>
      </c>
      <c r="C5" s="149">
        <v>14</v>
      </c>
      <c r="D5" s="149">
        <v>184</v>
      </c>
      <c r="E5" s="149">
        <v>539</v>
      </c>
      <c r="F5" s="149">
        <v>597</v>
      </c>
      <c r="G5" s="149">
        <v>710</v>
      </c>
      <c r="H5" s="149">
        <v>499</v>
      </c>
      <c r="I5" s="149">
        <v>85</v>
      </c>
      <c r="J5" s="149" t="s">
        <v>23</v>
      </c>
      <c r="K5" s="149" t="s">
        <v>23</v>
      </c>
      <c r="L5" s="149">
        <f t="shared" ref="L5:L43" si="0">SUM(B5:K5)</f>
        <v>2628</v>
      </c>
    </row>
    <row r="6" spans="1:12" s="147" customFormat="1">
      <c r="A6" s="150">
        <v>1972</v>
      </c>
      <c r="B6" s="149" t="s">
        <v>23</v>
      </c>
      <c r="C6" s="149">
        <v>3</v>
      </c>
      <c r="D6" s="149">
        <v>145</v>
      </c>
      <c r="E6" s="149">
        <v>329</v>
      </c>
      <c r="F6" s="149">
        <v>486</v>
      </c>
      <c r="G6" s="149">
        <v>587</v>
      </c>
      <c r="H6" s="149">
        <v>394</v>
      </c>
      <c r="I6" s="149">
        <v>11</v>
      </c>
      <c r="J6" s="149" t="s">
        <v>23</v>
      </c>
      <c r="K6" s="149" t="s">
        <v>23</v>
      </c>
      <c r="L6" s="149">
        <f t="shared" si="0"/>
        <v>1955</v>
      </c>
    </row>
    <row r="7" spans="1:12" s="147" customFormat="1">
      <c r="A7" s="150">
        <v>1973</v>
      </c>
      <c r="B7" s="149" t="s">
        <v>23</v>
      </c>
      <c r="C7" s="149">
        <v>49</v>
      </c>
      <c r="D7" s="149">
        <v>143</v>
      </c>
      <c r="E7" s="149">
        <v>347</v>
      </c>
      <c r="F7" s="149">
        <v>409</v>
      </c>
      <c r="G7" s="149">
        <v>336</v>
      </c>
      <c r="H7" s="149">
        <v>134</v>
      </c>
      <c r="I7" s="149">
        <v>52</v>
      </c>
      <c r="J7" s="149" t="s">
        <v>23</v>
      </c>
      <c r="K7" s="149" t="s">
        <v>23</v>
      </c>
      <c r="L7" s="149">
        <f t="shared" si="0"/>
        <v>1470</v>
      </c>
    </row>
    <row r="8" spans="1:12" s="147" customFormat="1">
      <c r="A8" s="150">
        <v>1974</v>
      </c>
      <c r="B8" s="149" t="s">
        <v>23</v>
      </c>
      <c r="C8" s="149">
        <v>36</v>
      </c>
      <c r="D8" s="149">
        <v>257</v>
      </c>
      <c r="E8" s="149">
        <v>164</v>
      </c>
      <c r="F8" s="149">
        <v>456</v>
      </c>
      <c r="G8" s="149">
        <v>426</v>
      </c>
      <c r="H8" s="149">
        <v>226</v>
      </c>
      <c r="I8" s="149">
        <v>18</v>
      </c>
      <c r="J8" s="149" t="s">
        <v>23</v>
      </c>
      <c r="K8" s="149" t="s">
        <v>23</v>
      </c>
      <c r="L8" s="149">
        <f t="shared" si="0"/>
        <v>1583</v>
      </c>
    </row>
    <row r="9" spans="1:12" s="147" customFormat="1">
      <c r="A9" s="150">
        <v>1975</v>
      </c>
      <c r="B9" s="149" t="s">
        <v>23</v>
      </c>
      <c r="C9" s="149">
        <v>14</v>
      </c>
      <c r="D9" s="149">
        <v>204</v>
      </c>
      <c r="E9" s="149">
        <v>379</v>
      </c>
      <c r="F9" s="149">
        <v>567</v>
      </c>
      <c r="G9" s="149">
        <v>333</v>
      </c>
      <c r="H9" s="149">
        <v>257</v>
      </c>
      <c r="I9" s="149">
        <v>20</v>
      </c>
      <c r="J9" s="149" t="s">
        <v>23</v>
      </c>
      <c r="K9" s="149" t="s">
        <v>23</v>
      </c>
      <c r="L9" s="149">
        <f t="shared" si="0"/>
        <v>1774</v>
      </c>
    </row>
    <row r="10" spans="1:12" s="147" customFormat="1">
      <c r="A10" s="150">
        <v>1976</v>
      </c>
      <c r="B10" s="149" t="s">
        <v>23</v>
      </c>
      <c r="C10" s="149" t="s">
        <v>23</v>
      </c>
      <c r="D10" s="149">
        <v>385</v>
      </c>
      <c r="E10" s="149">
        <v>856</v>
      </c>
      <c r="F10" s="149">
        <v>1177</v>
      </c>
      <c r="G10" s="149">
        <v>893</v>
      </c>
      <c r="H10" s="149">
        <v>644</v>
      </c>
      <c r="I10" s="149">
        <v>121</v>
      </c>
      <c r="J10" s="149" t="s">
        <v>23</v>
      </c>
      <c r="K10" s="149" t="s">
        <v>23</v>
      </c>
      <c r="L10" s="149">
        <f t="shared" si="0"/>
        <v>4076</v>
      </c>
    </row>
    <row r="11" spans="1:12" s="147" customFormat="1">
      <c r="A11" s="150">
        <v>1977</v>
      </c>
      <c r="B11" s="149" t="s">
        <v>23</v>
      </c>
      <c r="C11" s="149" t="s">
        <v>23</v>
      </c>
      <c r="D11" s="149">
        <v>319</v>
      </c>
      <c r="E11" s="149">
        <v>412</v>
      </c>
      <c r="F11" s="149">
        <v>2688</v>
      </c>
      <c r="G11" s="149">
        <v>552</v>
      </c>
      <c r="H11" s="149">
        <v>261</v>
      </c>
      <c r="I11" s="149">
        <v>90</v>
      </c>
      <c r="J11" s="149" t="s">
        <v>23</v>
      </c>
      <c r="K11" s="149" t="s">
        <v>23</v>
      </c>
      <c r="L11" s="149">
        <f t="shared" si="0"/>
        <v>4322</v>
      </c>
    </row>
    <row r="12" spans="1:12" s="147" customFormat="1">
      <c r="A12" s="150">
        <v>1978</v>
      </c>
      <c r="B12" s="149" t="s">
        <v>23</v>
      </c>
      <c r="C12" s="149" t="s">
        <v>23</v>
      </c>
      <c r="D12" s="149">
        <v>73</v>
      </c>
      <c r="E12" s="149">
        <v>213</v>
      </c>
      <c r="F12" s="149">
        <v>893</v>
      </c>
      <c r="G12" s="149">
        <v>547</v>
      </c>
      <c r="H12" s="149">
        <v>201</v>
      </c>
      <c r="I12" s="149">
        <v>58</v>
      </c>
      <c r="J12" s="149" t="s">
        <v>23</v>
      </c>
      <c r="K12" s="149" t="s">
        <v>23</v>
      </c>
      <c r="L12" s="149">
        <f t="shared" si="0"/>
        <v>1985</v>
      </c>
    </row>
    <row r="13" spans="1:12" s="147" customFormat="1">
      <c r="A13" s="150">
        <v>1979</v>
      </c>
      <c r="B13" s="149" t="s">
        <v>23</v>
      </c>
      <c r="C13" s="149" t="s">
        <v>23</v>
      </c>
      <c r="D13" s="149">
        <v>102</v>
      </c>
      <c r="E13" s="149">
        <v>3</v>
      </c>
      <c r="F13" s="149">
        <v>823</v>
      </c>
      <c r="G13" s="149">
        <v>1459</v>
      </c>
      <c r="H13" s="149">
        <v>29</v>
      </c>
      <c r="I13" s="149">
        <v>1</v>
      </c>
      <c r="J13" s="149" t="s">
        <v>23</v>
      </c>
      <c r="K13" s="149">
        <v>1</v>
      </c>
      <c r="L13" s="149">
        <f t="shared" si="0"/>
        <v>2418</v>
      </c>
    </row>
    <row r="14" spans="1:12" s="147" customFormat="1">
      <c r="A14" s="150">
        <v>1980</v>
      </c>
      <c r="B14" s="149" t="s">
        <v>23</v>
      </c>
      <c r="C14" s="149" t="s">
        <v>23</v>
      </c>
      <c r="D14" s="149">
        <v>144</v>
      </c>
      <c r="E14" s="149">
        <v>13</v>
      </c>
      <c r="F14" s="149">
        <v>519</v>
      </c>
      <c r="G14" s="149">
        <v>768</v>
      </c>
      <c r="H14" s="149">
        <v>121</v>
      </c>
      <c r="I14" s="149">
        <v>8</v>
      </c>
      <c r="J14" s="149" t="s">
        <v>23</v>
      </c>
      <c r="K14" s="149" t="s">
        <v>23</v>
      </c>
      <c r="L14" s="149">
        <f t="shared" si="0"/>
        <v>1573</v>
      </c>
    </row>
    <row r="15" spans="1:12" s="147" customFormat="1">
      <c r="A15" s="150">
        <v>1981</v>
      </c>
      <c r="B15" s="149" t="s">
        <v>23</v>
      </c>
      <c r="C15" s="149" t="s">
        <v>23</v>
      </c>
      <c r="D15" s="149">
        <v>518</v>
      </c>
      <c r="E15" s="149">
        <v>0</v>
      </c>
      <c r="F15" s="149">
        <v>1137</v>
      </c>
      <c r="G15" s="149">
        <v>764</v>
      </c>
      <c r="H15" s="149">
        <v>0</v>
      </c>
      <c r="I15" s="149">
        <v>1</v>
      </c>
      <c r="J15" s="149" t="s">
        <v>23</v>
      </c>
      <c r="K15" s="149" t="s">
        <v>23</v>
      </c>
      <c r="L15" s="149">
        <f t="shared" si="0"/>
        <v>2420</v>
      </c>
    </row>
    <row r="16" spans="1:12" s="147" customFormat="1">
      <c r="A16" s="150">
        <v>1982</v>
      </c>
      <c r="B16" s="149" t="s">
        <v>23</v>
      </c>
      <c r="C16" s="149" t="s">
        <v>23</v>
      </c>
      <c r="D16" s="149">
        <v>476</v>
      </c>
      <c r="E16" s="149">
        <v>0</v>
      </c>
      <c r="F16" s="149">
        <v>423</v>
      </c>
      <c r="G16" s="149">
        <v>0</v>
      </c>
      <c r="H16" s="149">
        <v>0</v>
      </c>
      <c r="I16" s="149">
        <v>0</v>
      </c>
      <c r="J16" s="149" t="s">
        <v>23</v>
      </c>
      <c r="K16" s="149" t="s">
        <v>23</v>
      </c>
      <c r="L16" s="149">
        <f t="shared" si="0"/>
        <v>899</v>
      </c>
    </row>
    <row r="17" spans="1:12" s="147" customFormat="1">
      <c r="A17" s="150">
        <v>1983</v>
      </c>
      <c r="B17" s="149" t="s">
        <v>23</v>
      </c>
      <c r="C17" s="149" t="s">
        <v>23</v>
      </c>
      <c r="D17" s="149">
        <v>566</v>
      </c>
      <c r="E17" s="149">
        <v>0</v>
      </c>
      <c r="F17" s="149">
        <v>50</v>
      </c>
      <c r="G17" s="149">
        <v>241</v>
      </c>
      <c r="H17" s="149">
        <v>164</v>
      </c>
      <c r="I17" s="149">
        <v>0</v>
      </c>
      <c r="J17" s="149" t="s">
        <v>23</v>
      </c>
      <c r="K17" s="149" t="s">
        <v>23</v>
      </c>
      <c r="L17" s="149">
        <f t="shared" si="0"/>
        <v>1021</v>
      </c>
    </row>
    <row r="18" spans="1:12" s="147" customFormat="1">
      <c r="A18" s="150">
        <v>1984</v>
      </c>
      <c r="B18" s="149" t="s">
        <v>23</v>
      </c>
      <c r="C18" s="149" t="s">
        <v>23</v>
      </c>
      <c r="D18" s="149">
        <v>72</v>
      </c>
      <c r="E18" s="149">
        <v>0</v>
      </c>
      <c r="F18" s="149">
        <v>0</v>
      </c>
      <c r="G18" s="149">
        <v>416</v>
      </c>
      <c r="H18" s="149">
        <v>0</v>
      </c>
      <c r="I18" s="149">
        <v>0</v>
      </c>
      <c r="J18" s="149" t="s">
        <v>23</v>
      </c>
      <c r="K18" s="149" t="s">
        <v>23</v>
      </c>
      <c r="L18" s="149">
        <f t="shared" si="0"/>
        <v>488</v>
      </c>
    </row>
    <row r="19" spans="1:12" s="147" customFormat="1">
      <c r="A19" s="150">
        <v>1985</v>
      </c>
      <c r="B19" s="149" t="s">
        <v>23</v>
      </c>
      <c r="C19" s="149" t="s">
        <v>23</v>
      </c>
      <c r="D19" s="149">
        <v>380</v>
      </c>
      <c r="E19" s="149">
        <v>0</v>
      </c>
      <c r="F19" s="149">
        <v>0</v>
      </c>
      <c r="G19" s="149">
        <v>270</v>
      </c>
      <c r="H19" s="149">
        <v>0</v>
      </c>
      <c r="I19" s="149">
        <v>1</v>
      </c>
      <c r="J19" s="149" t="s">
        <v>23</v>
      </c>
      <c r="K19" s="149" t="s">
        <v>23</v>
      </c>
      <c r="L19" s="149">
        <f t="shared" si="0"/>
        <v>651</v>
      </c>
    </row>
    <row r="20" spans="1:12" s="147" customFormat="1">
      <c r="A20" s="147">
        <v>1986</v>
      </c>
      <c r="B20" s="149" t="s">
        <v>23</v>
      </c>
      <c r="C20" s="149" t="s">
        <v>23</v>
      </c>
      <c r="D20" s="149">
        <v>337</v>
      </c>
      <c r="E20" s="149" t="s">
        <v>23</v>
      </c>
      <c r="F20" s="149" t="s">
        <v>23</v>
      </c>
      <c r="G20" s="149">
        <v>814</v>
      </c>
      <c r="H20" s="149" t="s">
        <v>23</v>
      </c>
      <c r="I20" s="149" t="s">
        <v>23</v>
      </c>
      <c r="J20" s="149" t="s">
        <v>23</v>
      </c>
      <c r="K20" s="149" t="s">
        <v>23</v>
      </c>
      <c r="L20" s="149">
        <f t="shared" si="0"/>
        <v>1151</v>
      </c>
    </row>
    <row r="21" spans="1:12" s="147" customFormat="1">
      <c r="A21" s="147">
        <v>1987</v>
      </c>
      <c r="B21" s="149" t="s">
        <v>23</v>
      </c>
      <c r="C21" s="149" t="s">
        <v>23</v>
      </c>
      <c r="D21" s="149">
        <v>133</v>
      </c>
      <c r="E21" s="149" t="s">
        <v>23</v>
      </c>
      <c r="F21" s="149">
        <v>183</v>
      </c>
      <c r="G21" s="149" t="s">
        <v>23</v>
      </c>
      <c r="H21" s="149" t="s">
        <v>23</v>
      </c>
      <c r="I21" s="149" t="s">
        <v>23</v>
      </c>
      <c r="J21" s="149" t="s">
        <v>23</v>
      </c>
      <c r="K21" s="149" t="s">
        <v>23</v>
      </c>
      <c r="L21" s="149">
        <f t="shared" si="0"/>
        <v>316</v>
      </c>
    </row>
    <row r="22" spans="1:12" s="147" customFormat="1">
      <c r="A22" s="147">
        <v>1988</v>
      </c>
      <c r="B22" s="149" t="s">
        <v>23</v>
      </c>
      <c r="C22" s="149" t="s">
        <v>23</v>
      </c>
      <c r="D22" s="149">
        <v>111</v>
      </c>
      <c r="E22" s="149">
        <v>52</v>
      </c>
      <c r="F22" s="149" t="s">
        <v>23</v>
      </c>
      <c r="G22" s="149" t="s">
        <v>23</v>
      </c>
      <c r="H22" s="149" t="s">
        <v>23</v>
      </c>
      <c r="I22" s="149" t="s">
        <v>23</v>
      </c>
      <c r="J22" s="149" t="s">
        <v>23</v>
      </c>
      <c r="K22" s="149" t="s">
        <v>23</v>
      </c>
      <c r="L22" s="149">
        <f t="shared" si="0"/>
        <v>163</v>
      </c>
    </row>
    <row r="23" spans="1:12" s="147" customFormat="1">
      <c r="A23" s="147">
        <v>1989</v>
      </c>
      <c r="B23" s="149" t="s">
        <v>23</v>
      </c>
      <c r="C23" s="149" t="s">
        <v>23</v>
      </c>
      <c r="D23" s="149">
        <v>79</v>
      </c>
      <c r="E23" s="149">
        <v>19</v>
      </c>
      <c r="F23" s="149" t="s">
        <v>23</v>
      </c>
      <c r="G23" s="149">
        <v>616</v>
      </c>
      <c r="H23" s="149">
        <v>212</v>
      </c>
      <c r="I23" s="149" t="s">
        <v>23</v>
      </c>
      <c r="J23" s="149" t="s">
        <v>23</v>
      </c>
      <c r="K23" s="149" t="s">
        <v>23</v>
      </c>
      <c r="L23" s="149">
        <f t="shared" si="0"/>
        <v>926</v>
      </c>
    </row>
    <row r="24" spans="1:12" s="147" customFormat="1">
      <c r="A24" s="147">
        <v>1990</v>
      </c>
      <c r="B24" s="149" t="s">
        <v>23</v>
      </c>
      <c r="C24" s="149" t="s">
        <v>23</v>
      </c>
      <c r="D24" s="149">
        <v>70</v>
      </c>
      <c r="E24" s="149">
        <v>8</v>
      </c>
      <c r="F24" s="149" t="s">
        <v>23</v>
      </c>
      <c r="G24" s="149">
        <v>306</v>
      </c>
      <c r="H24" s="149">
        <v>333</v>
      </c>
      <c r="I24" s="149">
        <v>22</v>
      </c>
      <c r="J24" s="149" t="s">
        <v>23</v>
      </c>
      <c r="K24" s="149" t="s">
        <v>23</v>
      </c>
      <c r="L24" s="149">
        <f t="shared" si="0"/>
        <v>739</v>
      </c>
    </row>
    <row r="25" spans="1:12" s="147" customFormat="1">
      <c r="A25" s="147">
        <v>1991</v>
      </c>
      <c r="B25" s="149" t="s">
        <v>23</v>
      </c>
      <c r="C25" s="149" t="s">
        <v>23</v>
      </c>
      <c r="D25" s="149">
        <v>92</v>
      </c>
      <c r="E25" s="149">
        <v>9</v>
      </c>
      <c r="F25" s="149" t="s">
        <v>23</v>
      </c>
      <c r="G25" s="149">
        <v>407</v>
      </c>
      <c r="H25" s="149">
        <v>151</v>
      </c>
      <c r="I25" s="149" t="s">
        <v>23</v>
      </c>
      <c r="J25" s="149" t="s">
        <v>23</v>
      </c>
      <c r="K25" s="149" t="s">
        <v>23</v>
      </c>
      <c r="L25" s="149">
        <f t="shared" si="0"/>
        <v>659</v>
      </c>
    </row>
    <row r="26" spans="1:12" s="147" customFormat="1">
      <c r="A26" s="147">
        <v>1992</v>
      </c>
      <c r="B26" s="149" t="s">
        <v>23</v>
      </c>
      <c r="C26" s="149" t="s">
        <v>23</v>
      </c>
      <c r="D26" s="149">
        <v>61</v>
      </c>
      <c r="E26" s="149">
        <v>114</v>
      </c>
      <c r="F26" s="149">
        <v>49</v>
      </c>
      <c r="G26" s="149">
        <v>35</v>
      </c>
      <c r="H26" s="149" t="s">
        <v>23</v>
      </c>
      <c r="I26" s="149" t="s">
        <v>23</v>
      </c>
      <c r="J26" s="149" t="s">
        <v>23</v>
      </c>
      <c r="K26" s="149" t="s">
        <v>23</v>
      </c>
      <c r="L26" s="149">
        <f t="shared" si="0"/>
        <v>259</v>
      </c>
    </row>
    <row r="27" spans="1:12" s="147" customFormat="1">
      <c r="A27" s="147">
        <v>1993</v>
      </c>
      <c r="B27" s="149" t="s">
        <v>23</v>
      </c>
      <c r="C27" s="149" t="s">
        <v>23</v>
      </c>
      <c r="D27" s="149">
        <v>22</v>
      </c>
      <c r="E27" s="149">
        <v>6</v>
      </c>
      <c r="F27" s="149">
        <v>51</v>
      </c>
      <c r="G27" s="149">
        <v>55</v>
      </c>
      <c r="H27" s="149">
        <v>71</v>
      </c>
      <c r="I27" s="149" t="s">
        <v>23</v>
      </c>
      <c r="J27" s="149" t="s">
        <v>23</v>
      </c>
      <c r="K27" s="149" t="s">
        <v>23</v>
      </c>
      <c r="L27" s="149">
        <f t="shared" si="0"/>
        <v>205</v>
      </c>
    </row>
    <row r="28" spans="1:12" s="147" customFormat="1">
      <c r="A28" s="147">
        <v>1994</v>
      </c>
      <c r="B28" s="149" t="s">
        <v>23</v>
      </c>
      <c r="C28" s="149" t="s">
        <v>23</v>
      </c>
      <c r="D28" s="149" t="s">
        <v>23</v>
      </c>
      <c r="E28" s="149" t="s">
        <v>23</v>
      </c>
      <c r="F28" s="149" t="s">
        <v>23</v>
      </c>
      <c r="G28" s="149" t="s">
        <v>23</v>
      </c>
      <c r="H28" s="149" t="s">
        <v>23</v>
      </c>
      <c r="I28" s="149" t="s">
        <v>23</v>
      </c>
      <c r="J28" s="149" t="s">
        <v>23</v>
      </c>
      <c r="K28" s="149" t="s">
        <v>23</v>
      </c>
      <c r="L28" s="149" t="s">
        <v>23</v>
      </c>
    </row>
    <row r="29" spans="1:12" s="147" customFormat="1">
      <c r="A29" s="147">
        <v>1995</v>
      </c>
      <c r="B29" s="149" t="s">
        <v>23</v>
      </c>
      <c r="C29" s="149" t="s">
        <v>23</v>
      </c>
      <c r="D29" s="149" t="s">
        <v>23</v>
      </c>
      <c r="E29" s="149" t="s">
        <v>23</v>
      </c>
      <c r="F29" s="149" t="s">
        <v>23</v>
      </c>
      <c r="G29" s="149" t="s">
        <v>23</v>
      </c>
      <c r="H29" s="149" t="s">
        <v>23</v>
      </c>
      <c r="I29" s="149" t="s">
        <v>23</v>
      </c>
      <c r="J29" s="149" t="s">
        <v>23</v>
      </c>
      <c r="K29" s="149" t="s">
        <v>23</v>
      </c>
      <c r="L29" s="149" t="s">
        <v>23</v>
      </c>
    </row>
    <row r="30" spans="1:12" s="147" customFormat="1">
      <c r="A30" s="147">
        <v>1996</v>
      </c>
      <c r="B30" s="149" t="s">
        <v>23</v>
      </c>
      <c r="C30" s="149" t="s">
        <v>23</v>
      </c>
      <c r="D30" s="149" t="s">
        <v>23</v>
      </c>
      <c r="E30" s="149" t="s">
        <v>23</v>
      </c>
      <c r="F30" s="149" t="s">
        <v>23</v>
      </c>
      <c r="G30" s="149" t="s">
        <v>23</v>
      </c>
      <c r="H30" s="149" t="s">
        <v>23</v>
      </c>
      <c r="I30" s="149" t="s">
        <v>23</v>
      </c>
      <c r="J30" s="149" t="s">
        <v>23</v>
      </c>
      <c r="K30" s="149" t="s">
        <v>23</v>
      </c>
      <c r="L30" s="149" t="s">
        <v>23</v>
      </c>
    </row>
    <row r="31" spans="1:12" s="147" customFormat="1">
      <c r="A31" s="147">
        <v>1997</v>
      </c>
      <c r="B31" s="149" t="s">
        <v>23</v>
      </c>
      <c r="C31" s="149" t="s">
        <v>23</v>
      </c>
      <c r="D31" s="149">
        <v>6</v>
      </c>
      <c r="E31" s="149">
        <v>2</v>
      </c>
      <c r="F31" s="149" t="s">
        <v>23</v>
      </c>
      <c r="G31" s="149" t="s">
        <v>23</v>
      </c>
      <c r="H31" s="149" t="s">
        <v>23</v>
      </c>
      <c r="I31" s="149" t="s">
        <v>23</v>
      </c>
      <c r="J31" s="149" t="s">
        <v>23</v>
      </c>
      <c r="K31" s="149" t="s">
        <v>23</v>
      </c>
      <c r="L31" s="149">
        <f t="shared" si="0"/>
        <v>8</v>
      </c>
    </row>
    <row r="32" spans="1:12" s="147" customFormat="1">
      <c r="A32" s="147">
        <v>1998</v>
      </c>
      <c r="B32" s="149" t="s">
        <v>23</v>
      </c>
      <c r="C32" s="149" t="s">
        <v>23</v>
      </c>
      <c r="D32" s="149">
        <v>0</v>
      </c>
      <c r="E32" s="149">
        <v>0</v>
      </c>
      <c r="F32" s="149" t="s">
        <v>23</v>
      </c>
      <c r="G32" s="149" t="s">
        <v>23</v>
      </c>
      <c r="H32" s="149" t="s">
        <v>23</v>
      </c>
      <c r="I32" s="149" t="s">
        <v>23</v>
      </c>
      <c r="J32" s="149" t="s">
        <v>23</v>
      </c>
      <c r="K32" s="149" t="s">
        <v>23</v>
      </c>
      <c r="L32" s="149">
        <f t="shared" si="0"/>
        <v>0</v>
      </c>
    </row>
    <row r="33" spans="1:12" s="147" customFormat="1">
      <c r="A33" s="147">
        <v>1999</v>
      </c>
      <c r="B33" s="149" t="s">
        <v>23</v>
      </c>
      <c r="C33" s="149" t="s">
        <v>23</v>
      </c>
      <c r="D33" s="149">
        <v>0</v>
      </c>
      <c r="E33" s="149">
        <v>1</v>
      </c>
      <c r="F33" s="149" t="s">
        <v>23</v>
      </c>
      <c r="G33" s="149" t="s">
        <v>23</v>
      </c>
      <c r="H33" s="149" t="s">
        <v>23</v>
      </c>
      <c r="I33" s="149" t="s">
        <v>23</v>
      </c>
      <c r="J33" s="149" t="s">
        <v>23</v>
      </c>
      <c r="K33" s="149" t="s">
        <v>23</v>
      </c>
      <c r="L33" s="149">
        <f t="shared" si="0"/>
        <v>1</v>
      </c>
    </row>
    <row r="34" spans="1:12" s="147" customFormat="1">
      <c r="A34" s="147">
        <v>2000</v>
      </c>
      <c r="B34" s="149" t="s">
        <v>23</v>
      </c>
      <c r="C34" s="149" t="s">
        <v>23</v>
      </c>
      <c r="D34" s="149">
        <v>1</v>
      </c>
      <c r="E34" s="149">
        <v>6</v>
      </c>
      <c r="F34" s="149" t="s">
        <v>23</v>
      </c>
      <c r="G34" s="149">
        <v>246</v>
      </c>
      <c r="H34" s="149">
        <v>18</v>
      </c>
      <c r="I34" s="149" t="s">
        <v>23</v>
      </c>
      <c r="J34" s="149" t="s">
        <v>23</v>
      </c>
      <c r="K34" s="149" t="s">
        <v>23</v>
      </c>
      <c r="L34" s="149">
        <f t="shared" si="0"/>
        <v>271</v>
      </c>
    </row>
    <row r="35" spans="1:12" s="147" customFormat="1">
      <c r="A35" s="147">
        <v>2001</v>
      </c>
      <c r="B35" s="149" t="s">
        <v>23</v>
      </c>
      <c r="C35" s="149" t="s">
        <v>23</v>
      </c>
      <c r="D35" s="149">
        <v>5</v>
      </c>
      <c r="E35" s="149">
        <v>26</v>
      </c>
      <c r="F35" s="149">
        <v>84</v>
      </c>
      <c r="G35" s="149">
        <v>100</v>
      </c>
      <c r="H35" s="149">
        <v>27</v>
      </c>
      <c r="I35" s="149" t="s">
        <v>23</v>
      </c>
      <c r="J35" s="149" t="s">
        <v>23</v>
      </c>
      <c r="K35" s="149" t="s">
        <v>23</v>
      </c>
      <c r="L35" s="149">
        <f t="shared" si="0"/>
        <v>242</v>
      </c>
    </row>
    <row r="36" spans="1:12" s="147" customFormat="1">
      <c r="A36" s="147">
        <v>2002</v>
      </c>
      <c r="B36" s="149" t="s">
        <v>23</v>
      </c>
      <c r="C36" s="149" t="s">
        <v>23</v>
      </c>
      <c r="D36" s="149">
        <v>24</v>
      </c>
      <c r="E36" s="149">
        <v>56</v>
      </c>
      <c r="F36" s="149">
        <v>156</v>
      </c>
      <c r="G36" s="149">
        <v>194</v>
      </c>
      <c r="H36" s="149" t="s">
        <v>23</v>
      </c>
      <c r="I36" s="149" t="s">
        <v>23</v>
      </c>
      <c r="J36" s="149" t="s">
        <v>23</v>
      </c>
      <c r="K36" s="149" t="s">
        <v>23</v>
      </c>
      <c r="L36" s="149">
        <f t="shared" si="0"/>
        <v>430</v>
      </c>
    </row>
    <row r="37" spans="1:12" s="147" customFormat="1">
      <c r="A37" s="147">
        <v>2003</v>
      </c>
      <c r="B37" s="149" t="s">
        <v>23</v>
      </c>
      <c r="C37" s="149" t="s">
        <v>23</v>
      </c>
      <c r="D37" s="149">
        <v>95</v>
      </c>
      <c r="E37" s="149">
        <v>20</v>
      </c>
      <c r="F37" s="149">
        <v>111</v>
      </c>
      <c r="G37" s="149">
        <v>143</v>
      </c>
      <c r="H37" s="149">
        <v>44</v>
      </c>
      <c r="I37" s="149" t="s">
        <v>23</v>
      </c>
      <c r="J37" s="149" t="s">
        <v>23</v>
      </c>
      <c r="K37" s="149" t="s">
        <v>23</v>
      </c>
      <c r="L37" s="149">
        <f t="shared" si="0"/>
        <v>413</v>
      </c>
    </row>
    <row r="38" spans="1:12" s="147" customFormat="1">
      <c r="A38" s="147">
        <v>2004</v>
      </c>
      <c r="B38" s="149" t="s">
        <v>23</v>
      </c>
      <c r="C38" s="149" t="s">
        <v>23</v>
      </c>
      <c r="D38" s="149">
        <v>48</v>
      </c>
      <c r="E38" s="149">
        <v>1</v>
      </c>
      <c r="F38" s="149">
        <v>66</v>
      </c>
      <c r="G38" s="149">
        <v>88</v>
      </c>
      <c r="H38" s="149">
        <v>144</v>
      </c>
      <c r="I38" s="149" t="s">
        <v>23</v>
      </c>
      <c r="J38" s="149" t="s">
        <v>23</v>
      </c>
      <c r="K38" s="149" t="s">
        <v>23</v>
      </c>
      <c r="L38" s="149">
        <f t="shared" si="0"/>
        <v>347</v>
      </c>
    </row>
    <row r="39" spans="1:12" s="147" customFormat="1">
      <c r="A39" s="147">
        <v>2005</v>
      </c>
      <c r="B39" s="149" t="s">
        <v>23</v>
      </c>
      <c r="C39" s="149" t="s">
        <v>23</v>
      </c>
      <c r="D39" s="149">
        <v>216</v>
      </c>
      <c r="E39" s="149">
        <v>36</v>
      </c>
      <c r="F39" s="149">
        <v>30</v>
      </c>
      <c r="G39" s="149">
        <v>234</v>
      </c>
      <c r="H39" s="149" t="s">
        <v>23</v>
      </c>
      <c r="I39" s="149" t="s">
        <v>23</v>
      </c>
      <c r="J39" s="149" t="s">
        <v>23</v>
      </c>
      <c r="K39" s="149" t="s">
        <v>23</v>
      </c>
      <c r="L39" s="149">
        <f t="shared" si="0"/>
        <v>516</v>
      </c>
    </row>
    <row r="40" spans="1:12" s="147" customFormat="1">
      <c r="A40" s="147">
        <v>2006</v>
      </c>
      <c r="B40" s="149" t="s">
        <v>23</v>
      </c>
      <c r="C40" s="149" t="s">
        <v>23</v>
      </c>
      <c r="D40" s="151">
        <v>516</v>
      </c>
      <c r="E40" s="151">
        <v>296</v>
      </c>
      <c r="F40" s="149" t="s">
        <v>23</v>
      </c>
      <c r="G40" s="151">
        <v>79</v>
      </c>
      <c r="H40" s="151">
        <v>93</v>
      </c>
      <c r="I40" s="149" t="s">
        <v>23</v>
      </c>
      <c r="J40" s="149" t="s">
        <v>23</v>
      </c>
      <c r="K40" s="149" t="s">
        <v>23</v>
      </c>
      <c r="L40" s="149">
        <f t="shared" si="0"/>
        <v>984</v>
      </c>
    </row>
    <row r="41" spans="1:12" s="147" customFormat="1">
      <c r="A41" s="147">
        <v>2007</v>
      </c>
      <c r="B41" s="149" t="s">
        <v>23</v>
      </c>
      <c r="C41" s="149" t="s">
        <v>23</v>
      </c>
      <c r="D41" s="151">
        <v>77</v>
      </c>
      <c r="E41" s="151">
        <v>46</v>
      </c>
      <c r="F41" s="151">
        <v>40</v>
      </c>
      <c r="G41" s="151">
        <v>153</v>
      </c>
      <c r="H41" s="151">
        <v>14</v>
      </c>
      <c r="I41" s="149" t="s">
        <v>23</v>
      </c>
      <c r="J41" s="149" t="s">
        <v>23</v>
      </c>
      <c r="K41" s="149" t="s">
        <v>23</v>
      </c>
      <c r="L41" s="149">
        <f t="shared" si="0"/>
        <v>330</v>
      </c>
    </row>
    <row r="42" spans="1:12" s="147" customFormat="1">
      <c r="A42" s="147">
        <v>2008</v>
      </c>
      <c r="B42" s="149" t="s">
        <v>23</v>
      </c>
      <c r="C42" s="149" t="s">
        <v>23</v>
      </c>
      <c r="D42" s="151">
        <v>272</v>
      </c>
      <c r="E42" s="151">
        <v>282</v>
      </c>
      <c r="F42" s="151">
        <v>33</v>
      </c>
      <c r="G42" s="151">
        <v>58</v>
      </c>
      <c r="H42" s="151">
        <v>10</v>
      </c>
      <c r="I42" s="149" t="s">
        <v>23</v>
      </c>
      <c r="J42" s="149" t="s">
        <v>23</v>
      </c>
      <c r="K42" s="149" t="s">
        <v>23</v>
      </c>
      <c r="L42" s="149">
        <f t="shared" si="0"/>
        <v>655</v>
      </c>
    </row>
    <row r="43" spans="1:12" s="147" customFormat="1">
      <c r="A43" s="147">
        <v>2009</v>
      </c>
      <c r="B43" s="149" t="s">
        <v>23</v>
      </c>
      <c r="C43" s="149" t="s">
        <v>23</v>
      </c>
      <c r="D43" s="151">
        <v>72</v>
      </c>
      <c r="E43" s="151">
        <v>85</v>
      </c>
      <c r="F43" s="151">
        <v>239</v>
      </c>
      <c r="G43" s="151">
        <v>135</v>
      </c>
      <c r="H43" s="151">
        <v>9</v>
      </c>
      <c r="I43" s="149" t="s">
        <v>23</v>
      </c>
      <c r="J43" s="149" t="s">
        <v>23</v>
      </c>
      <c r="K43" s="149" t="s">
        <v>23</v>
      </c>
      <c r="L43" s="149">
        <f t="shared" si="0"/>
        <v>540</v>
      </c>
    </row>
    <row r="44" spans="1:12" s="147" customFormat="1">
      <c r="A44" s="147">
        <v>2010</v>
      </c>
      <c r="B44" s="149" t="s">
        <v>23</v>
      </c>
      <c r="C44" s="149" t="s">
        <v>23</v>
      </c>
      <c r="D44" s="151">
        <v>68</v>
      </c>
      <c r="E44" s="151">
        <f>9+117+36+126</f>
        <v>288</v>
      </c>
      <c r="F44" s="151">
        <f>33+19+5+13+71</f>
        <v>141</v>
      </c>
      <c r="G44" s="151">
        <v>119</v>
      </c>
      <c r="H44" s="151">
        <v>16</v>
      </c>
      <c r="I44" s="149" t="s">
        <v>23</v>
      </c>
      <c r="J44" s="149" t="s">
        <v>23</v>
      </c>
      <c r="K44" s="149" t="s">
        <v>23</v>
      </c>
      <c r="L44" s="149">
        <f>SUM(B44:K44)</f>
        <v>632</v>
      </c>
    </row>
    <row r="45" spans="1:12" s="147" customFormat="1">
      <c r="A45" s="147">
        <v>2011</v>
      </c>
      <c r="B45" s="149" t="s">
        <v>23</v>
      </c>
      <c r="C45" s="149" t="s">
        <v>23</v>
      </c>
      <c r="D45" s="151">
        <v>85</v>
      </c>
      <c r="E45" s="151">
        <v>124</v>
      </c>
      <c r="F45" s="151">
        <v>41</v>
      </c>
      <c r="G45" s="151">
        <v>24</v>
      </c>
      <c r="H45" s="151">
        <v>15</v>
      </c>
      <c r="I45" s="149" t="s">
        <v>23</v>
      </c>
      <c r="J45" s="149" t="s">
        <v>23</v>
      </c>
      <c r="K45" s="149" t="s">
        <v>23</v>
      </c>
      <c r="L45" s="149">
        <f>SUM(B45:K45)</f>
        <v>289</v>
      </c>
    </row>
    <row r="46" spans="1:12" s="147" customFormat="1">
      <c r="A46" s="147">
        <v>2012</v>
      </c>
      <c r="B46" s="149" t="s">
        <v>23</v>
      </c>
      <c r="C46" s="149" t="s">
        <v>23</v>
      </c>
      <c r="D46" s="151">
        <v>58</v>
      </c>
      <c r="E46" s="151">
        <v>223</v>
      </c>
      <c r="F46" s="151">
        <v>37</v>
      </c>
      <c r="G46" s="151">
        <v>25</v>
      </c>
      <c r="H46" s="151">
        <v>73</v>
      </c>
      <c r="I46" s="149" t="s">
        <v>23</v>
      </c>
      <c r="J46" s="149" t="s">
        <v>23</v>
      </c>
      <c r="K46" s="149" t="s">
        <v>23</v>
      </c>
      <c r="L46" s="149">
        <f t="shared" ref="L46:L55" si="1">SUM(B46:K46)</f>
        <v>416</v>
      </c>
    </row>
    <row r="47" spans="1:12" s="147" customFormat="1">
      <c r="A47" s="147">
        <v>2013</v>
      </c>
      <c r="B47" s="149" t="s">
        <v>23</v>
      </c>
      <c r="C47" s="149" t="s">
        <v>23</v>
      </c>
      <c r="D47" s="151">
        <v>64</v>
      </c>
      <c r="E47" s="151">
        <v>119</v>
      </c>
      <c r="F47" s="151">
        <v>32</v>
      </c>
      <c r="G47" s="151">
        <v>46</v>
      </c>
      <c r="H47" s="151">
        <v>26</v>
      </c>
      <c r="I47" s="149" t="s">
        <v>23</v>
      </c>
      <c r="J47" s="149" t="s">
        <v>23</v>
      </c>
      <c r="K47" s="149" t="s">
        <v>23</v>
      </c>
      <c r="L47" s="149">
        <f t="shared" si="1"/>
        <v>287</v>
      </c>
    </row>
    <row r="48" spans="1:12" s="147" customFormat="1">
      <c r="A48" s="147">
        <v>2014</v>
      </c>
      <c r="B48" s="149" t="s">
        <v>23</v>
      </c>
      <c r="C48" s="149" t="s">
        <v>23</v>
      </c>
      <c r="D48" s="151">
        <v>455</v>
      </c>
      <c r="E48" s="151">
        <v>79</v>
      </c>
      <c r="F48" s="151">
        <v>161</v>
      </c>
      <c r="G48" s="151">
        <v>65</v>
      </c>
      <c r="H48" s="151">
        <v>56</v>
      </c>
      <c r="I48" s="149" t="s">
        <v>23</v>
      </c>
      <c r="J48" s="149" t="s">
        <v>23</v>
      </c>
      <c r="K48" s="149" t="s">
        <v>23</v>
      </c>
      <c r="L48" s="149">
        <f t="shared" si="1"/>
        <v>816</v>
      </c>
    </row>
    <row r="49" spans="1:12" s="147" customFormat="1">
      <c r="A49" s="147">
        <v>2015</v>
      </c>
      <c r="B49" s="149" t="s">
        <v>23</v>
      </c>
      <c r="C49" s="149" t="s">
        <v>23</v>
      </c>
      <c r="D49" s="151">
        <v>531</v>
      </c>
      <c r="E49" s="151">
        <v>88</v>
      </c>
      <c r="F49" s="151">
        <v>48</v>
      </c>
      <c r="G49" s="151">
        <v>61</v>
      </c>
      <c r="H49" s="151">
        <v>90</v>
      </c>
      <c r="I49" s="149" t="s">
        <v>23</v>
      </c>
      <c r="J49" s="149" t="s">
        <v>23</v>
      </c>
      <c r="K49" s="149" t="s">
        <v>23</v>
      </c>
      <c r="L49" s="149">
        <f t="shared" si="1"/>
        <v>818</v>
      </c>
    </row>
    <row r="50" spans="1:12" s="147" customFormat="1">
      <c r="A50" s="147">
        <v>2016</v>
      </c>
      <c r="B50" s="149" t="s">
        <v>23</v>
      </c>
      <c r="C50" s="149" t="s">
        <v>23</v>
      </c>
      <c r="D50" s="151">
        <v>71</v>
      </c>
      <c r="E50" s="151">
        <v>82</v>
      </c>
      <c r="F50" s="151">
        <v>21</v>
      </c>
      <c r="G50" s="151">
        <v>51</v>
      </c>
      <c r="H50" s="151" t="s">
        <v>23</v>
      </c>
      <c r="I50" s="149" t="s">
        <v>23</v>
      </c>
      <c r="J50" s="149" t="s">
        <v>23</v>
      </c>
      <c r="K50" s="149" t="s">
        <v>23</v>
      </c>
      <c r="L50" s="149">
        <f t="shared" si="1"/>
        <v>225</v>
      </c>
    </row>
    <row r="51" spans="1:12" s="147" customFormat="1">
      <c r="A51" s="147">
        <v>2017</v>
      </c>
      <c r="B51" s="149" t="s">
        <v>23</v>
      </c>
      <c r="C51" s="149" t="s">
        <v>23</v>
      </c>
      <c r="D51" s="151">
        <v>82</v>
      </c>
      <c r="E51" s="151">
        <v>92</v>
      </c>
      <c r="F51" s="151">
        <v>11</v>
      </c>
      <c r="G51" s="151">
        <v>104</v>
      </c>
      <c r="H51" s="151">
        <v>53</v>
      </c>
      <c r="I51" s="149" t="s">
        <v>23</v>
      </c>
      <c r="J51" s="149" t="s">
        <v>23</v>
      </c>
      <c r="K51" s="149" t="s">
        <v>23</v>
      </c>
      <c r="L51" s="149">
        <f t="shared" si="1"/>
        <v>342</v>
      </c>
    </row>
    <row r="52" spans="1:12" s="147" customFormat="1">
      <c r="A52" s="147">
        <v>2018</v>
      </c>
      <c r="B52" s="149" t="s">
        <v>23</v>
      </c>
      <c r="C52" s="149" t="s">
        <v>23</v>
      </c>
      <c r="D52" s="151">
        <v>16</v>
      </c>
      <c r="E52" s="151">
        <v>50</v>
      </c>
      <c r="F52" s="151">
        <v>3</v>
      </c>
      <c r="G52" s="151">
        <v>29</v>
      </c>
      <c r="H52" s="151">
        <v>0</v>
      </c>
      <c r="I52" s="149" t="s">
        <v>23</v>
      </c>
      <c r="J52" s="149" t="s">
        <v>23</v>
      </c>
      <c r="K52" s="149" t="s">
        <v>23</v>
      </c>
      <c r="L52" s="149">
        <f>SUM(B52:K52)</f>
        <v>98</v>
      </c>
    </row>
    <row r="53" spans="1:12" s="147" customFormat="1">
      <c r="A53" s="147">
        <v>2019</v>
      </c>
      <c r="B53" s="149" t="s">
        <v>23</v>
      </c>
      <c r="C53" s="149" t="s">
        <v>23</v>
      </c>
      <c r="D53" s="151">
        <v>9</v>
      </c>
      <c r="E53" s="151">
        <v>17</v>
      </c>
      <c r="F53" s="151">
        <v>97</v>
      </c>
      <c r="G53" s="151">
        <v>40</v>
      </c>
      <c r="H53" s="151">
        <v>24</v>
      </c>
      <c r="I53" s="149" t="s">
        <v>23</v>
      </c>
      <c r="J53" s="149" t="s">
        <v>23</v>
      </c>
      <c r="K53" s="149" t="s">
        <v>23</v>
      </c>
      <c r="L53" s="149">
        <f t="shared" ref="L53:L54" si="2">SUM(B53:K53)</f>
        <v>187</v>
      </c>
    </row>
    <row r="54" spans="1:12" s="147" customFormat="1">
      <c r="A54" s="147">
        <v>2020</v>
      </c>
      <c r="B54" s="149" t="s">
        <v>23</v>
      </c>
      <c r="C54" s="149" t="s">
        <v>23</v>
      </c>
      <c r="D54" s="151">
        <v>17</v>
      </c>
      <c r="E54" s="151">
        <v>12</v>
      </c>
      <c r="F54" s="151">
        <v>20</v>
      </c>
      <c r="G54" s="151">
        <v>13</v>
      </c>
      <c r="H54" s="151">
        <v>3</v>
      </c>
      <c r="I54" s="149" t="s">
        <v>23</v>
      </c>
      <c r="J54" s="149" t="s">
        <v>23</v>
      </c>
      <c r="K54" s="149" t="s">
        <v>23</v>
      </c>
      <c r="L54" s="149">
        <f t="shared" si="2"/>
        <v>65</v>
      </c>
    </row>
    <row r="55" spans="1:12" s="147" customFormat="1" ht="13">
      <c r="A55" s="147" t="s">
        <v>317</v>
      </c>
      <c r="B55" s="149" t="s">
        <v>23</v>
      </c>
      <c r="C55" s="149" t="s">
        <v>23</v>
      </c>
      <c r="D55" s="151">
        <v>1</v>
      </c>
      <c r="E55" s="151">
        <v>3</v>
      </c>
      <c r="F55" s="151">
        <v>21</v>
      </c>
      <c r="G55" s="151">
        <v>9</v>
      </c>
      <c r="H55" s="151">
        <v>6</v>
      </c>
      <c r="I55" s="149" t="s">
        <v>23</v>
      </c>
      <c r="J55" s="149" t="s">
        <v>23</v>
      </c>
      <c r="K55" s="149" t="s">
        <v>23</v>
      </c>
      <c r="L55" s="149">
        <f t="shared" si="1"/>
        <v>40</v>
      </c>
    </row>
    <row r="56" spans="1:12" s="200" customFormat="1">
      <c r="A56" s="95"/>
      <c r="B56" s="152"/>
      <c r="C56" s="152"/>
      <c r="D56" s="152"/>
      <c r="E56" s="152"/>
      <c r="F56" s="152"/>
      <c r="G56" s="152"/>
      <c r="H56" s="152"/>
      <c r="I56" s="152"/>
      <c r="J56" s="152"/>
      <c r="K56" s="152"/>
      <c r="L56" s="152"/>
    </row>
    <row r="57" spans="1:12" s="147" customFormat="1">
      <c r="A57" s="148" t="s">
        <v>47</v>
      </c>
      <c r="B57" s="149"/>
      <c r="C57" s="149"/>
      <c r="D57" s="149"/>
      <c r="E57" s="149"/>
      <c r="F57" s="149"/>
      <c r="G57" s="149"/>
      <c r="H57" s="149"/>
      <c r="I57" s="149"/>
      <c r="J57" s="149"/>
      <c r="K57" s="149"/>
      <c r="L57" s="149"/>
    </row>
    <row r="58" spans="1:12" s="147" customFormat="1">
      <c r="A58" s="150">
        <v>1971</v>
      </c>
      <c r="B58" s="149" t="s">
        <v>23</v>
      </c>
      <c r="C58" s="149">
        <v>0</v>
      </c>
      <c r="D58" s="149">
        <v>6</v>
      </c>
      <c r="E58" s="149">
        <v>844</v>
      </c>
      <c r="F58" s="149">
        <v>2901</v>
      </c>
      <c r="G58" s="149">
        <v>3330</v>
      </c>
      <c r="H58" s="149">
        <v>583</v>
      </c>
      <c r="I58" s="149">
        <v>79</v>
      </c>
      <c r="J58" s="149" t="s">
        <v>23</v>
      </c>
      <c r="K58" s="149" t="s">
        <v>23</v>
      </c>
      <c r="L58" s="149">
        <f t="shared" ref="L58:L96" si="3">SUM(B58:K58)</f>
        <v>7743</v>
      </c>
    </row>
    <row r="59" spans="1:12" s="147" customFormat="1">
      <c r="A59" s="150">
        <v>1972</v>
      </c>
      <c r="B59" s="149" t="s">
        <v>23</v>
      </c>
      <c r="C59" s="149">
        <v>1</v>
      </c>
      <c r="D59" s="149">
        <v>5</v>
      </c>
      <c r="E59" s="149">
        <v>745</v>
      </c>
      <c r="F59" s="149">
        <v>1996</v>
      </c>
      <c r="G59" s="149">
        <v>2811</v>
      </c>
      <c r="H59" s="149">
        <v>631</v>
      </c>
      <c r="I59" s="149">
        <v>29</v>
      </c>
      <c r="J59" s="149" t="s">
        <v>23</v>
      </c>
      <c r="K59" s="149" t="s">
        <v>23</v>
      </c>
      <c r="L59" s="149">
        <f t="shared" si="3"/>
        <v>6218</v>
      </c>
    </row>
    <row r="60" spans="1:12" s="147" customFormat="1">
      <c r="A60" s="150">
        <v>1973</v>
      </c>
      <c r="B60" s="149" t="s">
        <v>23</v>
      </c>
      <c r="C60" s="149">
        <v>3</v>
      </c>
      <c r="D60" s="149">
        <v>3</v>
      </c>
      <c r="E60" s="149">
        <v>674</v>
      </c>
      <c r="F60" s="149">
        <v>2286</v>
      </c>
      <c r="G60" s="149">
        <v>2428</v>
      </c>
      <c r="H60" s="149">
        <v>577</v>
      </c>
      <c r="I60" s="149">
        <v>99</v>
      </c>
      <c r="J60" s="149" t="s">
        <v>23</v>
      </c>
      <c r="K60" s="149" t="s">
        <v>23</v>
      </c>
      <c r="L60" s="149">
        <f t="shared" si="3"/>
        <v>6070</v>
      </c>
    </row>
    <row r="61" spans="1:12" s="147" customFormat="1">
      <c r="A61" s="150">
        <v>1974</v>
      </c>
      <c r="B61" s="149" t="s">
        <v>23</v>
      </c>
      <c r="C61" s="149">
        <v>0</v>
      </c>
      <c r="D61" s="149">
        <v>8</v>
      </c>
      <c r="E61" s="149">
        <v>593</v>
      </c>
      <c r="F61" s="149">
        <v>3138</v>
      </c>
      <c r="G61" s="149">
        <v>2919</v>
      </c>
      <c r="H61" s="149">
        <v>622</v>
      </c>
      <c r="I61" s="149">
        <v>41</v>
      </c>
      <c r="J61" s="149" t="s">
        <v>23</v>
      </c>
      <c r="K61" s="149" t="s">
        <v>23</v>
      </c>
      <c r="L61" s="149">
        <f t="shared" si="3"/>
        <v>7321</v>
      </c>
    </row>
    <row r="62" spans="1:12" s="147" customFormat="1">
      <c r="A62" s="150">
        <v>1975</v>
      </c>
      <c r="B62" s="149" t="s">
        <v>23</v>
      </c>
      <c r="C62" s="149">
        <v>0</v>
      </c>
      <c r="D62" s="149">
        <v>3</v>
      </c>
      <c r="E62" s="149">
        <v>1218</v>
      </c>
      <c r="F62" s="149">
        <v>2720</v>
      </c>
      <c r="G62" s="149">
        <v>2652</v>
      </c>
      <c r="H62" s="149">
        <v>288</v>
      </c>
      <c r="I62" s="149">
        <v>4</v>
      </c>
      <c r="J62" s="149" t="s">
        <v>23</v>
      </c>
      <c r="K62" s="149" t="s">
        <v>23</v>
      </c>
      <c r="L62" s="149">
        <f t="shared" si="3"/>
        <v>6885</v>
      </c>
    </row>
    <row r="63" spans="1:12" s="147" customFormat="1">
      <c r="A63" s="150">
        <v>1976</v>
      </c>
      <c r="B63" s="149" t="s">
        <v>23</v>
      </c>
      <c r="C63" s="149" t="s">
        <v>23</v>
      </c>
      <c r="D63" s="149">
        <v>13</v>
      </c>
      <c r="E63" s="149">
        <v>2282</v>
      </c>
      <c r="F63" s="149">
        <v>3243</v>
      </c>
      <c r="G63" s="149">
        <v>3693</v>
      </c>
      <c r="H63" s="149">
        <v>634</v>
      </c>
      <c r="I63" s="149">
        <v>99</v>
      </c>
      <c r="J63" s="149" t="s">
        <v>23</v>
      </c>
      <c r="K63" s="149" t="s">
        <v>23</v>
      </c>
      <c r="L63" s="149">
        <f t="shared" si="3"/>
        <v>9964</v>
      </c>
    </row>
    <row r="64" spans="1:12" s="147" customFormat="1">
      <c r="A64" s="150">
        <v>1977</v>
      </c>
      <c r="B64" s="149" t="s">
        <v>23</v>
      </c>
      <c r="C64" s="149" t="s">
        <v>23</v>
      </c>
      <c r="D64" s="149">
        <v>15</v>
      </c>
      <c r="E64" s="149">
        <v>1405</v>
      </c>
      <c r="F64" s="149">
        <v>7257</v>
      </c>
      <c r="G64" s="149">
        <v>1914</v>
      </c>
      <c r="H64" s="149">
        <v>376</v>
      </c>
      <c r="I64" s="149">
        <v>62</v>
      </c>
      <c r="J64" s="149" t="s">
        <v>23</v>
      </c>
      <c r="K64" s="149" t="s">
        <v>23</v>
      </c>
      <c r="L64" s="149">
        <f t="shared" si="3"/>
        <v>11029</v>
      </c>
    </row>
    <row r="65" spans="1:12" s="147" customFormat="1">
      <c r="A65" s="150">
        <v>1978</v>
      </c>
      <c r="B65" s="149" t="s">
        <v>23</v>
      </c>
      <c r="C65" s="149" t="s">
        <v>23</v>
      </c>
      <c r="D65" s="149">
        <v>15</v>
      </c>
      <c r="E65" s="149">
        <v>1994</v>
      </c>
      <c r="F65" s="149">
        <v>2929</v>
      </c>
      <c r="G65" s="149">
        <v>1650</v>
      </c>
      <c r="H65" s="149">
        <v>196</v>
      </c>
      <c r="I65" s="149">
        <v>99</v>
      </c>
      <c r="J65" s="149" t="s">
        <v>23</v>
      </c>
      <c r="K65" s="149" t="s">
        <v>23</v>
      </c>
      <c r="L65" s="149">
        <f t="shared" si="3"/>
        <v>6883</v>
      </c>
    </row>
    <row r="66" spans="1:12" s="147" customFormat="1">
      <c r="A66" s="150">
        <v>1979</v>
      </c>
      <c r="B66" s="149" t="s">
        <v>23</v>
      </c>
      <c r="C66" s="149" t="s">
        <v>23</v>
      </c>
      <c r="D66" s="149">
        <v>40</v>
      </c>
      <c r="E66" s="149">
        <v>3</v>
      </c>
      <c r="F66" s="149">
        <v>3088</v>
      </c>
      <c r="G66" s="149">
        <v>2773</v>
      </c>
      <c r="H66" s="149">
        <v>32</v>
      </c>
      <c r="I66" s="149">
        <v>18</v>
      </c>
      <c r="J66" s="149" t="s">
        <v>23</v>
      </c>
      <c r="K66" s="149" t="s">
        <v>23</v>
      </c>
      <c r="L66" s="149">
        <f t="shared" si="3"/>
        <v>5954</v>
      </c>
    </row>
    <row r="67" spans="1:12" s="147" customFormat="1">
      <c r="A67" s="150">
        <v>1980</v>
      </c>
      <c r="B67" s="149" t="s">
        <v>23</v>
      </c>
      <c r="C67" s="149" t="s">
        <v>23</v>
      </c>
      <c r="D67" s="149">
        <v>31</v>
      </c>
      <c r="E67" s="149">
        <v>76</v>
      </c>
      <c r="F67" s="149">
        <v>1352</v>
      </c>
      <c r="G67" s="149">
        <v>3250</v>
      </c>
      <c r="H67" s="149">
        <v>342</v>
      </c>
      <c r="I67" s="149">
        <v>31</v>
      </c>
      <c r="J67" s="149" t="s">
        <v>23</v>
      </c>
      <c r="K67" s="149" t="s">
        <v>23</v>
      </c>
      <c r="L67" s="149">
        <f t="shared" si="3"/>
        <v>5082</v>
      </c>
    </row>
    <row r="68" spans="1:12" s="147" customFormat="1">
      <c r="A68" s="150">
        <v>1981</v>
      </c>
      <c r="B68" s="149" t="s">
        <v>23</v>
      </c>
      <c r="C68" s="149" t="s">
        <v>23</v>
      </c>
      <c r="D68" s="149">
        <v>222</v>
      </c>
      <c r="E68" s="149">
        <v>0</v>
      </c>
      <c r="F68" s="149">
        <v>5649</v>
      </c>
      <c r="G68" s="149">
        <v>2681</v>
      </c>
      <c r="H68" s="149">
        <v>96</v>
      </c>
      <c r="I68" s="149">
        <v>53</v>
      </c>
      <c r="J68" s="149">
        <v>0</v>
      </c>
      <c r="K68" s="149" t="s">
        <v>23</v>
      </c>
      <c r="L68" s="149">
        <f t="shared" si="3"/>
        <v>8701</v>
      </c>
    </row>
    <row r="69" spans="1:12" s="147" customFormat="1">
      <c r="A69" s="150">
        <v>1982</v>
      </c>
      <c r="B69" s="149" t="s">
        <v>23</v>
      </c>
      <c r="C69" s="149" t="s">
        <v>23</v>
      </c>
      <c r="D69" s="149">
        <v>161</v>
      </c>
      <c r="E69" s="149">
        <v>105</v>
      </c>
      <c r="F69" s="149">
        <v>2801</v>
      </c>
      <c r="G69" s="149">
        <v>272</v>
      </c>
      <c r="H69" s="149">
        <v>123</v>
      </c>
      <c r="I69" s="149">
        <v>105</v>
      </c>
      <c r="J69" s="149">
        <v>0</v>
      </c>
      <c r="K69" s="149" t="s">
        <v>23</v>
      </c>
      <c r="L69" s="149">
        <f t="shared" si="3"/>
        <v>3567</v>
      </c>
    </row>
    <row r="70" spans="1:12" s="147" customFormat="1">
      <c r="A70" s="150">
        <v>1983</v>
      </c>
      <c r="B70" s="149" t="s">
        <v>23</v>
      </c>
      <c r="C70" s="149" t="s">
        <v>23</v>
      </c>
      <c r="D70" s="149">
        <v>69</v>
      </c>
      <c r="E70" s="149">
        <v>42</v>
      </c>
      <c r="F70" s="149">
        <v>1068</v>
      </c>
      <c r="G70" s="149">
        <v>1260</v>
      </c>
      <c r="H70" s="149">
        <v>300</v>
      </c>
      <c r="I70" s="149">
        <v>186</v>
      </c>
      <c r="J70" s="149">
        <v>2</v>
      </c>
      <c r="K70" s="149" t="s">
        <v>23</v>
      </c>
      <c r="L70" s="149">
        <f t="shared" si="3"/>
        <v>2927</v>
      </c>
    </row>
    <row r="71" spans="1:12" s="147" customFormat="1">
      <c r="A71" s="150">
        <v>1984</v>
      </c>
      <c r="B71" s="149" t="s">
        <v>23</v>
      </c>
      <c r="C71" s="149" t="s">
        <v>23</v>
      </c>
      <c r="D71" s="149">
        <v>12</v>
      </c>
      <c r="E71" s="149">
        <v>11</v>
      </c>
      <c r="F71" s="149">
        <v>76</v>
      </c>
      <c r="G71" s="149">
        <v>294</v>
      </c>
      <c r="H71" s="149">
        <v>45</v>
      </c>
      <c r="I71" s="149">
        <v>39</v>
      </c>
      <c r="J71" s="149">
        <v>7</v>
      </c>
      <c r="K71" s="149" t="s">
        <v>23</v>
      </c>
      <c r="L71" s="149">
        <f t="shared" si="3"/>
        <v>484</v>
      </c>
    </row>
    <row r="72" spans="1:12" s="147" customFormat="1">
      <c r="A72" s="150">
        <v>1985</v>
      </c>
      <c r="B72" s="149" t="s">
        <v>23</v>
      </c>
      <c r="C72" s="149" t="s">
        <v>23</v>
      </c>
      <c r="D72" s="149">
        <v>25</v>
      </c>
      <c r="E72" s="149">
        <v>77</v>
      </c>
      <c r="F72" s="149">
        <v>555</v>
      </c>
      <c r="G72" s="149">
        <v>488</v>
      </c>
      <c r="H72" s="149">
        <v>134</v>
      </c>
      <c r="I72" s="149">
        <v>86</v>
      </c>
      <c r="J72" s="149">
        <v>0</v>
      </c>
      <c r="K72" s="149" t="s">
        <v>23</v>
      </c>
      <c r="L72" s="149">
        <f t="shared" si="3"/>
        <v>1365</v>
      </c>
    </row>
    <row r="73" spans="1:12" s="147" customFormat="1">
      <c r="A73" s="147">
        <v>1986</v>
      </c>
      <c r="B73" s="149" t="s">
        <v>23</v>
      </c>
      <c r="C73" s="149" t="s">
        <v>23</v>
      </c>
      <c r="D73" s="149">
        <v>35</v>
      </c>
      <c r="E73" s="149">
        <v>28</v>
      </c>
      <c r="F73" s="149">
        <v>2688</v>
      </c>
      <c r="G73" s="149">
        <v>326</v>
      </c>
      <c r="H73" s="149">
        <v>463</v>
      </c>
      <c r="I73" s="149">
        <v>148</v>
      </c>
      <c r="J73" s="149">
        <v>17</v>
      </c>
      <c r="K73" s="149" t="s">
        <v>23</v>
      </c>
      <c r="L73" s="149">
        <f t="shared" si="3"/>
        <v>3705</v>
      </c>
    </row>
    <row r="74" spans="1:12" s="147" customFormat="1">
      <c r="A74" s="147">
        <v>1987</v>
      </c>
      <c r="B74" s="149" t="s">
        <v>23</v>
      </c>
      <c r="C74" s="149" t="s">
        <v>23</v>
      </c>
      <c r="D74" s="149">
        <v>90</v>
      </c>
      <c r="E74" s="149">
        <v>289</v>
      </c>
      <c r="F74" s="149">
        <v>2644</v>
      </c>
      <c r="G74" s="149">
        <v>2147</v>
      </c>
      <c r="H74" s="149">
        <v>1232</v>
      </c>
      <c r="I74" s="149">
        <v>903</v>
      </c>
      <c r="J74" s="149" t="s">
        <v>23</v>
      </c>
      <c r="K74" s="149" t="s">
        <v>23</v>
      </c>
      <c r="L74" s="149">
        <f t="shared" si="3"/>
        <v>7305</v>
      </c>
    </row>
    <row r="75" spans="1:12" s="147" customFormat="1">
      <c r="A75" s="147">
        <v>1988</v>
      </c>
      <c r="B75" s="149" t="s">
        <v>23</v>
      </c>
      <c r="C75" s="149" t="s">
        <v>23</v>
      </c>
      <c r="D75" s="149">
        <v>171</v>
      </c>
      <c r="E75" s="149">
        <v>564</v>
      </c>
      <c r="F75" s="149">
        <v>4467</v>
      </c>
      <c r="G75" s="149">
        <v>2876</v>
      </c>
      <c r="H75" s="149">
        <v>1462</v>
      </c>
      <c r="I75" s="149">
        <v>919</v>
      </c>
      <c r="J75" s="149" t="s">
        <v>23</v>
      </c>
      <c r="K75" s="149" t="s">
        <v>23</v>
      </c>
      <c r="L75" s="149">
        <f t="shared" si="3"/>
        <v>10459</v>
      </c>
    </row>
    <row r="76" spans="1:12" s="147" customFormat="1">
      <c r="A76" s="147">
        <v>1989</v>
      </c>
      <c r="B76" s="149" t="s">
        <v>23</v>
      </c>
      <c r="C76" s="149" t="s">
        <v>23</v>
      </c>
      <c r="D76" s="149">
        <v>500</v>
      </c>
      <c r="E76" s="149">
        <v>661</v>
      </c>
      <c r="F76" s="149">
        <v>3232</v>
      </c>
      <c r="G76" s="149">
        <v>1531</v>
      </c>
      <c r="H76" s="149">
        <v>1319</v>
      </c>
      <c r="I76" s="149">
        <v>588</v>
      </c>
      <c r="J76" s="149" t="s">
        <v>23</v>
      </c>
      <c r="K76" s="149" t="s">
        <v>23</v>
      </c>
      <c r="L76" s="149">
        <f t="shared" si="3"/>
        <v>7831</v>
      </c>
    </row>
    <row r="77" spans="1:12" s="147" customFormat="1">
      <c r="A77" s="147">
        <v>1990</v>
      </c>
      <c r="B77" s="149" t="s">
        <v>23</v>
      </c>
      <c r="C77" s="149" t="s">
        <v>23</v>
      </c>
      <c r="D77" s="149">
        <v>115</v>
      </c>
      <c r="E77" s="149">
        <v>97</v>
      </c>
      <c r="F77" s="149">
        <v>1622</v>
      </c>
      <c r="G77" s="149">
        <v>2276</v>
      </c>
      <c r="H77" s="149">
        <v>559</v>
      </c>
      <c r="I77" s="149">
        <v>464</v>
      </c>
      <c r="J77" s="149" t="s">
        <v>23</v>
      </c>
      <c r="K77" s="149" t="s">
        <v>23</v>
      </c>
      <c r="L77" s="149">
        <f t="shared" si="3"/>
        <v>5133</v>
      </c>
    </row>
    <row r="78" spans="1:12" s="147" customFormat="1">
      <c r="A78" s="147">
        <v>1991</v>
      </c>
      <c r="B78" s="149" t="s">
        <v>23</v>
      </c>
      <c r="C78" s="149" t="s">
        <v>23</v>
      </c>
      <c r="D78" s="149">
        <v>91</v>
      </c>
      <c r="E78" s="149">
        <v>87</v>
      </c>
      <c r="F78" s="149">
        <v>1727</v>
      </c>
      <c r="G78" s="149">
        <v>362</v>
      </c>
      <c r="H78" s="149">
        <v>517</v>
      </c>
      <c r="I78" s="149">
        <v>678</v>
      </c>
      <c r="J78" s="149" t="s">
        <v>23</v>
      </c>
      <c r="K78" s="149" t="s">
        <v>23</v>
      </c>
      <c r="L78" s="149">
        <f t="shared" si="3"/>
        <v>3462</v>
      </c>
    </row>
    <row r="79" spans="1:12" s="147" customFormat="1">
      <c r="A79" s="147">
        <v>1992</v>
      </c>
      <c r="B79" s="149" t="s">
        <v>23</v>
      </c>
      <c r="C79" s="149" t="s">
        <v>23</v>
      </c>
      <c r="D79" s="149">
        <v>98</v>
      </c>
      <c r="E79" s="149" t="s">
        <v>23</v>
      </c>
      <c r="F79" s="149">
        <v>246</v>
      </c>
      <c r="G79" s="149">
        <v>839</v>
      </c>
      <c r="H79" s="149">
        <v>689</v>
      </c>
      <c r="I79" s="149">
        <v>744</v>
      </c>
      <c r="J79" s="149" t="s">
        <v>23</v>
      </c>
      <c r="K79" s="149" t="s">
        <v>23</v>
      </c>
      <c r="L79" s="149">
        <f t="shared" si="3"/>
        <v>2616</v>
      </c>
    </row>
    <row r="80" spans="1:12" s="147" customFormat="1">
      <c r="A80" s="147">
        <v>1993</v>
      </c>
      <c r="B80" s="149" t="s">
        <v>23</v>
      </c>
      <c r="C80" s="149" t="s">
        <v>23</v>
      </c>
      <c r="D80" s="149">
        <v>125</v>
      </c>
      <c r="E80" s="149">
        <v>65</v>
      </c>
      <c r="F80" s="149">
        <v>169</v>
      </c>
      <c r="G80" s="149">
        <v>155</v>
      </c>
      <c r="H80" s="149">
        <v>751</v>
      </c>
      <c r="I80" s="149">
        <v>502</v>
      </c>
      <c r="J80" s="149" t="s">
        <v>23</v>
      </c>
      <c r="K80" s="149" t="s">
        <v>23</v>
      </c>
      <c r="L80" s="149">
        <f t="shared" si="3"/>
        <v>1767</v>
      </c>
    </row>
    <row r="81" spans="1:12" s="147" customFormat="1">
      <c r="A81" s="147">
        <v>1994</v>
      </c>
      <c r="B81" s="149" t="s">
        <v>23</v>
      </c>
      <c r="C81" s="149" t="s">
        <v>23</v>
      </c>
      <c r="D81" s="149">
        <v>38</v>
      </c>
      <c r="E81" s="149">
        <v>81</v>
      </c>
      <c r="F81" s="149" t="s">
        <v>23</v>
      </c>
      <c r="G81" s="149" t="s">
        <v>23</v>
      </c>
      <c r="H81" s="149" t="s">
        <v>23</v>
      </c>
      <c r="I81" s="149">
        <v>428</v>
      </c>
      <c r="J81" s="149">
        <v>2</v>
      </c>
      <c r="K81" s="149" t="s">
        <v>23</v>
      </c>
      <c r="L81" s="149">
        <f t="shared" si="3"/>
        <v>549</v>
      </c>
    </row>
    <row r="82" spans="1:12" s="147" customFormat="1">
      <c r="A82" s="147">
        <v>1995</v>
      </c>
      <c r="B82" s="149" t="s">
        <v>23</v>
      </c>
      <c r="C82" s="149" t="s">
        <v>23</v>
      </c>
      <c r="D82" s="149">
        <v>128</v>
      </c>
      <c r="E82" s="149">
        <v>145</v>
      </c>
      <c r="F82" s="149" t="s">
        <v>23</v>
      </c>
      <c r="G82" s="149">
        <v>549</v>
      </c>
      <c r="H82" s="149">
        <v>275</v>
      </c>
      <c r="I82" s="149">
        <v>213</v>
      </c>
      <c r="J82" s="149" t="s">
        <v>23</v>
      </c>
      <c r="K82" s="149" t="s">
        <v>23</v>
      </c>
      <c r="L82" s="149">
        <f t="shared" si="3"/>
        <v>1310</v>
      </c>
    </row>
    <row r="83" spans="1:12" s="147" customFormat="1">
      <c r="A83" s="147">
        <v>1996</v>
      </c>
      <c r="B83" s="149" t="s">
        <v>23</v>
      </c>
      <c r="C83" s="149" t="s">
        <v>23</v>
      </c>
      <c r="D83" s="149">
        <v>105</v>
      </c>
      <c r="E83" s="149">
        <v>341</v>
      </c>
      <c r="F83" s="149" t="s">
        <v>23</v>
      </c>
      <c r="G83" s="149">
        <v>206</v>
      </c>
      <c r="H83" s="149">
        <v>490</v>
      </c>
      <c r="I83" s="149">
        <v>257</v>
      </c>
      <c r="J83" s="149" t="s">
        <v>23</v>
      </c>
      <c r="K83" s="149" t="s">
        <v>23</v>
      </c>
      <c r="L83" s="149">
        <f t="shared" si="3"/>
        <v>1399</v>
      </c>
    </row>
    <row r="84" spans="1:12" s="147" customFormat="1">
      <c r="A84" s="147">
        <v>1997</v>
      </c>
      <c r="B84" s="149" t="s">
        <v>23</v>
      </c>
      <c r="C84" s="149">
        <v>5</v>
      </c>
      <c r="D84" s="149">
        <v>61</v>
      </c>
      <c r="E84" s="149">
        <v>123</v>
      </c>
      <c r="F84" s="149" t="s">
        <v>23</v>
      </c>
      <c r="G84" s="149">
        <v>108</v>
      </c>
      <c r="H84" s="149">
        <v>217</v>
      </c>
      <c r="I84" s="149">
        <v>178</v>
      </c>
      <c r="J84" s="149">
        <v>11</v>
      </c>
      <c r="K84" s="149" t="s">
        <v>23</v>
      </c>
      <c r="L84" s="149">
        <f t="shared" si="3"/>
        <v>703</v>
      </c>
    </row>
    <row r="85" spans="1:12" s="147" customFormat="1">
      <c r="A85" s="147">
        <v>1998</v>
      </c>
      <c r="B85" s="149" t="s">
        <v>23</v>
      </c>
      <c r="C85" s="149">
        <v>23</v>
      </c>
      <c r="D85" s="149">
        <v>93</v>
      </c>
      <c r="E85" s="149">
        <v>119</v>
      </c>
      <c r="F85" s="149" t="s">
        <v>23</v>
      </c>
      <c r="G85" s="149">
        <v>233</v>
      </c>
      <c r="H85" s="149">
        <v>283</v>
      </c>
      <c r="I85" s="149">
        <v>259</v>
      </c>
      <c r="J85" s="149">
        <v>34</v>
      </c>
      <c r="K85" s="149" t="s">
        <v>23</v>
      </c>
      <c r="L85" s="149">
        <f t="shared" si="3"/>
        <v>1044</v>
      </c>
    </row>
    <row r="86" spans="1:12" s="147" customFormat="1">
      <c r="A86" s="147">
        <v>1999</v>
      </c>
      <c r="B86" s="149" t="s">
        <v>23</v>
      </c>
      <c r="C86" s="149">
        <v>1</v>
      </c>
      <c r="D86" s="149">
        <v>41</v>
      </c>
      <c r="E86" s="149">
        <v>105</v>
      </c>
      <c r="F86" s="149">
        <v>48</v>
      </c>
      <c r="G86" s="149">
        <v>177</v>
      </c>
      <c r="H86" s="149">
        <v>225</v>
      </c>
      <c r="I86" s="149">
        <v>95</v>
      </c>
      <c r="J86" s="149">
        <v>2</v>
      </c>
      <c r="K86" s="149" t="s">
        <v>23</v>
      </c>
      <c r="L86" s="149">
        <f t="shared" si="3"/>
        <v>694</v>
      </c>
    </row>
    <row r="87" spans="1:12" s="147" customFormat="1">
      <c r="A87" s="147">
        <v>2000</v>
      </c>
      <c r="B87" s="149" t="s">
        <v>23</v>
      </c>
      <c r="C87" s="149">
        <v>1</v>
      </c>
      <c r="D87" s="149">
        <v>54</v>
      </c>
      <c r="E87" s="149">
        <v>252</v>
      </c>
      <c r="F87" s="149">
        <v>73</v>
      </c>
      <c r="G87" s="149">
        <v>204</v>
      </c>
      <c r="H87" s="149">
        <v>166</v>
      </c>
      <c r="I87" s="149">
        <v>139</v>
      </c>
      <c r="J87" s="149">
        <v>4</v>
      </c>
      <c r="K87" s="149" t="s">
        <v>23</v>
      </c>
      <c r="L87" s="149">
        <f t="shared" si="3"/>
        <v>893</v>
      </c>
    </row>
    <row r="88" spans="1:12" s="147" customFormat="1">
      <c r="A88" s="147">
        <v>2001</v>
      </c>
      <c r="B88" s="149" t="s">
        <v>23</v>
      </c>
      <c r="C88" s="149">
        <v>46</v>
      </c>
      <c r="D88" s="149">
        <v>101</v>
      </c>
      <c r="E88" s="149">
        <v>227</v>
      </c>
      <c r="F88" s="149">
        <v>307</v>
      </c>
      <c r="G88" s="149">
        <v>302</v>
      </c>
      <c r="H88" s="149">
        <v>248</v>
      </c>
      <c r="I88" s="149">
        <v>117</v>
      </c>
      <c r="J88" s="149">
        <v>9</v>
      </c>
      <c r="K88" s="149" t="s">
        <v>23</v>
      </c>
      <c r="L88" s="149">
        <f t="shared" si="3"/>
        <v>1357</v>
      </c>
    </row>
    <row r="89" spans="1:12" s="147" customFormat="1">
      <c r="A89" s="147">
        <v>2002</v>
      </c>
      <c r="B89" s="149">
        <v>13</v>
      </c>
      <c r="C89" s="149">
        <v>19</v>
      </c>
      <c r="D89" s="149">
        <v>132</v>
      </c>
      <c r="E89" s="149">
        <v>242</v>
      </c>
      <c r="F89" s="149">
        <v>125</v>
      </c>
      <c r="G89" s="149">
        <v>323</v>
      </c>
      <c r="H89" s="149">
        <v>396</v>
      </c>
      <c r="I89" s="149">
        <v>394</v>
      </c>
      <c r="J89" s="149">
        <v>4</v>
      </c>
      <c r="K89" s="149" t="s">
        <v>23</v>
      </c>
      <c r="L89" s="149">
        <f t="shared" si="3"/>
        <v>1648</v>
      </c>
    </row>
    <row r="90" spans="1:12" s="147" customFormat="1">
      <c r="A90" s="147">
        <v>2003</v>
      </c>
      <c r="B90" s="149">
        <v>9</v>
      </c>
      <c r="C90" s="149">
        <v>15</v>
      </c>
      <c r="D90" s="149">
        <v>534</v>
      </c>
      <c r="E90" s="149">
        <v>453</v>
      </c>
      <c r="F90" s="149">
        <v>159</v>
      </c>
      <c r="G90" s="149">
        <v>148</v>
      </c>
      <c r="H90" s="149">
        <v>285</v>
      </c>
      <c r="I90" s="149">
        <v>264</v>
      </c>
      <c r="J90" s="149">
        <v>22</v>
      </c>
      <c r="K90" s="149" t="s">
        <v>23</v>
      </c>
      <c r="L90" s="149">
        <f t="shared" si="3"/>
        <v>1889</v>
      </c>
    </row>
    <row r="91" spans="1:12" s="147" customFormat="1">
      <c r="A91" s="147">
        <v>2004</v>
      </c>
      <c r="B91" s="149">
        <v>15</v>
      </c>
      <c r="C91" s="149">
        <v>201</v>
      </c>
      <c r="D91" s="149">
        <v>226</v>
      </c>
      <c r="E91" s="149">
        <v>136</v>
      </c>
      <c r="F91" s="149">
        <v>106</v>
      </c>
      <c r="G91" s="149">
        <v>126</v>
      </c>
      <c r="H91" s="149">
        <v>290</v>
      </c>
      <c r="I91" s="149">
        <v>227</v>
      </c>
      <c r="J91" s="149">
        <v>14</v>
      </c>
      <c r="K91" s="149" t="s">
        <v>23</v>
      </c>
      <c r="L91" s="149">
        <f t="shared" si="3"/>
        <v>1341</v>
      </c>
    </row>
    <row r="92" spans="1:12" s="147" customFormat="1">
      <c r="A92" s="147">
        <v>2005</v>
      </c>
      <c r="B92" s="149">
        <v>247</v>
      </c>
      <c r="C92" s="149">
        <v>40</v>
      </c>
      <c r="D92" s="149">
        <v>347</v>
      </c>
      <c r="E92" s="149">
        <v>710</v>
      </c>
      <c r="F92" s="149" t="s">
        <v>23</v>
      </c>
      <c r="G92" s="149" t="s">
        <v>23</v>
      </c>
      <c r="H92" s="149">
        <v>287</v>
      </c>
      <c r="I92" s="149">
        <v>90</v>
      </c>
      <c r="J92" s="149">
        <v>1</v>
      </c>
      <c r="K92" s="149" t="s">
        <v>23</v>
      </c>
      <c r="L92" s="149">
        <f t="shared" si="3"/>
        <v>1722</v>
      </c>
    </row>
    <row r="93" spans="1:12" s="147" customFormat="1">
      <c r="A93" s="147">
        <v>2006</v>
      </c>
      <c r="B93" s="151" t="s">
        <v>23</v>
      </c>
      <c r="C93" s="151" t="s">
        <v>23</v>
      </c>
      <c r="D93" s="151" t="s">
        <v>23</v>
      </c>
      <c r="E93" s="151">
        <v>179</v>
      </c>
      <c r="F93" s="151">
        <v>12</v>
      </c>
      <c r="G93" s="151">
        <v>34</v>
      </c>
      <c r="H93" s="151">
        <v>178</v>
      </c>
      <c r="I93" s="151">
        <v>317</v>
      </c>
      <c r="J93" s="151">
        <v>31</v>
      </c>
      <c r="K93" s="151" t="s">
        <v>23</v>
      </c>
      <c r="L93" s="149">
        <f t="shared" si="3"/>
        <v>751</v>
      </c>
    </row>
    <row r="94" spans="1:12" s="147" customFormat="1">
      <c r="A94" s="147">
        <v>2007</v>
      </c>
      <c r="B94" s="151" t="s">
        <v>23</v>
      </c>
      <c r="C94" s="151">
        <v>8</v>
      </c>
      <c r="D94" s="151">
        <v>280</v>
      </c>
      <c r="E94" s="151">
        <v>100</v>
      </c>
      <c r="F94" s="151">
        <v>4</v>
      </c>
      <c r="G94" s="151">
        <v>86</v>
      </c>
      <c r="H94" s="151">
        <v>95</v>
      </c>
      <c r="I94" s="151">
        <v>95</v>
      </c>
      <c r="J94" s="151">
        <v>30</v>
      </c>
      <c r="K94" s="151" t="s">
        <v>23</v>
      </c>
      <c r="L94" s="149">
        <f t="shared" si="3"/>
        <v>698</v>
      </c>
    </row>
    <row r="95" spans="1:12" s="147" customFormat="1">
      <c r="A95" s="147">
        <v>2008</v>
      </c>
      <c r="B95" s="151" t="s">
        <v>23</v>
      </c>
      <c r="C95" s="151" t="s">
        <v>23</v>
      </c>
      <c r="D95" s="151" t="s">
        <v>23</v>
      </c>
      <c r="E95" s="151" t="s">
        <v>23</v>
      </c>
      <c r="F95" s="151" t="s">
        <v>23</v>
      </c>
      <c r="G95" s="151" t="s">
        <v>23</v>
      </c>
      <c r="H95" s="151">
        <v>37</v>
      </c>
      <c r="I95" s="151">
        <v>12</v>
      </c>
      <c r="J95" s="153" t="s">
        <v>106</v>
      </c>
      <c r="K95" s="151" t="s">
        <v>23</v>
      </c>
      <c r="L95" s="149">
        <f t="shared" si="3"/>
        <v>49</v>
      </c>
    </row>
    <row r="96" spans="1:12" s="147" customFormat="1">
      <c r="A96" s="147">
        <v>2009</v>
      </c>
      <c r="B96" s="151" t="s">
        <v>23</v>
      </c>
      <c r="C96" s="151" t="s">
        <v>23</v>
      </c>
      <c r="D96" s="151" t="s">
        <v>23</v>
      </c>
      <c r="E96" s="151" t="s">
        <v>23</v>
      </c>
      <c r="F96" s="151" t="s">
        <v>23</v>
      </c>
      <c r="G96" s="151" t="s">
        <v>23</v>
      </c>
      <c r="H96" s="151">
        <v>247</v>
      </c>
      <c r="I96" s="151">
        <v>24</v>
      </c>
      <c r="J96" s="151" t="s">
        <v>23</v>
      </c>
      <c r="K96" s="151" t="s">
        <v>23</v>
      </c>
      <c r="L96" s="149">
        <f t="shared" si="3"/>
        <v>271</v>
      </c>
    </row>
    <row r="97" spans="1:12" s="147" customFormat="1">
      <c r="A97" s="147">
        <v>2010</v>
      </c>
      <c r="B97" s="151" t="s">
        <v>23</v>
      </c>
      <c r="C97" s="151" t="s">
        <v>23</v>
      </c>
      <c r="D97" s="151">
        <v>33</v>
      </c>
      <c r="E97" s="151">
        <v>177</v>
      </c>
      <c r="F97" s="151">
        <f>78+18+3+6+4</f>
        <v>109</v>
      </c>
      <c r="G97" s="151">
        <v>39</v>
      </c>
      <c r="H97" s="151">
        <v>37</v>
      </c>
      <c r="I97" s="151">
        <f>1+6+2</f>
        <v>9</v>
      </c>
      <c r="J97" s="151" t="s">
        <v>23</v>
      </c>
      <c r="K97" s="151" t="s">
        <v>23</v>
      </c>
      <c r="L97" s="149">
        <f>SUM(B97:K97)</f>
        <v>404</v>
      </c>
    </row>
    <row r="98" spans="1:12" s="147" customFormat="1">
      <c r="A98" s="147">
        <v>2011</v>
      </c>
      <c r="B98" s="151" t="s">
        <v>23</v>
      </c>
      <c r="C98" s="151" t="s">
        <v>23</v>
      </c>
      <c r="D98" s="151">
        <v>25</v>
      </c>
      <c r="E98" s="151">
        <v>96</v>
      </c>
      <c r="F98" s="151">
        <v>21</v>
      </c>
      <c r="G98" s="151">
        <v>23</v>
      </c>
      <c r="H98" s="151">
        <v>42</v>
      </c>
      <c r="I98" s="151">
        <v>13</v>
      </c>
      <c r="J98" s="151" t="s">
        <v>23</v>
      </c>
      <c r="K98" s="151" t="s">
        <v>23</v>
      </c>
      <c r="L98" s="149">
        <f>SUM(B98:K98)</f>
        <v>220</v>
      </c>
    </row>
    <row r="99" spans="1:12" s="147" customFormat="1">
      <c r="A99" s="147">
        <v>2012</v>
      </c>
      <c r="B99" s="151" t="s">
        <v>23</v>
      </c>
      <c r="C99" s="151">
        <v>52</v>
      </c>
      <c r="D99" s="151">
        <v>175</v>
      </c>
      <c r="E99" s="151">
        <v>91</v>
      </c>
      <c r="F99" s="151">
        <v>36</v>
      </c>
      <c r="G99" s="151">
        <v>22</v>
      </c>
      <c r="H99" s="151">
        <v>102</v>
      </c>
      <c r="I99" s="151">
        <v>157</v>
      </c>
      <c r="J99" s="151" t="s">
        <v>23</v>
      </c>
      <c r="K99" s="151" t="s">
        <v>23</v>
      </c>
      <c r="L99" s="149">
        <f t="shared" ref="L99:L108" si="4">SUM(B99:K99)</f>
        <v>635</v>
      </c>
    </row>
    <row r="100" spans="1:12" s="147" customFormat="1">
      <c r="A100" s="147">
        <v>2013</v>
      </c>
      <c r="B100" s="151" t="s">
        <v>23</v>
      </c>
      <c r="C100" s="151">
        <v>189</v>
      </c>
      <c r="D100" s="151">
        <v>87</v>
      </c>
      <c r="E100" s="151">
        <v>52</v>
      </c>
      <c r="F100" s="151">
        <v>40</v>
      </c>
      <c r="G100" s="151">
        <v>196</v>
      </c>
      <c r="H100" s="151">
        <v>192</v>
      </c>
      <c r="I100" s="151">
        <v>74</v>
      </c>
      <c r="J100" s="151" t="s">
        <v>23</v>
      </c>
      <c r="K100" s="151" t="s">
        <v>23</v>
      </c>
      <c r="L100" s="149">
        <f t="shared" si="4"/>
        <v>830</v>
      </c>
    </row>
    <row r="101" spans="1:12" s="147" customFormat="1">
      <c r="A101" s="147">
        <v>2014</v>
      </c>
      <c r="B101" s="151" t="s">
        <v>23</v>
      </c>
      <c r="C101" s="151">
        <v>10</v>
      </c>
      <c r="D101" s="151">
        <v>96</v>
      </c>
      <c r="E101" s="151">
        <v>159</v>
      </c>
      <c r="F101" s="151">
        <v>60</v>
      </c>
      <c r="G101" s="151">
        <v>40</v>
      </c>
      <c r="H101" s="151">
        <v>177</v>
      </c>
      <c r="I101" s="151">
        <v>14</v>
      </c>
      <c r="J101" s="151" t="s">
        <v>23</v>
      </c>
      <c r="K101" s="151" t="s">
        <v>23</v>
      </c>
      <c r="L101" s="149">
        <f t="shared" si="4"/>
        <v>556</v>
      </c>
    </row>
    <row r="102" spans="1:12" s="147" customFormat="1">
      <c r="A102" s="147">
        <v>2015</v>
      </c>
      <c r="B102" s="151" t="s">
        <v>23</v>
      </c>
      <c r="C102" s="151">
        <v>50</v>
      </c>
      <c r="D102" s="151">
        <v>321</v>
      </c>
      <c r="E102" s="151">
        <v>249</v>
      </c>
      <c r="F102" s="151">
        <v>9</v>
      </c>
      <c r="G102" s="151">
        <v>26</v>
      </c>
      <c r="H102" s="151">
        <v>140</v>
      </c>
      <c r="I102" s="151">
        <v>71</v>
      </c>
      <c r="J102" s="151" t="s">
        <v>23</v>
      </c>
      <c r="K102" s="151" t="s">
        <v>23</v>
      </c>
      <c r="L102" s="149">
        <f t="shared" si="4"/>
        <v>866</v>
      </c>
    </row>
    <row r="103" spans="1:12" s="147" customFormat="1">
      <c r="A103" s="147">
        <v>2016</v>
      </c>
      <c r="B103" s="151" t="s">
        <v>23</v>
      </c>
      <c r="C103" s="151">
        <v>44</v>
      </c>
      <c r="D103" s="151">
        <v>38</v>
      </c>
      <c r="E103" s="151">
        <v>66</v>
      </c>
      <c r="F103" s="151">
        <v>8</v>
      </c>
      <c r="G103" s="151">
        <v>12</v>
      </c>
      <c r="H103" s="151">
        <v>55</v>
      </c>
      <c r="I103" s="151">
        <v>14</v>
      </c>
      <c r="J103" s="151" t="s">
        <v>23</v>
      </c>
      <c r="K103" s="151" t="s">
        <v>23</v>
      </c>
      <c r="L103" s="149">
        <f t="shared" si="4"/>
        <v>237</v>
      </c>
    </row>
    <row r="104" spans="1:12" s="147" customFormat="1">
      <c r="A104" s="147">
        <v>2017</v>
      </c>
      <c r="B104" s="151" t="s">
        <v>23</v>
      </c>
      <c r="C104" s="151">
        <v>7</v>
      </c>
      <c r="D104" s="151">
        <v>34</v>
      </c>
      <c r="E104" s="151">
        <v>46</v>
      </c>
      <c r="F104" s="151">
        <v>8</v>
      </c>
      <c r="G104" s="151" t="s">
        <v>23</v>
      </c>
      <c r="H104" s="151">
        <v>70</v>
      </c>
      <c r="I104" s="151">
        <v>17</v>
      </c>
      <c r="J104" s="151" t="s">
        <v>23</v>
      </c>
      <c r="K104" s="151" t="s">
        <v>23</v>
      </c>
      <c r="L104" s="149">
        <f t="shared" si="4"/>
        <v>182</v>
      </c>
    </row>
    <row r="105" spans="1:12" s="147" customFormat="1">
      <c r="A105" s="147">
        <v>2018</v>
      </c>
      <c r="B105" s="151" t="s">
        <v>23</v>
      </c>
      <c r="C105" s="151" t="s">
        <v>23</v>
      </c>
      <c r="D105" s="151">
        <v>60</v>
      </c>
      <c r="E105" s="151">
        <v>44</v>
      </c>
      <c r="F105" s="151">
        <v>5</v>
      </c>
      <c r="G105" s="151">
        <v>36</v>
      </c>
      <c r="H105" s="151">
        <v>23</v>
      </c>
      <c r="I105" s="151">
        <v>11</v>
      </c>
      <c r="J105" s="151" t="s">
        <v>23</v>
      </c>
      <c r="K105" s="151" t="s">
        <v>23</v>
      </c>
      <c r="L105" s="149">
        <f>SUM(B105:K105)</f>
        <v>179</v>
      </c>
    </row>
    <row r="106" spans="1:12" s="147" customFormat="1">
      <c r="A106" s="147">
        <v>2019</v>
      </c>
      <c r="B106" s="151" t="s">
        <v>23</v>
      </c>
      <c r="C106" s="151">
        <v>3</v>
      </c>
      <c r="D106" s="151">
        <v>45</v>
      </c>
      <c r="E106" s="151">
        <v>22</v>
      </c>
      <c r="F106" s="151">
        <v>16</v>
      </c>
      <c r="G106" s="151">
        <v>12</v>
      </c>
      <c r="H106" s="151">
        <v>15</v>
      </c>
      <c r="I106" s="151">
        <v>24</v>
      </c>
      <c r="J106" s="151" t="s">
        <v>23</v>
      </c>
      <c r="K106" s="151" t="s">
        <v>23</v>
      </c>
      <c r="L106" s="149">
        <f t="shared" ref="L106:L107" si="5">SUM(B106:K106)</f>
        <v>137</v>
      </c>
    </row>
    <row r="107" spans="1:12" s="147" customFormat="1">
      <c r="A107" s="147">
        <v>2020</v>
      </c>
      <c r="B107" s="151" t="s">
        <v>23</v>
      </c>
      <c r="C107" s="151">
        <v>2</v>
      </c>
      <c r="D107" s="151">
        <v>4</v>
      </c>
      <c r="E107" s="151">
        <v>48</v>
      </c>
      <c r="F107" s="151">
        <v>8</v>
      </c>
      <c r="G107" s="151">
        <v>12</v>
      </c>
      <c r="H107" s="151">
        <v>35</v>
      </c>
      <c r="I107" s="151">
        <v>25</v>
      </c>
      <c r="J107" s="151" t="s">
        <v>23</v>
      </c>
      <c r="K107" s="151" t="s">
        <v>23</v>
      </c>
      <c r="L107" s="149">
        <f t="shared" si="5"/>
        <v>134</v>
      </c>
    </row>
    <row r="108" spans="1:12" s="147" customFormat="1" ht="13">
      <c r="A108" s="147" t="s">
        <v>317</v>
      </c>
      <c r="B108" s="151" t="s">
        <v>23</v>
      </c>
      <c r="C108" s="151">
        <v>53</v>
      </c>
      <c r="D108" s="151">
        <v>59</v>
      </c>
      <c r="E108" s="151">
        <v>40</v>
      </c>
      <c r="F108" s="151">
        <v>27</v>
      </c>
      <c r="G108" s="151">
        <v>15</v>
      </c>
      <c r="H108" s="151">
        <v>24</v>
      </c>
      <c r="I108" s="151">
        <v>6</v>
      </c>
      <c r="J108" s="151" t="s">
        <v>23</v>
      </c>
      <c r="K108" s="151" t="s">
        <v>23</v>
      </c>
      <c r="L108" s="149">
        <f t="shared" si="4"/>
        <v>224</v>
      </c>
    </row>
    <row r="109" spans="1:12" s="200" customFormat="1">
      <c r="A109" s="95"/>
      <c r="B109" s="152"/>
      <c r="C109" s="152"/>
      <c r="D109" s="152"/>
      <c r="E109" s="152"/>
      <c r="F109" s="152"/>
      <c r="G109" s="152"/>
      <c r="H109" s="152"/>
      <c r="I109" s="152"/>
      <c r="J109" s="152"/>
      <c r="K109" s="152"/>
      <c r="L109" s="152"/>
    </row>
    <row r="110" spans="1:12" s="95" customFormat="1">
      <c r="A110" s="88" t="s">
        <v>48</v>
      </c>
      <c r="B110" s="154"/>
      <c r="C110" s="154"/>
      <c r="D110" s="154"/>
      <c r="E110" s="154"/>
      <c r="F110" s="154"/>
      <c r="G110" s="154"/>
      <c r="H110" s="154"/>
      <c r="I110" s="154"/>
      <c r="J110" s="154"/>
      <c r="K110" s="154"/>
      <c r="L110" s="154"/>
    </row>
    <row r="111" spans="1:12" s="147" customFormat="1">
      <c r="A111" s="150">
        <v>1971</v>
      </c>
      <c r="B111" s="149" t="s">
        <v>23</v>
      </c>
      <c r="C111" s="149">
        <v>1</v>
      </c>
      <c r="D111" s="149">
        <v>152</v>
      </c>
      <c r="E111" s="149">
        <v>1991</v>
      </c>
      <c r="F111" s="149">
        <v>3597</v>
      </c>
      <c r="G111" s="149">
        <v>5066</v>
      </c>
      <c r="H111" s="149">
        <v>944</v>
      </c>
      <c r="I111" s="149">
        <v>298</v>
      </c>
      <c r="J111" s="149" t="s">
        <v>23</v>
      </c>
      <c r="K111" s="149" t="s">
        <v>23</v>
      </c>
      <c r="L111" s="149">
        <f t="shared" ref="L111:L143" si="6">SUM(B111:K111)</f>
        <v>12049</v>
      </c>
    </row>
    <row r="112" spans="1:12" s="147" customFormat="1">
      <c r="A112" s="150">
        <v>1972</v>
      </c>
      <c r="B112" s="149" t="s">
        <v>23</v>
      </c>
      <c r="C112" s="149">
        <v>0</v>
      </c>
      <c r="D112" s="149">
        <v>118</v>
      </c>
      <c r="E112" s="149">
        <v>2277</v>
      </c>
      <c r="F112" s="149">
        <v>4308</v>
      </c>
      <c r="G112" s="149">
        <v>4054</v>
      </c>
      <c r="H112" s="149">
        <v>855</v>
      </c>
      <c r="I112" s="149">
        <v>185</v>
      </c>
      <c r="J112" s="149" t="s">
        <v>23</v>
      </c>
      <c r="K112" s="149" t="s">
        <v>23</v>
      </c>
      <c r="L112" s="149">
        <f t="shared" si="6"/>
        <v>11797</v>
      </c>
    </row>
    <row r="113" spans="1:12" s="147" customFormat="1">
      <c r="A113" s="150">
        <v>1973</v>
      </c>
      <c r="B113" s="149" t="s">
        <v>23</v>
      </c>
      <c r="C113" s="149">
        <v>16</v>
      </c>
      <c r="D113" s="149">
        <v>139</v>
      </c>
      <c r="E113" s="149">
        <v>1356</v>
      </c>
      <c r="F113" s="149">
        <v>4341</v>
      </c>
      <c r="G113" s="149">
        <v>7605</v>
      </c>
      <c r="H113" s="149">
        <v>2864</v>
      </c>
      <c r="I113" s="149">
        <v>1628</v>
      </c>
      <c r="J113" s="149" t="s">
        <v>23</v>
      </c>
      <c r="K113" s="149" t="s">
        <v>23</v>
      </c>
      <c r="L113" s="149">
        <f t="shared" si="6"/>
        <v>17949</v>
      </c>
    </row>
    <row r="114" spans="1:12" s="147" customFormat="1">
      <c r="A114" s="150">
        <v>1974</v>
      </c>
      <c r="B114" s="149" t="s">
        <v>23</v>
      </c>
      <c r="C114" s="149">
        <v>30</v>
      </c>
      <c r="D114" s="149">
        <v>56</v>
      </c>
      <c r="E114" s="149">
        <v>1445</v>
      </c>
      <c r="F114" s="149">
        <v>7381</v>
      </c>
      <c r="G114" s="149">
        <v>6345</v>
      </c>
      <c r="H114" s="149">
        <v>2580</v>
      </c>
      <c r="I114" s="149">
        <v>106</v>
      </c>
      <c r="J114" s="149" t="s">
        <v>23</v>
      </c>
      <c r="K114" s="149" t="s">
        <v>23</v>
      </c>
      <c r="L114" s="149">
        <f t="shared" si="6"/>
        <v>17943</v>
      </c>
    </row>
    <row r="115" spans="1:12" s="147" customFormat="1">
      <c r="A115" s="150">
        <v>1975</v>
      </c>
      <c r="B115" s="149" t="s">
        <v>23</v>
      </c>
      <c r="C115" s="149">
        <v>7</v>
      </c>
      <c r="D115" s="149">
        <v>138</v>
      </c>
      <c r="E115" s="149">
        <v>2927</v>
      </c>
      <c r="F115" s="149">
        <v>4590</v>
      </c>
      <c r="G115" s="149">
        <v>4753</v>
      </c>
      <c r="H115" s="149">
        <v>1273</v>
      </c>
      <c r="I115" s="149">
        <v>166</v>
      </c>
      <c r="J115" s="149" t="s">
        <v>23</v>
      </c>
      <c r="K115" s="149" t="s">
        <v>23</v>
      </c>
      <c r="L115" s="149">
        <f t="shared" si="6"/>
        <v>13854</v>
      </c>
    </row>
    <row r="116" spans="1:12" s="147" customFormat="1">
      <c r="A116" s="150">
        <v>1976</v>
      </c>
      <c r="B116" s="149" t="s">
        <v>23</v>
      </c>
      <c r="C116" s="149" t="s">
        <v>23</v>
      </c>
      <c r="D116" s="149">
        <v>161</v>
      </c>
      <c r="E116" s="149">
        <v>3647</v>
      </c>
      <c r="F116" s="149">
        <v>8052</v>
      </c>
      <c r="G116" s="149">
        <v>8383</v>
      </c>
      <c r="H116" s="149">
        <v>2226</v>
      </c>
      <c r="I116" s="149">
        <v>910</v>
      </c>
      <c r="J116" s="149" t="s">
        <v>23</v>
      </c>
      <c r="K116" s="149" t="s">
        <v>23</v>
      </c>
      <c r="L116" s="149">
        <f t="shared" si="6"/>
        <v>23379</v>
      </c>
    </row>
    <row r="117" spans="1:12" s="147" customFormat="1">
      <c r="A117" s="150">
        <v>1977</v>
      </c>
      <c r="B117" s="149" t="s">
        <v>23</v>
      </c>
      <c r="C117" s="149" t="s">
        <v>23</v>
      </c>
      <c r="D117" s="149">
        <v>693</v>
      </c>
      <c r="E117" s="149">
        <v>1887</v>
      </c>
      <c r="F117" s="149">
        <v>10792</v>
      </c>
      <c r="G117" s="149">
        <v>5462</v>
      </c>
      <c r="H117" s="149">
        <v>1204</v>
      </c>
      <c r="I117" s="149">
        <v>190</v>
      </c>
      <c r="J117" s="149" t="s">
        <v>23</v>
      </c>
      <c r="K117" s="149" t="s">
        <v>23</v>
      </c>
      <c r="L117" s="149">
        <f t="shared" si="6"/>
        <v>20228</v>
      </c>
    </row>
    <row r="118" spans="1:12" s="147" customFormat="1">
      <c r="A118" s="150">
        <v>1978</v>
      </c>
      <c r="B118" s="149" t="s">
        <v>23</v>
      </c>
      <c r="C118" s="149" t="s">
        <v>23</v>
      </c>
      <c r="D118" s="149">
        <v>75</v>
      </c>
      <c r="E118" s="149">
        <v>2466</v>
      </c>
      <c r="F118" s="149">
        <v>5122</v>
      </c>
      <c r="G118" s="149">
        <v>3907</v>
      </c>
      <c r="H118" s="149">
        <v>903</v>
      </c>
      <c r="I118" s="149">
        <v>263</v>
      </c>
      <c r="J118" s="149">
        <v>1</v>
      </c>
      <c r="K118" s="149" t="s">
        <v>23</v>
      </c>
      <c r="L118" s="149">
        <f t="shared" si="6"/>
        <v>12737</v>
      </c>
    </row>
    <row r="119" spans="1:12" s="147" customFormat="1">
      <c r="A119" s="150">
        <v>1979</v>
      </c>
      <c r="B119" s="149" t="s">
        <v>23</v>
      </c>
      <c r="C119" s="149" t="s">
        <v>23</v>
      </c>
      <c r="D119" s="149">
        <v>267</v>
      </c>
      <c r="E119" s="149">
        <v>4</v>
      </c>
      <c r="F119" s="149">
        <v>5920</v>
      </c>
      <c r="G119" s="149">
        <v>5372</v>
      </c>
      <c r="H119" s="149">
        <v>151</v>
      </c>
      <c r="I119" s="149">
        <v>65</v>
      </c>
      <c r="J119" s="149">
        <v>1</v>
      </c>
      <c r="K119" s="149" t="s">
        <v>23</v>
      </c>
      <c r="L119" s="149">
        <f t="shared" si="6"/>
        <v>11780</v>
      </c>
    </row>
    <row r="120" spans="1:12" s="147" customFormat="1">
      <c r="A120" s="150">
        <v>1980</v>
      </c>
      <c r="B120" s="149" t="s">
        <v>23</v>
      </c>
      <c r="C120" s="149" t="s">
        <v>23</v>
      </c>
      <c r="D120" s="149">
        <v>302</v>
      </c>
      <c r="E120" s="149">
        <v>305</v>
      </c>
      <c r="F120" s="149">
        <v>1963</v>
      </c>
      <c r="G120" s="149">
        <v>3744</v>
      </c>
      <c r="H120" s="149">
        <v>531</v>
      </c>
      <c r="I120" s="149">
        <v>177</v>
      </c>
      <c r="J120" s="149" t="s">
        <v>23</v>
      </c>
      <c r="K120" s="149" t="s">
        <v>23</v>
      </c>
      <c r="L120" s="149">
        <f t="shared" si="6"/>
        <v>7022</v>
      </c>
    </row>
    <row r="121" spans="1:12" s="147" customFormat="1">
      <c r="A121" s="150">
        <v>1981</v>
      </c>
      <c r="B121" s="149" t="s">
        <v>23</v>
      </c>
      <c r="C121" s="149" t="s">
        <v>23</v>
      </c>
      <c r="D121" s="149">
        <v>1267</v>
      </c>
      <c r="E121" s="149">
        <v>0</v>
      </c>
      <c r="F121" s="149">
        <v>5094</v>
      </c>
      <c r="G121" s="149">
        <v>4747</v>
      </c>
      <c r="H121" s="149">
        <v>67</v>
      </c>
      <c r="I121" s="149">
        <v>65</v>
      </c>
      <c r="J121" s="149">
        <v>0</v>
      </c>
      <c r="K121" s="149" t="s">
        <v>23</v>
      </c>
      <c r="L121" s="149">
        <f t="shared" si="6"/>
        <v>11240</v>
      </c>
    </row>
    <row r="122" spans="1:12" s="147" customFormat="1">
      <c r="A122" s="150">
        <v>1982</v>
      </c>
      <c r="B122" s="149" t="s">
        <v>23</v>
      </c>
      <c r="C122" s="149" t="s">
        <v>23</v>
      </c>
      <c r="D122" s="149">
        <v>544</v>
      </c>
      <c r="E122" s="149">
        <v>688</v>
      </c>
      <c r="F122" s="149">
        <v>3503</v>
      </c>
      <c r="G122" s="149">
        <v>345</v>
      </c>
      <c r="H122" s="149">
        <v>293</v>
      </c>
      <c r="I122" s="149">
        <v>398</v>
      </c>
      <c r="J122" s="149">
        <v>0</v>
      </c>
      <c r="K122" s="149" t="s">
        <v>23</v>
      </c>
      <c r="L122" s="149">
        <f t="shared" si="6"/>
        <v>5771</v>
      </c>
    </row>
    <row r="123" spans="1:12" s="147" customFormat="1">
      <c r="A123" s="150">
        <v>1983</v>
      </c>
      <c r="B123" s="149" t="s">
        <v>23</v>
      </c>
      <c r="C123" s="149" t="s">
        <v>23</v>
      </c>
      <c r="D123" s="149">
        <v>232</v>
      </c>
      <c r="E123" s="149">
        <v>228</v>
      </c>
      <c r="F123" s="149">
        <v>3939</v>
      </c>
      <c r="G123" s="149">
        <v>1848</v>
      </c>
      <c r="H123" s="149">
        <v>484</v>
      </c>
      <c r="I123" s="149">
        <v>255</v>
      </c>
      <c r="J123" s="149">
        <v>18</v>
      </c>
      <c r="K123" s="149" t="s">
        <v>23</v>
      </c>
      <c r="L123" s="149">
        <f t="shared" si="6"/>
        <v>7004</v>
      </c>
    </row>
    <row r="124" spans="1:12" s="147" customFormat="1">
      <c r="A124" s="150">
        <v>1984</v>
      </c>
      <c r="B124" s="149" t="s">
        <v>23</v>
      </c>
      <c r="C124" s="149" t="s">
        <v>23</v>
      </c>
      <c r="D124" s="149">
        <v>52</v>
      </c>
      <c r="E124" s="149">
        <v>159</v>
      </c>
      <c r="F124" s="149">
        <v>922</v>
      </c>
      <c r="G124" s="149">
        <v>776</v>
      </c>
      <c r="H124" s="149">
        <v>29</v>
      </c>
      <c r="I124" s="149">
        <v>0</v>
      </c>
      <c r="J124" s="149">
        <v>0</v>
      </c>
      <c r="K124" s="149" t="s">
        <v>23</v>
      </c>
      <c r="L124" s="149">
        <f t="shared" si="6"/>
        <v>1938</v>
      </c>
    </row>
    <row r="125" spans="1:12" s="147" customFormat="1">
      <c r="A125" s="150">
        <v>1985</v>
      </c>
      <c r="B125" s="149" t="s">
        <v>23</v>
      </c>
      <c r="C125" s="149" t="s">
        <v>23</v>
      </c>
      <c r="D125" s="149">
        <v>907</v>
      </c>
      <c r="E125" s="149">
        <v>426</v>
      </c>
      <c r="F125" s="149">
        <v>1561</v>
      </c>
      <c r="G125" s="149">
        <v>922</v>
      </c>
      <c r="H125" s="149">
        <v>118</v>
      </c>
      <c r="I125" s="149">
        <v>153</v>
      </c>
      <c r="J125" s="149">
        <v>0</v>
      </c>
      <c r="K125" s="149" t="s">
        <v>23</v>
      </c>
      <c r="L125" s="149">
        <f t="shared" si="6"/>
        <v>4087</v>
      </c>
    </row>
    <row r="126" spans="1:12" s="147" customFormat="1">
      <c r="A126" s="147">
        <v>1986</v>
      </c>
      <c r="B126" s="149" t="s">
        <v>23</v>
      </c>
      <c r="C126" s="149" t="s">
        <v>23</v>
      </c>
      <c r="D126" s="149">
        <v>864</v>
      </c>
      <c r="E126" s="149">
        <v>826</v>
      </c>
      <c r="F126" s="149">
        <v>5453</v>
      </c>
      <c r="G126" s="149">
        <v>414</v>
      </c>
      <c r="H126" s="149">
        <v>345</v>
      </c>
      <c r="I126" s="149">
        <v>739</v>
      </c>
      <c r="J126" s="149" t="s">
        <v>23</v>
      </c>
      <c r="K126" s="149" t="s">
        <v>23</v>
      </c>
      <c r="L126" s="149">
        <f t="shared" si="6"/>
        <v>8641</v>
      </c>
    </row>
    <row r="127" spans="1:12" s="147" customFormat="1">
      <c r="A127" s="147">
        <v>1987</v>
      </c>
      <c r="B127" s="149" t="s">
        <v>23</v>
      </c>
      <c r="C127" s="149" t="s">
        <v>23</v>
      </c>
      <c r="D127" s="149">
        <v>1014</v>
      </c>
      <c r="E127" s="149">
        <v>945</v>
      </c>
      <c r="F127" s="149">
        <v>3145</v>
      </c>
      <c r="G127" s="149">
        <v>1584</v>
      </c>
      <c r="H127" s="149">
        <v>1198</v>
      </c>
      <c r="I127" s="149">
        <v>821</v>
      </c>
      <c r="J127" s="149" t="s">
        <v>23</v>
      </c>
      <c r="K127" s="149" t="s">
        <v>23</v>
      </c>
      <c r="L127" s="149">
        <f t="shared" si="6"/>
        <v>8707</v>
      </c>
    </row>
    <row r="128" spans="1:12" s="147" customFormat="1">
      <c r="A128" s="147">
        <v>1988</v>
      </c>
      <c r="B128" s="149" t="s">
        <v>23</v>
      </c>
      <c r="C128" s="149" t="s">
        <v>23</v>
      </c>
      <c r="D128" s="149">
        <v>855</v>
      </c>
      <c r="E128" s="149">
        <v>1053</v>
      </c>
      <c r="F128" s="149">
        <v>4793</v>
      </c>
      <c r="G128" s="149">
        <v>4021</v>
      </c>
      <c r="H128" s="149">
        <v>875</v>
      </c>
      <c r="I128" s="149">
        <v>815</v>
      </c>
      <c r="J128" s="149" t="s">
        <v>23</v>
      </c>
      <c r="K128" s="149" t="s">
        <v>23</v>
      </c>
      <c r="L128" s="149">
        <f t="shared" si="6"/>
        <v>12412</v>
      </c>
    </row>
    <row r="129" spans="1:12" s="147" customFormat="1">
      <c r="A129" s="147">
        <v>1989</v>
      </c>
      <c r="B129" s="149" t="s">
        <v>23</v>
      </c>
      <c r="C129" s="149" t="s">
        <v>23</v>
      </c>
      <c r="D129" s="149">
        <v>938</v>
      </c>
      <c r="E129" s="149">
        <v>1652</v>
      </c>
      <c r="F129" s="149">
        <v>4229</v>
      </c>
      <c r="G129" s="149">
        <v>1405</v>
      </c>
      <c r="H129" s="149">
        <v>491</v>
      </c>
      <c r="I129" s="149">
        <v>473</v>
      </c>
      <c r="J129" s="149" t="s">
        <v>23</v>
      </c>
      <c r="K129" s="149" t="s">
        <v>23</v>
      </c>
      <c r="L129" s="149">
        <f t="shared" si="6"/>
        <v>9188</v>
      </c>
    </row>
    <row r="130" spans="1:12" s="147" customFormat="1">
      <c r="A130" s="147">
        <v>1990</v>
      </c>
      <c r="B130" s="149" t="s">
        <v>23</v>
      </c>
      <c r="C130" s="149" t="s">
        <v>23</v>
      </c>
      <c r="D130" s="149">
        <v>459</v>
      </c>
      <c r="E130" s="149">
        <v>1423</v>
      </c>
      <c r="F130" s="149">
        <v>1555</v>
      </c>
      <c r="G130" s="149">
        <v>560</v>
      </c>
      <c r="H130" s="149">
        <v>184</v>
      </c>
      <c r="I130" s="149">
        <v>120</v>
      </c>
      <c r="J130" s="149" t="s">
        <v>23</v>
      </c>
      <c r="K130" s="149" t="s">
        <v>23</v>
      </c>
      <c r="L130" s="149">
        <f t="shared" si="6"/>
        <v>4301</v>
      </c>
    </row>
    <row r="131" spans="1:12" s="147" customFormat="1">
      <c r="A131" s="147">
        <v>1991</v>
      </c>
      <c r="B131" s="149" t="s">
        <v>23</v>
      </c>
      <c r="C131" s="149" t="s">
        <v>23</v>
      </c>
      <c r="D131" s="149">
        <v>571</v>
      </c>
      <c r="E131" s="149">
        <v>2044</v>
      </c>
      <c r="F131" s="149">
        <v>894</v>
      </c>
      <c r="G131" s="149">
        <v>587</v>
      </c>
      <c r="H131" s="149">
        <v>527</v>
      </c>
      <c r="I131" s="149">
        <v>439</v>
      </c>
      <c r="J131" s="149" t="s">
        <v>23</v>
      </c>
      <c r="K131" s="149" t="s">
        <v>23</v>
      </c>
      <c r="L131" s="149">
        <f t="shared" si="6"/>
        <v>5062</v>
      </c>
    </row>
    <row r="132" spans="1:12" s="147" customFormat="1">
      <c r="A132" s="147">
        <v>1992</v>
      </c>
      <c r="B132" s="149" t="s">
        <v>23</v>
      </c>
      <c r="C132" s="149" t="s">
        <v>23</v>
      </c>
      <c r="D132" s="149">
        <v>1405</v>
      </c>
      <c r="E132" s="149" t="s">
        <v>23</v>
      </c>
      <c r="F132" s="149">
        <v>1119</v>
      </c>
      <c r="G132" s="149">
        <v>1684</v>
      </c>
      <c r="H132" s="149">
        <v>746</v>
      </c>
      <c r="I132" s="149">
        <v>884</v>
      </c>
      <c r="J132" s="149" t="s">
        <v>23</v>
      </c>
      <c r="K132" s="149" t="s">
        <v>23</v>
      </c>
      <c r="L132" s="149">
        <f t="shared" si="6"/>
        <v>5838</v>
      </c>
    </row>
    <row r="133" spans="1:12" s="147" customFormat="1">
      <c r="A133" s="147">
        <v>1993</v>
      </c>
      <c r="B133" s="149" t="s">
        <v>23</v>
      </c>
      <c r="C133" s="149" t="s">
        <v>23</v>
      </c>
      <c r="D133" s="149">
        <v>1352</v>
      </c>
      <c r="E133" s="149">
        <v>1083</v>
      </c>
      <c r="F133" s="149">
        <v>1516</v>
      </c>
      <c r="G133" s="149">
        <v>770</v>
      </c>
      <c r="H133" s="149">
        <v>725</v>
      </c>
      <c r="I133" s="149">
        <v>462</v>
      </c>
      <c r="J133" s="149" t="s">
        <v>23</v>
      </c>
      <c r="K133" s="149" t="s">
        <v>23</v>
      </c>
      <c r="L133" s="149">
        <f t="shared" si="6"/>
        <v>5908</v>
      </c>
    </row>
    <row r="134" spans="1:12" s="147" customFormat="1">
      <c r="A134" s="147">
        <v>1994</v>
      </c>
      <c r="B134" s="149" t="s">
        <v>23</v>
      </c>
      <c r="C134" s="149" t="s">
        <v>23</v>
      </c>
      <c r="D134" s="149">
        <v>813</v>
      </c>
      <c r="E134" s="149">
        <v>831</v>
      </c>
      <c r="F134" s="149" t="s">
        <v>23</v>
      </c>
      <c r="G134" s="149" t="s">
        <v>23</v>
      </c>
      <c r="H134" s="149">
        <v>201</v>
      </c>
      <c r="I134" s="149">
        <v>289</v>
      </c>
      <c r="J134" s="149" t="s">
        <v>23</v>
      </c>
      <c r="K134" s="149" t="s">
        <v>23</v>
      </c>
      <c r="L134" s="149">
        <f t="shared" si="6"/>
        <v>2134</v>
      </c>
    </row>
    <row r="135" spans="1:12" s="147" customFormat="1">
      <c r="A135" s="147">
        <v>1995</v>
      </c>
      <c r="B135" s="149" t="s">
        <v>23</v>
      </c>
      <c r="C135" s="149" t="s">
        <v>23</v>
      </c>
      <c r="D135" s="149">
        <v>583</v>
      </c>
      <c r="E135" s="149">
        <v>987</v>
      </c>
      <c r="F135" s="149" t="s">
        <v>23</v>
      </c>
      <c r="G135" s="149">
        <v>1596</v>
      </c>
      <c r="H135" s="149">
        <v>808</v>
      </c>
      <c r="I135" s="149">
        <v>694</v>
      </c>
      <c r="J135" s="149" t="s">
        <v>23</v>
      </c>
      <c r="K135" s="149" t="s">
        <v>23</v>
      </c>
      <c r="L135" s="149">
        <f t="shared" si="6"/>
        <v>4668</v>
      </c>
    </row>
    <row r="136" spans="1:12" s="147" customFormat="1">
      <c r="A136" s="147">
        <v>1996</v>
      </c>
      <c r="B136" s="149" t="s">
        <v>23</v>
      </c>
      <c r="C136" s="149" t="s">
        <v>23</v>
      </c>
      <c r="D136" s="149">
        <v>1023</v>
      </c>
      <c r="E136" s="149">
        <v>1125</v>
      </c>
      <c r="F136" s="149" t="s">
        <v>23</v>
      </c>
      <c r="G136" s="149">
        <v>1308</v>
      </c>
      <c r="H136" s="149">
        <v>773</v>
      </c>
      <c r="I136" s="149">
        <v>529</v>
      </c>
      <c r="J136" s="149" t="s">
        <v>23</v>
      </c>
      <c r="K136" s="149" t="s">
        <v>23</v>
      </c>
      <c r="L136" s="149">
        <f t="shared" si="6"/>
        <v>4758</v>
      </c>
    </row>
    <row r="137" spans="1:12" s="147" customFormat="1">
      <c r="A137" s="147">
        <v>1997</v>
      </c>
      <c r="B137" s="149" t="s">
        <v>23</v>
      </c>
      <c r="C137" s="149">
        <v>226</v>
      </c>
      <c r="D137" s="149">
        <v>1388</v>
      </c>
      <c r="E137" s="149">
        <v>1331</v>
      </c>
      <c r="F137" s="149" t="s">
        <v>23</v>
      </c>
      <c r="G137" s="149">
        <v>1296</v>
      </c>
      <c r="H137" s="149">
        <v>728</v>
      </c>
      <c r="I137" s="149">
        <v>202</v>
      </c>
      <c r="J137" s="149" t="s">
        <v>23</v>
      </c>
      <c r="K137" s="149" t="s">
        <v>23</v>
      </c>
      <c r="L137" s="149">
        <f t="shared" si="6"/>
        <v>5171</v>
      </c>
    </row>
    <row r="138" spans="1:12" s="147" customFormat="1">
      <c r="A138" s="147">
        <v>1998</v>
      </c>
      <c r="B138" s="149" t="s">
        <v>23</v>
      </c>
      <c r="C138" s="149">
        <v>667</v>
      </c>
      <c r="D138" s="149">
        <v>1339</v>
      </c>
      <c r="E138" s="149">
        <v>1175</v>
      </c>
      <c r="F138" s="149" t="s">
        <v>23</v>
      </c>
      <c r="G138" s="149">
        <v>950</v>
      </c>
      <c r="H138" s="149">
        <v>217</v>
      </c>
      <c r="I138" s="149">
        <v>148</v>
      </c>
      <c r="J138" s="149" t="s">
        <v>23</v>
      </c>
      <c r="K138" s="149" t="s">
        <v>23</v>
      </c>
      <c r="L138" s="149">
        <f t="shared" si="6"/>
        <v>4496</v>
      </c>
    </row>
    <row r="139" spans="1:12" s="147" customFormat="1">
      <c r="A139" s="147">
        <v>1999</v>
      </c>
      <c r="B139" s="149" t="s">
        <v>23</v>
      </c>
      <c r="C139" s="149">
        <v>148</v>
      </c>
      <c r="D139" s="149">
        <v>389</v>
      </c>
      <c r="E139" s="149">
        <v>456</v>
      </c>
      <c r="F139" s="149">
        <v>284</v>
      </c>
      <c r="G139" s="149">
        <v>135</v>
      </c>
      <c r="H139" s="149">
        <v>26</v>
      </c>
      <c r="I139" s="149">
        <v>104</v>
      </c>
      <c r="J139" s="149" t="s">
        <v>23</v>
      </c>
      <c r="K139" s="149" t="s">
        <v>23</v>
      </c>
      <c r="L139" s="149">
        <f t="shared" si="6"/>
        <v>1542</v>
      </c>
    </row>
    <row r="140" spans="1:12" s="147" customFormat="1">
      <c r="A140" s="147">
        <v>2000</v>
      </c>
      <c r="B140" s="149" t="s">
        <v>23</v>
      </c>
      <c r="C140" s="149">
        <v>81</v>
      </c>
      <c r="D140" s="149">
        <v>460</v>
      </c>
      <c r="E140" s="149">
        <v>486</v>
      </c>
      <c r="F140" s="149">
        <v>374</v>
      </c>
      <c r="G140" s="149">
        <v>551</v>
      </c>
      <c r="H140" s="149">
        <v>523</v>
      </c>
      <c r="I140" s="149">
        <v>222</v>
      </c>
      <c r="J140" s="149" t="s">
        <v>23</v>
      </c>
      <c r="K140" s="149" t="s">
        <v>23</v>
      </c>
      <c r="L140" s="149">
        <f t="shared" si="6"/>
        <v>2697</v>
      </c>
    </row>
    <row r="141" spans="1:12" s="147" customFormat="1">
      <c r="A141" s="147">
        <v>2001</v>
      </c>
      <c r="B141" s="149" t="s">
        <v>23</v>
      </c>
      <c r="C141" s="149">
        <v>446</v>
      </c>
      <c r="D141" s="149">
        <v>1264</v>
      </c>
      <c r="E141" s="149">
        <v>1033</v>
      </c>
      <c r="F141" s="149">
        <v>495</v>
      </c>
      <c r="G141" s="149">
        <v>1081</v>
      </c>
      <c r="H141" s="149">
        <v>591</v>
      </c>
      <c r="I141" s="149">
        <v>338</v>
      </c>
      <c r="J141" s="149" t="s">
        <v>23</v>
      </c>
      <c r="K141" s="149" t="s">
        <v>23</v>
      </c>
      <c r="L141" s="149">
        <f t="shared" si="6"/>
        <v>5248</v>
      </c>
    </row>
    <row r="142" spans="1:12" s="147" customFormat="1">
      <c r="A142" s="147">
        <v>2002</v>
      </c>
      <c r="B142" s="149">
        <v>186</v>
      </c>
      <c r="C142" s="149">
        <v>345</v>
      </c>
      <c r="D142" s="149">
        <v>788</v>
      </c>
      <c r="E142" s="149">
        <v>471</v>
      </c>
      <c r="F142" s="149">
        <v>278</v>
      </c>
      <c r="G142" s="149">
        <v>411</v>
      </c>
      <c r="H142" s="149">
        <v>746</v>
      </c>
      <c r="I142" s="149">
        <v>1166</v>
      </c>
      <c r="J142" s="149" t="s">
        <v>23</v>
      </c>
      <c r="K142" s="149" t="s">
        <v>23</v>
      </c>
      <c r="L142" s="149">
        <f t="shared" si="6"/>
        <v>4391</v>
      </c>
    </row>
    <row r="143" spans="1:12" s="147" customFormat="1">
      <c r="A143" s="147">
        <v>2003</v>
      </c>
      <c r="B143" s="149">
        <v>41</v>
      </c>
      <c r="C143" s="149">
        <v>265</v>
      </c>
      <c r="D143" s="149">
        <v>884</v>
      </c>
      <c r="E143" s="149">
        <v>528</v>
      </c>
      <c r="F143" s="149">
        <v>470</v>
      </c>
      <c r="G143" s="149">
        <v>626</v>
      </c>
      <c r="H143" s="149">
        <v>927</v>
      </c>
      <c r="I143" s="149">
        <v>821</v>
      </c>
      <c r="J143" s="149" t="s">
        <v>23</v>
      </c>
      <c r="K143" s="149" t="s">
        <v>23</v>
      </c>
      <c r="L143" s="149">
        <f t="shared" si="6"/>
        <v>4562</v>
      </c>
    </row>
    <row r="144" spans="1:12" s="147" customFormat="1">
      <c r="A144" s="147">
        <v>2004</v>
      </c>
      <c r="B144" s="149">
        <v>485</v>
      </c>
      <c r="C144" s="149">
        <v>1060</v>
      </c>
      <c r="D144" s="149">
        <v>1279</v>
      </c>
      <c r="E144" s="149">
        <v>628</v>
      </c>
      <c r="F144" s="149">
        <v>383</v>
      </c>
      <c r="G144" s="149">
        <v>405</v>
      </c>
      <c r="H144" s="149">
        <v>496</v>
      </c>
      <c r="I144" s="149">
        <v>103</v>
      </c>
      <c r="J144" s="149" t="s">
        <v>23</v>
      </c>
      <c r="K144" s="149" t="s">
        <v>23</v>
      </c>
      <c r="L144" s="149">
        <f>SUM(B144:K144)</f>
        <v>4839</v>
      </c>
    </row>
    <row r="145" spans="1:12" s="147" customFormat="1">
      <c r="A145" s="147">
        <v>2005</v>
      </c>
      <c r="B145" s="149">
        <v>296</v>
      </c>
      <c r="C145" s="149">
        <v>145</v>
      </c>
      <c r="D145" s="149">
        <v>554</v>
      </c>
      <c r="E145" s="149">
        <v>1953</v>
      </c>
      <c r="F145" s="149" t="s">
        <v>23</v>
      </c>
      <c r="G145" s="149" t="s">
        <v>23</v>
      </c>
      <c r="H145" s="149">
        <v>1005</v>
      </c>
      <c r="I145" s="149">
        <v>326</v>
      </c>
      <c r="J145" s="149" t="s">
        <v>23</v>
      </c>
      <c r="K145" s="149" t="s">
        <v>23</v>
      </c>
      <c r="L145" s="149">
        <f>SUM(B145:K145)</f>
        <v>4279</v>
      </c>
    </row>
    <row r="146" spans="1:12" s="147" customFormat="1">
      <c r="A146" s="147">
        <v>2006</v>
      </c>
      <c r="B146" s="151" t="s">
        <v>23</v>
      </c>
      <c r="C146" s="151" t="s">
        <v>23</v>
      </c>
      <c r="D146" s="151" t="s">
        <v>23</v>
      </c>
      <c r="E146" s="151">
        <v>838</v>
      </c>
      <c r="F146" s="151">
        <v>471</v>
      </c>
      <c r="G146" s="151">
        <v>151</v>
      </c>
      <c r="H146" s="151">
        <v>413</v>
      </c>
      <c r="I146" s="151">
        <v>250</v>
      </c>
      <c r="J146" s="151">
        <v>93</v>
      </c>
      <c r="K146" s="151" t="s">
        <v>23</v>
      </c>
      <c r="L146" s="149">
        <f>SUM(B146:K146)</f>
        <v>2216</v>
      </c>
    </row>
    <row r="147" spans="1:12" s="147" customFormat="1">
      <c r="A147" s="147">
        <v>2007</v>
      </c>
      <c r="B147" s="151" t="s">
        <v>23</v>
      </c>
      <c r="C147" s="151">
        <v>81</v>
      </c>
      <c r="D147" s="151">
        <v>347</v>
      </c>
      <c r="E147" s="151">
        <v>286</v>
      </c>
      <c r="F147" s="151">
        <v>94</v>
      </c>
      <c r="G147" s="151">
        <v>170</v>
      </c>
      <c r="H147" s="151">
        <v>91</v>
      </c>
      <c r="I147" s="151">
        <v>29</v>
      </c>
      <c r="J147" s="151">
        <v>6</v>
      </c>
      <c r="K147" s="151" t="s">
        <v>23</v>
      </c>
      <c r="L147" s="149">
        <f>SUM(B147:K147)</f>
        <v>1104</v>
      </c>
    </row>
    <row r="148" spans="1:12" s="147" customFormat="1">
      <c r="A148" s="147">
        <v>2008</v>
      </c>
      <c r="B148" s="151" t="s">
        <v>23</v>
      </c>
      <c r="C148" s="151" t="s">
        <v>23</v>
      </c>
      <c r="D148" s="151" t="s">
        <v>23</v>
      </c>
      <c r="E148" s="151" t="s">
        <v>23</v>
      </c>
      <c r="F148" s="151" t="s">
        <v>23</v>
      </c>
      <c r="G148" s="151" t="s">
        <v>23</v>
      </c>
      <c r="H148" s="151" t="s">
        <v>23</v>
      </c>
      <c r="I148" s="151" t="s">
        <v>23</v>
      </c>
      <c r="J148" s="151" t="s">
        <v>23</v>
      </c>
      <c r="K148" s="151" t="s">
        <v>23</v>
      </c>
      <c r="L148" s="149" t="s">
        <v>23</v>
      </c>
    </row>
    <row r="149" spans="1:12" s="147" customFormat="1">
      <c r="A149" s="147">
        <v>2009</v>
      </c>
      <c r="B149" s="151" t="s">
        <v>23</v>
      </c>
      <c r="C149" s="151" t="s">
        <v>23</v>
      </c>
      <c r="D149" s="151" t="s">
        <v>23</v>
      </c>
      <c r="E149" s="151" t="s">
        <v>23</v>
      </c>
      <c r="F149" s="151" t="s">
        <v>23</v>
      </c>
      <c r="G149" s="151" t="s">
        <v>23</v>
      </c>
      <c r="H149" s="151">
        <v>286</v>
      </c>
      <c r="I149" s="151" t="s">
        <v>23</v>
      </c>
      <c r="J149" s="151" t="s">
        <v>23</v>
      </c>
      <c r="K149" s="151" t="s">
        <v>23</v>
      </c>
      <c r="L149" s="149">
        <f t="shared" ref="L149:L161" si="7">SUM(B149:K149)</f>
        <v>286</v>
      </c>
    </row>
    <row r="150" spans="1:12" s="147" customFormat="1">
      <c r="A150" s="147">
        <v>2010</v>
      </c>
      <c r="B150" s="151" t="s">
        <v>23</v>
      </c>
      <c r="C150" s="151" t="s">
        <v>23</v>
      </c>
      <c r="D150" s="151">
        <v>477</v>
      </c>
      <c r="E150" s="151">
        <v>411</v>
      </c>
      <c r="F150" s="151">
        <v>290</v>
      </c>
      <c r="G150" s="151">
        <f>185+96+46+19</f>
        <v>346</v>
      </c>
      <c r="H150" s="151" t="s">
        <v>23</v>
      </c>
      <c r="I150" s="151" t="s">
        <v>23</v>
      </c>
      <c r="J150" s="151" t="s">
        <v>23</v>
      </c>
      <c r="K150" s="151" t="s">
        <v>23</v>
      </c>
      <c r="L150" s="149">
        <f t="shared" si="7"/>
        <v>1524</v>
      </c>
    </row>
    <row r="151" spans="1:12" s="147" customFormat="1">
      <c r="A151" s="147">
        <v>2011</v>
      </c>
      <c r="B151" s="151" t="s">
        <v>23</v>
      </c>
      <c r="C151" s="151">
        <v>60</v>
      </c>
      <c r="D151" s="151">
        <v>325</v>
      </c>
      <c r="E151" s="151">
        <v>229</v>
      </c>
      <c r="F151" s="151">
        <v>22</v>
      </c>
      <c r="G151" s="151">
        <v>101</v>
      </c>
      <c r="H151" s="151" t="s">
        <v>23</v>
      </c>
      <c r="I151" s="151">
        <v>11</v>
      </c>
      <c r="J151" s="151" t="s">
        <v>23</v>
      </c>
      <c r="K151" s="151" t="s">
        <v>23</v>
      </c>
      <c r="L151" s="149">
        <f t="shared" si="7"/>
        <v>748</v>
      </c>
    </row>
    <row r="152" spans="1:12" s="147" customFormat="1">
      <c r="A152" s="147">
        <v>2012</v>
      </c>
      <c r="B152" s="151" t="s">
        <v>23</v>
      </c>
      <c r="C152" s="151">
        <v>155</v>
      </c>
      <c r="D152" s="151">
        <v>475</v>
      </c>
      <c r="E152" s="151">
        <v>335</v>
      </c>
      <c r="F152" s="151">
        <v>114</v>
      </c>
      <c r="G152" s="151">
        <v>312</v>
      </c>
      <c r="H152" s="151">
        <v>465</v>
      </c>
      <c r="I152" s="151">
        <v>256</v>
      </c>
      <c r="J152" s="151" t="s">
        <v>23</v>
      </c>
      <c r="K152" s="151" t="s">
        <v>23</v>
      </c>
      <c r="L152" s="149">
        <f t="shared" si="7"/>
        <v>2112</v>
      </c>
    </row>
    <row r="153" spans="1:12" s="147" customFormat="1">
      <c r="A153" s="147">
        <v>2013</v>
      </c>
      <c r="B153" s="151" t="s">
        <v>23</v>
      </c>
      <c r="C153" s="151">
        <v>334</v>
      </c>
      <c r="D153" s="151">
        <v>484</v>
      </c>
      <c r="E153" s="151">
        <v>263</v>
      </c>
      <c r="F153" s="151">
        <v>141</v>
      </c>
      <c r="G153" s="151">
        <v>325</v>
      </c>
      <c r="H153" s="151">
        <v>98</v>
      </c>
      <c r="I153" s="151">
        <v>77</v>
      </c>
      <c r="J153" s="151" t="s">
        <v>23</v>
      </c>
      <c r="K153" s="151" t="s">
        <v>23</v>
      </c>
      <c r="L153" s="149">
        <f t="shared" si="7"/>
        <v>1722</v>
      </c>
    </row>
    <row r="154" spans="1:12" s="147" customFormat="1">
      <c r="A154" s="147">
        <v>2014</v>
      </c>
      <c r="B154" s="151" t="s">
        <v>23</v>
      </c>
      <c r="C154" s="151">
        <v>469</v>
      </c>
      <c r="D154" s="151">
        <v>1076</v>
      </c>
      <c r="E154" s="151">
        <v>507</v>
      </c>
      <c r="F154" s="151">
        <v>354</v>
      </c>
      <c r="G154" s="151">
        <v>932</v>
      </c>
      <c r="H154" s="151">
        <v>255</v>
      </c>
      <c r="I154" s="151">
        <v>104</v>
      </c>
      <c r="J154" s="151" t="s">
        <v>23</v>
      </c>
      <c r="K154" s="151" t="s">
        <v>23</v>
      </c>
      <c r="L154" s="149">
        <f t="shared" si="7"/>
        <v>3697</v>
      </c>
    </row>
    <row r="155" spans="1:12" s="147" customFormat="1">
      <c r="A155" s="147">
        <v>2015</v>
      </c>
      <c r="B155" s="151" t="s">
        <v>23</v>
      </c>
      <c r="C155" s="151">
        <v>738</v>
      </c>
      <c r="D155" s="151">
        <v>317</v>
      </c>
      <c r="E155" s="151">
        <v>230</v>
      </c>
      <c r="F155" s="151">
        <v>782</v>
      </c>
      <c r="G155" s="151">
        <v>530</v>
      </c>
      <c r="H155" s="151">
        <v>155</v>
      </c>
      <c r="I155" s="151" t="s">
        <v>23</v>
      </c>
      <c r="J155" s="151" t="s">
        <v>23</v>
      </c>
      <c r="K155" s="151" t="s">
        <v>23</v>
      </c>
      <c r="L155" s="149">
        <f t="shared" si="7"/>
        <v>2752</v>
      </c>
    </row>
    <row r="156" spans="1:12" s="147" customFormat="1">
      <c r="A156" s="147">
        <v>2016</v>
      </c>
      <c r="B156" s="151" t="s">
        <v>23</v>
      </c>
      <c r="C156" s="151">
        <v>666</v>
      </c>
      <c r="D156" s="151">
        <v>625</v>
      </c>
      <c r="E156" s="151">
        <v>309</v>
      </c>
      <c r="F156" s="151">
        <v>388</v>
      </c>
      <c r="G156" s="151">
        <v>547</v>
      </c>
      <c r="H156" s="151">
        <v>217</v>
      </c>
      <c r="I156" s="151">
        <v>4</v>
      </c>
      <c r="J156" s="151" t="s">
        <v>23</v>
      </c>
      <c r="K156" s="151" t="s">
        <v>23</v>
      </c>
      <c r="L156" s="149">
        <f t="shared" si="7"/>
        <v>2756</v>
      </c>
    </row>
    <row r="157" spans="1:12" s="147" customFormat="1">
      <c r="A157" s="147">
        <v>2017</v>
      </c>
      <c r="B157" s="151" t="s">
        <v>23</v>
      </c>
      <c r="C157" s="151">
        <v>99</v>
      </c>
      <c r="D157" s="151">
        <v>149</v>
      </c>
      <c r="E157" s="151">
        <v>345</v>
      </c>
      <c r="F157" s="151">
        <v>647</v>
      </c>
      <c r="G157" s="151" t="s">
        <v>23</v>
      </c>
      <c r="H157" s="151">
        <v>18</v>
      </c>
      <c r="I157" s="151">
        <v>6</v>
      </c>
      <c r="J157" s="151" t="s">
        <v>23</v>
      </c>
      <c r="K157" s="151" t="s">
        <v>23</v>
      </c>
      <c r="L157" s="149">
        <f t="shared" si="7"/>
        <v>1264</v>
      </c>
    </row>
    <row r="158" spans="1:12" s="147" customFormat="1">
      <c r="A158" s="147">
        <v>2018</v>
      </c>
      <c r="B158" s="151" t="s">
        <v>23</v>
      </c>
      <c r="C158" s="151" t="s">
        <v>23</v>
      </c>
      <c r="D158" s="151">
        <v>161</v>
      </c>
      <c r="E158" s="151">
        <v>119</v>
      </c>
      <c r="F158" s="151">
        <v>191</v>
      </c>
      <c r="G158" s="151">
        <v>534</v>
      </c>
      <c r="H158" s="151">
        <v>36</v>
      </c>
      <c r="I158" s="151">
        <v>2</v>
      </c>
      <c r="J158" s="151" t="s">
        <v>23</v>
      </c>
      <c r="K158" s="151" t="s">
        <v>23</v>
      </c>
      <c r="L158" s="149">
        <f>SUM(B158:K158)</f>
        <v>1043</v>
      </c>
    </row>
    <row r="159" spans="1:12" s="147" customFormat="1">
      <c r="A159" s="147">
        <v>2019</v>
      </c>
      <c r="B159" s="151" t="s">
        <v>23</v>
      </c>
      <c r="C159" s="151">
        <v>30</v>
      </c>
      <c r="D159" s="151">
        <v>60</v>
      </c>
      <c r="E159" s="151">
        <v>235</v>
      </c>
      <c r="F159" s="151">
        <v>828</v>
      </c>
      <c r="G159" s="151">
        <v>356</v>
      </c>
      <c r="H159" s="151">
        <v>75</v>
      </c>
      <c r="I159" s="151">
        <v>9</v>
      </c>
      <c r="J159" s="151" t="s">
        <v>23</v>
      </c>
      <c r="K159" s="151" t="s">
        <v>23</v>
      </c>
      <c r="L159" s="149">
        <f t="shared" ref="L159:L160" si="8">SUM(B159:K159)</f>
        <v>1593</v>
      </c>
    </row>
    <row r="160" spans="1:12" s="147" customFormat="1">
      <c r="A160" s="147">
        <v>2020</v>
      </c>
      <c r="B160" s="151" t="s">
        <v>23</v>
      </c>
      <c r="C160" s="151">
        <v>91</v>
      </c>
      <c r="D160" s="151">
        <v>77</v>
      </c>
      <c r="E160" s="151">
        <v>276</v>
      </c>
      <c r="F160" s="151">
        <v>401</v>
      </c>
      <c r="G160" s="151">
        <v>216</v>
      </c>
      <c r="H160" s="151">
        <v>111</v>
      </c>
      <c r="I160" s="151">
        <v>13</v>
      </c>
      <c r="J160" s="151" t="s">
        <v>23</v>
      </c>
      <c r="K160" s="151" t="s">
        <v>23</v>
      </c>
      <c r="L160" s="149">
        <f t="shared" si="8"/>
        <v>1185</v>
      </c>
    </row>
    <row r="161" spans="1:12" s="147" customFormat="1" ht="13">
      <c r="A161" s="147" t="s">
        <v>317</v>
      </c>
      <c r="B161" s="151">
        <v>32</v>
      </c>
      <c r="C161" s="151">
        <v>352</v>
      </c>
      <c r="D161" s="151">
        <v>163</v>
      </c>
      <c r="E161" s="151">
        <v>60</v>
      </c>
      <c r="F161" s="151">
        <v>290</v>
      </c>
      <c r="G161" s="151">
        <v>244</v>
      </c>
      <c r="H161" s="151">
        <v>15</v>
      </c>
      <c r="I161" s="151">
        <v>4</v>
      </c>
      <c r="J161" s="151" t="s">
        <v>23</v>
      </c>
      <c r="K161" s="151" t="s">
        <v>23</v>
      </c>
      <c r="L161" s="149">
        <f t="shared" si="7"/>
        <v>1160</v>
      </c>
    </row>
    <row r="162" spans="1:12" s="200" customFormat="1">
      <c r="A162" s="95"/>
      <c r="B162" s="152"/>
      <c r="C162" s="152"/>
      <c r="D162" s="152"/>
      <c r="E162" s="152"/>
      <c r="F162" s="152"/>
      <c r="G162" s="152"/>
      <c r="H162" s="152"/>
      <c r="I162" s="152"/>
      <c r="J162" s="152"/>
      <c r="K162" s="152"/>
      <c r="L162" s="152"/>
    </row>
    <row r="163" spans="1:12" s="200" customFormat="1">
      <c r="A163" s="88" t="s">
        <v>49</v>
      </c>
      <c r="B163" s="152"/>
      <c r="C163" s="152"/>
      <c r="D163" s="152"/>
      <c r="E163" s="152"/>
      <c r="F163" s="152"/>
      <c r="G163" s="152"/>
      <c r="H163" s="152"/>
      <c r="I163" s="152"/>
      <c r="J163" s="152"/>
      <c r="K163" s="152"/>
      <c r="L163" s="152"/>
    </row>
    <row r="164" spans="1:12" s="147" customFormat="1">
      <c r="A164" s="150">
        <v>1971</v>
      </c>
      <c r="B164" s="149" t="s">
        <v>23</v>
      </c>
      <c r="C164" s="149">
        <v>3</v>
      </c>
      <c r="D164" s="149">
        <v>81</v>
      </c>
      <c r="E164" s="149">
        <v>2455</v>
      </c>
      <c r="F164" s="149">
        <v>5867</v>
      </c>
      <c r="G164" s="149">
        <v>5086</v>
      </c>
      <c r="H164" s="149">
        <v>1379</v>
      </c>
      <c r="I164" s="149">
        <v>463</v>
      </c>
      <c r="J164" s="149" t="s">
        <v>23</v>
      </c>
      <c r="K164" s="149" t="s">
        <v>23</v>
      </c>
      <c r="L164" s="149">
        <f>SUM(B164:K164)</f>
        <v>15334</v>
      </c>
    </row>
    <row r="165" spans="1:12" s="147" customFormat="1">
      <c r="A165" s="150">
        <v>1972</v>
      </c>
      <c r="B165" s="149" t="s">
        <v>23</v>
      </c>
      <c r="C165" s="149">
        <v>1</v>
      </c>
      <c r="D165" s="149">
        <v>96</v>
      </c>
      <c r="E165" s="149">
        <v>2518</v>
      </c>
      <c r="F165" s="149">
        <v>6533</v>
      </c>
      <c r="G165" s="149">
        <v>2610</v>
      </c>
      <c r="H165" s="149">
        <v>459</v>
      </c>
      <c r="I165" s="149">
        <v>47</v>
      </c>
      <c r="J165" s="149" t="s">
        <v>23</v>
      </c>
      <c r="K165" s="149" t="s">
        <v>23</v>
      </c>
      <c r="L165" s="149">
        <f t="shared" ref="L165:L202" si="9">SUM(B165:K165)</f>
        <v>12264</v>
      </c>
    </row>
    <row r="166" spans="1:12" s="147" customFormat="1">
      <c r="A166" s="150">
        <v>1973</v>
      </c>
      <c r="B166" s="149" t="s">
        <v>23</v>
      </c>
      <c r="C166" s="149">
        <v>8</v>
      </c>
      <c r="D166" s="149">
        <v>69</v>
      </c>
      <c r="E166" s="149">
        <v>2269</v>
      </c>
      <c r="F166" s="149">
        <v>6865</v>
      </c>
      <c r="G166" s="149">
        <v>6487</v>
      </c>
      <c r="H166" s="149">
        <v>2345</v>
      </c>
      <c r="I166" s="149">
        <v>1235</v>
      </c>
      <c r="J166" s="149" t="s">
        <v>23</v>
      </c>
      <c r="K166" s="149" t="s">
        <v>23</v>
      </c>
      <c r="L166" s="149">
        <f t="shared" si="9"/>
        <v>19278</v>
      </c>
    </row>
    <row r="167" spans="1:12" s="147" customFormat="1">
      <c r="A167" s="150">
        <v>1974</v>
      </c>
      <c r="B167" s="149" t="s">
        <v>23</v>
      </c>
      <c r="C167" s="149">
        <v>10</v>
      </c>
      <c r="D167" s="149">
        <v>82</v>
      </c>
      <c r="E167" s="149">
        <v>2129</v>
      </c>
      <c r="F167" s="149">
        <v>7951</v>
      </c>
      <c r="G167" s="149">
        <v>5726</v>
      </c>
      <c r="H167" s="149">
        <v>2241</v>
      </c>
      <c r="I167" s="149">
        <v>847</v>
      </c>
      <c r="J167" s="149">
        <v>8</v>
      </c>
      <c r="K167" s="149">
        <v>0</v>
      </c>
      <c r="L167" s="149">
        <f t="shared" si="9"/>
        <v>18994</v>
      </c>
    </row>
    <row r="168" spans="1:12" s="147" customFormat="1">
      <c r="A168" s="150">
        <v>1975</v>
      </c>
      <c r="B168" s="149" t="s">
        <v>23</v>
      </c>
      <c r="C168" s="149">
        <v>18</v>
      </c>
      <c r="D168" s="149">
        <v>95</v>
      </c>
      <c r="E168" s="149">
        <v>4267</v>
      </c>
      <c r="F168" s="149">
        <v>5794</v>
      </c>
      <c r="G168" s="149">
        <v>3427</v>
      </c>
      <c r="H168" s="149">
        <v>2202</v>
      </c>
      <c r="I168" s="149">
        <v>309</v>
      </c>
      <c r="J168" s="149">
        <v>0</v>
      </c>
      <c r="K168" s="149">
        <v>0</v>
      </c>
      <c r="L168" s="149">
        <f t="shared" si="9"/>
        <v>16112</v>
      </c>
    </row>
    <row r="169" spans="1:12" s="147" customFormat="1">
      <c r="A169" s="150">
        <v>1976</v>
      </c>
      <c r="B169" s="149" t="s">
        <v>23</v>
      </c>
      <c r="C169" s="149" t="s">
        <v>23</v>
      </c>
      <c r="D169" s="149">
        <v>367</v>
      </c>
      <c r="E169" s="149">
        <v>5314</v>
      </c>
      <c r="F169" s="149">
        <v>11265</v>
      </c>
      <c r="G169" s="149">
        <v>8686</v>
      </c>
      <c r="H169" s="149">
        <v>2639</v>
      </c>
      <c r="I169" s="149">
        <v>204</v>
      </c>
      <c r="J169" s="149" t="s">
        <v>23</v>
      </c>
      <c r="K169" s="149" t="s">
        <v>23</v>
      </c>
      <c r="L169" s="149">
        <f t="shared" si="9"/>
        <v>28475</v>
      </c>
    </row>
    <row r="170" spans="1:12" s="147" customFormat="1">
      <c r="A170" s="150">
        <v>1977</v>
      </c>
      <c r="B170" s="149" t="s">
        <v>23</v>
      </c>
      <c r="C170" s="149" t="s">
        <v>23</v>
      </c>
      <c r="D170" s="149">
        <v>1033</v>
      </c>
      <c r="E170" s="149">
        <v>3297</v>
      </c>
      <c r="F170" s="149">
        <v>20823</v>
      </c>
      <c r="G170" s="149">
        <v>7549</v>
      </c>
      <c r="H170" s="149">
        <v>1898</v>
      </c>
      <c r="I170" s="149">
        <v>431</v>
      </c>
      <c r="J170" s="149" t="s">
        <v>23</v>
      </c>
      <c r="K170" s="149" t="s">
        <v>23</v>
      </c>
      <c r="L170" s="149">
        <f t="shared" si="9"/>
        <v>35031</v>
      </c>
    </row>
    <row r="171" spans="1:12" s="147" customFormat="1">
      <c r="A171" s="150">
        <v>1978</v>
      </c>
      <c r="B171" s="149" t="s">
        <v>23</v>
      </c>
      <c r="C171" s="149" t="s">
        <v>23</v>
      </c>
      <c r="D171" s="149">
        <v>247</v>
      </c>
      <c r="E171" s="149">
        <v>2744</v>
      </c>
      <c r="F171" s="149">
        <v>5104</v>
      </c>
      <c r="G171" s="149">
        <v>4566</v>
      </c>
      <c r="H171" s="149">
        <v>1864</v>
      </c>
      <c r="I171" s="149">
        <v>402</v>
      </c>
      <c r="J171" s="149">
        <v>24</v>
      </c>
      <c r="K171" s="149" t="s">
        <v>23</v>
      </c>
      <c r="L171" s="149">
        <f t="shared" si="9"/>
        <v>14951</v>
      </c>
    </row>
    <row r="172" spans="1:12" s="147" customFormat="1">
      <c r="A172" s="150">
        <v>1979</v>
      </c>
      <c r="B172" s="149" t="s">
        <v>23</v>
      </c>
      <c r="C172" s="149" t="s">
        <v>23</v>
      </c>
      <c r="D172" s="149">
        <v>666</v>
      </c>
      <c r="E172" s="149">
        <v>5</v>
      </c>
      <c r="F172" s="149">
        <v>8236</v>
      </c>
      <c r="G172" s="149">
        <v>5764</v>
      </c>
      <c r="H172" s="149">
        <v>308</v>
      </c>
      <c r="I172" s="149">
        <v>340</v>
      </c>
      <c r="J172" s="149">
        <v>0</v>
      </c>
      <c r="K172" s="149" t="s">
        <v>23</v>
      </c>
      <c r="L172" s="149">
        <f t="shared" si="9"/>
        <v>15319</v>
      </c>
    </row>
    <row r="173" spans="1:12" s="147" customFormat="1">
      <c r="A173" s="150">
        <v>1980</v>
      </c>
      <c r="B173" s="149" t="s">
        <v>23</v>
      </c>
      <c r="C173" s="149" t="s">
        <v>23</v>
      </c>
      <c r="D173" s="149">
        <v>307</v>
      </c>
      <c r="E173" s="149">
        <v>1294</v>
      </c>
      <c r="F173" s="149">
        <v>2793</v>
      </c>
      <c r="G173" s="149">
        <v>3780</v>
      </c>
      <c r="H173" s="149">
        <v>748</v>
      </c>
      <c r="I173" s="149">
        <v>398</v>
      </c>
      <c r="J173" s="149">
        <v>3</v>
      </c>
      <c r="K173" s="149" t="s">
        <v>23</v>
      </c>
      <c r="L173" s="149">
        <f t="shared" si="9"/>
        <v>9323</v>
      </c>
    </row>
    <row r="174" spans="1:12" s="147" customFormat="1">
      <c r="A174" s="150">
        <v>1981</v>
      </c>
      <c r="B174" s="149" t="s">
        <v>23</v>
      </c>
      <c r="C174" s="149" t="s">
        <v>23</v>
      </c>
      <c r="D174" s="149">
        <v>570</v>
      </c>
      <c r="E174" s="149">
        <v>0</v>
      </c>
      <c r="F174" s="149">
        <v>7367</v>
      </c>
      <c r="G174" s="149">
        <v>5114</v>
      </c>
      <c r="H174" s="149">
        <v>160</v>
      </c>
      <c r="I174" s="149">
        <v>170</v>
      </c>
      <c r="J174" s="149">
        <v>0</v>
      </c>
      <c r="K174" s="149" t="s">
        <v>23</v>
      </c>
      <c r="L174" s="149">
        <f t="shared" si="9"/>
        <v>13381</v>
      </c>
    </row>
    <row r="175" spans="1:12" s="147" customFormat="1">
      <c r="A175" s="150">
        <v>1982</v>
      </c>
      <c r="B175" s="149" t="s">
        <v>23</v>
      </c>
      <c r="C175" s="149" t="s">
        <v>23</v>
      </c>
      <c r="D175" s="149">
        <v>762</v>
      </c>
      <c r="E175" s="149">
        <v>937</v>
      </c>
      <c r="F175" s="149">
        <v>8413</v>
      </c>
      <c r="G175" s="149">
        <v>2044</v>
      </c>
      <c r="H175" s="149">
        <v>1085</v>
      </c>
      <c r="I175" s="149">
        <v>258</v>
      </c>
      <c r="J175" s="149">
        <v>3</v>
      </c>
      <c r="K175" s="149" t="s">
        <v>23</v>
      </c>
      <c r="L175" s="149">
        <f t="shared" si="9"/>
        <v>13502</v>
      </c>
    </row>
    <row r="176" spans="1:12" s="147" customFormat="1">
      <c r="A176" s="150">
        <v>1983</v>
      </c>
      <c r="B176" s="149" t="s">
        <v>23</v>
      </c>
      <c r="C176" s="149" t="s">
        <v>23</v>
      </c>
      <c r="D176" s="149">
        <v>463</v>
      </c>
      <c r="E176" s="149">
        <v>638</v>
      </c>
      <c r="F176" s="149">
        <v>5432</v>
      </c>
      <c r="G176" s="149">
        <v>160</v>
      </c>
      <c r="H176" s="149">
        <v>118</v>
      </c>
      <c r="I176" s="149">
        <v>63</v>
      </c>
      <c r="J176" s="149">
        <v>2</v>
      </c>
      <c r="K176" s="149" t="s">
        <v>23</v>
      </c>
      <c r="L176" s="149">
        <f t="shared" si="9"/>
        <v>6876</v>
      </c>
    </row>
    <row r="177" spans="1:12" s="147" customFormat="1">
      <c r="A177" s="150">
        <v>1984</v>
      </c>
      <c r="B177" s="149" t="s">
        <v>23</v>
      </c>
      <c r="C177" s="149" t="s">
        <v>23</v>
      </c>
      <c r="D177" s="149">
        <v>80</v>
      </c>
      <c r="E177" s="149">
        <v>225</v>
      </c>
      <c r="F177" s="149">
        <v>666</v>
      </c>
      <c r="G177" s="149">
        <v>1208</v>
      </c>
      <c r="H177" s="149">
        <v>141</v>
      </c>
      <c r="I177" s="149">
        <v>0</v>
      </c>
      <c r="J177" s="149">
        <v>0</v>
      </c>
      <c r="K177" s="149" t="s">
        <v>23</v>
      </c>
      <c r="L177" s="149">
        <f t="shared" si="9"/>
        <v>2320</v>
      </c>
    </row>
    <row r="178" spans="1:12" s="147" customFormat="1">
      <c r="A178" s="150">
        <v>1985</v>
      </c>
      <c r="B178" s="149" t="s">
        <v>23</v>
      </c>
      <c r="C178" s="149" t="s">
        <v>23</v>
      </c>
      <c r="D178" s="149">
        <v>1697</v>
      </c>
      <c r="E178" s="149">
        <v>1521</v>
      </c>
      <c r="F178" s="149">
        <v>3918</v>
      </c>
      <c r="G178" s="149">
        <v>4641</v>
      </c>
      <c r="H178" s="149">
        <v>1514</v>
      </c>
      <c r="I178" s="149">
        <v>411</v>
      </c>
      <c r="J178" s="149">
        <v>18</v>
      </c>
      <c r="K178" s="149" t="s">
        <v>23</v>
      </c>
      <c r="L178" s="149">
        <f t="shared" si="9"/>
        <v>13720</v>
      </c>
    </row>
    <row r="179" spans="1:12" s="147" customFormat="1">
      <c r="A179" s="147">
        <v>1986</v>
      </c>
      <c r="B179" s="149" t="s">
        <v>23</v>
      </c>
      <c r="C179" s="149" t="s">
        <v>23</v>
      </c>
      <c r="D179" s="149">
        <v>2144</v>
      </c>
      <c r="E179" s="149">
        <v>2441</v>
      </c>
      <c r="F179" s="149">
        <v>5601</v>
      </c>
      <c r="G179" s="149">
        <v>4162</v>
      </c>
      <c r="H179" s="149">
        <v>1157</v>
      </c>
      <c r="I179" s="149">
        <v>265</v>
      </c>
      <c r="J179" s="149" t="s">
        <v>23</v>
      </c>
      <c r="K179" s="149" t="s">
        <v>23</v>
      </c>
      <c r="L179" s="149">
        <f t="shared" si="9"/>
        <v>15770</v>
      </c>
    </row>
    <row r="180" spans="1:12" s="147" customFormat="1">
      <c r="A180" s="147">
        <v>1987</v>
      </c>
      <c r="B180" s="149" t="s">
        <v>23</v>
      </c>
      <c r="C180" s="149" t="s">
        <v>23</v>
      </c>
      <c r="D180" s="149">
        <v>1742</v>
      </c>
      <c r="E180" s="149">
        <v>1724</v>
      </c>
      <c r="F180" s="149">
        <v>10258</v>
      </c>
      <c r="G180" s="149">
        <v>3528</v>
      </c>
      <c r="H180" s="149">
        <v>3053</v>
      </c>
      <c r="I180" s="149">
        <v>660</v>
      </c>
      <c r="J180" s="149" t="s">
        <v>23</v>
      </c>
      <c r="K180" s="149" t="s">
        <v>23</v>
      </c>
      <c r="L180" s="149">
        <f t="shared" si="9"/>
        <v>20965</v>
      </c>
    </row>
    <row r="181" spans="1:12" s="147" customFormat="1">
      <c r="A181" s="147">
        <v>1988</v>
      </c>
      <c r="B181" s="149" t="s">
        <v>23</v>
      </c>
      <c r="C181" s="149" t="s">
        <v>23</v>
      </c>
      <c r="D181" s="149">
        <v>3156</v>
      </c>
      <c r="E181" s="149">
        <v>4378</v>
      </c>
      <c r="F181" s="149">
        <v>7651</v>
      </c>
      <c r="G181" s="149">
        <v>7146</v>
      </c>
      <c r="H181" s="149">
        <v>1913</v>
      </c>
      <c r="I181" s="149">
        <v>2054</v>
      </c>
      <c r="J181" s="149" t="s">
        <v>23</v>
      </c>
      <c r="K181" s="149" t="s">
        <v>23</v>
      </c>
      <c r="L181" s="149">
        <f t="shared" si="9"/>
        <v>26298</v>
      </c>
    </row>
    <row r="182" spans="1:12" s="147" customFormat="1">
      <c r="A182" s="147">
        <v>1989</v>
      </c>
      <c r="B182" s="149" t="s">
        <v>23</v>
      </c>
      <c r="C182" s="149" t="s">
        <v>23</v>
      </c>
      <c r="D182" s="149">
        <v>4484</v>
      </c>
      <c r="E182" s="149">
        <v>4194</v>
      </c>
      <c r="F182" s="149">
        <v>6408</v>
      </c>
      <c r="G182" s="149">
        <v>4863</v>
      </c>
      <c r="H182" s="149">
        <v>1079</v>
      </c>
      <c r="I182" s="149">
        <v>1389</v>
      </c>
      <c r="J182" s="149">
        <v>497</v>
      </c>
      <c r="K182" s="149" t="s">
        <v>23</v>
      </c>
      <c r="L182" s="149">
        <f t="shared" si="9"/>
        <v>22914</v>
      </c>
    </row>
    <row r="183" spans="1:12" s="147" customFormat="1">
      <c r="A183" s="147">
        <v>1990</v>
      </c>
      <c r="B183" s="149" t="s">
        <v>23</v>
      </c>
      <c r="C183" s="149" t="s">
        <v>23</v>
      </c>
      <c r="D183" s="149">
        <v>2160</v>
      </c>
      <c r="E183" s="149">
        <v>2194</v>
      </c>
      <c r="F183" s="149">
        <v>6417</v>
      </c>
      <c r="G183" s="149">
        <v>3624</v>
      </c>
      <c r="H183" s="149">
        <v>739</v>
      </c>
      <c r="I183" s="149">
        <v>452</v>
      </c>
      <c r="J183" s="149" t="s">
        <v>23</v>
      </c>
      <c r="K183" s="149" t="s">
        <v>23</v>
      </c>
      <c r="L183" s="149">
        <f t="shared" si="9"/>
        <v>15586</v>
      </c>
    </row>
    <row r="184" spans="1:12" s="147" customFormat="1">
      <c r="A184" s="147">
        <v>1991</v>
      </c>
      <c r="B184" s="149" t="s">
        <v>23</v>
      </c>
      <c r="C184" s="149" t="s">
        <v>23</v>
      </c>
      <c r="D184" s="149">
        <v>33</v>
      </c>
      <c r="E184" s="149">
        <v>1817</v>
      </c>
      <c r="F184" s="149">
        <v>1481</v>
      </c>
      <c r="G184" s="149">
        <v>1018</v>
      </c>
      <c r="H184" s="149">
        <v>815</v>
      </c>
      <c r="I184" s="149">
        <v>479</v>
      </c>
      <c r="J184" s="149" t="s">
        <v>23</v>
      </c>
      <c r="K184" s="149" t="s">
        <v>23</v>
      </c>
      <c r="L184" s="149">
        <f t="shared" si="9"/>
        <v>5643</v>
      </c>
    </row>
    <row r="185" spans="1:12" s="147" customFormat="1">
      <c r="A185" s="147">
        <v>1992</v>
      </c>
      <c r="B185" s="149" t="s">
        <v>23</v>
      </c>
      <c r="C185" s="149" t="s">
        <v>23</v>
      </c>
      <c r="D185" s="149">
        <v>51</v>
      </c>
      <c r="E185" s="149" t="s">
        <v>23</v>
      </c>
      <c r="F185" s="149">
        <v>131</v>
      </c>
      <c r="G185" s="149">
        <v>163</v>
      </c>
      <c r="H185" s="149">
        <v>39</v>
      </c>
      <c r="I185" s="149">
        <v>56</v>
      </c>
      <c r="J185" s="149" t="s">
        <v>23</v>
      </c>
      <c r="K185" s="149" t="s">
        <v>23</v>
      </c>
      <c r="L185" s="149">
        <f t="shared" si="9"/>
        <v>440</v>
      </c>
    </row>
    <row r="186" spans="1:12" s="147" customFormat="1">
      <c r="A186" s="147">
        <v>1993</v>
      </c>
      <c r="B186" s="149" t="s">
        <v>23</v>
      </c>
      <c r="C186" s="149" t="s">
        <v>23</v>
      </c>
      <c r="D186" s="149">
        <v>574</v>
      </c>
      <c r="E186" s="149">
        <v>163</v>
      </c>
      <c r="F186" s="149">
        <v>49</v>
      </c>
      <c r="G186" s="149">
        <v>28</v>
      </c>
      <c r="H186" s="149">
        <v>346</v>
      </c>
      <c r="I186" s="149">
        <v>281</v>
      </c>
      <c r="J186" s="149">
        <v>146</v>
      </c>
      <c r="K186" s="149" t="s">
        <v>23</v>
      </c>
      <c r="L186" s="149">
        <f t="shared" si="9"/>
        <v>1587</v>
      </c>
    </row>
    <row r="187" spans="1:12" s="147" customFormat="1">
      <c r="A187" s="147">
        <v>1994</v>
      </c>
      <c r="B187" s="149" t="s">
        <v>23</v>
      </c>
      <c r="C187" s="149" t="s">
        <v>23</v>
      </c>
      <c r="D187" s="149">
        <v>81</v>
      </c>
      <c r="E187" s="149">
        <v>316</v>
      </c>
      <c r="F187" s="149" t="s">
        <v>23</v>
      </c>
      <c r="G187" s="149" t="s">
        <v>23</v>
      </c>
      <c r="H187" s="149">
        <v>67</v>
      </c>
      <c r="I187" s="149">
        <v>268</v>
      </c>
      <c r="J187" s="149">
        <v>63</v>
      </c>
      <c r="K187" s="149" t="s">
        <v>23</v>
      </c>
      <c r="L187" s="149">
        <f t="shared" si="9"/>
        <v>795</v>
      </c>
    </row>
    <row r="188" spans="1:12" s="147" customFormat="1">
      <c r="A188" s="147">
        <v>1995</v>
      </c>
      <c r="B188" s="149" t="s">
        <v>23</v>
      </c>
      <c r="C188" s="149" t="s">
        <v>23</v>
      </c>
      <c r="D188" s="149">
        <v>228</v>
      </c>
      <c r="E188" s="149">
        <v>489</v>
      </c>
      <c r="F188" s="149" t="s">
        <v>23</v>
      </c>
      <c r="G188" s="149">
        <v>463</v>
      </c>
      <c r="H188" s="149">
        <v>168</v>
      </c>
      <c r="I188" s="149">
        <v>190</v>
      </c>
      <c r="J188" s="149">
        <v>54</v>
      </c>
      <c r="K188" s="149" t="s">
        <v>23</v>
      </c>
      <c r="L188" s="149">
        <f t="shared" si="9"/>
        <v>1592</v>
      </c>
    </row>
    <row r="189" spans="1:12" s="147" customFormat="1">
      <c r="A189" s="147">
        <v>1996</v>
      </c>
      <c r="B189" s="149" t="s">
        <v>23</v>
      </c>
      <c r="C189" s="149" t="s">
        <v>23</v>
      </c>
      <c r="D189" s="149">
        <v>250</v>
      </c>
      <c r="E189" s="149">
        <v>506</v>
      </c>
      <c r="F189" s="149" t="s">
        <v>23</v>
      </c>
      <c r="G189" s="149">
        <v>305</v>
      </c>
      <c r="H189" s="149">
        <v>356</v>
      </c>
      <c r="I189" s="149">
        <v>255</v>
      </c>
      <c r="J189" s="149">
        <v>86</v>
      </c>
      <c r="K189" s="149" t="s">
        <v>23</v>
      </c>
      <c r="L189" s="149">
        <f t="shared" si="9"/>
        <v>1758</v>
      </c>
    </row>
    <row r="190" spans="1:12" s="147" customFormat="1">
      <c r="A190" s="147">
        <v>1997</v>
      </c>
      <c r="B190" s="149" t="s">
        <v>23</v>
      </c>
      <c r="C190" s="149">
        <v>117</v>
      </c>
      <c r="D190" s="149">
        <v>491</v>
      </c>
      <c r="E190" s="149">
        <v>421</v>
      </c>
      <c r="F190" s="149" t="s">
        <v>23</v>
      </c>
      <c r="G190" s="149">
        <v>219</v>
      </c>
      <c r="H190" s="149">
        <v>88</v>
      </c>
      <c r="I190" s="149">
        <v>161</v>
      </c>
      <c r="J190" s="149">
        <v>56</v>
      </c>
      <c r="K190" s="149" t="s">
        <v>23</v>
      </c>
      <c r="L190" s="149">
        <f t="shared" si="9"/>
        <v>1553</v>
      </c>
    </row>
    <row r="191" spans="1:12" s="147" customFormat="1">
      <c r="A191" s="147">
        <v>1998</v>
      </c>
      <c r="B191" s="149" t="s">
        <v>23</v>
      </c>
      <c r="C191" s="149">
        <v>161</v>
      </c>
      <c r="D191" s="149">
        <v>350</v>
      </c>
      <c r="E191" s="149">
        <v>412</v>
      </c>
      <c r="F191" s="149" t="s">
        <v>23</v>
      </c>
      <c r="G191" s="149">
        <v>173</v>
      </c>
      <c r="H191" s="149">
        <v>57</v>
      </c>
      <c r="I191" s="149">
        <v>188</v>
      </c>
      <c r="J191" s="149">
        <v>82</v>
      </c>
      <c r="K191" s="149" t="s">
        <v>23</v>
      </c>
      <c r="L191" s="149">
        <f t="shared" si="9"/>
        <v>1423</v>
      </c>
    </row>
    <row r="192" spans="1:12" s="147" customFormat="1">
      <c r="A192" s="147">
        <v>1999</v>
      </c>
      <c r="B192" s="149" t="s">
        <v>23</v>
      </c>
      <c r="C192" s="149">
        <v>28</v>
      </c>
      <c r="D192" s="149">
        <v>174</v>
      </c>
      <c r="E192" s="149">
        <v>800</v>
      </c>
      <c r="F192" s="149">
        <v>401</v>
      </c>
      <c r="G192" s="149">
        <v>730</v>
      </c>
      <c r="H192" s="149">
        <v>166</v>
      </c>
      <c r="I192" s="149">
        <v>172</v>
      </c>
      <c r="J192" s="149">
        <v>119</v>
      </c>
      <c r="K192" s="149">
        <v>8</v>
      </c>
      <c r="L192" s="149">
        <f t="shared" si="9"/>
        <v>2598</v>
      </c>
    </row>
    <row r="193" spans="1:12" s="147" customFormat="1">
      <c r="A193" s="147">
        <v>2000</v>
      </c>
      <c r="B193" s="149" t="s">
        <v>23</v>
      </c>
      <c r="C193" s="149">
        <v>73</v>
      </c>
      <c r="D193" s="149">
        <v>192</v>
      </c>
      <c r="E193" s="149">
        <v>214</v>
      </c>
      <c r="F193" s="149">
        <v>739</v>
      </c>
      <c r="G193" s="149">
        <v>1064</v>
      </c>
      <c r="H193" s="149">
        <v>549</v>
      </c>
      <c r="I193" s="149">
        <v>269</v>
      </c>
      <c r="J193" s="149">
        <v>176</v>
      </c>
      <c r="K193" s="149">
        <v>69</v>
      </c>
      <c r="L193" s="149">
        <f t="shared" si="9"/>
        <v>3345</v>
      </c>
    </row>
    <row r="194" spans="1:12" s="147" customFormat="1">
      <c r="A194" s="147">
        <v>2001</v>
      </c>
      <c r="B194" s="149" t="s">
        <v>23</v>
      </c>
      <c r="C194" s="149">
        <v>445</v>
      </c>
      <c r="D194" s="149">
        <v>646</v>
      </c>
      <c r="E194" s="149">
        <v>720</v>
      </c>
      <c r="F194" s="149">
        <v>556</v>
      </c>
      <c r="G194" s="149">
        <v>668</v>
      </c>
      <c r="H194" s="149">
        <v>375</v>
      </c>
      <c r="I194" s="149">
        <v>293</v>
      </c>
      <c r="J194" s="149">
        <v>126</v>
      </c>
      <c r="K194" s="149">
        <v>1</v>
      </c>
      <c r="L194" s="149">
        <f t="shared" si="9"/>
        <v>3830</v>
      </c>
    </row>
    <row r="195" spans="1:12" s="147" customFormat="1">
      <c r="A195" s="147">
        <v>2002</v>
      </c>
      <c r="B195" s="149">
        <v>168</v>
      </c>
      <c r="C195" s="149">
        <v>476</v>
      </c>
      <c r="D195" s="149">
        <v>792</v>
      </c>
      <c r="E195" s="149">
        <v>1252</v>
      </c>
      <c r="F195" s="149">
        <v>279</v>
      </c>
      <c r="G195" s="149">
        <v>559</v>
      </c>
      <c r="H195" s="149">
        <v>465</v>
      </c>
      <c r="I195" s="149">
        <v>644</v>
      </c>
      <c r="J195" s="149">
        <v>154</v>
      </c>
      <c r="K195" s="149">
        <v>15</v>
      </c>
      <c r="L195" s="149">
        <f t="shared" si="9"/>
        <v>4804</v>
      </c>
    </row>
    <row r="196" spans="1:12" s="147" customFormat="1">
      <c r="A196" s="147">
        <v>2003</v>
      </c>
      <c r="B196" s="149">
        <v>125</v>
      </c>
      <c r="C196" s="149">
        <v>1110</v>
      </c>
      <c r="D196" s="149">
        <v>1439</v>
      </c>
      <c r="E196" s="149">
        <v>560</v>
      </c>
      <c r="F196" s="149">
        <v>273</v>
      </c>
      <c r="G196" s="149">
        <v>573</v>
      </c>
      <c r="H196" s="149">
        <v>453</v>
      </c>
      <c r="I196" s="149">
        <v>362</v>
      </c>
      <c r="J196" s="149">
        <v>117</v>
      </c>
      <c r="K196" s="149">
        <v>14</v>
      </c>
      <c r="L196" s="149">
        <f t="shared" si="9"/>
        <v>5026</v>
      </c>
    </row>
    <row r="197" spans="1:12" s="147" customFormat="1">
      <c r="A197" s="147">
        <v>2004</v>
      </c>
      <c r="B197" s="149">
        <v>406</v>
      </c>
      <c r="C197" s="149">
        <v>1245</v>
      </c>
      <c r="D197" s="149">
        <v>632</v>
      </c>
      <c r="E197" s="149">
        <v>1055</v>
      </c>
      <c r="F197" s="149">
        <v>336</v>
      </c>
      <c r="G197" s="149">
        <v>1302</v>
      </c>
      <c r="H197" s="149">
        <v>573</v>
      </c>
      <c r="I197" s="149">
        <v>374</v>
      </c>
      <c r="J197" s="149">
        <v>215</v>
      </c>
      <c r="K197" s="149">
        <v>21</v>
      </c>
      <c r="L197" s="149">
        <f t="shared" si="9"/>
        <v>6159</v>
      </c>
    </row>
    <row r="198" spans="1:12" s="147" customFormat="1">
      <c r="A198" s="147">
        <v>2005</v>
      </c>
      <c r="B198" s="149">
        <v>755</v>
      </c>
      <c r="C198" s="149">
        <v>184</v>
      </c>
      <c r="D198" s="149">
        <f>1623+308</f>
        <v>1931</v>
      </c>
      <c r="E198" s="149" t="s">
        <v>23</v>
      </c>
      <c r="F198" s="149" t="s">
        <v>23</v>
      </c>
      <c r="G198" s="149" t="s">
        <v>23</v>
      </c>
      <c r="H198" s="149">
        <v>1227</v>
      </c>
      <c r="I198" s="149">
        <v>544</v>
      </c>
      <c r="J198" s="149">
        <v>141</v>
      </c>
      <c r="K198" s="149">
        <v>75</v>
      </c>
      <c r="L198" s="149">
        <f t="shared" si="9"/>
        <v>4857</v>
      </c>
    </row>
    <row r="199" spans="1:12" s="147" customFormat="1">
      <c r="A199" s="147">
        <v>2006</v>
      </c>
      <c r="B199" s="151" t="s">
        <v>23</v>
      </c>
      <c r="C199" s="151" t="s">
        <v>23</v>
      </c>
      <c r="D199" s="151" t="s">
        <v>23</v>
      </c>
      <c r="E199" s="151" t="s">
        <v>23</v>
      </c>
      <c r="F199" s="151" t="s">
        <v>23</v>
      </c>
      <c r="G199" s="151" t="s">
        <v>23</v>
      </c>
      <c r="H199" s="151">
        <v>30</v>
      </c>
      <c r="I199" s="151">
        <v>156</v>
      </c>
      <c r="J199" s="151">
        <v>155</v>
      </c>
      <c r="K199" s="151">
        <v>26</v>
      </c>
      <c r="L199" s="151">
        <f t="shared" si="9"/>
        <v>367</v>
      </c>
    </row>
    <row r="200" spans="1:12" s="147" customFormat="1">
      <c r="A200" s="147">
        <v>2007</v>
      </c>
      <c r="B200" s="151" t="s">
        <v>23</v>
      </c>
      <c r="C200" s="151">
        <v>253</v>
      </c>
      <c r="D200" s="151">
        <v>554</v>
      </c>
      <c r="E200" s="151">
        <v>388</v>
      </c>
      <c r="F200" s="151">
        <v>167</v>
      </c>
      <c r="G200" s="151">
        <v>895</v>
      </c>
      <c r="H200" s="151">
        <v>117</v>
      </c>
      <c r="I200" s="151">
        <v>120</v>
      </c>
      <c r="J200" s="151">
        <v>126</v>
      </c>
      <c r="K200" s="151" t="s">
        <v>23</v>
      </c>
      <c r="L200" s="151">
        <f t="shared" si="9"/>
        <v>2620</v>
      </c>
    </row>
    <row r="201" spans="1:12" s="147" customFormat="1">
      <c r="A201" s="147">
        <v>2008</v>
      </c>
      <c r="B201" s="151" t="s">
        <v>23</v>
      </c>
      <c r="C201" s="151" t="s">
        <v>23</v>
      </c>
      <c r="D201" s="151" t="s">
        <v>23</v>
      </c>
      <c r="E201" s="151" t="s">
        <v>23</v>
      </c>
      <c r="F201" s="151" t="s">
        <v>23</v>
      </c>
      <c r="G201" s="151" t="s">
        <v>23</v>
      </c>
      <c r="H201" s="151" t="s">
        <v>23</v>
      </c>
      <c r="I201" s="151" t="s">
        <v>23</v>
      </c>
      <c r="J201" s="151">
        <v>48</v>
      </c>
      <c r="K201" s="151" t="s">
        <v>23</v>
      </c>
      <c r="L201" s="151">
        <f t="shared" si="9"/>
        <v>48</v>
      </c>
    </row>
    <row r="202" spans="1:12" s="147" customFormat="1">
      <c r="A202" s="147">
        <v>2009</v>
      </c>
      <c r="B202" s="151" t="s">
        <v>23</v>
      </c>
      <c r="C202" s="151" t="s">
        <v>23</v>
      </c>
      <c r="D202" s="151" t="s">
        <v>23</v>
      </c>
      <c r="E202" s="151" t="s">
        <v>23</v>
      </c>
      <c r="F202" s="151" t="s">
        <v>23</v>
      </c>
      <c r="G202" s="151" t="s">
        <v>23</v>
      </c>
      <c r="H202" s="151">
        <v>101</v>
      </c>
      <c r="I202" s="151">
        <v>36</v>
      </c>
      <c r="J202" s="151" t="s">
        <v>23</v>
      </c>
      <c r="K202" s="151" t="s">
        <v>23</v>
      </c>
      <c r="L202" s="151">
        <f t="shared" si="9"/>
        <v>137</v>
      </c>
    </row>
    <row r="203" spans="1:12" s="147" customFormat="1">
      <c r="A203" s="147">
        <v>2010</v>
      </c>
      <c r="B203" s="151" t="s">
        <v>23</v>
      </c>
      <c r="C203" s="151" t="s">
        <v>23</v>
      </c>
      <c r="D203" s="151">
        <v>505</v>
      </c>
      <c r="E203" s="151">
        <v>399</v>
      </c>
      <c r="F203" s="151">
        <v>169</v>
      </c>
      <c r="G203" s="151">
        <v>334</v>
      </c>
      <c r="H203" s="151" t="s">
        <v>23</v>
      </c>
      <c r="I203" s="151">
        <f>67+42+39</f>
        <v>148</v>
      </c>
      <c r="J203" s="151" t="s">
        <v>23</v>
      </c>
      <c r="K203" s="151" t="s">
        <v>23</v>
      </c>
      <c r="L203" s="151">
        <f>SUM(B203:K203)</f>
        <v>1555</v>
      </c>
    </row>
    <row r="204" spans="1:12" s="147" customFormat="1">
      <c r="A204" s="147">
        <v>2011</v>
      </c>
      <c r="B204" s="151" t="s">
        <v>23</v>
      </c>
      <c r="C204" s="151">
        <v>256</v>
      </c>
      <c r="D204" s="151">
        <v>538</v>
      </c>
      <c r="E204" s="151">
        <v>755</v>
      </c>
      <c r="F204" s="151">
        <v>57</v>
      </c>
      <c r="G204" s="151">
        <v>83</v>
      </c>
      <c r="H204" s="151">
        <v>80</v>
      </c>
      <c r="I204" s="151">
        <v>202</v>
      </c>
      <c r="J204" s="151">
        <v>235</v>
      </c>
      <c r="K204" s="151" t="s">
        <v>23</v>
      </c>
      <c r="L204" s="151">
        <f>SUM(B204:K204)</f>
        <v>2206</v>
      </c>
    </row>
    <row r="205" spans="1:12" s="147" customFormat="1">
      <c r="A205" s="147">
        <v>2012</v>
      </c>
      <c r="B205" s="151" t="s">
        <v>23</v>
      </c>
      <c r="C205" s="151">
        <v>315</v>
      </c>
      <c r="D205" s="151">
        <v>784</v>
      </c>
      <c r="E205" s="151">
        <v>510</v>
      </c>
      <c r="F205" s="151">
        <v>96</v>
      </c>
      <c r="G205" s="151">
        <v>298</v>
      </c>
      <c r="H205" s="151">
        <v>320</v>
      </c>
      <c r="I205" s="151">
        <v>267</v>
      </c>
      <c r="J205" s="151">
        <v>121</v>
      </c>
      <c r="K205" s="151" t="s">
        <v>23</v>
      </c>
      <c r="L205" s="151">
        <f t="shared" ref="L205:L214" si="10">SUM(B205:K205)</f>
        <v>2711</v>
      </c>
    </row>
    <row r="206" spans="1:12" s="147" customFormat="1">
      <c r="A206" s="147">
        <v>2013</v>
      </c>
      <c r="B206" s="151" t="s">
        <v>23</v>
      </c>
      <c r="C206" s="151">
        <v>506</v>
      </c>
      <c r="D206" s="151">
        <v>563</v>
      </c>
      <c r="E206" s="151">
        <v>456</v>
      </c>
      <c r="F206" s="151">
        <v>337</v>
      </c>
      <c r="G206" s="151">
        <v>1626</v>
      </c>
      <c r="H206" s="151">
        <v>1055</v>
      </c>
      <c r="I206" s="151">
        <v>742</v>
      </c>
      <c r="J206" s="151">
        <v>155</v>
      </c>
      <c r="K206" s="151" t="s">
        <v>23</v>
      </c>
      <c r="L206" s="151">
        <f t="shared" si="10"/>
        <v>5440</v>
      </c>
    </row>
    <row r="207" spans="1:12" s="147" customFormat="1">
      <c r="A207" s="147">
        <v>2014</v>
      </c>
      <c r="B207" s="151" t="s">
        <v>23</v>
      </c>
      <c r="C207" s="151">
        <v>473</v>
      </c>
      <c r="D207" s="151">
        <v>929</v>
      </c>
      <c r="E207" s="151">
        <v>1052</v>
      </c>
      <c r="F207" s="151">
        <v>648</v>
      </c>
      <c r="G207" s="151">
        <v>1183</v>
      </c>
      <c r="H207" s="151">
        <v>310</v>
      </c>
      <c r="I207" s="151">
        <v>171</v>
      </c>
      <c r="J207" s="151">
        <v>98</v>
      </c>
      <c r="K207" s="151" t="s">
        <v>23</v>
      </c>
      <c r="L207" s="151">
        <f t="shared" si="10"/>
        <v>4864</v>
      </c>
    </row>
    <row r="208" spans="1:12" s="147" customFormat="1">
      <c r="A208" s="147">
        <v>2015</v>
      </c>
      <c r="B208" s="151" t="s">
        <v>23</v>
      </c>
      <c r="C208" s="151">
        <v>967</v>
      </c>
      <c r="D208" s="151">
        <v>924</v>
      </c>
      <c r="E208" s="151">
        <v>770</v>
      </c>
      <c r="F208" s="151">
        <v>484</v>
      </c>
      <c r="G208" s="151">
        <v>232</v>
      </c>
      <c r="H208" s="151">
        <v>72</v>
      </c>
      <c r="I208" s="151">
        <v>166</v>
      </c>
      <c r="J208" s="151">
        <v>158</v>
      </c>
      <c r="K208" s="151" t="s">
        <v>23</v>
      </c>
      <c r="L208" s="151">
        <f t="shared" si="10"/>
        <v>3773</v>
      </c>
    </row>
    <row r="209" spans="1:12" s="147" customFormat="1">
      <c r="A209" s="147">
        <v>2016</v>
      </c>
      <c r="B209" s="151" t="s">
        <v>23</v>
      </c>
      <c r="C209" s="151">
        <v>178</v>
      </c>
      <c r="D209" s="151">
        <v>170</v>
      </c>
      <c r="E209" s="151">
        <v>260</v>
      </c>
      <c r="F209" s="151">
        <v>146</v>
      </c>
      <c r="G209" s="151">
        <v>75</v>
      </c>
      <c r="H209" s="151">
        <v>58</v>
      </c>
      <c r="I209" s="151">
        <v>119</v>
      </c>
      <c r="J209" s="151">
        <v>41</v>
      </c>
      <c r="K209" s="151" t="s">
        <v>23</v>
      </c>
      <c r="L209" s="151">
        <f t="shared" si="10"/>
        <v>1047</v>
      </c>
    </row>
    <row r="210" spans="1:12" s="147" customFormat="1">
      <c r="A210" s="147">
        <v>2017</v>
      </c>
      <c r="B210" s="151" t="s">
        <v>23</v>
      </c>
      <c r="C210" s="151" t="s">
        <v>23</v>
      </c>
      <c r="D210" s="151" t="s">
        <v>23</v>
      </c>
      <c r="E210" s="151" t="s">
        <v>23</v>
      </c>
      <c r="F210" s="151" t="s">
        <v>23</v>
      </c>
      <c r="G210" s="151" t="s">
        <v>23</v>
      </c>
      <c r="H210" s="151" t="s">
        <v>23</v>
      </c>
      <c r="I210" s="151">
        <v>114</v>
      </c>
      <c r="J210" s="151">
        <v>41</v>
      </c>
      <c r="K210" s="151" t="s">
        <v>23</v>
      </c>
      <c r="L210" s="151">
        <f t="shared" si="10"/>
        <v>155</v>
      </c>
    </row>
    <row r="211" spans="1:12" s="147" customFormat="1">
      <c r="A211" s="147">
        <v>2018</v>
      </c>
      <c r="B211" s="151" t="s">
        <v>23</v>
      </c>
      <c r="C211" s="151" t="s">
        <v>23</v>
      </c>
      <c r="D211" s="151">
        <v>127</v>
      </c>
      <c r="E211" s="151">
        <v>270</v>
      </c>
      <c r="F211" s="151">
        <v>91</v>
      </c>
      <c r="G211" s="151">
        <v>97</v>
      </c>
      <c r="H211" s="151">
        <v>21</v>
      </c>
      <c r="I211" s="151">
        <v>89</v>
      </c>
      <c r="J211" s="151">
        <v>83</v>
      </c>
      <c r="K211" s="151" t="s">
        <v>23</v>
      </c>
      <c r="L211" s="151">
        <f>SUM(B211:K211)</f>
        <v>778</v>
      </c>
    </row>
    <row r="212" spans="1:12" s="147" customFormat="1">
      <c r="A212" s="147">
        <v>2019</v>
      </c>
      <c r="B212" s="151" t="s">
        <v>23</v>
      </c>
      <c r="C212" s="151">
        <v>16</v>
      </c>
      <c r="D212" s="151">
        <v>29</v>
      </c>
      <c r="E212" s="151">
        <v>85</v>
      </c>
      <c r="F212" s="151">
        <v>68</v>
      </c>
      <c r="G212" s="151">
        <v>21</v>
      </c>
      <c r="H212" s="151">
        <v>14</v>
      </c>
      <c r="I212" s="151">
        <v>154</v>
      </c>
      <c r="J212" s="151" t="s">
        <v>23</v>
      </c>
      <c r="K212" s="151" t="s">
        <v>23</v>
      </c>
      <c r="L212" s="151">
        <f t="shared" ref="L212:L213" si="11">SUM(B212:K212)</f>
        <v>387</v>
      </c>
    </row>
    <row r="213" spans="1:12" s="147" customFormat="1">
      <c r="A213" s="147">
        <v>2020</v>
      </c>
      <c r="B213" s="151" t="s">
        <v>23</v>
      </c>
      <c r="C213" s="151">
        <v>43</v>
      </c>
      <c r="D213" s="151">
        <v>11</v>
      </c>
      <c r="E213" s="151">
        <v>43</v>
      </c>
      <c r="F213" s="151">
        <v>140</v>
      </c>
      <c r="G213" s="151">
        <v>21</v>
      </c>
      <c r="H213" s="151">
        <v>29</v>
      </c>
      <c r="I213" s="151">
        <v>174</v>
      </c>
      <c r="J213" s="151" t="s">
        <v>23</v>
      </c>
      <c r="K213" s="151" t="s">
        <v>23</v>
      </c>
      <c r="L213" s="151">
        <f t="shared" si="11"/>
        <v>461</v>
      </c>
    </row>
    <row r="214" spans="1:12" s="147" customFormat="1" ht="13">
      <c r="A214" s="147" t="s">
        <v>317</v>
      </c>
      <c r="B214" s="151" t="s">
        <v>23</v>
      </c>
      <c r="C214" s="151" t="s">
        <v>23</v>
      </c>
      <c r="D214" s="151">
        <v>121</v>
      </c>
      <c r="E214" s="151">
        <v>70</v>
      </c>
      <c r="F214" s="151">
        <v>25</v>
      </c>
      <c r="G214" s="151">
        <v>9</v>
      </c>
      <c r="H214" s="151">
        <v>31</v>
      </c>
      <c r="I214" s="151">
        <v>171</v>
      </c>
      <c r="J214" s="151" t="s">
        <v>23</v>
      </c>
      <c r="K214" s="151" t="s">
        <v>23</v>
      </c>
      <c r="L214" s="151">
        <f t="shared" si="10"/>
        <v>427</v>
      </c>
    </row>
    <row r="215" spans="1:12" s="200" customFormat="1">
      <c r="A215" s="95"/>
      <c r="B215" s="152"/>
      <c r="C215" s="152"/>
      <c r="D215" s="152"/>
      <c r="E215" s="152"/>
      <c r="F215" s="152"/>
      <c r="G215" s="152"/>
      <c r="H215" s="152"/>
      <c r="I215" s="152"/>
      <c r="J215" s="152"/>
      <c r="K215" s="152"/>
      <c r="L215" s="152"/>
    </row>
    <row r="216" spans="1:12" s="200" customFormat="1">
      <c r="A216" s="88" t="s">
        <v>50</v>
      </c>
      <c r="B216" s="152"/>
      <c r="C216" s="152"/>
      <c r="D216" s="152"/>
      <c r="E216" s="152"/>
      <c r="F216" s="152"/>
      <c r="G216" s="152"/>
      <c r="H216" s="152"/>
      <c r="I216" s="152"/>
      <c r="J216" s="152"/>
      <c r="K216" s="152"/>
      <c r="L216" s="152"/>
    </row>
    <row r="217" spans="1:12" s="147" customFormat="1">
      <c r="A217" s="150">
        <v>1971</v>
      </c>
      <c r="B217" s="149" t="s">
        <v>23</v>
      </c>
      <c r="C217" s="149">
        <v>1</v>
      </c>
      <c r="D217" s="149">
        <v>143</v>
      </c>
      <c r="E217" s="149">
        <v>1282</v>
      </c>
      <c r="F217" s="149">
        <v>2588</v>
      </c>
      <c r="G217" s="149">
        <v>1289</v>
      </c>
      <c r="H217" s="149">
        <v>303</v>
      </c>
      <c r="I217" s="149">
        <v>640</v>
      </c>
      <c r="J217" s="149" t="s">
        <v>23</v>
      </c>
      <c r="K217" s="149" t="s">
        <v>23</v>
      </c>
      <c r="L217" s="149">
        <f t="shared" ref="L217:L249" si="12">SUM(B217:K217)</f>
        <v>6246</v>
      </c>
    </row>
    <row r="218" spans="1:12" s="147" customFormat="1">
      <c r="A218" s="150">
        <v>1972</v>
      </c>
      <c r="B218" s="149" t="s">
        <v>23</v>
      </c>
      <c r="C218" s="149">
        <v>0</v>
      </c>
      <c r="D218" s="149">
        <v>374</v>
      </c>
      <c r="E218" s="149">
        <v>788</v>
      </c>
      <c r="F218" s="149">
        <v>1694</v>
      </c>
      <c r="G218" s="149">
        <v>951</v>
      </c>
      <c r="H218" s="149">
        <v>869</v>
      </c>
      <c r="I218" s="149">
        <v>1470</v>
      </c>
      <c r="J218" s="149" t="s">
        <v>23</v>
      </c>
      <c r="K218" s="149" t="s">
        <v>23</v>
      </c>
      <c r="L218" s="149">
        <f t="shared" si="12"/>
        <v>6146</v>
      </c>
    </row>
    <row r="219" spans="1:12" s="147" customFormat="1">
      <c r="A219" s="150">
        <v>1973</v>
      </c>
      <c r="B219" s="149" t="s">
        <v>23</v>
      </c>
      <c r="C219" s="149">
        <v>27</v>
      </c>
      <c r="D219" s="149">
        <v>148</v>
      </c>
      <c r="E219" s="149">
        <v>850</v>
      </c>
      <c r="F219" s="149">
        <v>2242</v>
      </c>
      <c r="G219" s="149">
        <v>918</v>
      </c>
      <c r="H219" s="149">
        <v>663</v>
      </c>
      <c r="I219" s="149">
        <v>1252</v>
      </c>
      <c r="J219" s="149" t="s">
        <v>23</v>
      </c>
      <c r="K219" s="149" t="s">
        <v>23</v>
      </c>
      <c r="L219" s="149">
        <f t="shared" si="12"/>
        <v>6100</v>
      </c>
    </row>
    <row r="220" spans="1:12" s="147" customFormat="1">
      <c r="A220" s="150">
        <v>1974</v>
      </c>
      <c r="B220" s="149" t="s">
        <v>23</v>
      </c>
      <c r="C220" s="149">
        <v>21</v>
      </c>
      <c r="D220" s="149">
        <v>32</v>
      </c>
      <c r="E220" s="149">
        <v>556</v>
      </c>
      <c r="F220" s="149">
        <v>1653</v>
      </c>
      <c r="G220" s="149">
        <v>1243</v>
      </c>
      <c r="H220" s="149">
        <v>600</v>
      </c>
      <c r="I220" s="149">
        <v>572</v>
      </c>
      <c r="J220" s="149">
        <v>490</v>
      </c>
      <c r="K220" s="149">
        <v>57</v>
      </c>
      <c r="L220" s="149">
        <f t="shared" si="12"/>
        <v>5224</v>
      </c>
    </row>
    <row r="221" spans="1:12" s="147" customFormat="1">
      <c r="A221" s="150">
        <v>1975</v>
      </c>
      <c r="B221" s="149" t="s">
        <v>23</v>
      </c>
      <c r="C221" s="149">
        <v>3</v>
      </c>
      <c r="D221" s="149">
        <v>10</v>
      </c>
      <c r="E221" s="149">
        <v>834</v>
      </c>
      <c r="F221" s="149">
        <v>2259</v>
      </c>
      <c r="G221" s="149">
        <v>861</v>
      </c>
      <c r="H221" s="149">
        <v>1064</v>
      </c>
      <c r="I221" s="149">
        <v>607</v>
      </c>
      <c r="J221" s="149">
        <v>332</v>
      </c>
      <c r="K221" s="149">
        <v>32</v>
      </c>
      <c r="L221" s="149">
        <f t="shared" si="12"/>
        <v>6002</v>
      </c>
    </row>
    <row r="222" spans="1:12" s="147" customFormat="1">
      <c r="A222" s="150">
        <v>1976</v>
      </c>
      <c r="B222" s="149" t="s">
        <v>23</v>
      </c>
      <c r="C222" s="149" t="s">
        <v>23</v>
      </c>
      <c r="D222" s="149">
        <v>13</v>
      </c>
      <c r="E222" s="149">
        <v>996</v>
      </c>
      <c r="F222" s="149">
        <v>2779</v>
      </c>
      <c r="G222" s="149">
        <v>2650</v>
      </c>
      <c r="H222" s="149">
        <v>2230</v>
      </c>
      <c r="I222" s="149">
        <v>592</v>
      </c>
      <c r="J222" s="149">
        <v>253</v>
      </c>
      <c r="K222" s="149" t="s">
        <v>23</v>
      </c>
      <c r="L222" s="149">
        <f t="shared" si="12"/>
        <v>9513</v>
      </c>
    </row>
    <row r="223" spans="1:12" s="147" customFormat="1">
      <c r="A223" s="150">
        <v>1977</v>
      </c>
      <c r="B223" s="149" t="s">
        <v>23</v>
      </c>
      <c r="C223" s="149" t="s">
        <v>23</v>
      </c>
      <c r="D223" s="149">
        <v>247</v>
      </c>
      <c r="E223" s="149">
        <v>586</v>
      </c>
      <c r="F223" s="149">
        <v>7696</v>
      </c>
      <c r="G223" s="149">
        <v>2500</v>
      </c>
      <c r="H223" s="149">
        <v>1306</v>
      </c>
      <c r="I223" s="149">
        <v>1240</v>
      </c>
      <c r="J223" s="149">
        <v>901</v>
      </c>
      <c r="K223" s="149" t="s">
        <v>23</v>
      </c>
      <c r="L223" s="149">
        <f t="shared" si="12"/>
        <v>14476</v>
      </c>
    </row>
    <row r="224" spans="1:12" s="147" customFormat="1">
      <c r="A224" s="150">
        <v>1978</v>
      </c>
      <c r="B224" s="149" t="s">
        <v>23</v>
      </c>
      <c r="C224" s="149" t="s">
        <v>23</v>
      </c>
      <c r="D224" s="149">
        <v>92</v>
      </c>
      <c r="E224" s="149">
        <v>1546</v>
      </c>
      <c r="F224" s="149">
        <v>2134</v>
      </c>
      <c r="G224" s="149">
        <v>1957</v>
      </c>
      <c r="H224" s="149">
        <v>1160</v>
      </c>
      <c r="I224" s="149">
        <v>1256</v>
      </c>
      <c r="J224" s="149">
        <v>992</v>
      </c>
      <c r="K224" s="149" t="s">
        <v>23</v>
      </c>
      <c r="L224" s="149">
        <f t="shared" si="12"/>
        <v>9137</v>
      </c>
    </row>
    <row r="225" spans="1:12" s="147" customFormat="1">
      <c r="A225" s="150">
        <v>1979</v>
      </c>
      <c r="B225" s="149" t="s">
        <v>23</v>
      </c>
      <c r="C225" s="149" t="s">
        <v>23</v>
      </c>
      <c r="D225" s="149">
        <v>44</v>
      </c>
      <c r="E225" s="149">
        <v>2048</v>
      </c>
      <c r="F225" s="149">
        <v>1894</v>
      </c>
      <c r="G225" s="149">
        <v>2055</v>
      </c>
      <c r="H225" s="149">
        <v>1126</v>
      </c>
      <c r="I225" s="149">
        <v>764</v>
      </c>
      <c r="J225" s="149">
        <v>202</v>
      </c>
      <c r="K225" s="149" t="s">
        <v>23</v>
      </c>
      <c r="L225" s="149">
        <f t="shared" si="12"/>
        <v>8133</v>
      </c>
    </row>
    <row r="226" spans="1:12" s="147" customFormat="1">
      <c r="A226" s="150">
        <v>1980</v>
      </c>
      <c r="B226" s="149" t="s">
        <v>23</v>
      </c>
      <c r="C226" s="149" t="s">
        <v>23</v>
      </c>
      <c r="D226" s="149">
        <v>541</v>
      </c>
      <c r="E226" s="149">
        <v>276</v>
      </c>
      <c r="F226" s="149">
        <v>893</v>
      </c>
      <c r="G226" s="149">
        <v>2044</v>
      </c>
      <c r="H226" s="149">
        <v>1524</v>
      </c>
      <c r="I226" s="149">
        <v>845</v>
      </c>
      <c r="J226" s="149">
        <v>510</v>
      </c>
      <c r="K226" s="149" t="s">
        <v>23</v>
      </c>
      <c r="L226" s="149">
        <f t="shared" si="12"/>
        <v>6633</v>
      </c>
    </row>
    <row r="227" spans="1:12" s="147" customFormat="1">
      <c r="A227" s="150">
        <v>1981</v>
      </c>
      <c r="B227" s="149" t="s">
        <v>23</v>
      </c>
      <c r="C227" s="149" t="s">
        <v>23</v>
      </c>
      <c r="D227" s="149">
        <v>640</v>
      </c>
      <c r="E227" s="149">
        <v>0</v>
      </c>
      <c r="F227" s="149">
        <v>1835</v>
      </c>
      <c r="G227" s="149">
        <v>3522</v>
      </c>
      <c r="H227" s="149">
        <v>1103</v>
      </c>
      <c r="I227" s="149">
        <v>1553</v>
      </c>
      <c r="J227" s="149">
        <v>453</v>
      </c>
      <c r="K227" s="149" t="s">
        <v>23</v>
      </c>
      <c r="L227" s="149">
        <f t="shared" si="12"/>
        <v>9106</v>
      </c>
    </row>
    <row r="228" spans="1:12" s="147" customFormat="1">
      <c r="A228" s="150">
        <v>1982</v>
      </c>
      <c r="B228" s="149" t="s">
        <v>23</v>
      </c>
      <c r="C228" s="149" t="s">
        <v>23</v>
      </c>
      <c r="D228" s="149">
        <v>336</v>
      </c>
      <c r="E228" s="149">
        <v>173</v>
      </c>
      <c r="F228" s="149">
        <v>2851</v>
      </c>
      <c r="G228" s="149">
        <v>2927</v>
      </c>
      <c r="H228" s="149">
        <v>850</v>
      </c>
      <c r="I228" s="149">
        <v>1125</v>
      </c>
      <c r="J228" s="149">
        <v>582</v>
      </c>
      <c r="K228" s="149" t="s">
        <v>23</v>
      </c>
      <c r="L228" s="149">
        <f t="shared" si="12"/>
        <v>8844</v>
      </c>
    </row>
    <row r="229" spans="1:12" s="147" customFormat="1">
      <c r="A229" s="150">
        <v>1983</v>
      </c>
      <c r="B229" s="149" t="s">
        <v>23</v>
      </c>
      <c r="C229" s="149" t="s">
        <v>23</v>
      </c>
      <c r="D229" s="149">
        <v>170</v>
      </c>
      <c r="E229" s="149">
        <v>732</v>
      </c>
      <c r="F229" s="149">
        <v>1662</v>
      </c>
      <c r="G229" s="149">
        <v>301</v>
      </c>
      <c r="H229" s="149">
        <v>81</v>
      </c>
      <c r="I229" s="149">
        <v>631</v>
      </c>
      <c r="J229" s="149">
        <v>116</v>
      </c>
      <c r="K229" s="149" t="s">
        <v>23</v>
      </c>
      <c r="L229" s="149">
        <f t="shared" si="12"/>
        <v>3693</v>
      </c>
    </row>
    <row r="230" spans="1:12" s="147" customFormat="1">
      <c r="A230" s="150">
        <v>1984</v>
      </c>
      <c r="B230" s="149" t="s">
        <v>23</v>
      </c>
      <c r="C230" s="149" t="s">
        <v>23</v>
      </c>
      <c r="D230" s="149">
        <v>156</v>
      </c>
      <c r="E230" s="149">
        <v>21</v>
      </c>
      <c r="F230" s="149">
        <v>392</v>
      </c>
      <c r="G230" s="149">
        <v>1567</v>
      </c>
      <c r="H230" s="149">
        <v>3</v>
      </c>
      <c r="I230" s="149">
        <v>234</v>
      </c>
      <c r="J230" s="149">
        <v>209</v>
      </c>
      <c r="K230" s="149" t="s">
        <v>23</v>
      </c>
      <c r="L230" s="149">
        <f t="shared" si="12"/>
        <v>2582</v>
      </c>
    </row>
    <row r="231" spans="1:12" s="147" customFormat="1">
      <c r="A231" s="150">
        <v>1985</v>
      </c>
      <c r="B231" s="149" t="s">
        <v>23</v>
      </c>
      <c r="C231" s="149" t="s">
        <v>23</v>
      </c>
      <c r="D231" s="149">
        <v>25</v>
      </c>
      <c r="E231" s="149">
        <v>14</v>
      </c>
      <c r="F231" s="149">
        <v>93</v>
      </c>
      <c r="G231" s="149">
        <v>225</v>
      </c>
      <c r="H231" s="149">
        <v>97</v>
      </c>
      <c r="I231" s="149">
        <v>117</v>
      </c>
      <c r="J231" s="149">
        <v>322</v>
      </c>
      <c r="K231" s="149" t="s">
        <v>23</v>
      </c>
      <c r="L231" s="149">
        <f t="shared" si="12"/>
        <v>893</v>
      </c>
    </row>
    <row r="232" spans="1:12" s="147" customFormat="1">
      <c r="A232" s="147">
        <v>1986</v>
      </c>
      <c r="B232" s="149" t="s">
        <v>23</v>
      </c>
      <c r="C232" s="149" t="s">
        <v>23</v>
      </c>
      <c r="D232" s="149">
        <v>541</v>
      </c>
      <c r="E232" s="149">
        <v>733</v>
      </c>
      <c r="F232" s="149">
        <v>556</v>
      </c>
      <c r="G232" s="149">
        <v>1081</v>
      </c>
      <c r="H232" s="149" t="s">
        <v>23</v>
      </c>
      <c r="I232" s="149">
        <v>175</v>
      </c>
      <c r="J232" s="149">
        <v>114</v>
      </c>
      <c r="K232" s="149" t="s">
        <v>23</v>
      </c>
      <c r="L232" s="149">
        <f t="shared" si="12"/>
        <v>3200</v>
      </c>
    </row>
    <row r="233" spans="1:12" s="147" customFormat="1">
      <c r="A233" s="147">
        <v>1987</v>
      </c>
      <c r="B233" s="149" t="s">
        <v>23</v>
      </c>
      <c r="C233" s="149" t="s">
        <v>23</v>
      </c>
      <c r="D233" s="149">
        <v>486</v>
      </c>
      <c r="E233" s="149">
        <v>894</v>
      </c>
      <c r="F233" s="149" t="s">
        <v>23</v>
      </c>
      <c r="G233" s="149" t="s">
        <v>23</v>
      </c>
      <c r="H233" s="149" t="s">
        <v>23</v>
      </c>
      <c r="I233" s="149">
        <v>304</v>
      </c>
      <c r="J233" s="149">
        <v>311</v>
      </c>
      <c r="K233" s="149" t="s">
        <v>23</v>
      </c>
      <c r="L233" s="149">
        <f t="shared" si="12"/>
        <v>1995</v>
      </c>
    </row>
    <row r="234" spans="1:12" s="147" customFormat="1">
      <c r="A234" s="147">
        <v>1988</v>
      </c>
      <c r="B234" s="149" t="s">
        <v>23</v>
      </c>
      <c r="C234" s="149" t="s">
        <v>23</v>
      </c>
      <c r="D234" s="149">
        <v>299</v>
      </c>
      <c r="E234" s="149">
        <v>632</v>
      </c>
      <c r="F234" s="149" t="s">
        <v>23</v>
      </c>
      <c r="G234" s="149" t="s">
        <v>23</v>
      </c>
      <c r="H234" s="149">
        <v>59</v>
      </c>
      <c r="I234" s="149">
        <v>193</v>
      </c>
      <c r="J234" s="149">
        <v>227</v>
      </c>
      <c r="K234" s="149" t="s">
        <v>23</v>
      </c>
      <c r="L234" s="149">
        <f t="shared" si="12"/>
        <v>1410</v>
      </c>
    </row>
    <row r="235" spans="1:12" s="147" customFormat="1">
      <c r="A235" s="147">
        <v>1989</v>
      </c>
      <c r="B235" s="149" t="s">
        <v>23</v>
      </c>
      <c r="C235" s="149" t="s">
        <v>23</v>
      </c>
      <c r="D235" s="149">
        <v>237</v>
      </c>
      <c r="E235" s="149">
        <v>328</v>
      </c>
      <c r="F235" s="149" t="s">
        <v>23</v>
      </c>
      <c r="G235" s="149">
        <v>383</v>
      </c>
      <c r="H235" s="149">
        <v>296</v>
      </c>
      <c r="I235" s="149" t="s">
        <v>23</v>
      </c>
      <c r="J235" s="149" t="s">
        <v>23</v>
      </c>
      <c r="K235" s="149" t="s">
        <v>23</v>
      </c>
      <c r="L235" s="149">
        <f t="shared" si="12"/>
        <v>1244</v>
      </c>
    </row>
    <row r="236" spans="1:12" s="147" customFormat="1">
      <c r="A236" s="147">
        <v>1990</v>
      </c>
      <c r="B236" s="149" t="s">
        <v>23</v>
      </c>
      <c r="C236" s="149" t="s">
        <v>23</v>
      </c>
      <c r="D236" s="149">
        <v>33</v>
      </c>
      <c r="E236" s="149" t="s">
        <v>23</v>
      </c>
      <c r="F236" s="149" t="s">
        <v>23</v>
      </c>
      <c r="G236" s="149">
        <v>357</v>
      </c>
      <c r="H236" s="149">
        <v>19</v>
      </c>
      <c r="I236" s="149"/>
      <c r="J236" s="149" t="s">
        <v>23</v>
      </c>
      <c r="K236" s="149" t="s">
        <v>23</v>
      </c>
      <c r="L236" s="149">
        <f t="shared" si="12"/>
        <v>409</v>
      </c>
    </row>
    <row r="237" spans="1:12" s="147" customFormat="1">
      <c r="A237" s="147">
        <v>1991</v>
      </c>
      <c r="B237" s="149" t="s">
        <v>23</v>
      </c>
      <c r="C237" s="149" t="s">
        <v>23</v>
      </c>
      <c r="D237" s="149" t="s">
        <v>23</v>
      </c>
      <c r="E237" s="149" t="s">
        <v>23</v>
      </c>
      <c r="F237" s="149" t="s">
        <v>23</v>
      </c>
      <c r="G237" s="149" t="s">
        <v>23</v>
      </c>
      <c r="H237" s="149">
        <v>22</v>
      </c>
      <c r="I237" s="149" t="s">
        <v>23</v>
      </c>
      <c r="J237" s="149" t="s">
        <v>23</v>
      </c>
      <c r="K237" s="149" t="s">
        <v>23</v>
      </c>
      <c r="L237" s="149">
        <f t="shared" si="12"/>
        <v>22</v>
      </c>
    </row>
    <row r="238" spans="1:12" s="147" customFormat="1">
      <c r="A238" s="147">
        <v>1992</v>
      </c>
      <c r="B238" s="149" t="s">
        <v>23</v>
      </c>
      <c r="C238" s="149" t="s">
        <v>23</v>
      </c>
      <c r="D238" s="149" t="s">
        <v>23</v>
      </c>
      <c r="E238" s="149" t="s">
        <v>23</v>
      </c>
      <c r="F238" s="149" t="s">
        <v>23</v>
      </c>
      <c r="G238" s="149" t="s">
        <v>23</v>
      </c>
      <c r="H238" s="149" t="s">
        <v>23</v>
      </c>
      <c r="I238" s="149" t="s">
        <v>23</v>
      </c>
      <c r="J238" s="149" t="s">
        <v>23</v>
      </c>
      <c r="K238" s="149" t="s">
        <v>23</v>
      </c>
      <c r="L238" s="149" t="s">
        <v>23</v>
      </c>
    </row>
    <row r="239" spans="1:12" s="147" customFormat="1">
      <c r="A239" s="147">
        <v>1993</v>
      </c>
      <c r="B239" s="149" t="s">
        <v>23</v>
      </c>
      <c r="C239" s="149" t="s">
        <v>23</v>
      </c>
      <c r="D239" s="149" t="s">
        <v>23</v>
      </c>
      <c r="E239" s="149" t="s">
        <v>23</v>
      </c>
      <c r="F239" s="149" t="s">
        <v>23</v>
      </c>
      <c r="G239" s="149" t="s">
        <v>23</v>
      </c>
      <c r="H239" s="149" t="s">
        <v>23</v>
      </c>
      <c r="I239" s="149" t="s">
        <v>23</v>
      </c>
      <c r="J239" s="149" t="s">
        <v>23</v>
      </c>
      <c r="K239" s="149" t="s">
        <v>23</v>
      </c>
      <c r="L239" s="149" t="s">
        <v>23</v>
      </c>
    </row>
    <row r="240" spans="1:12" s="147" customFormat="1">
      <c r="A240" s="147">
        <v>1994</v>
      </c>
      <c r="B240" s="149" t="s">
        <v>23</v>
      </c>
      <c r="C240" s="149" t="s">
        <v>23</v>
      </c>
      <c r="D240" s="149">
        <v>44</v>
      </c>
      <c r="E240" s="149" t="s">
        <v>23</v>
      </c>
      <c r="F240" s="149" t="s">
        <v>23</v>
      </c>
      <c r="G240" s="149">
        <v>56</v>
      </c>
      <c r="H240" s="149" t="s">
        <v>23</v>
      </c>
      <c r="I240" s="149">
        <v>183</v>
      </c>
      <c r="J240" s="149" t="s">
        <v>23</v>
      </c>
      <c r="K240" s="149" t="s">
        <v>23</v>
      </c>
      <c r="L240" s="149">
        <f t="shared" si="12"/>
        <v>283</v>
      </c>
    </row>
    <row r="241" spans="1:12" s="147" customFormat="1">
      <c r="A241" s="147">
        <v>1995</v>
      </c>
      <c r="B241" s="149" t="s">
        <v>23</v>
      </c>
      <c r="C241" s="149" t="s">
        <v>23</v>
      </c>
      <c r="D241" s="149">
        <v>46</v>
      </c>
      <c r="E241" s="149" t="s">
        <v>23</v>
      </c>
      <c r="F241" s="149">
        <v>48</v>
      </c>
      <c r="G241" s="149" t="s">
        <v>23</v>
      </c>
      <c r="H241" s="149" t="s">
        <v>23</v>
      </c>
      <c r="I241" s="149">
        <v>188</v>
      </c>
      <c r="J241" s="149" t="s">
        <v>23</v>
      </c>
      <c r="K241" s="149" t="s">
        <v>23</v>
      </c>
      <c r="L241" s="149">
        <f t="shared" si="12"/>
        <v>282</v>
      </c>
    </row>
    <row r="242" spans="1:12" s="147" customFormat="1">
      <c r="A242" s="147">
        <v>1996</v>
      </c>
      <c r="B242" s="149" t="s">
        <v>23</v>
      </c>
      <c r="C242" s="149" t="s">
        <v>23</v>
      </c>
      <c r="D242" s="149">
        <v>99</v>
      </c>
      <c r="E242" s="149">
        <v>31</v>
      </c>
      <c r="F242" s="149" t="s">
        <v>23</v>
      </c>
      <c r="G242" s="149">
        <v>185</v>
      </c>
      <c r="H242" s="149" t="s">
        <v>23</v>
      </c>
      <c r="I242" s="149">
        <v>161</v>
      </c>
      <c r="J242" s="149" t="s">
        <v>23</v>
      </c>
      <c r="K242" s="149" t="s">
        <v>23</v>
      </c>
      <c r="L242" s="149">
        <f t="shared" si="12"/>
        <v>476</v>
      </c>
    </row>
    <row r="243" spans="1:12" s="147" customFormat="1">
      <c r="A243" s="147">
        <v>1997</v>
      </c>
      <c r="B243" s="149" t="s">
        <v>23</v>
      </c>
      <c r="C243" s="149">
        <v>19</v>
      </c>
      <c r="D243" s="149">
        <v>149</v>
      </c>
      <c r="E243" s="149" t="s">
        <v>23</v>
      </c>
      <c r="F243" s="149" t="s">
        <v>23</v>
      </c>
      <c r="G243" s="149">
        <v>38</v>
      </c>
      <c r="H243" s="149" t="s">
        <v>23</v>
      </c>
      <c r="I243" s="149">
        <v>169</v>
      </c>
      <c r="J243" s="149" t="s">
        <v>23</v>
      </c>
      <c r="K243" s="149" t="s">
        <v>23</v>
      </c>
      <c r="L243" s="149">
        <f t="shared" si="12"/>
        <v>375</v>
      </c>
    </row>
    <row r="244" spans="1:12" s="147" customFormat="1">
      <c r="A244" s="147">
        <v>1998</v>
      </c>
      <c r="B244" s="149" t="s">
        <v>23</v>
      </c>
      <c r="C244" s="149">
        <v>0</v>
      </c>
      <c r="D244" s="149">
        <v>22</v>
      </c>
      <c r="E244" s="149" t="s">
        <v>23</v>
      </c>
      <c r="F244" s="149" t="s">
        <v>23</v>
      </c>
      <c r="G244" s="149">
        <v>14</v>
      </c>
      <c r="H244" s="149" t="s">
        <v>23</v>
      </c>
      <c r="I244" s="149">
        <v>172</v>
      </c>
      <c r="J244" s="149" t="s">
        <v>23</v>
      </c>
      <c r="K244" s="149" t="s">
        <v>23</v>
      </c>
      <c r="L244" s="149">
        <f t="shared" si="12"/>
        <v>208</v>
      </c>
    </row>
    <row r="245" spans="1:12" s="147" customFormat="1">
      <c r="A245" s="147">
        <v>1999</v>
      </c>
      <c r="B245" s="149" t="s">
        <v>23</v>
      </c>
      <c r="C245" s="149" t="s">
        <v>23</v>
      </c>
      <c r="D245" s="149">
        <v>3</v>
      </c>
      <c r="E245" s="149" t="s">
        <v>23</v>
      </c>
      <c r="F245" s="149" t="s">
        <v>23</v>
      </c>
      <c r="G245" s="149">
        <v>78</v>
      </c>
      <c r="H245" s="149">
        <v>38</v>
      </c>
      <c r="I245" s="149">
        <v>120</v>
      </c>
      <c r="J245" s="149">
        <v>9</v>
      </c>
      <c r="K245" s="149" t="s">
        <v>23</v>
      </c>
      <c r="L245" s="149">
        <f t="shared" si="12"/>
        <v>248</v>
      </c>
    </row>
    <row r="246" spans="1:12" s="147" customFormat="1">
      <c r="A246" s="147">
        <v>2000</v>
      </c>
      <c r="B246" s="149" t="s">
        <v>23</v>
      </c>
      <c r="C246" s="149" t="s">
        <v>23</v>
      </c>
      <c r="D246" s="149">
        <v>4</v>
      </c>
      <c r="E246" s="149" t="s">
        <v>23</v>
      </c>
      <c r="F246" s="149" t="s">
        <v>23</v>
      </c>
      <c r="G246" s="149">
        <v>84</v>
      </c>
      <c r="H246" s="149">
        <v>56</v>
      </c>
      <c r="I246" s="149">
        <v>130</v>
      </c>
      <c r="J246" s="149" t="s">
        <v>23</v>
      </c>
      <c r="K246" s="149" t="s">
        <v>23</v>
      </c>
      <c r="L246" s="149">
        <f t="shared" si="12"/>
        <v>274</v>
      </c>
    </row>
    <row r="247" spans="1:12" s="147" customFormat="1">
      <c r="A247" s="147">
        <v>2001</v>
      </c>
      <c r="B247" s="149" t="s">
        <v>23</v>
      </c>
      <c r="C247" s="149" t="s">
        <v>23</v>
      </c>
      <c r="D247" s="149">
        <v>18</v>
      </c>
      <c r="E247" s="149">
        <v>41</v>
      </c>
      <c r="F247" s="149" t="s">
        <v>23</v>
      </c>
      <c r="G247" s="149">
        <v>150</v>
      </c>
      <c r="H247" s="149">
        <v>96</v>
      </c>
      <c r="I247" s="149">
        <v>166</v>
      </c>
      <c r="J247" s="149" t="s">
        <v>23</v>
      </c>
      <c r="K247" s="149" t="s">
        <v>23</v>
      </c>
      <c r="L247" s="149">
        <f t="shared" si="12"/>
        <v>471</v>
      </c>
    </row>
    <row r="248" spans="1:12" s="147" customFormat="1">
      <c r="A248" s="147">
        <v>2002</v>
      </c>
      <c r="B248" s="149">
        <v>3</v>
      </c>
      <c r="C248" s="149">
        <v>15</v>
      </c>
      <c r="D248" s="149">
        <v>22</v>
      </c>
      <c r="E248" s="149">
        <v>73</v>
      </c>
      <c r="F248" s="149">
        <v>82</v>
      </c>
      <c r="G248" s="149">
        <v>67</v>
      </c>
      <c r="H248" s="149">
        <v>70</v>
      </c>
      <c r="I248" s="149">
        <v>96</v>
      </c>
      <c r="J248" s="149" t="s">
        <v>23</v>
      </c>
      <c r="K248" s="149" t="s">
        <v>23</v>
      </c>
      <c r="L248" s="149">
        <f t="shared" si="12"/>
        <v>428</v>
      </c>
    </row>
    <row r="249" spans="1:12" s="147" customFormat="1">
      <c r="A249" s="147">
        <v>2003</v>
      </c>
      <c r="B249" s="149">
        <v>0</v>
      </c>
      <c r="C249" s="149">
        <v>7</v>
      </c>
      <c r="D249" s="149">
        <v>47</v>
      </c>
      <c r="E249" s="149">
        <v>70</v>
      </c>
      <c r="F249" s="149">
        <v>109</v>
      </c>
      <c r="G249" s="149">
        <v>106</v>
      </c>
      <c r="H249" s="149">
        <v>80</v>
      </c>
      <c r="I249" s="149">
        <v>107</v>
      </c>
      <c r="J249" s="149">
        <v>2</v>
      </c>
      <c r="K249" s="149" t="s">
        <v>23</v>
      </c>
      <c r="L249" s="149">
        <f t="shared" si="12"/>
        <v>528</v>
      </c>
    </row>
    <row r="250" spans="1:12" s="147" customFormat="1">
      <c r="A250" s="147">
        <v>2004</v>
      </c>
      <c r="B250" s="149">
        <v>2</v>
      </c>
      <c r="C250" s="149">
        <v>9</v>
      </c>
      <c r="D250" s="149">
        <v>73</v>
      </c>
      <c r="E250" s="149">
        <v>139</v>
      </c>
      <c r="F250" s="149">
        <v>102</v>
      </c>
      <c r="G250" s="149">
        <v>53</v>
      </c>
      <c r="H250" s="149">
        <v>61</v>
      </c>
      <c r="I250" s="149">
        <v>61</v>
      </c>
      <c r="J250" s="149">
        <v>18</v>
      </c>
      <c r="K250" s="149" t="s">
        <v>23</v>
      </c>
      <c r="L250" s="149">
        <f>SUM(B250:K250)</f>
        <v>518</v>
      </c>
    </row>
    <row r="251" spans="1:12" s="147" customFormat="1">
      <c r="A251" s="147">
        <v>2005</v>
      </c>
      <c r="B251" s="149">
        <v>6</v>
      </c>
      <c r="C251" s="149">
        <v>1</v>
      </c>
      <c r="D251" s="149" t="s">
        <v>23</v>
      </c>
      <c r="E251" s="149" t="s">
        <v>23</v>
      </c>
      <c r="F251" s="149" t="s">
        <v>23</v>
      </c>
      <c r="G251" s="149" t="s">
        <v>23</v>
      </c>
      <c r="H251" s="149">
        <v>114</v>
      </c>
      <c r="I251" s="149">
        <v>110</v>
      </c>
      <c r="J251" s="149">
        <v>18</v>
      </c>
      <c r="K251" s="149" t="s">
        <v>23</v>
      </c>
      <c r="L251" s="149">
        <f>SUM(B251:K251)</f>
        <v>249</v>
      </c>
    </row>
    <row r="252" spans="1:12" s="147" customFormat="1">
      <c r="A252" s="147">
        <v>2006</v>
      </c>
      <c r="B252" s="151" t="s">
        <v>23</v>
      </c>
      <c r="C252" s="151" t="s">
        <v>23</v>
      </c>
      <c r="D252" s="151" t="s">
        <v>23</v>
      </c>
      <c r="E252" s="151" t="s">
        <v>23</v>
      </c>
      <c r="F252" s="151" t="s">
        <v>23</v>
      </c>
      <c r="G252" s="151" t="s">
        <v>23</v>
      </c>
      <c r="H252" s="151">
        <v>6</v>
      </c>
      <c r="I252" s="151">
        <v>151</v>
      </c>
      <c r="J252" s="151">
        <v>27</v>
      </c>
      <c r="K252" s="151" t="s">
        <v>23</v>
      </c>
      <c r="L252" s="149">
        <f>SUM(B252:K252)</f>
        <v>184</v>
      </c>
    </row>
    <row r="253" spans="1:12" s="147" customFormat="1">
      <c r="A253" s="147">
        <v>2007</v>
      </c>
      <c r="B253" s="151" t="s">
        <v>23</v>
      </c>
      <c r="C253" s="151">
        <v>6</v>
      </c>
      <c r="D253" s="151">
        <v>8</v>
      </c>
      <c r="E253" s="151">
        <v>138</v>
      </c>
      <c r="F253" s="151">
        <v>99</v>
      </c>
      <c r="G253" s="151">
        <v>95</v>
      </c>
      <c r="H253" s="151">
        <v>60</v>
      </c>
      <c r="I253" s="151">
        <v>47</v>
      </c>
      <c r="J253" s="151">
        <v>12</v>
      </c>
      <c r="K253" s="151" t="s">
        <v>23</v>
      </c>
      <c r="L253" s="149">
        <f>SUM(B253:K253)</f>
        <v>465</v>
      </c>
    </row>
    <row r="254" spans="1:12" s="147" customFormat="1">
      <c r="A254" s="147">
        <v>2008</v>
      </c>
      <c r="B254" s="151" t="s">
        <v>23</v>
      </c>
      <c r="C254" s="151" t="s">
        <v>23</v>
      </c>
      <c r="D254" s="151" t="s">
        <v>23</v>
      </c>
      <c r="E254" s="151" t="s">
        <v>23</v>
      </c>
      <c r="F254" s="151" t="s">
        <v>23</v>
      </c>
      <c r="G254" s="151" t="s">
        <v>23</v>
      </c>
      <c r="H254" s="151" t="s">
        <v>23</v>
      </c>
      <c r="I254" s="151">
        <v>51</v>
      </c>
      <c r="J254" s="151" t="s">
        <v>23</v>
      </c>
      <c r="K254" s="151" t="s">
        <v>23</v>
      </c>
      <c r="L254" s="149">
        <f>SUM(B254:K254)</f>
        <v>51</v>
      </c>
    </row>
    <row r="255" spans="1:12" s="147" customFormat="1">
      <c r="A255" s="147">
        <v>2009</v>
      </c>
      <c r="B255" s="151" t="s">
        <v>23</v>
      </c>
      <c r="C255" s="151" t="s">
        <v>23</v>
      </c>
      <c r="D255" s="151" t="s">
        <v>23</v>
      </c>
      <c r="E255" s="151" t="s">
        <v>23</v>
      </c>
      <c r="F255" s="151" t="s">
        <v>23</v>
      </c>
      <c r="G255" s="151" t="s">
        <v>23</v>
      </c>
      <c r="H255" s="151" t="s">
        <v>23</v>
      </c>
      <c r="I255" s="151" t="s">
        <v>23</v>
      </c>
      <c r="J255" s="151" t="s">
        <v>23</v>
      </c>
      <c r="K255" s="151" t="s">
        <v>23</v>
      </c>
      <c r="L255" s="149" t="s">
        <v>23</v>
      </c>
    </row>
    <row r="256" spans="1:12" s="147" customFormat="1">
      <c r="A256" s="147">
        <v>2010</v>
      </c>
      <c r="B256" s="151" t="s">
        <v>23</v>
      </c>
      <c r="C256" s="151" t="s">
        <v>23</v>
      </c>
      <c r="D256" s="151">
        <v>43</v>
      </c>
      <c r="E256" s="151" t="s">
        <v>23</v>
      </c>
      <c r="F256" s="151">
        <f>8+13+2+3</f>
        <v>26</v>
      </c>
      <c r="G256" s="151">
        <v>40</v>
      </c>
      <c r="H256" s="151" t="s">
        <v>23</v>
      </c>
      <c r="I256" s="151">
        <f>56+16</f>
        <v>72</v>
      </c>
      <c r="J256" s="151" t="s">
        <v>23</v>
      </c>
      <c r="K256" s="151" t="s">
        <v>23</v>
      </c>
      <c r="L256" s="149">
        <f t="shared" ref="L256:L267" si="13">SUM(B256:K256)</f>
        <v>181</v>
      </c>
    </row>
    <row r="257" spans="1:12" s="147" customFormat="1">
      <c r="A257" s="147">
        <v>2011</v>
      </c>
      <c r="B257" s="151" t="s">
        <v>23</v>
      </c>
      <c r="C257" s="151" t="s">
        <v>23</v>
      </c>
      <c r="D257" s="151">
        <v>60</v>
      </c>
      <c r="E257" s="151">
        <v>60</v>
      </c>
      <c r="F257" s="151">
        <v>8</v>
      </c>
      <c r="G257" s="151">
        <v>86</v>
      </c>
      <c r="H257" s="151" t="s">
        <v>23</v>
      </c>
      <c r="I257" s="151">
        <v>75</v>
      </c>
      <c r="J257" s="151" t="s">
        <v>23</v>
      </c>
      <c r="K257" s="151" t="s">
        <v>23</v>
      </c>
      <c r="L257" s="149">
        <f t="shared" si="13"/>
        <v>289</v>
      </c>
    </row>
    <row r="258" spans="1:12" s="147" customFormat="1">
      <c r="A258" s="147">
        <v>2012</v>
      </c>
      <c r="B258" s="151" t="s">
        <v>23</v>
      </c>
      <c r="C258" s="153" t="s">
        <v>168</v>
      </c>
      <c r="D258" s="151">
        <v>23</v>
      </c>
      <c r="E258" s="151">
        <v>118</v>
      </c>
      <c r="F258" s="151">
        <v>90</v>
      </c>
      <c r="G258" s="151">
        <v>67</v>
      </c>
      <c r="H258" s="151">
        <v>43</v>
      </c>
      <c r="I258" s="151">
        <v>41</v>
      </c>
      <c r="J258" s="151" t="s">
        <v>23</v>
      </c>
      <c r="K258" s="151" t="s">
        <v>23</v>
      </c>
      <c r="L258" s="149">
        <f t="shared" si="13"/>
        <v>382</v>
      </c>
    </row>
    <row r="259" spans="1:12" s="147" customFormat="1">
      <c r="A259" s="147">
        <v>2013</v>
      </c>
      <c r="B259" s="151" t="s">
        <v>23</v>
      </c>
      <c r="C259" s="151">
        <v>13</v>
      </c>
      <c r="D259" s="151">
        <v>3</v>
      </c>
      <c r="E259" s="151">
        <v>107</v>
      </c>
      <c r="F259" s="151">
        <v>284</v>
      </c>
      <c r="G259" s="151">
        <v>208</v>
      </c>
      <c r="H259" s="151">
        <v>40</v>
      </c>
      <c r="I259" s="151">
        <v>52</v>
      </c>
      <c r="J259" s="151" t="s">
        <v>23</v>
      </c>
      <c r="K259" s="151" t="s">
        <v>23</v>
      </c>
      <c r="L259" s="149">
        <f t="shared" si="13"/>
        <v>707</v>
      </c>
    </row>
    <row r="260" spans="1:12" s="147" customFormat="1">
      <c r="A260" s="147">
        <v>2014</v>
      </c>
      <c r="B260" s="151" t="s">
        <v>23</v>
      </c>
      <c r="C260" s="151">
        <v>10</v>
      </c>
      <c r="D260" s="151">
        <v>471</v>
      </c>
      <c r="E260" s="151">
        <v>82</v>
      </c>
      <c r="F260" s="151">
        <v>38</v>
      </c>
      <c r="G260" s="151">
        <v>70</v>
      </c>
      <c r="H260" s="151">
        <v>21</v>
      </c>
      <c r="I260" s="151">
        <v>78</v>
      </c>
      <c r="J260" s="151" t="s">
        <v>23</v>
      </c>
      <c r="K260" s="151" t="s">
        <v>23</v>
      </c>
      <c r="L260" s="149">
        <f t="shared" si="13"/>
        <v>770</v>
      </c>
    </row>
    <row r="261" spans="1:12" s="147" customFormat="1">
      <c r="A261" s="147">
        <v>2015</v>
      </c>
      <c r="B261" s="151" t="s">
        <v>23</v>
      </c>
      <c r="C261" s="151">
        <v>12</v>
      </c>
      <c r="D261" s="151">
        <v>150</v>
      </c>
      <c r="E261" s="151">
        <v>100</v>
      </c>
      <c r="F261" s="151">
        <v>90</v>
      </c>
      <c r="G261" s="151">
        <v>24</v>
      </c>
      <c r="H261" s="151" t="s">
        <v>23</v>
      </c>
      <c r="I261" s="151">
        <v>144</v>
      </c>
      <c r="J261" s="151" t="s">
        <v>23</v>
      </c>
      <c r="K261" s="151" t="s">
        <v>23</v>
      </c>
      <c r="L261" s="149">
        <f t="shared" si="13"/>
        <v>520</v>
      </c>
    </row>
    <row r="262" spans="1:12" s="147" customFormat="1">
      <c r="A262" s="147">
        <v>2016</v>
      </c>
      <c r="B262" s="151" t="s">
        <v>23</v>
      </c>
      <c r="C262" s="151">
        <v>7</v>
      </c>
      <c r="D262" s="151">
        <v>13</v>
      </c>
      <c r="E262" s="151">
        <v>47</v>
      </c>
      <c r="F262" s="151">
        <v>8</v>
      </c>
      <c r="G262" s="151" t="s">
        <v>23</v>
      </c>
      <c r="H262" s="151" t="s">
        <v>23</v>
      </c>
      <c r="I262" s="151">
        <v>52</v>
      </c>
      <c r="J262" s="151" t="s">
        <v>23</v>
      </c>
      <c r="K262" s="151" t="s">
        <v>23</v>
      </c>
      <c r="L262" s="149">
        <f t="shared" si="13"/>
        <v>127</v>
      </c>
    </row>
    <row r="263" spans="1:12" s="147" customFormat="1">
      <c r="A263" s="147">
        <v>2017</v>
      </c>
      <c r="B263" s="151" t="s">
        <v>23</v>
      </c>
      <c r="C263" s="151" t="s">
        <v>23</v>
      </c>
      <c r="D263" s="151" t="s">
        <v>23</v>
      </c>
      <c r="E263" s="151" t="s">
        <v>23</v>
      </c>
      <c r="F263" s="151" t="s">
        <v>23</v>
      </c>
      <c r="G263" s="151" t="s">
        <v>23</v>
      </c>
      <c r="H263" s="151" t="s">
        <v>23</v>
      </c>
      <c r="I263" s="151">
        <v>109</v>
      </c>
      <c r="J263" s="151" t="s">
        <v>23</v>
      </c>
      <c r="K263" s="151" t="s">
        <v>23</v>
      </c>
      <c r="L263" s="149">
        <f t="shared" si="13"/>
        <v>109</v>
      </c>
    </row>
    <row r="264" spans="1:12" s="147" customFormat="1">
      <c r="A264" s="147">
        <v>2018</v>
      </c>
      <c r="B264" s="151" t="s">
        <v>23</v>
      </c>
      <c r="C264" s="151" t="s">
        <v>23</v>
      </c>
      <c r="D264" s="151">
        <v>37</v>
      </c>
      <c r="E264" s="151">
        <v>127</v>
      </c>
      <c r="F264" s="151">
        <v>123</v>
      </c>
      <c r="G264" s="151">
        <v>73</v>
      </c>
      <c r="H264" s="151" t="s">
        <v>23</v>
      </c>
      <c r="I264" s="151">
        <v>115</v>
      </c>
      <c r="J264" s="151" t="s">
        <v>23</v>
      </c>
      <c r="K264" s="151" t="s">
        <v>23</v>
      </c>
      <c r="L264" s="149">
        <f>SUM(B264:K264)</f>
        <v>475</v>
      </c>
    </row>
    <row r="265" spans="1:12" s="147" customFormat="1">
      <c r="A265" s="147">
        <v>2019</v>
      </c>
      <c r="B265" s="151" t="s">
        <v>23</v>
      </c>
      <c r="C265" s="151">
        <v>2</v>
      </c>
      <c r="D265" s="151">
        <v>7</v>
      </c>
      <c r="E265" s="151">
        <v>21</v>
      </c>
      <c r="F265" s="151">
        <v>71</v>
      </c>
      <c r="G265" s="151">
        <v>135</v>
      </c>
      <c r="H265" s="151" t="s">
        <v>23</v>
      </c>
      <c r="I265" s="151" t="s">
        <v>23</v>
      </c>
      <c r="J265" s="151" t="s">
        <v>23</v>
      </c>
      <c r="K265" s="151" t="s">
        <v>23</v>
      </c>
      <c r="L265" s="149">
        <f t="shared" ref="L265:L266" si="14">SUM(B265:K265)</f>
        <v>236</v>
      </c>
    </row>
    <row r="266" spans="1:12" s="147" customFormat="1">
      <c r="A266" s="147">
        <v>2020</v>
      </c>
      <c r="B266" s="151" t="s">
        <v>23</v>
      </c>
      <c r="C266" s="151">
        <v>1</v>
      </c>
      <c r="D266" s="151">
        <v>3</v>
      </c>
      <c r="E266" s="151">
        <v>47</v>
      </c>
      <c r="F266" s="151">
        <v>72</v>
      </c>
      <c r="G266" s="151" t="s">
        <v>23</v>
      </c>
      <c r="H266" s="151" t="s">
        <v>23</v>
      </c>
      <c r="I266" s="151" t="s">
        <v>23</v>
      </c>
      <c r="J266" s="151" t="s">
        <v>23</v>
      </c>
      <c r="K266" s="151" t="s">
        <v>23</v>
      </c>
      <c r="L266" s="149">
        <f t="shared" si="14"/>
        <v>123</v>
      </c>
    </row>
    <row r="267" spans="1:12" s="147" customFormat="1" ht="13">
      <c r="A267" s="147" t="s">
        <v>317</v>
      </c>
      <c r="B267" s="151">
        <v>1</v>
      </c>
      <c r="C267" s="151">
        <v>2</v>
      </c>
      <c r="D267" s="151">
        <v>4</v>
      </c>
      <c r="E267" s="151">
        <v>55</v>
      </c>
      <c r="F267" s="151">
        <v>56</v>
      </c>
      <c r="G267" s="151" t="s">
        <v>23</v>
      </c>
      <c r="H267" s="151" t="s">
        <v>23</v>
      </c>
      <c r="I267" s="151" t="s">
        <v>23</v>
      </c>
      <c r="J267" s="151" t="s">
        <v>23</v>
      </c>
      <c r="K267" s="151" t="s">
        <v>23</v>
      </c>
      <c r="L267" s="149">
        <f t="shared" si="13"/>
        <v>118</v>
      </c>
    </row>
    <row r="268" spans="1:12" s="200" customFormat="1">
      <c r="A268" s="95"/>
      <c r="B268" s="152"/>
      <c r="C268" s="152"/>
      <c r="D268" s="152"/>
      <c r="E268" s="152"/>
      <c r="F268" s="152"/>
      <c r="G268" s="152"/>
      <c r="H268" s="152"/>
      <c r="I268" s="152"/>
      <c r="J268" s="152"/>
      <c r="K268" s="152"/>
      <c r="L268" s="152"/>
    </row>
    <row r="269" spans="1:12" s="200" customFormat="1">
      <c r="A269" s="93" t="s">
        <v>44</v>
      </c>
      <c r="B269" s="152"/>
      <c r="C269" s="152"/>
      <c r="D269" s="152"/>
      <c r="E269" s="152"/>
      <c r="F269" s="152"/>
      <c r="G269" s="152"/>
      <c r="H269" s="152"/>
      <c r="I269" s="152"/>
      <c r="J269" s="152"/>
      <c r="K269" s="152"/>
      <c r="L269" s="152"/>
    </row>
    <row r="270" spans="1:12" s="147" customFormat="1">
      <c r="A270" s="150">
        <v>1971</v>
      </c>
      <c r="B270" s="149" t="str">
        <f t="shared" ref="B270:L270" si="15">IF(AND(B217="-",B164="-",B111="-",B58="-"),"-",SUM(B217,B164,B111,B58))</f>
        <v>-</v>
      </c>
      <c r="C270" s="149">
        <f t="shared" si="15"/>
        <v>5</v>
      </c>
      <c r="D270" s="149">
        <f t="shared" si="15"/>
        <v>382</v>
      </c>
      <c r="E270" s="149">
        <f t="shared" si="15"/>
        <v>6572</v>
      </c>
      <c r="F270" s="149">
        <f t="shared" si="15"/>
        <v>14953</v>
      </c>
      <c r="G270" s="149">
        <f t="shared" si="15"/>
        <v>14771</v>
      </c>
      <c r="H270" s="149">
        <f t="shared" si="15"/>
        <v>3209</v>
      </c>
      <c r="I270" s="149">
        <f t="shared" si="15"/>
        <v>1480</v>
      </c>
      <c r="J270" s="149" t="str">
        <f t="shared" si="15"/>
        <v>-</v>
      </c>
      <c r="K270" s="149" t="str">
        <f t="shared" si="15"/>
        <v>-</v>
      </c>
      <c r="L270" s="149">
        <f t="shared" si="15"/>
        <v>41372</v>
      </c>
    </row>
    <row r="271" spans="1:12" s="147" customFormat="1">
      <c r="A271" s="150">
        <v>1972</v>
      </c>
      <c r="B271" s="149" t="str">
        <f t="shared" ref="B271:L271" si="16">IF(AND(B218="-",B165="-",B112="-",B59="-"),"-",SUM(B218,B165,B112,B59))</f>
        <v>-</v>
      </c>
      <c r="C271" s="149">
        <f t="shared" si="16"/>
        <v>2</v>
      </c>
      <c r="D271" s="149">
        <f t="shared" si="16"/>
        <v>593</v>
      </c>
      <c r="E271" s="149">
        <f t="shared" si="16"/>
        <v>6328</v>
      </c>
      <c r="F271" s="149">
        <f t="shared" si="16"/>
        <v>14531</v>
      </c>
      <c r="G271" s="149">
        <f t="shared" si="16"/>
        <v>10426</v>
      </c>
      <c r="H271" s="149">
        <f t="shared" si="16"/>
        <v>2814</v>
      </c>
      <c r="I271" s="149">
        <f t="shared" si="16"/>
        <v>1731</v>
      </c>
      <c r="J271" s="149" t="str">
        <f t="shared" si="16"/>
        <v>-</v>
      </c>
      <c r="K271" s="149" t="str">
        <f t="shared" si="16"/>
        <v>-</v>
      </c>
      <c r="L271" s="149">
        <f t="shared" si="16"/>
        <v>36425</v>
      </c>
    </row>
    <row r="272" spans="1:12" s="147" customFormat="1">
      <c r="A272" s="150">
        <v>1973</v>
      </c>
      <c r="B272" s="149" t="str">
        <f t="shared" ref="B272:L272" si="17">IF(AND(B219="-",B166="-",B113="-",B60="-"),"-",SUM(B219,B166,B113,B60))</f>
        <v>-</v>
      </c>
      <c r="C272" s="149">
        <f t="shared" si="17"/>
        <v>54</v>
      </c>
      <c r="D272" s="149">
        <f t="shared" si="17"/>
        <v>359</v>
      </c>
      <c r="E272" s="149">
        <f t="shared" si="17"/>
        <v>5149</v>
      </c>
      <c r="F272" s="149">
        <f t="shared" si="17"/>
        <v>15734</v>
      </c>
      <c r="G272" s="149">
        <f t="shared" si="17"/>
        <v>17438</v>
      </c>
      <c r="H272" s="149">
        <f t="shared" si="17"/>
        <v>6449</v>
      </c>
      <c r="I272" s="149">
        <f t="shared" si="17"/>
        <v>4214</v>
      </c>
      <c r="J272" s="149" t="str">
        <f t="shared" si="17"/>
        <v>-</v>
      </c>
      <c r="K272" s="149" t="str">
        <f t="shared" si="17"/>
        <v>-</v>
      </c>
      <c r="L272" s="149">
        <f t="shared" si="17"/>
        <v>49397</v>
      </c>
    </row>
    <row r="273" spans="1:12" s="147" customFormat="1">
      <c r="A273" s="150">
        <v>1974</v>
      </c>
      <c r="B273" s="149" t="str">
        <f t="shared" ref="B273:L273" si="18">IF(AND(B220="-",B167="-",B114="-",B61="-"),"-",SUM(B220,B167,B114,B61))</f>
        <v>-</v>
      </c>
      <c r="C273" s="149">
        <f t="shared" si="18"/>
        <v>61</v>
      </c>
      <c r="D273" s="149">
        <f t="shared" si="18"/>
        <v>178</v>
      </c>
      <c r="E273" s="149">
        <f t="shared" si="18"/>
        <v>4723</v>
      </c>
      <c r="F273" s="149">
        <f t="shared" si="18"/>
        <v>20123</v>
      </c>
      <c r="G273" s="149">
        <f t="shared" si="18"/>
        <v>16233</v>
      </c>
      <c r="H273" s="149">
        <f t="shared" si="18"/>
        <v>6043</v>
      </c>
      <c r="I273" s="149">
        <f t="shared" si="18"/>
        <v>1566</v>
      </c>
      <c r="J273" s="149">
        <f t="shared" si="18"/>
        <v>498</v>
      </c>
      <c r="K273" s="149">
        <f t="shared" si="18"/>
        <v>57</v>
      </c>
      <c r="L273" s="149">
        <f t="shared" si="18"/>
        <v>49482</v>
      </c>
    </row>
    <row r="274" spans="1:12" s="147" customFormat="1">
      <c r="A274" s="150">
        <v>1975</v>
      </c>
      <c r="B274" s="149" t="str">
        <f t="shared" ref="B274:L274" si="19">IF(AND(B221="-",B168="-",B115="-",B62="-"),"-",SUM(B221,B168,B115,B62))</f>
        <v>-</v>
      </c>
      <c r="C274" s="149">
        <f t="shared" si="19"/>
        <v>28</v>
      </c>
      <c r="D274" s="149">
        <f t="shared" si="19"/>
        <v>246</v>
      </c>
      <c r="E274" s="149">
        <f t="shared" si="19"/>
        <v>9246</v>
      </c>
      <c r="F274" s="149">
        <f t="shared" si="19"/>
        <v>15363</v>
      </c>
      <c r="G274" s="149">
        <f t="shared" si="19"/>
        <v>11693</v>
      </c>
      <c r="H274" s="149">
        <f t="shared" si="19"/>
        <v>4827</v>
      </c>
      <c r="I274" s="149">
        <f t="shared" si="19"/>
        <v>1086</v>
      </c>
      <c r="J274" s="149">
        <f t="shared" si="19"/>
        <v>332</v>
      </c>
      <c r="K274" s="149">
        <f t="shared" si="19"/>
        <v>32</v>
      </c>
      <c r="L274" s="149">
        <f t="shared" si="19"/>
        <v>42853</v>
      </c>
    </row>
    <row r="275" spans="1:12" s="147" customFormat="1">
      <c r="A275" s="150">
        <v>1976</v>
      </c>
      <c r="B275" s="149" t="str">
        <f t="shared" ref="B275:L275" si="20">IF(AND(B222="-",B169="-",B116="-",B63="-"),"-",SUM(B222,B169,B116,B63))</f>
        <v>-</v>
      </c>
      <c r="C275" s="149" t="str">
        <f t="shared" si="20"/>
        <v>-</v>
      </c>
      <c r="D275" s="149">
        <f t="shared" si="20"/>
        <v>554</v>
      </c>
      <c r="E275" s="149">
        <f t="shared" si="20"/>
        <v>12239</v>
      </c>
      <c r="F275" s="149">
        <f t="shared" si="20"/>
        <v>25339</v>
      </c>
      <c r="G275" s="149">
        <f t="shared" si="20"/>
        <v>23412</v>
      </c>
      <c r="H275" s="149">
        <f t="shared" si="20"/>
        <v>7729</v>
      </c>
      <c r="I275" s="149">
        <f t="shared" si="20"/>
        <v>1805</v>
      </c>
      <c r="J275" s="149">
        <f t="shared" si="20"/>
        <v>253</v>
      </c>
      <c r="K275" s="149" t="str">
        <f t="shared" si="20"/>
        <v>-</v>
      </c>
      <c r="L275" s="149">
        <f t="shared" si="20"/>
        <v>71331</v>
      </c>
    </row>
    <row r="276" spans="1:12" s="147" customFormat="1">
      <c r="A276" s="150">
        <v>1977</v>
      </c>
      <c r="B276" s="149" t="str">
        <f t="shared" ref="B276:L276" si="21">IF(AND(B223="-",B170="-",B117="-",B64="-"),"-",SUM(B223,B170,B117,B64))</f>
        <v>-</v>
      </c>
      <c r="C276" s="149" t="str">
        <f t="shared" si="21"/>
        <v>-</v>
      </c>
      <c r="D276" s="149">
        <f t="shared" si="21"/>
        <v>1988</v>
      </c>
      <c r="E276" s="149">
        <f t="shared" si="21"/>
        <v>7175</v>
      </c>
      <c r="F276" s="149">
        <f t="shared" si="21"/>
        <v>46568</v>
      </c>
      <c r="G276" s="149">
        <f t="shared" si="21"/>
        <v>17425</v>
      </c>
      <c r="H276" s="149">
        <f t="shared" si="21"/>
        <v>4784</v>
      </c>
      <c r="I276" s="149">
        <f t="shared" si="21"/>
        <v>1923</v>
      </c>
      <c r="J276" s="149">
        <f t="shared" si="21"/>
        <v>901</v>
      </c>
      <c r="K276" s="149" t="str">
        <f t="shared" si="21"/>
        <v>-</v>
      </c>
      <c r="L276" s="149">
        <f t="shared" si="21"/>
        <v>80764</v>
      </c>
    </row>
    <row r="277" spans="1:12" s="147" customFormat="1">
      <c r="A277" s="150">
        <v>1978</v>
      </c>
      <c r="B277" s="149" t="str">
        <f t="shared" ref="B277:L277" si="22">IF(AND(B224="-",B171="-",B118="-",B65="-"),"-",SUM(B224,B171,B118,B65))</f>
        <v>-</v>
      </c>
      <c r="C277" s="149" t="str">
        <f t="shared" si="22"/>
        <v>-</v>
      </c>
      <c r="D277" s="149">
        <f t="shared" si="22"/>
        <v>429</v>
      </c>
      <c r="E277" s="149">
        <f t="shared" si="22"/>
        <v>8750</v>
      </c>
      <c r="F277" s="149">
        <f t="shared" si="22"/>
        <v>15289</v>
      </c>
      <c r="G277" s="149">
        <f t="shared" si="22"/>
        <v>12080</v>
      </c>
      <c r="H277" s="149">
        <f t="shared" si="22"/>
        <v>4123</v>
      </c>
      <c r="I277" s="149">
        <f t="shared" si="22"/>
        <v>2020</v>
      </c>
      <c r="J277" s="149">
        <f t="shared" si="22"/>
        <v>1017</v>
      </c>
      <c r="K277" s="149" t="str">
        <f t="shared" si="22"/>
        <v>-</v>
      </c>
      <c r="L277" s="149">
        <f t="shared" si="22"/>
        <v>43708</v>
      </c>
    </row>
    <row r="278" spans="1:12" s="147" customFormat="1">
      <c r="A278" s="150">
        <v>1979</v>
      </c>
      <c r="B278" s="149" t="str">
        <f t="shared" ref="B278:L278" si="23">IF(AND(B225="-",B172="-",B119="-",B66="-"),"-",SUM(B225,B172,B119,B66))</f>
        <v>-</v>
      </c>
      <c r="C278" s="149" t="str">
        <f t="shared" si="23"/>
        <v>-</v>
      </c>
      <c r="D278" s="149">
        <f t="shared" si="23"/>
        <v>1017</v>
      </c>
      <c r="E278" s="149">
        <f t="shared" si="23"/>
        <v>2060</v>
      </c>
      <c r="F278" s="149">
        <f t="shared" si="23"/>
        <v>19138</v>
      </c>
      <c r="G278" s="149">
        <f t="shared" si="23"/>
        <v>15964</v>
      </c>
      <c r="H278" s="149">
        <f t="shared" si="23"/>
        <v>1617</v>
      </c>
      <c r="I278" s="149">
        <f t="shared" si="23"/>
        <v>1187</v>
      </c>
      <c r="J278" s="149">
        <f t="shared" si="23"/>
        <v>203</v>
      </c>
      <c r="K278" s="149" t="str">
        <f t="shared" si="23"/>
        <v>-</v>
      </c>
      <c r="L278" s="149">
        <f t="shared" si="23"/>
        <v>41186</v>
      </c>
    </row>
    <row r="279" spans="1:12" s="147" customFormat="1">
      <c r="A279" s="150">
        <v>1980</v>
      </c>
      <c r="B279" s="149" t="str">
        <f t="shared" ref="B279:L279" si="24">IF(AND(B226="-",B173="-",B120="-",B67="-"),"-",SUM(B226,B173,B120,B67))</f>
        <v>-</v>
      </c>
      <c r="C279" s="149" t="str">
        <f t="shared" si="24"/>
        <v>-</v>
      </c>
      <c r="D279" s="149">
        <f t="shared" si="24"/>
        <v>1181</v>
      </c>
      <c r="E279" s="149">
        <f t="shared" si="24"/>
        <v>1951</v>
      </c>
      <c r="F279" s="149">
        <f t="shared" si="24"/>
        <v>7001</v>
      </c>
      <c r="G279" s="149">
        <f t="shared" si="24"/>
        <v>12818</v>
      </c>
      <c r="H279" s="149">
        <f t="shared" si="24"/>
        <v>3145</v>
      </c>
      <c r="I279" s="149">
        <f t="shared" si="24"/>
        <v>1451</v>
      </c>
      <c r="J279" s="149">
        <f t="shared" si="24"/>
        <v>513</v>
      </c>
      <c r="K279" s="149" t="str">
        <f t="shared" si="24"/>
        <v>-</v>
      </c>
      <c r="L279" s="149">
        <f t="shared" si="24"/>
        <v>28060</v>
      </c>
    </row>
    <row r="280" spans="1:12" s="147" customFormat="1">
      <c r="A280" s="150">
        <v>1981</v>
      </c>
      <c r="B280" s="149" t="str">
        <f t="shared" ref="B280:L280" si="25">IF(AND(B227="-",B174="-",B121="-",B68="-"),"-",SUM(B227,B174,B121,B68))</f>
        <v>-</v>
      </c>
      <c r="C280" s="149" t="str">
        <f t="shared" si="25"/>
        <v>-</v>
      </c>
      <c r="D280" s="149">
        <f t="shared" si="25"/>
        <v>2699</v>
      </c>
      <c r="E280" s="149">
        <f t="shared" si="25"/>
        <v>0</v>
      </c>
      <c r="F280" s="149">
        <f t="shared" si="25"/>
        <v>19945</v>
      </c>
      <c r="G280" s="149">
        <f t="shared" si="25"/>
        <v>16064</v>
      </c>
      <c r="H280" s="149">
        <f t="shared" si="25"/>
        <v>1426</v>
      </c>
      <c r="I280" s="149">
        <f t="shared" si="25"/>
        <v>1841</v>
      </c>
      <c r="J280" s="149">
        <f t="shared" si="25"/>
        <v>453</v>
      </c>
      <c r="K280" s="149" t="str">
        <f t="shared" si="25"/>
        <v>-</v>
      </c>
      <c r="L280" s="149">
        <f t="shared" si="25"/>
        <v>42428</v>
      </c>
    </row>
    <row r="281" spans="1:12" s="147" customFormat="1">
      <c r="A281" s="150">
        <v>1982</v>
      </c>
      <c r="B281" s="149" t="str">
        <f t="shared" ref="B281:L281" si="26">IF(AND(B228="-",B175="-",B122="-",B69="-"),"-",SUM(B228,B175,B122,B69))</f>
        <v>-</v>
      </c>
      <c r="C281" s="149" t="str">
        <f t="shared" si="26"/>
        <v>-</v>
      </c>
      <c r="D281" s="149">
        <f t="shared" si="26"/>
        <v>1803</v>
      </c>
      <c r="E281" s="149">
        <f t="shared" si="26"/>
        <v>1903</v>
      </c>
      <c r="F281" s="149">
        <f t="shared" si="26"/>
        <v>17568</v>
      </c>
      <c r="G281" s="149">
        <f t="shared" si="26"/>
        <v>5588</v>
      </c>
      <c r="H281" s="149">
        <f t="shared" si="26"/>
        <v>2351</v>
      </c>
      <c r="I281" s="149">
        <f t="shared" si="26"/>
        <v>1886</v>
      </c>
      <c r="J281" s="149">
        <f t="shared" si="26"/>
        <v>585</v>
      </c>
      <c r="K281" s="149" t="str">
        <f t="shared" si="26"/>
        <v>-</v>
      </c>
      <c r="L281" s="149">
        <f t="shared" si="26"/>
        <v>31684</v>
      </c>
    </row>
    <row r="282" spans="1:12" s="147" customFormat="1">
      <c r="A282" s="150">
        <v>1983</v>
      </c>
      <c r="B282" s="149" t="str">
        <f t="shared" ref="B282:L282" si="27">IF(AND(B229="-",B176="-",B123="-",B70="-"),"-",SUM(B229,B176,B123,B70))</f>
        <v>-</v>
      </c>
      <c r="C282" s="149" t="str">
        <f t="shared" si="27"/>
        <v>-</v>
      </c>
      <c r="D282" s="149">
        <f t="shared" si="27"/>
        <v>934</v>
      </c>
      <c r="E282" s="149">
        <f t="shared" si="27"/>
        <v>1640</v>
      </c>
      <c r="F282" s="149">
        <f t="shared" si="27"/>
        <v>12101</v>
      </c>
      <c r="G282" s="149">
        <f t="shared" si="27"/>
        <v>3569</v>
      </c>
      <c r="H282" s="149">
        <f t="shared" si="27"/>
        <v>983</v>
      </c>
      <c r="I282" s="149">
        <f t="shared" si="27"/>
        <v>1135</v>
      </c>
      <c r="J282" s="149">
        <f t="shared" si="27"/>
        <v>138</v>
      </c>
      <c r="K282" s="149" t="str">
        <f t="shared" si="27"/>
        <v>-</v>
      </c>
      <c r="L282" s="149">
        <f t="shared" si="27"/>
        <v>20500</v>
      </c>
    </row>
    <row r="283" spans="1:12" s="147" customFormat="1">
      <c r="A283" s="150">
        <v>1984</v>
      </c>
      <c r="B283" s="149" t="str">
        <f t="shared" ref="B283:L283" si="28">IF(AND(B230="-",B177="-",B124="-",B71="-"),"-",SUM(B230,B177,B124,B71))</f>
        <v>-</v>
      </c>
      <c r="C283" s="149" t="str">
        <f t="shared" si="28"/>
        <v>-</v>
      </c>
      <c r="D283" s="149">
        <f t="shared" si="28"/>
        <v>300</v>
      </c>
      <c r="E283" s="149">
        <f t="shared" si="28"/>
        <v>416</v>
      </c>
      <c r="F283" s="149">
        <f t="shared" si="28"/>
        <v>2056</v>
      </c>
      <c r="G283" s="149">
        <f t="shared" si="28"/>
        <v>3845</v>
      </c>
      <c r="H283" s="149">
        <f t="shared" si="28"/>
        <v>218</v>
      </c>
      <c r="I283" s="149">
        <f t="shared" si="28"/>
        <v>273</v>
      </c>
      <c r="J283" s="149">
        <f t="shared" si="28"/>
        <v>216</v>
      </c>
      <c r="K283" s="149" t="str">
        <f t="shared" si="28"/>
        <v>-</v>
      </c>
      <c r="L283" s="149">
        <f t="shared" si="28"/>
        <v>7324</v>
      </c>
    </row>
    <row r="284" spans="1:12" s="147" customFormat="1">
      <c r="A284" s="150">
        <v>1985</v>
      </c>
      <c r="B284" s="149" t="str">
        <f t="shared" ref="B284:L284" si="29">IF(AND(B231="-",B178="-",B125="-",B72="-"),"-",SUM(B231,B178,B125,B72))</f>
        <v>-</v>
      </c>
      <c r="C284" s="149" t="str">
        <f t="shared" si="29"/>
        <v>-</v>
      </c>
      <c r="D284" s="149">
        <f t="shared" si="29"/>
        <v>2654</v>
      </c>
      <c r="E284" s="149">
        <f t="shared" si="29"/>
        <v>2038</v>
      </c>
      <c r="F284" s="149">
        <f t="shared" si="29"/>
        <v>6127</v>
      </c>
      <c r="G284" s="149">
        <f t="shared" si="29"/>
        <v>6276</v>
      </c>
      <c r="H284" s="149">
        <f t="shared" si="29"/>
        <v>1863</v>
      </c>
      <c r="I284" s="149">
        <f t="shared" si="29"/>
        <v>767</v>
      </c>
      <c r="J284" s="149">
        <f t="shared" si="29"/>
        <v>340</v>
      </c>
      <c r="K284" s="149" t="str">
        <f t="shared" si="29"/>
        <v>-</v>
      </c>
      <c r="L284" s="149">
        <f t="shared" si="29"/>
        <v>20065</v>
      </c>
    </row>
    <row r="285" spans="1:12" s="147" customFormat="1">
      <c r="A285" s="147">
        <v>1986</v>
      </c>
      <c r="B285" s="149" t="str">
        <f t="shared" ref="B285:L285" si="30">IF(AND(B232="-",B179="-",B126="-",B73="-"),"-",SUM(B232,B179,B126,B73))</f>
        <v>-</v>
      </c>
      <c r="C285" s="149" t="str">
        <f t="shared" si="30"/>
        <v>-</v>
      </c>
      <c r="D285" s="149">
        <f t="shared" si="30"/>
        <v>3584</v>
      </c>
      <c r="E285" s="149">
        <f t="shared" si="30"/>
        <v>4028</v>
      </c>
      <c r="F285" s="149">
        <f t="shared" si="30"/>
        <v>14298</v>
      </c>
      <c r="G285" s="149">
        <f t="shared" si="30"/>
        <v>5983</v>
      </c>
      <c r="H285" s="149">
        <f t="shared" si="30"/>
        <v>1965</v>
      </c>
      <c r="I285" s="149">
        <f t="shared" si="30"/>
        <v>1327</v>
      </c>
      <c r="J285" s="149">
        <f t="shared" si="30"/>
        <v>131</v>
      </c>
      <c r="K285" s="149" t="str">
        <f t="shared" si="30"/>
        <v>-</v>
      </c>
      <c r="L285" s="149">
        <f t="shared" si="30"/>
        <v>31316</v>
      </c>
    </row>
    <row r="286" spans="1:12" s="147" customFormat="1">
      <c r="A286" s="147">
        <v>1987</v>
      </c>
      <c r="B286" s="149" t="str">
        <f t="shared" ref="B286:L286" si="31">IF(AND(B233="-",B180="-",B127="-",B74="-"),"-",SUM(B233,B180,B127,B74))</f>
        <v>-</v>
      </c>
      <c r="C286" s="149" t="str">
        <f t="shared" si="31"/>
        <v>-</v>
      </c>
      <c r="D286" s="149">
        <f t="shared" si="31"/>
        <v>3332</v>
      </c>
      <c r="E286" s="149">
        <f t="shared" si="31"/>
        <v>3852</v>
      </c>
      <c r="F286" s="149">
        <f t="shared" si="31"/>
        <v>16047</v>
      </c>
      <c r="G286" s="149">
        <f t="shared" si="31"/>
        <v>7259</v>
      </c>
      <c r="H286" s="149">
        <f t="shared" si="31"/>
        <v>5483</v>
      </c>
      <c r="I286" s="149">
        <f t="shared" si="31"/>
        <v>2688</v>
      </c>
      <c r="J286" s="149">
        <f t="shared" si="31"/>
        <v>311</v>
      </c>
      <c r="K286" s="149" t="str">
        <f t="shared" si="31"/>
        <v>-</v>
      </c>
      <c r="L286" s="149">
        <f t="shared" si="31"/>
        <v>38972</v>
      </c>
    </row>
    <row r="287" spans="1:12" s="147" customFormat="1">
      <c r="A287" s="147">
        <v>1988</v>
      </c>
      <c r="B287" s="149" t="str">
        <f t="shared" ref="B287:L287" si="32">IF(AND(B234="-",B181="-",B128="-",B75="-"),"-",SUM(B234,B181,B128,B75))</f>
        <v>-</v>
      </c>
      <c r="C287" s="149" t="str">
        <f t="shared" si="32"/>
        <v>-</v>
      </c>
      <c r="D287" s="149">
        <f t="shared" si="32"/>
        <v>4481</v>
      </c>
      <c r="E287" s="149">
        <f t="shared" si="32"/>
        <v>6627</v>
      </c>
      <c r="F287" s="149">
        <f t="shared" si="32"/>
        <v>16911</v>
      </c>
      <c r="G287" s="149">
        <f t="shared" si="32"/>
        <v>14043</v>
      </c>
      <c r="H287" s="149">
        <f t="shared" si="32"/>
        <v>4309</v>
      </c>
      <c r="I287" s="149">
        <f t="shared" si="32"/>
        <v>3981</v>
      </c>
      <c r="J287" s="149">
        <f t="shared" si="32"/>
        <v>227</v>
      </c>
      <c r="K287" s="149" t="str">
        <f t="shared" si="32"/>
        <v>-</v>
      </c>
      <c r="L287" s="149">
        <f t="shared" si="32"/>
        <v>50579</v>
      </c>
    </row>
    <row r="288" spans="1:12" s="147" customFormat="1">
      <c r="A288" s="147">
        <v>1989</v>
      </c>
      <c r="B288" s="149" t="str">
        <f t="shared" ref="B288:L288" si="33">IF(AND(B235="-",B182="-",B129="-",B76="-"),"-",SUM(B235,B182,B129,B76))</f>
        <v>-</v>
      </c>
      <c r="C288" s="149" t="str">
        <f t="shared" si="33"/>
        <v>-</v>
      </c>
      <c r="D288" s="149">
        <f t="shared" si="33"/>
        <v>6159</v>
      </c>
      <c r="E288" s="149">
        <f t="shared" si="33"/>
        <v>6835</v>
      </c>
      <c r="F288" s="149">
        <f t="shared" si="33"/>
        <v>13869</v>
      </c>
      <c r="G288" s="149">
        <f t="shared" si="33"/>
        <v>8182</v>
      </c>
      <c r="H288" s="149">
        <f t="shared" si="33"/>
        <v>3185</v>
      </c>
      <c r="I288" s="149">
        <f t="shared" si="33"/>
        <v>2450</v>
      </c>
      <c r="J288" s="149">
        <f t="shared" si="33"/>
        <v>497</v>
      </c>
      <c r="K288" s="149" t="str">
        <f t="shared" si="33"/>
        <v>-</v>
      </c>
      <c r="L288" s="149">
        <f t="shared" si="33"/>
        <v>41177</v>
      </c>
    </row>
    <row r="289" spans="1:12" s="147" customFormat="1">
      <c r="A289" s="147">
        <v>1990</v>
      </c>
      <c r="B289" s="149" t="str">
        <f t="shared" ref="B289:L289" si="34">IF(AND(B236="-",B183="-",B130="-",B77="-"),"-",SUM(B236,B183,B130,B77))</f>
        <v>-</v>
      </c>
      <c r="C289" s="149" t="str">
        <f t="shared" si="34"/>
        <v>-</v>
      </c>
      <c r="D289" s="149">
        <f t="shared" si="34"/>
        <v>2767</v>
      </c>
      <c r="E289" s="149">
        <f t="shared" si="34"/>
        <v>3714</v>
      </c>
      <c r="F289" s="149">
        <f t="shared" si="34"/>
        <v>9594</v>
      </c>
      <c r="G289" s="149">
        <f t="shared" si="34"/>
        <v>6817</v>
      </c>
      <c r="H289" s="149">
        <f t="shared" si="34"/>
        <v>1501</v>
      </c>
      <c r="I289" s="149">
        <f t="shared" si="34"/>
        <v>1036</v>
      </c>
      <c r="J289" s="149" t="str">
        <f t="shared" si="34"/>
        <v>-</v>
      </c>
      <c r="K289" s="149" t="str">
        <f t="shared" si="34"/>
        <v>-</v>
      </c>
      <c r="L289" s="149">
        <f t="shared" si="34"/>
        <v>25429</v>
      </c>
    </row>
    <row r="290" spans="1:12" s="147" customFormat="1">
      <c r="A290" s="147">
        <v>1991</v>
      </c>
      <c r="B290" s="149" t="str">
        <f t="shared" ref="B290:L290" si="35">IF(AND(B237="-",B184="-",B131="-",B78="-"),"-",SUM(B237,B184,B131,B78))</f>
        <v>-</v>
      </c>
      <c r="C290" s="149" t="str">
        <f t="shared" si="35"/>
        <v>-</v>
      </c>
      <c r="D290" s="149">
        <f t="shared" si="35"/>
        <v>695</v>
      </c>
      <c r="E290" s="149">
        <f t="shared" si="35"/>
        <v>3948</v>
      </c>
      <c r="F290" s="149">
        <f t="shared" si="35"/>
        <v>4102</v>
      </c>
      <c r="G290" s="149">
        <f t="shared" si="35"/>
        <v>1967</v>
      </c>
      <c r="H290" s="149">
        <f t="shared" si="35"/>
        <v>1881</v>
      </c>
      <c r="I290" s="149">
        <f t="shared" si="35"/>
        <v>1596</v>
      </c>
      <c r="J290" s="149" t="str">
        <f t="shared" si="35"/>
        <v>-</v>
      </c>
      <c r="K290" s="149" t="str">
        <f t="shared" si="35"/>
        <v>-</v>
      </c>
      <c r="L290" s="149">
        <f t="shared" si="35"/>
        <v>14189</v>
      </c>
    </row>
    <row r="291" spans="1:12" s="147" customFormat="1">
      <c r="A291" s="147">
        <v>1992</v>
      </c>
      <c r="B291" s="149" t="str">
        <f t="shared" ref="B291:L291" si="36">IF(AND(B238="-",B185="-",B132="-",B79="-"),"-",SUM(B238,B185,B132,B79))</f>
        <v>-</v>
      </c>
      <c r="C291" s="149" t="str">
        <f t="shared" si="36"/>
        <v>-</v>
      </c>
      <c r="D291" s="149">
        <f t="shared" si="36"/>
        <v>1554</v>
      </c>
      <c r="E291" s="149" t="str">
        <f t="shared" si="36"/>
        <v>-</v>
      </c>
      <c r="F291" s="149">
        <f t="shared" si="36"/>
        <v>1496</v>
      </c>
      <c r="G291" s="149">
        <f t="shared" si="36"/>
        <v>2686</v>
      </c>
      <c r="H291" s="149">
        <f t="shared" si="36"/>
        <v>1474</v>
      </c>
      <c r="I291" s="149">
        <f t="shared" si="36"/>
        <v>1684</v>
      </c>
      <c r="J291" s="149" t="str">
        <f t="shared" si="36"/>
        <v>-</v>
      </c>
      <c r="K291" s="149" t="str">
        <f t="shared" si="36"/>
        <v>-</v>
      </c>
      <c r="L291" s="149">
        <f t="shared" si="36"/>
        <v>8894</v>
      </c>
    </row>
    <row r="292" spans="1:12" s="147" customFormat="1">
      <c r="A292" s="147">
        <v>1993</v>
      </c>
      <c r="B292" s="149" t="str">
        <f t="shared" ref="B292:L292" si="37">IF(AND(B239="-",B186="-",B133="-",B80="-"),"-",SUM(B239,B186,B133,B80))</f>
        <v>-</v>
      </c>
      <c r="C292" s="149" t="str">
        <f t="shared" si="37"/>
        <v>-</v>
      </c>
      <c r="D292" s="149">
        <f t="shared" si="37"/>
        <v>2051</v>
      </c>
      <c r="E292" s="149">
        <f t="shared" si="37"/>
        <v>1311</v>
      </c>
      <c r="F292" s="149">
        <f t="shared" si="37"/>
        <v>1734</v>
      </c>
      <c r="G292" s="149">
        <f t="shared" si="37"/>
        <v>953</v>
      </c>
      <c r="H292" s="149">
        <f t="shared" si="37"/>
        <v>1822</v>
      </c>
      <c r="I292" s="149">
        <f t="shared" si="37"/>
        <v>1245</v>
      </c>
      <c r="J292" s="149">
        <f t="shared" si="37"/>
        <v>146</v>
      </c>
      <c r="K292" s="149" t="str">
        <f t="shared" si="37"/>
        <v>-</v>
      </c>
      <c r="L292" s="149">
        <f t="shared" si="37"/>
        <v>9262</v>
      </c>
    </row>
    <row r="293" spans="1:12" s="147" customFormat="1">
      <c r="A293" s="147">
        <v>1994</v>
      </c>
      <c r="B293" s="149" t="str">
        <f t="shared" ref="B293:L293" si="38">IF(AND(B240="-",B187="-",B134="-",B81="-"),"-",SUM(B240,B187,B134,B81))</f>
        <v>-</v>
      </c>
      <c r="C293" s="149" t="str">
        <f t="shared" si="38"/>
        <v>-</v>
      </c>
      <c r="D293" s="149">
        <f t="shared" si="38"/>
        <v>976</v>
      </c>
      <c r="E293" s="149">
        <f t="shared" si="38"/>
        <v>1228</v>
      </c>
      <c r="F293" s="149" t="str">
        <f t="shared" si="38"/>
        <v>-</v>
      </c>
      <c r="G293" s="149">
        <f t="shared" si="38"/>
        <v>56</v>
      </c>
      <c r="H293" s="149">
        <f t="shared" si="38"/>
        <v>268</v>
      </c>
      <c r="I293" s="149">
        <f t="shared" si="38"/>
        <v>1168</v>
      </c>
      <c r="J293" s="149">
        <f t="shared" si="38"/>
        <v>65</v>
      </c>
      <c r="K293" s="149" t="str">
        <f t="shared" si="38"/>
        <v>-</v>
      </c>
      <c r="L293" s="149">
        <f t="shared" si="38"/>
        <v>3761</v>
      </c>
    </row>
    <row r="294" spans="1:12" s="147" customFormat="1">
      <c r="A294" s="147">
        <v>1995</v>
      </c>
      <c r="B294" s="149" t="str">
        <f t="shared" ref="B294:L294" si="39">IF(AND(B241="-",B188="-",B135="-",B82="-"),"-",SUM(B241,B188,B135,B82))</f>
        <v>-</v>
      </c>
      <c r="C294" s="149" t="str">
        <f t="shared" si="39"/>
        <v>-</v>
      </c>
      <c r="D294" s="149">
        <f t="shared" si="39"/>
        <v>985</v>
      </c>
      <c r="E294" s="149">
        <f t="shared" si="39"/>
        <v>1621</v>
      </c>
      <c r="F294" s="149">
        <f t="shared" si="39"/>
        <v>48</v>
      </c>
      <c r="G294" s="149">
        <f t="shared" si="39"/>
        <v>2608</v>
      </c>
      <c r="H294" s="149">
        <f t="shared" si="39"/>
        <v>1251</v>
      </c>
      <c r="I294" s="149">
        <f t="shared" si="39"/>
        <v>1285</v>
      </c>
      <c r="J294" s="149">
        <f t="shared" si="39"/>
        <v>54</v>
      </c>
      <c r="K294" s="149" t="str">
        <f t="shared" si="39"/>
        <v>-</v>
      </c>
      <c r="L294" s="149">
        <f t="shared" si="39"/>
        <v>7852</v>
      </c>
    </row>
    <row r="295" spans="1:12" s="147" customFormat="1">
      <c r="A295" s="147">
        <v>1996</v>
      </c>
      <c r="B295" s="149" t="str">
        <f t="shared" ref="B295:L295" si="40">IF(AND(B242="-",B189="-",B136="-",B83="-"),"-",SUM(B242,B189,B136,B83))</f>
        <v>-</v>
      </c>
      <c r="C295" s="149" t="str">
        <f t="shared" si="40"/>
        <v>-</v>
      </c>
      <c r="D295" s="149">
        <f t="shared" si="40"/>
        <v>1477</v>
      </c>
      <c r="E295" s="149">
        <f t="shared" si="40"/>
        <v>2003</v>
      </c>
      <c r="F295" s="149" t="str">
        <f t="shared" si="40"/>
        <v>-</v>
      </c>
      <c r="G295" s="149">
        <f t="shared" si="40"/>
        <v>2004</v>
      </c>
      <c r="H295" s="149">
        <f t="shared" si="40"/>
        <v>1619</v>
      </c>
      <c r="I295" s="149">
        <f t="shared" si="40"/>
        <v>1202</v>
      </c>
      <c r="J295" s="149">
        <f t="shared" si="40"/>
        <v>86</v>
      </c>
      <c r="K295" s="149" t="str">
        <f t="shared" si="40"/>
        <v>-</v>
      </c>
      <c r="L295" s="149">
        <f t="shared" si="40"/>
        <v>8391</v>
      </c>
    </row>
    <row r="296" spans="1:12" s="147" customFormat="1">
      <c r="A296" s="147">
        <v>1997</v>
      </c>
      <c r="B296" s="149" t="str">
        <f t="shared" ref="B296:L296" si="41">IF(AND(B243="-",B190="-",B137="-",B84="-"),"-",SUM(B243,B190,B137,B84))</f>
        <v>-</v>
      </c>
      <c r="C296" s="149">
        <f t="shared" si="41"/>
        <v>367</v>
      </c>
      <c r="D296" s="149">
        <f t="shared" si="41"/>
        <v>2089</v>
      </c>
      <c r="E296" s="149">
        <f t="shared" si="41"/>
        <v>1875</v>
      </c>
      <c r="F296" s="149" t="str">
        <f t="shared" si="41"/>
        <v>-</v>
      </c>
      <c r="G296" s="149">
        <f t="shared" si="41"/>
        <v>1661</v>
      </c>
      <c r="H296" s="149">
        <f t="shared" si="41"/>
        <v>1033</v>
      </c>
      <c r="I296" s="149">
        <f t="shared" si="41"/>
        <v>710</v>
      </c>
      <c r="J296" s="149">
        <f t="shared" si="41"/>
        <v>67</v>
      </c>
      <c r="K296" s="149" t="str">
        <f t="shared" si="41"/>
        <v>-</v>
      </c>
      <c r="L296" s="149">
        <f t="shared" si="41"/>
        <v>7802</v>
      </c>
    </row>
    <row r="297" spans="1:12" s="147" customFormat="1">
      <c r="A297" s="147">
        <v>1998</v>
      </c>
      <c r="B297" s="149" t="str">
        <f t="shared" ref="B297:L297" si="42">IF(AND(B244="-",B191="-",B138="-",B85="-"),"-",SUM(B244,B191,B138,B85))</f>
        <v>-</v>
      </c>
      <c r="C297" s="149">
        <f t="shared" si="42"/>
        <v>851</v>
      </c>
      <c r="D297" s="149">
        <f t="shared" si="42"/>
        <v>1804</v>
      </c>
      <c r="E297" s="149">
        <f t="shared" si="42"/>
        <v>1706</v>
      </c>
      <c r="F297" s="149" t="str">
        <f t="shared" si="42"/>
        <v>-</v>
      </c>
      <c r="G297" s="149">
        <f t="shared" si="42"/>
        <v>1370</v>
      </c>
      <c r="H297" s="149">
        <f t="shared" si="42"/>
        <v>557</v>
      </c>
      <c r="I297" s="149">
        <f t="shared" si="42"/>
        <v>767</v>
      </c>
      <c r="J297" s="149">
        <f t="shared" si="42"/>
        <v>116</v>
      </c>
      <c r="K297" s="149" t="str">
        <f t="shared" si="42"/>
        <v>-</v>
      </c>
      <c r="L297" s="149">
        <f t="shared" si="42"/>
        <v>7171</v>
      </c>
    </row>
    <row r="298" spans="1:12" s="147" customFormat="1">
      <c r="A298" s="147">
        <v>1999</v>
      </c>
      <c r="B298" s="149" t="str">
        <f t="shared" ref="B298:L298" si="43">IF(AND(B245="-",B192="-",B139="-",B86="-"),"-",SUM(B245,B192,B139,B86))</f>
        <v>-</v>
      </c>
      <c r="C298" s="149">
        <f t="shared" si="43"/>
        <v>177</v>
      </c>
      <c r="D298" s="149">
        <f t="shared" si="43"/>
        <v>607</v>
      </c>
      <c r="E298" s="149">
        <f t="shared" si="43"/>
        <v>1361</v>
      </c>
      <c r="F298" s="149">
        <f t="shared" si="43"/>
        <v>733</v>
      </c>
      <c r="G298" s="149">
        <f t="shared" si="43"/>
        <v>1120</v>
      </c>
      <c r="H298" s="149">
        <f t="shared" si="43"/>
        <v>455</v>
      </c>
      <c r="I298" s="149">
        <f t="shared" si="43"/>
        <v>491</v>
      </c>
      <c r="J298" s="149">
        <f t="shared" si="43"/>
        <v>130</v>
      </c>
      <c r="K298" s="149">
        <f t="shared" si="43"/>
        <v>8</v>
      </c>
      <c r="L298" s="149">
        <f t="shared" si="43"/>
        <v>5082</v>
      </c>
    </row>
    <row r="299" spans="1:12" s="147" customFormat="1">
      <c r="A299" s="147">
        <v>2000</v>
      </c>
      <c r="B299" s="149" t="str">
        <f t="shared" ref="B299:L299" si="44">IF(AND(B246="-",B193="-",B140="-",B87="-"),"-",SUM(B246,B193,B140,B87))</f>
        <v>-</v>
      </c>
      <c r="C299" s="149">
        <f t="shared" si="44"/>
        <v>155</v>
      </c>
      <c r="D299" s="149">
        <f t="shared" si="44"/>
        <v>710</v>
      </c>
      <c r="E299" s="149">
        <f t="shared" si="44"/>
        <v>952</v>
      </c>
      <c r="F299" s="149">
        <f t="shared" si="44"/>
        <v>1186</v>
      </c>
      <c r="G299" s="149">
        <f t="shared" si="44"/>
        <v>1903</v>
      </c>
      <c r="H299" s="149">
        <f t="shared" si="44"/>
        <v>1294</v>
      </c>
      <c r="I299" s="149">
        <f t="shared" si="44"/>
        <v>760</v>
      </c>
      <c r="J299" s="149">
        <f t="shared" si="44"/>
        <v>180</v>
      </c>
      <c r="K299" s="149">
        <f t="shared" si="44"/>
        <v>69</v>
      </c>
      <c r="L299" s="149">
        <f t="shared" si="44"/>
        <v>7209</v>
      </c>
    </row>
    <row r="300" spans="1:12" s="147" customFormat="1">
      <c r="A300" s="147">
        <v>2001</v>
      </c>
      <c r="B300" s="149" t="str">
        <f t="shared" ref="B300:L300" si="45">IF(AND(B247="-",B194="-",B141="-",B88="-"),"-",SUM(B247,B194,B141,B88))</f>
        <v>-</v>
      </c>
      <c r="C300" s="149">
        <f t="shared" si="45"/>
        <v>937</v>
      </c>
      <c r="D300" s="149">
        <f t="shared" si="45"/>
        <v>2029</v>
      </c>
      <c r="E300" s="149">
        <f t="shared" si="45"/>
        <v>2021</v>
      </c>
      <c r="F300" s="149">
        <f t="shared" si="45"/>
        <v>1358</v>
      </c>
      <c r="G300" s="149">
        <f t="shared" si="45"/>
        <v>2201</v>
      </c>
      <c r="H300" s="149">
        <f t="shared" si="45"/>
        <v>1310</v>
      </c>
      <c r="I300" s="149">
        <f t="shared" si="45"/>
        <v>914</v>
      </c>
      <c r="J300" s="149">
        <f t="shared" si="45"/>
        <v>135</v>
      </c>
      <c r="K300" s="149">
        <f t="shared" si="45"/>
        <v>1</v>
      </c>
      <c r="L300" s="149">
        <f t="shared" si="45"/>
        <v>10906</v>
      </c>
    </row>
    <row r="301" spans="1:12" s="147" customFormat="1">
      <c r="A301" s="147">
        <v>2002</v>
      </c>
      <c r="B301" s="149">
        <f t="shared" ref="B301:L301" si="46">IF(AND(B248="-",B195="-",B142="-",B89="-"),"-",SUM(B248,B195,B142,B89))</f>
        <v>370</v>
      </c>
      <c r="C301" s="149">
        <f t="shared" si="46"/>
        <v>855</v>
      </c>
      <c r="D301" s="149">
        <f t="shared" si="46"/>
        <v>1734</v>
      </c>
      <c r="E301" s="149">
        <f t="shared" si="46"/>
        <v>2038</v>
      </c>
      <c r="F301" s="149">
        <f t="shared" si="46"/>
        <v>764</v>
      </c>
      <c r="G301" s="149">
        <f t="shared" si="46"/>
        <v>1360</v>
      </c>
      <c r="H301" s="149">
        <f t="shared" si="46"/>
        <v>1677</v>
      </c>
      <c r="I301" s="149">
        <f t="shared" si="46"/>
        <v>2300</v>
      </c>
      <c r="J301" s="149">
        <f t="shared" si="46"/>
        <v>158</v>
      </c>
      <c r="K301" s="149">
        <f t="shared" si="46"/>
        <v>15</v>
      </c>
      <c r="L301" s="149">
        <f t="shared" si="46"/>
        <v>11271</v>
      </c>
    </row>
    <row r="302" spans="1:12" s="147" customFormat="1">
      <c r="A302" s="147">
        <v>2003</v>
      </c>
      <c r="B302" s="149">
        <f t="shared" ref="B302:L302" si="47">IF(AND(B249="-",B196="-",B143="-",B90="-"),"-",SUM(B249,B196,B143,B90))</f>
        <v>175</v>
      </c>
      <c r="C302" s="149">
        <f t="shared" si="47"/>
        <v>1397</v>
      </c>
      <c r="D302" s="149">
        <f t="shared" si="47"/>
        <v>2904</v>
      </c>
      <c r="E302" s="149">
        <f t="shared" si="47"/>
        <v>1611</v>
      </c>
      <c r="F302" s="149">
        <f t="shared" si="47"/>
        <v>1011</v>
      </c>
      <c r="G302" s="149">
        <f t="shared" si="47"/>
        <v>1453</v>
      </c>
      <c r="H302" s="149">
        <f t="shared" si="47"/>
        <v>1745</v>
      </c>
      <c r="I302" s="149">
        <f t="shared" si="47"/>
        <v>1554</v>
      </c>
      <c r="J302" s="149">
        <f t="shared" si="47"/>
        <v>141</v>
      </c>
      <c r="K302" s="149">
        <f t="shared" si="47"/>
        <v>14</v>
      </c>
      <c r="L302" s="149">
        <f t="shared" si="47"/>
        <v>12005</v>
      </c>
    </row>
    <row r="303" spans="1:12" s="147" customFormat="1">
      <c r="A303" s="147">
        <v>2004</v>
      </c>
      <c r="B303" s="149">
        <f t="shared" ref="B303:L303" si="48">IF(AND(B250="-",B197="-",B144="-",B91="-"),"-",SUM(B250,B197,B144,B91))</f>
        <v>908</v>
      </c>
      <c r="C303" s="149">
        <f t="shared" si="48"/>
        <v>2515</v>
      </c>
      <c r="D303" s="149">
        <f t="shared" si="48"/>
        <v>2210</v>
      </c>
      <c r="E303" s="149">
        <f t="shared" si="48"/>
        <v>1958</v>
      </c>
      <c r="F303" s="149">
        <f t="shared" si="48"/>
        <v>927</v>
      </c>
      <c r="G303" s="149">
        <f t="shared" si="48"/>
        <v>1886</v>
      </c>
      <c r="H303" s="149">
        <f t="shared" si="48"/>
        <v>1420</v>
      </c>
      <c r="I303" s="149">
        <f t="shared" si="48"/>
        <v>765</v>
      </c>
      <c r="J303" s="149">
        <f t="shared" si="48"/>
        <v>247</v>
      </c>
      <c r="K303" s="149">
        <f t="shared" si="48"/>
        <v>21</v>
      </c>
      <c r="L303" s="149">
        <f t="shared" si="48"/>
        <v>12857</v>
      </c>
    </row>
    <row r="304" spans="1:12" s="147" customFormat="1">
      <c r="A304" s="147">
        <v>2005</v>
      </c>
      <c r="B304" s="149">
        <f t="shared" ref="B304:L304" si="49">IF(AND(B251="-",B198="-",B145="-",B92="-"),"-",SUM(B251,B198,B145,B92))</f>
        <v>1304</v>
      </c>
      <c r="C304" s="149">
        <f t="shared" si="49"/>
        <v>370</v>
      </c>
      <c r="D304" s="149">
        <f t="shared" si="49"/>
        <v>2832</v>
      </c>
      <c r="E304" s="149">
        <f t="shared" si="49"/>
        <v>2663</v>
      </c>
      <c r="F304" s="149" t="str">
        <f t="shared" si="49"/>
        <v>-</v>
      </c>
      <c r="G304" s="149" t="str">
        <f t="shared" si="49"/>
        <v>-</v>
      </c>
      <c r="H304" s="149">
        <f t="shared" si="49"/>
        <v>2633</v>
      </c>
      <c r="I304" s="149">
        <f t="shared" si="49"/>
        <v>1070</v>
      </c>
      <c r="J304" s="149">
        <f t="shared" si="49"/>
        <v>160</v>
      </c>
      <c r="K304" s="149">
        <f t="shared" si="49"/>
        <v>75</v>
      </c>
      <c r="L304" s="149">
        <f t="shared" si="49"/>
        <v>11107</v>
      </c>
    </row>
    <row r="305" spans="1:12" s="147" customFormat="1">
      <c r="A305" s="147">
        <v>2006</v>
      </c>
      <c r="B305" s="149" t="str">
        <f t="shared" ref="B305:L305" si="50">IF(AND(B252="-",B199="-",B146="-",B93="-"),"-",SUM(B252,B199,B146,B93))</f>
        <v>-</v>
      </c>
      <c r="C305" s="149" t="str">
        <f t="shared" si="50"/>
        <v>-</v>
      </c>
      <c r="D305" s="149" t="str">
        <f t="shared" si="50"/>
        <v>-</v>
      </c>
      <c r="E305" s="149">
        <f t="shared" si="50"/>
        <v>1017</v>
      </c>
      <c r="F305" s="149">
        <f t="shared" si="50"/>
        <v>483</v>
      </c>
      <c r="G305" s="149">
        <f t="shared" si="50"/>
        <v>185</v>
      </c>
      <c r="H305" s="149">
        <f t="shared" si="50"/>
        <v>627</v>
      </c>
      <c r="I305" s="149">
        <f t="shared" si="50"/>
        <v>874</v>
      </c>
      <c r="J305" s="149">
        <f t="shared" si="50"/>
        <v>306</v>
      </c>
      <c r="K305" s="149">
        <f t="shared" si="50"/>
        <v>26</v>
      </c>
      <c r="L305" s="149">
        <f t="shared" si="50"/>
        <v>3518</v>
      </c>
    </row>
    <row r="306" spans="1:12" s="147" customFormat="1">
      <c r="A306" s="147">
        <v>2007</v>
      </c>
      <c r="B306" s="149" t="str">
        <f t="shared" ref="B306:L306" si="51">IF(AND(B253="-",B200="-",B147="-",B94="-"),"-",SUM(B253,B200,B147,B94))</f>
        <v>-</v>
      </c>
      <c r="C306" s="149">
        <f t="shared" si="51"/>
        <v>348</v>
      </c>
      <c r="D306" s="149">
        <f t="shared" si="51"/>
        <v>1189</v>
      </c>
      <c r="E306" s="149">
        <f t="shared" si="51"/>
        <v>912</v>
      </c>
      <c r="F306" s="149">
        <f t="shared" si="51"/>
        <v>364</v>
      </c>
      <c r="G306" s="149">
        <f t="shared" si="51"/>
        <v>1246</v>
      </c>
      <c r="H306" s="149">
        <f t="shared" si="51"/>
        <v>363</v>
      </c>
      <c r="I306" s="149">
        <f t="shared" si="51"/>
        <v>291</v>
      </c>
      <c r="J306" s="149">
        <f t="shared" si="51"/>
        <v>174</v>
      </c>
      <c r="K306" s="149" t="str">
        <f t="shared" si="51"/>
        <v>-</v>
      </c>
      <c r="L306" s="149">
        <f t="shared" si="51"/>
        <v>4887</v>
      </c>
    </row>
    <row r="307" spans="1:12" s="147" customFormat="1">
      <c r="A307" s="147">
        <v>2008</v>
      </c>
      <c r="B307" s="149" t="str">
        <f t="shared" ref="B307:L307" si="52">IF(AND(B254="-",B201="-",B148="-",B95="-"),"-",SUM(B254,B201,B148,B95))</f>
        <v>-</v>
      </c>
      <c r="C307" s="149" t="str">
        <f t="shared" si="52"/>
        <v>-</v>
      </c>
      <c r="D307" s="149" t="str">
        <f t="shared" si="52"/>
        <v>-</v>
      </c>
      <c r="E307" s="149" t="str">
        <f t="shared" si="52"/>
        <v>-</v>
      </c>
      <c r="F307" s="149" t="str">
        <f t="shared" si="52"/>
        <v>-</v>
      </c>
      <c r="G307" s="149" t="str">
        <f t="shared" si="52"/>
        <v>-</v>
      </c>
      <c r="H307" s="149">
        <f t="shared" si="52"/>
        <v>37</v>
      </c>
      <c r="I307" s="149">
        <f t="shared" si="52"/>
        <v>63</v>
      </c>
      <c r="J307" s="149">
        <f t="shared" si="52"/>
        <v>48</v>
      </c>
      <c r="K307" s="149" t="str">
        <f t="shared" si="52"/>
        <v>-</v>
      </c>
      <c r="L307" s="149">
        <f t="shared" si="52"/>
        <v>148</v>
      </c>
    </row>
    <row r="308" spans="1:12" s="147" customFormat="1">
      <c r="A308" s="147">
        <v>2009</v>
      </c>
      <c r="B308" s="149" t="str">
        <f t="shared" ref="B308:I313" si="53">IF(AND(B255="-",B202="-",B149="-",B96="-"),"-",SUM(B255,B202,B149,B96))</f>
        <v>-</v>
      </c>
      <c r="C308" s="149" t="str">
        <f t="shared" si="53"/>
        <v>-</v>
      </c>
      <c r="D308" s="149" t="str">
        <f t="shared" si="53"/>
        <v>-</v>
      </c>
      <c r="E308" s="149" t="str">
        <f t="shared" si="53"/>
        <v>-</v>
      </c>
      <c r="F308" s="149" t="str">
        <f t="shared" si="53"/>
        <v>-</v>
      </c>
      <c r="G308" s="149" t="str">
        <f t="shared" si="53"/>
        <v>-</v>
      </c>
      <c r="H308" s="149">
        <f t="shared" si="53"/>
        <v>634</v>
      </c>
      <c r="I308" s="149">
        <f t="shared" si="53"/>
        <v>60</v>
      </c>
      <c r="J308" s="149" t="s">
        <v>23</v>
      </c>
      <c r="K308" s="149" t="str">
        <f t="shared" ref="K308:L318" si="54">IF(AND(K255="-",K202="-",K149="-",K96="-"),"-",SUM(K255,K202,K149,K96))</f>
        <v>-</v>
      </c>
      <c r="L308" s="149">
        <f t="shared" si="54"/>
        <v>694</v>
      </c>
    </row>
    <row r="309" spans="1:12" s="147" customFormat="1">
      <c r="A309" s="147">
        <v>2010</v>
      </c>
      <c r="B309" s="149" t="str">
        <f t="shared" si="53"/>
        <v>-</v>
      </c>
      <c r="C309" s="149" t="str">
        <f t="shared" si="53"/>
        <v>-</v>
      </c>
      <c r="D309" s="149">
        <f t="shared" si="53"/>
        <v>1058</v>
      </c>
      <c r="E309" s="149">
        <f t="shared" si="53"/>
        <v>987</v>
      </c>
      <c r="F309" s="149">
        <f t="shared" si="53"/>
        <v>594</v>
      </c>
      <c r="G309" s="149">
        <f t="shared" si="53"/>
        <v>759</v>
      </c>
      <c r="H309" s="149">
        <f t="shared" si="53"/>
        <v>37</v>
      </c>
      <c r="I309" s="149">
        <f t="shared" si="53"/>
        <v>229</v>
      </c>
      <c r="J309" s="149" t="s">
        <v>23</v>
      </c>
      <c r="K309" s="149" t="str">
        <f t="shared" si="54"/>
        <v>-</v>
      </c>
      <c r="L309" s="149">
        <f t="shared" si="54"/>
        <v>3664</v>
      </c>
    </row>
    <row r="310" spans="1:12" s="147" customFormat="1">
      <c r="A310" s="147">
        <v>2011</v>
      </c>
      <c r="B310" s="149" t="str">
        <f t="shared" si="53"/>
        <v>-</v>
      </c>
      <c r="C310" s="149">
        <f t="shared" si="53"/>
        <v>316</v>
      </c>
      <c r="D310" s="149">
        <f t="shared" si="53"/>
        <v>948</v>
      </c>
      <c r="E310" s="149">
        <f t="shared" si="53"/>
        <v>1140</v>
      </c>
      <c r="F310" s="149">
        <f t="shared" si="53"/>
        <v>108</v>
      </c>
      <c r="G310" s="149">
        <f t="shared" si="53"/>
        <v>293</v>
      </c>
      <c r="H310" s="149">
        <f t="shared" si="53"/>
        <v>122</v>
      </c>
      <c r="I310" s="149">
        <f t="shared" si="53"/>
        <v>301</v>
      </c>
      <c r="J310" s="149">
        <f t="shared" ref="J310:J318" si="55">IF(AND(J257="-",J204="-",J151="-",J98="-"),"-",SUM(J257,J204,J151,J98))</f>
        <v>235</v>
      </c>
      <c r="K310" s="149" t="str">
        <f t="shared" si="54"/>
        <v>-</v>
      </c>
      <c r="L310" s="149">
        <f t="shared" si="54"/>
        <v>3463</v>
      </c>
    </row>
    <row r="311" spans="1:12" s="147" customFormat="1">
      <c r="A311" s="147">
        <v>2012</v>
      </c>
      <c r="B311" s="149" t="str">
        <f t="shared" si="53"/>
        <v>-</v>
      </c>
      <c r="C311" s="149">
        <f t="shared" si="53"/>
        <v>522</v>
      </c>
      <c r="D311" s="149">
        <f t="shared" si="53"/>
        <v>1457</v>
      </c>
      <c r="E311" s="149">
        <f t="shared" si="53"/>
        <v>1054</v>
      </c>
      <c r="F311" s="149">
        <f t="shared" si="53"/>
        <v>336</v>
      </c>
      <c r="G311" s="149">
        <f t="shared" si="53"/>
        <v>699</v>
      </c>
      <c r="H311" s="149">
        <f t="shared" si="53"/>
        <v>930</v>
      </c>
      <c r="I311" s="149">
        <f t="shared" si="53"/>
        <v>721</v>
      </c>
      <c r="J311" s="149">
        <f t="shared" si="55"/>
        <v>121</v>
      </c>
      <c r="K311" s="149" t="str">
        <f t="shared" si="54"/>
        <v>-</v>
      </c>
      <c r="L311" s="149">
        <f t="shared" si="54"/>
        <v>5840</v>
      </c>
    </row>
    <row r="312" spans="1:12" s="147" customFormat="1">
      <c r="A312" s="147">
        <v>2013</v>
      </c>
      <c r="B312" s="149" t="str">
        <f t="shared" si="53"/>
        <v>-</v>
      </c>
      <c r="C312" s="149">
        <f t="shared" si="53"/>
        <v>1042</v>
      </c>
      <c r="D312" s="149">
        <f t="shared" si="53"/>
        <v>1137</v>
      </c>
      <c r="E312" s="149">
        <f t="shared" si="53"/>
        <v>878</v>
      </c>
      <c r="F312" s="149">
        <f t="shared" si="53"/>
        <v>802</v>
      </c>
      <c r="G312" s="149">
        <f t="shared" si="53"/>
        <v>2355</v>
      </c>
      <c r="H312" s="149">
        <f t="shared" si="53"/>
        <v>1385</v>
      </c>
      <c r="I312" s="149">
        <f t="shared" si="53"/>
        <v>945</v>
      </c>
      <c r="J312" s="149">
        <f t="shared" si="55"/>
        <v>155</v>
      </c>
      <c r="K312" s="149" t="str">
        <f t="shared" si="54"/>
        <v>-</v>
      </c>
      <c r="L312" s="149">
        <f t="shared" si="54"/>
        <v>8699</v>
      </c>
    </row>
    <row r="313" spans="1:12" s="147" customFormat="1">
      <c r="A313" s="147">
        <v>2014</v>
      </c>
      <c r="B313" s="149" t="str">
        <f t="shared" si="53"/>
        <v>-</v>
      </c>
      <c r="C313" s="149">
        <f t="shared" si="53"/>
        <v>962</v>
      </c>
      <c r="D313" s="149">
        <f t="shared" si="53"/>
        <v>2572</v>
      </c>
      <c r="E313" s="149">
        <f t="shared" si="53"/>
        <v>1800</v>
      </c>
      <c r="F313" s="149">
        <f t="shared" si="53"/>
        <v>1100</v>
      </c>
      <c r="G313" s="149">
        <f t="shared" si="53"/>
        <v>2225</v>
      </c>
      <c r="H313" s="149">
        <f t="shared" si="53"/>
        <v>763</v>
      </c>
      <c r="I313" s="149">
        <f t="shared" si="53"/>
        <v>367</v>
      </c>
      <c r="J313" s="149">
        <f t="shared" si="55"/>
        <v>98</v>
      </c>
      <c r="K313" s="149" t="str">
        <f t="shared" si="54"/>
        <v>-</v>
      </c>
      <c r="L313" s="149">
        <f t="shared" si="54"/>
        <v>9887</v>
      </c>
    </row>
    <row r="314" spans="1:12" s="147" customFormat="1">
      <c r="A314" s="147">
        <v>2015</v>
      </c>
      <c r="B314" s="149" t="s">
        <v>23</v>
      </c>
      <c r="C314" s="149">
        <f t="shared" ref="C314:I318" si="56">IF(AND(C261="-",C208="-",C155="-",C102="-"),"-",SUM(C261,C208,C155,C102))</f>
        <v>1767</v>
      </c>
      <c r="D314" s="149">
        <f t="shared" si="56"/>
        <v>1712</v>
      </c>
      <c r="E314" s="149">
        <f t="shared" si="56"/>
        <v>1349</v>
      </c>
      <c r="F314" s="149">
        <f t="shared" si="56"/>
        <v>1365</v>
      </c>
      <c r="G314" s="149">
        <f t="shared" si="56"/>
        <v>812</v>
      </c>
      <c r="H314" s="149">
        <f t="shared" si="56"/>
        <v>367</v>
      </c>
      <c r="I314" s="149">
        <f t="shared" si="56"/>
        <v>381</v>
      </c>
      <c r="J314" s="149">
        <f t="shared" si="55"/>
        <v>158</v>
      </c>
      <c r="K314" s="149" t="str">
        <f t="shared" si="54"/>
        <v>-</v>
      </c>
      <c r="L314" s="149">
        <f t="shared" si="54"/>
        <v>7911</v>
      </c>
    </row>
    <row r="315" spans="1:12" s="147" customFormat="1">
      <c r="A315" s="147">
        <v>2016</v>
      </c>
      <c r="B315" s="149" t="s">
        <v>23</v>
      </c>
      <c r="C315" s="149">
        <f t="shared" si="56"/>
        <v>895</v>
      </c>
      <c r="D315" s="149">
        <f t="shared" si="56"/>
        <v>846</v>
      </c>
      <c r="E315" s="149">
        <f t="shared" si="56"/>
        <v>682</v>
      </c>
      <c r="F315" s="149">
        <f t="shared" si="56"/>
        <v>550</v>
      </c>
      <c r="G315" s="149">
        <f t="shared" si="56"/>
        <v>634</v>
      </c>
      <c r="H315" s="149">
        <f t="shared" si="56"/>
        <v>330</v>
      </c>
      <c r="I315" s="149">
        <f t="shared" si="56"/>
        <v>189</v>
      </c>
      <c r="J315" s="149">
        <f t="shared" si="55"/>
        <v>41</v>
      </c>
      <c r="K315" s="149" t="str">
        <f t="shared" si="54"/>
        <v>-</v>
      </c>
      <c r="L315" s="149">
        <f t="shared" si="54"/>
        <v>4167</v>
      </c>
    </row>
    <row r="316" spans="1:12" s="147" customFormat="1">
      <c r="A316" s="147">
        <v>2017</v>
      </c>
      <c r="B316" s="149" t="s">
        <v>23</v>
      </c>
      <c r="C316" s="149">
        <f t="shared" si="56"/>
        <v>106</v>
      </c>
      <c r="D316" s="149">
        <f t="shared" si="56"/>
        <v>183</v>
      </c>
      <c r="E316" s="149">
        <f t="shared" si="56"/>
        <v>391</v>
      </c>
      <c r="F316" s="149">
        <f t="shared" si="56"/>
        <v>655</v>
      </c>
      <c r="G316" s="149" t="str">
        <f t="shared" si="56"/>
        <v>-</v>
      </c>
      <c r="H316" s="149">
        <f t="shared" si="56"/>
        <v>88</v>
      </c>
      <c r="I316" s="149">
        <f t="shared" si="56"/>
        <v>246</v>
      </c>
      <c r="J316" s="149">
        <f t="shared" si="55"/>
        <v>41</v>
      </c>
      <c r="K316" s="149" t="str">
        <f t="shared" si="54"/>
        <v>-</v>
      </c>
      <c r="L316" s="149">
        <f t="shared" si="54"/>
        <v>1710</v>
      </c>
    </row>
    <row r="317" spans="1:12" s="147" customFormat="1">
      <c r="A317" s="147">
        <v>2018</v>
      </c>
      <c r="B317" s="149" t="s">
        <v>23</v>
      </c>
      <c r="C317" s="149" t="str">
        <f t="shared" si="56"/>
        <v>-</v>
      </c>
      <c r="D317" s="149">
        <f t="shared" si="56"/>
        <v>385</v>
      </c>
      <c r="E317" s="149">
        <f t="shared" si="56"/>
        <v>560</v>
      </c>
      <c r="F317" s="149">
        <f t="shared" si="56"/>
        <v>410</v>
      </c>
      <c r="G317" s="149">
        <f t="shared" si="56"/>
        <v>740</v>
      </c>
      <c r="H317" s="149">
        <f t="shared" si="56"/>
        <v>80</v>
      </c>
      <c r="I317" s="149">
        <f t="shared" si="56"/>
        <v>217</v>
      </c>
      <c r="J317" s="149">
        <f t="shared" si="55"/>
        <v>83</v>
      </c>
      <c r="K317" s="149" t="str">
        <f t="shared" si="54"/>
        <v>-</v>
      </c>
      <c r="L317" s="149">
        <f t="shared" si="54"/>
        <v>2475</v>
      </c>
    </row>
    <row r="318" spans="1:12" s="147" customFormat="1">
      <c r="A318" s="147">
        <v>2019</v>
      </c>
      <c r="B318" s="149" t="s">
        <v>23</v>
      </c>
      <c r="C318" s="149">
        <f t="shared" si="56"/>
        <v>51</v>
      </c>
      <c r="D318" s="149">
        <f t="shared" si="56"/>
        <v>141</v>
      </c>
      <c r="E318" s="149">
        <f t="shared" si="56"/>
        <v>363</v>
      </c>
      <c r="F318" s="149">
        <f t="shared" si="56"/>
        <v>983</v>
      </c>
      <c r="G318" s="149">
        <f t="shared" si="56"/>
        <v>524</v>
      </c>
      <c r="H318" s="149">
        <f t="shared" si="56"/>
        <v>104</v>
      </c>
      <c r="I318" s="149">
        <f t="shared" si="56"/>
        <v>187</v>
      </c>
      <c r="J318" s="149" t="str">
        <f t="shared" si="55"/>
        <v>-</v>
      </c>
      <c r="K318" s="149" t="str">
        <f t="shared" si="54"/>
        <v>-</v>
      </c>
      <c r="L318" s="149">
        <f t="shared" si="54"/>
        <v>2353</v>
      </c>
    </row>
    <row r="319" spans="1:12" s="147" customFormat="1">
      <c r="A319" s="147">
        <v>2020</v>
      </c>
      <c r="B319" s="149" t="s">
        <v>23</v>
      </c>
      <c r="C319" s="149">
        <f t="shared" ref="C319:L320" si="57">IF(AND(C266="-",C213="-",C160="-",C107="-"),"-",SUM(C266,C213,C160,C107))</f>
        <v>137</v>
      </c>
      <c r="D319" s="149">
        <f t="shared" si="57"/>
        <v>95</v>
      </c>
      <c r="E319" s="149">
        <f t="shared" si="57"/>
        <v>414</v>
      </c>
      <c r="F319" s="149">
        <f t="shared" si="57"/>
        <v>621</v>
      </c>
      <c r="G319" s="149">
        <f t="shared" si="57"/>
        <v>249</v>
      </c>
      <c r="H319" s="149">
        <f t="shared" si="57"/>
        <v>175</v>
      </c>
      <c r="I319" s="149">
        <f t="shared" si="57"/>
        <v>212</v>
      </c>
      <c r="J319" s="149" t="str">
        <f t="shared" si="57"/>
        <v>-</v>
      </c>
      <c r="K319" s="149" t="str">
        <f t="shared" si="57"/>
        <v>-</v>
      </c>
      <c r="L319" s="149">
        <f t="shared" si="57"/>
        <v>1903</v>
      </c>
    </row>
    <row r="320" spans="1:12" s="147" customFormat="1" ht="13">
      <c r="A320" s="147" t="s">
        <v>317</v>
      </c>
      <c r="B320" s="149">
        <f t="shared" ref="B320" si="58">IF(AND(B267="-",B214="-",B161="-",B108="-"),"-",SUM(B267,B214,B161,B108))</f>
        <v>33</v>
      </c>
      <c r="C320" s="149">
        <f t="shared" si="57"/>
        <v>407</v>
      </c>
      <c r="D320" s="149">
        <f t="shared" si="57"/>
        <v>347</v>
      </c>
      <c r="E320" s="149">
        <f t="shared" si="57"/>
        <v>225</v>
      </c>
      <c r="F320" s="149">
        <f t="shared" si="57"/>
        <v>398</v>
      </c>
      <c r="G320" s="149">
        <f t="shared" si="57"/>
        <v>268</v>
      </c>
      <c r="H320" s="149">
        <f t="shared" si="57"/>
        <v>70</v>
      </c>
      <c r="I320" s="149">
        <f t="shared" si="57"/>
        <v>181</v>
      </c>
      <c r="J320" s="149" t="str">
        <f t="shared" si="57"/>
        <v>-</v>
      </c>
      <c r="K320" s="149" t="str">
        <f t="shared" si="57"/>
        <v>-</v>
      </c>
      <c r="L320" s="149">
        <f t="shared" si="57"/>
        <v>1929</v>
      </c>
    </row>
    <row r="321" spans="1:12" s="200" customFormat="1">
      <c r="A321" s="95"/>
      <c r="B321" s="152"/>
      <c r="C321" s="152"/>
      <c r="D321" s="152"/>
      <c r="E321" s="152"/>
      <c r="F321" s="152"/>
      <c r="G321" s="152"/>
      <c r="H321" s="152"/>
      <c r="I321" s="152"/>
      <c r="J321" s="152"/>
      <c r="K321" s="152"/>
      <c r="L321" s="152"/>
    </row>
    <row r="322" spans="1:12" s="200" customFormat="1">
      <c r="A322" s="93" t="s">
        <v>101</v>
      </c>
      <c r="B322" s="152"/>
      <c r="C322" s="152"/>
      <c r="D322" s="152"/>
      <c r="E322" s="152"/>
      <c r="F322" s="152"/>
      <c r="G322" s="152"/>
      <c r="H322" s="152"/>
      <c r="I322" s="152"/>
      <c r="J322" s="152"/>
      <c r="K322" s="152"/>
      <c r="L322" s="152"/>
    </row>
    <row r="323" spans="1:12" s="147" customFormat="1">
      <c r="A323" s="150">
        <v>1971</v>
      </c>
      <c r="B323" s="149" t="str">
        <f t="shared" ref="B323:L323" si="59">IF(AND(B5="-",B270="-"),"-",SUM(B5,B270))</f>
        <v>-</v>
      </c>
      <c r="C323" s="149">
        <f t="shared" si="59"/>
        <v>19</v>
      </c>
      <c r="D323" s="149">
        <f t="shared" si="59"/>
        <v>566</v>
      </c>
      <c r="E323" s="149">
        <f t="shared" si="59"/>
        <v>7111</v>
      </c>
      <c r="F323" s="149">
        <f t="shared" si="59"/>
        <v>15550</v>
      </c>
      <c r="G323" s="149">
        <f t="shared" si="59"/>
        <v>15481</v>
      </c>
      <c r="H323" s="149">
        <f t="shared" si="59"/>
        <v>3708</v>
      </c>
      <c r="I323" s="149">
        <f t="shared" si="59"/>
        <v>1565</v>
      </c>
      <c r="J323" s="149" t="str">
        <f t="shared" si="59"/>
        <v>-</v>
      </c>
      <c r="K323" s="149" t="str">
        <f t="shared" si="59"/>
        <v>-</v>
      </c>
      <c r="L323" s="149">
        <f t="shared" si="59"/>
        <v>44000</v>
      </c>
    </row>
    <row r="324" spans="1:12" s="147" customFormat="1">
      <c r="A324" s="150">
        <v>1972</v>
      </c>
      <c r="B324" s="149" t="str">
        <f t="shared" ref="B324:L324" si="60">IF(AND(B6="-",B271="-"),"-",SUM(B6,B271))</f>
        <v>-</v>
      </c>
      <c r="C324" s="149">
        <f t="shared" si="60"/>
        <v>5</v>
      </c>
      <c r="D324" s="149">
        <f t="shared" si="60"/>
        <v>738</v>
      </c>
      <c r="E324" s="149">
        <f t="shared" si="60"/>
        <v>6657</v>
      </c>
      <c r="F324" s="149">
        <f t="shared" si="60"/>
        <v>15017</v>
      </c>
      <c r="G324" s="149">
        <f t="shared" si="60"/>
        <v>11013</v>
      </c>
      <c r="H324" s="149">
        <f t="shared" si="60"/>
        <v>3208</v>
      </c>
      <c r="I324" s="149">
        <f t="shared" si="60"/>
        <v>1742</v>
      </c>
      <c r="J324" s="149" t="str">
        <f t="shared" si="60"/>
        <v>-</v>
      </c>
      <c r="K324" s="149" t="str">
        <f t="shared" si="60"/>
        <v>-</v>
      </c>
      <c r="L324" s="149">
        <f t="shared" si="60"/>
        <v>38380</v>
      </c>
    </row>
    <row r="325" spans="1:12" s="147" customFormat="1">
      <c r="A325" s="150">
        <v>1973</v>
      </c>
      <c r="B325" s="149" t="str">
        <f t="shared" ref="B325:L325" si="61">IF(AND(B7="-",B272="-"),"-",SUM(B7,B272))</f>
        <v>-</v>
      </c>
      <c r="C325" s="149">
        <f t="shared" si="61"/>
        <v>103</v>
      </c>
      <c r="D325" s="149">
        <f t="shared" si="61"/>
        <v>502</v>
      </c>
      <c r="E325" s="149">
        <f t="shared" si="61"/>
        <v>5496</v>
      </c>
      <c r="F325" s="149">
        <f t="shared" si="61"/>
        <v>16143</v>
      </c>
      <c r="G325" s="149">
        <f t="shared" si="61"/>
        <v>17774</v>
      </c>
      <c r="H325" s="149">
        <f t="shared" si="61"/>
        <v>6583</v>
      </c>
      <c r="I325" s="149">
        <f t="shared" si="61"/>
        <v>4266</v>
      </c>
      <c r="J325" s="149" t="str">
        <f t="shared" si="61"/>
        <v>-</v>
      </c>
      <c r="K325" s="149" t="str">
        <f t="shared" si="61"/>
        <v>-</v>
      </c>
      <c r="L325" s="149">
        <f t="shared" si="61"/>
        <v>50867</v>
      </c>
    </row>
    <row r="326" spans="1:12" s="147" customFormat="1">
      <c r="A326" s="150">
        <v>1974</v>
      </c>
      <c r="B326" s="149" t="str">
        <f t="shared" ref="B326:L326" si="62">IF(AND(B8="-",B273="-"),"-",SUM(B8,B273))</f>
        <v>-</v>
      </c>
      <c r="C326" s="149">
        <f t="shared" si="62"/>
        <v>97</v>
      </c>
      <c r="D326" s="149">
        <f t="shared" si="62"/>
        <v>435</v>
      </c>
      <c r="E326" s="149">
        <f t="shared" si="62"/>
        <v>4887</v>
      </c>
      <c r="F326" s="149">
        <f t="shared" si="62"/>
        <v>20579</v>
      </c>
      <c r="G326" s="149">
        <f t="shared" si="62"/>
        <v>16659</v>
      </c>
      <c r="H326" s="149">
        <f t="shared" si="62"/>
        <v>6269</v>
      </c>
      <c r="I326" s="149">
        <f t="shared" si="62"/>
        <v>1584</v>
      </c>
      <c r="J326" s="149">
        <f t="shared" si="62"/>
        <v>498</v>
      </c>
      <c r="K326" s="149">
        <f t="shared" si="62"/>
        <v>57</v>
      </c>
      <c r="L326" s="149">
        <f t="shared" si="62"/>
        <v>51065</v>
      </c>
    </row>
    <row r="327" spans="1:12" s="147" customFormat="1">
      <c r="A327" s="150">
        <v>1975</v>
      </c>
      <c r="B327" s="149" t="str">
        <f t="shared" ref="B327:L327" si="63">IF(AND(B9="-",B274="-"),"-",SUM(B9,B274))</f>
        <v>-</v>
      </c>
      <c r="C327" s="149">
        <f t="shared" si="63"/>
        <v>42</v>
      </c>
      <c r="D327" s="149">
        <f t="shared" si="63"/>
        <v>450</v>
      </c>
      <c r="E327" s="149">
        <f t="shared" si="63"/>
        <v>9625</v>
      </c>
      <c r="F327" s="149">
        <f t="shared" si="63"/>
        <v>15930</v>
      </c>
      <c r="G327" s="149">
        <f t="shared" si="63"/>
        <v>12026</v>
      </c>
      <c r="H327" s="149">
        <f t="shared" si="63"/>
        <v>5084</v>
      </c>
      <c r="I327" s="149">
        <f t="shared" si="63"/>
        <v>1106</v>
      </c>
      <c r="J327" s="149">
        <f t="shared" si="63"/>
        <v>332</v>
      </c>
      <c r="K327" s="149">
        <f t="shared" si="63"/>
        <v>32</v>
      </c>
      <c r="L327" s="149">
        <f t="shared" si="63"/>
        <v>44627</v>
      </c>
    </row>
    <row r="328" spans="1:12" s="147" customFormat="1">
      <c r="A328" s="150">
        <v>1976</v>
      </c>
      <c r="B328" s="149" t="str">
        <f t="shared" ref="B328:L328" si="64">IF(AND(B10="-",B275="-"),"-",SUM(B10,B275))</f>
        <v>-</v>
      </c>
      <c r="C328" s="149" t="str">
        <f t="shared" si="64"/>
        <v>-</v>
      </c>
      <c r="D328" s="149">
        <f t="shared" si="64"/>
        <v>939</v>
      </c>
      <c r="E328" s="149">
        <f t="shared" si="64"/>
        <v>13095</v>
      </c>
      <c r="F328" s="149">
        <f t="shared" si="64"/>
        <v>26516</v>
      </c>
      <c r="G328" s="149">
        <f t="shared" si="64"/>
        <v>24305</v>
      </c>
      <c r="H328" s="149">
        <f t="shared" si="64"/>
        <v>8373</v>
      </c>
      <c r="I328" s="149">
        <f t="shared" si="64"/>
        <v>1926</v>
      </c>
      <c r="J328" s="149">
        <f t="shared" si="64"/>
        <v>253</v>
      </c>
      <c r="K328" s="149" t="str">
        <f t="shared" si="64"/>
        <v>-</v>
      </c>
      <c r="L328" s="149">
        <f t="shared" si="64"/>
        <v>75407</v>
      </c>
    </row>
    <row r="329" spans="1:12" s="147" customFormat="1">
      <c r="A329" s="150">
        <v>1977</v>
      </c>
      <c r="B329" s="149" t="str">
        <f t="shared" ref="B329:L329" si="65">IF(AND(B11="-",B276="-"),"-",SUM(B11,B276))</f>
        <v>-</v>
      </c>
      <c r="C329" s="149" t="str">
        <f t="shared" si="65"/>
        <v>-</v>
      </c>
      <c r="D329" s="149">
        <f t="shared" si="65"/>
        <v>2307</v>
      </c>
      <c r="E329" s="149">
        <f t="shared" si="65"/>
        <v>7587</v>
      </c>
      <c r="F329" s="149">
        <f t="shared" si="65"/>
        <v>49256</v>
      </c>
      <c r="G329" s="149">
        <f t="shared" si="65"/>
        <v>17977</v>
      </c>
      <c r="H329" s="149">
        <f t="shared" si="65"/>
        <v>5045</v>
      </c>
      <c r="I329" s="149">
        <f t="shared" si="65"/>
        <v>2013</v>
      </c>
      <c r="J329" s="149">
        <f t="shared" si="65"/>
        <v>901</v>
      </c>
      <c r="K329" s="149" t="str">
        <f t="shared" si="65"/>
        <v>-</v>
      </c>
      <c r="L329" s="149">
        <f t="shared" si="65"/>
        <v>85086</v>
      </c>
    </row>
    <row r="330" spans="1:12" s="147" customFormat="1">
      <c r="A330" s="150">
        <v>1978</v>
      </c>
      <c r="B330" s="149" t="str">
        <f t="shared" ref="B330:L330" si="66">IF(AND(B12="-",B277="-"),"-",SUM(B12,B277))</f>
        <v>-</v>
      </c>
      <c r="C330" s="149" t="str">
        <f t="shared" si="66"/>
        <v>-</v>
      </c>
      <c r="D330" s="149">
        <f t="shared" si="66"/>
        <v>502</v>
      </c>
      <c r="E330" s="149">
        <f t="shared" si="66"/>
        <v>8963</v>
      </c>
      <c r="F330" s="149">
        <f t="shared" si="66"/>
        <v>16182</v>
      </c>
      <c r="G330" s="149">
        <f t="shared" si="66"/>
        <v>12627</v>
      </c>
      <c r="H330" s="149">
        <f t="shared" si="66"/>
        <v>4324</v>
      </c>
      <c r="I330" s="149">
        <f t="shared" si="66"/>
        <v>2078</v>
      </c>
      <c r="J330" s="149">
        <f t="shared" si="66"/>
        <v>1017</v>
      </c>
      <c r="K330" s="149" t="str">
        <f t="shared" si="66"/>
        <v>-</v>
      </c>
      <c r="L330" s="149">
        <f t="shared" si="66"/>
        <v>45693</v>
      </c>
    </row>
    <row r="331" spans="1:12" s="147" customFormat="1">
      <c r="A331" s="150">
        <v>1979</v>
      </c>
      <c r="B331" s="149" t="str">
        <f t="shared" ref="B331:L331" si="67">IF(AND(B13="-",B278="-"),"-",SUM(B13,B278))</f>
        <v>-</v>
      </c>
      <c r="C331" s="149" t="str">
        <f t="shared" si="67"/>
        <v>-</v>
      </c>
      <c r="D331" s="149">
        <f t="shared" si="67"/>
        <v>1119</v>
      </c>
      <c r="E331" s="149">
        <f t="shared" si="67"/>
        <v>2063</v>
      </c>
      <c r="F331" s="149">
        <f t="shared" si="67"/>
        <v>19961</v>
      </c>
      <c r="G331" s="149">
        <f t="shared" si="67"/>
        <v>17423</v>
      </c>
      <c r="H331" s="149">
        <f t="shared" si="67"/>
        <v>1646</v>
      </c>
      <c r="I331" s="149">
        <f t="shared" si="67"/>
        <v>1188</v>
      </c>
      <c r="J331" s="149">
        <f t="shared" si="67"/>
        <v>203</v>
      </c>
      <c r="K331" s="149">
        <f t="shared" si="67"/>
        <v>1</v>
      </c>
      <c r="L331" s="149">
        <f t="shared" si="67"/>
        <v>43604</v>
      </c>
    </row>
    <row r="332" spans="1:12" s="147" customFormat="1">
      <c r="A332" s="150">
        <v>1980</v>
      </c>
      <c r="B332" s="149" t="str">
        <f t="shared" ref="B332:L332" si="68">IF(AND(B14="-",B279="-"),"-",SUM(B14,B279))</f>
        <v>-</v>
      </c>
      <c r="C332" s="149" t="str">
        <f t="shared" si="68"/>
        <v>-</v>
      </c>
      <c r="D332" s="149">
        <f t="shared" si="68"/>
        <v>1325</v>
      </c>
      <c r="E332" s="149">
        <f t="shared" si="68"/>
        <v>1964</v>
      </c>
      <c r="F332" s="149">
        <f t="shared" si="68"/>
        <v>7520</v>
      </c>
      <c r="G332" s="149">
        <f t="shared" si="68"/>
        <v>13586</v>
      </c>
      <c r="H332" s="149">
        <f t="shared" si="68"/>
        <v>3266</v>
      </c>
      <c r="I332" s="149">
        <f t="shared" si="68"/>
        <v>1459</v>
      </c>
      <c r="J332" s="149">
        <f t="shared" si="68"/>
        <v>513</v>
      </c>
      <c r="K332" s="149" t="str">
        <f t="shared" si="68"/>
        <v>-</v>
      </c>
      <c r="L332" s="149">
        <f t="shared" si="68"/>
        <v>29633</v>
      </c>
    </row>
    <row r="333" spans="1:12" s="147" customFormat="1">
      <c r="A333" s="150">
        <v>1981</v>
      </c>
      <c r="B333" s="149" t="str">
        <f t="shared" ref="B333:L333" si="69">IF(AND(B15="-",B280="-"),"-",SUM(B15,B280))</f>
        <v>-</v>
      </c>
      <c r="C333" s="149" t="str">
        <f t="shared" si="69"/>
        <v>-</v>
      </c>
      <c r="D333" s="149">
        <f t="shared" si="69"/>
        <v>3217</v>
      </c>
      <c r="E333" s="149">
        <f t="shared" si="69"/>
        <v>0</v>
      </c>
      <c r="F333" s="149">
        <f t="shared" si="69"/>
        <v>21082</v>
      </c>
      <c r="G333" s="149">
        <f t="shared" si="69"/>
        <v>16828</v>
      </c>
      <c r="H333" s="149">
        <f t="shared" si="69"/>
        <v>1426</v>
      </c>
      <c r="I333" s="149">
        <f t="shared" si="69"/>
        <v>1842</v>
      </c>
      <c r="J333" s="149">
        <f t="shared" si="69"/>
        <v>453</v>
      </c>
      <c r="K333" s="149" t="str">
        <f t="shared" si="69"/>
        <v>-</v>
      </c>
      <c r="L333" s="149">
        <f t="shared" si="69"/>
        <v>44848</v>
      </c>
    </row>
    <row r="334" spans="1:12" s="147" customFormat="1">
      <c r="A334" s="150">
        <v>1982</v>
      </c>
      <c r="B334" s="149" t="str">
        <f t="shared" ref="B334:L334" si="70">IF(AND(B16="-",B281="-"),"-",SUM(B16,B281))</f>
        <v>-</v>
      </c>
      <c r="C334" s="149" t="str">
        <f t="shared" si="70"/>
        <v>-</v>
      </c>
      <c r="D334" s="149">
        <f t="shared" si="70"/>
        <v>2279</v>
      </c>
      <c r="E334" s="149">
        <f t="shared" si="70"/>
        <v>1903</v>
      </c>
      <c r="F334" s="149">
        <f t="shared" si="70"/>
        <v>17991</v>
      </c>
      <c r="G334" s="149">
        <f t="shared" si="70"/>
        <v>5588</v>
      </c>
      <c r="H334" s="149">
        <f t="shared" si="70"/>
        <v>2351</v>
      </c>
      <c r="I334" s="149">
        <f t="shared" si="70"/>
        <v>1886</v>
      </c>
      <c r="J334" s="149">
        <f t="shared" si="70"/>
        <v>585</v>
      </c>
      <c r="K334" s="149" t="str">
        <f t="shared" si="70"/>
        <v>-</v>
      </c>
      <c r="L334" s="149">
        <f t="shared" si="70"/>
        <v>32583</v>
      </c>
    </row>
    <row r="335" spans="1:12" s="147" customFormat="1">
      <c r="A335" s="150">
        <v>1983</v>
      </c>
      <c r="B335" s="149" t="str">
        <f t="shared" ref="B335:L335" si="71">IF(AND(B17="-",B282="-"),"-",SUM(B17,B282))</f>
        <v>-</v>
      </c>
      <c r="C335" s="149" t="str">
        <f t="shared" si="71"/>
        <v>-</v>
      </c>
      <c r="D335" s="149">
        <f t="shared" si="71"/>
        <v>1500</v>
      </c>
      <c r="E335" s="149">
        <f t="shared" si="71"/>
        <v>1640</v>
      </c>
      <c r="F335" s="149">
        <f t="shared" si="71"/>
        <v>12151</v>
      </c>
      <c r="G335" s="149">
        <f t="shared" si="71"/>
        <v>3810</v>
      </c>
      <c r="H335" s="149">
        <f t="shared" si="71"/>
        <v>1147</v>
      </c>
      <c r="I335" s="149">
        <f t="shared" si="71"/>
        <v>1135</v>
      </c>
      <c r="J335" s="149">
        <f t="shared" si="71"/>
        <v>138</v>
      </c>
      <c r="K335" s="149" t="str">
        <f t="shared" si="71"/>
        <v>-</v>
      </c>
      <c r="L335" s="149">
        <f t="shared" si="71"/>
        <v>21521</v>
      </c>
    </row>
    <row r="336" spans="1:12" s="147" customFormat="1">
      <c r="A336" s="150">
        <v>1984</v>
      </c>
      <c r="B336" s="149" t="str">
        <f t="shared" ref="B336:L336" si="72">IF(AND(B18="-",B283="-"),"-",SUM(B18,B283))</f>
        <v>-</v>
      </c>
      <c r="C336" s="149" t="str">
        <f t="shared" si="72"/>
        <v>-</v>
      </c>
      <c r="D336" s="149">
        <f t="shared" si="72"/>
        <v>372</v>
      </c>
      <c r="E336" s="149">
        <f t="shared" si="72"/>
        <v>416</v>
      </c>
      <c r="F336" s="149">
        <f t="shared" si="72"/>
        <v>2056</v>
      </c>
      <c r="G336" s="149">
        <f t="shared" si="72"/>
        <v>4261</v>
      </c>
      <c r="H336" s="149">
        <f t="shared" si="72"/>
        <v>218</v>
      </c>
      <c r="I336" s="149">
        <f t="shared" si="72"/>
        <v>273</v>
      </c>
      <c r="J336" s="149">
        <f t="shared" si="72"/>
        <v>216</v>
      </c>
      <c r="K336" s="149" t="str">
        <f t="shared" si="72"/>
        <v>-</v>
      </c>
      <c r="L336" s="149">
        <f t="shared" si="72"/>
        <v>7812</v>
      </c>
    </row>
    <row r="337" spans="1:12" s="147" customFormat="1">
      <c r="A337" s="150">
        <v>1985</v>
      </c>
      <c r="B337" s="149" t="str">
        <f t="shared" ref="B337:L337" si="73">IF(AND(B19="-",B284="-"),"-",SUM(B19,B284))</f>
        <v>-</v>
      </c>
      <c r="C337" s="149" t="str">
        <f t="shared" si="73"/>
        <v>-</v>
      </c>
      <c r="D337" s="149">
        <f t="shared" si="73"/>
        <v>3034</v>
      </c>
      <c r="E337" s="149">
        <f t="shared" si="73"/>
        <v>2038</v>
      </c>
      <c r="F337" s="149">
        <f t="shared" si="73"/>
        <v>6127</v>
      </c>
      <c r="G337" s="149">
        <f t="shared" si="73"/>
        <v>6546</v>
      </c>
      <c r="H337" s="149">
        <f t="shared" si="73"/>
        <v>1863</v>
      </c>
      <c r="I337" s="149">
        <f t="shared" si="73"/>
        <v>768</v>
      </c>
      <c r="J337" s="149">
        <f t="shared" si="73"/>
        <v>340</v>
      </c>
      <c r="K337" s="149" t="str">
        <f t="shared" si="73"/>
        <v>-</v>
      </c>
      <c r="L337" s="149">
        <f t="shared" si="73"/>
        <v>20716</v>
      </c>
    </row>
    <row r="338" spans="1:12" s="147" customFormat="1">
      <c r="A338" s="147">
        <v>1986</v>
      </c>
      <c r="B338" s="149" t="str">
        <f t="shared" ref="B338:L338" si="74">IF(AND(B20="-",B285="-"),"-",SUM(B20,B285))</f>
        <v>-</v>
      </c>
      <c r="C338" s="149" t="str">
        <f t="shared" si="74"/>
        <v>-</v>
      </c>
      <c r="D338" s="149">
        <f t="shared" si="74"/>
        <v>3921</v>
      </c>
      <c r="E338" s="149">
        <f t="shared" si="74"/>
        <v>4028</v>
      </c>
      <c r="F338" s="149">
        <f t="shared" si="74"/>
        <v>14298</v>
      </c>
      <c r="G338" s="149">
        <f t="shared" si="74"/>
        <v>6797</v>
      </c>
      <c r="H338" s="149">
        <f t="shared" si="74"/>
        <v>1965</v>
      </c>
      <c r="I338" s="149">
        <f t="shared" si="74"/>
        <v>1327</v>
      </c>
      <c r="J338" s="149">
        <f t="shared" si="74"/>
        <v>131</v>
      </c>
      <c r="K338" s="149" t="str">
        <f t="shared" si="74"/>
        <v>-</v>
      </c>
      <c r="L338" s="149">
        <f t="shared" si="74"/>
        <v>32467</v>
      </c>
    </row>
    <row r="339" spans="1:12" s="147" customFormat="1">
      <c r="A339" s="147">
        <v>1987</v>
      </c>
      <c r="B339" s="149" t="str">
        <f t="shared" ref="B339:L339" si="75">IF(AND(B21="-",B286="-"),"-",SUM(B21,B286))</f>
        <v>-</v>
      </c>
      <c r="C339" s="149" t="str">
        <f t="shared" si="75"/>
        <v>-</v>
      </c>
      <c r="D339" s="149">
        <f t="shared" si="75"/>
        <v>3465</v>
      </c>
      <c r="E339" s="149">
        <f t="shared" si="75"/>
        <v>3852</v>
      </c>
      <c r="F339" s="149">
        <f t="shared" si="75"/>
        <v>16230</v>
      </c>
      <c r="G339" s="149">
        <f t="shared" si="75"/>
        <v>7259</v>
      </c>
      <c r="H339" s="149">
        <f t="shared" si="75"/>
        <v>5483</v>
      </c>
      <c r="I339" s="149">
        <f t="shared" si="75"/>
        <v>2688</v>
      </c>
      <c r="J339" s="149">
        <f t="shared" si="75"/>
        <v>311</v>
      </c>
      <c r="K339" s="149" t="str">
        <f t="shared" si="75"/>
        <v>-</v>
      </c>
      <c r="L339" s="149">
        <f t="shared" si="75"/>
        <v>39288</v>
      </c>
    </row>
    <row r="340" spans="1:12" s="147" customFormat="1">
      <c r="A340" s="147">
        <v>1988</v>
      </c>
      <c r="B340" s="149" t="str">
        <f t="shared" ref="B340:L340" si="76">IF(AND(B22="-",B287="-"),"-",SUM(B22,B287))</f>
        <v>-</v>
      </c>
      <c r="C340" s="149" t="str">
        <f t="shared" si="76"/>
        <v>-</v>
      </c>
      <c r="D340" s="149">
        <f t="shared" si="76"/>
        <v>4592</v>
      </c>
      <c r="E340" s="149">
        <f t="shared" si="76"/>
        <v>6679</v>
      </c>
      <c r="F340" s="149">
        <f t="shared" si="76"/>
        <v>16911</v>
      </c>
      <c r="G340" s="149">
        <f t="shared" si="76"/>
        <v>14043</v>
      </c>
      <c r="H340" s="149">
        <f t="shared" si="76"/>
        <v>4309</v>
      </c>
      <c r="I340" s="149">
        <f t="shared" si="76"/>
        <v>3981</v>
      </c>
      <c r="J340" s="149">
        <f t="shared" si="76"/>
        <v>227</v>
      </c>
      <c r="K340" s="149" t="str">
        <f t="shared" si="76"/>
        <v>-</v>
      </c>
      <c r="L340" s="149">
        <f t="shared" si="76"/>
        <v>50742</v>
      </c>
    </row>
    <row r="341" spans="1:12" s="147" customFormat="1">
      <c r="A341" s="147">
        <v>1989</v>
      </c>
      <c r="B341" s="149" t="str">
        <f t="shared" ref="B341:L341" si="77">IF(AND(B23="-",B288="-"),"-",SUM(B23,B288))</f>
        <v>-</v>
      </c>
      <c r="C341" s="149" t="str">
        <f t="shared" si="77"/>
        <v>-</v>
      </c>
      <c r="D341" s="149">
        <f t="shared" si="77"/>
        <v>6238</v>
      </c>
      <c r="E341" s="149">
        <f t="shared" si="77"/>
        <v>6854</v>
      </c>
      <c r="F341" s="149">
        <f t="shared" si="77"/>
        <v>13869</v>
      </c>
      <c r="G341" s="149">
        <f t="shared" si="77"/>
        <v>8798</v>
      </c>
      <c r="H341" s="149">
        <f t="shared" si="77"/>
        <v>3397</v>
      </c>
      <c r="I341" s="149">
        <f t="shared" si="77"/>
        <v>2450</v>
      </c>
      <c r="J341" s="149">
        <f t="shared" si="77"/>
        <v>497</v>
      </c>
      <c r="K341" s="149" t="str">
        <f t="shared" si="77"/>
        <v>-</v>
      </c>
      <c r="L341" s="149">
        <f t="shared" si="77"/>
        <v>42103</v>
      </c>
    </row>
    <row r="342" spans="1:12" s="147" customFormat="1">
      <c r="A342" s="147">
        <v>1990</v>
      </c>
      <c r="B342" s="149" t="str">
        <f t="shared" ref="B342:L342" si="78">IF(AND(B24="-",B289="-"),"-",SUM(B24,B289))</f>
        <v>-</v>
      </c>
      <c r="C342" s="149" t="str">
        <f t="shared" si="78"/>
        <v>-</v>
      </c>
      <c r="D342" s="149">
        <f t="shared" si="78"/>
        <v>2837</v>
      </c>
      <c r="E342" s="149">
        <f t="shared" si="78"/>
        <v>3722</v>
      </c>
      <c r="F342" s="149">
        <f t="shared" si="78"/>
        <v>9594</v>
      </c>
      <c r="G342" s="149">
        <f t="shared" si="78"/>
        <v>7123</v>
      </c>
      <c r="H342" s="149">
        <f t="shared" si="78"/>
        <v>1834</v>
      </c>
      <c r="I342" s="149">
        <f t="shared" si="78"/>
        <v>1058</v>
      </c>
      <c r="J342" s="149" t="str">
        <f t="shared" si="78"/>
        <v>-</v>
      </c>
      <c r="K342" s="149" t="str">
        <f t="shared" si="78"/>
        <v>-</v>
      </c>
      <c r="L342" s="149">
        <f t="shared" si="78"/>
        <v>26168</v>
      </c>
    </row>
    <row r="343" spans="1:12" s="147" customFormat="1">
      <c r="A343" s="147">
        <v>1991</v>
      </c>
      <c r="B343" s="149" t="str">
        <f t="shared" ref="B343:L343" si="79">IF(AND(B25="-",B290="-"),"-",SUM(B25,B290))</f>
        <v>-</v>
      </c>
      <c r="C343" s="149" t="str">
        <f t="shared" si="79"/>
        <v>-</v>
      </c>
      <c r="D343" s="149">
        <f t="shared" si="79"/>
        <v>787</v>
      </c>
      <c r="E343" s="149">
        <f t="shared" si="79"/>
        <v>3957</v>
      </c>
      <c r="F343" s="149">
        <f t="shared" si="79"/>
        <v>4102</v>
      </c>
      <c r="G343" s="149">
        <f t="shared" si="79"/>
        <v>2374</v>
      </c>
      <c r="H343" s="149">
        <f t="shared" si="79"/>
        <v>2032</v>
      </c>
      <c r="I343" s="149">
        <f t="shared" si="79"/>
        <v>1596</v>
      </c>
      <c r="J343" s="149" t="str">
        <f t="shared" si="79"/>
        <v>-</v>
      </c>
      <c r="K343" s="149" t="str">
        <f t="shared" si="79"/>
        <v>-</v>
      </c>
      <c r="L343" s="149">
        <f t="shared" si="79"/>
        <v>14848</v>
      </c>
    </row>
    <row r="344" spans="1:12" s="147" customFormat="1">
      <c r="A344" s="147">
        <v>1992</v>
      </c>
      <c r="B344" s="149" t="str">
        <f t="shared" ref="B344:L344" si="80">IF(AND(B26="-",B291="-"),"-",SUM(B26,B291))</f>
        <v>-</v>
      </c>
      <c r="C344" s="149" t="str">
        <f t="shared" si="80"/>
        <v>-</v>
      </c>
      <c r="D344" s="149">
        <f t="shared" si="80"/>
        <v>1615</v>
      </c>
      <c r="E344" s="149">
        <f t="shared" si="80"/>
        <v>114</v>
      </c>
      <c r="F344" s="149">
        <f t="shared" si="80"/>
        <v>1545</v>
      </c>
      <c r="G344" s="149">
        <f t="shared" si="80"/>
        <v>2721</v>
      </c>
      <c r="H344" s="149">
        <f t="shared" si="80"/>
        <v>1474</v>
      </c>
      <c r="I344" s="149">
        <f t="shared" si="80"/>
        <v>1684</v>
      </c>
      <c r="J344" s="149" t="str">
        <f t="shared" si="80"/>
        <v>-</v>
      </c>
      <c r="K344" s="149" t="str">
        <f t="shared" si="80"/>
        <v>-</v>
      </c>
      <c r="L344" s="149">
        <f t="shared" si="80"/>
        <v>9153</v>
      </c>
    </row>
    <row r="345" spans="1:12" s="147" customFormat="1">
      <c r="A345" s="147">
        <v>1993</v>
      </c>
      <c r="B345" s="149" t="str">
        <f t="shared" ref="B345:L345" si="81">IF(AND(B27="-",B292="-"),"-",SUM(B27,B292))</f>
        <v>-</v>
      </c>
      <c r="C345" s="149" t="str">
        <f t="shared" si="81"/>
        <v>-</v>
      </c>
      <c r="D345" s="149">
        <f t="shared" si="81"/>
        <v>2073</v>
      </c>
      <c r="E345" s="149">
        <f t="shared" si="81"/>
        <v>1317</v>
      </c>
      <c r="F345" s="149">
        <f t="shared" si="81"/>
        <v>1785</v>
      </c>
      <c r="G345" s="149">
        <f t="shared" si="81"/>
        <v>1008</v>
      </c>
      <c r="H345" s="149">
        <f t="shared" si="81"/>
        <v>1893</v>
      </c>
      <c r="I345" s="149">
        <f t="shared" si="81"/>
        <v>1245</v>
      </c>
      <c r="J345" s="149">
        <f t="shared" si="81"/>
        <v>146</v>
      </c>
      <c r="K345" s="149" t="str">
        <f t="shared" si="81"/>
        <v>-</v>
      </c>
      <c r="L345" s="149">
        <f t="shared" si="81"/>
        <v>9467</v>
      </c>
    </row>
    <row r="346" spans="1:12" s="147" customFormat="1">
      <c r="A346" s="147">
        <v>1994</v>
      </c>
      <c r="B346" s="149" t="str">
        <f t="shared" ref="B346:L346" si="82">IF(AND(B28="-",B293="-"),"-",SUM(B28,B293))</f>
        <v>-</v>
      </c>
      <c r="C346" s="149" t="str">
        <f t="shared" si="82"/>
        <v>-</v>
      </c>
      <c r="D346" s="149">
        <f t="shared" si="82"/>
        <v>976</v>
      </c>
      <c r="E346" s="149">
        <f t="shared" si="82"/>
        <v>1228</v>
      </c>
      <c r="F346" s="149" t="str">
        <f t="shared" si="82"/>
        <v>-</v>
      </c>
      <c r="G346" s="149">
        <f t="shared" si="82"/>
        <v>56</v>
      </c>
      <c r="H346" s="149">
        <f t="shared" si="82"/>
        <v>268</v>
      </c>
      <c r="I346" s="149">
        <f t="shared" si="82"/>
        <v>1168</v>
      </c>
      <c r="J346" s="149">
        <f t="shared" si="82"/>
        <v>65</v>
      </c>
      <c r="K346" s="149" t="str">
        <f t="shared" si="82"/>
        <v>-</v>
      </c>
      <c r="L346" s="149">
        <f t="shared" si="82"/>
        <v>3761</v>
      </c>
    </row>
    <row r="347" spans="1:12" s="147" customFormat="1">
      <c r="A347" s="147">
        <v>1995</v>
      </c>
      <c r="B347" s="149" t="str">
        <f t="shared" ref="B347:L347" si="83">IF(AND(B29="-",B294="-"),"-",SUM(B29,B294))</f>
        <v>-</v>
      </c>
      <c r="C347" s="149" t="str">
        <f t="shared" si="83"/>
        <v>-</v>
      </c>
      <c r="D347" s="149">
        <f t="shared" si="83"/>
        <v>985</v>
      </c>
      <c r="E347" s="149">
        <f t="shared" si="83"/>
        <v>1621</v>
      </c>
      <c r="F347" s="149">
        <f t="shared" si="83"/>
        <v>48</v>
      </c>
      <c r="G347" s="149">
        <f t="shared" si="83"/>
        <v>2608</v>
      </c>
      <c r="H347" s="149">
        <f t="shared" si="83"/>
        <v>1251</v>
      </c>
      <c r="I347" s="149">
        <f t="shared" si="83"/>
        <v>1285</v>
      </c>
      <c r="J347" s="149">
        <f t="shared" si="83"/>
        <v>54</v>
      </c>
      <c r="K347" s="149" t="str">
        <f t="shared" si="83"/>
        <v>-</v>
      </c>
      <c r="L347" s="149">
        <f t="shared" si="83"/>
        <v>7852</v>
      </c>
    </row>
    <row r="348" spans="1:12" s="147" customFormat="1">
      <c r="A348" s="147">
        <v>1996</v>
      </c>
      <c r="B348" s="149" t="str">
        <f t="shared" ref="B348:L348" si="84">IF(AND(B30="-",B295="-"),"-",SUM(B30,B295))</f>
        <v>-</v>
      </c>
      <c r="C348" s="149" t="str">
        <f t="shared" si="84"/>
        <v>-</v>
      </c>
      <c r="D348" s="149">
        <f t="shared" si="84"/>
        <v>1477</v>
      </c>
      <c r="E348" s="149">
        <f t="shared" si="84"/>
        <v>2003</v>
      </c>
      <c r="F348" s="149" t="str">
        <f t="shared" si="84"/>
        <v>-</v>
      </c>
      <c r="G348" s="149">
        <f t="shared" si="84"/>
        <v>2004</v>
      </c>
      <c r="H348" s="149">
        <f t="shared" si="84"/>
        <v>1619</v>
      </c>
      <c r="I348" s="149">
        <f t="shared" si="84"/>
        <v>1202</v>
      </c>
      <c r="J348" s="149">
        <f t="shared" si="84"/>
        <v>86</v>
      </c>
      <c r="K348" s="149" t="str">
        <f t="shared" si="84"/>
        <v>-</v>
      </c>
      <c r="L348" s="149">
        <f t="shared" si="84"/>
        <v>8391</v>
      </c>
    </row>
    <row r="349" spans="1:12" s="147" customFormat="1">
      <c r="A349" s="147">
        <v>1997</v>
      </c>
      <c r="B349" s="149" t="str">
        <f t="shared" ref="B349:L349" si="85">IF(AND(B31="-",B296="-"),"-",SUM(B31,B296))</f>
        <v>-</v>
      </c>
      <c r="C349" s="149">
        <f t="shared" si="85"/>
        <v>367</v>
      </c>
      <c r="D349" s="149">
        <f t="shared" si="85"/>
        <v>2095</v>
      </c>
      <c r="E349" s="149">
        <f t="shared" si="85"/>
        <v>1877</v>
      </c>
      <c r="F349" s="149" t="str">
        <f t="shared" si="85"/>
        <v>-</v>
      </c>
      <c r="G349" s="149">
        <f t="shared" si="85"/>
        <v>1661</v>
      </c>
      <c r="H349" s="149">
        <f t="shared" si="85"/>
        <v>1033</v>
      </c>
      <c r="I349" s="149">
        <f t="shared" si="85"/>
        <v>710</v>
      </c>
      <c r="J349" s="149">
        <f t="shared" si="85"/>
        <v>67</v>
      </c>
      <c r="K349" s="149" t="str">
        <f t="shared" si="85"/>
        <v>-</v>
      </c>
      <c r="L349" s="149">
        <f t="shared" si="85"/>
        <v>7810</v>
      </c>
    </row>
    <row r="350" spans="1:12" s="147" customFormat="1">
      <c r="A350" s="147">
        <v>1998</v>
      </c>
      <c r="B350" s="149" t="str">
        <f t="shared" ref="B350:L350" si="86">IF(AND(B32="-",B297="-"),"-",SUM(B32,B297))</f>
        <v>-</v>
      </c>
      <c r="C350" s="149">
        <f t="shared" si="86"/>
        <v>851</v>
      </c>
      <c r="D350" s="149">
        <f t="shared" si="86"/>
        <v>1804</v>
      </c>
      <c r="E350" s="149">
        <f t="shared" si="86"/>
        <v>1706</v>
      </c>
      <c r="F350" s="149" t="str">
        <f t="shared" si="86"/>
        <v>-</v>
      </c>
      <c r="G350" s="149">
        <f t="shared" si="86"/>
        <v>1370</v>
      </c>
      <c r="H350" s="149">
        <f t="shared" si="86"/>
        <v>557</v>
      </c>
      <c r="I350" s="149">
        <f t="shared" si="86"/>
        <v>767</v>
      </c>
      <c r="J350" s="149">
        <f t="shared" si="86"/>
        <v>116</v>
      </c>
      <c r="K350" s="149" t="str">
        <f t="shared" si="86"/>
        <v>-</v>
      </c>
      <c r="L350" s="149">
        <f t="shared" si="86"/>
        <v>7171</v>
      </c>
    </row>
    <row r="351" spans="1:12" s="147" customFormat="1">
      <c r="A351" s="147">
        <v>1999</v>
      </c>
      <c r="B351" s="149" t="str">
        <f t="shared" ref="B351:L351" si="87">IF(AND(B33="-",B298="-"),"-",SUM(B33,B298))</f>
        <v>-</v>
      </c>
      <c r="C351" s="149">
        <f t="shared" si="87"/>
        <v>177</v>
      </c>
      <c r="D351" s="149">
        <f t="shared" si="87"/>
        <v>607</v>
      </c>
      <c r="E351" s="149">
        <f t="shared" si="87"/>
        <v>1362</v>
      </c>
      <c r="F351" s="149">
        <f t="shared" si="87"/>
        <v>733</v>
      </c>
      <c r="G351" s="149">
        <f t="shared" si="87"/>
        <v>1120</v>
      </c>
      <c r="H351" s="149">
        <f t="shared" si="87"/>
        <v>455</v>
      </c>
      <c r="I351" s="149">
        <f t="shared" si="87"/>
        <v>491</v>
      </c>
      <c r="J351" s="149">
        <f t="shared" si="87"/>
        <v>130</v>
      </c>
      <c r="K351" s="149">
        <f t="shared" si="87"/>
        <v>8</v>
      </c>
      <c r="L351" s="149">
        <f t="shared" si="87"/>
        <v>5083</v>
      </c>
    </row>
    <row r="352" spans="1:12" s="147" customFormat="1">
      <c r="A352" s="147">
        <v>2000</v>
      </c>
      <c r="B352" s="149" t="str">
        <f t="shared" ref="B352:L352" si="88">IF(AND(B34="-",B299="-"),"-",SUM(B34,B299))</f>
        <v>-</v>
      </c>
      <c r="C352" s="149">
        <f t="shared" si="88"/>
        <v>155</v>
      </c>
      <c r="D352" s="149">
        <f t="shared" si="88"/>
        <v>711</v>
      </c>
      <c r="E352" s="149">
        <f t="shared" si="88"/>
        <v>958</v>
      </c>
      <c r="F352" s="149">
        <f t="shared" si="88"/>
        <v>1186</v>
      </c>
      <c r="G352" s="149">
        <f t="shared" si="88"/>
        <v>2149</v>
      </c>
      <c r="H352" s="149">
        <f t="shared" si="88"/>
        <v>1312</v>
      </c>
      <c r="I352" s="149">
        <f t="shared" si="88"/>
        <v>760</v>
      </c>
      <c r="J352" s="149">
        <f t="shared" si="88"/>
        <v>180</v>
      </c>
      <c r="K352" s="149">
        <f t="shared" si="88"/>
        <v>69</v>
      </c>
      <c r="L352" s="149">
        <f t="shared" si="88"/>
        <v>7480</v>
      </c>
    </row>
    <row r="353" spans="1:12" s="147" customFormat="1">
      <c r="A353" s="147">
        <v>2001</v>
      </c>
      <c r="B353" s="149" t="str">
        <f t="shared" ref="B353:L353" si="89">IF(AND(B35="-",B300="-"),"-",SUM(B35,B300))</f>
        <v>-</v>
      </c>
      <c r="C353" s="149">
        <f t="shared" si="89"/>
        <v>937</v>
      </c>
      <c r="D353" s="149">
        <f t="shared" si="89"/>
        <v>2034</v>
      </c>
      <c r="E353" s="149">
        <f t="shared" si="89"/>
        <v>2047</v>
      </c>
      <c r="F353" s="149">
        <f t="shared" si="89"/>
        <v>1442</v>
      </c>
      <c r="G353" s="149">
        <f t="shared" si="89"/>
        <v>2301</v>
      </c>
      <c r="H353" s="149">
        <f t="shared" si="89"/>
        <v>1337</v>
      </c>
      <c r="I353" s="149">
        <f t="shared" si="89"/>
        <v>914</v>
      </c>
      <c r="J353" s="149">
        <f t="shared" si="89"/>
        <v>135</v>
      </c>
      <c r="K353" s="149">
        <f t="shared" si="89"/>
        <v>1</v>
      </c>
      <c r="L353" s="149">
        <f t="shared" si="89"/>
        <v>11148</v>
      </c>
    </row>
    <row r="354" spans="1:12" s="147" customFormat="1">
      <c r="A354" s="147">
        <v>2002</v>
      </c>
      <c r="B354" s="149">
        <f t="shared" ref="B354:L354" si="90">IF(AND(B36="-",B301="-"),"-",SUM(B36,B301))</f>
        <v>370</v>
      </c>
      <c r="C354" s="149">
        <f t="shared" si="90"/>
        <v>855</v>
      </c>
      <c r="D354" s="149">
        <f t="shared" si="90"/>
        <v>1758</v>
      </c>
      <c r="E354" s="149">
        <f t="shared" si="90"/>
        <v>2094</v>
      </c>
      <c r="F354" s="149">
        <f t="shared" si="90"/>
        <v>920</v>
      </c>
      <c r="G354" s="149">
        <f t="shared" si="90"/>
        <v>1554</v>
      </c>
      <c r="H354" s="149">
        <f t="shared" si="90"/>
        <v>1677</v>
      </c>
      <c r="I354" s="149">
        <f t="shared" si="90"/>
        <v>2300</v>
      </c>
      <c r="J354" s="149">
        <f t="shared" si="90"/>
        <v>158</v>
      </c>
      <c r="K354" s="149">
        <f t="shared" si="90"/>
        <v>15</v>
      </c>
      <c r="L354" s="149">
        <f t="shared" si="90"/>
        <v>11701</v>
      </c>
    </row>
    <row r="355" spans="1:12" s="147" customFormat="1">
      <c r="A355" s="147">
        <v>2003</v>
      </c>
      <c r="B355" s="149">
        <f t="shared" ref="B355:L355" si="91">IF(AND(B37="-",B302="-"),"-",SUM(B37,B302))</f>
        <v>175</v>
      </c>
      <c r="C355" s="149">
        <f t="shared" si="91"/>
        <v>1397</v>
      </c>
      <c r="D355" s="149">
        <f t="shared" si="91"/>
        <v>2999</v>
      </c>
      <c r="E355" s="149">
        <f t="shared" si="91"/>
        <v>1631</v>
      </c>
      <c r="F355" s="149">
        <f t="shared" si="91"/>
        <v>1122</v>
      </c>
      <c r="G355" s="149">
        <f t="shared" si="91"/>
        <v>1596</v>
      </c>
      <c r="H355" s="149">
        <f t="shared" si="91"/>
        <v>1789</v>
      </c>
      <c r="I355" s="149">
        <f t="shared" si="91"/>
        <v>1554</v>
      </c>
      <c r="J355" s="149">
        <f t="shared" si="91"/>
        <v>141</v>
      </c>
      <c r="K355" s="149">
        <f t="shared" si="91"/>
        <v>14</v>
      </c>
      <c r="L355" s="149">
        <f t="shared" si="91"/>
        <v>12418</v>
      </c>
    </row>
    <row r="356" spans="1:12" s="147" customFormat="1">
      <c r="A356" s="147">
        <v>2004</v>
      </c>
      <c r="B356" s="149">
        <f t="shared" ref="B356:L356" si="92">IF(AND(B38="-",B303="-"),"-",SUM(B38,B303))</f>
        <v>908</v>
      </c>
      <c r="C356" s="149">
        <f t="shared" si="92"/>
        <v>2515</v>
      </c>
      <c r="D356" s="149">
        <f t="shared" si="92"/>
        <v>2258</v>
      </c>
      <c r="E356" s="149">
        <f t="shared" si="92"/>
        <v>1959</v>
      </c>
      <c r="F356" s="149">
        <f t="shared" si="92"/>
        <v>993</v>
      </c>
      <c r="G356" s="149">
        <f t="shared" si="92"/>
        <v>1974</v>
      </c>
      <c r="H356" s="149">
        <f t="shared" si="92"/>
        <v>1564</v>
      </c>
      <c r="I356" s="149">
        <f t="shared" si="92"/>
        <v>765</v>
      </c>
      <c r="J356" s="149">
        <f t="shared" si="92"/>
        <v>247</v>
      </c>
      <c r="K356" s="149">
        <f t="shared" si="92"/>
        <v>21</v>
      </c>
      <c r="L356" s="149">
        <f t="shared" si="92"/>
        <v>13204</v>
      </c>
    </row>
    <row r="357" spans="1:12" s="147" customFormat="1">
      <c r="A357" s="147">
        <v>2005</v>
      </c>
      <c r="B357" s="149">
        <f t="shared" ref="B357:L357" si="93">IF(AND(B39="-",B304="-"),"-",SUM(B39,B304))</f>
        <v>1304</v>
      </c>
      <c r="C357" s="149">
        <f t="shared" si="93"/>
        <v>370</v>
      </c>
      <c r="D357" s="149">
        <f t="shared" si="93"/>
        <v>3048</v>
      </c>
      <c r="E357" s="149">
        <f t="shared" si="93"/>
        <v>2699</v>
      </c>
      <c r="F357" s="149">
        <f t="shared" si="93"/>
        <v>30</v>
      </c>
      <c r="G357" s="149">
        <f t="shared" si="93"/>
        <v>234</v>
      </c>
      <c r="H357" s="149">
        <f t="shared" si="93"/>
        <v>2633</v>
      </c>
      <c r="I357" s="149">
        <f t="shared" si="93"/>
        <v>1070</v>
      </c>
      <c r="J357" s="149">
        <f t="shared" si="93"/>
        <v>160</v>
      </c>
      <c r="K357" s="149">
        <f t="shared" si="93"/>
        <v>75</v>
      </c>
      <c r="L357" s="149">
        <f t="shared" si="93"/>
        <v>11623</v>
      </c>
    </row>
    <row r="358" spans="1:12" s="147" customFormat="1">
      <c r="A358" s="147">
        <v>2006</v>
      </c>
      <c r="B358" s="149" t="str">
        <f t="shared" ref="B358:L358" si="94">IF(AND(B40="-",B305="-"),"-",SUM(B40,B305))</f>
        <v>-</v>
      </c>
      <c r="C358" s="149" t="str">
        <f t="shared" si="94"/>
        <v>-</v>
      </c>
      <c r="D358" s="149">
        <f t="shared" si="94"/>
        <v>516</v>
      </c>
      <c r="E358" s="149">
        <f t="shared" si="94"/>
        <v>1313</v>
      </c>
      <c r="F358" s="149">
        <f t="shared" si="94"/>
        <v>483</v>
      </c>
      <c r="G358" s="149">
        <f t="shared" si="94"/>
        <v>264</v>
      </c>
      <c r="H358" s="149">
        <f t="shared" si="94"/>
        <v>720</v>
      </c>
      <c r="I358" s="149">
        <f t="shared" si="94"/>
        <v>874</v>
      </c>
      <c r="J358" s="149">
        <f t="shared" si="94"/>
        <v>306</v>
      </c>
      <c r="K358" s="149">
        <f t="shared" si="94"/>
        <v>26</v>
      </c>
      <c r="L358" s="149">
        <f t="shared" si="94"/>
        <v>4502</v>
      </c>
    </row>
    <row r="359" spans="1:12" s="147" customFormat="1">
      <c r="A359" s="147">
        <v>2007</v>
      </c>
      <c r="B359" s="149" t="str">
        <f t="shared" ref="B359:L359" si="95">IF(AND(B41="-",B306="-"),"-",SUM(B41,B306))</f>
        <v>-</v>
      </c>
      <c r="C359" s="149">
        <f t="shared" si="95"/>
        <v>348</v>
      </c>
      <c r="D359" s="149">
        <f t="shared" si="95"/>
        <v>1266</v>
      </c>
      <c r="E359" s="149">
        <f t="shared" si="95"/>
        <v>958</v>
      </c>
      <c r="F359" s="149">
        <f t="shared" si="95"/>
        <v>404</v>
      </c>
      <c r="G359" s="149">
        <f t="shared" si="95"/>
        <v>1399</v>
      </c>
      <c r="H359" s="149">
        <f t="shared" si="95"/>
        <v>377</v>
      </c>
      <c r="I359" s="149">
        <f t="shared" si="95"/>
        <v>291</v>
      </c>
      <c r="J359" s="149">
        <f t="shared" si="95"/>
        <v>174</v>
      </c>
      <c r="K359" s="149" t="str">
        <f t="shared" si="95"/>
        <v>-</v>
      </c>
      <c r="L359" s="149">
        <f t="shared" si="95"/>
        <v>5217</v>
      </c>
    </row>
    <row r="360" spans="1:12" s="147" customFormat="1">
      <c r="A360" s="147">
        <v>2008</v>
      </c>
      <c r="B360" s="149" t="str">
        <f t="shared" ref="B360:L360" si="96">IF(AND(B42="-",B307="-"),"-",SUM(B42,B307))</f>
        <v>-</v>
      </c>
      <c r="C360" s="149" t="str">
        <f t="shared" si="96"/>
        <v>-</v>
      </c>
      <c r="D360" s="149">
        <f t="shared" si="96"/>
        <v>272</v>
      </c>
      <c r="E360" s="149">
        <f t="shared" si="96"/>
        <v>282</v>
      </c>
      <c r="F360" s="149">
        <f t="shared" si="96"/>
        <v>33</v>
      </c>
      <c r="G360" s="149">
        <f t="shared" si="96"/>
        <v>58</v>
      </c>
      <c r="H360" s="149">
        <f t="shared" si="96"/>
        <v>47</v>
      </c>
      <c r="I360" s="149">
        <f t="shared" si="96"/>
        <v>63</v>
      </c>
      <c r="J360" s="149">
        <f t="shared" si="96"/>
        <v>48</v>
      </c>
      <c r="K360" s="149" t="str">
        <f t="shared" si="96"/>
        <v>-</v>
      </c>
      <c r="L360" s="149">
        <f t="shared" si="96"/>
        <v>803</v>
      </c>
    </row>
    <row r="361" spans="1:12" s="147" customFormat="1">
      <c r="A361" s="147">
        <v>2009</v>
      </c>
      <c r="B361" s="149" t="str">
        <f t="shared" ref="B361:I371" si="97">IF(AND(B43="-",B308="-"),"-",SUM(B43,B308))</f>
        <v>-</v>
      </c>
      <c r="C361" s="149" t="str">
        <f t="shared" si="97"/>
        <v>-</v>
      </c>
      <c r="D361" s="149">
        <f t="shared" si="97"/>
        <v>72</v>
      </c>
      <c r="E361" s="149">
        <f t="shared" si="97"/>
        <v>85</v>
      </c>
      <c r="F361" s="149">
        <f t="shared" si="97"/>
        <v>239</v>
      </c>
      <c r="G361" s="149">
        <f t="shared" si="97"/>
        <v>135</v>
      </c>
      <c r="H361" s="149">
        <f t="shared" si="97"/>
        <v>643</v>
      </c>
      <c r="I361" s="149">
        <f t="shared" si="97"/>
        <v>60</v>
      </c>
      <c r="J361" s="149" t="s">
        <v>23</v>
      </c>
      <c r="K361" s="149" t="str">
        <f t="shared" ref="K361:L371" si="98">IF(AND(K43="-",K308="-"),"-",SUM(K43,K308))</f>
        <v>-</v>
      </c>
      <c r="L361" s="149">
        <f t="shared" si="98"/>
        <v>1234</v>
      </c>
    </row>
    <row r="362" spans="1:12" s="147" customFormat="1">
      <c r="A362" s="147">
        <v>2010</v>
      </c>
      <c r="B362" s="149" t="str">
        <f t="shared" si="97"/>
        <v>-</v>
      </c>
      <c r="C362" s="149" t="str">
        <f t="shared" si="97"/>
        <v>-</v>
      </c>
      <c r="D362" s="149">
        <f t="shared" si="97"/>
        <v>1126</v>
      </c>
      <c r="E362" s="149">
        <f t="shared" si="97"/>
        <v>1275</v>
      </c>
      <c r="F362" s="149">
        <f t="shared" si="97"/>
        <v>735</v>
      </c>
      <c r="G362" s="149">
        <f t="shared" si="97"/>
        <v>878</v>
      </c>
      <c r="H362" s="149">
        <f t="shared" si="97"/>
        <v>53</v>
      </c>
      <c r="I362" s="149">
        <f t="shared" si="97"/>
        <v>229</v>
      </c>
      <c r="J362" s="149" t="s">
        <v>23</v>
      </c>
      <c r="K362" s="149" t="str">
        <f t="shared" si="98"/>
        <v>-</v>
      </c>
      <c r="L362" s="149">
        <f t="shared" si="98"/>
        <v>4296</v>
      </c>
    </row>
    <row r="363" spans="1:12" s="147" customFormat="1">
      <c r="A363" s="147">
        <v>2011</v>
      </c>
      <c r="B363" s="149" t="str">
        <f t="shared" si="97"/>
        <v>-</v>
      </c>
      <c r="C363" s="149">
        <f t="shared" si="97"/>
        <v>316</v>
      </c>
      <c r="D363" s="149">
        <f t="shared" si="97"/>
        <v>1033</v>
      </c>
      <c r="E363" s="149">
        <f t="shared" si="97"/>
        <v>1264</v>
      </c>
      <c r="F363" s="149">
        <f t="shared" si="97"/>
        <v>149</v>
      </c>
      <c r="G363" s="149">
        <f t="shared" si="97"/>
        <v>317</v>
      </c>
      <c r="H363" s="149">
        <f t="shared" si="97"/>
        <v>137</v>
      </c>
      <c r="I363" s="149">
        <f t="shared" si="97"/>
        <v>301</v>
      </c>
      <c r="J363" s="149">
        <f t="shared" ref="J363:J371" si="99">IF(AND(J45="-",J310="-"),"-",SUM(J45,J310))</f>
        <v>235</v>
      </c>
      <c r="K363" s="149" t="str">
        <f t="shared" si="98"/>
        <v>-</v>
      </c>
      <c r="L363" s="149">
        <f t="shared" si="98"/>
        <v>3752</v>
      </c>
    </row>
    <row r="364" spans="1:12" s="147" customFormat="1">
      <c r="A364" s="147">
        <v>2012</v>
      </c>
      <c r="B364" s="149" t="str">
        <f t="shared" si="97"/>
        <v>-</v>
      </c>
      <c r="C364" s="149">
        <f t="shared" si="97"/>
        <v>522</v>
      </c>
      <c r="D364" s="149">
        <f t="shared" si="97"/>
        <v>1515</v>
      </c>
      <c r="E364" s="149">
        <f t="shared" si="97"/>
        <v>1277</v>
      </c>
      <c r="F364" s="149">
        <f t="shared" si="97"/>
        <v>373</v>
      </c>
      <c r="G364" s="149">
        <f t="shared" si="97"/>
        <v>724</v>
      </c>
      <c r="H364" s="149">
        <f t="shared" si="97"/>
        <v>1003</v>
      </c>
      <c r="I364" s="149">
        <f t="shared" si="97"/>
        <v>721</v>
      </c>
      <c r="J364" s="149">
        <f t="shared" si="99"/>
        <v>121</v>
      </c>
      <c r="K364" s="149" t="str">
        <f t="shared" si="98"/>
        <v>-</v>
      </c>
      <c r="L364" s="149">
        <f t="shared" si="98"/>
        <v>6256</v>
      </c>
    </row>
    <row r="365" spans="1:12" s="147" customFormat="1">
      <c r="A365" s="147">
        <v>2013</v>
      </c>
      <c r="B365" s="149" t="str">
        <f t="shared" si="97"/>
        <v>-</v>
      </c>
      <c r="C365" s="149">
        <f t="shared" si="97"/>
        <v>1042</v>
      </c>
      <c r="D365" s="149">
        <f t="shared" si="97"/>
        <v>1201</v>
      </c>
      <c r="E365" s="149">
        <f t="shared" si="97"/>
        <v>997</v>
      </c>
      <c r="F365" s="149">
        <f t="shared" si="97"/>
        <v>834</v>
      </c>
      <c r="G365" s="149">
        <f t="shared" si="97"/>
        <v>2401</v>
      </c>
      <c r="H365" s="149">
        <f t="shared" si="97"/>
        <v>1411</v>
      </c>
      <c r="I365" s="149">
        <f t="shared" si="97"/>
        <v>945</v>
      </c>
      <c r="J365" s="149">
        <f t="shared" si="99"/>
        <v>155</v>
      </c>
      <c r="K365" s="149" t="str">
        <f t="shared" si="98"/>
        <v>-</v>
      </c>
      <c r="L365" s="149">
        <f t="shared" si="98"/>
        <v>8986</v>
      </c>
    </row>
    <row r="366" spans="1:12" s="147" customFormat="1">
      <c r="A366" s="147">
        <v>2014</v>
      </c>
      <c r="B366" s="149" t="str">
        <f t="shared" si="97"/>
        <v>-</v>
      </c>
      <c r="C366" s="149">
        <f t="shared" si="97"/>
        <v>962</v>
      </c>
      <c r="D366" s="149">
        <f t="shared" si="97"/>
        <v>3027</v>
      </c>
      <c r="E366" s="149">
        <f t="shared" si="97"/>
        <v>1879</v>
      </c>
      <c r="F366" s="149">
        <f t="shared" si="97"/>
        <v>1261</v>
      </c>
      <c r="G366" s="149">
        <f t="shared" si="97"/>
        <v>2290</v>
      </c>
      <c r="H366" s="149">
        <f t="shared" si="97"/>
        <v>819</v>
      </c>
      <c r="I366" s="149">
        <f t="shared" si="97"/>
        <v>367</v>
      </c>
      <c r="J366" s="149">
        <f t="shared" si="99"/>
        <v>98</v>
      </c>
      <c r="K366" s="149" t="str">
        <f t="shared" si="98"/>
        <v>-</v>
      </c>
      <c r="L366" s="149">
        <f t="shared" si="98"/>
        <v>10703</v>
      </c>
    </row>
    <row r="367" spans="1:12" s="147" customFormat="1">
      <c r="A367" s="147">
        <v>2015</v>
      </c>
      <c r="B367" s="149" t="str">
        <f t="shared" si="97"/>
        <v>-</v>
      </c>
      <c r="C367" s="149">
        <f t="shared" si="97"/>
        <v>1767</v>
      </c>
      <c r="D367" s="149">
        <f t="shared" si="97"/>
        <v>2243</v>
      </c>
      <c r="E367" s="149">
        <f t="shared" si="97"/>
        <v>1437</v>
      </c>
      <c r="F367" s="149">
        <f t="shared" si="97"/>
        <v>1413</v>
      </c>
      <c r="G367" s="149">
        <f t="shared" si="97"/>
        <v>873</v>
      </c>
      <c r="H367" s="149">
        <f t="shared" si="97"/>
        <v>457</v>
      </c>
      <c r="I367" s="149">
        <f t="shared" si="97"/>
        <v>381</v>
      </c>
      <c r="J367" s="149">
        <f t="shared" si="99"/>
        <v>158</v>
      </c>
      <c r="K367" s="149" t="str">
        <f t="shared" si="98"/>
        <v>-</v>
      </c>
      <c r="L367" s="149">
        <f t="shared" si="98"/>
        <v>8729</v>
      </c>
    </row>
    <row r="368" spans="1:12" s="147" customFormat="1">
      <c r="A368" s="147">
        <v>2016</v>
      </c>
      <c r="B368" s="149" t="str">
        <f t="shared" si="97"/>
        <v>-</v>
      </c>
      <c r="C368" s="149">
        <f t="shared" si="97"/>
        <v>895</v>
      </c>
      <c r="D368" s="149">
        <f t="shared" si="97"/>
        <v>917</v>
      </c>
      <c r="E368" s="149">
        <f t="shared" si="97"/>
        <v>764</v>
      </c>
      <c r="F368" s="149">
        <f t="shared" si="97"/>
        <v>571</v>
      </c>
      <c r="G368" s="149">
        <f t="shared" si="97"/>
        <v>685</v>
      </c>
      <c r="H368" s="149">
        <f t="shared" si="97"/>
        <v>330</v>
      </c>
      <c r="I368" s="149">
        <f t="shared" si="97"/>
        <v>189</v>
      </c>
      <c r="J368" s="149">
        <f t="shared" si="99"/>
        <v>41</v>
      </c>
      <c r="K368" s="149" t="str">
        <f t="shared" si="98"/>
        <v>-</v>
      </c>
      <c r="L368" s="149">
        <f t="shared" si="98"/>
        <v>4392</v>
      </c>
    </row>
    <row r="369" spans="1:12" s="147" customFormat="1">
      <c r="A369" s="147">
        <v>2017</v>
      </c>
      <c r="B369" s="149" t="str">
        <f t="shared" si="97"/>
        <v>-</v>
      </c>
      <c r="C369" s="149">
        <f t="shared" si="97"/>
        <v>106</v>
      </c>
      <c r="D369" s="149">
        <f t="shared" si="97"/>
        <v>265</v>
      </c>
      <c r="E369" s="149">
        <f t="shared" si="97"/>
        <v>483</v>
      </c>
      <c r="F369" s="149">
        <f t="shared" si="97"/>
        <v>666</v>
      </c>
      <c r="G369" s="149">
        <f t="shared" si="97"/>
        <v>104</v>
      </c>
      <c r="H369" s="149">
        <f t="shared" si="97"/>
        <v>141</v>
      </c>
      <c r="I369" s="149">
        <f t="shared" si="97"/>
        <v>246</v>
      </c>
      <c r="J369" s="149">
        <f t="shared" si="99"/>
        <v>41</v>
      </c>
      <c r="K369" s="149" t="str">
        <f t="shared" si="98"/>
        <v>-</v>
      </c>
      <c r="L369" s="149">
        <f t="shared" si="98"/>
        <v>2052</v>
      </c>
    </row>
    <row r="370" spans="1:12" s="147" customFormat="1">
      <c r="A370" s="147">
        <v>2018</v>
      </c>
      <c r="B370" s="149" t="str">
        <f t="shared" si="97"/>
        <v>-</v>
      </c>
      <c r="C370" s="149" t="str">
        <f t="shared" si="97"/>
        <v>-</v>
      </c>
      <c r="D370" s="149">
        <f t="shared" si="97"/>
        <v>401</v>
      </c>
      <c r="E370" s="149">
        <f t="shared" si="97"/>
        <v>610</v>
      </c>
      <c r="F370" s="149">
        <f t="shared" si="97"/>
        <v>413</v>
      </c>
      <c r="G370" s="149">
        <f t="shared" si="97"/>
        <v>769</v>
      </c>
      <c r="H370" s="149">
        <f t="shared" si="97"/>
        <v>80</v>
      </c>
      <c r="I370" s="149">
        <f t="shared" si="97"/>
        <v>217</v>
      </c>
      <c r="J370" s="149">
        <f t="shared" si="99"/>
        <v>83</v>
      </c>
      <c r="K370" s="149" t="str">
        <f t="shared" si="98"/>
        <v>-</v>
      </c>
      <c r="L370" s="149">
        <f t="shared" si="98"/>
        <v>2573</v>
      </c>
    </row>
    <row r="371" spans="1:12" s="147" customFormat="1">
      <c r="A371" s="147">
        <v>2019</v>
      </c>
      <c r="B371" s="149" t="str">
        <f t="shared" si="97"/>
        <v>-</v>
      </c>
      <c r="C371" s="149">
        <f t="shared" si="97"/>
        <v>51</v>
      </c>
      <c r="D371" s="149">
        <f t="shared" si="97"/>
        <v>150</v>
      </c>
      <c r="E371" s="149">
        <f t="shared" si="97"/>
        <v>380</v>
      </c>
      <c r="F371" s="149">
        <f t="shared" si="97"/>
        <v>1080</v>
      </c>
      <c r="G371" s="149">
        <f t="shared" si="97"/>
        <v>564</v>
      </c>
      <c r="H371" s="149">
        <f t="shared" si="97"/>
        <v>128</v>
      </c>
      <c r="I371" s="149">
        <f t="shared" si="97"/>
        <v>187</v>
      </c>
      <c r="J371" s="149" t="str">
        <f t="shared" si="99"/>
        <v>-</v>
      </c>
      <c r="K371" s="149" t="str">
        <f t="shared" si="98"/>
        <v>-</v>
      </c>
      <c r="L371" s="149">
        <f t="shared" si="98"/>
        <v>2540</v>
      </c>
    </row>
    <row r="372" spans="1:12" s="147" customFormat="1">
      <c r="A372" s="147">
        <v>2020</v>
      </c>
      <c r="B372" s="149" t="str">
        <f t="shared" ref="B372:L373" si="100">IF(AND(B54="-",B319="-"),"-",SUM(B54,B319))</f>
        <v>-</v>
      </c>
      <c r="C372" s="149">
        <f t="shared" si="100"/>
        <v>137</v>
      </c>
      <c r="D372" s="149">
        <f t="shared" si="100"/>
        <v>112</v>
      </c>
      <c r="E372" s="149">
        <f t="shared" si="100"/>
        <v>426</v>
      </c>
      <c r="F372" s="149">
        <f t="shared" si="100"/>
        <v>641</v>
      </c>
      <c r="G372" s="149">
        <f t="shared" si="100"/>
        <v>262</v>
      </c>
      <c r="H372" s="149">
        <f t="shared" si="100"/>
        <v>178</v>
      </c>
      <c r="I372" s="149">
        <f t="shared" si="100"/>
        <v>212</v>
      </c>
      <c r="J372" s="149" t="str">
        <f t="shared" si="100"/>
        <v>-</v>
      </c>
      <c r="K372" s="149" t="str">
        <f t="shared" si="100"/>
        <v>-</v>
      </c>
      <c r="L372" s="149">
        <f t="shared" si="100"/>
        <v>1968</v>
      </c>
    </row>
    <row r="373" spans="1:12" s="147" customFormat="1" ht="13">
      <c r="A373" s="147" t="s">
        <v>317</v>
      </c>
      <c r="B373" s="149">
        <f t="shared" si="100"/>
        <v>33</v>
      </c>
      <c r="C373" s="149">
        <f t="shared" si="100"/>
        <v>407</v>
      </c>
      <c r="D373" s="149">
        <f t="shared" si="100"/>
        <v>348</v>
      </c>
      <c r="E373" s="149">
        <f t="shared" si="100"/>
        <v>228</v>
      </c>
      <c r="F373" s="149">
        <f t="shared" si="100"/>
        <v>419</v>
      </c>
      <c r="G373" s="149">
        <f t="shared" si="100"/>
        <v>277</v>
      </c>
      <c r="H373" s="149">
        <f t="shared" si="100"/>
        <v>76</v>
      </c>
      <c r="I373" s="149">
        <f t="shared" si="100"/>
        <v>181</v>
      </c>
      <c r="J373" s="149" t="str">
        <f t="shared" si="100"/>
        <v>-</v>
      </c>
      <c r="K373" s="149" t="str">
        <f t="shared" si="100"/>
        <v>-</v>
      </c>
      <c r="L373" s="149">
        <f t="shared" si="100"/>
        <v>1969</v>
      </c>
    </row>
    <row r="374" spans="1:12" s="200" customFormat="1" ht="10.25" customHeight="1">
      <c r="A374" s="300" t="s">
        <v>169</v>
      </c>
      <c r="B374" s="300"/>
      <c r="C374" s="300"/>
      <c r="D374" s="300"/>
      <c r="E374" s="300"/>
      <c r="F374" s="300"/>
      <c r="G374" s="300"/>
      <c r="H374" s="300"/>
      <c r="I374" s="300"/>
      <c r="J374" s="300"/>
      <c r="K374" s="300"/>
      <c r="L374" s="300"/>
    </row>
    <row r="375" spans="1:12" s="200" customFormat="1">
      <c r="A375" s="297"/>
      <c r="B375" s="297"/>
      <c r="C375" s="297"/>
      <c r="D375" s="297"/>
      <c r="E375" s="297"/>
      <c r="F375" s="297"/>
      <c r="G375" s="297"/>
      <c r="H375" s="297"/>
      <c r="I375" s="297"/>
      <c r="J375" s="297"/>
      <c r="K375" s="297"/>
      <c r="L375" s="297"/>
    </row>
    <row r="376" spans="1:12" s="200" customFormat="1">
      <c r="A376" s="297"/>
      <c r="B376" s="297"/>
      <c r="C376" s="297"/>
      <c r="D376" s="297"/>
      <c r="E376" s="297"/>
      <c r="F376" s="297"/>
      <c r="G376" s="297"/>
      <c r="H376" s="297"/>
      <c r="I376" s="297"/>
      <c r="J376" s="297"/>
      <c r="K376" s="297"/>
      <c r="L376" s="297"/>
    </row>
    <row r="377" spans="1:12" s="200" customFormat="1">
      <c r="A377" s="297"/>
      <c r="B377" s="297"/>
      <c r="C377" s="297"/>
      <c r="D377" s="297"/>
      <c r="E377" s="297"/>
      <c r="F377" s="297"/>
      <c r="G377" s="297"/>
      <c r="H377" s="297"/>
      <c r="I377" s="297"/>
      <c r="J377" s="297"/>
      <c r="K377" s="297"/>
      <c r="L377" s="297"/>
    </row>
    <row r="378" spans="1:12" s="200" customFormat="1">
      <c r="A378" s="297"/>
      <c r="B378" s="297"/>
      <c r="C378" s="297"/>
      <c r="D378" s="297"/>
      <c r="E378" s="297"/>
      <c r="F378" s="297"/>
      <c r="G378" s="297"/>
      <c r="H378" s="297"/>
      <c r="I378" s="297"/>
      <c r="J378" s="297"/>
      <c r="K378" s="297"/>
      <c r="L378" s="297"/>
    </row>
    <row r="379" spans="1:12" s="200" customFormat="1">
      <c r="A379" s="95" t="s">
        <v>42</v>
      </c>
      <c r="B379" s="95"/>
      <c r="C379" s="95"/>
      <c r="D379" s="95"/>
      <c r="E379" s="95"/>
      <c r="F379" s="95"/>
      <c r="G379" s="95"/>
      <c r="H379" s="95"/>
      <c r="I379" s="95"/>
      <c r="J379" s="95"/>
      <c r="K379" s="95"/>
      <c r="L379" s="95"/>
    </row>
    <row r="380" spans="1:12" s="200" customFormat="1">
      <c r="A380" s="301"/>
      <c r="B380" s="301"/>
      <c r="C380" s="301"/>
      <c r="D380" s="301"/>
      <c r="E380" s="301"/>
      <c r="F380" s="301"/>
      <c r="G380" s="301"/>
      <c r="H380" s="301"/>
      <c r="I380" s="301"/>
      <c r="J380" s="301"/>
      <c r="K380" s="301"/>
      <c r="L380" s="301"/>
    </row>
    <row r="381" spans="1:12" s="200" customFormat="1">
      <c r="A381" s="301"/>
      <c r="B381" s="301"/>
      <c r="C381" s="301"/>
      <c r="D381" s="301"/>
      <c r="E381" s="301"/>
      <c r="F381" s="301"/>
      <c r="G381" s="301"/>
      <c r="H381" s="301"/>
      <c r="I381" s="301"/>
      <c r="J381" s="301"/>
      <c r="K381" s="301"/>
      <c r="L381" s="301"/>
    </row>
    <row r="382" spans="1:12" s="200" customFormat="1">
      <c r="A382" s="95"/>
      <c r="B382" s="152"/>
      <c r="C382" s="152"/>
      <c r="D382" s="152"/>
      <c r="E382" s="152"/>
      <c r="F382" s="152"/>
      <c r="G382" s="152"/>
      <c r="H382" s="152"/>
      <c r="I382" s="152"/>
      <c r="J382" s="152"/>
      <c r="K382" s="152"/>
      <c r="L382" s="152"/>
    </row>
    <row r="383" spans="1:12" s="200" customFormat="1">
      <c r="A383" s="95"/>
      <c r="B383" s="152"/>
      <c r="C383" s="152"/>
      <c r="D383" s="152"/>
      <c r="E383" s="152"/>
      <c r="F383" s="152"/>
      <c r="G383" s="152"/>
      <c r="H383" s="152"/>
      <c r="I383" s="152"/>
      <c r="J383" s="152"/>
      <c r="K383" s="152"/>
      <c r="L383" s="152"/>
    </row>
    <row r="384" spans="1:12" s="200" customFormat="1">
      <c r="A384" s="95"/>
      <c r="B384" s="152"/>
      <c r="C384" s="152"/>
      <c r="D384" s="152"/>
      <c r="E384" s="152"/>
      <c r="F384" s="152"/>
      <c r="G384" s="152"/>
      <c r="H384" s="152"/>
      <c r="I384" s="152"/>
      <c r="J384" s="152"/>
      <c r="K384" s="152"/>
      <c r="L384" s="152"/>
    </row>
    <row r="385" spans="1:12" s="200" customFormat="1">
      <c r="A385" s="95"/>
      <c r="B385" s="152"/>
      <c r="C385" s="152"/>
      <c r="D385" s="152"/>
      <c r="E385" s="152"/>
      <c r="F385" s="152"/>
      <c r="G385" s="152"/>
      <c r="H385" s="152"/>
      <c r="I385" s="152"/>
      <c r="J385" s="152"/>
      <c r="K385" s="152"/>
      <c r="L385" s="152"/>
    </row>
    <row r="386" spans="1:12" s="202" customFormat="1">
      <c r="A386" s="161"/>
      <c r="B386" s="162"/>
      <c r="C386" s="162"/>
      <c r="D386" s="162"/>
      <c r="E386" s="162"/>
      <c r="F386" s="162"/>
      <c r="G386" s="162"/>
      <c r="H386" s="162"/>
      <c r="I386" s="162"/>
      <c r="J386" s="162"/>
      <c r="K386" s="162"/>
      <c r="L386" s="162"/>
    </row>
    <row r="387" spans="1:12" s="200" customFormat="1">
      <c r="A387" s="95"/>
      <c r="B387" s="152"/>
      <c r="C387" s="152"/>
      <c r="D387" s="152"/>
      <c r="E387" s="152"/>
      <c r="F387" s="152"/>
      <c r="G387" s="152"/>
      <c r="H387" s="152"/>
      <c r="I387" s="152"/>
      <c r="J387" s="152"/>
      <c r="K387" s="152"/>
      <c r="L387" s="152"/>
    </row>
    <row r="388" spans="1:12" s="200" customFormat="1">
      <c r="A388" s="95"/>
      <c r="B388" s="152"/>
      <c r="C388" s="152"/>
      <c r="D388" s="152"/>
      <c r="E388" s="152"/>
      <c r="F388" s="152"/>
      <c r="G388" s="152"/>
      <c r="H388" s="152"/>
      <c r="I388" s="152"/>
      <c r="J388" s="152"/>
      <c r="K388" s="152"/>
      <c r="L388" s="152"/>
    </row>
    <row r="389" spans="1:12" s="200" customFormat="1">
      <c r="A389" s="95"/>
      <c r="B389" s="152"/>
      <c r="C389" s="152"/>
      <c r="D389" s="152"/>
      <c r="E389" s="152"/>
      <c r="F389" s="152"/>
      <c r="G389" s="152"/>
      <c r="H389" s="152"/>
      <c r="I389" s="152"/>
      <c r="J389" s="152"/>
      <c r="K389" s="152"/>
      <c r="L389" s="152"/>
    </row>
    <row r="390" spans="1:12" s="200" customFormat="1" ht="11.25" customHeight="1">
      <c r="A390" s="302" t="s">
        <v>269</v>
      </c>
      <c r="B390" s="302"/>
      <c r="C390" s="302"/>
      <c r="D390" s="302"/>
      <c r="E390" s="302"/>
      <c r="F390" s="302"/>
      <c r="G390" s="302"/>
      <c r="H390" s="302"/>
      <c r="I390" s="302"/>
      <c r="J390" s="302"/>
      <c r="K390" s="302"/>
      <c r="L390" s="302"/>
    </row>
    <row r="391" spans="1:12" s="200" customFormat="1" ht="11.25" customHeight="1">
      <c r="A391" s="303" t="s">
        <v>43</v>
      </c>
      <c r="B391" s="236"/>
      <c r="C391" s="236"/>
      <c r="D391" s="236"/>
      <c r="E391" s="236"/>
      <c r="F391" s="236"/>
      <c r="G391" s="236"/>
      <c r="H391" s="236"/>
      <c r="I391" s="236"/>
      <c r="J391" s="236"/>
      <c r="K391" s="236"/>
      <c r="L391" s="236"/>
    </row>
    <row r="392" spans="1:12" s="200" customFormat="1" ht="11.25" customHeight="1">
      <c r="A392" s="304"/>
      <c r="B392" s="237" t="s">
        <v>37</v>
      </c>
      <c r="C392" s="237" t="s">
        <v>28</v>
      </c>
      <c r="D392" s="237" t="s">
        <v>29</v>
      </c>
      <c r="E392" s="237" t="s">
        <v>30</v>
      </c>
      <c r="F392" s="237" t="s">
        <v>31</v>
      </c>
      <c r="G392" s="237" t="s">
        <v>32</v>
      </c>
      <c r="H392" s="237" t="s">
        <v>33</v>
      </c>
      <c r="I392" s="237" t="s">
        <v>34</v>
      </c>
      <c r="J392" s="237" t="s">
        <v>38</v>
      </c>
      <c r="K392" s="237" t="s">
        <v>75</v>
      </c>
      <c r="L392" s="237" t="s">
        <v>22</v>
      </c>
    </row>
    <row r="393" spans="1:12" s="200" customFormat="1" ht="11.25" customHeight="1">
      <c r="A393" s="88" t="s">
        <v>102</v>
      </c>
      <c r="B393" s="238"/>
      <c r="C393" s="152"/>
      <c r="D393" s="152"/>
      <c r="E393" s="152"/>
      <c r="F393" s="152"/>
      <c r="G393" s="152"/>
      <c r="H393" s="152"/>
      <c r="I393" s="152"/>
      <c r="J393" s="152"/>
      <c r="K393" s="152"/>
      <c r="L393" s="152"/>
    </row>
    <row r="394" spans="1:12" s="200" customFormat="1" ht="11.25" customHeight="1">
      <c r="A394" s="239" t="s">
        <v>24</v>
      </c>
      <c r="B394" s="238" t="s">
        <v>23</v>
      </c>
      <c r="C394" s="238" t="s">
        <v>23</v>
      </c>
      <c r="D394" s="238">
        <f t="shared" ref="D394:I394" si="101">AVERAGE(D15:D19)</f>
        <v>402.4</v>
      </c>
      <c r="E394" s="238">
        <f t="shared" si="101"/>
        <v>0</v>
      </c>
      <c r="F394" s="238">
        <f t="shared" si="101"/>
        <v>322</v>
      </c>
      <c r="G394" s="238">
        <f t="shared" si="101"/>
        <v>338.2</v>
      </c>
      <c r="H394" s="238">
        <f t="shared" si="101"/>
        <v>32.799999999999997</v>
      </c>
      <c r="I394" s="238">
        <f t="shared" si="101"/>
        <v>0.4</v>
      </c>
      <c r="J394" s="238" t="s">
        <v>23</v>
      </c>
      <c r="K394" s="238" t="s">
        <v>23</v>
      </c>
      <c r="L394" s="238">
        <f>AVERAGE(L15:L19)</f>
        <v>1095.8</v>
      </c>
    </row>
    <row r="395" spans="1:12" s="200" customFormat="1" ht="11.25" customHeight="1">
      <c r="A395" s="239" t="s">
        <v>78</v>
      </c>
      <c r="B395" s="238" t="s">
        <v>23</v>
      </c>
      <c r="C395" s="238" t="s">
        <v>23</v>
      </c>
      <c r="D395" s="238">
        <f t="shared" ref="D395:I395" si="102">AVERAGE(D20:D24)</f>
        <v>146</v>
      </c>
      <c r="E395" s="238">
        <f t="shared" si="102"/>
        <v>26.333333333333332</v>
      </c>
      <c r="F395" s="238">
        <f t="shared" si="102"/>
        <v>183</v>
      </c>
      <c r="G395" s="238">
        <f t="shared" si="102"/>
        <v>578.66666666666663</v>
      </c>
      <c r="H395" s="238">
        <f t="shared" si="102"/>
        <v>272.5</v>
      </c>
      <c r="I395" s="238">
        <f t="shared" si="102"/>
        <v>22</v>
      </c>
      <c r="J395" s="238" t="s">
        <v>23</v>
      </c>
      <c r="K395" s="238" t="s">
        <v>23</v>
      </c>
      <c r="L395" s="238">
        <f>AVERAGE(L20:L24)</f>
        <v>659</v>
      </c>
    </row>
    <row r="396" spans="1:12" s="200" customFormat="1" ht="11.25" customHeight="1">
      <c r="A396" s="239" t="s">
        <v>10</v>
      </c>
      <c r="B396" s="238" t="s">
        <v>23</v>
      </c>
      <c r="C396" s="238" t="s">
        <v>23</v>
      </c>
      <c r="D396" s="238">
        <f>AVERAGE(D25:D29)</f>
        <v>58.333333333333336</v>
      </c>
      <c r="E396" s="238">
        <f>AVERAGE(E25:E29)</f>
        <v>43</v>
      </c>
      <c r="F396" s="238">
        <f>AVERAGE(F25:F29)</f>
        <v>50</v>
      </c>
      <c r="G396" s="238">
        <f>AVERAGE(G25:G29)</f>
        <v>165.66666666666666</v>
      </c>
      <c r="H396" s="238">
        <f>AVERAGE(H25:H29)</f>
        <v>111</v>
      </c>
      <c r="I396" s="238" t="s">
        <v>23</v>
      </c>
      <c r="J396" s="238" t="s">
        <v>23</v>
      </c>
      <c r="K396" s="238" t="s">
        <v>23</v>
      </c>
      <c r="L396" s="238">
        <f>AVERAGE(L25:L29)</f>
        <v>374.33333333333331</v>
      </c>
    </row>
    <row r="397" spans="1:12" s="200" customFormat="1" ht="11.25" customHeight="1">
      <c r="A397" s="239" t="s">
        <v>144</v>
      </c>
      <c r="B397" s="238" t="s">
        <v>23</v>
      </c>
      <c r="C397" s="238" t="s">
        <v>23</v>
      </c>
      <c r="D397" s="238">
        <f>AVERAGE(D30:D34)</f>
        <v>1.75</v>
      </c>
      <c r="E397" s="238">
        <f>AVERAGE(E30:E34)</f>
        <v>2.25</v>
      </c>
      <c r="F397" s="238" t="s">
        <v>23</v>
      </c>
      <c r="G397" s="238">
        <f>AVERAGE(G30:G34)</f>
        <v>246</v>
      </c>
      <c r="H397" s="238">
        <f>AVERAGE(H30:H34)</f>
        <v>18</v>
      </c>
      <c r="I397" s="238" t="s">
        <v>23</v>
      </c>
      <c r="J397" s="238" t="s">
        <v>23</v>
      </c>
      <c r="K397" s="238" t="s">
        <v>23</v>
      </c>
      <c r="L397" s="238">
        <f>AVERAGE(L30:L34)</f>
        <v>70</v>
      </c>
    </row>
    <row r="398" spans="1:12" s="200" customFormat="1" ht="11.25" customHeight="1">
      <c r="A398" s="95" t="s">
        <v>166</v>
      </c>
      <c r="B398" s="238" t="str">
        <f>B35</f>
        <v>-</v>
      </c>
      <c r="C398" s="238" t="str">
        <f>C35</f>
        <v>-</v>
      </c>
      <c r="D398" s="238">
        <f>AVERAGE(D35:D39)</f>
        <v>77.599999999999994</v>
      </c>
      <c r="E398" s="238">
        <f>AVERAGE(E35:E39)</f>
        <v>27.8</v>
      </c>
      <c r="F398" s="238">
        <f>AVERAGE(F35:F39)</f>
        <v>89.4</v>
      </c>
      <c r="G398" s="238">
        <f>AVERAGE(G35:G39)</f>
        <v>151.80000000000001</v>
      </c>
      <c r="H398" s="238">
        <f>AVERAGE(H35:H39)</f>
        <v>71.666666666666671</v>
      </c>
      <c r="I398" s="238" t="str">
        <f>I35</f>
        <v>-</v>
      </c>
      <c r="J398" s="238" t="str">
        <f>J35</f>
        <v>-</v>
      </c>
      <c r="K398" s="238" t="str">
        <f>K35</f>
        <v>-</v>
      </c>
      <c r="L398" s="238">
        <f>AVERAGE(L35:L39)</f>
        <v>389.6</v>
      </c>
    </row>
    <row r="399" spans="1:12" s="200" customFormat="1" ht="11.25" customHeight="1">
      <c r="A399" s="95" t="s">
        <v>315</v>
      </c>
      <c r="B399" s="238" t="str">
        <f>B40</f>
        <v>-</v>
      </c>
      <c r="C399" s="238" t="str">
        <f>C40</f>
        <v>-</v>
      </c>
      <c r="D399" s="238">
        <f>AVERAGE(D40:D44)</f>
        <v>201</v>
      </c>
      <c r="E399" s="238">
        <f t="shared" ref="E399:H399" si="103">AVERAGE(E40:E44)</f>
        <v>199.4</v>
      </c>
      <c r="F399" s="238">
        <f t="shared" si="103"/>
        <v>113.25</v>
      </c>
      <c r="G399" s="238">
        <f t="shared" si="103"/>
        <v>108.8</v>
      </c>
      <c r="H399" s="238">
        <f t="shared" si="103"/>
        <v>28.4</v>
      </c>
      <c r="I399" s="238" t="str">
        <f t="shared" ref="I399:K399" si="104">I40</f>
        <v>-</v>
      </c>
      <c r="J399" s="238" t="str">
        <f t="shared" si="104"/>
        <v>-</v>
      </c>
      <c r="K399" s="238" t="str">
        <f t="shared" si="104"/>
        <v>-</v>
      </c>
      <c r="L399" s="238">
        <f t="shared" ref="L399" si="105">AVERAGE(L40:L44)</f>
        <v>628.20000000000005</v>
      </c>
    </row>
    <row r="400" spans="1:12" s="200" customFormat="1" ht="11.25" customHeight="1">
      <c r="A400" s="95">
        <v>2011</v>
      </c>
      <c r="B400" s="238" t="str">
        <f t="shared" ref="B400:L400" si="106">B45</f>
        <v>-</v>
      </c>
      <c r="C400" s="238" t="str">
        <f t="shared" si="106"/>
        <v>-</v>
      </c>
      <c r="D400" s="238">
        <f t="shared" si="106"/>
        <v>85</v>
      </c>
      <c r="E400" s="238">
        <f t="shared" si="106"/>
        <v>124</v>
      </c>
      <c r="F400" s="238">
        <f t="shared" si="106"/>
        <v>41</v>
      </c>
      <c r="G400" s="238">
        <f t="shared" si="106"/>
        <v>24</v>
      </c>
      <c r="H400" s="238">
        <f t="shared" si="106"/>
        <v>15</v>
      </c>
      <c r="I400" s="238" t="str">
        <f t="shared" si="106"/>
        <v>-</v>
      </c>
      <c r="J400" s="238" t="str">
        <f t="shared" si="106"/>
        <v>-</v>
      </c>
      <c r="K400" s="238" t="str">
        <f t="shared" si="106"/>
        <v>-</v>
      </c>
      <c r="L400" s="238">
        <f t="shared" si="106"/>
        <v>289</v>
      </c>
    </row>
    <row r="401" spans="1:12" s="200" customFormat="1" ht="11.25" customHeight="1">
      <c r="A401" s="95">
        <v>2012</v>
      </c>
      <c r="B401" s="238" t="str">
        <f t="shared" ref="B401:L401" si="107">B46</f>
        <v>-</v>
      </c>
      <c r="C401" s="238" t="str">
        <f t="shared" si="107"/>
        <v>-</v>
      </c>
      <c r="D401" s="238">
        <f t="shared" si="107"/>
        <v>58</v>
      </c>
      <c r="E401" s="238">
        <f t="shared" si="107"/>
        <v>223</v>
      </c>
      <c r="F401" s="238">
        <f t="shared" si="107"/>
        <v>37</v>
      </c>
      <c r="G401" s="238">
        <f t="shared" si="107"/>
        <v>25</v>
      </c>
      <c r="H401" s="238">
        <f t="shared" si="107"/>
        <v>73</v>
      </c>
      <c r="I401" s="238" t="str">
        <f t="shared" si="107"/>
        <v>-</v>
      </c>
      <c r="J401" s="238" t="str">
        <f t="shared" si="107"/>
        <v>-</v>
      </c>
      <c r="K401" s="238" t="str">
        <f t="shared" si="107"/>
        <v>-</v>
      </c>
      <c r="L401" s="238">
        <f t="shared" si="107"/>
        <v>416</v>
      </c>
    </row>
    <row r="402" spans="1:12" s="200" customFormat="1" ht="11.25" customHeight="1">
      <c r="A402" s="95">
        <v>2013</v>
      </c>
      <c r="B402" s="238" t="str">
        <f t="shared" ref="B402:L402" si="108">B47</f>
        <v>-</v>
      </c>
      <c r="C402" s="238" t="str">
        <f t="shared" si="108"/>
        <v>-</v>
      </c>
      <c r="D402" s="238">
        <f t="shared" si="108"/>
        <v>64</v>
      </c>
      <c r="E402" s="238">
        <f t="shared" si="108"/>
        <v>119</v>
      </c>
      <c r="F402" s="238">
        <f t="shared" si="108"/>
        <v>32</v>
      </c>
      <c r="G402" s="238">
        <f t="shared" si="108"/>
        <v>46</v>
      </c>
      <c r="H402" s="238">
        <f t="shared" si="108"/>
        <v>26</v>
      </c>
      <c r="I402" s="238" t="str">
        <f t="shared" si="108"/>
        <v>-</v>
      </c>
      <c r="J402" s="238" t="str">
        <f t="shared" si="108"/>
        <v>-</v>
      </c>
      <c r="K402" s="238" t="str">
        <f t="shared" si="108"/>
        <v>-</v>
      </c>
      <c r="L402" s="238">
        <f t="shared" si="108"/>
        <v>287</v>
      </c>
    </row>
    <row r="403" spans="1:12" s="200" customFormat="1" ht="11.25" customHeight="1">
      <c r="A403" s="95">
        <v>2014</v>
      </c>
      <c r="B403" s="238" t="str">
        <f t="shared" ref="B403:L403" si="109">B48</f>
        <v>-</v>
      </c>
      <c r="C403" s="238" t="str">
        <f t="shared" si="109"/>
        <v>-</v>
      </c>
      <c r="D403" s="238">
        <f t="shared" si="109"/>
        <v>455</v>
      </c>
      <c r="E403" s="238">
        <f t="shared" si="109"/>
        <v>79</v>
      </c>
      <c r="F403" s="238">
        <f t="shared" si="109"/>
        <v>161</v>
      </c>
      <c r="G403" s="238">
        <f t="shared" si="109"/>
        <v>65</v>
      </c>
      <c r="H403" s="238">
        <f t="shared" si="109"/>
        <v>56</v>
      </c>
      <c r="I403" s="238" t="str">
        <f t="shared" si="109"/>
        <v>-</v>
      </c>
      <c r="J403" s="238" t="str">
        <f t="shared" si="109"/>
        <v>-</v>
      </c>
      <c r="K403" s="238" t="str">
        <f t="shared" si="109"/>
        <v>-</v>
      </c>
      <c r="L403" s="238">
        <f t="shared" si="109"/>
        <v>816</v>
      </c>
    </row>
    <row r="404" spans="1:12" s="200" customFormat="1" ht="11.25" customHeight="1">
      <c r="A404" s="95">
        <v>2015</v>
      </c>
      <c r="B404" s="238" t="str">
        <f t="shared" ref="B404:L404" si="110">B49</f>
        <v>-</v>
      </c>
      <c r="C404" s="238" t="str">
        <f t="shared" si="110"/>
        <v>-</v>
      </c>
      <c r="D404" s="238">
        <f t="shared" si="110"/>
        <v>531</v>
      </c>
      <c r="E404" s="238">
        <f t="shared" si="110"/>
        <v>88</v>
      </c>
      <c r="F404" s="238">
        <f t="shared" si="110"/>
        <v>48</v>
      </c>
      <c r="G404" s="238">
        <f t="shared" si="110"/>
        <v>61</v>
      </c>
      <c r="H404" s="238">
        <f t="shared" si="110"/>
        <v>90</v>
      </c>
      <c r="I404" s="238" t="str">
        <f t="shared" si="110"/>
        <v>-</v>
      </c>
      <c r="J404" s="238" t="str">
        <f t="shared" si="110"/>
        <v>-</v>
      </c>
      <c r="K404" s="238" t="str">
        <f t="shared" si="110"/>
        <v>-</v>
      </c>
      <c r="L404" s="238">
        <f t="shared" si="110"/>
        <v>818</v>
      </c>
    </row>
    <row r="405" spans="1:12" s="200" customFormat="1" ht="11.25" customHeight="1">
      <c r="A405" s="95">
        <v>2016</v>
      </c>
      <c r="B405" s="238" t="str">
        <f t="shared" ref="B405:L405" si="111">B50</f>
        <v>-</v>
      </c>
      <c r="C405" s="238" t="str">
        <f t="shared" si="111"/>
        <v>-</v>
      </c>
      <c r="D405" s="238">
        <f t="shared" si="111"/>
        <v>71</v>
      </c>
      <c r="E405" s="238">
        <f t="shared" si="111"/>
        <v>82</v>
      </c>
      <c r="F405" s="238">
        <f t="shared" si="111"/>
        <v>21</v>
      </c>
      <c r="G405" s="238">
        <f t="shared" si="111"/>
        <v>51</v>
      </c>
      <c r="H405" s="238" t="str">
        <f t="shared" si="111"/>
        <v>-</v>
      </c>
      <c r="I405" s="238" t="str">
        <f t="shared" si="111"/>
        <v>-</v>
      </c>
      <c r="J405" s="238" t="str">
        <f t="shared" si="111"/>
        <v>-</v>
      </c>
      <c r="K405" s="238" t="str">
        <f t="shared" si="111"/>
        <v>-</v>
      </c>
      <c r="L405" s="238">
        <f t="shared" si="111"/>
        <v>225</v>
      </c>
    </row>
    <row r="406" spans="1:12" s="200" customFormat="1" ht="11.25" customHeight="1">
      <c r="A406" s="95">
        <v>2017</v>
      </c>
      <c r="B406" s="238" t="str">
        <f t="shared" ref="B406:L406" si="112">B51</f>
        <v>-</v>
      </c>
      <c r="C406" s="238" t="str">
        <f t="shared" si="112"/>
        <v>-</v>
      </c>
      <c r="D406" s="238">
        <f t="shared" si="112"/>
        <v>82</v>
      </c>
      <c r="E406" s="238">
        <f t="shared" si="112"/>
        <v>92</v>
      </c>
      <c r="F406" s="238">
        <f t="shared" si="112"/>
        <v>11</v>
      </c>
      <c r="G406" s="238">
        <f t="shared" si="112"/>
        <v>104</v>
      </c>
      <c r="H406" s="238">
        <f t="shared" si="112"/>
        <v>53</v>
      </c>
      <c r="I406" s="238" t="str">
        <f t="shared" si="112"/>
        <v>-</v>
      </c>
      <c r="J406" s="238" t="str">
        <f t="shared" si="112"/>
        <v>-</v>
      </c>
      <c r="K406" s="238" t="str">
        <f t="shared" si="112"/>
        <v>-</v>
      </c>
      <c r="L406" s="238">
        <f t="shared" si="112"/>
        <v>342</v>
      </c>
    </row>
    <row r="407" spans="1:12" s="200" customFormat="1" ht="11.25" customHeight="1">
      <c r="A407" s="95">
        <v>2018</v>
      </c>
      <c r="B407" s="238" t="str">
        <f t="shared" ref="B407:L407" si="113">B52</f>
        <v>-</v>
      </c>
      <c r="C407" s="238" t="str">
        <f t="shared" si="113"/>
        <v>-</v>
      </c>
      <c r="D407" s="238">
        <f t="shared" si="113"/>
        <v>16</v>
      </c>
      <c r="E407" s="238">
        <f t="shared" si="113"/>
        <v>50</v>
      </c>
      <c r="F407" s="238">
        <f t="shared" si="113"/>
        <v>3</v>
      </c>
      <c r="G407" s="238">
        <f t="shared" si="113"/>
        <v>29</v>
      </c>
      <c r="H407" s="238">
        <f t="shared" si="113"/>
        <v>0</v>
      </c>
      <c r="I407" s="238" t="str">
        <f t="shared" si="113"/>
        <v>-</v>
      </c>
      <c r="J407" s="238" t="str">
        <f t="shared" si="113"/>
        <v>-</v>
      </c>
      <c r="K407" s="238" t="str">
        <f t="shared" si="113"/>
        <v>-</v>
      </c>
      <c r="L407" s="238">
        <f t="shared" si="113"/>
        <v>98</v>
      </c>
    </row>
    <row r="408" spans="1:12" s="200" customFormat="1" ht="11.25" customHeight="1">
      <c r="A408" s="95">
        <v>2019</v>
      </c>
      <c r="B408" s="238" t="str">
        <f t="shared" ref="B408:L408" si="114">B53</f>
        <v>-</v>
      </c>
      <c r="C408" s="238" t="str">
        <f t="shared" si="114"/>
        <v>-</v>
      </c>
      <c r="D408" s="238">
        <f t="shared" si="114"/>
        <v>9</v>
      </c>
      <c r="E408" s="238">
        <f t="shared" si="114"/>
        <v>17</v>
      </c>
      <c r="F408" s="238">
        <f t="shared" si="114"/>
        <v>97</v>
      </c>
      <c r="G408" s="238">
        <f t="shared" si="114"/>
        <v>40</v>
      </c>
      <c r="H408" s="238">
        <f t="shared" si="114"/>
        <v>24</v>
      </c>
      <c r="I408" s="238" t="str">
        <f t="shared" si="114"/>
        <v>-</v>
      </c>
      <c r="J408" s="238" t="str">
        <f t="shared" si="114"/>
        <v>-</v>
      </c>
      <c r="K408" s="238" t="str">
        <f t="shared" si="114"/>
        <v>-</v>
      </c>
      <c r="L408" s="238">
        <f t="shared" si="114"/>
        <v>187</v>
      </c>
    </row>
    <row r="409" spans="1:12" s="200" customFormat="1" ht="11.25" customHeight="1">
      <c r="A409" s="95">
        <v>2020</v>
      </c>
      <c r="B409" s="238" t="str">
        <f t="shared" ref="B409:L410" si="115">B54</f>
        <v>-</v>
      </c>
      <c r="C409" s="238" t="str">
        <f t="shared" si="115"/>
        <v>-</v>
      </c>
      <c r="D409" s="238">
        <f t="shared" si="115"/>
        <v>17</v>
      </c>
      <c r="E409" s="238">
        <f t="shared" si="115"/>
        <v>12</v>
      </c>
      <c r="F409" s="238">
        <f t="shared" si="115"/>
        <v>20</v>
      </c>
      <c r="G409" s="238">
        <f t="shared" si="115"/>
        <v>13</v>
      </c>
      <c r="H409" s="238">
        <f t="shared" si="115"/>
        <v>3</v>
      </c>
      <c r="I409" s="238" t="str">
        <f t="shared" si="115"/>
        <v>-</v>
      </c>
      <c r="J409" s="238" t="str">
        <f t="shared" si="115"/>
        <v>-</v>
      </c>
      <c r="K409" s="238" t="str">
        <f t="shared" si="115"/>
        <v>-</v>
      </c>
      <c r="L409" s="238">
        <f t="shared" si="115"/>
        <v>65</v>
      </c>
    </row>
    <row r="410" spans="1:12" s="200" customFormat="1" ht="11.25" customHeight="1">
      <c r="A410" s="95" t="s">
        <v>317</v>
      </c>
      <c r="B410" s="238" t="str">
        <f t="shared" si="115"/>
        <v>-</v>
      </c>
      <c r="C410" s="238" t="str">
        <f t="shared" si="115"/>
        <v>-</v>
      </c>
      <c r="D410" s="238">
        <f t="shared" si="115"/>
        <v>1</v>
      </c>
      <c r="E410" s="238">
        <f t="shared" si="115"/>
        <v>3</v>
      </c>
      <c r="F410" s="238">
        <f t="shared" si="115"/>
        <v>21</v>
      </c>
      <c r="G410" s="238">
        <f t="shared" si="115"/>
        <v>9</v>
      </c>
      <c r="H410" s="238">
        <f t="shared" si="115"/>
        <v>6</v>
      </c>
      <c r="I410" s="238" t="str">
        <f t="shared" si="115"/>
        <v>-</v>
      </c>
      <c r="J410" s="238" t="str">
        <f t="shared" si="115"/>
        <v>-</v>
      </c>
      <c r="K410" s="238" t="str">
        <f t="shared" si="115"/>
        <v>-</v>
      </c>
      <c r="L410" s="238">
        <f t="shared" si="115"/>
        <v>40</v>
      </c>
    </row>
    <row r="411" spans="1:12" s="200" customFormat="1" ht="11.25" customHeight="1">
      <c r="A411" s="239"/>
      <c r="B411" s="238"/>
      <c r="C411" s="238"/>
      <c r="D411" s="238"/>
      <c r="E411" s="238"/>
      <c r="F411" s="238"/>
      <c r="G411" s="238"/>
      <c r="H411" s="238"/>
      <c r="I411" s="238"/>
      <c r="J411" s="238"/>
      <c r="K411" s="238"/>
      <c r="L411" s="238"/>
    </row>
    <row r="412" spans="1:12" s="200" customFormat="1" ht="11.25" customHeight="1">
      <c r="A412" s="240" t="str">
        <f>A57</f>
        <v>Tillamook</v>
      </c>
      <c r="B412" s="238"/>
      <c r="C412" s="238"/>
      <c r="D412" s="238"/>
      <c r="E412" s="238"/>
      <c r="F412" s="238"/>
      <c r="G412" s="238"/>
      <c r="H412" s="238"/>
      <c r="I412" s="238"/>
      <c r="J412" s="238"/>
      <c r="K412" s="238"/>
      <c r="L412" s="238"/>
    </row>
    <row r="413" spans="1:12" s="200" customFormat="1" ht="11.25" customHeight="1">
      <c r="A413" s="239" t="s">
        <v>24</v>
      </c>
      <c r="B413" s="238" t="s">
        <v>23</v>
      </c>
      <c r="C413" s="238" t="s">
        <v>23</v>
      </c>
      <c r="D413" s="238">
        <f t="shared" ref="D413:I413" si="116">AVERAGE(D68:D72)</f>
        <v>97.8</v>
      </c>
      <c r="E413" s="238">
        <f t="shared" si="116"/>
        <v>47</v>
      </c>
      <c r="F413" s="238">
        <f t="shared" si="116"/>
        <v>2029.8</v>
      </c>
      <c r="G413" s="238">
        <f t="shared" si="116"/>
        <v>999</v>
      </c>
      <c r="H413" s="238">
        <f t="shared" si="116"/>
        <v>139.6</v>
      </c>
      <c r="I413" s="238">
        <f t="shared" si="116"/>
        <v>93.8</v>
      </c>
      <c r="J413" s="238" t="s">
        <v>23</v>
      </c>
      <c r="K413" s="238" t="s">
        <v>23</v>
      </c>
      <c r="L413" s="238">
        <f>AVERAGE(L68:L72)</f>
        <v>3408.8</v>
      </c>
    </row>
    <row r="414" spans="1:12" s="200" customFormat="1" ht="11.25" customHeight="1">
      <c r="A414" s="239" t="s">
        <v>78</v>
      </c>
      <c r="B414" s="238" t="s">
        <v>23</v>
      </c>
      <c r="C414" s="238" t="s">
        <v>23</v>
      </c>
      <c r="D414" s="238">
        <f t="shared" ref="D414:J414" si="117">AVERAGE(D73:D77)</f>
        <v>182.2</v>
      </c>
      <c r="E414" s="238">
        <f t="shared" si="117"/>
        <v>327.8</v>
      </c>
      <c r="F414" s="238">
        <f t="shared" si="117"/>
        <v>2930.6</v>
      </c>
      <c r="G414" s="238">
        <f t="shared" si="117"/>
        <v>1831.2</v>
      </c>
      <c r="H414" s="238">
        <f t="shared" si="117"/>
        <v>1007</v>
      </c>
      <c r="I414" s="238">
        <f t="shared" si="117"/>
        <v>604.4</v>
      </c>
      <c r="J414" s="238">
        <f t="shared" si="117"/>
        <v>17</v>
      </c>
      <c r="K414" s="238" t="s">
        <v>23</v>
      </c>
      <c r="L414" s="238">
        <f>AVERAGE(L73:L77)</f>
        <v>6886.6</v>
      </c>
    </row>
    <row r="415" spans="1:12" s="200" customFormat="1" ht="11.25" customHeight="1">
      <c r="A415" s="239" t="s">
        <v>10</v>
      </c>
      <c r="B415" s="238" t="s">
        <v>23</v>
      </c>
      <c r="C415" s="238" t="s">
        <v>23</v>
      </c>
      <c r="D415" s="238">
        <f t="shared" ref="D415:J415" si="118">AVERAGE(D78:D82)</f>
        <v>96</v>
      </c>
      <c r="E415" s="238">
        <f t="shared" si="118"/>
        <v>94.5</v>
      </c>
      <c r="F415" s="238">
        <f t="shared" si="118"/>
        <v>714</v>
      </c>
      <c r="G415" s="238">
        <f t="shared" si="118"/>
        <v>476.25</v>
      </c>
      <c r="H415" s="238">
        <f t="shared" si="118"/>
        <v>558</v>
      </c>
      <c r="I415" s="238">
        <f t="shared" si="118"/>
        <v>513</v>
      </c>
      <c r="J415" s="238">
        <f t="shared" si="118"/>
        <v>2</v>
      </c>
      <c r="K415" s="238" t="s">
        <v>23</v>
      </c>
      <c r="L415" s="238">
        <f>AVERAGE(L78:L82)</f>
        <v>1940.8</v>
      </c>
    </row>
    <row r="416" spans="1:12" s="200" customFormat="1" ht="11.25" customHeight="1">
      <c r="A416" s="239" t="s">
        <v>144</v>
      </c>
      <c r="B416" s="238" t="s">
        <v>23</v>
      </c>
      <c r="C416" s="238" t="s">
        <v>23</v>
      </c>
      <c r="D416" s="238">
        <f t="shared" ref="D416:J416" si="119">AVERAGE(D83:D87)</f>
        <v>70.8</v>
      </c>
      <c r="E416" s="238">
        <f t="shared" si="119"/>
        <v>188</v>
      </c>
      <c r="F416" s="238">
        <f t="shared" si="119"/>
        <v>60.5</v>
      </c>
      <c r="G416" s="238">
        <f t="shared" si="119"/>
        <v>185.6</v>
      </c>
      <c r="H416" s="238">
        <f t="shared" si="119"/>
        <v>276.2</v>
      </c>
      <c r="I416" s="238">
        <f t="shared" si="119"/>
        <v>185.6</v>
      </c>
      <c r="J416" s="238">
        <f t="shared" si="119"/>
        <v>12.75</v>
      </c>
      <c r="K416" s="238" t="s">
        <v>23</v>
      </c>
      <c r="L416" s="238">
        <f>AVERAGE(L83:L87)</f>
        <v>946.6</v>
      </c>
    </row>
    <row r="417" spans="1:12" s="200" customFormat="1" ht="11.25" customHeight="1">
      <c r="A417" s="95" t="s">
        <v>166</v>
      </c>
      <c r="B417" s="238">
        <f t="shared" ref="B417:J417" si="120">AVERAGE(B88:B92)</f>
        <v>71</v>
      </c>
      <c r="C417" s="238">
        <f t="shared" si="120"/>
        <v>64.2</v>
      </c>
      <c r="D417" s="238">
        <f t="shared" si="120"/>
        <v>268</v>
      </c>
      <c r="E417" s="238">
        <f t="shared" si="120"/>
        <v>353.6</v>
      </c>
      <c r="F417" s="238">
        <f t="shared" si="120"/>
        <v>174.25</v>
      </c>
      <c r="G417" s="238">
        <f t="shared" si="120"/>
        <v>224.75</v>
      </c>
      <c r="H417" s="238">
        <f t="shared" si="120"/>
        <v>301.2</v>
      </c>
      <c r="I417" s="238">
        <f t="shared" si="120"/>
        <v>218.4</v>
      </c>
      <c r="J417" s="238">
        <f t="shared" si="120"/>
        <v>10</v>
      </c>
      <c r="K417" s="238" t="str">
        <f>K88</f>
        <v>-</v>
      </c>
      <c r="L417" s="238">
        <f>AVERAGE(L88:L92)</f>
        <v>1591.4</v>
      </c>
    </row>
    <row r="418" spans="1:12" s="200" customFormat="1" ht="11.25" customHeight="1">
      <c r="A418" s="95" t="s">
        <v>315</v>
      </c>
      <c r="B418" s="238" t="str">
        <f>B93</f>
        <v>-</v>
      </c>
      <c r="C418" s="238">
        <f>AVERAGE(C93:C97)</f>
        <v>8</v>
      </c>
      <c r="D418" s="238">
        <f t="shared" ref="D418:L418" si="121">AVERAGE(D93:D97)</f>
        <v>156.5</v>
      </c>
      <c r="E418" s="238">
        <f t="shared" si="121"/>
        <v>152</v>
      </c>
      <c r="F418" s="238">
        <f t="shared" si="121"/>
        <v>41.666666666666664</v>
      </c>
      <c r="G418" s="238">
        <f t="shared" si="121"/>
        <v>53</v>
      </c>
      <c r="H418" s="238">
        <f t="shared" si="121"/>
        <v>118.8</v>
      </c>
      <c r="I418" s="238">
        <f t="shared" si="121"/>
        <v>91.4</v>
      </c>
      <c r="J418" s="238">
        <f t="shared" si="121"/>
        <v>30.5</v>
      </c>
      <c r="K418" s="238" t="str">
        <f>K93</f>
        <v>-</v>
      </c>
      <c r="L418" s="238">
        <f t="shared" si="121"/>
        <v>434.6</v>
      </c>
    </row>
    <row r="419" spans="1:12" s="200" customFormat="1" ht="11.25" customHeight="1">
      <c r="A419" s="95">
        <v>2011</v>
      </c>
      <c r="B419" s="238" t="str">
        <f t="shared" ref="B419:L419" si="122">B98</f>
        <v>-</v>
      </c>
      <c r="C419" s="238" t="str">
        <f t="shared" si="122"/>
        <v>-</v>
      </c>
      <c r="D419" s="238">
        <f t="shared" si="122"/>
        <v>25</v>
      </c>
      <c r="E419" s="238">
        <f t="shared" si="122"/>
        <v>96</v>
      </c>
      <c r="F419" s="238">
        <f t="shared" si="122"/>
        <v>21</v>
      </c>
      <c r="G419" s="238">
        <f t="shared" si="122"/>
        <v>23</v>
      </c>
      <c r="H419" s="238">
        <f t="shared" si="122"/>
        <v>42</v>
      </c>
      <c r="I419" s="238">
        <f t="shared" si="122"/>
        <v>13</v>
      </c>
      <c r="J419" s="238" t="str">
        <f t="shared" si="122"/>
        <v>-</v>
      </c>
      <c r="K419" s="238" t="str">
        <f t="shared" si="122"/>
        <v>-</v>
      </c>
      <c r="L419" s="238">
        <f t="shared" si="122"/>
        <v>220</v>
      </c>
    </row>
    <row r="420" spans="1:12" s="200" customFormat="1" ht="11.25" customHeight="1">
      <c r="A420" s="95">
        <v>2012</v>
      </c>
      <c r="B420" s="238" t="str">
        <f t="shared" ref="B420:L420" si="123">B99</f>
        <v>-</v>
      </c>
      <c r="C420" s="238">
        <f t="shared" si="123"/>
        <v>52</v>
      </c>
      <c r="D420" s="238">
        <f t="shared" si="123"/>
        <v>175</v>
      </c>
      <c r="E420" s="238">
        <f t="shared" si="123"/>
        <v>91</v>
      </c>
      <c r="F420" s="238">
        <f t="shared" si="123"/>
        <v>36</v>
      </c>
      <c r="G420" s="238">
        <f t="shared" si="123"/>
        <v>22</v>
      </c>
      <c r="H420" s="238">
        <f t="shared" si="123"/>
        <v>102</v>
      </c>
      <c r="I420" s="238">
        <f t="shared" si="123"/>
        <v>157</v>
      </c>
      <c r="J420" s="238" t="str">
        <f t="shared" si="123"/>
        <v>-</v>
      </c>
      <c r="K420" s="238" t="str">
        <f t="shared" si="123"/>
        <v>-</v>
      </c>
      <c r="L420" s="238">
        <f t="shared" si="123"/>
        <v>635</v>
      </c>
    </row>
    <row r="421" spans="1:12" s="200" customFormat="1" ht="11.25" customHeight="1">
      <c r="A421" s="95">
        <v>2013</v>
      </c>
      <c r="B421" s="238" t="str">
        <f t="shared" ref="B421:L421" si="124">B100</f>
        <v>-</v>
      </c>
      <c r="C421" s="238">
        <f t="shared" si="124"/>
        <v>189</v>
      </c>
      <c r="D421" s="238">
        <f t="shared" si="124"/>
        <v>87</v>
      </c>
      <c r="E421" s="238">
        <f t="shared" si="124"/>
        <v>52</v>
      </c>
      <c r="F421" s="238">
        <f t="shared" si="124"/>
        <v>40</v>
      </c>
      <c r="G421" s="238">
        <f t="shared" si="124"/>
        <v>196</v>
      </c>
      <c r="H421" s="238">
        <f t="shared" si="124"/>
        <v>192</v>
      </c>
      <c r="I421" s="238">
        <f t="shared" si="124"/>
        <v>74</v>
      </c>
      <c r="J421" s="238" t="str">
        <f t="shared" si="124"/>
        <v>-</v>
      </c>
      <c r="K421" s="238" t="str">
        <f t="shared" si="124"/>
        <v>-</v>
      </c>
      <c r="L421" s="238">
        <f t="shared" si="124"/>
        <v>830</v>
      </c>
    </row>
    <row r="422" spans="1:12" s="200" customFormat="1" ht="11.25" customHeight="1">
      <c r="A422" s="95">
        <v>2014</v>
      </c>
      <c r="B422" s="238" t="str">
        <f t="shared" ref="B422:L422" si="125">B101</f>
        <v>-</v>
      </c>
      <c r="C422" s="238">
        <f t="shared" si="125"/>
        <v>10</v>
      </c>
      <c r="D422" s="238">
        <f t="shared" si="125"/>
        <v>96</v>
      </c>
      <c r="E422" s="238">
        <f t="shared" si="125"/>
        <v>159</v>
      </c>
      <c r="F422" s="238">
        <f t="shared" si="125"/>
        <v>60</v>
      </c>
      <c r="G422" s="238">
        <f t="shared" si="125"/>
        <v>40</v>
      </c>
      <c r="H422" s="238">
        <f t="shared" si="125"/>
        <v>177</v>
      </c>
      <c r="I422" s="238">
        <f t="shared" si="125"/>
        <v>14</v>
      </c>
      <c r="J422" s="238" t="str">
        <f t="shared" si="125"/>
        <v>-</v>
      </c>
      <c r="K422" s="238" t="str">
        <f t="shared" si="125"/>
        <v>-</v>
      </c>
      <c r="L422" s="238">
        <f t="shared" si="125"/>
        <v>556</v>
      </c>
    </row>
    <row r="423" spans="1:12" s="200" customFormat="1" ht="11.25" customHeight="1">
      <c r="A423" s="95">
        <v>2015</v>
      </c>
      <c r="B423" s="238" t="str">
        <f t="shared" ref="B423:L423" si="126">B102</f>
        <v>-</v>
      </c>
      <c r="C423" s="238">
        <f t="shared" si="126"/>
        <v>50</v>
      </c>
      <c r="D423" s="238">
        <f t="shared" si="126"/>
        <v>321</v>
      </c>
      <c r="E423" s="238">
        <f t="shared" si="126"/>
        <v>249</v>
      </c>
      <c r="F423" s="238">
        <f t="shared" si="126"/>
        <v>9</v>
      </c>
      <c r="G423" s="238">
        <f t="shared" si="126"/>
        <v>26</v>
      </c>
      <c r="H423" s="238">
        <f t="shared" si="126"/>
        <v>140</v>
      </c>
      <c r="I423" s="238">
        <f t="shared" si="126"/>
        <v>71</v>
      </c>
      <c r="J423" s="238" t="str">
        <f t="shared" si="126"/>
        <v>-</v>
      </c>
      <c r="K423" s="238" t="str">
        <f t="shared" si="126"/>
        <v>-</v>
      </c>
      <c r="L423" s="238">
        <f t="shared" si="126"/>
        <v>866</v>
      </c>
    </row>
    <row r="424" spans="1:12" s="200" customFormat="1" ht="11.25" customHeight="1">
      <c r="A424" s="95">
        <v>2016</v>
      </c>
      <c r="B424" s="238" t="str">
        <f t="shared" ref="B424:L424" si="127">B103</f>
        <v>-</v>
      </c>
      <c r="C424" s="238">
        <f t="shared" si="127"/>
        <v>44</v>
      </c>
      <c r="D424" s="238">
        <f t="shared" si="127"/>
        <v>38</v>
      </c>
      <c r="E424" s="238">
        <f t="shared" si="127"/>
        <v>66</v>
      </c>
      <c r="F424" s="238">
        <f t="shared" si="127"/>
        <v>8</v>
      </c>
      <c r="G424" s="238">
        <f t="shared" si="127"/>
        <v>12</v>
      </c>
      <c r="H424" s="238">
        <f t="shared" si="127"/>
        <v>55</v>
      </c>
      <c r="I424" s="238">
        <f t="shared" si="127"/>
        <v>14</v>
      </c>
      <c r="J424" s="238" t="str">
        <f t="shared" si="127"/>
        <v>-</v>
      </c>
      <c r="K424" s="238" t="str">
        <f t="shared" si="127"/>
        <v>-</v>
      </c>
      <c r="L424" s="238">
        <f t="shared" si="127"/>
        <v>237</v>
      </c>
    </row>
    <row r="425" spans="1:12" s="200" customFormat="1" ht="11.25" customHeight="1">
      <c r="A425" s="95">
        <v>2017</v>
      </c>
      <c r="B425" s="238" t="str">
        <f t="shared" ref="B425:L425" si="128">B104</f>
        <v>-</v>
      </c>
      <c r="C425" s="238">
        <f t="shared" si="128"/>
        <v>7</v>
      </c>
      <c r="D425" s="238">
        <f t="shared" si="128"/>
        <v>34</v>
      </c>
      <c r="E425" s="238">
        <f t="shared" si="128"/>
        <v>46</v>
      </c>
      <c r="F425" s="238">
        <f t="shared" si="128"/>
        <v>8</v>
      </c>
      <c r="G425" s="238" t="str">
        <f t="shared" si="128"/>
        <v>-</v>
      </c>
      <c r="H425" s="238">
        <f t="shared" si="128"/>
        <v>70</v>
      </c>
      <c r="I425" s="238">
        <f t="shared" si="128"/>
        <v>17</v>
      </c>
      <c r="J425" s="238" t="str">
        <f t="shared" si="128"/>
        <v>-</v>
      </c>
      <c r="K425" s="238" t="str">
        <f t="shared" si="128"/>
        <v>-</v>
      </c>
      <c r="L425" s="238">
        <f t="shared" si="128"/>
        <v>182</v>
      </c>
    </row>
    <row r="426" spans="1:12" s="200" customFormat="1" ht="11.25" customHeight="1">
      <c r="A426" s="95">
        <v>2018</v>
      </c>
      <c r="B426" s="238" t="str">
        <f t="shared" ref="B426:L426" si="129">B105</f>
        <v>-</v>
      </c>
      <c r="C426" s="238" t="str">
        <f t="shared" si="129"/>
        <v>-</v>
      </c>
      <c r="D426" s="238">
        <f t="shared" si="129"/>
        <v>60</v>
      </c>
      <c r="E426" s="238">
        <f t="shared" si="129"/>
        <v>44</v>
      </c>
      <c r="F426" s="238">
        <f t="shared" si="129"/>
        <v>5</v>
      </c>
      <c r="G426" s="238">
        <f t="shared" si="129"/>
        <v>36</v>
      </c>
      <c r="H426" s="238">
        <f t="shared" si="129"/>
        <v>23</v>
      </c>
      <c r="I426" s="238">
        <f t="shared" si="129"/>
        <v>11</v>
      </c>
      <c r="J426" s="238" t="str">
        <f t="shared" si="129"/>
        <v>-</v>
      </c>
      <c r="K426" s="238" t="str">
        <f t="shared" si="129"/>
        <v>-</v>
      </c>
      <c r="L426" s="238">
        <f t="shared" si="129"/>
        <v>179</v>
      </c>
    </row>
    <row r="427" spans="1:12" s="200" customFormat="1" ht="11.25" customHeight="1">
      <c r="A427" s="95">
        <v>2019</v>
      </c>
      <c r="B427" s="238" t="str">
        <f t="shared" ref="B427:L427" si="130">B106</f>
        <v>-</v>
      </c>
      <c r="C427" s="238">
        <f t="shared" si="130"/>
        <v>3</v>
      </c>
      <c r="D427" s="238">
        <f t="shared" si="130"/>
        <v>45</v>
      </c>
      <c r="E427" s="238">
        <f t="shared" si="130"/>
        <v>22</v>
      </c>
      <c r="F427" s="238">
        <f t="shared" si="130"/>
        <v>16</v>
      </c>
      <c r="G427" s="238">
        <f t="shared" si="130"/>
        <v>12</v>
      </c>
      <c r="H427" s="238">
        <f t="shared" si="130"/>
        <v>15</v>
      </c>
      <c r="I427" s="238">
        <f t="shared" si="130"/>
        <v>24</v>
      </c>
      <c r="J427" s="238" t="str">
        <f t="shared" si="130"/>
        <v>-</v>
      </c>
      <c r="K427" s="238" t="str">
        <f t="shared" si="130"/>
        <v>-</v>
      </c>
      <c r="L427" s="238">
        <f t="shared" si="130"/>
        <v>137</v>
      </c>
    </row>
    <row r="428" spans="1:12" s="200" customFormat="1" ht="11.25" customHeight="1">
      <c r="A428" s="95">
        <v>2020</v>
      </c>
      <c r="B428" s="238" t="str">
        <f t="shared" ref="B428:L429" si="131">B107</f>
        <v>-</v>
      </c>
      <c r="C428" s="238">
        <f t="shared" si="131"/>
        <v>2</v>
      </c>
      <c r="D428" s="238">
        <f t="shared" si="131"/>
        <v>4</v>
      </c>
      <c r="E428" s="238">
        <f t="shared" si="131"/>
        <v>48</v>
      </c>
      <c r="F428" s="238">
        <f t="shared" si="131"/>
        <v>8</v>
      </c>
      <c r="G428" s="238">
        <f t="shared" si="131"/>
        <v>12</v>
      </c>
      <c r="H428" s="238">
        <f t="shared" si="131"/>
        <v>35</v>
      </c>
      <c r="I428" s="238">
        <f t="shared" si="131"/>
        <v>25</v>
      </c>
      <c r="J428" s="238" t="str">
        <f t="shared" si="131"/>
        <v>-</v>
      </c>
      <c r="K428" s="238" t="str">
        <f t="shared" si="131"/>
        <v>-</v>
      </c>
      <c r="L428" s="238">
        <f t="shared" si="131"/>
        <v>134</v>
      </c>
    </row>
    <row r="429" spans="1:12" s="200" customFormat="1" ht="11.25" customHeight="1">
      <c r="A429" s="95" t="s">
        <v>317</v>
      </c>
      <c r="B429" s="238" t="str">
        <f t="shared" si="131"/>
        <v>-</v>
      </c>
      <c r="C429" s="238">
        <f t="shared" si="131"/>
        <v>53</v>
      </c>
      <c r="D429" s="238">
        <f t="shared" si="131"/>
        <v>59</v>
      </c>
      <c r="E429" s="238">
        <f t="shared" si="131"/>
        <v>40</v>
      </c>
      <c r="F429" s="238">
        <f t="shared" si="131"/>
        <v>27</v>
      </c>
      <c r="G429" s="238">
        <f t="shared" si="131"/>
        <v>15</v>
      </c>
      <c r="H429" s="238">
        <f t="shared" si="131"/>
        <v>24</v>
      </c>
      <c r="I429" s="238">
        <f t="shared" si="131"/>
        <v>6</v>
      </c>
      <c r="J429" s="238" t="str">
        <f t="shared" si="131"/>
        <v>-</v>
      </c>
      <c r="K429" s="238" t="str">
        <f t="shared" si="131"/>
        <v>-</v>
      </c>
      <c r="L429" s="238">
        <f t="shared" si="131"/>
        <v>224</v>
      </c>
    </row>
    <row r="430" spans="1:12" s="200" customFormat="1" ht="11.25" customHeight="1">
      <c r="A430" s="95"/>
      <c r="B430" s="238"/>
      <c r="C430" s="238"/>
      <c r="D430" s="238"/>
      <c r="E430" s="238"/>
      <c r="F430" s="238"/>
      <c r="G430" s="238"/>
      <c r="H430" s="238"/>
      <c r="I430" s="238"/>
      <c r="J430" s="238"/>
      <c r="K430" s="238"/>
      <c r="L430" s="238"/>
    </row>
    <row r="431" spans="1:12" s="200" customFormat="1" ht="11.25" customHeight="1">
      <c r="A431" s="296" t="s">
        <v>270</v>
      </c>
      <c r="B431" s="296"/>
      <c r="C431" s="296"/>
      <c r="D431" s="296"/>
      <c r="E431" s="296"/>
      <c r="F431" s="296"/>
      <c r="G431" s="296"/>
      <c r="H431" s="296"/>
      <c r="I431" s="296"/>
      <c r="J431" s="296"/>
      <c r="K431" s="296"/>
      <c r="L431" s="296"/>
    </row>
    <row r="432" spans="1:12" s="200" customFormat="1" ht="11.25" customHeight="1">
      <c r="A432" s="303" t="s">
        <v>43</v>
      </c>
      <c r="B432" s="241"/>
      <c r="C432" s="241"/>
      <c r="D432" s="241"/>
      <c r="E432" s="241"/>
      <c r="F432" s="241"/>
      <c r="G432" s="241"/>
      <c r="H432" s="241"/>
      <c r="I432" s="241"/>
      <c r="J432" s="241"/>
      <c r="K432" s="241"/>
      <c r="L432" s="241"/>
    </row>
    <row r="433" spans="1:12" s="200" customFormat="1" ht="11.25" customHeight="1">
      <c r="A433" s="304"/>
      <c r="B433" s="237" t="s">
        <v>37</v>
      </c>
      <c r="C433" s="237" t="s">
        <v>28</v>
      </c>
      <c r="D433" s="237" t="s">
        <v>29</v>
      </c>
      <c r="E433" s="237" t="s">
        <v>30</v>
      </c>
      <c r="F433" s="237" t="s">
        <v>31</v>
      </c>
      <c r="G433" s="237" t="s">
        <v>32</v>
      </c>
      <c r="H433" s="237" t="s">
        <v>33</v>
      </c>
      <c r="I433" s="237" t="s">
        <v>34</v>
      </c>
      <c r="J433" s="237" t="s">
        <v>38</v>
      </c>
      <c r="K433" s="237" t="s">
        <v>75</v>
      </c>
      <c r="L433" s="237" t="s">
        <v>22</v>
      </c>
    </row>
    <row r="434" spans="1:12" s="200" customFormat="1" ht="11.25" customHeight="1">
      <c r="A434" s="242" t="str">
        <f>A110</f>
        <v>Newport</v>
      </c>
      <c r="B434" s="238"/>
      <c r="C434" s="238"/>
      <c r="D434" s="238"/>
      <c r="E434" s="238"/>
      <c r="F434" s="238"/>
      <c r="G434" s="238"/>
      <c r="H434" s="238"/>
      <c r="I434" s="238"/>
      <c r="J434" s="238"/>
      <c r="K434" s="238"/>
      <c r="L434" s="238"/>
    </row>
    <row r="435" spans="1:12" s="200" customFormat="1" ht="11.25" customHeight="1">
      <c r="A435" s="239" t="s">
        <v>24</v>
      </c>
      <c r="B435" s="238" t="s">
        <v>23</v>
      </c>
      <c r="C435" s="238" t="s">
        <v>23</v>
      </c>
      <c r="D435" s="238">
        <f t="shared" ref="D435:J435" si="132">AVERAGE(D121:D125)</f>
        <v>600.4</v>
      </c>
      <c r="E435" s="238">
        <f t="shared" si="132"/>
        <v>300.2</v>
      </c>
      <c r="F435" s="238">
        <f t="shared" si="132"/>
        <v>3003.8</v>
      </c>
      <c r="G435" s="238">
        <f t="shared" si="132"/>
        <v>1727.6</v>
      </c>
      <c r="H435" s="238">
        <f t="shared" si="132"/>
        <v>198.2</v>
      </c>
      <c r="I435" s="238">
        <f t="shared" si="132"/>
        <v>174.2</v>
      </c>
      <c r="J435" s="238">
        <f t="shared" si="132"/>
        <v>3.6</v>
      </c>
      <c r="K435" s="238" t="s">
        <v>23</v>
      </c>
      <c r="L435" s="238">
        <f>AVERAGE(L121:L125)</f>
        <v>6008</v>
      </c>
    </row>
    <row r="436" spans="1:12" s="200" customFormat="1" ht="11.25" customHeight="1">
      <c r="A436" s="239" t="s">
        <v>78</v>
      </c>
      <c r="B436" s="238" t="s">
        <v>23</v>
      </c>
      <c r="C436" s="238" t="s">
        <v>23</v>
      </c>
      <c r="D436" s="238">
        <f t="shared" ref="D436:I436" si="133">AVERAGE(D126:D130)</f>
        <v>826</v>
      </c>
      <c r="E436" s="238">
        <f t="shared" si="133"/>
        <v>1179.8</v>
      </c>
      <c r="F436" s="238">
        <f t="shared" si="133"/>
        <v>3835</v>
      </c>
      <c r="G436" s="238">
        <f t="shared" si="133"/>
        <v>1596.8</v>
      </c>
      <c r="H436" s="238">
        <f t="shared" si="133"/>
        <v>618.6</v>
      </c>
      <c r="I436" s="238">
        <f t="shared" si="133"/>
        <v>593.6</v>
      </c>
      <c r="J436" s="238" t="s">
        <v>23</v>
      </c>
      <c r="K436" s="238" t="s">
        <v>23</v>
      </c>
      <c r="L436" s="238">
        <f>AVERAGE(L126:L130)</f>
        <v>8649.7999999999993</v>
      </c>
    </row>
    <row r="437" spans="1:12" s="200" customFormat="1" ht="11.25" customHeight="1">
      <c r="A437" s="239" t="s">
        <v>10</v>
      </c>
      <c r="B437" s="238" t="s">
        <v>23</v>
      </c>
      <c r="C437" s="238" t="s">
        <v>23</v>
      </c>
      <c r="D437" s="238">
        <f t="shared" ref="D437:I437" si="134">AVERAGE(D131:D135)</f>
        <v>944.8</v>
      </c>
      <c r="E437" s="238">
        <f t="shared" si="134"/>
        <v>1236.25</v>
      </c>
      <c r="F437" s="238">
        <f t="shared" si="134"/>
        <v>1176.3333333333333</v>
      </c>
      <c r="G437" s="238">
        <f t="shared" si="134"/>
        <v>1159.25</v>
      </c>
      <c r="H437" s="238">
        <f t="shared" si="134"/>
        <v>601.4</v>
      </c>
      <c r="I437" s="238">
        <f t="shared" si="134"/>
        <v>553.6</v>
      </c>
      <c r="J437" s="238" t="s">
        <v>23</v>
      </c>
      <c r="K437" s="238" t="s">
        <v>23</v>
      </c>
      <c r="L437" s="238">
        <f>AVERAGE(L131:L135)</f>
        <v>4722</v>
      </c>
    </row>
    <row r="438" spans="1:12" s="200" customFormat="1" ht="11.25" customHeight="1">
      <c r="A438" s="239" t="s">
        <v>144</v>
      </c>
      <c r="B438" s="238" t="s">
        <v>23</v>
      </c>
      <c r="C438" s="238" t="s">
        <v>23</v>
      </c>
      <c r="D438" s="238">
        <f t="shared" ref="D438:I438" si="135">AVERAGE(D136:D140)</f>
        <v>919.8</v>
      </c>
      <c r="E438" s="238">
        <f t="shared" si="135"/>
        <v>914.6</v>
      </c>
      <c r="F438" s="238">
        <f t="shared" si="135"/>
        <v>329</v>
      </c>
      <c r="G438" s="238">
        <f t="shared" si="135"/>
        <v>848</v>
      </c>
      <c r="H438" s="238">
        <f t="shared" si="135"/>
        <v>453.4</v>
      </c>
      <c r="I438" s="238">
        <f t="shared" si="135"/>
        <v>241</v>
      </c>
      <c r="J438" s="238" t="s">
        <v>23</v>
      </c>
      <c r="K438" s="238" t="s">
        <v>23</v>
      </c>
      <c r="L438" s="238">
        <f>AVERAGE(L136:L140)</f>
        <v>3732.8</v>
      </c>
    </row>
    <row r="439" spans="1:12" s="200" customFormat="1" ht="11.25" customHeight="1">
      <c r="A439" s="95" t="s">
        <v>166</v>
      </c>
      <c r="B439" s="238">
        <f t="shared" ref="B439:I439" si="136">AVERAGE(B141:B145)</f>
        <v>252</v>
      </c>
      <c r="C439" s="238">
        <f t="shared" si="136"/>
        <v>452.2</v>
      </c>
      <c r="D439" s="238">
        <f t="shared" si="136"/>
        <v>953.8</v>
      </c>
      <c r="E439" s="238">
        <f t="shared" si="136"/>
        <v>922.6</v>
      </c>
      <c r="F439" s="238">
        <f t="shared" si="136"/>
        <v>406.5</v>
      </c>
      <c r="G439" s="238">
        <f t="shared" si="136"/>
        <v>630.75</v>
      </c>
      <c r="H439" s="238">
        <f t="shared" si="136"/>
        <v>753</v>
      </c>
      <c r="I439" s="238">
        <f t="shared" si="136"/>
        <v>550.79999999999995</v>
      </c>
      <c r="J439" s="238" t="s">
        <v>23</v>
      </c>
      <c r="K439" s="238" t="s">
        <v>23</v>
      </c>
      <c r="L439" s="238">
        <f>AVERAGE(L141:L145)</f>
        <v>4663.8</v>
      </c>
    </row>
    <row r="440" spans="1:12" s="200" customFormat="1" ht="11.25" customHeight="1">
      <c r="A440" s="95" t="s">
        <v>315</v>
      </c>
      <c r="B440" s="238" t="str">
        <f>B146</f>
        <v>-</v>
      </c>
      <c r="C440" s="238">
        <f>AVERAGE(C146:C150)</f>
        <v>81</v>
      </c>
      <c r="D440" s="238">
        <f t="shared" ref="D440:L440" si="137">AVERAGE(D146:D150)</f>
        <v>412</v>
      </c>
      <c r="E440" s="238">
        <f t="shared" si="137"/>
        <v>511.66666666666669</v>
      </c>
      <c r="F440" s="238">
        <f t="shared" si="137"/>
        <v>285</v>
      </c>
      <c r="G440" s="238">
        <f t="shared" si="137"/>
        <v>222.33333333333334</v>
      </c>
      <c r="H440" s="238">
        <f t="shared" si="137"/>
        <v>263.33333333333331</v>
      </c>
      <c r="I440" s="238">
        <f t="shared" si="137"/>
        <v>139.5</v>
      </c>
      <c r="J440" s="238">
        <f t="shared" si="137"/>
        <v>49.5</v>
      </c>
      <c r="K440" s="238" t="str">
        <f>K146</f>
        <v>-</v>
      </c>
      <c r="L440" s="238">
        <f t="shared" si="137"/>
        <v>1282.5</v>
      </c>
    </row>
    <row r="441" spans="1:12" s="200" customFormat="1" ht="11.25" customHeight="1">
      <c r="A441" s="95">
        <v>2011</v>
      </c>
      <c r="B441" s="238" t="str">
        <f t="shared" ref="B441:L441" si="138">B151</f>
        <v>-</v>
      </c>
      <c r="C441" s="238">
        <f t="shared" si="138"/>
        <v>60</v>
      </c>
      <c r="D441" s="238">
        <f t="shared" si="138"/>
        <v>325</v>
      </c>
      <c r="E441" s="238">
        <f t="shared" si="138"/>
        <v>229</v>
      </c>
      <c r="F441" s="238">
        <f t="shared" si="138"/>
        <v>22</v>
      </c>
      <c r="G441" s="238">
        <f t="shared" si="138"/>
        <v>101</v>
      </c>
      <c r="H441" s="238" t="str">
        <f t="shared" si="138"/>
        <v>-</v>
      </c>
      <c r="I441" s="238">
        <f t="shared" si="138"/>
        <v>11</v>
      </c>
      <c r="J441" s="238" t="str">
        <f t="shared" si="138"/>
        <v>-</v>
      </c>
      <c r="K441" s="238" t="str">
        <f t="shared" si="138"/>
        <v>-</v>
      </c>
      <c r="L441" s="238">
        <f t="shared" si="138"/>
        <v>748</v>
      </c>
    </row>
    <row r="442" spans="1:12" s="200" customFormat="1" ht="11.25" customHeight="1">
      <c r="A442" s="95">
        <v>2012</v>
      </c>
      <c r="B442" s="238" t="str">
        <f t="shared" ref="B442:L442" si="139">B152</f>
        <v>-</v>
      </c>
      <c r="C442" s="238">
        <f t="shared" si="139"/>
        <v>155</v>
      </c>
      <c r="D442" s="238">
        <f t="shared" si="139"/>
        <v>475</v>
      </c>
      <c r="E442" s="238">
        <f t="shared" si="139"/>
        <v>335</v>
      </c>
      <c r="F442" s="238">
        <f t="shared" si="139"/>
        <v>114</v>
      </c>
      <c r="G442" s="238">
        <f t="shared" si="139"/>
        <v>312</v>
      </c>
      <c r="H442" s="238">
        <f t="shared" si="139"/>
        <v>465</v>
      </c>
      <c r="I442" s="238">
        <f t="shared" si="139"/>
        <v>256</v>
      </c>
      <c r="J442" s="238" t="str">
        <f t="shared" si="139"/>
        <v>-</v>
      </c>
      <c r="K442" s="238" t="str">
        <f t="shared" si="139"/>
        <v>-</v>
      </c>
      <c r="L442" s="238">
        <f t="shared" si="139"/>
        <v>2112</v>
      </c>
    </row>
    <row r="443" spans="1:12" s="200" customFormat="1" ht="11.25" customHeight="1">
      <c r="A443" s="95">
        <v>2013</v>
      </c>
      <c r="B443" s="238" t="str">
        <f t="shared" ref="B443:L443" si="140">B153</f>
        <v>-</v>
      </c>
      <c r="C443" s="238">
        <f t="shared" si="140"/>
        <v>334</v>
      </c>
      <c r="D443" s="238">
        <f t="shared" si="140"/>
        <v>484</v>
      </c>
      <c r="E443" s="238">
        <f t="shared" si="140"/>
        <v>263</v>
      </c>
      <c r="F443" s="238">
        <f t="shared" si="140"/>
        <v>141</v>
      </c>
      <c r="G443" s="238">
        <f t="shared" si="140"/>
        <v>325</v>
      </c>
      <c r="H443" s="238">
        <f t="shared" si="140"/>
        <v>98</v>
      </c>
      <c r="I443" s="238">
        <f t="shared" si="140"/>
        <v>77</v>
      </c>
      <c r="J443" s="238" t="str">
        <f t="shared" si="140"/>
        <v>-</v>
      </c>
      <c r="K443" s="238" t="str">
        <f t="shared" si="140"/>
        <v>-</v>
      </c>
      <c r="L443" s="238">
        <f t="shared" si="140"/>
        <v>1722</v>
      </c>
    </row>
    <row r="444" spans="1:12" s="200" customFormat="1" ht="11.25" customHeight="1">
      <c r="A444" s="95">
        <v>2014</v>
      </c>
      <c r="B444" s="238" t="str">
        <f t="shared" ref="B444:L444" si="141">B154</f>
        <v>-</v>
      </c>
      <c r="C444" s="238">
        <f t="shared" si="141"/>
        <v>469</v>
      </c>
      <c r="D444" s="238">
        <f t="shared" si="141"/>
        <v>1076</v>
      </c>
      <c r="E444" s="238">
        <f t="shared" si="141"/>
        <v>507</v>
      </c>
      <c r="F444" s="238">
        <f t="shared" si="141"/>
        <v>354</v>
      </c>
      <c r="G444" s="238">
        <f t="shared" si="141"/>
        <v>932</v>
      </c>
      <c r="H444" s="238">
        <f t="shared" si="141"/>
        <v>255</v>
      </c>
      <c r="I444" s="238">
        <f t="shared" si="141"/>
        <v>104</v>
      </c>
      <c r="J444" s="238" t="str">
        <f t="shared" si="141"/>
        <v>-</v>
      </c>
      <c r="K444" s="238" t="str">
        <f t="shared" si="141"/>
        <v>-</v>
      </c>
      <c r="L444" s="238">
        <f t="shared" si="141"/>
        <v>3697</v>
      </c>
    </row>
    <row r="445" spans="1:12" s="200" customFormat="1" ht="11.25" customHeight="1">
      <c r="A445" s="95">
        <v>2015</v>
      </c>
      <c r="B445" s="238" t="str">
        <f t="shared" ref="B445:L445" si="142">B155</f>
        <v>-</v>
      </c>
      <c r="C445" s="238">
        <f t="shared" si="142"/>
        <v>738</v>
      </c>
      <c r="D445" s="238">
        <f t="shared" si="142"/>
        <v>317</v>
      </c>
      <c r="E445" s="238">
        <f t="shared" si="142"/>
        <v>230</v>
      </c>
      <c r="F445" s="238">
        <f t="shared" si="142"/>
        <v>782</v>
      </c>
      <c r="G445" s="238">
        <f t="shared" si="142"/>
        <v>530</v>
      </c>
      <c r="H445" s="238">
        <f t="shared" si="142"/>
        <v>155</v>
      </c>
      <c r="I445" s="238" t="str">
        <f t="shared" si="142"/>
        <v>-</v>
      </c>
      <c r="J445" s="238" t="str">
        <f t="shared" si="142"/>
        <v>-</v>
      </c>
      <c r="K445" s="238" t="str">
        <f t="shared" si="142"/>
        <v>-</v>
      </c>
      <c r="L445" s="238">
        <f t="shared" si="142"/>
        <v>2752</v>
      </c>
    </row>
    <row r="446" spans="1:12" s="200" customFormat="1" ht="11.25" customHeight="1">
      <c r="A446" s="95">
        <v>2016</v>
      </c>
      <c r="B446" s="238" t="str">
        <f t="shared" ref="B446:L446" si="143">B156</f>
        <v>-</v>
      </c>
      <c r="C446" s="238">
        <f t="shared" si="143"/>
        <v>666</v>
      </c>
      <c r="D446" s="238">
        <f t="shared" si="143"/>
        <v>625</v>
      </c>
      <c r="E446" s="238">
        <f t="shared" si="143"/>
        <v>309</v>
      </c>
      <c r="F446" s="238">
        <f t="shared" si="143"/>
        <v>388</v>
      </c>
      <c r="G446" s="238">
        <f t="shared" si="143"/>
        <v>547</v>
      </c>
      <c r="H446" s="238">
        <f t="shared" si="143"/>
        <v>217</v>
      </c>
      <c r="I446" s="238">
        <f t="shared" si="143"/>
        <v>4</v>
      </c>
      <c r="J446" s="238" t="str">
        <f t="shared" si="143"/>
        <v>-</v>
      </c>
      <c r="K446" s="238" t="str">
        <f t="shared" si="143"/>
        <v>-</v>
      </c>
      <c r="L446" s="238">
        <f t="shared" si="143"/>
        <v>2756</v>
      </c>
    </row>
    <row r="447" spans="1:12" s="200" customFormat="1" ht="11.25" customHeight="1">
      <c r="A447" s="95">
        <v>2017</v>
      </c>
      <c r="B447" s="238" t="str">
        <f t="shared" ref="B447:L447" si="144">B157</f>
        <v>-</v>
      </c>
      <c r="C447" s="238">
        <f t="shared" si="144"/>
        <v>99</v>
      </c>
      <c r="D447" s="238">
        <f t="shared" si="144"/>
        <v>149</v>
      </c>
      <c r="E447" s="238">
        <f t="shared" si="144"/>
        <v>345</v>
      </c>
      <c r="F447" s="238">
        <f t="shared" si="144"/>
        <v>647</v>
      </c>
      <c r="G447" s="238" t="str">
        <f t="shared" si="144"/>
        <v>-</v>
      </c>
      <c r="H447" s="238">
        <f t="shared" si="144"/>
        <v>18</v>
      </c>
      <c r="I447" s="238">
        <f t="shared" si="144"/>
        <v>6</v>
      </c>
      <c r="J447" s="238" t="str">
        <f t="shared" si="144"/>
        <v>-</v>
      </c>
      <c r="K447" s="238" t="str">
        <f t="shared" si="144"/>
        <v>-</v>
      </c>
      <c r="L447" s="238">
        <f t="shared" si="144"/>
        <v>1264</v>
      </c>
    </row>
    <row r="448" spans="1:12" s="200" customFormat="1" ht="11.25" customHeight="1">
      <c r="A448" s="95">
        <v>2018</v>
      </c>
      <c r="B448" s="238" t="str">
        <f t="shared" ref="B448:L448" si="145">B158</f>
        <v>-</v>
      </c>
      <c r="C448" s="238" t="str">
        <f t="shared" si="145"/>
        <v>-</v>
      </c>
      <c r="D448" s="238">
        <f t="shared" si="145"/>
        <v>161</v>
      </c>
      <c r="E448" s="238">
        <f t="shared" si="145"/>
        <v>119</v>
      </c>
      <c r="F448" s="238">
        <f t="shared" si="145"/>
        <v>191</v>
      </c>
      <c r="G448" s="238">
        <f t="shared" si="145"/>
        <v>534</v>
      </c>
      <c r="H448" s="238">
        <f t="shared" si="145"/>
        <v>36</v>
      </c>
      <c r="I448" s="238">
        <f t="shared" si="145"/>
        <v>2</v>
      </c>
      <c r="J448" s="238" t="str">
        <f t="shared" si="145"/>
        <v>-</v>
      </c>
      <c r="K448" s="238" t="str">
        <f t="shared" si="145"/>
        <v>-</v>
      </c>
      <c r="L448" s="238">
        <f t="shared" si="145"/>
        <v>1043</v>
      </c>
    </row>
    <row r="449" spans="1:12" s="200" customFormat="1" ht="11.25" customHeight="1">
      <c r="A449" s="95">
        <v>2019</v>
      </c>
      <c r="B449" s="238" t="str">
        <f t="shared" ref="B449:L449" si="146">B159</f>
        <v>-</v>
      </c>
      <c r="C449" s="238">
        <f t="shared" si="146"/>
        <v>30</v>
      </c>
      <c r="D449" s="238">
        <f t="shared" si="146"/>
        <v>60</v>
      </c>
      <c r="E449" s="238">
        <f t="shared" si="146"/>
        <v>235</v>
      </c>
      <c r="F449" s="238">
        <f t="shared" si="146"/>
        <v>828</v>
      </c>
      <c r="G449" s="238">
        <f t="shared" si="146"/>
        <v>356</v>
      </c>
      <c r="H449" s="238">
        <f t="shared" si="146"/>
        <v>75</v>
      </c>
      <c r="I449" s="238">
        <f t="shared" si="146"/>
        <v>9</v>
      </c>
      <c r="J449" s="238" t="str">
        <f t="shared" si="146"/>
        <v>-</v>
      </c>
      <c r="K449" s="238" t="str">
        <f t="shared" si="146"/>
        <v>-</v>
      </c>
      <c r="L449" s="238">
        <f t="shared" si="146"/>
        <v>1593</v>
      </c>
    </row>
    <row r="450" spans="1:12" s="200" customFormat="1" ht="11.25" customHeight="1">
      <c r="A450" s="95">
        <v>2020</v>
      </c>
      <c r="B450" s="238" t="str">
        <f t="shared" ref="B450:L451" si="147">B160</f>
        <v>-</v>
      </c>
      <c r="C450" s="238">
        <f t="shared" si="147"/>
        <v>91</v>
      </c>
      <c r="D450" s="238">
        <f t="shared" si="147"/>
        <v>77</v>
      </c>
      <c r="E450" s="238">
        <f t="shared" si="147"/>
        <v>276</v>
      </c>
      <c r="F450" s="238">
        <f t="shared" si="147"/>
        <v>401</v>
      </c>
      <c r="G450" s="238">
        <f t="shared" si="147"/>
        <v>216</v>
      </c>
      <c r="H450" s="238">
        <f t="shared" si="147"/>
        <v>111</v>
      </c>
      <c r="I450" s="238">
        <f t="shared" si="147"/>
        <v>13</v>
      </c>
      <c r="J450" s="238" t="str">
        <f t="shared" si="147"/>
        <v>-</v>
      </c>
      <c r="K450" s="238" t="str">
        <f t="shared" si="147"/>
        <v>-</v>
      </c>
      <c r="L450" s="238">
        <f t="shared" si="147"/>
        <v>1185</v>
      </c>
    </row>
    <row r="451" spans="1:12" s="200" customFormat="1" ht="11.25" customHeight="1">
      <c r="A451" s="95" t="s">
        <v>317</v>
      </c>
      <c r="B451" s="238">
        <f t="shared" si="147"/>
        <v>32</v>
      </c>
      <c r="C451" s="238">
        <f t="shared" si="147"/>
        <v>352</v>
      </c>
      <c r="D451" s="238">
        <f t="shared" si="147"/>
        <v>163</v>
      </c>
      <c r="E451" s="238">
        <f t="shared" si="147"/>
        <v>60</v>
      </c>
      <c r="F451" s="238">
        <f t="shared" si="147"/>
        <v>290</v>
      </c>
      <c r="G451" s="238">
        <f t="shared" si="147"/>
        <v>244</v>
      </c>
      <c r="H451" s="238">
        <f t="shared" si="147"/>
        <v>15</v>
      </c>
      <c r="I451" s="238">
        <f t="shared" si="147"/>
        <v>4</v>
      </c>
      <c r="J451" s="238" t="str">
        <f t="shared" si="147"/>
        <v>-</v>
      </c>
      <c r="K451" s="238" t="str">
        <f t="shared" si="147"/>
        <v>-</v>
      </c>
      <c r="L451" s="238">
        <f t="shared" si="147"/>
        <v>1160</v>
      </c>
    </row>
    <row r="452" spans="1:12" s="200" customFormat="1" ht="11.25" customHeight="1">
      <c r="A452" s="239"/>
      <c r="B452" s="238"/>
      <c r="C452" s="238"/>
      <c r="D452" s="238"/>
      <c r="E452" s="238"/>
      <c r="F452" s="238"/>
      <c r="G452" s="238"/>
      <c r="H452" s="238"/>
      <c r="I452" s="238"/>
      <c r="J452" s="238"/>
      <c r="K452" s="238"/>
      <c r="L452" s="238"/>
    </row>
    <row r="453" spans="1:12" s="200" customFormat="1" ht="11.25" customHeight="1">
      <c r="A453" s="242" t="str">
        <f>A163</f>
        <v>Coos Bay</v>
      </c>
      <c r="B453" s="238"/>
      <c r="C453" s="238"/>
      <c r="D453" s="238"/>
      <c r="E453" s="238"/>
      <c r="F453" s="238"/>
      <c r="G453" s="238"/>
      <c r="H453" s="238"/>
      <c r="I453" s="238"/>
      <c r="J453" s="238"/>
      <c r="K453" s="238"/>
      <c r="L453" s="238"/>
    </row>
    <row r="454" spans="1:12" s="200" customFormat="1" ht="11.25" customHeight="1">
      <c r="A454" s="239" t="s">
        <v>24</v>
      </c>
      <c r="B454" s="238" t="s">
        <v>23</v>
      </c>
      <c r="C454" s="238" t="s">
        <v>23</v>
      </c>
      <c r="D454" s="238">
        <f t="shared" ref="D454:J454" si="148">AVERAGE(D174:D178)</f>
        <v>714.4</v>
      </c>
      <c r="E454" s="238">
        <f t="shared" si="148"/>
        <v>664.2</v>
      </c>
      <c r="F454" s="238">
        <f t="shared" si="148"/>
        <v>5159.2</v>
      </c>
      <c r="G454" s="238">
        <f t="shared" si="148"/>
        <v>2633.4</v>
      </c>
      <c r="H454" s="238">
        <f t="shared" si="148"/>
        <v>603.6</v>
      </c>
      <c r="I454" s="238">
        <f t="shared" si="148"/>
        <v>180.4</v>
      </c>
      <c r="J454" s="238">
        <f t="shared" si="148"/>
        <v>4.5999999999999996</v>
      </c>
      <c r="K454" s="238" t="s">
        <v>23</v>
      </c>
      <c r="L454" s="238">
        <f>AVERAGE(L174:L178)</f>
        <v>9959.7999999999993</v>
      </c>
    </row>
    <row r="455" spans="1:12" s="200" customFormat="1" ht="11.25" customHeight="1">
      <c r="A455" s="239" t="s">
        <v>78</v>
      </c>
      <c r="B455" s="238" t="s">
        <v>23</v>
      </c>
      <c r="C455" s="238" t="s">
        <v>23</v>
      </c>
      <c r="D455" s="238">
        <f t="shared" ref="D455:J455" si="149">AVERAGE(D179:D183)</f>
        <v>2737.2</v>
      </c>
      <c r="E455" s="238">
        <f t="shared" si="149"/>
        <v>2986.2</v>
      </c>
      <c r="F455" s="238">
        <f t="shared" si="149"/>
        <v>7267</v>
      </c>
      <c r="G455" s="238">
        <f t="shared" si="149"/>
        <v>4664.6000000000004</v>
      </c>
      <c r="H455" s="238">
        <f t="shared" si="149"/>
        <v>1588.2</v>
      </c>
      <c r="I455" s="238">
        <f t="shared" si="149"/>
        <v>964</v>
      </c>
      <c r="J455" s="238">
        <f t="shared" si="149"/>
        <v>497</v>
      </c>
      <c r="K455" s="238" t="s">
        <v>23</v>
      </c>
      <c r="L455" s="238">
        <f>AVERAGE(L179:L183)</f>
        <v>20306.599999999999</v>
      </c>
    </row>
    <row r="456" spans="1:12" s="200" customFormat="1" ht="11.25" customHeight="1">
      <c r="A456" s="239" t="s">
        <v>10</v>
      </c>
      <c r="B456" s="238" t="s">
        <v>23</v>
      </c>
      <c r="C456" s="238" t="s">
        <v>23</v>
      </c>
      <c r="D456" s="238">
        <f>AVERAGE(D184:D188)</f>
        <v>193.4</v>
      </c>
      <c r="E456" s="238">
        <f t="shared" ref="E456:J456" si="150">AVERAGE(E184:E188)</f>
        <v>696.25</v>
      </c>
      <c r="F456" s="238">
        <f t="shared" si="150"/>
        <v>553.66666666666663</v>
      </c>
      <c r="G456" s="238">
        <f t="shared" si="150"/>
        <v>418</v>
      </c>
      <c r="H456" s="238">
        <f t="shared" si="150"/>
        <v>287</v>
      </c>
      <c r="I456" s="238">
        <f t="shared" si="150"/>
        <v>254.8</v>
      </c>
      <c r="J456" s="238">
        <f t="shared" si="150"/>
        <v>87.666666666666671</v>
      </c>
      <c r="K456" s="238" t="s">
        <v>23</v>
      </c>
      <c r="L456" s="238">
        <f>AVERAGE(L184:L188)</f>
        <v>2011.4</v>
      </c>
    </row>
    <row r="457" spans="1:12" s="200" customFormat="1" ht="11.25" customHeight="1">
      <c r="A457" s="239" t="s">
        <v>144</v>
      </c>
      <c r="B457" s="238" t="s">
        <v>23</v>
      </c>
      <c r="C457" s="238" t="s">
        <v>23</v>
      </c>
      <c r="D457" s="238">
        <f>AVERAGE(D189:D193)</f>
        <v>291.39999999999998</v>
      </c>
      <c r="E457" s="238">
        <f t="shared" ref="E457:J457" si="151">AVERAGE(E189:E193)</f>
        <v>470.6</v>
      </c>
      <c r="F457" s="238">
        <f t="shared" si="151"/>
        <v>570</v>
      </c>
      <c r="G457" s="238">
        <f t="shared" si="151"/>
        <v>498.2</v>
      </c>
      <c r="H457" s="238">
        <f t="shared" si="151"/>
        <v>243.2</v>
      </c>
      <c r="I457" s="238">
        <f t="shared" si="151"/>
        <v>209</v>
      </c>
      <c r="J457" s="238">
        <f t="shared" si="151"/>
        <v>103.8</v>
      </c>
      <c r="K457" s="238" t="s">
        <v>23</v>
      </c>
      <c r="L457" s="238">
        <f>AVERAGE(L189:L193)</f>
        <v>2135.4</v>
      </c>
    </row>
    <row r="458" spans="1:12" s="200" customFormat="1" ht="11.25" customHeight="1">
      <c r="A458" s="95" t="s">
        <v>166</v>
      </c>
      <c r="B458" s="238">
        <f>AVERAGE(B194:B198)</f>
        <v>363.5</v>
      </c>
      <c r="C458" s="238">
        <f>AVERAGE(C194:C198)</f>
        <v>692</v>
      </c>
      <c r="D458" s="238">
        <f>AVERAGE(D194:D198)</f>
        <v>1088</v>
      </c>
      <c r="E458" s="238">
        <f t="shared" ref="E458:L458" si="152">AVERAGE(E194:E198)</f>
        <v>896.75</v>
      </c>
      <c r="F458" s="238">
        <f t="shared" si="152"/>
        <v>361</v>
      </c>
      <c r="G458" s="238">
        <f t="shared" si="152"/>
        <v>775.5</v>
      </c>
      <c r="H458" s="238">
        <f t="shared" si="152"/>
        <v>618.6</v>
      </c>
      <c r="I458" s="238">
        <f t="shared" si="152"/>
        <v>443.4</v>
      </c>
      <c r="J458" s="238">
        <f t="shared" si="152"/>
        <v>150.6</v>
      </c>
      <c r="K458" s="238">
        <f t="shared" si="152"/>
        <v>25.2</v>
      </c>
      <c r="L458" s="238">
        <f t="shared" si="152"/>
        <v>4935.2</v>
      </c>
    </row>
    <row r="459" spans="1:12" s="200" customFormat="1" ht="11.25" customHeight="1">
      <c r="A459" s="95" t="s">
        <v>315</v>
      </c>
      <c r="B459" s="238" t="str">
        <f>B199</f>
        <v>-</v>
      </c>
      <c r="C459" s="238">
        <f>AVERAGE(C199:C203)</f>
        <v>253</v>
      </c>
      <c r="D459" s="238">
        <f t="shared" ref="D459:L459" si="153">AVERAGE(D199:D203)</f>
        <v>529.5</v>
      </c>
      <c r="E459" s="238">
        <f t="shared" si="153"/>
        <v>393.5</v>
      </c>
      <c r="F459" s="238">
        <f t="shared" si="153"/>
        <v>168</v>
      </c>
      <c r="G459" s="238">
        <f t="shared" si="153"/>
        <v>614.5</v>
      </c>
      <c r="H459" s="238">
        <f t="shared" si="153"/>
        <v>82.666666666666671</v>
      </c>
      <c r="I459" s="238">
        <f t="shared" si="153"/>
        <v>115</v>
      </c>
      <c r="J459" s="238">
        <f t="shared" si="153"/>
        <v>109.66666666666667</v>
      </c>
      <c r="K459" s="238">
        <f t="shared" si="153"/>
        <v>26</v>
      </c>
      <c r="L459" s="238">
        <f t="shared" si="153"/>
        <v>945.4</v>
      </c>
    </row>
    <row r="460" spans="1:12" s="200" customFormat="1" ht="11.25" customHeight="1">
      <c r="A460" s="95">
        <v>2011</v>
      </c>
      <c r="B460" s="238" t="str">
        <f t="shared" ref="B460:L460" si="154">B204</f>
        <v>-</v>
      </c>
      <c r="C460" s="238">
        <f t="shared" si="154"/>
        <v>256</v>
      </c>
      <c r="D460" s="238">
        <f t="shared" si="154"/>
        <v>538</v>
      </c>
      <c r="E460" s="238">
        <f t="shared" si="154"/>
        <v>755</v>
      </c>
      <c r="F460" s="238">
        <f t="shared" si="154"/>
        <v>57</v>
      </c>
      <c r="G460" s="238">
        <f t="shared" si="154"/>
        <v>83</v>
      </c>
      <c r="H460" s="238">
        <f t="shared" si="154"/>
        <v>80</v>
      </c>
      <c r="I460" s="238">
        <f t="shared" si="154"/>
        <v>202</v>
      </c>
      <c r="J460" s="238">
        <f t="shared" si="154"/>
        <v>235</v>
      </c>
      <c r="K460" s="238" t="str">
        <f t="shared" si="154"/>
        <v>-</v>
      </c>
      <c r="L460" s="238">
        <f t="shared" si="154"/>
        <v>2206</v>
      </c>
    </row>
    <row r="461" spans="1:12" s="200" customFormat="1" ht="11.25" customHeight="1">
      <c r="A461" s="95">
        <v>2012</v>
      </c>
      <c r="B461" s="238" t="str">
        <f t="shared" ref="B461:L461" si="155">B205</f>
        <v>-</v>
      </c>
      <c r="C461" s="238">
        <f t="shared" si="155"/>
        <v>315</v>
      </c>
      <c r="D461" s="238">
        <f t="shared" si="155"/>
        <v>784</v>
      </c>
      <c r="E461" s="238">
        <f t="shared" si="155"/>
        <v>510</v>
      </c>
      <c r="F461" s="238">
        <f t="shared" si="155"/>
        <v>96</v>
      </c>
      <c r="G461" s="238">
        <f t="shared" si="155"/>
        <v>298</v>
      </c>
      <c r="H461" s="238">
        <f t="shared" si="155"/>
        <v>320</v>
      </c>
      <c r="I461" s="238">
        <f t="shared" si="155"/>
        <v>267</v>
      </c>
      <c r="J461" s="238">
        <f t="shared" si="155"/>
        <v>121</v>
      </c>
      <c r="K461" s="238" t="str">
        <f t="shared" si="155"/>
        <v>-</v>
      </c>
      <c r="L461" s="238">
        <f t="shared" si="155"/>
        <v>2711</v>
      </c>
    </row>
    <row r="462" spans="1:12" s="200" customFormat="1" ht="11.25" customHeight="1">
      <c r="A462" s="95">
        <v>2013</v>
      </c>
      <c r="B462" s="238" t="str">
        <f t="shared" ref="B462:L462" si="156">B206</f>
        <v>-</v>
      </c>
      <c r="C462" s="238">
        <f t="shared" si="156"/>
        <v>506</v>
      </c>
      <c r="D462" s="238">
        <f t="shared" si="156"/>
        <v>563</v>
      </c>
      <c r="E462" s="238">
        <f t="shared" si="156"/>
        <v>456</v>
      </c>
      <c r="F462" s="238">
        <f t="shared" si="156"/>
        <v>337</v>
      </c>
      <c r="G462" s="238">
        <f t="shared" si="156"/>
        <v>1626</v>
      </c>
      <c r="H462" s="238">
        <f t="shared" si="156"/>
        <v>1055</v>
      </c>
      <c r="I462" s="238">
        <f t="shared" si="156"/>
        <v>742</v>
      </c>
      <c r="J462" s="238">
        <f t="shared" si="156"/>
        <v>155</v>
      </c>
      <c r="K462" s="238" t="str">
        <f t="shared" si="156"/>
        <v>-</v>
      </c>
      <c r="L462" s="238">
        <f t="shared" si="156"/>
        <v>5440</v>
      </c>
    </row>
    <row r="463" spans="1:12" s="200" customFormat="1" ht="11.25" customHeight="1">
      <c r="A463" s="95">
        <v>2014</v>
      </c>
      <c r="B463" s="238" t="str">
        <f t="shared" ref="B463:L463" si="157">B207</f>
        <v>-</v>
      </c>
      <c r="C463" s="238">
        <f t="shared" si="157"/>
        <v>473</v>
      </c>
      <c r="D463" s="238">
        <f t="shared" si="157"/>
        <v>929</v>
      </c>
      <c r="E463" s="238">
        <f t="shared" si="157"/>
        <v>1052</v>
      </c>
      <c r="F463" s="238">
        <f t="shared" si="157"/>
        <v>648</v>
      </c>
      <c r="G463" s="238">
        <f t="shared" si="157"/>
        <v>1183</v>
      </c>
      <c r="H463" s="238">
        <f t="shared" si="157"/>
        <v>310</v>
      </c>
      <c r="I463" s="238">
        <f t="shared" si="157"/>
        <v>171</v>
      </c>
      <c r="J463" s="238">
        <f t="shared" si="157"/>
        <v>98</v>
      </c>
      <c r="K463" s="238" t="str">
        <f t="shared" si="157"/>
        <v>-</v>
      </c>
      <c r="L463" s="238">
        <f t="shared" si="157"/>
        <v>4864</v>
      </c>
    </row>
    <row r="464" spans="1:12" s="200" customFormat="1" ht="11.25" customHeight="1">
      <c r="A464" s="95">
        <v>2015</v>
      </c>
      <c r="B464" s="238" t="str">
        <f t="shared" ref="B464:L464" si="158">B208</f>
        <v>-</v>
      </c>
      <c r="C464" s="238">
        <f t="shared" si="158"/>
        <v>967</v>
      </c>
      <c r="D464" s="238">
        <f t="shared" si="158"/>
        <v>924</v>
      </c>
      <c r="E464" s="238">
        <f t="shared" si="158"/>
        <v>770</v>
      </c>
      <c r="F464" s="238">
        <f t="shared" si="158"/>
        <v>484</v>
      </c>
      <c r="G464" s="238">
        <f t="shared" si="158"/>
        <v>232</v>
      </c>
      <c r="H464" s="238">
        <f t="shared" si="158"/>
        <v>72</v>
      </c>
      <c r="I464" s="238">
        <f t="shared" si="158"/>
        <v>166</v>
      </c>
      <c r="J464" s="238">
        <f t="shared" si="158"/>
        <v>158</v>
      </c>
      <c r="K464" s="238" t="str">
        <f t="shared" si="158"/>
        <v>-</v>
      </c>
      <c r="L464" s="238">
        <f t="shared" si="158"/>
        <v>3773</v>
      </c>
    </row>
    <row r="465" spans="1:12" s="200" customFormat="1" ht="11.25" customHeight="1">
      <c r="A465" s="95">
        <v>2016</v>
      </c>
      <c r="B465" s="238" t="str">
        <f t="shared" ref="B465:L465" si="159">B209</f>
        <v>-</v>
      </c>
      <c r="C465" s="238">
        <f t="shared" si="159"/>
        <v>178</v>
      </c>
      <c r="D465" s="238">
        <f t="shared" si="159"/>
        <v>170</v>
      </c>
      <c r="E465" s="238">
        <f t="shared" si="159"/>
        <v>260</v>
      </c>
      <c r="F465" s="238">
        <f t="shared" si="159"/>
        <v>146</v>
      </c>
      <c r="G465" s="238">
        <f t="shared" si="159"/>
        <v>75</v>
      </c>
      <c r="H465" s="238">
        <f t="shared" si="159"/>
        <v>58</v>
      </c>
      <c r="I465" s="238">
        <f t="shared" si="159"/>
        <v>119</v>
      </c>
      <c r="J465" s="238">
        <f t="shared" si="159"/>
        <v>41</v>
      </c>
      <c r="K465" s="238" t="str">
        <f t="shared" si="159"/>
        <v>-</v>
      </c>
      <c r="L465" s="238">
        <f t="shared" si="159"/>
        <v>1047</v>
      </c>
    </row>
    <row r="466" spans="1:12" s="200" customFormat="1" ht="11.25" customHeight="1">
      <c r="A466" s="95">
        <v>2017</v>
      </c>
      <c r="B466" s="238" t="str">
        <f t="shared" ref="B466:L466" si="160">B210</f>
        <v>-</v>
      </c>
      <c r="C466" s="238" t="str">
        <f t="shared" si="160"/>
        <v>-</v>
      </c>
      <c r="D466" s="238" t="str">
        <f t="shared" si="160"/>
        <v>-</v>
      </c>
      <c r="E466" s="238" t="str">
        <f t="shared" si="160"/>
        <v>-</v>
      </c>
      <c r="F466" s="238" t="str">
        <f t="shared" si="160"/>
        <v>-</v>
      </c>
      <c r="G466" s="238" t="str">
        <f t="shared" si="160"/>
        <v>-</v>
      </c>
      <c r="H466" s="238" t="str">
        <f t="shared" si="160"/>
        <v>-</v>
      </c>
      <c r="I466" s="238">
        <f t="shared" si="160"/>
        <v>114</v>
      </c>
      <c r="J466" s="238">
        <f t="shared" si="160"/>
        <v>41</v>
      </c>
      <c r="K466" s="238" t="str">
        <f t="shared" si="160"/>
        <v>-</v>
      </c>
      <c r="L466" s="238">
        <f t="shared" si="160"/>
        <v>155</v>
      </c>
    </row>
    <row r="467" spans="1:12" s="200" customFormat="1" ht="11.25" customHeight="1">
      <c r="A467" s="95">
        <v>2018</v>
      </c>
      <c r="B467" s="238" t="str">
        <f t="shared" ref="B467:L467" si="161">B211</f>
        <v>-</v>
      </c>
      <c r="C467" s="238" t="str">
        <f t="shared" si="161"/>
        <v>-</v>
      </c>
      <c r="D467" s="238">
        <f t="shared" si="161"/>
        <v>127</v>
      </c>
      <c r="E467" s="238">
        <f t="shared" si="161"/>
        <v>270</v>
      </c>
      <c r="F467" s="238">
        <f t="shared" si="161"/>
        <v>91</v>
      </c>
      <c r="G467" s="238">
        <f t="shared" si="161"/>
        <v>97</v>
      </c>
      <c r="H467" s="238">
        <f t="shared" si="161"/>
        <v>21</v>
      </c>
      <c r="I467" s="238">
        <f t="shared" si="161"/>
        <v>89</v>
      </c>
      <c r="J467" s="238">
        <f t="shared" si="161"/>
        <v>83</v>
      </c>
      <c r="K467" s="238" t="str">
        <f t="shared" si="161"/>
        <v>-</v>
      </c>
      <c r="L467" s="238">
        <f t="shared" si="161"/>
        <v>778</v>
      </c>
    </row>
    <row r="468" spans="1:12" s="200" customFormat="1" ht="11.25" customHeight="1">
      <c r="A468" s="95">
        <v>2019</v>
      </c>
      <c r="B468" s="238" t="str">
        <f t="shared" ref="B468:L468" si="162">B212</f>
        <v>-</v>
      </c>
      <c r="C468" s="238">
        <f t="shared" si="162"/>
        <v>16</v>
      </c>
      <c r="D468" s="238">
        <f t="shared" si="162"/>
        <v>29</v>
      </c>
      <c r="E468" s="238">
        <f t="shared" si="162"/>
        <v>85</v>
      </c>
      <c r="F468" s="238">
        <f t="shared" si="162"/>
        <v>68</v>
      </c>
      <c r="G468" s="238">
        <f t="shared" si="162"/>
        <v>21</v>
      </c>
      <c r="H468" s="238">
        <f t="shared" si="162"/>
        <v>14</v>
      </c>
      <c r="I468" s="238">
        <f t="shared" si="162"/>
        <v>154</v>
      </c>
      <c r="J468" s="238" t="str">
        <f t="shared" si="162"/>
        <v>-</v>
      </c>
      <c r="K468" s="238" t="str">
        <f t="shared" si="162"/>
        <v>-</v>
      </c>
      <c r="L468" s="238">
        <f t="shared" si="162"/>
        <v>387</v>
      </c>
    </row>
    <row r="469" spans="1:12" s="200" customFormat="1" ht="11.25" customHeight="1">
      <c r="A469" s="95">
        <v>2020</v>
      </c>
      <c r="B469" s="238" t="str">
        <f t="shared" ref="B469:L470" si="163">B213</f>
        <v>-</v>
      </c>
      <c r="C469" s="238">
        <f t="shared" si="163"/>
        <v>43</v>
      </c>
      <c r="D469" s="238">
        <f t="shared" si="163"/>
        <v>11</v>
      </c>
      <c r="E469" s="238">
        <f t="shared" si="163"/>
        <v>43</v>
      </c>
      <c r="F469" s="238">
        <f t="shared" si="163"/>
        <v>140</v>
      </c>
      <c r="G469" s="238">
        <f t="shared" si="163"/>
        <v>21</v>
      </c>
      <c r="H469" s="238">
        <f t="shared" si="163"/>
        <v>29</v>
      </c>
      <c r="I469" s="238">
        <f t="shared" si="163"/>
        <v>174</v>
      </c>
      <c r="J469" s="238" t="str">
        <f t="shared" si="163"/>
        <v>-</v>
      </c>
      <c r="K469" s="238" t="str">
        <f t="shared" si="163"/>
        <v>-</v>
      </c>
      <c r="L469" s="238">
        <f t="shared" si="163"/>
        <v>461</v>
      </c>
    </row>
    <row r="470" spans="1:12" s="200" customFormat="1" ht="11.25" customHeight="1">
      <c r="A470" s="95" t="s">
        <v>317</v>
      </c>
      <c r="B470" s="238" t="str">
        <f t="shared" si="163"/>
        <v>-</v>
      </c>
      <c r="C470" s="238" t="str">
        <f t="shared" si="163"/>
        <v>-</v>
      </c>
      <c r="D470" s="238">
        <f t="shared" si="163"/>
        <v>121</v>
      </c>
      <c r="E470" s="238">
        <f t="shared" si="163"/>
        <v>70</v>
      </c>
      <c r="F470" s="238">
        <f t="shared" si="163"/>
        <v>25</v>
      </c>
      <c r="G470" s="238">
        <f t="shared" si="163"/>
        <v>9</v>
      </c>
      <c r="H470" s="238">
        <f t="shared" si="163"/>
        <v>31</v>
      </c>
      <c r="I470" s="238">
        <f t="shared" si="163"/>
        <v>171</v>
      </c>
      <c r="J470" s="238" t="str">
        <f t="shared" si="163"/>
        <v>-</v>
      </c>
      <c r="K470" s="238" t="str">
        <f t="shared" si="163"/>
        <v>-</v>
      </c>
      <c r="L470" s="238">
        <f t="shared" si="163"/>
        <v>427</v>
      </c>
    </row>
    <row r="471" spans="1:12" s="200" customFormat="1" ht="11.25" customHeight="1">
      <c r="A471" s="95"/>
      <c r="B471" s="238"/>
      <c r="C471" s="238"/>
      <c r="D471" s="238"/>
      <c r="E471" s="238"/>
      <c r="F471" s="238"/>
      <c r="G471" s="238"/>
      <c r="H471" s="238"/>
      <c r="I471" s="238"/>
      <c r="J471" s="238"/>
      <c r="K471" s="238"/>
      <c r="L471" s="238"/>
    </row>
    <row r="472" spans="1:12" s="200" customFormat="1" ht="11.25" customHeight="1">
      <c r="A472" s="296" t="s">
        <v>271</v>
      </c>
      <c r="B472" s="296"/>
      <c r="C472" s="296"/>
      <c r="D472" s="296"/>
      <c r="E472" s="296"/>
      <c r="F472" s="296"/>
      <c r="G472" s="296"/>
      <c r="H472" s="296"/>
      <c r="I472" s="296"/>
      <c r="J472" s="296"/>
      <c r="K472" s="296"/>
      <c r="L472" s="296"/>
    </row>
    <row r="473" spans="1:12" s="200" customFormat="1" ht="11.25" customHeight="1">
      <c r="A473" s="305" t="s">
        <v>43</v>
      </c>
      <c r="B473" s="241"/>
      <c r="C473" s="241"/>
      <c r="D473" s="241"/>
      <c r="E473" s="241"/>
      <c r="F473" s="241"/>
      <c r="G473" s="241"/>
      <c r="H473" s="241"/>
      <c r="I473" s="241"/>
      <c r="J473" s="241"/>
      <c r="K473" s="241"/>
      <c r="L473" s="241"/>
    </row>
    <row r="474" spans="1:12" s="200" customFormat="1" ht="11.25" customHeight="1">
      <c r="A474" s="304"/>
      <c r="B474" s="237" t="s">
        <v>37</v>
      </c>
      <c r="C474" s="237" t="s">
        <v>28</v>
      </c>
      <c r="D474" s="237" t="s">
        <v>29</v>
      </c>
      <c r="E474" s="237" t="s">
        <v>30</v>
      </c>
      <c r="F474" s="237" t="s">
        <v>31</v>
      </c>
      <c r="G474" s="237" t="s">
        <v>32</v>
      </c>
      <c r="H474" s="237" t="s">
        <v>33</v>
      </c>
      <c r="I474" s="237" t="s">
        <v>34</v>
      </c>
      <c r="J474" s="237" t="s">
        <v>38</v>
      </c>
      <c r="K474" s="237" t="s">
        <v>75</v>
      </c>
      <c r="L474" s="237" t="s">
        <v>22</v>
      </c>
    </row>
    <row r="475" spans="1:12" s="200" customFormat="1" ht="11.25" customHeight="1">
      <c r="A475" s="243" t="s">
        <v>50</v>
      </c>
      <c r="B475" s="238"/>
      <c r="C475" s="238"/>
      <c r="D475" s="238"/>
      <c r="E475" s="238"/>
      <c r="F475" s="238"/>
      <c r="G475" s="238"/>
      <c r="H475" s="238"/>
      <c r="I475" s="238"/>
      <c r="J475" s="238"/>
      <c r="K475" s="238"/>
      <c r="L475" s="238"/>
    </row>
    <row r="476" spans="1:12" s="200" customFormat="1" ht="11.25" customHeight="1">
      <c r="A476" s="244" t="s">
        <v>24</v>
      </c>
      <c r="B476" s="238" t="s">
        <v>23</v>
      </c>
      <c r="C476" s="238" t="s">
        <v>23</v>
      </c>
      <c r="D476" s="238">
        <f t="shared" ref="D476:J476" si="164">AVERAGE(D227:D231)</f>
        <v>265.39999999999998</v>
      </c>
      <c r="E476" s="238">
        <f t="shared" si="164"/>
        <v>188</v>
      </c>
      <c r="F476" s="238">
        <f t="shared" si="164"/>
        <v>1366.6</v>
      </c>
      <c r="G476" s="238">
        <f t="shared" si="164"/>
        <v>1708.4</v>
      </c>
      <c r="H476" s="238">
        <f t="shared" si="164"/>
        <v>426.8</v>
      </c>
      <c r="I476" s="238">
        <f t="shared" si="164"/>
        <v>732</v>
      </c>
      <c r="J476" s="238">
        <f t="shared" si="164"/>
        <v>336.4</v>
      </c>
      <c r="K476" s="238" t="s">
        <v>23</v>
      </c>
      <c r="L476" s="238">
        <f>AVERAGE(L227:L231)</f>
        <v>5023.6000000000004</v>
      </c>
    </row>
    <row r="477" spans="1:12" s="200" customFormat="1" ht="11.25" customHeight="1">
      <c r="A477" s="244" t="s">
        <v>78</v>
      </c>
      <c r="B477" s="238" t="s">
        <v>23</v>
      </c>
      <c r="C477" s="238" t="s">
        <v>23</v>
      </c>
      <c r="D477" s="238">
        <f t="shared" ref="D477:J477" si="165">AVERAGE(D232:D236)</f>
        <v>319.2</v>
      </c>
      <c r="E477" s="238">
        <f t="shared" si="165"/>
        <v>646.75</v>
      </c>
      <c r="F477" s="238">
        <f t="shared" si="165"/>
        <v>556</v>
      </c>
      <c r="G477" s="238">
        <f t="shared" si="165"/>
        <v>607</v>
      </c>
      <c r="H477" s="238">
        <f t="shared" si="165"/>
        <v>124.66666666666667</v>
      </c>
      <c r="I477" s="238">
        <f t="shared" si="165"/>
        <v>224</v>
      </c>
      <c r="J477" s="238">
        <f t="shared" si="165"/>
        <v>217.33333333333334</v>
      </c>
      <c r="K477" s="238" t="s">
        <v>23</v>
      </c>
      <c r="L477" s="238">
        <f>AVERAGE(L232:L236)</f>
        <v>1651.6</v>
      </c>
    </row>
    <row r="478" spans="1:12" s="200" customFormat="1" ht="11.25" customHeight="1">
      <c r="A478" s="244" t="s">
        <v>10</v>
      </c>
      <c r="B478" s="238" t="s">
        <v>23</v>
      </c>
      <c r="C478" s="238" t="s">
        <v>23</v>
      </c>
      <c r="D478" s="238">
        <f>AVERAGE(D237:D241)</f>
        <v>45</v>
      </c>
      <c r="E478" s="238" t="s">
        <v>23</v>
      </c>
      <c r="F478" s="238">
        <f>AVERAGE(F237:F241)</f>
        <v>48</v>
      </c>
      <c r="G478" s="238">
        <f>AVERAGE(G237:G241)</f>
        <v>56</v>
      </c>
      <c r="H478" s="238">
        <f>AVERAGE(H237:H241)</f>
        <v>22</v>
      </c>
      <c r="I478" s="238">
        <f>AVERAGE(I237:I241)</f>
        <v>185.5</v>
      </c>
      <c r="J478" s="238" t="s">
        <v>23</v>
      </c>
      <c r="K478" s="238" t="s">
        <v>23</v>
      </c>
      <c r="L478" s="238">
        <f>AVERAGE(L237:L241)</f>
        <v>195.66666666666666</v>
      </c>
    </row>
    <row r="479" spans="1:12" s="200" customFormat="1" ht="11.25" customHeight="1">
      <c r="A479" s="244" t="s">
        <v>144</v>
      </c>
      <c r="B479" s="238" t="s">
        <v>23</v>
      </c>
      <c r="C479" s="238" t="s">
        <v>23</v>
      </c>
      <c r="D479" s="238">
        <f>AVERAGE(D242:D246)</f>
        <v>55.4</v>
      </c>
      <c r="E479" s="238" t="s">
        <v>23</v>
      </c>
      <c r="F479" s="238" t="s">
        <v>23</v>
      </c>
      <c r="G479" s="238">
        <f>AVERAGE(G242:G246)</f>
        <v>79.8</v>
      </c>
      <c r="H479" s="238">
        <f>AVERAGE(H242:H246)</f>
        <v>47</v>
      </c>
      <c r="I479" s="238">
        <f>AVERAGE(I242:I246)</f>
        <v>150.4</v>
      </c>
      <c r="J479" s="238" t="s">
        <v>23</v>
      </c>
      <c r="K479" s="238" t="s">
        <v>23</v>
      </c>
      <c r="L479" s="238">
        <f>AVERAGE(L242:L246)</f>
        <v>316.2</v>
      </c>
    </row>
    <row r="480" spans="1:12" s="200" customFormat="1" ht="11.25" customHeight="1">
      <c r="A480" s="11" t="s">
        <v>166</v>
      </c>
      <c r="B480" s="238">
        <f>AVERAGE(B247:B251)</f>
        <v>2.75</v>
      </c>
      <c r="C480" s="238">
        <f>AVERAGE(C247:C251)</f>
        <v>8</v>
      </c>
      <c r="D480" s="238">
        <f>AVERAGE(D247:D251)</f>
        <v>40</v>
      </c>
      <c r="E480" s="238">
        <f t="shared" ref="E480:L480" si="166">AVERAGE(E247:E251)</f>
        <v>80.75</v>
      </c>
      <c r="F480" s="238">
        <f t="shared" si="166"/>
        <v>97.666666666666671</v>
      </c>
      <c r="G480" s="238">
        <f t="shared" si="166"/>
        <v>94</v>
      </c>
      <c r="H480" s="238">
        <f t="shared" si="166"/>
        <v>84.2</v>
      </c>
      <c r="I480" s="238">
        <f t="shared" si="166"/>
        <v>108</v>
      </c>
      <c r="J480" s="238">
        <f t="shared" si="166"/>
        <v>12.666666666666666</v>
      </c>
      <c r="K480" s="238" t="s">
        <v>23</v>
      </c>
      <c r="L480" s="238">
        <f t="shared" si="166"/>
        <v>438.8</v>
      </c>
    </row>
    <row r="481" spans="1:12" s="200" customFormat="1" ht="11.25" customHeight="1">
      <c r="A481" s="95" t="s">
        <v>315</v>
      </c>
      <c r="B481" s="238" t="str">
        <f>B252</f>
        <v>-</v>
      </c>
      <c r="C481" s="238">
        <f>AVERAGE(C252:C256)</f>
        <v>6</v>
      </c>
      <c r="D481" s="238">
        <f t="shared" ref="D481:J481" si="167">AVERAGE(D252:D256)</f>
        <v>25.5</v>
      </c>
      <c r="E481" s="238">
        <f t="shared" si="167"/>
        <v>138</v>
      </c>
      <c r="F481" s="238">
        <f t="shared" si="167"/>
        <v>62.5</v>
      </c>
      <c r="G481" s="238">
        <f t="shared" si="167"/>
        <v>67.5</v>
      </c>
      <c r="H481" s="238">
        <f t="shared" si="167"/>
        <v>33</v>
      </c>
      <c r="I481" s="238">
        <f t="shared" si="167"/>
        <v>80.25</v>
      </c>
      <c r="J481" s="238">
        <f t="shared" si="167"/>
        <v>19.5</v>
      </c>
      <c r="K481" s="238" t="str">
        <f>K252</f>
        <v>-</v>
      </c>
      <c r="L481" s="238">
        <f>AVERAGE(L252:L256)</f>
        <v>220.25</v>
      </c>
    </row>
    <row r="482" spans="1:12" s="200" customFormat="1" ht="11.25" customHeight="1">
      <c r="A482" s="11">
        <v>2011</v>
      </c>
      <c r="B482" s="238" t="str">
        <f t="shared" ref="B482:L482" si="168">B257</f>
        <v>-</v>
      </c>
      <c r="C482" s="238" t="str">
        <f t="shared" si="168"/>
        <v>-</v>
      </c>
      <c r="D482" s="238">
        <f t="shared" si="168"/>
        <v>60</v>
      </c>
      <c r="E482" s="238">
        <f t="shared" si="168"/>
        <v>60</v>
      </c>
      <c r="F482" s="238">
        <f t="shared" si="168"/>
        <v>8</v>
      </c>
      <c r="G482" s="238">
        <f t="shared" si="168"/>
        <v>86</v>
      </c>
      <c r="H482" s="238" t="str">
        <f t="shared" si="168"/>
        <v>-</v>
      </c>
      <c r="I482" s="238">
        <f t="shared" si="168"/>
        <v>75</v>
      </c>
      <c r="J482" s="238" t="str">
        <f t="shared" si="168"/>
        <v>-</v>
      </c>
      <c r="K482" s="238" t="str">
        <f t="shared" si="168"/>
        <v>-</v>
      </c>
      <c r="L482" s="238">
        <f t="shared" si="168"/>
        <v>289</v>
      </c>
    </row>
    <row r="483" spans="1:12" s="200" customFormat="1" ht="11.25" customHeight="1">
      <c r="A483" s="11">
        <v>2012</v>
      </c>
      <c r="B483" s="238" t="str">
        <f t="shared" ref="B483:L483" si="169">B258</f>
        <v>-</v>
      </c>
      <c r="C483" s="238" t="str">
        <f t="shared" si="169"/>
        <v>- -</v>
      </c>
      <c r="D483" s="238">
        <f t="shared" si="169"/>
        <v>23</v>
      </c>
      <c r="E483" s="238">
        <f t="shared" si="169"/>
        <v>118</v>
      </c>
      <c r="F483" s="238">
        <f t="shared" si="169"/>
        <v>90</v>
      </c>
      <c r="G483" s="238">
        <f t="shared" si="169"/>
        <v>67</v>
      </c>
      <c r="H483" s="238">
        <f t="shared" si="169"/>
        <v>43</v>
      </c>
      <c r="I483" s="238">
        <f t="shared" si="169"/>
        <v>41</v>
      </c>
      <c r="J483" s="238" t="str">
        <f t="shared" si="169"/>
        <v>-</v>
      </c>
      <c r="K483" s="238" t="str">
        <f t="shared" si="169"/>
        <v>-</v>
      </c>
      <c r="L483" s="238">
        <f t="shared" si="169"/>
        <v>382</v>
      </c>
    </row>
    <row r="484" spans="1:12" s="200" customFormat="1" ht="11.25" customHeight="1">
      <c r="A484" s="11">
        <v>2013</v>
      </c>
      <c r="B484" s="238" t="str">
        <f t="shared" ref="B484:L484" si="170">B259</f>
        <v>-</v>
      </c>
      <c r="C484" s="238">
        <f t="shared" si="170"/>
        <v>13</v>
      </c>
      <c r="D484" s="238">
        <f t="shared" si="170"/>
        <v>3</v>
      </c>
      <c r="E484" s="238">
        <f t="shared" si="170"/>
        <v>107</v>
      </c>
      <c r="F484" s="238">
        <f t="shared" si="170"/>
        <v>284</v>
      </c>
      <c r="G484" s="238">
        <f t="shared" si="170"/>
        <v>208</v>
      </c>
      <c r="H484" s="238">
        <f t="shared" si="170"/>
        <v>40</v>
      </c>
      <c r="I484" s="238">
        <f t="shared" si="170"/>
        <v>52</v>
      </c>
      <c r="J484" s="238" t="str">
        <f t="shared" si="170"/>
        <v>-</v>
      </c>
      <c r="K484" s="238" t="str">
        <f t="shared" si="170"/>
        <v>-</v>
      </c>
      <c r="L484" s="238">
        <f t="shared" si="170"/>
        <v>707</v>
      </c>
    </row>
    <row r="485" spans="1:12" s="200" customFormat="1" ht="11.25" customHeight="1">
      <c r="A485" s="11">
        <v>2014</v>
      </c>
      <c r="B485" s="238" t="str">
        <f t="shared" ref="B485:L485" si="171">B260</f>
        <v>-</v>
      </c>
      <c r="C485" s="238">
        <f t="shared" si="171"/>
        <v>10</v>
      </c>
      <c r="D485" s="238">
        <f t="shared" si="171"/>
        <v>471</v>
      </c>
      <c r="E485" s="238">
        <f t="shared" si="171"/>
        <v>82</v>
      </c>
      <c r="F485" s="238">
        <f t="shared" si="171"/>
        <v>38</v>
      </c>
      <c r="G485" s="238">
        <f t="shared" si="171"/>
        <v>70</v>
      </c>
      <c r="H485" s="238">
        <f t="shared" si="171"/>
        <v>21</v>
      </c>
      <c r="I485" s="238">
        <f t="shared" si="171"/>
        <v>78</v>
      </c>
      <c r="J485" s="238" t="str">
        <f t="shared" si="171"/>
        <v>-</v>
      </c>
      <c r="K485" s="238" t="str">
        <f t="shared" si="171"/>
        <v>-</v>
      </c>
      <c r="L485" s="238">
        <f t="shared" si="171"/>
        <v>770</v>
      </c>
    </row>
    <row r="486" spans="1:12" s="200" customFormat="1" ht="11.25" customHeight="1">
      <c r="A486" s="11">
        <v>2015</v>
      </c>
      <c r="B486" s="238" t="str">
        <f t="shared" ref="B486:L486" si="172">B261</f>
        <v>-</v>
      </c>
      <c r="C486" s="238">
        <f t="shared" si="172"/>
        <v>12</v>
      </c>
      <c r="D486" s="238">
        <f t="shared" si="172"/>
        <v>150</v>
      </c>
      <c r="E486" s="238">
        <f t="shared" si="172"/>
        <v>100</v>
      </c>
      <c r="F486" s="238">
        <f t="shared" si="172"/>
        <v>90</v>
      </c>
      <c r="G486" s="238">
        <f t="shared" si="172"/>
        <v>24</v>
      </c>
      <c r="H486" s="238" t="str">
        <f t="shared" si="172"/>
        <v>-</v>
      </c>
      <c r="I486" s="238">
        <f t="shared" si="172"/>
        <v>144</v>
      </c>
      <c r="J486" s="238" t="str">
        <f t="shared" si="172"/>
        <v>-</v>
      </c>
      <c r="K486" s="238" t="str">
        <f t="shared" si="172"/>
        <v>-</v>
      </c>
      <c r="L486" s="238">
        <f t="shared" si="172"/>
        <v>520</v>
      </c>
    </row>
    <row r="487" spans="1:12" s="200" customFormat="1" ht="11.25" customHeight="1">
      <c r="A487" s="95">
        <v>2016</v>
      </c>
      <c r="B487" s="238" t="str">
        <f t="shared" ref="B487:L487" si="173">B262</f>
        <v>-</v>
      </c>
      <c r="C487" s="238">
        <f t="shared" si="173"/>
        <v>7</v>
      </c>
      <c r="D487" s="238">
        <f t="shared" si="173"/>
        <v>13</v>
      </c>
      <c r="E487" s="238">
        <f t="shared" si="173"/>
        <v>47</v>
      </c>
      <c r="F487" s="238">
        <f t="shared" si="173"/>
        <v>8</v>
      </c>
      <c r="G487" s="238" t="str">
        <f t="shared" si="173"/>
        <v>-</v>
      </c>
      <c r="H487" s="238" t="str">
        <f t="shared" si="173"/>
        <v>-</v>
      </c>
      <c r="I487" s="238">
        <f t="shared" si="173"/>
        <v>52</v>
      </c>
      <c r="J487" s="238" t="str">
        <f t="shared" si="173"/>
        <v>-</v>
      </c>
      <c r="K487" s="238" t="str">
        <f t="shared" si="173"/>
        <v>-</v>
      </c>
      <c r="L487" s="238">
        <f t="shared" si="173"/>
        <v>127</v>
      </c>
    </row>
    <row r="488" spans="1:12" s="200" customFormat="1" ht="11.25" customHeight="1">
      <c r="A488" s="95">
        <v>2017</v>
      </c>
      <c r="B488" s="238" t="str">
        <f t="shared" ref="B488:L488" si="174">B263</f>
        <v>-</v>
      </c>
      <c r="C488" s="238" t="str">
        <f t="shared" si="174"/>
        <v>-</v>
      </c>
      <c r="D488" s="238" t="str">
        <f t="shared" si="174"/>
        <v>-</v>
      </c>
      <c r="E488" s="238" t="str">
        <f t="shared" si="174"/>
        <v>-</v>
      </c>
      <c r="F488" s="238" t="str">
        <f t="shared" si="174"/>
        <v>-</v>
      </c>
      <c r="G488" s="238" t="str">
        <f t="shared" si="174"/>
        <v>-</v>
      </c>
      <c r="H488" s="238" t="str">
        <f t="shared" si="174"/>
        <v>-</v>
      </c>
      <c r="I488" s="238">
        <f t="shared" si="174"/>
        <v>109</v>
      </c>
      <c r="J488" s="238" t="str">
        <f t="shared" si="174"/>
        <v>-</v>
      </c>
      <c r="K488" s="238" t="str">
        <f t="shared" si="174"/>
        <v>-</v>
      </c>
      <c r="L488" s="238">
        <f t="shared" si="174"/>
        <v>109</v>
      </c>
    </row>
    <row r="489" spans="1:12" s="200" customFormat="1" ht="11.25" customHeight="1">
      <c r="A489" s="95">
        <v>2018</v>
      </c>
      <c r="B489" s="238" t="str">
        <f t="shared" ref="B489:L489" si="175">B264</f>
        <v>-</v>
      </c>
      <c r="C489" s="238" t="str">
        <f t="shared" si="175"/>
        <v>-</v>
      </c>
      <c r="D489" s="238">
        <f t="shared" si="175"/>
        <v>37</v>
      </c>
      <c r="E489" s="238">
        <f t="shared" si="175"/>
        <v>127</v>
      </c>
      <c r="F489" s="238">
        <f t="shared" si="175"/>
        <v>123</v>
      </c>
      <c r="G489" s="238">
        <f t="shared" si="175"/>
        <v>73</v>
      </c>
      <c r="H489" s="238" t="str">
        <f t="shared" si="175"/>
        <v>-</v>
      </c>
      <c r="I489" s="238">
        <f t="shared" si="175"/>
        <v>115</v>
      </c>
      <c r="J489" s="238" t="str">
        <f t="shared" si="175"/>
        <v>-</v>
      </c>
      <c r="K489" s="238" t="str">
        <f t="shared" si="175"/>
        <v>-</v>
      </c>
      <c r="L489" s="238">
        <f t="shared" si="175"/>
        <v>475</v>
      </c>
    </row>
    <row r="490" spans="1:12" s="200" customFormat="1" ht="11.25" customHeight="1">
      <c r="A490" s="95">
        <v>2019</v>
      </c>
      <c r="B490" s="238" t="str">
        <f t="shared" ref="B490:L490" si="176">B265</f>
        <v>-</v>
      </c>
      <c r="C490" s="238">
        <f t="shared" si="176"/>
        <v>2</v>
      </c>
      <c r="D490" s="238">
        <f t="shared" si="176"/>
        <v>7</v>
      </c>
      <c r="E490" s="238">
        <f t="shared" si="176"/>
        <v>21</v>
      </c>
      <c r="F490" s="238">
        <f t="shared" si="176"/>
        <v>71</v>
      </c>
      <c r="G490" s="238">
        <f t="shared" si="176"/>
        <v>135</v>
      </c>
      <c r="H490" s="238" t="str">
        <f t="shared" si="176"/>
        <v>-</v>
      </c>
      <c r="I490" s="238" t="str">
        <f t="shared" si="176"/>
        <v>-</v>
      </c>
      <c r="J490" s="238" t="str">
        <f t="shared" si="176"/>
        <v>-</v>
      </c>
      <c r="K490" s="238" t="str">
        <f t="shared" si="176"/>
        <v>-</v>
      </c>
      <c r="L490" s="238">
        <f t="shared" si="176"/>
        <v>236</v>
      </c>
    </row>
    <row r="491" spans="1:12" s="200" customFormat="1" ht="11.25" customHeight="1">
      <c r="A491" s="95">
        <v>2020</v>
      </c>
      <c r="B491" s="238" t="str">
        <f t="shared" ref="B491:L492" si="177">B266</f>
        <v>-</v>
      </c>
      <c r="C491" s="238">
        <f t="shared" si="177"/>
        <v>1</v>
      </c>
      <c r="D491" s="238">
        <f t="shared" si="177"/>
        <v>3</v>
      </c>
      <c r="E491" s="238">
        <f t="shared" si="177"/>
        <v>47</v>
      </c>
      <c r="F491" s="238">
        <f t="shared" si="177"/>
        <v>72</v>
      </c>
      <c r="G491" s="238" t="str">
        <f t="shared" si="177"/>
        <v>-</v>
      </c>
      <c r="H491" s="238" t="str">
        <f t="shared" si="177"/>
        <v>-</v>
      </c>
      <c r="I491" s="238" t="str">
        <f t="shared" si="177"/>
        <v>-</v>
      </c>
      <c r="J491" s="238" t="str">
        <f t="shared" si="177"/>
        <v>-</v>
      </c>
      <c r="K491" s="238" t="str">
        <f t="shared" si="177"/>
        <v>-</v>
      </c>
      <c r="L491" s="238">
        <f t="shared" si="177"/>
        <v>123</v>
      </c>
    </row>
    <row r="492" spans="1:12" s="200" customFormat="1" ht="11.25" customHeight="1">
      <c r="A492" s="95" t="s">
        <v>317</v>
      </c>
      <c r="B492" s="238">
        <f t="shared" si="177"/>
        <v>1</v>
      </c>
      <c r="C492" s="238">
        <f t="shared" si="177"/>
        <v>2</v>
      </c>
      <c r="D492" s="238">
        <f t="shared" si="177"/>
        <v>4</v>
      </c>
      <c r="E492" s="238">
        <f t="shared" si="177"/>
        <v>55</v>
      </c>
      <c r="F492" s="238">
        <f t="shared" si="177"/>
        <v>56</v>
      </c>
      <c r="G492" s="238" t="str">
        <f t="shared" si="177"/>
        <v>-</v>
      </c>
      <c r="H492" s="238" t="str">
        <f t="shared" si="177"/>
        <v>-</v>
      </c>
      <c r="I492" s="238" t="str">
        <f t="shared" si="177"/>
        <v>-</v>
      </c>
      <c r="J492" s="238" t="str">
        <f t="shared" si="177"/>
        <v>-</v>
      </c>
      <c r="K492" s="238" t="str">
        <f t="shared" si="177"/>
        <v>-</v>
      </c>
      <c r="L492" s="238">
        <f t="shared" si="177"/>
        <v>118</v>
      </c>
    </row>
    <row r="493" spans="1:12" s="200" customFormat="1" ht="11.25" customHeight="1">
      <c r="A493" s="239"/>
      <c r="B493" s="238"/>
      <c r="C493" s="238"/>
      <c r="D493" s="238"/>
      <c r="E493" s="238"/>
      <c r="F493" s="238"/>
      <c r="G493" s="238"/>
      <c r="H493" s="238"/>
      <c r="I493" s="238"/>
      <c r="J493" s="238"/>
      <c r="K493" s="238"/>
      <c r="L493" s="238"/>
    </row>
    <row r="494" spans="1:12" s="200" customFormat="1" ht="11.25" customHeight="1">
      <c r="A494" s="245" t="str">
        <f>A269</f>
        <v>South of Cape Falcon</v>
      </c>
      <c r="B494" s="238"/>
      <c r="C494" s="238"/>
      <c r="D494" s="238"/>
      <c r="E494" s="238"/>
      <c r="F494" s="238"/>
      <c r="G494" s="238"/>
      <c r="H494" s="238"/>
      <c r="I494" s="238"/>
      <c r="J494" s="238"/>
      <c r="K494" s="238"/>
      <c r="L494" s="238"/>
    </row>
    <row r="495" spans="1:12" s="200" customFormat="1" ht="11.25" customHeight="1">
      <c r="A495" s="239" t="s">
        <v>24</v>
      </c>
      <c r="B495" s="238" t="s">
        <v>23</v>
      </c>
      <c r="C495" s="238" t="s">
        <v>23</v>
      </c>
      <c r="D495" s="238">
        <f t="shared" ref="D495:L495" si="178">AVERAGE(D280:D284)</f>
        <v>1678</v>
      </c>
      <c r="E495" s="238">
        <f t="shared" si="178"/>
        <v>1199.4000000000001</v>
      </c>
      <c r="F495" s="238">
        <f t="shared" si="178"/>
        <v>11559.4</v>
      </c>
      <c r="G495" s="238">
        <f t="shared" si="178"/>
        <v>7068.4</v>
      </c>
      <c r="H495" s="238">
        <f t="shared" si="178"/>
        <v>1368.2</v>
      </c>
      <c r="I495" s="238">
        <f t="shared" si="178"/>
        <v>1180.4000000000001</v>
      </c>
      <c r="J495" s="238">
        <f t="shared" si="178"/>
        <v>346.4</v>
      </c>
      <c r="K495" s="238" t="s">
        <v>23</v>
      </c>
      <c r="L495" s="238">
        <f t="shared" si="178"/>
        <v>24400.2</v>
      </c>
    </row>
    <row r="496" spans="1:12" s="200" customFormat="1" ht="11.25" customHeight="1">
      <c r="A496" s="239" t="s">
        <v>78</v>
      </c>
      <c r="B496" s="238" t="s">
        <v>23</v>
      </c>
      <c r="C496" s="238" t="s">
        <v>23</v>
      </c>
      <c r="D496" s="238">
        <f t="shared" ref="D496:J496" si="179">AVERAGE(D285:D289)</f>
        <v>4064.6</v>
      </c>
      <c r="E496" s="238">
        <f t="shared" si="179"/>
        <v>5011.2</v>
      </c>
      <c r="F496" s="238">
        <f t="shared" si="179"/>
        <v>14143.8</v>
      </c>
      <c r="G496" s="238">
        <f t="shared" si="179"/>
        <v>8456.7999999999993</v>
      </c>
      <c r="H496" s="238">
        <f t="shared" si="179"/>
        <v>3288.6</v>
      </c>
      <c r="I496" s="238">
        <f t="shared" si="179"/>
        <v>2296.4</v>
      </c>
      <c r="J496" s="238">
        <f t="shared" si="179"/>
        <v>291.5</v>
      </c>
      <c r="K496" s="238" t="s">
        <v>23</v>
      </c>
      <c r="L496" s="238">
        <f>AVERAGE(L285:L289)</f>
        <v>37494.6</v>
      </c>
    </row>
    <row r="497" spans="1:12" s="200" customFormat="1" ht="11.25" customHeight="1">
      <c r="A497" s="239" t="s">
        <v>10</v>
      </c>
      <c r="B497" s="238" t="s">
        <v>23</v>
      </c>
      <c r="C497" s="238" t="s">
        <v>23</v>
      </c>
      <c r="D497" s="238">
        <f>AVERAGE(D290:D294)</f>
        <v>1252.2</v>
      </c>
      <c r="E497" s="238">
        <f t="shared" ref="E497:J497" si="180">AVERAGE(E290:E294)</f>
        <v>2027</v>
      </c>
      <c r="F497" s="238">
        <f t="shared" si="180"/>
        <v>1845</v>
      </c>
      <c r="G497" s="238">
        <f t="shared" si="180"/>
        <v>1654</v>
      </c>
      <c r="H497" s="238">
        <f t="shared" si="180"/>
        <v>1339.2</v>
      </c>
      <c r="I497" s="238">
        <f t="shared" si="180"/>
        <v>1395.6</v>
      </c>
      <c r="J497" s="238">
        <f t="shared" si="180"/>
        <v>88.333333333333329</v>
      </c>
      <c r="K497" s="238" t="s">
        <v>23</v>
      </c>
      <c r="L497" s="238">
        <f>AVERAGE(L290:L294)</f>
        <v>8791.6</v>
      </c>
    </row>
    <row r="498" spans="1:12" s="200" customFormat="1" ht="11.25" customHeight="1">
      <c r="A498" s="239" t="s">
        <v>144</v>
      </c>
      <c r="B498" s="238" t="s">
        <v>23</v>
      </c>
      <c r="C498" s="238" t="s">
        <v>23</v>
      </c>
      <c r="D498" s="238">
        <f>AVERAGE(D295:D299)</f>
        <v>1337.4</v>
      </c>
      <c r="E498" s="238">
        <f t="shared" ref="E498:J498" si="181">AVERAGE(E295:E299)</f>
        <v>1579.4</v>
      </c>
      <c r="F498" s="238">
        <f t="shared" si="181"/>
        <v>959.5</v>
      </c>
      <c r="G498" s="238">
        <f t="shared" si="181"/>
        <v>1611.6</v>
      </c>
      <c r="H498" s="238">
        <f t="shared" si="181"/>
        <v>991.6</v>
      </c>
      <c r="I498" s="238">
        <f t="shared" si="181"/>
        <v>786</v>
      </c>
      <c r="J498" s="238">
        <f t="shared" si="181"/>
        <v>115.8</v>
      </c>
      <c r="K498" s="238" t="s">
        <v>23</v>
      </c>
      <c r="L498" s="238">
        <f>AVERAGE(L295:L299)</f>
        <v>7131</v>
      </c>
    </row>
    <row r="499" spans="1:12" s="200" customFormat="1" ht="11.25" customHeight="1">
      <c r="A499" s="95" t="s">
        <v>166</v>
      </c>
      <c r="B499" s="238">
        <f>AVERAGE(B300:B304)</f>
        <v>689.25</v>
      </c>
      <c r="C499" s="238">
        <f>AVERAGE(C300:C304)</f>
        <v>1214.8</v>
      </c>
      <c r="D499" s="238">
        <f>AVERAGE(D300:D304)</f>
        <v>2341.8000000000002</v>
      </c>
      <c r="E499" s="238">
        <f t="shared" ref="E499:L499" si="182">AVERAGE(E300:E304)</f>
        <v>2058.1999999999998</v>
      </c>
      <c r="F499" s="238">
        <f t="shared" si="182"/>
        <v>1015</v>
      </c>
      <c r="G499" s="238">
        <f t="shared" si="182"/>
        <v>1725</v>
      </c>
      <c r="H499" s="238">
        <f t="shared" si="182"/>
        <v>1757</v>
      </c>
      <c r="I499" s="238">
        <f t="shared" si="182"/>
        <v>1320.6</v>
      </c>
      <c r="J499" s="238">
        <f t="shared" si="182"/>
        <v>168.2</v>
      </c>
      <c r="K499" s="238">
        <f t="shared" si="182"/>
        <v>25.2</v>
      </c>
      <c r="L499" s="238">
        <f t="shared" si="182"/>
        <v>11629.2</v>
      </c>
    </row>
    <row r="500" spans="1:12" s="200" customFormat="1" ht="11.25" customHeight="1">
      <c r="A500" s="95" t="s">
        <v>315</v>
      </c>
      <c r="B500" s="238" t="str">
        <f>B305</f>
        <v>-</v>
      </c>
      <c r="C500" s="238">
        <f>AVERAGE(C305:C309)</f>
        <v>348</v>
      </c>
      <c r="D500" s="238">
        <f t="shared" ref="D500:L500" si="183">AVERAGE(D305:D309)</f>
        <v>1123.5</v>
      </c>
      <c r="E500" s="238">
        <f t="shared" si="183"/>
        <v>972</v>
      </c>
      <c r="F500" s="238">
        <f t="shared" si="183"/>
        <v>480.33333333333331</v>
      </c>
      <c r="G500" s="238">
        <f t="shared" si="183"/>
        <v>730</v>
      </c>
      <c r="H500" s="238">
        <f t="shared" si="183"/>
        <v>339.6</v>
      </c>
      <c r="I500" s="238">
        <f t="shared" si="183"/>
        <v>303.39999999999998</v>
      </c>
      <c r="J500" s="238">
        <f t="shared" si="183"/>
        <v>176</v>
      </c>
      <c r="K500" s="238">
        <f t="shared" si="183"/>
        <v>26</v>
      </c>
      <c r="L500" s="238">
        <f t="shared" si="183"/>
        <v>2582.1999999999998</v>
      </c>
    </row>
    <row r="501" spans="1:12" s="200" customFormat="1" ht="11.25" customHeight="1">
      <c r="A501" s="95">
        <v>2011</v>
      </c>
      <c r="B501" s="238" t="str">
        <f t="shared" ref="B501:L501" si="184">B310</f>
        <v>-</v>
      </c>
      <c r="C501" s="238">
        <f t="shared" si="184"/>
        <v>316</v>
      </c>
      <c r="D501" s="238">
        <f t="shared" si="184"/>
        <v>948</v>
      </c>
      <c r="E501" s="238">
        <f t="shared" si="184"/>
        <v>1140</v>
      </c>
      <c r="F501" s="238">
        <f t="shared" si="184"/>
        <v>108</v>
      </c>
      <c r="G501" s="238">
        <f t="shared" si="184"/>
        <v>293</v>
      </c>
      <c r="H501" s="238">
        <f t="shared" si="184"/>
        <v>122</v>
      </c>
      <c r="I501" s="238">
        <f t="shared" si="184"/>
        <v>301</v>
      </c>
      <c r="J501" s="238">
        <f t="shared" si="184"/>
        <v>235</v>
      </c>
      <c r="K501" s="238" t="str">
        <f t="shared" si="184"/>
        <v>-</v>
      </c>
      <c r="L501" s="238">
        <f t="shared" si="184"/>
        <v>3463</v>
      </c>
    </row>
    <row r="502" spans="1:12" s="200" customFormat="1" ht="11.25" customHeight="1">
      <c r="A502" s="95">
        <v>2012</v>
      </c>
      <c r="B502" s="238" t="str">
        <f t="shared" ref="B502:L502" si="185">B311</f>
        <v>-</v>
      </c>
      <c r="C502" s="238">
        <f t="shared" si="185"/>
        <v>522</v>
      </c>
      <c r="D502" s="238">
        <f t="shared" si="185"/>
        <v>1457</v>
      </c>
      <c r="E502" s="238">
        <f t="shared" si="185"/>
        <v>1054</v>
      </c>
      <c r="F502" s="238">
        <f t="shared" si="185"/>
        <v>336</v>
      </c>
      <c r="G502" s="238">
        <f t="shared" si="185"/>
        <v>699</v>
      </c>
      <c r="H502" s="238">
        <f t="shared" si="185"/>
        <v>930</v>
      </c>
      <c r="I502" s="238">
        <f t="shared" si="185"/>
        <v>721</v>
      </c>
      <c r="J502" s="238">
        <f t="shared" si="185"/>
        <v>121</v>
      </c>
      <c r="K502" s="238" t="str">
        <f t="shared" si="185"/>
        <v>-</v>
      </c>
      <c r="L502" s="238">
        <f t="shared" si="185"/>
        <v>5840</v>
      </c>
    </row>
    <row r="503" spans="1:12" s="200" customFormat="1" ht="11.25" customHeight="1">
      <c r="A503" s="95">
        <v>2013</v>
      </c>
      <c r="B503" s="238" t="str">
        <f t="shared" ref="B503:L503" si="186">B312</f>
        <v>-</v>
      </c>
      <c r="C503" s="238">
        <f t="shared" si="186"/>
        <v>1042</v>
      </c>
      <c r="D503" s="238">
        <f t="shared" si="186"/>
        <v>1137</v>
      </c>
      <c r="E503" s="238">
        <f t="shared" si="186"/>
        <v>878</v>
      </c>
      <c r="F503" s="238">
        <f t="shared" si="186"/>
        <v>802</v>
      </c>
      <c r="G503" s="238">
        <f t="shared" si="186"/>
        <v>2355</v>
      </c>
      <c r="H503" s="238">
        <f t="shared" si="186"/>
        <v>1385</v>
      </c>
      <c r="I503" s="238">
        <f t="shared" si="186"/>
        <v>945</v>
      </c>
      <c r="J503" s="238">
        <f t="shared" si="186"/>
        <v>155</v>
      </c>
      <c r="K503" s="238" t="str">
        <f t="shared" si="186"/>
        <v>-</v>
      </c>
      <c r="L503" s="238">
        <f t="shared" si="186"/>
        <v>8699</v>
      </c>
    </row>
    <row r="504" spans="1:12" s="200" customFormat="1" ht="11.25" customHeight="1">
      <c r="A504" s="95">
        <v>2014</v>
      </c>
      <c r="B504" s="238" t="str">
        <f t="shared" ref="B504:L504" si="187">B313</f>
        <v>-</v>
      </c>
      <c r="C504" s="238">
        <f t="shared" si="187"/>
        <v>962</v>
      </c>
      <c r="D504" s="238">
        <f t="shared" si="187"/>
        <v>2572</v>
      </c>
      <c r="E504" s="238">
        <f t="shared" si="187"/>
        <v>1800</v>
      </c>
      <c r="F504" s="238">
        <f t="shared" si="187"/>
        <v>1100</v>
      </c>
      <c r="G504" s="238">
        <f t="shared" si="187"/>
        <v>2225</v>
      </c>
      <c r="H504" s="238">
        <f t="shared" si="187"/>
        <v>763</v>
      </c>
      <c r="I504" s="238">
        <f t="shared" si="187"/>
        <v>367</v>
      </c>
      <c r="J504" s="238">
        <f t="shared" si="187"/>
        <v>98</v>
      </c>
      <c r="K504" s="238" t="str">
        <f t="shared" si="187"/>
        <v>-</v>
      </c>
      <c r="L504" s="238">
        <f t="shared" si="187"/>
        <v>9887</v>
      </c>
    </row>
    <row r="505" spans="1:12" s="200" customFormat="1" ht="11.25" customHeight="1">
      <c r="A505" s="95">
        <v>2015</v>
      </c>
      <c r="B505" s="238" t="str">
        <f t="shared" ref="B505:L505" si="188">B314</f>
        <v>-</v>
      </c>
      <c r="C505" s="238">
        <f t="shared" si="188"/>
        <v>1767</v>
      </c>
      <c r="D505" s="238">
        <f t="shared" si="188"/>
        <v>1712</v>
      </c>
      <c r="E505" s="238">
        <f t="shared" si="188"/>
        <v>1349</v>
      </c>
      <c r="F505" s="238">
        <f t="shared" si="188"/>
        <v>1365</v>
      </c>
      <c r="G505" s="238">
        <f t="shared" si="188"/>
        <v>812</v>
      </c>
      <c r="H505" s="238">
        <f t="shared" si="188"/>
        <v>367</v>
      </c>
      <c r="I505" s="238">
        <f t="shared" si="188"/>
        <v>381</v>
      </c>
      <c r="J505" s="238">
        <f t="shared" si="188"/>
        <v>158</v>
      </c>
      <c r="K505" s="238" t="str">
        <f t="shared" si="188"/>
        <v>-</v>
      </c>
      <c r="L505" s="238">
        <f t="shared" si="188"/>
        <v>7911</v>
      </c>
    </row>
    <row r="506" spans="1:12" s="200" customFormat="1" ht="11.25" customHeight="1">
      <c r="A506" s="95">
        <v>2016</v>
      </c>
      <c r="B506" s="238" t="str">
        <f t="shared" ref="B506:L506" si="189">B315</f>
        <v>-</v>
      </c>
      <c r="C506" s="238">
        <f t="shared" si="189"/>
        <v>895</v>
      </c>
      <c r="D506" s="238">
        <f t="shared" si="189"/>
        <v>846</v>
      </c>
      <c r="E506" s="238">
        <f t="shared" si="189"/>
        <v>682</v>
      </c>
      <c r="F506" s="238">
        <f t="shared" si="189"/>
        <v>550</v>
      </c>
      <c r="G506" s="238">
        <f t="shared" si="189"/>
        <v>634</v>
      </c>
      <c r="H506" s="238">
        <f t="shared" si="189"/>
        <v>330</v>
      </c>
      <c r="I506" s="238">
        <f t="shared" si="189"/>
        <v>189</v>
      </c>
      <c r="J506" s="238">
        <f t="shared" si="189"/>
        <v>41</v>
      </c>
      <c r="K506" s="238" t="str">
        <f t="shared" si="189"/>
        <v>-</v>
      </c>
      <c r="L506" s="238">
        <f t="shared" si="189"/>
        <v>4167</v>
      </c>
    </row>
    <row r="507" spans="1:12" s="200" customFormat="1" ht="11.25" customHeight="1">
      <c r="A507" s="95">
        <v>2017</v>
      </c>
      <c r="B507" s="238" t="str">
        <f t="shared" ref="B507:L507" si="190">B316</f>
        <v>-</v>
      </c>
      <c r="C507" s="238">
        <f t="shared" si="190"/>
        <v>106</v>
      </c>
      <c r="D507" s="238">
        <f t="shared" si="190"/>
        <v>183</v>
      </c>
      <c r="E507" s="238">
        <f t="shared" si="190"/>
        <v>391</v>
      </c>
      <c r="F507" s="238">
        <f t="shared" si="190"/>
        <v>655</v>
      </c>
      <c r="G507" s="238" t="str">
        <f t="shared" si="190"/>
        <v>-</v>
      </c>
      <c r="H507" s="238">
        <f t="shared" si="190"/>
        <v>88</v>
      </c>
      <c r="I507" s="238">
        <f t="shared" si="190"/>
        <v>246</v>
      </c>
      <c r="J507" s="238">
        <f t="shared" si="190"/>
        <v>41</v>
      </c>
      <c r="K507" s="238" t="str">
        <f t="shared" si="190"/>
        <v>-</v>
      </c>
      <c r="L507" s="238">
        <f t="shared" si="190"/>
        <v>1710</v>
      </c>
    </row>
    <row r="508" spans="1:12" s="200" customFormat="1" ht="11.25" customHeight="1">
      <c r="A508" s="95">
        <v>2018</v>
      </c>
      <c r="B508" s="238" t="str">
        <f t="shared" ref="B508:L508" si="191">B317</f>
        <v>-</v>
      </c>
      <c r="C508" s="238" t="str">
        <f t="shared" si="191"/>
        <v>-</v>
      </c>
      <c r="D508" s="238">
        <f t="shared" si="191"/>
        <v>385</v>
      </c>
      <c r="E508" s="238">
        <f t="shared" si="191"/>
        <v>560</v>
      </c>
      <c r="F508" s="238">
        <f t="shared" si="191"/>
        <v>410</v>
      </c>
      <c r="G508" s="238">
        <f t="shared" si="191"/>
        <v>740</v>
      </c>
      <c r="H508" s="238">
        <f t="shared" si="191"/>
        <v>80</v>
      </c>
      <c r="I508" s="238">
        <f t="shared" si="191"/>
        <v>217</v>
      </c>
      <c r="J508" s="238">
        <f t="shared" si="191"/>
        <v>83</v>
      </c>
      <c r="K508" s="238" t="str">
        <f t="shared" si="191"/>
        <v>-</v>
      </c>
      <c r="L508" s="238">
        <f t="shared" si="191"/>
        <v>2475</v>
      </c>
    </row>
    <row r="509" spans="1:12" s="200" customFormat="1" ht="11.25" customHeight="1">
      <c r="A509" s="95">
        <v>2019</v>
      </c>
      <c r="B509" s="238" t="str">
        <f t="shared" ref="B509:L509" si="192">B318</f>
        <v>-</v>
      </c>
      <c r="C509" s="238">
        <f t="shared" si="192"/>
        <v>51</v>
      </c>
      <c r="D509" s="238">
        <f t="shared" si="192"/>
        <v>141</v>
      </c>
      <c r="E509" s="238">
        <f t="shared" si="192"/>
        <v>363</v>
      </c>
      <c r="F509" s="238">
        <f t="shared" si="192"/>
        <v>983</v>
      </c>
      <c r="G509" s="238">
        <f t="shared" si="192"/>
        <v>524</v>
      </c>
      <c r="H509" s="238">
        <f t="shared" si="192"/>
        <v>104</v>
      </c>
      <c r="I509" s="238">
        <f t="shared" si="192"/>
        <v>187</v>
      </c>
      <c r="J509" s="238" t="str">
        <f t="shared" si="192"/>
        <v>-</v>
      </c>
      <c r="K509" s="238" t="str">
        <f t="shared" si="192"/>
        <v>-</v>
      </c>
      <c r="L509" s="238">
        <f t="shared" si="192"/>
        <v>2353</v>
      </c>
    </row>
    <row r="510" spans="1:12" s="200" customFormat="1" ht="11.25" customHeight="1">
      <c r="A510" s="95">
        <v>2020</v>
      </c>
      <c r="B510" s="238" t="str">
        <f t="shared" ref="B510:L511" si="193">B319</f>
        <v>-</v>
      </c>
      <c r="C510" s="238">
        <f t="shared" si="193"/>
        <v>137</v>
      </c>
      <c r="D510" s="238">
        <f t="shared" si="193"/>
        <v>95</v>
      </c>
      <c r="E510" s="238">
        <f t="shared" si="193"/>
        <v>414</v>
      </c>
      <c r="F510" s="238">
        <f t="shared" si="193"/>
        <v>621</v>
      </c>
      <c r="G510" s="238">
        <f t="shared" si="193"/>
        <v>249</v>
      </c>
      <c r="H510" s="238">
        <f t="shared" si="193"/>
        <v>175</v>
      </c>
      <c r="I510" s="238">
        <f t="shared" si="193"/>
        <v>212</v>
      </c>
      <c r="J510" s="238" t="str">
        <f t="shared" si="193"/>
        <v>-</v>
      </c>
      <c r="K510" s="238" t="str">
        <f t="shared" si="193"/>
        <v>-</v>
      </c>
      <c r="L510" s="238">
        <f t="shared" si="193"/>
        <v>1903</v>
      </c>
    </row>
    <row r="511" spans="1:12" s="200" customFormat="1" ht="11.25" customHeight="1">
      <c r="A511" s="95" t="s">
        <v>317</v>
      </c>
      <c r="B511" s="238">
        <f t="shared" si="193"/>
        <v>33</v>
      </c>
      <c r="C511" s="238">
        <f t="shared" si="193"/>
        <v>407</v>
      </c>
      <c r="D511" s="238">
        <f t="shared" si="193"/>
        <v>347</v>
      </c>
      <c r="E511" s="238">
        <f t="shared" si="193"/>
        <v>225</v>
      </c>
      <c r="F511" s="238">
        <f t="shared" si="193"/>
        <v>398</v>
      </c>
      <c r="G511" s="238">
        <f t="shared" si="193"/>
        <v>268</v>
      </c>
      <c r="H511" s="238">
        <f t="shared" si="193"/>
        <v>70</v>
      </c>
      <c r="I511" s="238">
        <f t="shared" si="193"/>
        <v>181</v>
      </c>
      <c r="J511" s="238" t="str">
        <f t="shared" si="193"/>
        <v>-</v>
      </c>
      <c r="K511" s="238" t="str">
        <f t="shared" si="193"/>
        <v>-</v>
      </c>
      <c r="L511" s="238">
        <f t="shared" si="193"/>
        <v>1929</v>
      </c>
    </row>
    <row r="512" spans="1:12" s="200" customFormat="1" ht="11.25" customHeight="1">
      <c r="A512" s="95"/>
      <c r="B512" s="238"/>
      <c r="C512" s="238"/>
      <c r="D512" s="238"/>
      <c r="E512" s="238"/>
      <c r="F512" s="238"/>
      <c r="G512" s="238"/>
      <c r="H512" s="238"/>
      <c r="I512" s="238"/>
      <c r="J512" s="238"/>
      <c r="K512" s="238"/>
      <c r="L512" s="238"/>
    </row>
    <row r="513" spans="1:12" s="200" customFormat="1" ht="11.25" customHeight="1">
      <c r="A513" s="296" t="s">
        <v>272</v>
      </c>
      <c r="B513" s="296"/>
      <c r="C513" s="296"/>
      <c r="D513" s="296"/>
      <c r="E513" s="296"/>
      <c r="F513" s="296"/>
      <c r="G513" s="296"/>
      <c r="H513" s="296"/>
      <c r="I513" s="296"/>
      <c r="J513" s="296"/>
      <c r="K513" s="296"/>
      <c r="L513" s="296"/>
    </row>
    <row r="514" spans="1:12" s="200" customFormat="1" ht="11.25" customHeight="1">
      <c r="A514" s="303" t="s">
        <v>43</v>
      </c>
      <c r="B514" s="241"/>
      <c r="C514" s="241"/>
      <c r="D514" s="241"/>
      <c r="E514" s="241"/>
      <c r="F514" s="241"/>
      <c r="G514" s="241"/>
      <c r="H514" s="241"/>
      <c r="I514" s="241"/>
      <c r="J514" s="241"/>
      <c r="K514" s="241"/>
      <c r="L514" s="241"/>
    </row>
    <row r="515" spans="1:12" s="200" customFormat="1" ht="11.25" customHeight="1">
      <c r="A515" s="304"/>
      <c r="B515" s="237" t="s">
        <v>37</v>
      </c>
      <c r="C515" s="237" t="s">
        <v>28</v>
      </c>
      <c r="D515" s="237" t="s">
        <v>29</v>
      </c>
      <c r="E515" s="237" t="s">
        <v>30</v>
      </c>
      <c r="F515" s="237" t="s">
        <v>31</v>
      </c>
      <c r="G515" s="237" t="s">
        <v>32</v>
      </c>
      <c r="H515" s="237" t="s">
        <v>33</v>
      </c>
      <c r="I515" s="237" t="s">
        <v>34</v>
      </c>
      <c r="J515" s="237" t="s">
        <v>38</v>
      </c>
      <c r="K515" s="237" t="s">
        <v>75</v>
      </c>
      <c r="L515" s="237" t="s">
        <v>22</v>
      </c>
    </row>
    <row r="516" spans="1:12" s="200" customFormat="1" ht="11.25" customHeight="1">
      <c r="A516" s="245" t="str">
        <f>A322</f>
        <v>Statewide Total</v>
      </c>
      <c r="B516" s="238"/>
      <c r="C516" s="238"/>
      <c r="D516" s="238"/>
      <c r="E516" s="238"/>
      <c r="F516" s="238"/>
      <c r="G516" s="238"/>
      <c r="H516" s="238"/>
      <c r="I516" s="238"/>
      <c r="J516" s="238"/>
      <c r="K516" s="238"/>
      <c r="L516" s="238"/>
    </row>
    <row r="517" spans="1:12" s="200" customFormat="1" ht="11.25" customHeight="1">
      <c r="A517" s="239" t="s">
        <v>24</v>
      </c>
      <c r="B517" s="238" t="s">
        <v>23</v>
      </c>
      <c r="C517" s="238" t="s">
        <v>23</v>
      </c>
      <c r="D517" s="238">
        <f t="shared" ref="D517:J517" si="194">AVERAGE(D333:D337)</f>
        <v>2080.4</v>
      </c>
      <c r="E517" s="238">
        <f t="shared" si="194"/>
        <v>1199.4000000000001</v>
      </c>
      <c r="F517" s="238">
        <f t="shared" si="194"/>
        <v>11881.4</v>
      </c>
      <c r="G517" s="238">
        <f t="shared" si="194"/>
        <v>7406.6</v>
      </c>
      <c r="H517" s="238">
        <f t="shared" si="194"/>
        <v>1401</v>
      </c>
      <c r="I517" s="238">
        <f t="shared" si="194"/>
        <v>1180.8</v>
      </c>
      <c r="J517" s="238">
        <f t="shared" si="194"/>
        <v>346.4</v>
      </c>
      <c r="K517" s="238" t="s">
        <v>23</v>
      </c>
      <c r="L517" s="238">
        <f>AVERAGE(L333:L337)</f>
        <v>25496</v>
      </c>
    </row>
    <row r="518" spans="1:12" s="200" customFormat="1" ht="11.25" customHeight="1">
      <c r="A518" s="239" t="s">
        <v>78</v>
      </c>
      <c r="B518" s="238" t="s">
        <v>23</v>
      </c>
      <c r="C518" s="238" t="s">
        <v>23</v>
      </c>
      <c r="D518" s="238">
        <f t="shared" ref="D518:L518" si="195">AVERAGE(D338:D342)</f>
        <v>4210.6000000000004</v>
      </c>
      <c r="E518" s="238">
        <f t="shared" si="195"/>
        <v>5027</v>
      </c>
      <c r="F518" s="238">
        <f t="shared" si="195"/>
        <v>14180.4</v>
      </c>
      <c r="G518" s="238">
        <f t="shared" si="195"/>
        <v>8804</v>
      </c>
      <c r="H518" s="238">
        <f t="shared" si="195"/>
        <v>3397.6</v>
      </c>
      <c r="I518" s="238">
        <f t="shared" si="195"/>
        <v>2300.8000000000002</v>
      </c>
      <c r="J518" s="238">
        <f t="shared" si="195"/>
        <v>291.5</v>
      </c>
      <c r="K518" s="238" t="s">
        <v>23</v>
      </c>
      <c r="L518" s="238">
        <f t="shared" si="195"/>
        <v>38153.599999999999</v>
      </c>
    </row>
    <row r="519" spans="1:12" s="200" customFormat="1" ht="11.25" customHeight="1">
      <c r="A519" s="239" t="s">
        <v>10</v>
      </c>
      <c r="B519" s="238" t="s">
        <v>23</v>
      </c>
      <c r="C519" s="238" t="s">
        <v>23</v>
      </c>
      <c r="D519" s="238">
        <f>AVERAGE(D343:D347)</f>
        <v>1287.2</v>
      </c>
      <c r="E519" s="238">
        <f t="shared" ref="E519:J519" si="196">AVERAGE(E343:E347)</f>
        <v>1647.4</v>
      </c>
      <c r="F519" s="238">
        <f t="shared" si="196"/>
        <v>1870</v>
      </c>
      <c r="G519" s="238">
        <f t="shared" si="196"/>
        <v>1753.4</v>
      </c>
      <c r="H519" s="238">
        <f t="shared" si="196"/>
        <v>1383.6</v>
      </c>
      <c r="I519" s="238">
        <f t="shared" si="196"/>
        <v>1395.6</v>
      </c>
      <c r="J519" s="238">
        <f t="shared" si="196"/>
        <v>88.333333333333329</v>
      </c>
      <c r="K519" s="238" t="s">
        <v>23</v>
      </c>
      <c r="L519" s="238">
        <f>AVERAGE(L343:L347)</f>
        <v>9016.2000000000007</v>
      </c>
    </row>
    <row r="520" spans="1:12" s="200" customFormat="1" ht="11.25" customHeight="1">
      <c r="A520" s="239" t="s">
        <v>144</v>
      </c>
      <c r="B520" s="238" t="s">
        <v>23</v>
      </c>
      <c r="C520" s="238" t="s">
        <v>23</v>
      </c>
      <c r="D520" s="238">
        <f>AVERAGE(D348:D352)</f>
        <v>1338.8</v>
      </c>
      <c r="E520" s="238">
        <f t="shared" ref="E520:J520" si="197">AVERAGE(E348:E352)</f>
        <v>1581.2</v>
      </c>
      <c r="F520" s="238">
        <f t="shared" si="197"/>
        <v>959.5</v>
      </c>
      <c r="G520" s="238">
        <f t="shared" si="197"/>
        <v>1660.8</v>
      </c>
      <c r="H520" s="238">
        <f t="shared" si="197"/>
        <v>995.2</v>
      </c>
      <c r="I520" s="238">
        <f t="shared" si="197"/>
        <v>786</v>
      </c>
      <c r="J520" s="238">
        <f t="shared" si="197"/>
        <v>115.8</v>
      </c>
      <c r="K520" s="238" t="s">
        <v>23</v>
      </c>
      <c r="L520" s="238">
        <f>AVERAGE(L348:L352)</f>
        <v>7187</v>
      </c>
    </row>
    <row r="521" spans="1:12" s="200" customFormat="1" ht="11.25" customHeight="1">
      <c r="A521" s="95" t="s">
        <v>166</v>
      </c>
      <c r="B521" s="238">
        <f>AVERAGE(B353:B357)</f>
        <v>689.25</v>
      </c>
      <c r="C521" s="238">
        <f>AVERAGE(C353:C357)</f>
        <v>1214.8</v>
      </c>
      <c r="D521" s="238">
        <f>AVERAGE(D353:D357)</f>
        <v>2419.4</v>
      </c>
      <c r="E521" s="238">
        <f t="shared" ref="E521:L521" si="198">AVERAGE(E353:E357)</f>
        <v>2086</v>
      </c>
      <c r="F521" s="238">
        <f t="shared" si="198"/>
        <v>901.4</v>
      </c>
      <c r="G521" s="238">
        <f t="shared" si="198"/>
        <v>1531.8</v>
      </c>
      <c r="H521" s="238">
        <f t="shared" si="198"/>
        <v>1800</v>
      </c>
      <c r="I521" s="238">
        <f t="shared" si="198"/>
        <v>1320.6</v>
      </c>
      <c r="J521" s="238">
        <f t="shared" si="198"/>
        <v>168.2</v>
      </c>
      <c r="K521" s="238">
        <f t="shared" si="198"/>
        <v>25.2</v>
      </c>
      <c r="L521" s="238">
        <f t="shared" si="198"/>
        <v>12018.8</v>
      </c>
    </row>
    <row r="522" spans="1:12" s="200" customFormat="1" ht="11.25" customHeight="1">
      <c r="A522" s="95" t="s">
        <v>315</v>
      </c>
      <c r="B522" s="238" t="str">
        <f>B358</f>
        <v>-</v>
      </c>
      <c r="C522" s="238">
        <f>AVERAGE(C358:C362)</f>
        <v>348</v>
      </c>
      <c r="D522" s="238">
        <f t="shared" ref="D522:L522" si="199">AVERAGE(D358:D362)</f>
        <v>650.4</v>
      </c>
      <c r="E522" s="238">
        <f t="shared" si="199"/>
        <v>782.6</v>
      </c>
      <c r="F522" s="238">
        <f t="shared" si="199"/>
        <v>378.8</v>
      </c>
      <c r="G522" s="238">
        <f t="shared" si="199"/>
        <v>546.79999999999995</v>
      </c>
      <c r="H522" s="238">
        <f t="shared" si="199"/>
        <v>368</v>
      </c>
      <c r="I522" s="238">
        <f t="shared" si="199"/>
        <v>303.39999999999998</v>
      </c>
      <c r="J522" s="238">
        <f t="shared" si="199"/>
        <v>176</v>
      </c>
      <c r="K522" s="238">
        <f t="shared" si="199"/>
        <v>26</v>
      </c>
      <c r="L522" s="238">
        <f t="shared" si="199"/>
        <v>3210.4</v>
      </c>
    </row>
    <row r="523" spans="1:12" s="200" customFormat="1" ht="11.25" customHeight="1">
      <c r="A523" s="246">
        <v>2011</v>
      </c>
      <c r="B523" s="238" t="str">
        <f t="shared" ref="B523:L523" si="200">B363</f>
        <v>-</v>
      </c>
      <c r="C523" s="238">
        <f t="shared" si="200"/>
        <v>316</v>
      </c>
      <c r="D523" s="238">
        <f t="shared" si="200"/>
        <v>1033</v>
      </c>
      <c r="E523" s="238">
        <f t="shared" si="200"/>
        <v>1264</v>
      </c>
      <c r="F523" s="238">
        <f t="shared" si="200"/>
        <v>149</v>
      </c>
      <c r="G523" s="238">
        <f t="shared" si="200"/>
        <v>317</v>
      </c>
      <c r="H523" s="238">
        <f t="shared" si="200"/>
        <v>137</v>
      </c>
      <c r="I523" s="238">
        <f t="shared" si="200"/>
        <v>301</v>
      </c>
      <c r="J523" s="238">
        <f t="shared" si="200"/>
        <v>235</v>
      </c>
      <c r="K523" s="238" t="str">
        <f t="shared" si="200"/>
        <v>-</v>
      </c>
      <c r="L523" s="238">
        <f t="shared" si="200"/>
        <v>3752</v>
      </c>
    </row>
    <row r="524" spans="1:12" s="200" customFormat="1" ht="11.25" customHeight="1">
      <c r="A524" s="246">
        <v>2012</v>
      </c>
      <c r="B524" s="238" t="str">
        <f t="shared" ref="B524:L524" si="201">B364</f>
        <v>-</v>
      </c>
      <c r="C524" s="238">
        <f t="shared" si="201"/>
        <v>522</v>
      </c>
      <c r="D524" s="238">
        <f t="shared" si="201"/>
        <v>1515</v>
      </c>
      <c r="E524" s="238">
        <f t="shared" si="201"/>
        <v>1277</v>
      </c>
      <c r="F524" s="238">
        <f t="shared" si="201"/>
        <v>373</v>
      </c>
      <c r="G524" s="238">
        <f t="shared" si="201"/>
        <v>724</v>
      </c>
      <c r="H524" s="238">
        <f t="shared" si="201"/>
        <v>1003</v>
      </c>
      <c r="I524" s="238">
        <f t="shared" si="201"/>
        <v>721</v>
      </c>
      <c r="J524" s="238">
        <f t="shared" si="201"/>
        <v>121</v>
      </c>
      <c r="K524" s="238" t="str">
        <f t="shared" si="201"/>
        <v>-</v>
      </c>
      <c r="L524" s="238">
        <f t="shared" si="201"/>
        <v>6256</v>
      </c>
    </row>
    <row r="525" spans="1:12" s="200" customFormat="1" ht="11.25" customHeight="1">
      <c r="A525" s="246">
        <v>2013</v>
      </c>
      <c r="B525" s="238" t="str">
        <f t="shared" ref="B525:L525" si="202">B365</f>
        <v>-</v>
      </c>
      <c r="C525" s="238">
        <f t="shared" si="202"/>
        <v>1042</v>
      </c>
      <c r="D525" s="238">
        <f t="shared" si="202"/>
        <v>1201</v>
      </c>
      <c r="E525" s="238">
        <f t="shared" si="202"/>
        <v>997</v>
      </c>
      <c r="F525" s="238">
        <f t="shared" si="202"/>
        <v>834</v>
      </c>
      <c r="G525" s="238">
        <f t="shared" si="202"/>
        <v>2401</v>
      </c>
      <c r="H525" s="238">
        <f t="shared" si="202"/>
        <v>1411</v>
      </c>
      <c r="I525" s="238">
        <f t="shared" si="202"/>
        <v>945</v>
      </c>
      <c r="J525" s="238">
        <f t="shared" si="202"/>
        <v>155</v>
      </c>
      <c r="K525" s="238" t="str">
        <f t="shared" si="202"/>
        <v>-</v>
      </c>
      <c r="L525" s="238">
        <f t="shared" si="202"/>
        <v>8986</v>
      </c>
    </row>
    <row r="526" spans="1:12" s="200" customFormat="1" ht="11.25" customHeight="1">
      <c r="A526" s="246">
        <v>2014</v>
      </c>
      <c r="B526" s="238" t="str">
        <f t="shared" ref="B526:L526" si="203">B366</f>
        <v>-</v>
      </c>
      <c r="C526" s="238">
        <f t="shared" si="203"/>
        <v>962</v>
      </c>
      <c r="D526" s="238">
        <f t="shared" si="203"/>
        <v>3027</v>
      </c>
      <c r="E526" s="238">
        <f t="shared" si="203"/>
        <v>1879</v>
      </c>
      <c r="F526" s="238">
        <f t="shared" si="203"/>
        <v>1261</v>
      </c>
      <c r="G526" s="238">
        <f t="shared" si="203"/>
        <v>2290</v>
      </c>
      <c r="H526" s="238">
        <f t="shared" si="203"/>
        <v>819</v>
      </c>
      <c r="I526" s="238">
        <f t="shared" si="203"/>
        <v>367</v>
      </c>
      <c r="J526" s="238">
        <f t="shared" si="203"/>
        <v>98</v>
      </c>
      <c r="K526" s="238" t="str">
        <f t="shared" si="203"/>
        <v>-</v>
      </c>
      <c r="L526" s="238">
        <f t="shared" si="203"/>
        <v>10703</v>
      </c>
    </row>
    <row r="527" spans="1:12" s="200" customFormat="1" ht="11.25" customHeight="1">
      <c r="A527" s="246">
        <v>2015</v>
      </c>
      <c r="B527" s="238" t="str">
        <f t="shared" ref="B527:L527" si="204">B367</f>
        <v>-</v>
      </c>
      <c r="C527" s="238">
        <f t="shared" si="204"/>
        <v>1767</v>
      </c>
      <c r="D527" s="238">
        <f t="shared" si="204"/>
        <v>2243</v>
      </c>
      <c r="E527" s="238">
        <f t="shared" si="204"/>
        <v>1437</v>
      </c>
      <c r="F527" s="238">
        <f t="shared" si="204"/>
        <v>1413</v>
      </c>
      <c r="G527" s="238">
        <f t="shared" si="204"/>
        <v>873</v>
      </c>
      <c r="H527" s="238">
        <f t="shared" si="204"/>
        <v>457</v>
      </c>
      <c r="I527" s="238">
        <f t="shared" si="204"/>
        <v>381</v>
      </c>
      <c r="J527" s="238">
        <f t="shared" si="204"/>
        <v>158</v>
      </c>
      <c r="K527" s="238" t="str">
        <f t="shared" si="204"/>
        <v>-</v>
      </c>
      <c r="L527" s="238">
        <f t="shared" si="204"/>
        <v>8729</v>
      </c>
    </row>
    <row r="528" spans="1:12" s="200" customFormat="1" ht="11.25" customHeight="1">
      <c r="A528" s="95">
        <v>2016</v>
      </c>
      <c r="B528" s="238" t="str">
        <f t="shared" ref="B528:L528" si="205">B368</f>
        <v>-</v>
      </c>
      <c r="C528" s="238">
        <f t="shared" si="205"/>
        <v>895</v>
      </c>
      <c r="D528" s="238">
        <f t="shared" si="205"/>
        <v>917</v>
      </c>
      <c r="E528" s="238">
        <f t="shared" si="205"/>
        <v>764</v>
      </c>
      <c r="F528" s="238">
        <f t="shared" si="205"/>
        <v>571</v>
      </c>
      <c r="G528" s="238">
        <f t="shared" si="205"/>
        <v>685</v>
      </c>
      <c r="H528" s="238">
        <f t="shared" si="205"/>
        <v>330</v>
      </c>
      <c r="I528" s="238">
        <f t="shared" si="205"/>
        <v>189</v>
      </c>
      <c r="J528" s="238">
        <f t="shared" si="205"/>
        <v>41</v>
      </c>
      <c r="K528" s="238" t="str">
        <f t="shared" si="205"/>
        <v>-</v>
      </c>
      <c r="L528" s="238">
        <f t="shared" si="205"/>
        <v>4392</v>
      </c>
    </row>
    <row r="529" spans="1:12" s="200" customFormat="1" ht="11.25" customHeight="1">
      <c r="A529" s="95">
        <v>2017</v>
      </c>
      <c r="B529" s="238" t="str">
        <f t="shared" ref="B529:L529" si="206">B369</f>
        <v>-</v>
      </c>
      <c r="C529" s="238">
        <f t="shared" si="206"/>
        <v>106</v>
      </c>
      <c r="D529" s="238">
        <f t="shared" si="206"/>
        <v>265</v>
      </c>
      <c r="E529" s="238">
        <f t="shared" si="206"/>
        <v>483</v>
      </c>
      <c r="F529" s="238">
        <f t="shared" si="206"/>
        <v>666</v>
      </c>
      <c r="G529" s="238">
        <f t="shared" si="206"/>
        <v>104</v>
      </c>
      <c r="H529" s="238">
        <f t="shared" si="206"/>
        <v>141</v>
      </c>
      <c r="I529" s="238">
        <f t="shared" si="206"/>
        <v>246</v>
      </c>
      <c r="J529" s="238">
        <f t="shared" si="206"/>
        <v>41</v>
      </c>
      <c r="K529" s="238" t="str">
        <f t="shared" si="206"/>
        <v>-</v>
      </c>
      <c r="L529" s="238">
        <f t="shared" si="206"/>
        <v>2052</v>
      </c>
    </row>
    <row r="530" spans="1:12" s="200" customFormat="1" ht="11.25" customHeight="1">
      <c r="A530" s="95">
        <v>2018</v>
      </c>
      <c r="B530" s="238" t="str">
        <f t="shared" ref="B530:L530" si="207">B370</f>
        <v>-</v>
      </c>
      <c r="C530" s="238" t="str">
        <f t="shared" si="207"/>
        <v>-</v>
      </c>
      <c r="D530" s="238">
        <f t="shared" si="207"/>
        <v>401</v>
      </c>
      <c r="E530" s="238">
        <f t="shared" si="207"/>
        <v>610</v>
      </c>
      <c r="F530" s="238">
        <f t="shared" si="207"/>
        <v>413</v>
      </c>
      <c r="G530" s="238">
        <f t="shared" si="207"/>
        <v>769</v>
      </c>
      <c r="H530" s="238">
        <f t="shared" si="207"/>
        <v>80</v>
      </c>
      <c r="I530" s="238">
        <f t="shared" si="207"/>
        <v>217</v>
      </c>
      <c r="J530" s="238">
        <f t="shared" si="207"/>
        <v>83</v>
      </c>
      <c r="K530" s="238" t="str">
        <f t="shared" si="207"/>
        <v>-</v>
      </c>
      <c r="L530" s="238">
        <f t="shared" si="207"/>
        <v>2573</v>
      </c>
    </row>
    <row r="531" spans="1:12" s="200" customFormat="1" ht="11.25" customHeight="1">
      <c r="A531" s="95">
        <v>2019</v>
      </c>
      <c r="B531" s="238" t="str">
        <f t="shared" ref="B531:L531" si="208">B371</f>
        <v>-</v>
      </c>
      <c r="C531" s="238">
        <f t="shared" si="208"/>
        <v>51</v>
      </c>
      <c r="D531" s="238">
        <f t="shared" si="208"/>
        <v>150</v>
      </c>
      <c r="E531" s="238">
        <f t="shared" si="208"/>
        <v>380</v>
      </c>
      <c r="F531" s="238">
        <f t="shared" si="208"/>
        <v>1080</v>
      </c>
      <c r="G531" s="238">
        <f t="shared" si="208"/>
        <v>564</v>
      </c>
      <c r="H531" s="238">
        <f t="shared" si="208"/>
        <v>128</v>
      </c>
      <c r="I531" s="238">
        <f t="shared" si="208"/>
        <v>187</v>
      </c>
      <c r="J531" s="238" t="str">
        <f t="shared" si="208"/>
        <v>-</v>
      </c>
      <c r="K531" s="238" t="str">
        <f t="shared" si="208"/>
        <v>-</v>
      </c>
      <c r="L531" s="238">
        <f t="shared" si="208"/>
        <v>2540</v>
      </c>
    </row>
    <row r="532" spans="1:12" s="200" customFormat="1" ht="11.25" customHeight="1">
      <c r="A532" s="95">
        <v>2020</v>
      </c>
      <c r="B532" s="238" t="str">
        <f t="shared" ref="B532:L533" si="209">B372</f>
        <v>-</v>
      </c>
      <c r="C532" s="238">
        <f t="shared" si="209"/>
        <v>137</v>
      </c>
      <c r="D532" s="238">
        <f t="shared" si="209"/>
        <v>112</v>
      </c>
      <c r="E532" s="238">
        <f t="shared" si="209"/>
        <v>426</v>
      </c>
      <c r="F532" s="238">
        <f t="shared" si="209"/>
        <v>641</v>
      </c>
      <c r="G532" s="238">
        <f t="shared" si="209"/>
        <v>262</v>
      </c>
      <c r="H532" s="238">
        <f t="shared" si="209"/>
        <v>178</v>
      </c>
      <c r="I532" s="238">
        <f t="shared" si="209"/>
        <v>212</v>
      </c>
      <c r="J532" s="238" t="str">
        <f t="shared" si="209"/>
        <v>-</v>
      </c>
      <c r="K532" s="238" t="str">
        <f t="shared" si="209"/>
        <v>-</v>
      </c>
      <c r="L532" s="238">
        <f t="shared" si="209"/>
        <v>1968</v>
      </c>
    </row>
    <row r="533" spans="1:12" s="200" customFormat="1" ht="11.25" customHeight="1">
      <c r="A533" s="95" t="s">
        <v>317</v>
      </c>
      <c r="B533" s="238">
        <f t="shared" si="209"/>
        <v>33</v>
      </c>
      <c r="C533" s="238">
        <f t="shared" si="209"/>
        <v>407</v>
      </c>
      <c r="D533" s="238">
        <f t="shared" si="209"/>
        <v>348</v>
      </c>
      <c r="E533" s="238">
        <f t="shared" si="209"/>
        <v>228</v>
      </c>
      <c r="F533" s="238">
        <f t="shared" si="209"/>
        <v>419</v>
      </c>
      <c r="G533" s="238">
        <f t="shared" si="209"/>
        <v>277</v>
      </c>
      <c r="H533" s="238">
        <f t="shared" si="209"/>
        <v>76</v>
      </c>
      <c r="I533" s="238">
        <f t="shared" si="209"/>
        <v>181</v>
      </c>
      <c r="J533" s="238" t="str">
        <f t="shared" si="209"/>
        <v>-</v>
      </c>
      <c r="K533" s="238" t="str">
        <f t="shared" si="209"/>
        <v>-</v>
      </c>
      <c r="L533" s="238">
        <f t="shared" si="209"/>
        <v>1969</v>
      </c>
    </row>
    <row r="534" spans="1:12" s="200" customFormat="1" ht="10.25" customHeight="1">
      <c r="A534" s="306" t="str">
        <f>A374</f>
        <v>a/  Summary of ODFW fish receiving ticket information. Beginning in 1979, monthly totals are the sum of statistical weeks with closest fit to the calendar month. Excludes effort occurring off Alaska, Washington, and California.  Days fished data are reported by port of landing through 1978 and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1986 includes Florence through Bandon and after 1987 includes Florence through Port Orford; Brookings area prior to 1986 includes Port Orford through Brookings and after 1987 includes Gold Beach through Brookings.  Values include state-waters only terminal area fisheries.</v>
      </c>
      <c r="B534" s="306"/>
      <c r="C534" s="306"/>
      <c r="D534" s="306"/>
      <c r="E534" s="306"/>
      <c r="F534" s="306"/>
      <c r="G534" s="306"/>
      <c r="H534" s="306"/>
      <c r="I534" s="306"/>
      <c r="J534" s="306"/>
      <c r="K534" s="306"/>
      <c r="L534" s="306"/>
    </row>
    <row r="535" spans="1:12" s="200" customFormat="1" ht="11.25" customHeight="1">
      <c r="A535" s="307"/>
      <c r="B535" s="307"/>
      <c r="C535" s="307"/>
      <c r="D535" s="307"/>
      <c r="E535" s="307"/>
      <c r="F535" s="307"/>
      <c r="G535" s="307"/>
      <c r="H535" s="307"/>
      <c r="I535" s="307"/>
      <c r="J535" s="307"/>
      <c r="K535" s="307"/>
      <c r="L535" s="307"/>
    </row>
    <row r="536" spans="1:12" s="200" customFormat="1">
      <c r="A536" s="307"/>
      <c r="B536" s="307"/>
      <c r="C536" s="307"/>
      <c r="D536" s="307"/>
      <c r="E536" s="307"/>
      <c r="F536" s="307"/>
      <c r="G536" s="307"/>
      <c r="H536" s="307"/>
      <c r="I536" s="307"/>
      <c r="J536" s="307"/>
      <c r="K536" s="307"/>
      <c r="L536" s="307"/>
    </row>
    <row r="537" spans="1:12" s="200" customFormat="1">
      <c r="A537" s="307"/>
      <c r="B537" s="307"/>
      <c r="C537" s="307"/>
      <c r="D537" s="307"/>
      <c r="E537" s="307"/>
      <c r="F537" s="307"/>
      <c r="G537" s="307"/>
      <c r="H537" s="307"/>
      <c r="I537" s="307"/>
      <c r="J537" s="307"/>
      <c r="K537" s="307"/>
      <c r="L537" s="307"/>
    </row>
    <row r="538" spans="1:12" s="200" customFormat="1">
      <c r="A538" s="307"/>
      <c r="B538" s="307"/>
      <c r="C538" s="307"/>
      <c r="D538" s="307"/>
      <c r="E538" s="307"/>
      <c r="F538" s="307"/>
      <c r="G538" s="307"/>
      <c r="H538" s="307"/>
      <c r="I538" s="307"/>
      <c r="J538" s="307"/>
      <c r="K538" s="307"/>
      <c r="L538" s="307"/>
    </row>
    <row r="539" spans="1:12" s="200" customFormat="1">
      <c r="A539" s="301" t="str">
        <f>A379</f>
        <v>b/  Preliminary.</v>
      </c>
      <c r="B539" s="301"/>
      <c r="C539" s="301"/>
      <c r="D539" s="301"/>
      <c r="E539" s="301"/>
      <c r="F539" s="301"/>
      <c r="G539" s="301"/>
      <c r="H539" s="301"/>
      <c r="I539" s="301"/>
      <c r="J539" s="301"/>
      <c r="K539" s="301"/>
      <c r="L539" s="301"/>
    </row>
    <row r="540" spans="1:12" s="200" customFormat="1" ht="11.25" customHeight="1">
      <c r="A540" s="301"/>
      <c r="B540" s="301"/>
      <c r="C540" s="301"/>
      <c r="D540" s="301"/>
      <c r="E540" s="301"/>
      <c r="F540" s="301"/>
      <c r="G540" s="301"/>
      <c r="H540" s="301"/>
      <c r="I540" s="301"/>
      <c r="J540" s="301"/>
      <c r="K540" s="301"/>
      <c r="L540" s="301"/>
    </row>
    <row r="541" spans="1:12" s="200" customFormat="1" ht="11.25" customHeight="1">
      <c r="A541" s="301"/>
      <c r="B541" s="301"/>
      <c r="C541" s="301"/>
      <c r="D541" s="301"/>
      <c r="E541" s="301"/>
      <c r="F541" s="301"/>
      <c r="G541" s="301"/>
      <c r="H541" s="301"/>
      <c r="I541" s="301"/>
      <c r="J541" s="301"/>
      <c r="K541" s="301"/>
      <c r="L541" s="301"/>
    </row>
    <row r="542" spans="1:12" s="200" customFormat="1" ht="11.25" customHeight="1">
      <c r="A542" s="95"/>
      <c r="B542" s="152"/>
      <c r="C542" s="152"/>
      <c r="D542" s="152"/>
      <c r="E542" s="152"/>
      <c r="F542" s="152"/>
      <c r="G542" s="152"/>
      <c r="H542" s="152"/>
      <c r="I542" s="152"/>
      <c r="J542" s="152"/>
      <c r="K542" s="152"/>
      <c r="L542" s="152"/>
    </row>
    <row r="543" spans="1:12" s="200" customFormat="1" ht="11.25" customHeight="1">
      <c r="A543" s="95"/>
      <c r="B543" s="152"/>
      <c r="C543" s="152"/>
      <c r="D543" s="152"/>
      <c r="E543" s="152"/>
      <c r="F543" s="152"/>
      <c r="G543" s="152"/>
      <c r="H543" s="152"/>
      <c r="I543" s="152"/>
      <c r="J543" s="152"/>
      <c r="K543" s="152"/>
      <c r="L543" s="152"/>
    </row>
    <row r="544" spans="1:12" s="200" customFormat="1" ht="11.25" customHeight="1">
      <c r="A544" s="95"/>
      <c r="B544" s="152"/>
      <c r="C544" s="152"/>
      <c r="D544" s="152"/>
      <c r="E544" s="152"/>
      <c r="F544" s="152"/>
      <c r="G544" s="152"/>
      <c r="H544" s="152"/>
      <c r="I544" s="152"/>
      <c r="J544" s="152"/>
      <c r="K544" s="152"/>
      <c r="L544" s="152"/>
    </row>
    <row r="545" spans="1:12" s="200" customFormat="1" ht="11.25" customHeight="1">
      <c r="A545" s="95"/>
      <c r="B545" s="152"/>
      <c r="C545" s="152"/>
      <c r="D545" s="152"/>
      <c r="E545" s="152"/>
      <c r="F545" s="152"/>
      <c r="G545" s="152"/>
      <c r="H545" s="152"/>
      <c r="I545" s="152"/>
      <c r="J545" s="152"/>
      <c r="K545" s="152"/>
      <c r="L545" s="152"/>
    </row>
    <row r="546" spans="1:12" s="200" customFormat="1" ht="11.25" customHeight="1">
      <c r="A546" s="95"/>
      <c r="B546" s="152"/>
      <c r="C546" s="152"/>
      <c r="D546" s="152"/>
      <c r="E546" s="152"/>
      <c r="F546" s="152"/>
      <c r="G546" s="152"/>
      <c r="H546" s="152"/>
      <c r="I546" s="152"/>
      <c r="J546" s="152"/>
      <c r="K546" s="152"/>
      <c r="L546" s="152"/>
    </row>
    <row r="547" spans="1:12" s="200" customFormat="1" ht="11.25" customHeight="1">
      <c r="A547" s="95"/>
      <c r="B547" s="152"/>
      <c r="C547" s="152"/>
      <c r="D547" s="152"/>
      <c r="E547" s="152"/>
      <c r="F547" s="152"/>
      <c r="G547" s="152"/>
      <c r="H547" s="152"/>
      <c r="I547" s="152"/>
      <c r="J547" s="152"/>
      <c r="K547" s="152"/>
      <c r="L547" s="152"/>
    </row>
    <row r="548" spans="1:12" s="200" customFormat="1" ht="11.25" customHeight="1">
      <c r="A548" s="95"/>
      <c r="B548" s="152"/>
      <c r="C548" s="152"/>
      <c r="D548" s="152"/>
      <c r="E548" s="152"/>
      <c r="F548" s="152"/>
      <c r="G548" s="152"/>
      <c r="H548" s="152"/>
      <c r="I548" s="152"/>
      <c r="J548" s="152"/>
      <c r="K548" s="152"/>
      <c r="L548" s="152"/>
    </row>
    <row r="549" spans="1:12" s="200" customFormat="1" ht="11.25" customHeight="1">
      <c r="A549" s="95"/>
      <c r="B549" s="152"/>
      <c r="C549" s="152"/>
      <c r="D549" s="152"/>
      <c r="E549" s="152"/>
      <c r="F549" s="152"/>
      <c r="G549" s="152"/>
      <c r="H549" s="152"/>
      <c r="I549" s="152"/>
      <c r="J549" s="152"/>
      <c r="K549" s="152"/>
      <c r="L549" s="152"/>
    </row>
    <row r="550" spans="1:12" s="200" customFormat="1" ht="11.25" customHeight="1">
      <c r="A550" s="95"/>
      <c r="B550" s="152"/>
      <c r="C550" s="152"/>
      <c r="D550" s="152"/>
      <c r="E550" s="152"/>
      <c r="F550" s="152"/>
      <c r="G550" s="152"/>
      <c r="H550" s="152"/>
      <c r="I550" s="152"/>
      <c r="J550" s="152"/>
      <c r="K550" s="152"/>
      <c r="L550" s="152"/>
    </row>
    <row r="551" spans="1:12" s="200" customFormat="1" ht="11.25" customHeight="1">
      <c r="A551" s="95"/>
      <c r="B551" s="152"/>
      <c r="C551" s="152"/>
      <c r="D551" s="152"/>
      <c r="E551" s="152"/>
      <c r="F551" s="152"/>
      <c r="G551" s="152"/>
      <c r="H551" s="152"/>
      <c r="I551" s="152"/>
      <c r="J551" s="152"/>
      <c r="K551" s="152"/>
      <c r="L551" s="152"/>
    </row>
    <row r="552" spans="1:12" s="200" customFormat="1">
      <c r="A552" s="95"/>
      <c r="B552" s="152"/>
      <c r="C552" s="152"/>
      <c r="D552" s="152"/>
      <c r="E552" s="152"/>
      <c r="F552" s="152"/>
      <c r="G552" s="152"/>
      <c r="H552" s="152"/>
      <c r="I552" s="152"/>
      <c r="J552" s="152"/>
      <c r="K552" s="152"/>
      <c r="L552" s="152"/>
    </row>
    <row r="553" spans="1:12" s="200" customFormat="1">
      <c r="A553" s="95"/>
      <c r="B553" s="152"/>
      <c r="C553" s="152"/>
      <c r="D553" s="152"/>
      <c r="E553" s="152"/>
      <c r="F553" s="152"/>
      <c r="G553" s="152"/>
      <c r="H553" s="152"/>
      <c r="I553" s="152"/>
      <c r="J553" s="152"/>
      <c r="K553" s="152"/>
      <c r="L553" s="152"/>
    </row>
    <row r="554" spans="1:12" s="200" customFormat="1">
      <c r="A554" s="95"/>
      <c r="B554" s="152"/>
      <c r="C554" s="152"/>
      <c r="D554" s="152"/>
      <c r="E554" s="152"/>
      <c r="F554" s="152"/>
      <c r="G554" s="152"/>
      <c r="H554" s="152"/>
      <c r="I554" s="152"/>
      <c r="J554" s="152"/>
      <c r="K554" s="152"/>
      <c r="L554" s="152"/>
    </row>
    <row r="555" spans="1:12" s="200" customFormat="1">
      <c r="A555" s="95"/>
      <c r="B555" s="152"/>
      <c r="C555" s="152"/>
      <c r="D555" s="152"/>
      <c r="E555" s="152"/>
      <c r="F555" s="152"/>
      <c r="G555" s="152"/>
      <c r="H555" s="152"/>
      <c r="I555" s="152"/>
      <c r="J555" s="152"/>
      <c r="K555" s="152"/>
      <c r="L555" s="152"/>
    </row>
    <row r="556" spans="1:12" s="200" customFormat="1">
      <c r="A556" s="95"/>
      <c r="B556" s="152"/>
      <c r="C556" s="152"/>
      <c r="D556" s="152"/>
      <c r="E556" s="152"/>
      <c r="F556" s="152"/>
      <c r="G556" s="152"/>
      <c r="H556" s="152"/>
      <c r="I556" s="152"/>
      <c r="J556" s="152"/>
      <c r="K556" s="152"/>
      <c r="L556" s="152"/>
    </row>
    <row r="557" spans="1:12" s="200" customFormat="1">
      <c r="A557" s="95"/>
      <c r="B557" s="152"/>
      <c r="C557" s="152"/>
      <c r="D557" s="152"/>
      <c r="E557" s="152"/>
      <c r="F557" s="152"/>
      <c r="G557" s="152"/>
      <c r="H557" s="152"/>
      <c r="I557" s="152"/>
      <c r="J557" s="152"/>
      <c r="K557" s="152"/>
      <c r="L557" s="152"/>
    </row>
    <row r="558" spans="1:12" s="200" customFormat="1">
      <c r="A558" s="95"/>
      <c r="B558" s="152"/>
      <c r="C558" s="152"/>
      <c r="D558" s="152"/>
      <c r="E558" s="152"/>
      <c r="F558" s="152"/>
      <c r="G558" s="152"/>
      <c r="H558" s="152"/>
      <c r="I558" s="152"/>
      <c r="J558" s="152"/>
      <c r="K558" s="152"/>
      <c r="L558" s="152"/>
    </row>
    <row r="559" spans="1:12" s="200" customFormat="1">
      <c r="A559" s="95"/>
      <c r="B559" s="152"/>
      <c r="C559" s="152"/>
      <c r="D559" s="152"/>
      <c r="E559" s="152"/>
      <c r="F559" s="152"/>
      <c r="G559" s="152"/>
      <c r="H559" s="152"/>
      <c r="I559" s="152"/>
      <c r="J559" s="152"/>
      <c r="K559" s="152"/>
      <c r="L559" s="152"/>
    </row>
    <row r="560" spans="1:12" s="200" customFormat="1">
      <c r="A560" s="95"/>
      <c r="B560" s="152"/>
      <c r="C560" s="152"/>
      <c r="D560" s="152"/>
      <c r="E560" s="152"/>
      <c r="F560" s="152"/>
      <c r="G560" s="152"/>
      <c r="H560" s="152"/>
      <c r="I560" s="152"/>
      <c r="J560" s="152"/>
      <c r="K560" s="152"/>
      <c r="L560" s="152"/>
    </row>
    <row r="561" spans="1:12" s="200" customFormat="1">
      <c r="A561" s="95"/>
      <c r="B561" s="152"/>
      <c r="C561" s="152"/>
      <c r="D561" s="152"/>
      <c r="E561" s="152"/>
      <c r="F561" s="152"/>
      <c r="G561" s="152"/>
      <c r="H561" s="152"/>
      <c r="I561" s="152"/>
      <c r="J561" s="152"/>
      <c r="K561" s="152"/>
      <c r="L561" s="152"/>
    </row>
    <row r="562" spans="1:12" s="200" customFormat="1">
      <c r="A562" s="95"/>
      <c r="B562" s="152"/>
      <c r="C562" s="152"/>
      <c r="D562" s="152"/>
      <c r="E562" s="152"/>
      <c r="F562" s="152"/>
      <c r="G562" s="152"/>
      <c r="H562" s="152"/>
      <c r="I562" s="152"/>
      <c r="J562" s="152"/>
      <c r="K562" s="152"/>
      <c r="L562" s="152"/>
    </row>
    <row r="563" spans="1:12" s="200" customFormat="1">
      <c r="A563" s="95"/>
      <c r="B563" s="152"/>
      <c r="C563" s="152"/>
      <c r="D563" s="152"/>
      <c r="E563" s="152"/>
      <c r="F563" s="152"/>
      <c r="G563" s="152"/>
      <c r="H563" s="152"/>
      <c r="I563" s="152"/>
      <c r="J563" s="152"/>
      <c r="K563" s="152"/>
      <c r="L563" s="152"/>
    </row>
    <row r="564" spans="1:12" s="200" customFormat="1">
      <c r="A564" s="95"/>
      <c r="B564" s="152"/>
      <c r="C564" s="152"/>
      <c r="D564" s="152"/>
      <c r="E564" s="152"/>
      <c r="F564" s="152"/>
      <c r="G564" s="152"/>
      <c r="H564" s="152"/>
      <c r="I564" s="152"/>
      <c r="J564" s="152"/>
      <c r="K564" s="152"/>
      <c r="L564" s="152"/>
    </row>
    <row r="565" spans="1:12" s="200" customFormat="1">
      <c r="A565" s="95"/>
      <c r="B565" s="152"/>
      <c r="C565" s="152"/>
      <c r="D565" s="152"/>
      <c r="E565" s="152"/>
      <c r="F565" s="152"/>
      <c r="G565" s="152"/>
      <c r="H565" s="152"/>
      <c r="I565" s="152"/>
      <c r="J565" s="152"/>
      <c r="K565" s="152"/>
      <c r="L565" s="152"/>
    </row>
    <row r="566" spans="1:12" s="200" customFormat="1">
      <c r="A566" s="95"/>
      <c r="B566" s="152"/>
      <c r="C566" s="152"/>
      <c r="D566" s="152"/>
      <c r="E566" s="152"/>
      <c r="F566" s="152"/>
      <c r="G566" s="152"/>
      <c r="H566" s="152"/>
      <c r="I566" s="152"/>
      <c r="J566" s="152"/>
      <c r="K566" s="152"/>
      <c r="L566" s="152"/>
    </row>
    <row r="567" spans="1:12" s="200" customFormat="1">
      <c r="A567" s="95"/>
      <c r="B567" s="152"/>
      <c r="C567" s="152"/>
      <c r="D567" s="152"/>
      <c r="E567" s="152"/>
      <c r="F567" s="152"/>
      <c r="G567" s="152"/>
      <c r="H567" s="152"/>
      <c r="I567" s="152"/>
      <c r="J567" s="152"/>
      <c r="K567" s="152"/>
      <c r="L567" s="152"/>
    </row>
    <row r="568" spans="1:12" s="200" customFormat="1">
      <c r="A568" s="95"/>
      <c r="B568" s="152"/>
      <c r="C568" s="152"/>
      <c r="D568" s="152"/>
      <c r="E568" s="152"/>
      <c r="F568" s="152"/>
      <c r="G568" s="152"/>
      <c r="H568" s="152"/>
      <c r="I568" s="152"/>
      <c r="J568" s="152"/>
      <c r="K568" s="152"/>
      <c r="L568" s="152"/>
    </row>
    <row r="569" spans="1:12" s="200" customFormat="1">
      <c r="A569" s="95"/>
      <c r="B569" s="152"/>
      <c r="C569" s="152"/>
      <c r="D569" s="152"/>
      <c r="E569" s="152"/>
      <c r="F569" s="152"/>
      <c r="G569" s="152"/>
      <c r="H569" s="152"/>
      <c r="I569" s="152"/>
      <c r="J569" s="152"/>
      <c r="K569" s="152"/>
      <c r="L569" s="152"/>
    </row>
    <row r="570" spans="1:12" s="200" customFormat="1">
      <c r="A570" s="95"/>
      <c r="B570" s="152"/>
      <c r="C570" s="152"/>
      <c r="D570" s="152"/>
      <c r="E570" s="152"/>
      <c r="F570" s="152"/>
      <c r="G570" s="152"/>
      <c r="H570" s="152"/>
      <c r="I570" s="152"/>
      <c r="J570" s="152"/>
      <c r="K570" s="152"/>
      <c r="L570" s="152"/>
    </row>
    <row r="571" spans="1:12" s="200" customFormat="1">
      <c r="A571" s="95"/>
      <c r="B571" s="152"/>
      <c r="C571" s="152"/>
      <c r="D571" s="152"/>
      <c r="E571" s="152"/>
      <c r="F571" s="152"/>
      <c r="G571" s="152"/>
      <c r="H571" s="152"/>
      <c r="I571" s="152"/>
      <c r="J571" s="152"/>
      <c r="K571" s="152"/>
      <c r="L571" s="152"/>
    </row>
    <row r="572" spans="1:12" s="200" customFormat="1">
      <c r="A572" s="95"/>
      <c r="B572" s="152"/>
      <c r="C572" s="152"/>
      <c r="D572" s="152"/>
      <c r="E572" s="152"/>
      <c r="F572" s="152"/>
      <c r="G572" s="152"/>
      <c r="H572" s="152"/>
      <c r="I572" s="152"/>
      <c r="J572" s="152"/>
      <c r="K572" s="152"/>
      <c r="L572" s="152"/>
    </row>
    <row r="573" spans="1:12" s="200" customFormat="1">
      <c r="A573" s="95"/>
      <c r="B573" s="152"/>
      <c r="C573" s="152"/>
      <c r="D573" s="152"/>
      <c r="E573" s="152"/>
      <c r="F573" s="152"/>
      <c r="G573" s="152"/>
      <c r="H573" s="152"/>
      <c r="I573" s="152"/>
      <c r="J573" s="152"/>
      <c r="K573" s="152"/>
      <c r="L573" s="152"/>
    </row>
    <row r="574" spans="1:12" s="200" customFormat="1">
      <c r="A574" s="95"/>
      <c r="B574" s="152"/>
      <c r="C574" s="152"/>
      <c r="D574" s="152"/>
      <c r="E574" s="152"/>
      <c r="F574" s="152"/>
      <c r="G574" s="152"/>
      <c r="H574" s="152"/>
      <c r="I574" s="152"/>
      <c r="J574" s="152"/>
      <c r="K574" s="152"/>
      <c r="L574" s="152"/>
    </row>
    <row r="575" spans="1:12" s="200" customFormat="1">
      <c r="A575" s="95"/>
      <c r="B575" s="152"/>
      <c r="C575" s="152"/>
      <c r="D575" s="152"/>
      <c r="E575" s="152"/>
      <c r="F575" s="152"/>
      <c r="G575" s="152"/>
      <c r="H575" s="152"/>
      <c r="I575" s="152"/>
      <c r="J575" s="152"/>
      <c r="K575" s="152"/>
      <c r="L575" s="152"/>
    </row>
    <row r="576" spans="1:12" s="200" customFormat="1">
      <c r="A576" s="95"/>
      <c r="B576" s="152"/>
      <c r="C576" s="152"/>
      <c r="D576" s="152"/>
      <c r="E576" s="152"/>
      <c r="F576" s="152"/>
      <c r="G576" s="152"/>
      <c r="H576" s="152"/>
      <c r="I576" s="152"/>
      <c r="J576" s="152"/>
      <c r="K576" s="152"/>
      <c r="L576" s="152"/>
    </row>
    <row r="577" spans="1:12" s="200" customFormat="1">
      <c r="A577" s="95"/>
      <c r="B577" s="152"/>
      <c r="C577" s="152"/>
      <c r="D577" s="152"/>
      <c r="E577" s="152"/>
      <c r="F577" s="152"/>
      <c r="G577" s="152"/>
      <c r="H577" s="152"/>
      <c r="I577" s="152"/>
      <c r="J577" s="152"/>
      <c r="K577" s="152"/>
      <c r="L577" s="152"/>
    </row>
    <row r="578" spans="1:12" s="200" customFormat="1">
      <c r="A578" s="95"/>
      <c r="B578" s="152"/>
      <c r="C578" s="152"/>
      <c r="D578" s="152"/>
      <c r="E578" s="152"/>
      <c r="F578" s="152"/>
      <c r="G578" s="152"/>
      <c r="H578" s="152"/>
      <c r="I578" s="152"/>
      <c r="J578" s="152"/>
      <c r="K578" s="152"/>
      <c r="L578" s="152"/>
    </row>
    <row r="579" spans="1:12" s="200" customFormat="1">
      <c r="A579" s="95"/>
      <c r="B579" s="152"/>
      <c r="C579" s="152"/>
      <c r="D579" s="152"/>
      <c r="E579" s="152"/>
      <c r="F579" s="152"/>
      <c r="G579" s="152"/>
      <c r="H579" s="152"/>
      <c r="I579" s="152"/>
      <c r="J579" s="152"/>
      <c r="K579" s="152"/>
      <c r="L579" s="152"/>
    </row>
    <row r="580" spans="1:12" s="200" customFormat="1">
      <c r="A580" s="95"/>
      <c r="B580" s="152"/>
      <c r="C580" s="152"/>
      <c r="D580" s="152"/>
      <c r="E580" s="152"/>
      <c r="F580" s="152"/>
      <c r="G580" s="152"/>
      <c r="H580" s="152"/>
      <c r="I580" s="152"/>
      <c r="J580" s="152"/>
      <c r="K580" s="152"/>
      <c r="L580" s="152"/>
    </row>
    <row r="581" spans="1:12" s="200" customFormat="1">
      <c r="A581" s="95"/>
      <c r="B581" s="152"/>
      <c r="C581" s="152"/>
      <c r="D581" s="152"/>
      <c r="E581" s="152"/>
      <c r="F581" s="152"/>
      <c r="G581" s="152"/>
      <c r="H581" s="152"/>
      <c r="I581" s="152"/>
      <c r="J581" s="152"/>
      <c r="K581" s="152"/>
      <c r="L581" s="152"/>
    </row>
    <row r="582" spans="1:12" s="200" customFormat="1">
      <c r="A582" s="95"/>
      <c r="B582" s="152"/>
      <c r="C582" s="152"/>
      <c r="D582" s="152"/>
      <c r="E582" s="152"/>
      <c r="F582" s="152"/>
      <c r="G582" s="152"/>
      <c r="H582" s="152"/>
      <c r="I582" s="152"/>
      <c r="J582" s="152"/>
      <c r="K582" s="152"/>
      <c r="L582" s="152"/>
    </row>
    <row r="583" spans="1:12" s="200" customFormat="1">
      <c r="A583" s="95"/>
      <c r="B583" s="152"/>
      <c r="C583" s="152"/>
      <c r="D583" s="152"/>
      <c r="E583" s="152"/>
      <c r="F583" s="152"/>
      <c r="G583" s="152"/>
      <c r="H583" s="152"/>
      <c r="I583" s="152"/>
      <c r="J583" s="152"/>
      <c r="K583" s="152"/>
      <c r="L583" s="152"/>
    </row>
    <row r="584" spans="1:12" s="200" customFormat="1">
      <c r="A584" s="95"/>
      <c r="B584" s="152"/>
      <c r="C584" s="152"/>
      <c r="D584" s="152"/>
      <c r="E584" s="152"/>
      <c r="F584" s="152"/>
      <c r="G584" s="152"/>
      <c r="H584" s="152"/>
      <c r="I584" s="152"/>
      <c r="J584" s="152"/>
      <c r="K584" s="152"/>
      <c r="L584" s="152"/>
    </row>
    <row r="585" spans="1:12" s="200" customFormat="1">
      <c r="A585" s="95"/>
      <c r="B585" s="152"/>
      <c r="C585" s="152"/>
      <c r="D585" s="152"/>
      <c r="E585" s="152"/>
      <c r="F585" s="152"/>
      <c r="G585" s="152"/>
      <c r="H585" s="152"/>
      <c r="I585" s="152"/>
      <c r="J585" s="152"/>
      <c r="K585" s="152"/>
      <c r="L585" s="152"/>
    </row>
    <row r="586" spans="1:12" s="200" customFormat="1">
      <c r="A586" s="95"/>
      <c r="B586" s="152"/>
      <c r="C586" s="152"/>
      <c r="D586" s="152"/>
      <c r="E586" s="152"/>
      <c r="F586" s="152"/>
      <c r="G586" s="152"/>
      <c r="H586" s="152"/>
      <c r="I586" s="152"/>
      <c r="J586" s="152"/>
      <c r="K586" s="152"/>
      <c r="L586" s="152"/>
    </row>
    <row r="587" spans="1:12" s="200" customFormat="1">
      <c r="A587" s="95"/>
      <c r="B587" s="152"/>
      <c r="C587" s="152"/>
      <c r="D587" s="152"/>
      <c r="E587" s="152"/>
      <c r="F587" s="152"/>
      <c r="G587" s="152"/>
      <c r="H587" s="152"/>
      <c r="I587" s="152"/>
      <c r="J587" s="152"/>
      <c r="K587" s="152"/>
      <c r="L587" s="152"/>
    </row>
    <row r="588" spans="1:12" s="200" customFormat="1">
      <c r="A588" s="95"/>
      <c r="B588" s="152"/>
      <c r="C588" s="152"/>
      <c r="D588" s="152"/>
      <c r="E588" s="152"/>
      <c r="F588" s="152"/>
      <c r="G588" s="152"/>
      <c r="H588" s="152"/>
      <c r="I588" s="152"/>
      <c r="J588" s="152"/>
      <c r="K588" s="152"/>
      <c r="L588" s="152"/>
    </row>
    <row r="589" spans="1:12" s="200" customFormat="1">
      <c r="A589" s="95"/>
      <c r="B589" s="152"/>
      <c r="C589" s="152"/>
      <c r="D589" s="152"/>
      <c r="E589" s="152"/>
      <c r="F589" s="152"/>
      <c r="G589" s="152"/>
      <c r="H589" s="152"/>
      <c r="I589" s="152"/>
      <c r="J589" s="152"/>
      <c r="K589" s="152"/>
      <c r="L589" s="152"/>
    </row>
    <row r="590" spans="1:12" s="200" customFormat="1">
      <c r="A590" s="95"/>
      <c r="B590" s="152"/>
      <c r="C590" s="152"/>
      <c r="D590" s="152"/>
      <c r="E590" s="152"/>
      <c r="F590" s="152"/>
      <c r="G590" s="152"/>
      <c r="H590" s="152"/>
      <c r="I590" s="152"/>
      <c r="J590" s="152"/>
      <c r="K590" s="152"/>
      <c r="L590" s="152"/>
    </row>
    <row r="591" spans="1:12" s="200" customFormat="1">
      <c r="A591" s="95"/>
      <c r="B591" s="152"/>
      <c r="C591" s="152"/>
      <c r="D591" s="152"/>
      <c r="E591" s="152"/>
      <c r="F591" s="152"/>
      <c r="G591" s="152"/>
      <c r="H591" s="152"/>
      <c r="I591" s="152"/>
      <c r="J591" s="152"/>
      <c r="K591" s="152"/>
      <c r="L591" s="152"/>
    </row>
    <row r="592" spans="1:12" s="200" customFormat="1">
      <c r="A592" s="95"/>
      <c r="B592" s="152"/>
      <c r="C592" s="152"/>
      <c r="D592" s="152"/>
      <c r="E592" s="152"/>
      <c r="F592" s="152"/>
      <c r="G592" s="152"/>
      <c r="H592" s="152"/>
      <c r="I592" s="152"/>
      <c r="J592" s="152"/>
      <c r="K592" s="152"/>
      <c r="L592" s="152"/>
    </row>
    <row r="593" spans="1:12" s="200" customFormat="1">
      <c r="A593" s="95"/>
      <c r="B593" s="152"/>
      <c r="C593" s="152"/>
      <c r="D593" s="152"/>
      <c r="E593" s="152"/>
      <c r="F593" s="152"/>
      <c r="G593" s="152"/>
      <c r="H593" s="152"/>
      <c r="I593" s="152"/>
      <c r="J593" s="152"/>
      <c r="K593" s="152"/>
      <c r="L593" s="152"/>
    </row>
    <row r="594" spans="1:12" s="200" customFormat="1">
      <c r="A594" s="95"/>
      <c r="B594" s="152"/>
      <c r="C594" s="152"/>
      <c r="D594" s="152"/>
      <c r="E594" s="152"/>
      <c r="F594" s="152"/>
      <c r="G594" s="152"/>
      <c r="H594" s="152"/>
      <c r="I594" s="152"/>
      <c r="J594" s="152"/>
      <c r="K594" s="152"/>
      <c r="L594" s="152"/>
    </row>
    <row r="595" spans="1:12" s="200" customFormat="1">
      <c r="A595" s="95"/>
      <c r="B595" s="152"/>
      <c r="C595" s="152"/>
      <c r="D595" s="152"/>
      <c r="E595" s="152"/>
      <c r="F595" s="152"/>
      <c r="G595" s="152"/>
      <c r="H595" s="152"/>
      <c r="I595" s="152"/>
      <c r="J595" s="152"/>
      <c r="K595" s="152"/>
      <c r="L595" s="152"/>
    </row>
    <row r="596" spans="1:12" s="200" customFormat="1">
      <c r="A596" s="95"/>
      <c r="B596" s="152"/>
      <c r="C596" s="152"/>
      <c r="D596" s="152"/>
      <c r="E596" s="152"/>
      <c r="F596" s="152"/>
      <c r="G596" s="152"/>
      <c r="H596" s="152"/>
      <c r="I596" s="152"/>
      <c r="J596" s="152"/>
      <c r="K596" s="152"/>
      <c r="L596" s="152"/>
    </row>
    <row r="597" spans="1:12" s="200" customFormat="1">
      <c r="A597" s="95"/>
      <c r="B597" s="152"/>
      <c r="C597" s="152"/>
      <c r="D597" s="152"/>
      <c r="E597" s="152"/>
      <c r="F597" s="152"/>
      <c r="G597" s="152"/>
      <c r="H597" s="152"/>
      <c r="I597" s="152"/>
      <c r="J597" s="152"/>
      <c r="K597" s="152"/>
      <c r="L597" s="152"/>
    </row>
    <row r="598" spans="1:12" s="200" customFormat="1">
      <c r="A598" s="95"/>
      <c r="B598" s="152"/>
      <c r="C598" s="152"/>
      <c r="D598" s="152"/>
      <c r="E598" s="152"/>
      <c r="F598" s="152"/>
      <c r="G598" s="152"/>
      <c r="H598" s="152"/>
      <c r="I598" s="152"/>
      <c r="J598" s="152"/>
      <c r="K598" s="152"/>
      <c r="L598" s="152"/>
    </row>
    <row r="599" spans="1:12" s="200" customFormat="1">
      <c r="A599" s="95"/>
      <c r="B599" s="152"/>
      <c r="C599" s="152"/>
      <c r="D599" s="152"/>
      <c r="E599" s="152"/>
      <c r="F599" s="152"/>
      <c r="G599" s="152"/>
      <c r="H599" s="152"/>
      <c r="I599" s="152"/>
      <c r="J599" s="152"/>
      <c r="K599" s="152"/>
      <c r="L599" s="152"/>
    </row>
    <row r="600" spans="1:12" s="200" customFormat="1">
      <c r="A600" s="95"/>
      <c r="B600" s="152"/>
      <c r="C600" s="152"/>
      <c r="D600" s="152"/>
      <c r="E600" s="152"/>
      <c r="F600" s="152"/>
      <c r="G600" s="152"/>
      <c r="H600" s="152"/>
      <c r="I600" s="152"/>
      <c r="J600" s="152"/>
      <c r="K600" s="152"/>
      <c r="L600" s="152"/>
    </row>
    <row r="601" spans="1:12" s="200" customFormat="1">
      <c r="A601" s="95"/>
      <c r="B601" s="152"/>
      <c r="C601" s="152"/>
      <c r="D601" s="152"/>
      <c r="E601" s="152"/>
      <c r="F601" s="152"/>
      <c r="G601" s="152"/>
      <c r="H601" s="152"/>
      <c r="I601" s="152"/>
      <c r="J601" s="152"/>
      <c r="K601" s="152"/>
      <c r="L601" s="152"/>
    </row>
    <row r="602" spans="1:12" s="200" customFormat="1">
      <c r="A602" s="95"/>
      <c r="B602" s="152"/>
      <c r="C602" s="152"/>
      <c r="D602" s="152"/>
      <c r="E602" s="152"/>
      <c r="F602" s="152"/>
      <c r="G602" s="152"/>
      <c r="H602" s="152"/>
      <c r="I602" s="152"/>
      <c r="J602" s="152"/>
      <c r="K602" s="152"/>
      <c r="L602" s="152"/>
    </row>
    <row r="603" spans="1:12" s="200" customFormat="1">
      <c r="A603" s="95"/>
      <c r="B603" s="152"/>
      <c r="C603" s="152"/>
      <c r="D603" s="152"/>
      <c r="E603" s="152"/>
      <c r="F603" s="152"/>
      <c r="G603" s="152"/>
      <c r="H603" s="152"/>
      <c r="I603" s="152"/>
      <c r="J603" s="152"/>
      <c r="K603" s="152"/>
      <c r="L603" s="152"/>
    </row>
    <row r="604" spans="1:12" s="200" customFormat="1">
      <c r="A604" s="95"/>
      <c r="B604" s="152"/>
      <c r="C604" s="152"/>
      <c r="D604" s="152"/>
      <c r="E604" s="152"/>
      <c r="F604" s="152"/>
      <c r="G604" s="152"/>
      <c r="H604" s="152"/>
      <c r="I604" s="152"/>
      <c r="J604" s="152"/>
      <c r="K604" s="152"/>
      <c r="L604" s="152"/>
    </row>
    <row r="605" spans="1:12" s="200" customFormat="1">
      <c r="A605" s="95"/>
      <c r="B605" s="152"/>
      <c r="C605" s="152"/>
      <c r="D605" s="152"/>
      <c r="E605" s="152"/>
      <c r="F605" s="152"/>
      <c r="G605" s="152"/>
      <c r="H605" s="152"/>
      <c r="I605" s="152"/>
      <c r="J605" s="152"/>
      <c r="K605" s="152"/>
      <c r="L605" s="152"/>
    </row>
    <row r="606" spans="1:12" s="200" customFormat="1">
      <c r="A606" s="95"/>
      <c r="B606" s="152"/>
      <c r="C606" s="152"/>
      <c r="D606" s="152"/>
      <c r="E606" s="152"/>
      <c r="F606" s="152"/>
      <c r="G606" s="152"/>
      <c r="H606" s="152"/>
      <c r="I606" s="152"/>
      <c r="J606" s="152"/>
      <c r="K606" s="152"/>
      <c r="L606" s="152"/>
    </row>
    <row r="607" spans="1:12" s="200" customFormat="1">
      <c r="A607" s="95"/>
      <c r="B607" s="152"/>
      <c r="C607" s="152"/>
      <c r="D607" s="152"/>
      <c r="E607" s="152"/>
      <c r="F607" s="152"/>
      <c r="G607" s="152"/>
      <c r="H607" s="152"/>
      <c r="I607" s="152"/>
      <c r="J607" s="152"/>
      <c r="K607" s="152"/>
      <c r="L607" s="152"/>
    </row>
    <row r="608" spans="1:12" s="200" customFormat="1">
      <c r="A608" s="95"/>
      <c r="B608" s="152"/>
      <c r="C608" s="152"/>
      <c r="D608" s="152"/>
      <c r="E608" s="152"/>
      <c r="F608" s="152"/>
      <c r="G608" s="152"/>
      <c r="H608" s="152"/>
      <c r="I608" s="152"/>
      <c r="J608" s="152"/>
      <c r="K608" s="152"/>
      <c r="L608" s="152"/>
    </row>
    <row r="609" spans="1:12" s="200" customFormat="1">
      <c r="A609" s="95"/>
      <c r="B609" s="152"/>
      <c r="C609" s="152"/>
      <c r="D609" s="152"/>
      <c r="E609" s="152"/>
      <c r="F609" s="152"/>
      <c r="G609" s="152"/>
      <c r="H609" s="152"/>
      <c r="I609" s="152"/>
      <c r="J609" s="152"/>
      <c r="K609" s="152"/>
      <c r="L609" s="152"/>
    </row>
    <row r="610" spans="1:12" s="200" customFormat="1">
      <c r="A610" s="95"/>
      <c r="B610" s="152"/>
      <c r="C610" s="152"/>
      <c r="D610" s="152"/>
      <c r="E610" s="152"/>
      <c r="F610" s="152"/>
      <c r="G610" s="152"/>
      <c r="H610" s="152"/>
      <c r="I610" s="152"/>
      <c r="J610" s="152"/>
      <c r="K610" s="152"/>
      <c r="L610" s="152"/>
    </row>
    <row r="611" spans="1:12" s="200" customFormat="1">
      <c r="A611" s="95"/>
      <c r="B611" s="152"/>
      <c r="C611" s="152"/>
      <c r="D611" s="152"/>
      <c r="E611" s="152"/>
      <c r="F611" s="152"/>
      <c r="G611" s="152"/>
      <c r="H611" s="152"/>
      <c r="I611" s="152"/>
      <c r="J611" s="152"/>
      <c r="K611" s="152"/>
      <c r="L611" s="152"/>
    </row>
    <row r="612" spans="1:12" s="200" customFormat="1">
      <c r="A612" s="95"/>
      <c r="B612" s="152"/>
      <c r="C612" s="152"/>
      <c r="D612" s="152"/>
      <c r="E612" s="152"/>
      <c r="F612" s="152"/>
      <c r="G612" s="152"/>
      <c r="H612" s="152"/>
      <c r="I612" s="152"/>
      <c r="J612" s="152"/>
      <c r="K612" s="152"/>
      <c r="L612" s="152"/>
    </row>
    <row r="613" spans="1:12" s="200" customFormat="1">
      <c r="A613" s="95"/>
      <c r="B613" s="152"/>
      <c r="C613" s="152"/>
      <c r="D613" s="152"/>
      <c r="E613" s="152"/>
      <c r="F613" s="152"/>
      <c r="G613" s="152"/>
      <c r="H613" s="152"/>
      <c r="I613" s="152"/>
      <c r="J613" s="152"/>
      <c r="K613" s="152"/>
      <c r="L613" s="152"/>
    </row>
    <row r="614" spans="1:12" s="200" customFormat="1">
      <c r="A614" s="95"/>
      <c r="B614" s="152"/>
      <c r="C614" s="152"/>
      <c r="D614" s="152"/>
      <c r="E614" s="152"/>
      <c r="F614" s="152"/>
      <c r="G614" s="152"/>
      <c r="H614" s="152"/>
      <c r="I614" s="152"/>
      <c r="J614" s="152"/>
      <c r="K614" s="152"/>
      <c r="L614" s="152"/>
    </row>
    <row r="615" spans="1:12" s="200" customFormat="1">
      <c r="A615" s="95"/>
      <c r="B615" s="152"/>
      <c r="C615" s="152"/>
      <c r="D615" s="152"/>
      <c r="E615" s="152"/>
      <c r="F615" s="152"/>
      <c r="G615" s="152"/>
      <c r="H615" s="152"/>
      <c r="I615" s="152"/>
      <c r="J615" s="152"/>
      <c r="K615" s="152"/>
      <c r="L615" s="152"/>
    </row>
    <row r="616" spans="1:12" s="200" customFormat="1">
      <c r="A616" s="95"/>
      <c r="B616" s="152"/>
      <c r="C616" s="152"/>
      <c r="D616" s="152"/>
      <c r="E616" s="152"/>
      <c r="F616" s="152"/>
      <c r="G616" s="152"/>
      <c r="H616" s="152"/>
      <c r="I616" s="152"/>
      <c r="J616" s="152"/>
      <c r="K616" s="152"/>
      <c r="L616" s="152"/>
    </row>
    <row r="617" spans="1:12" s="200" customFormat="1">
      <c r="A617" s="95"/>
      <c r="B617" s="152"/>
      <c r="C617" s="152"/>
      <c r="D617" s="152"/>
      <c r="E617" s="152"/>
      <c r="F617" s="152"/>
      <c r="G617" s="152"/>
      <c r="H617" s="152"/>
      <c r="I617" s="152"/>
      <c r="J617" s="152"/>
      <c r="K617" s="152"/>
      <c r="L617" s="152"/>
    </row>
    <row r="618" spans="1:12" s="200" customFormat="1">
      <c r="A618" s="95"/>
      <c r="B618" s="152"/>
      <c r="C618" s="152"/>
      <c r="D618" s="152"/>
      <c r="E618" s="152"/>
      <c r="F618" s="152"/>
      <c r="G618" s="152"/>
      <c r="H618" s="152"/>
      <c r="I618" s="152"/>
      <c r="J618" s="152"/>
      <c r="K618" s="152"/>
      <c r="L618" s="152"/>
    </row>
    <row r="619" spans="1:12" s="200" customFormat="1">
      <c r="A619" s="95"/>
      <c r="B619" s="152"/>
      <c r="C619" s="152"/>
      <c r="D619" s="152"/>
      <c r="E619" s="152"/>
      <c r="F619" s="152"/>
      <c r="G619" s="152"/>
      <c r="H619" s="152"/>
      <c r="I619" s="152"/>
      <c r="J619" s="152"/>
      <c r="K619" s="152"/>
      <c r="L619" s="152"/>
    </row>
    <row r="620" spans="1:12" s="200" customFormat="1">
      <c r="A620" s="95"/>
      <c r="B620" s="152"/>
      <c r="C620" s="152"/>
      <c r="D620" s="152"/>
      <c r="E620" s="152"/>
      <c r="F620" s="152"/>
      <c r="G620" s="152"/>
      <c r="H620" s="152"/>
      <c r="I620" s="152"/>
      <c r="J620" s="152"/>
      <c r="K620" s="152"/>
      <c r="L620" s="152"/>
    </row>
    <row r="621" spans="1:12" s="200" customFormat="1">
      <c r="A621" s="95"/>
      <c r="B621" s="152"/>
      <c r="C621" s="152"/>
      <c r="D621" s="152"/>
      <c r="E621" s="152"/>
      <c r="F621" s="152"/>
      <c r="G621" s="152"/>
      <c r="H621" s="152"/>
      <c r="I621" s="152"/>
      <c r="J621" s="152"/>
      <c r="K621" s="152"/>
      <c r="L621" s="152"/>
    </row>
    <row r="622" spans="1:12" s="200" customFormat="1">
      <c r="A622" s="95"/>
      <c r="B622" s="152"/>
      <c r="C622" s="152"/>
      <c r="D622" s="152"/>
      <c r="E622" s="152"/>
      <c r="F622" s="152"/>
      <c r="G622" s="152"/>
      <c r="H622" s="152"/>
      <c r="I622" s="152"/>
      <c r="J622" s="152"/>
      <c r="K622" s="152"/>
      <c r="L622" s="152"/>
    </row>
    <row r="623" spans="1:12" s="200" customFormat="1">
      <c r="A623" s="95"/>
      <c r="B623" s="152"/>
      <c r="C623" s="152"/>
      <c r="D623" s="152"/>
      <c r="E623" s="152"/>
      <c r="F623" s="152"/>
      <c r="G623" s="152"/>
      <c r="H623" s="152"/>
      <c r="I623" s="152"/>
      <c r="J623" s="152"/>
      <c r="K623" s="152"/>
      <c r="L623" s="152"/>
    </row>
    <row r="624" spans="1:12" s="200" customFormat="1">
      <c r="A624" s="95"/>
      <c r="B624" s="152"/>
      <c r="C624" s="152"/>
      <c r="D624" s="152"/>
      <c r="E624" s="152"/>
      <c r="F624" s="152"/>
      <c r="G624" s="152"/>
      <c r="H624" s="152"/>
      <c r="I624" s="152"/>
      <c r="J624" s="152"/>
      <c r="K624" s="152"/>
      <c r="L624" s="152"/>
    </row>
    <row r="625" spans="1:12" s="200" customFormat="1">
      <c r="A625" s="95"/>
      <c r="B625" s="152"/>
      <c r="C625" s="152"/>
      <c r="D625" s="152"/>
      <c r="E625" s="152"/>
      <c r="F625" s="152"/>
      <c r="G625" s="152"/>
      <c r="H625" s="152"/>
      <c r="I625" s="152"/>
      <c r="J625" s="152"/>
      <c r="K625" s="152"/>
      <c r="L625" s="152"/>
    </row>
    <row r="626" spans="1:12" s="200" customFormat="1">
      <c r="A626" s="95"/>
      <c r="B626" s="152"/>
      <c r="C626" s="152"/>
      <c r="D626" s="152"/>
      <c r="E626" s="152"/>
      <c r="F626" s="152"/>
      <c r="G626" s="152"/>
      <c r="H626" s="152"/>
      <c r="I626" s="152"/>
      <c r="J626" s="152"/>
      <c r="K626" s="152"/>
      <c r="L626" s="152"/>
    </row>
  </sheetData>
  <mergeCells count="17">
    <mergeCell ref="A514:A515"/>
    <mergeCell ref="A534:L538"/>
    <mergeCell ref="A539:L539"/>
    <mergeCell ref="A540:L540"/>
    <mergeCell ref="A541:L541"/>
    <mergeCell ref="A513:L513"/>
    <mergeCell ref="A1:L1"/>
    <mergeCell ref="A2:A3"/>
    <mergeCell ref="A374:L378"/>
    <mergeCell ref="A380:L380"/>
    <mergeCell ref="A381:L381"/>
    <mergeCell ref="A390:L390"/>
    <mergeCell ref="A391:A392"/>
    <mergeCell ref="A431:L431"/>
    <mergeCell ref="A432:A433"/>
    <mergeCell ref="A472:L472"/>
    <mergeCell ref="A473:A474"/>
  </mergeCells>
  <pageMargins left="0.7" right="0.7" top="0.75" bottom="0.75" header="0.3" footer="0.3"/>
  <pageSetup scale="99" orientation="landscape" r:id="rId1"/>
  <rowBreaks count="3" manualBreakCount="3">
    <brk id="430" max="11" man="1"/>
    <brk id="471" max="11" man="1"/>
    <brk id="512"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41"/>
  <dimension ref="A1:S771"/>
  <sheetViews>
    <sheetView showGridLines="0" topLeftCell="A631" zoomScale="90" zoomScaleNormal="90" zoomScaleSheetLayoutView="100" workbookViewId="0">
      <selection activeCell="N421" sqref="N421"/>
    </sheetView>
  </sheetViews>
  <sheetFormatPr baseColWidth="10" defaultColWidth="9" defaultRowHeight="11"/>
  <cols>
    <col min="1" max="1" width="9.1640625" style="95" customWidth="1"/>
    <col min="2" max="12" width="6.1640625" style="139" customWidth="1"/>
    <col min="13" max="13" width="1.6640625" style="139" customWidth="1"/>
    <col min="14" max="19" width="6.1640625" style="139" customWidth="1"/>
    <col min="20" max="16384" width="9" style="182"/>
  </cols>
  <sheetData>
    <row r="1" spans="1:19">
      <c r="A1" s="309" t="s">
        <v>215</v>
      </c>
      <c r="B1" s="309"/>
      <c r="C1" s="310"/>
      <c r="D1" s="310"/>
      <c r="E1" s="310"/>
      <c r="F1" s="310"/>
      <c r="G1" s="310"/>
      <c r="H1" s="310"/>
      <c r="I1" s="311"/>
      <c r="J1" s="311"/>
      <c r="K1" s="311"/>
      <c r="L1" s="311"/>
      <c r="M1" s="311"/>
      <c r="N1" s="311"/>
      <c r="O1" s="311"/>
      <c r="P1" s="311"/>
      <c r="Q1" s="311"/>
      <c r="R1" s="311"/>
      <c r="S1" s="311"/>
    </row>
    <row r="2" spans="1:19" s="203" customFormat="1">
      <c r="A2" s="109" t="s">
        <v>27</v>
      </c>
      <c r="B2" s="110" t="s">
        <v>37</v>
      </c>
      <c r="C2" s="110" t="s">
        <v>28</v>
      </c>
      <c r="D2" s="110" t="s">
        <v>29</v>
      </c>
      <c r="E2" s="110" t="s">
        <v>30</v>
      </c>
      <c r="F2" s="110" t="s">
        <v>31</v>
      </c>
      <c r="G2" s="110" t="s">
        <v>32</v>
      </c>
      <c r="H2" s="110" t="s">
        <v>33</v>
      </c>
      <c r="I2" s="110" t="s">
        <v>34</v>
      </c>
      <c r="J2" s="110" t="s">
        <v>38</v>
      </c>
      <c r="K2" s="110" t="s">
        <v>75</v>
      </c>
      <c r="L2" s="110" t="s">
        <v>22</v>
      </c>
      <c r="M2" s="110"/>
      <c r="N2" s="110" t="s">
        <v>30</v>
      </c>
      <c r="O2" s="110" t="s">
        <v>31</v>
      </c>
      <c r="P2" s="110" t="s">
        <v>32</v>
      </c>
      <c r="Q2" s="110" t="s">
        <v>33</v>
      </c>
      <c r="R2" s="110" t="s">
        <v>34</v>
      </c>
      <c r="S2" s="110" t="s">
        <v>22</v>
      </c>
    </row>
    <row r="3" spans="1:19" ht="11.25" customHeight="1">
      <c r="B3" s="308" t="s">
        <v>61</v>
      </c>
      <c r="C3" s="308"/>
      <c r="D3" s="308"/>
      <c r="E3" s="308"/>
      <c r="F3" s="308"/>
      <c r="G3" s="308"/>
      <c r="H3" s="308"/>
      <c r="I3" s="308"/>
      <c r="J3" s="308"/>
      <c r="K3" s="308"/>
      <c r="L3" s="308"/>
      <c r="N3" s="308" t="s">
        <v>62</v>
      </c>
      <c r="O3" s="308"/>
      <c r="P3" s="308"/>
      <c r="Q3" s="308"/>
      <c r="R3" s="308"/>
      <c r="S3" s="308"/>
    </row>
    <row r="4" spans="1:19">
      <c r="A4" s="88" t="s">
        <v>102</v>
      </c>
    </row>
    <row r="5" spans="1:19">
      <c r="A5" s="99">
        <v>1952</v>
      </c>
      <c r="B5" s="139">
        <v>7233</v>
      </c>
      <c r="C5" s="139">
        <v>19870</v>
      </c>
      <c r="D5" s="139">
        <v>13269</v>
      </c>
      <c r="E5" s="139">
        <v>11397</v>
      </c>
      <c r="F5" s="139">
        <v>6382</v>
      </c>
      <c r="G5" s="139">
        <v>7438</v>
      </c>
      <c r="H5" s="139">
        <v>2431</v>
      </c>
      <c r="I5" s="139">
        <v>4945</v>
      </c>
      <c r="J5" s="139" t="s">
        <v>23</v>
      </c>
      <c r="K5" s="139" t="s">
        <v>23</v>
      </c>
      <c r="L5" s="139">
        <f t="shared" ref="L5:L62" si="0">SUM(B5:K5)</f>
        <v>72965</v>
      </c>
      <c r="N5" s="139">
        <v>12944</v>
      </c>
      <c r="O5" s="139">
        <v>24399</v>
      </c>
      <c r="P5" s="139">
        <v>19987</v>
      </c>
      <c r="Q5" s="139">
        <v>9448</v>
      </c>
      <c r="R5" s="139">
        <v>5730</v>
      </c>
      <c r="S5" s="139">
        <f t="shared" ref="S5:S38" si="1">SUM(N5:R5)</f>
        <v>72508</v>
      </c>
    </row>
    <row r="6" spans="1:19">
      <c r="A6" s="99">
        <f>1+A5</f>
        <v>1953</v>
      </c>
      <c r="B6" s="139">
        <v>2329</v>
      </c>
      <c r="C6" s="139">
        <v>22415</v>
      </c>
      <c r="D6" s="139">
        <v>4375</v>
      </c>
      <c r="E6" s="139">
        <v>4646</v>
      </c>
      <c r="F6" s="139">
        <v>4430</v>
      </c>
      <c r="G6" s="139">
        <v>3147</v>
      </c>
      <c r="H6" s="139">
        <v>829</v>
      </c>
      <c r="I6" s="139">
        <v>241</v>
      </c>
      <c r="J6" s="139" t="s">
        <v>23</v>
      </c>
      <c r="K6" s="139" t="s">
        <v>23</v>
      </c>
      <c r="L6" s="139">
        <f t="shared" si="0"/>
        <v>42412</v>
      </c>
      <c r="N6" s="139">
        <v>4063</v>
      </c>
      <c r="O6" s="139">
        <v>14761</v>
      </c>
      <c r="P6" s="139">
        <v>15436</v>
      </c>
      <c r="Q6" s="139">
        <v>11678</v>
      </c>
      <c r="R6" s="139">
        <v>2901</v>
      </c>
      <c r="S6" s="139">
        <f t="shared" si="1"/>
        <v>48839</v>
      </c>
    </row>
    <row r="7" spans="1:19">
      <c r="A7" s="99">
        <f t="shared" ref="A7:A29" si="2">1+A6</f>
        <v>1954</v>
      </c>
      <c r="B7" s="139">
        <v>11336</v>
      </c>
      <c r="C7" s="139">
        <v>13409</v>
      </c>
      <c r="D7" s="139">
        <v>6958</v>
      </c>
      <c r="E7" s="139">
        <v>1240</v>
      </c>
      <c r="F7" s="139">
        <v>1736</v>
      </c>
      <c r="G7" s="139">
        <v>6538</v>
      </c>
      <c r="H7" s="139">
        <v>3340</v>
      </c>
      <c r="I7" s="139">
        <v>628</v>
      </c>
      <c r="J7" s="139" t="s">
        <v>23</v>
      </c>
      <c r="K7" s="139" t="s">
        <v>23</v>
      </c>
      <c r="L7" s="139">
        <f t="shared" si="0"/>
        <v>45185</v>
      </c>
      <c r="N7" s="139">
        <v>848</v>
      </c>
      <c r="O7" s="139">
        <v>9843</v>
      </c>
      <c r="P7" s="139">
        <v>9352</v>
      </c>
      <c r="Q7" s="139">
        <v>5995</v>
      </c>
      <c r="R7" s="139">
        <v>653</v>
      </c>
      <c r="S7" s="139">
        <f t="shared" si="1"/>
        <v>26691</v>
      </c>
    </row>
    <row r="8" spans="1:19">
      <c r="A8" s="99">
        <f t="shared" si="2"/>
        <v>1955</v>
      </c>
      <c r="B8" s="139">
        <v>3817</v>
      </c>
      <c r="C8" s="139">
        <v>14547</v>
      </c>
      <c r="D8" s="139">
        <v>6848</v>
      </c>
      <c r="E8" s="139">
        <v>3921</v>
      </c>
      <c r="F8" s="139">
        <v>4444</v>
      </c>
      <c r="G8" s="139">
        <v>8561</v>
      </c>
      <c r="H8" s="139">
        <v>2736</v>
      </c>
      <c r="I8" s="139">
        <v>229</v>
      </c>
      <c r="J8" s="139" t="s">
        <v>23</v>
      </c>
      <c r="K8" s="139" t="s">
        <v>23</v>
      </c>
      <c r="L8" s="139">
        <f t="shared" si="0"/>
        <v>45103</v>
      </c>
      <c r="N8" s="139">
        <v>1179</v>
      </c>
      <c r="O8" s="139">
        <v>13020</v>
      </c>
      <c r="P8" s="139">
        <v>17036</v>
      </c>
      <c r="Q8" s="139">
        <v>11193</v>
      </c>
      <c r="R8" s="139">
        <v>2659</v>
      </c>
      <c r="S8" s="139">
        <f t="shared" si="1"/>
        <v>45087</v>
      </c>
    </row>
    <row r="9" spans="1:19">
      <c r="A9" s="99">
        <f t="shared" si="2"/>
        <v>1956</v>
      </c>
      <c r="B9" s="139" t="s">
        <v>23</v>
      </c>
      <c r="C9" s="139">
        <v>23162</v>
      </c>
      <c r="D9" s="139">
        <v>487</v>
      </c>
      <c r="E9" s="139">
        <v>997</v>
      </c>
      <c r="F9" s="139">
        <v>5089</v>
      </c>
      <c r="G9" s="139">
        <v>6988</v>
      </c>
      <c r="H9" s="139">
        <v>1220</v>
      </c>
      <c r="I9" s="139">
        <v>231</v>
      </c>
      <c r="J9" s="139" t="s">
        <v>23</v>
      </c>
      <c r="K9" s="139" t="s">
        <v>23</v>
      </c>
      <c r="L9" s="139">
        <f t="shared" si="0"/>
        <v>38174</v>
      </c>
      <c r="N9" s="139">
        <v>4054</v>
      </c>
      <c r="O9" s="139">
        <v>27551</v>
      </c>
      <c r="P9" s="139">
        <v>23143</v>
      </c>
      <c r="Q9" s="139">
        <v>10131</v>
      </c>
      <c r="R9" s="139">
        <v>2613</v>
      </c>
      <c r="S9" s="139">
        <f t="shared" si="1"/>
        <v>67492</v>
      </c>
    </row>
    <row r="10" spans="1:19">
      <c r="A10" s="99">
        <f t="shared" si="2"/>
        <v>1957</v>
      </c>
      <c r="B10" s="139" t="s">
        <v>23</v>
      </c>
      <c r="C10" s="139">
        <v>4196</v>
      </c>
      <c r="D10" s="139">
        <v>2392</v>
      </c>
      <c r="E10" s="139">
        <v>842</v>
      </c>
      <c r="F10" s="139">
        <v>5171</v>
      </c>
      <c r="G10" s="139">
        <v>2947</v>
      </c>
      <c r="H10" s="139">
        <v>1256</v>
      </c>
      <c r="I10" s="139">
        <v>11</v>
      </c>
      <c r="J10" s="139" t="s">
        <v>23</v>
      </c>
      <c r="K10" s="139" t="s">
        <v>23</v>
      </c>
      <c r="L10" s="139">
        <f t="shared" si="0"/>
        <v>16815</v>
      </c>
      <c r="N10" s="139">
        <v>8726</v>
      </c>
      <c r="O10" s="139">
        <v>26941</v>
      </c>
      <c r="P10" s="139">
        <v>16592</v>
      </c>
      <c r="Q10" s="139">
        <v>4667</v>
      </c>
      <c r="R10" s="139">
        <v>531</v>
      </c>
      <c r="S10" s="139">
        <f t="shared" si="1"/>
        <v>57457</v>
      </c>
    </row>
    <row r="11" spans="1:19">
      <c r="A11" s="99">
        <f t="shared" si="2"/>
        <v>1958</v>
      </c>
      <c r="B11" s="139" t="s">
        <v>23</v>
      </c>
      <c r="C11" s="139">
        <v>928</v>
      </c>
      <c r="D11" s="139">
        <v>404</v>
      </c>
      <c r="E11" s="139">
        <v>1441</v>
      </c>
      <c r="F11" s="139">
        <v>2140</v>
      </c>
      <c r="G11" s="139">
        <v>2691</v>
      </c>
      <c r="H11" s="139">
        <v>276</v>
      </c>
      <c r="I11" s="139">
        <v>81</v>
      </c>
      <c r="J11" s="139" t="s">
        <v>23</v>
      </c>
      <c r="K11" s="139" t="s">
        <v>23</v>
      </c>
      <c r="L11" s="139">
        <f t="shared" si="0"/>
        <v>7961</v>
      </c>
      <c r="N11" s="139">
        <v>10285</v>
      </c>
      <c r="O11" s="139">
        <v>8131</v>
      </c>
      <c r="P11" s="139">
        <v>5051</v>
      </c>
      <c r="Q11" s="139">
        <v>6427</v>
      </c>
      <c r="R11" s="139">
        <v>531</v>
      </c>
      <c r="S11" s="139">
        <f t="shared" si="1"/>
        <v>30425</v>
      </c>
    </row>
    <row r="12" spans="1:19">
      <c r="A12" s="99">
        <f t="shared" si="2"/>
        <v>1959</v>
      </c>
      <c r="B12" s="139" t="s">
        <v>23</v>
      </c>
      <c r="C12" s="139">
        <v>2196</v>
      </c>
      <c r="D12" s="139">
        <v>414</v>
      </c>
      <c r="E12" s="139">
        <v>1094</v>
      </c>
      <c r="F12" s="139">
        <v>1222</v>
      </c>
      <c r="G12" s="139">
        <v>2827</v>
      </c>
      <c r="H12" s="139">
        <v>259</v>
      </c>
      <c r="I12" s="139">
        <v>159</v>
      </c>
      <c r="J12" s="139" t="s">
        <v>23</v>
      </c>
      <c r="K12" s="139" t="s">
        <v>23</v>
      </c>
      <c r="L12" s="139">
        <f t="shared" si="0"/>
        <v>8171</v>
      </c>
      <c r="N12" s="139">
        <v>13457</v>
      </c>
      <c r="O12" s="139">
        <v>18148</v>
      </c>
      <c r="P12" s="139">
        <v>5284</v>
      </c>
      <c r="Q12" s="139">
        <v>3332</v>
      </c>
      <c r="R12" s="139">
        <v>1113</v>
      </c>
      <c r="S12" s="139">
        <f t="shared" si="1"/>
        <v>41334</v>
      </c>
    </row>
    <row r="13" spans="1:19">
      <c r="A13" s="99">
        <f t="shared" si="2"/>
        <v>1960</v>
      </c>
      <c r="B13" s="139" t="s">
        <v>23</v>
      </c>
      <c r="C13" s="139">
        <v>1748</v>
      </c>
      <c r="D13" s="139">
        <v>182</v>
      </c>
      <c r="E13" s="139">
        <v>1420</v>
      </c>
      <c r="F13" s="139">
        <v>2748</v>
      </c>
      <c r="G13" s="139">
        <v>1686</v>
      </c>
      <c r="H13" s="139">
        <v>657</v>
      </c>
      <c r="I13" s="139">
        <v>113</v>
      </c>
      <c r="J13" s="139" t="s">
        <v>23</v>
      </c>
      <c r="K13" s="139" t="s">
        <v>23</v>
      </c>
      <c r="L13" s="139">
        <f t="shared" si="0"/>
        <v>8554</v>
      </c>
      <c r="N13" s="139">
        <v>5753</v>
      </c>
      <c r="O13" s="139">
        <v>9794</v>
      </c>
      <c r="P13" s="139">
        <v>9808</v>
      </c>
      <c r="Q13" s="139">
        <v>3957</v>
      </c>
      <c r="R13" s="139">
        <v>429</v>
      </c>
      <c r="S13" s="139">
        <f t="shared" si="1"/>
        <v>29741</v>
      </c>
    </row>
    <row r="14" spans="1:19">
      <c r="A14" s="99">
        <f t="shared" si="2"/>
        <v>1961</v>
      </c>
      <c r="B14" s="139" t="s">
        <v>23</v>
      </c>
      <c r="C14" s="139">
        <v>600</v>
      </c>
      <c r="D14" s="139">
        <v>310</v>
      </c>
      <c r="E14" s="139">
        <v>2205</v>
      </c>
      <c r="F14" s="139">
        <v>1711</v>
      </c>
      <c r="G14" s="139">
        <v>3008</v>
      </c>
      <c r="H14" s="139">
        <v>1535</v>
      </c>
      <c r="I14" s="139">
        <v>117</v>
      </c>
      <c r="J14" s="139" t="s">
        <v>23</v>
      </c>
      <c r="K14" s="139" t="s">
        <v>23</v>
      </c>
      <c r="L14" s="139">
        <f t="shared" si="0"/>
        <v>9486</v>
      </c>
      <c r="N14" s="139">
        <v>14216</v>
      </c>
      <c r="O14" s="139">
        <v>16577</v>
      </c>
      <c r="P14" s="139">
        <v>13315</v>
      </c>
      <c r="Q14" s="139">
        <v>16434</v>
      </c>
      <c r="R14" s="139">
        <v>1017</v>
      </c>
      <c r="S14" s="139">
        <f t="shared" si="1"/>
        <v>61559</v>
      </c>
    </row>
    <row r="15" spans="1:19">
      <c r="A15" s="99">
        <f t="shared" si="2"/>
        <v>1962</v>
      </c>
      <c r="B15" s="139" t="s">
        <v>23</v>
      </c>
      <c r="C15" s="139">
        <v>102</v>
      </c>
      <c r="D15" s="139">
        <v>728</v>
      </c>
      <c r="E15" s="139">
        <v>2909</v>
      </c>
      <c r="F15" s="139">
        <v>1422</v>
      </c>
      <c r="G15" s="139">
        <v>1088</v>
      </c>
      <c r="H15" s="139">
        <v>230</v>
      </c>
      <c r="I15" s="139">
        <v>55</v>
      </c>
      <c r="J15" s="139" t="s">
        <v>23</v>
      </c>
      <c r="K15" s="139" t="s">
        <v>23</v>
      </c>
      <c r="L15" s="139">
        <f t="shared" si="0"/>
        <v>6534</v>
      </c>
      <c r="N15" s="139">
        <v>16837</v>
      </c>
      <c r="O15" s="139">
        <v>19831</v>
      </c>
      <c r="P15" s="139">
        <v>17289</v>
      </c>
      <c r="Q15" s="139">
        <v>2771</v>
      </c>
      <c r="R15" s="139">
        <v>137</v>
      </c>
      <c r="S15" s="139">
        <f t="shared" si="1"/>
        <v>56865</v>
      </c>
    </row>
    <row r="16" spans="1:19">
      <c r="A16" s="99">
        <f t="shared" si="2"/>
        <v>1963</v>
      </c>
      <c r="B16" s="139" t="s">
        <v>23</v>
      </c>
      <c r="C16" s="139">
        <v>2779</v>
      </c>
      <c r="D16" s="139">
        <v>4886</v>
      </c>
      <c r="E16" s="139">
        <v>4930</v>
      </c>
      <c r="F16" s="139">
        <v>1033</v>
      </c>
      <c r="G16" s="139">
        <v>1518</v>
      </c>
      <c r="H16" s="139">
        <v>494</v>
      </c>
      <c r="I16" s="139">
        <v>106</v>
      </c>
      <c r="J16" s="139" t="s">
        <v>23</v>
      </c>
      <c r="K16" s="139" t="s">
        <v>23</v>
      </c>
      <c r="L16" s="139">
        <f t="shared" si="0"/>
        <v>15746</v>
      </c>
      <c r="N16" s="139">
        <v>10753</v>
      </c>
      <c r="O16" s="139">
        <v>37431</v>
      </c>
      <c r="P16" s="139">
        <v>15940</v>
      </c>
      <c r="Q16" s="139">
        <v>11004</v>
      </c>
      <c r="R16" s="139">
        <v>1297</v>
      </c>
      <c r="S16" s="139">
        <f t="shared" si="1"/>
        <v>76425</v>
      </c>
    </row>
    <row r="17" spans="1:19">
      <c r="A17" s="99">
        <f t="shared" si="2"/>
        <v>1964</v>
      </c>
      <c r="B17" s="139" t="s">
        <v>23</v>
      </c>
      <c r="C17" s="139">
        <v>1035</v>
      </c>
      <c r="D17" s="139">
        <v>6133</v>
      </c>
      <c r="E17" s="139">
        <v>1371</v>
      </c>
      <c r="F17" s="139">
        <v>1475</v>
      </c>
      <c r="G17" s="139">
        <v>526</v>
      </c>
      <c r="H17" s="139">
        <v>962</v>
      </c>
      <c r="I17" s="139">
        <v>47</v>
      </c>
      <c r="J17" s="139" t="s">
        <v>23</v>
      </c>
      <c r="K17" s="139" t="s">
        <v>23</v>
      </c>
      <c r="L17" s="139">
        <f t="shared" si="0"/>
        <v>11549</v>
      </c>
      <c r="N17" s="139">
        <v>4525</v>
      </c>
      <c r="O17" s="139">
        <v>34888</v>
      </c>
      <c r="P17" s="139">
        <v>20887</v>
      </c>
      <c r="Q17" s="139">
        <v>23296</v>
      </c>
      <c r="R17" s="139">
        <v>382</v>
      </c>
      <c r="S17" s="139">
        <f t="shared" si="1"/>
        <v>83978</v>
      </c>
    </row>
    <row r="18" spans="1:19">
      <c r="A18" s="99">
        <f t="shared" si="2"/>
        <v>1965</v>
      </c>
      <c r="B18" s="139" t="s">
        <v>23</v>
      </c>
      <c r="C18" s="139">
        <v>10</v>
      </c>
      <c r="D18" s="139">
        <v>960</v>
      </c>
      <c r="E18" s="139">
        <v>681</v>
      </c>
      <c r="F18" s="139">
        <v>575</v>
      </c>
      <c r="G18" s="139">
        <v>1233</v>
      </c>
      <c r="H18" s="139">
        <v>769</v>
      </c>
      <c r="I18" s="139">
        <v>631</v>
      </c>
      <c r="J18" s="139" t="s">
        <v>23</v>
      </c>
      <c r="K18" s="139" t="s">
        <v>23</v>
      </c>
      <c r="L18" s="139">
        <f t="shared" si="0"/>
        <v>4859</v>
      </c>
      <c r="N18" s="139">
        <v>8330</v>
      </c>
      <c r="O18" s="139">
        <v>45726</v>
      </c>
      <c r="P18" s="139">
        <v>78296</v>
      </c>
      <c r="Q18" s="139">
        <v>17967</v>
      </c>
      <c r="R18" s="139">
        <v>5145</v>
      </c>
      <c r="S18" s="139">
        <f t="shared" si="1"/>
        <v>155464</v>
      </c>
    </row>
    <row r="19" spans="1:19">
      <c r="A19" s="99">
        <f t="shared" si="2"/>
        <v>1966</v>
      </c>
      <c r="B19" s="139" t="s">
        <v>23</v>
      </c>
      <c r="C19" s="139">
        <v>561</v>
      </c>
      <c r="D19" s="139">
        <v>7047</v>
      </c>
      <c r="E19" s="139">
        <v>6687</v>
      </c>
      <c r="F19" s="139">
        <v>1351</v>
      </c>
      <c r="G19" s="139">
        <v>821</v>
      </c>
      <c r="H19" s="139">
        <v>1471</v>
      </c>
      <c r="I19" s="139">
        <v>266</v>
      </c>
      <c r="J19" s="139" t="s">
        <v>23</v>
      </c>
      <c r="K19" s="139" t="s">
        <v>23</v>
      </c>
      <c r="L19" s="139">
        <f t="shared" si="0"/>
        <v>18204</v>
      </c>
      <c r="N19" s="139">
        <v>13660</v>
      </c>
      <c r="O19" s="139">
        <v>52359</v>
      </c>
      <c r="P19" s="139">
        <v>8277</v>
      </c>
      <c r="Q19" s="139">
        <v>52127</v>
      </c>
      <c r="R19" s="139">
        <v>3096</v>
      </c>
      <c r="S19" s="139">
        <f t="shared" si="1"/>
        <v>129519</v>
      </c>
    </row>
    <row r="20" spans="1:19">
      <c r="A20" s="99">
        <f t="shared" si="2"/>
        <v>1967</v>
      </c>
      <c r="B20" s="139" t="s">
        <v>23</v>
      </c>
      <c r="C20" s="139">
        <v>2149</v>
      </c>
      <c r="D20" s="139">
        <v>3541</v>
      </c>
      <c r="E20" s="139">
        <v>4943</v>
      </c>
      <c r="F20" s="139">
        <v>1479</v>
      </c>
      <c r="G20" s="139">
        <v>6185</v>
      </c>
      <c r="H20" s="139">
        <v>1465</v>
      </c>
      <c r="I20" s="139">
        <v>27</v>
      </c>
      <c r="J20" s="139" t="s">
        <v>23</v>
      </c>
      <c r="K20" s="139" t="s">
        <v>23</v>
      </c>
      <c r="L20" s="139">
        <f t="shared" si="0"/>
        <v>19789</v>
      </c>
      <c r="N20" s="139">
        <v>6245</v>
      </c>
      <c r="O20" s="139">
        <v>39570</v>
      </c>
      <c r="P20" s="139">
        <v>76853</v>
      </c>
      <c r="Q20" s="139">
        <v>35333</v>
      </c>
      <c r="R20" s="139">
        <v>374</v>
      </c>
      <c r="S20" s="139">
        <f t="shared" si="1"/>
        <v>158375</v>
      </c>
    </row>
    <row r="21" spans="1:19">
      <c r="A21" s="99">
        <f t="shared" si="2"/>
        <v>1968</v>
      </c>
      <c r="B21" s="139" t="s">
        <v>23</v>
      </c>
      <c r="C21" s="139">
        <v>4238</v>
      </c>
      <c r="D21" s="139">
        <v>12062</v>
      </c>
      <c r="E21" s="139">
        <v>3448</v>
      </c>
      <c r="F21" s="139">
        <v>1477</v>
      </c>
      <c r="G21" s="139">
        <v>923</v>
      </c>
      <c r="H21" s="139">
        <v>351</v>
      </c>
      <c r="I21" s="139">
        <v>8</v>
      </c>
      <c r="J21" s="139" t="s">
        <v>23</v>
      </c>
      <c r="K21" s="139" t="s">
        <v>23</v>
      </c>
      <c r="L21" s="139">
        <f t="shared" si="0"/>
        <v>22507</v>
      </c>
      <c r="N21" s="139">
        <v>42720</v>
      </c>
      <c r="O21" s="139">
        <v>33000</v>
      </c>
      <c r="P21" s="139">
        <v>15272</v>
      </c>
      <c r="Q21" s="139">
        <v>6763</v>
      </c>
      <c r="R21" s="139">
        <v>88</v>
      </c>
      <c r="S21" s="139">
        <f t="shared" si="1"/>
        <v>97843</v>
      </c>
    </row>
    <row r="22" spans="1:19">
      <c r="A22" s="99">
        <f t="shared" si="2"/>
        <v>1969</v>
      </c>
      <c r="B22" s="139" t="s">
        <v>23</v>
      </c>
      <c r="C22" s="139">
        <v>115</v>
      </c>
      <c r="D22" s="139">
        <v>925</v>
      </c>
      <c r="E22" s="139">
        <v>5383</v>
      </c>
      <c r="F22" s="139">
        <v>1834</v>
      </c>
      <c r="G22" s="139">
        <v>1505</v>
      </c>
      <c r="H22" s="139">
        <v>865</v>
      </c>
      <c r="I22" s="139">
        <v>6</v>
      </c>
      <c r="J22" s="139" t="s">
        <v>23</v>
      </c>
      <c r="K22" s="139" t="s">
        <v>23</v>
      </c>
      <c r="L22" s="139">
        <f t="shared" si="0"/>
        <v>10633</v>
      </c>
      <c r="N22" s="139">
        <v>11710</v>
      </c>
      <c r="O22" s="139">
        <v>15952</v>
      </c>
      <c r="P22" s="139">
        <v>15791</v>
      </c>
      <c r="Q22" s="139">
        <v>4872</v>
      </c>
      <c r="R22" s="139">
        <v>48</v>
      </c>
      <c r="S22" s="139">
        <f t="shared" si="1"/>
        <v>48373</v>
      </c>
    </row>
    <row r="23" spans="1:19">
      <c r="A23" s="99">
        <f t="shared" si="2"/>
        <v>1970</v>
      </c>
      <c r="B23" s="139" t="s">
        <v>23</v>
      </c>
      <c r="C23" s="139">
        <v>1301</v>
      </c>
      <c r="D23" s="139">
        <v>11658</v>
      </c>
      <c r="E23" s="139">
        <v>7425</v>
      </c>
      <c r="F23" s="139">
        <v>1687</v>
      </c>
      <c r="G23" s="139">
        <v>1481</v>
      </c>
      <c r="H23" s="139">
        <v>436</v>
      </c>
      <c r="I23" s="139">
        <v>22</v>
      </c>
      <c r="J23" s="139" t="s">
        <v>23</v>
      </c>
      <c r="K23" s="139" t="s">
        <v>23</v>
      </c>
      <c r="L23" s="139">
        <f t="shared" si="0"/>
        <v>24010</v>
      </c>
      <c r="N23" s="139">
        <v>27419</v>
      </c>
      <c r="O23" s="139">
        <v>24656</v>
      </c>
      <c r="P23" s="139">
        <v>30092</v>
      </c>
      <c r="Q23" s="139">
        <v>12066</v>
      </c>
      <c r="R23" s="139">
        <v>242</v>
      </c>
      <c r="S23" s="139">
        <f t="shared" si="1"/>
        <v>94475</v>
      </c>
    </row>
    <row r="24" spans="1:19">
      <c r="A24" s="99">
        <f t="shared" si="2"/>
        <v>1971</v>
      </c>
      <c r="B24" s="139" t="s">
        <v>23</v>
      </c>
      <c r="C24" s="139">
        <v>1323</v>
      </c>
      <c r="D24" s="139">
        <v>7820</v>
      </c>
      <c r="E24" s="139">
        <v>4857</v>
      </c>
      <c r="F24" s="139">
        <v>773</v>
      </c>
      <c r="G24" s="139">
        <v>1029</v>
      </c>
      <c r="H24" s="139">
        <v>219</v>
      </c>
      <c r="I24" s="139">
        <v>39</v>
      </c>
      <c r="J24" s="139" t="s">
        <v>23</v>
      </c>
      <c r="K24" s="139" t="s">
        <v>23</v>
      </c>
      <c r="L24" s="139">
        <f t="shared" si="0"/>
        <v>16060</v>
      </c>
      <c r="N24" s="139">
        <v>34194</v>
      </c>
      <c r="O24" s="139">
        <v>38078</v>
      </c>
      <c r="P24" s="139">
        <v>45134</v>
      </c>
      <c r="Q24" s="139">
        <v>11224</v>
      </c>
      <c r="R24" s="139">
        <v>505</v>
      </c>
      <c r="S24" s="139">
        <f t="shared" si="1"/>
        <v>129135</v>
      </c>
    </row>
    <row r="25" spans="1:19">
      <c r="A25" s="99">
        <f t="shared" si="2"/>
        <v>1972</v>
      </c>
      <c r="B25" s="139" t="s">
        <v>23</v>
      </c>
      <c r="C25" s="139">
        <v>15</v>
      </c>
      <c r="D25" s="139">
        <v>3309</v>
      </c>
      <c r="E25" s="139">
        <v>3818</v>
      </c>
      <c r="F25" s="139">
        <v>819</v>
      </c>
      <c r="G25" s="139">
        <v>525</v>
      </c>
      <c r="H25" s="139">
        <v>335</v>
      </c>
      <c r="I25" s="139">
        <v>27</v>
      </c>
      <c r="J25" s="139" t="s">
        <v>23</v>
      </c>
      <c r="K25" s="139" t="s">
        <v>23</v>
      </c>
      <c r="L25" s="139">
        <f t="shared" si="0"/>
        <v>8848</v>
      </c>
      <c r="N25" s="139">
        <v>25057</v>
      </c>
      <c r="O25" s="139">
        <v>15315</v>
      </c>
      <c r="P25" s="139">
        <v>15042</v>
      </c>
      <c r="Q25" s="139">
        <v>8145</v>
      </c>
      <c r="R25" s="139">
        <v>155</v>
      </c>
      <c r="S25" s="139">
        <f t="shared" si="1"/>
        <v>63714</v>
      </c>
    </row>
    <row r="26" spans="1:19">
      <c r="A26" s="99">
        <f t="shared" si="2"/>
        <v>1973</v>
      </c>
      <c r="B26" s="139" t="s">
        <v>23</v>
      </c>
      <c r="C26" s="139">
        <v>480</v>
      </c>
      <c r="D26" s="139">
        <v>3741</v>
      </c>
      <c r="E26" s="139">
        <v>2258</v>
      </c>
      <c r="F26" s="139">
        <v>950</v>
      </c>
      <c r="G26" s="139">
        <v>733</v>
      </c>
      <c r="H26" s="139">
        <v>291</v>
      </c>
      <c r="I26" s="139">
        <v>160</v>
      </c>
      <c r="J26" s="139" t="s">
        <v>23</v>
      </c>
      <c r="K26" s="139" t="s">
        <v>23</v>
      </c>
      <c r="L26" s="139">
        <f t="shared" si="0"/>
        <v>8613</v>
      </c>
      <c r="N26" s="139">
        <v>15692</v>
      </c>
      <c r="O26" s="139">
        <v>11801</v>
      </c>
      <c r="P26" s="139">
        <v>3150</v>
      </c>
      <c r="Q26" s="139">
        <v>788</v>
      </c>
      <c r="R26" s="139">
        <v>289</v>
      </c>
      <c r="S26" s="139">
        <f t="shared" si="1"/>
        <v>31720</v>
      </c>
    </row>
    <row r="27" spans="1:19">
      <c r="A27" s="99">
        <f t="shared" si="2"/>
        <v>1974</v>
      </c>
      <c r="B27" s="139" t="s">
        <v>23</v>
      </c>
      <c r="C27" s="139">
        <v>370</v>
      </c>
      <c r="D27" s="139">
        <v>12648</v>
      </c>
      <c r="E27" s="139">
        <v>1169</v>
      </c>
      <c r="F27" s="139">
        <v>1733</v>
      </c>
      <c r="G27" s="139">
        <v>1017</v>
      </c>
      <c r="H27" s="139">
        <v>626</v>
      </c>
      <c r="I27" s="139">
        <v>118</v>
      </c>
      <c r="J27" s="139" t="s">
        <v>23</v>
      </c>
      <c r="K27" s="139" t="s">
        <v>23</v>
      </c>
      <c r="L27" s="139">
        <f t="shared" si="0"/>
        <v>17681</v>
      </c>
      <c r="N27" s="139">
        <v>4115</v>
      </c>
      <c r="O27" s="139">
        <v>26133</v>
      </c>
      <c r="P27" s="139">
        <v>9218</v>
      </c>
      <c r="Q27" s="139">
        <v>4485</v>
      </c>
      <c r="R27" s="139">
        <v>200</v>
      </c>
      <c r="S27" s="139">
        <f t="shared" si="1"/>
        <v>44151</v>
      </c>
    </row>
    <row r="28" spans="1:19">
      <c r="A28" s="99">
        <f t="shared" si="2"/>
        <v>1975</v>
      </c>
      <c r="B28" s="139" t="s">
        <v>23</v>
      </c>
      <c r="C28" s="139">
        <v>81</v>
      </c>
      <c r="D28" s="139">
        <v>4426</v>
      </c>
      <c r="E28" s="139">
        <v>3447</v>
      </c>
      <c r="F28" s="139">
        <v>1934</v>
      </c>
      <c r="G28" s="139">
        <v>754</v>
      </c>
      <c r="H28" s="139">
        <v>287</v>
      </c>
      <c r="I28" s="139">
        <v>26</v>
      </c>
      <c r="J28" s="139" t="s">
        <v>23</v>
      </c>
      <c r="K28" s="139" t="s">
        <v>23</v>
      </c>
      <c r="L28" s="139">
        <f t="shared" si="0"/>
        <v>10955</v>
      </c>
      <c r="N28" s="139">
        <v>16903</v>
      </c>
      <c r="O28" s="139">
        <v>18154</v>
      </c>
      <c r="P28" s="139">
        <v>4559</v>
      </c>
      <c r="Q28" s="139">
        <v>3020</v>
      </c>
      <c r="R28" s="139">
        <v>172</v>
      </c>
      <c r="S28" s="139">
        <f t="shared" si="1"/>
        <v>42808</v>
      </c>
    </row>
    <row r="29" spans="1:19">
      <c r="A29" s="99">
        <f t="shared" si="2"/>
        <v>1976</v>
      </c>
      <c r="B29" s="139" t="s">
        <v>23</v>
      </c>
      <c r="C29" s="139" t="s">
        <v>23</v>
      </c>
      <c r="D29" s="139">
        <v>13176</v>
      </c>
      <c r="E29" s="139">
        <v>8445</v>
      </c>
      <c r="F29" s="139">
        <v>3934</v>
      </c>
      <c r="G29" s="139">
        <v>1523</v>
      </c>
      <c r="H29" s="139">
        <v>814</v>
      </c>
      <c r="I29" s="139">
        <v>210</v>
      </c>
      <c r="J29" s="139" t="s">
        <v>23</v>
      </c>
      <c r="K29" s="139" t="s">
        <v>23</v>
      </c>
      <c r="L29" s="139">
        <f t="shared" si="0"/>
        <v>28102</v>
      </c>
      <c r="N29" s="139">
        <v>70109</v>
      </c>
      <c r="O29" s="139">
        <v>64570</v>
      </c>
      <c r="P29" s="139">
        <v>23000</v>
      </c>
      <c r="Q29" s="139">
        <v>17247</v>
      </c>
      <c r="R29" s="139">
        <v>1747</v>
      </c>
      <c r="S29" s="139">
        <f t="shared" si="1"/>
        <v>176673</v>
      </c>
    </row>
    <row r="30" spans="1:19">
      <c r="A30" s="99">
        <v>1977</v>
      </c>
      <c r="B30" s="139" t="s">
        <v>23</v>
      </c>
      <c r="C30" s="139" t="s">
        <v>23</v>
      </c>
      <c r="D30" s="139">
        <v>5754</v>
      </c>
      <c r="E30" s="139">
        <v>8723</v>
      </c>
      <c r="F30" s="139">
        <v>4231</v>
      </c>
      <c r="G30" s="139">
        <v>1261</v>
      </c>
      <c r="H30" s="139">
        <v>1218</v>
      </c>
      <c r="I30" s="139">
        <v>697</v>
      </c>
      <c r="J30" s="139" t="s">
        <v>23</v>
      </c>
      <c r="K30" s="139" t="s">
        <v>23</v>
      </c>
      <c r="L30" s="139">
        <f t="shared" si="0"/>
        <v>21884</v>
      </c>
      <c r="N30" s="139">
        <v>26661</v>
      </c>
      <c r="O30" s="139">
        <v>38385</v>
      </c>
      <c r="P30" s="139">
        <v>5561</v>
      </c>
      <c r="Q30" s="139">
        <v>2245</v>
      </c>
      <c r="R30" s="139">
        <v>374</v>
      </c>
      <c r="S30" s="139">
        <f t="shared" si="1"/>
        <v>73226</v>
      </c>
    </row>
    <row r="31" spans="1:19">
      <c r="A31" s="99">
        <v>1978</v>
      </c>
      <c r="B31" s="139" t="s">
        <v>23</v>
      </c>
      <c r="C31" s="139" t="s">
        <v>23</v>
      </c>
      <c r="D31" s="139">
        <v>1104</v>
      </c>
      <c r="E31" s="139">
        <v>5932</v>
      </c>
      <c r="F31" s="139">
        <v>5036</v>
      </c>
      <c r="G31" s="139">
        <v>1041</v>
      </c>
      <c r="H31" s="139">
        <v>117</v>
      </c>
      <c r="I31" s="139">
        <v>1966</v>
      </c>
      <c r="J31" s="139" t="s">
        <v>23</v>
      </c>
      <c r="K31" s="139" t="s">
        <v>23</v>
      </c>
      <c r="L31" s="139">
        <f t="shared" si="0"/>
        <v>15196</v>
      </c>
      <c r="N31" s="139">
        <v>17840</v>
      </c>
      <c r="O31" s="139">
        <v>26842</v>
      </c>
      <c r="P31" s="139">
        <v>8149</v>
      </c>
      <c r="Q31" s="139">
        <v>2235</v>
      </c>
      <c r="R31" s="139">
        <v>1092</v>
      </c>
      <c r="S31" s="139">
        <f t="shared" si="1"/>
        <v>56158</v>
      </c>
    </row>
    <row r="32" spans="1:19">
      <c r="A32" s="99">
        <v>1979</v>
      </c>
      <c r="B32" s="139" t="s">
        <v>23</v>
      </c>
      <c r="C32" s="139" t="s">
        <v>23</v>
      </c>
      <c r="D32" s="139">
        <v>772</v>
      </c>
      <c r="E32" s="139">
        <v>5</v>
      </c>
      <c r="F32" s="139">
        <v>1867</v>
      </c>
      <c r="G32" s="139">
        <v>3046</v>
      </c>
      <c r="H32" s="139">
        <v>200</v>
      </c>
      <c r="I32" s="139">
        <v>9</v>
      </c>
      <c r="J32" s="139" t="s">
        <v>23</v>
      </c>
      <c r="K32" s="139" t="s">
        <v>23</v>
      </c>
      <c r="L32" s="139">
        <f t="shared" si="0"/>
        <v>5899</v>
      </c>
      <c r="N32" s="139">
        <v>11</v>
      </c>
      <c r="O32" s="139">
        <v>27831</v>
      </c>
      <c r="P32" s="139">
        <v>19905</v>
      </c>
      <c r="Q32" s="139">
        <v>960</v>
      </c>
      <c r="R32" s="139" t="s">
        <v>23</v>
      </c>
      <c r="S32" s="139">
        <f t="shared" si="1"/>
        <v>48707</v>
      </c>
    </row>
    <row r="33" spans="1:19">
      <c r="A33" s="99">
        <v>1980</v>
      </c>
      <c r="B33" s="139" t="s">
        <v>23</v>
      </c>
      <c r="C33" s="139" t="s">
        <v>23</v>
      </c>
      <c r="D33" s="139">
        <v>4390</v>
      </c>
      <c r="E33" s="139">
        <v>15</v>
      </c>
      <c r="F33" s="139">
        <v>548</v>
      </c>
      <c r="G33" s="139">
        <v>529</v>
      </c>
      <c r="H33" s="139">
        <v>111</v>
      </c>
      <c r="I33" s="139">
        <v>5</v>
      </c>
      <c r="J33" s="139" t="s">
        <v>23</v>
      </c>
      <c r="K33" s="139" t="s">
        <v>23</v>
      </c>
      <c r="L33" s="139">
        <f t="shared" si="0"/>
        <v>5598</v>
      </c>
      <c r="N33" s="139" t="s">
        <v>23</v>
      </c>
      <c r="O33" s="139">
        <v>0</v>
      </c>
      <c r="P33" s="139">
        <v>5388</v>
      </c>
      <c r="Q33" s="139">
        <v>5156</v>
      </c>
      <c r="R33" s="139">
        <v>304</v>
      </c>
      <c r="S33" s="139">
        <f t="shared" si="1"/>
        <v>10848</v>
      </c>
    </row>
    <row r="34" spans="1:19">
      <c r="A34" s="99">
        <v>1981</v>
      </c>
      <c r="B34" s="139" t="s">
        <v>23</v>
      </c>
      <c r="C34" s="139" t="s">
        <v>23</v>
      </c>
      <c r="D34" s="139">
        <v>6607</v>
      </c>
      <c r="E34" s="139">
        <v>0</v>
      </c>
      <c r="F34" s="139">
        <v>1037</v>
      </c>
      <c r="G34" s="139">
        <v>513</v>
      </c>
      <c r="H34" s="139">
        <v>0</v>
      </c>
      <c r="I34" s="139">
        <v>9</v>
      </c>
      <c r="J34" s="139" t="s">
        <v>23</v>
      </c>
      <c r="K34" s="142" t="s">
        <v>23</v>
      </c>
      <c r="L34" s="139">
        <f t="shared" si="0"/>
        <v>8166</v>
      </c>
      <c r="N34" s="139" t="s">
        <v>23</v>
      </c>
      <c r="O34" s="139">
        <v>32583</v>
      </c>
      <c r="P34" s="139">
        <v>13241</v>
      </c>
      <c r="Q34" s="139" t="s">
        <v>23</v>
      </c>
      <c r="R34" s="139" t="s">
        <v>23</v>
      </c>
      <c r="S34" s="139">
        <f t="shared" si="1"/>
        <v>45824</v>
      </c>
    </row>
    <row r="35" spans="1:19">
      <c r="A35" s="99">
        <v>1982</v>
      </c>
      <c r="B35" s="139" t="s">
        <v>23</v>
      </c>
      <c r="C35" s="139" t="s">
        <v>23</v>
      </c>
      <c r="D35" s="139">
        <v>7154</v>
      </c>
      <c r="E35" s="139">
        <v>0</v>
      </c>
      <c r="F35" s="139">
        <v>1219</v>
      </c>
      <c r="G35" s="139">
        <v>0</v>
      </c>
      <c r="H35" s="139">
        <v>0</v>
      </c>
      <c r="I35" s="139">
        <v>0</v>
      </c>
      <c r="J35" s="139" t="s">
        <v>23</v>
      </c>
      <c r="K35" s="142" t="s">
        <v>23</v>
      </c>
      <c r="L35" s="139">
        <f t="shared" si="0"/>
        <v>8373</v>
      </c>
      <c r="N35" s="139" t="s">
        <v>23</v>
      </c>
      <c r="O35" s="139">
        <v>23762</v>
      </c>
      <c r="P35" s="139" t="s">
        <v>23</v>
      </c>
      <c r="Q35" s="139" t="s">
        <v>23</v>
      </c>
      <c r="R35" s="139" t="s">
        <v>23</v>
      </c>
      <c r="S35" s="139">
        <f t="shared" si="1"/>
        <v>23762</v>
      </c>
    </row>
    <row r="36" spans="1:19">
      <c r="A36" s="99">
        <v>1983</v>
      </c>
      <c r="B36" s="139" t="s">
        <v>23</v>
      </c>
      <c r="C36" s="139" t="s">
        <v>23</v>
      </c>
      <c r="D36" s="139">
        <v>4361</v>
      </c>
      <c r="E36" s="139">
        <v>0</v>
      </c>
      <c r="F36" s="139">
        <v>238</v>
      </c>
      <c r="G36" s="139">
        <v>206</v>
      </c>
      <c r="H36" s="139">
        <v>116</v>
      </c>
      <c r="I36" s="139">
        <v>0</v>
      </c>
      <c r="J36" s="139" t="s">
        <v>23</v>
      </c>
      <c r="K36" s="142" t="s">
        <v>23</v>
      </c>
      <c r="L36" s="139">
        <f t="shared" si="0"/>
        <v>4921</v>
      </c>
      <c r="N36" s="139" t="s">
        <v>23</v>
      </c>
      <c r="O36" s="139">
        <v>140</v>
      </c>
      <c r="P36" s="139">
        <v>2365</v>
      </c>
      <c r="Q36" s="139">
        <v>2543</v>
      </c>
      <c r="R36" s="139" t="s">
        <v>23</v>
      </c>
      <c r="S36" s="139">
        <f t="shared" si="1"/>
        <v>5048</v>
      </c>
    </row>
    <row r="37" spans="1:19">
      <c r="A37" s="99">
        <v>1984</v>
      </c>
      <c r="B37" s="139" t="s">
        <v>23</v>
      </c>
      <c r="C37" s="139" t="s">
        <v>23</v>
      </c>
      <c r="D37" s="139">
        <v>1013</v>
      </c>
      <c r="E37" s="139">
        <v>0</v>
      </c>
      <c r="F37" s="139">
        <v>0</v>
      </c>
      <c r="G37" s="139">
        <v>257</v>
      </c>
      <c r="H37" s="139">
        <v>0</v>
      </c>
      <c r="I37" s="139">
        <v>0</v>
      </c>
      <c r="J37" s="139" t="s">
        <v>23</v>
      </c>
      <c r="K37" s="142" t="s">
        <v>23</v>
      </c>
      <c r="L37" s="139">
        <f t="shared" si="0"/>
        <v>1270</v>
      </c>
      <c r="N37" s="139" t="s">
        <v>23</v>
      </c>
      <c r="O37" s="139" t="s">
        <v>23</v>
      </c>
      <c r="P37" s="139">
        <v>13649</v>
      </c>
      <c r="Q37" s="139" t="s">
        <v>23</v>
      </c>
      <c r="R37" s="139" t="s">
        <v>23</v>
      </c>
      <c r="S37" s="139">
        <f t="shared" si="1"/>
        <v>13649</v>
      </c>
    </row>
    <row r="38" spans="1:19">
      <c r="A38" s="99">
        <v>1985</v>
      </c>
      <c r="B38" s="139" t="s">
        <v>23</v>
      </c>
      <c r="C38" s="139" t="s">
        <v>23</v>
      </c>
      <c r="D38" s="139">
        <v>4556</v>
      </c>
      <c r="E38" s="139">
        <v>0</v>
      </c>
      <c r="F38" s="139">
        <v>0</v>
      </c>
      <c r="G38" s="139">
        <v>490</v>
      </c>
      <c r="H38" s="139">
        <v>0</v>
      </c>
      <c r="I38" s="139">
        <v>3</v>
      </c>
      <c r="J38" s="139" t="s">
        <v>23</v>
      </c>
      <c r="K38" s="142" t="s">
        <v>23</v>
      </c>
      <c r="L38" s="139">
        <f t="shared" si="0"/>
        <v>5049</v>
      </c>
      <c r="N38" s="139" t="s">
        <v>23</v>
      </c>
      <c r="O38" s="139" t="s">
        <v>23</v>
      </c>
      <c r="P38" s="139">
        <v>18242</v>
      </c>
      <c r="Q38" s="139" t="s">
        <v>23</v>
      </c>
      <c r="R38" s="139" t="s">
        <v>23</v>
      </c>
      <c r="S38" s="139">
        <f t="shared" si="1"/>
        <v>18242</v>
      </c>
    </row>
    <row r="39" spans="1:19">
      <c r="A39" s="95">
        <v>1986</v>
      </c>
      <c r="B39" s="139" t="s">
        <v>23</v>
      </c>
      <c r="C39" s="139" t="s">
        <v>23</v>
      </c>
      <c r="D39" s="139">
        <v>4512</v>
      </c>
      <c r="E39" s="139" t="s">
        <v>23</v>
      </c>
      <c r="F39" s="139" t="s">
        <v>23</v>
      </c>
      <c r="G39" s="139">
        <v>1585</v>
      </c>
      <c r="H39" s="139" t="s">
        <v>23</v>
      </c>
      <c r="I39" s="139" t="s">
        <v>23</v>
      </c>
      <c r="J39" s="139" t="s">
        <v>23</v>
      </c>
      <c r="K39" s="139" t="s">
        <v>23</v>
      </c>
      <c r="L39" s="139">
        <f t="shared" si="0"/>
        <v>6097</v>
      </c>
      <c r="N39" s="139" t="s">
        <v>23</v>
      </c>
      <c r="O39" s="139" t="s">
        <v>23</v>
      </c>
      <c r="P39" s="139">
        <v>46063</v>
      </c>
      <c r="Q39" s="139" t="s">
        <v>23</v>
      </c>
      <c r="R39" s="139" t="s">
        <v>23</v>
      </c>
      <c r="S39" s="139">
        <f>SUM(N39:R39)</f>
        <v>46063</v>
      </c>
    </row>
    <row r="40" spans="1:19">
      <c r="A40" s="95">
        <v>1987</v>
      </c>
      <c r="B40" s="139" t="s">
        <v>23</v>
      </c>
      <c r="C40" s="139" t="s">
        <v>23</v>
      </c>
      <c r="D40" s="139">
        <v>2327</v>
      </c>
      <c r="E40" s="139" t="s">
        <v>23</v>
      </c>
      <c r="F40" s="139">
        <v>2225</v>
      </c>
      <c r="G40" s="139" t="s">
        <v>23</v>
      </c>
      <c r="H40" s="139" t="s">
        <v>23</v>
      </c>
      <c r="I40" s="139" t="s">
        <v>23</v>
      </c>
      <c r="J40" s="139" t="s">
        <v>23</v>
      </c>
      <c r="K40" s="139" t="s">
        <v>23</v>
      </c>
      <c r="L40" s="139">
        <f t="shared" si="0"/>
        <v>4552</v>
      </c>
      <c r="N40" s="139" t="s">
        <v>23</v>
      </c>
      <c r="O40" s="139">
        <v>7390</v>
      </c>
      <c r="P40" s="139" t="s">
        <v>23</v>
      </c>
      <c r="Q40" s="139" t="s">
        <v>23</v>
      </c>
      <c r="R40" s="139" t="s">
        <v>23</v>
      </c>
      <c r="S40" s="139">
        <f t="shared" ref="S40:S63" si="3">SUM(N40:R40)</f>
        <v>7390</v>
      </c>
    </row>
    <row r="41" spans="1:19">
      <c r="A41" s="95">
        <v>1988</v>
      </c>
      <c r="B41" s="139" t="s">
        <v>23</v>
      </c>
      <c r="C41" s="139" t="s">
        <v>23</v>
      </c>
      <c r="D41" s="139">
        <v>973</v>
      </c>
      <c r="E41" s="139">
        <v>648</v>
      </c>
      <c r="F41" s="139" t="s">
        <v>23</v>
      </c>
      <c r="G41" s="139" t="s">
        <v>23</v>
      </c>
      <c r="H41" s="139" t="s">
        <v>23</v>
      </c>
      <c r="I41" s="139" t="s">
        <v>23</v>
      </c>
      <c r="J41" s="139" t="s">
        <v>23</v>
      </c>
      <c r="K41" s="139" t="s">
        <v>23</v>
      </c>
      <c r="L41" s="139">
        <f t="shared" si="0"/>
        <v>1621</v>
      </c>
      <c r="N41" s="139" t="s">
        <v>23</v>
      </c>
      <c r="O41" s="139" t="s">
        <v>23</v>
      </c>
      <c r="P41" s="139" t="s">
        <v>23</v>
      </c>
      <c r="Q41" s="139" t="s">
        <v>23</v>
      </c>
      <c r="R41" s="139" t="s">
        <v>23</v>
      </c>
      <c r="S41" s="139" t="s">
        <v>23</v>
      </c>
    </row>
    <row r="42" spans="1:19">
      <c r="A42" s="95">
        <v>1989</v>
      </c>
      <c r="B42" s="139" t="s">
        <v>23</v>
      </c>
      <c r="C42" s="139" t="s">
        <v>23</v>
      </c>
      <c r="D42" s="139">
        <v>653</v>
      </c>
      <c r="E42" s="139">
        <v>375</v>
      </c>
      <c r="F42" s="139" t="s">
        <v>23</v>
      </c>
      <c r="G42" s="139">
        <v>1483</v>
      </c>
      <c r="H42" s="139">
        <v>352</v>
      </c>
      <c r="I42" s="139" t="s">
        <v>23</v>
      </c>
      <c r="J42" s="139" t="s">
        <v>23</v>
      </c>
      <c r="K42" s="139" t="s">
        <v>23</v>
      </c>
      <c r="L42" s="139">
        <f t="shared" si="0"/>
        <v>2863</v>
      </c>
      <c r="N42" s="139" t="s">
        <v>23</v>
      </c>
      <c r="O42" s="139" t="s">
        <v>23</v>
      </c>
      <c r="P42" s="139">
        <v>15591</v>
      </c>
      <c r="Q42" s="139">
        <v>5527</v>
      </c>
      <c r="R42" s="139" t="s">
        <v>23</v>
      </c>
      <c r="S42" s="139">
        <f t="shared" si="3"/>
        <v>21118</v>
      </c>
    </row>
    <row r="43" spans="1:19">
      <c r="A43" s="95">
        <v>1990</v>
      </c>
      <c r="B43" s="139" t="s">
        <v>23</v>
      </c>
      <c r="C43" s="139" t="s">
        <v>23</v>
      </c>
      <c r="D43" s="139">
        <v>489</v>
      </c>
      <c r="E43" s="139">
        <v>66</v>
      </c>
      <c r="F43" s="139" t="s">
        <v>23</v>
      </c>
      <c r="G43" s="139">
        <v>449</v>
      </c>
      <c r="H43" s="139">
        <v>1178</v>
      </c>
      <c r="I43" s="139">
        <v>71</v>
      </c>
      <c r="J43" s="139" t="s">
        <v>23</v>
      </c>
      <c r="K43" s="139" t="s">
        <v>23</v>
      </c>
      <c r="L43" s="139">
        <f t="shared" si="0"/>
        <v>2253</v>
      </c>
      <c r="N43" s="139" t="s">
        <v>23</v>
      </c>
      <c r="O43" s="139" t="s">
        <v>23</v>
      </c>
      <c r="P43" s="139">
        <v>3546</v>
      </c>
      <c r="Q43" s="139">
        <v>7034</v>
      </c>
      <c r="R43" s="139">
        <v>304</v>
      </c>
      <c r="S43" s="139">
        <f t="shared" si="3"/>
        <v>10884</v>
      </c>
    </row>
    <row r="44" spans="1:19">
      <c r="A44" s="95">
        <v>1991</v>
      </c>
      <c r="B44" s="139" t="s">
        <v>23</v>
      </c>
      <c r="C44" s="139" t="s">
        <v>23</v>
      </c>
      <c r="D44" s="139">
        <v>325</v>
      </c>
      <c r="E44" s="139">
        <v>27</v>
      </c>
      <c r="F44" s="139" t="s">
        <v>23</v>
      </c>
      <c r="G44" s="139">
        <v>451</v>
      </c>
      <c r="H44" s="139">
        <v>111</v>
      </c>
      <c r="I44" s="139" t="s">
        <v>23</v>
      </c>
      <c r="J44" s="139" t="s">
        <v>23</v>
      </c>
      <c r="K44" s="139" t="s">
        <v>23</v>
      </c>
      <c r="L44" s="139">
        <f t="shared" si="0"/>
        <v>914</v>
      </c>
      <c r="N44" s="139" t="s">
        <v>23</v>
      </c>
      <c r="O44" s="139" t="s">
        <v>23</v>
      </c>
      <c r="P44" s="139">
        <v>21618</v>
      </c>
      <c r="Q44" s="139">
        <v>5160</v>
      </c>
      <c r="R44" s="139" t="s">
        <v>23</v>
      </c>
      <c r="S44" s="139">
        <f t="shared" si="3"/>
        <v>26778</v>
      </c>
    </row>
    <row r="45" spans="1:19">
      <c r="A45" s="95">
        <v>1992</v>
      </c>
      <c r="B45" s="139" t="s">
        <v>23</v>
      </c>
      <c r="C45" s="139" t="s">
        <v>23</v>
      </c>
      <c r="D45" s="139">
        <v>376</v>
      </c>
      <c r="E45" s="139">
        <v>925</v>
      </c>
      <c r="F45" s="139">
        <v>118</v>
      </c>
      <c r="G45" s="139">
        <v>74</v>
      </c>
      <c r="H45" s="139" t="s">
        <v>23</v>
      </c>
      <c r="I45" s="139" t="s">
        <v>23</v>
      </c>
      <c r="J45" s="139" t="s">
        <v>23</v>
      </c>
      <c r="K45" s="139" t="s">
        <v>23</v>
      </c>
      <c r="L45" s="139">
        <f t="shared" si="0"/>
        <v>1493</v>
      </c>
      <c r="N45" s="139" t="s">
        <v>23</v>
      </c>
      <c r="O45" s="139">
        <v>662</v>
      </c>
      <c r="P45" s="139">
        <v>767</v>
      </c>
      <c r="Q45" s="139" t="s">
        <v>23</v>
      </c>
      <c r="R45" s="139" t="s">
        <v>23</v>
      </c>
      <c r="S45" s="139">
        <f t="shared" si="3"/>
        <v>1429</v>
      </c>
    </row>
    <row r="46" spans="1:19">
      <c r="A46" s="95">
        <v>1993</v>
      </c>
      <c r="B46" s="139" t="s">
        <v>23</v>
      </c>
      <c r="C46" s="139" t="s">
        <v>23</v>
      </c>
      <c r="D46" s="139">
        <v>253</v>
      </c>
      <c r="E46" s="139">
        <v>13</v>
      </c>
      <c r="F46" s="139">
        <v>37</v>
      </c>
      <c r="G46" s="139">
        <v>37</v>
      </c>
      <c r="H46" s="139">
        <v>65</v>
      </c>
      <c r="I46" s="139" t="s">
        <v>23</v>
      </c>
      <c r="J46" s="139" t="s">
        <v>23</v>
      </c>
      <c r="K46" s="139" t="s">
        <v>23</v>
      </c>
      <c r="L46" s="139">
        <f t="shared" si="0"/>
        <v>405</v>
      </c>
      <c r="N46" s="139" t="s">
        <v>23</v>
      </c>
      <c r="O46" s="139">
        <v>207</v>
      </c>
      <c r="P46" s="139">
        <v>580</v>
      </c>
      <c r="Q46" s="139">
        <v>853</v>
      </c>
      <c r="R46" s="139" t="s">
        <v>23</v>
      </c>
      <c r="S46" s="139">
        <f t="shared" si="3"/>
        <v>1640</v>
      </c>
    </row>
    <row r="47" spans="1:19">
      <c r="A47" s="95">
        <v>1994</v>
      </c>
      <c r="B47" s="139" t="s">
        <v>23</v>
      </c>
      <c r="C47" s="139" t="s">
        <v>23</v>
      </c>
      <c r="D47" s="139" t="s">
        <v>23</v>
      </c>
      <c r="E47" s="139" t="s">
        <v>23</v>
      </c>
      <c r="F47" s="139" t="s">
        <v>23</v>
      </c>
      <c r="G47" s="139" t="s">
        <v>23</v>
      </c>
      <c r="H47" s="139" t="s">
        <v>23</v>
      </c>
      <c r="I47" s="139" t="s">
        <v>23</v>
      </c>
      <c r="J47" s="139" t="s">
        <v>23</v>
      </c>
      <c r="K47" s="139" t="s">
        <v>23</v>
      </c>
      <c r="L47" s="139" t="s">
        <v>23</v>
      </c>
      <c r="N47" s="139" t="s">
        <v>23</v>
      </c>
      <c r="O47" s="139" t="s">
        <v>23</v>
      </c>
      <c r="P47" s="139" t="s">
        <v>23</v>
      </c>
      <c r="Q47" s="139" t="s">
        <v>23</v>
      </c>
      <c r="R47" s="139" t="s">
        <v>23</v>
      </c>
      <c r="S47" s="139" t="s">
        <v>23</v>
      </c>
    </row>
    <row r="48" spans="1:19">
      <c r="A48" s="95">
        <v>1995</v>
      </c>
      <c r="B48" s="139" t="s">
        <v>23</v>
      </c>
      <c r="C48" s="139" t="s">
        <v>23</v>
      </c>
      <c r="D48" s="139" t="s">
        <v>23</v>
      </c>
      <c r="E48" s="139" t="s">
        <v>23</v>
      </c>
      <c r="F48" s="139" t="s">
        <v>23</v>
      </c>
      <c r="G48" s="139" t="s">
        <v>23</v>
      </c>
      <c r="H48" s="139" t="s">
        <v>23</v>
      </c>
      <c r="I48" s="139" t="s">
        <v>23</v>
      </c>
      <c r="J48" s="139" t="s">
        <v>23</v>
      </c>
      <c r="K48" s="139" t="s">
        <v>23</v>
      </c>
      <c r="L48" s="139" t="s">
        <v>23</v>
      </c>
      <c r="N48" s="139" t="s">
        <v>23</v>
      </c>
      <c r="O48" s="139" t="s">
        <v>23</v>
      </c>
      <c r="P48" s="139" t="s">
        <v>23</v>
      </c>
      <c r="Q48" s="139" t="s">
        <v>23</v>
      </c>
      <c r="R48" s="139" t="s">
        <v>23</v>
      </c>
      <c r="S48" s="139" t="s">
        <v>23</v>
      </c>
    </row>
    <row r="49" spans="1:19">
      <c r="A49" s="95">
        <v>1996</v>
      </c>
      <c r="B49" s="139" t="s">
        <v>23</v>
      </c>
      <c r="C49" s="139" t="s">
        <v>23</v>
      </c>
      <c r="D49" s="139" t="s">
        <v>23</v>
      </c>
      <c r="E49" s="139" t="s">
        <v>23</v>
      </c>
      <c r="F49" s="139" t="s">
        <v>23</v>
      </c>
      <c r="G49" s="139" t="s">
        <v>23</v>
      </c>
      <c r="H49" s="139" t="s">
        <v>23</v>
      </c>
      <c r="I49" s="139" t="s">
        <v>23</v>
      </c>
      <c r="J49" s="139" t="s">
        <v>23</v>
      </c>
      <c r="K49" s="139" t="s">
        <v>23</v>
      </c>
      <c r="L49" s="139" t="s">
        <v>23</v>
      </c>
      <c r="N49" s="139" t="s">
        <v>23</v>
      </c>
      <c r="O49" s="139" t="s">
        <v>23</v>
      </c>
      <c r="P49" s="139" t="s">
        <v>23</v>
      </c>
      <c r="Q49" s="139" t="s">
        <v>23</v>
      </c>
      <c r="R49" s="139" t="s">
        <v>23</v>
      </c>
      <c r="S49" s="139" t="s">
        <v>23</v>
      </c>
    </row>
    <row r="50" spans="1:19">
      <c r="A50" s="95">
        <v>1997</v>
      </c>
      <c r="B50" s="139" t="s">
        <v>23</v>
      </c>
      <c r="C50" s="139" t="s">
        <v>23</v>
      </c>
      <c r="D50" s="139">
        <v>25</v>
      </c>
      <c r="E50" s="139">
        <v>3</v>
      </c>
      <c r="F50" s="139" t="s">
        <v>23</v>
      </c>
      <c r="G50" s="139" t="s">
        <v>23</v>
      </c>
      <c r="H50" s="139" t="s">
        <v>23</v>
      </c>
      <c r="I50" s="139" t="s">
        <v>23</v>
      </c>
      <c r="J50" s="139" t="s">
        <v>23</v>
      </c>
      <c r="K50" s="139" t="s">
        <v>23</v>
      </c>
      <c r="L50" s="139">
        <f t="shared" si="0"/>
        <v>28</v>
      </c>
      <c r="N50" s="139" t="s">
        <v>23</v>
      </c>
      <c r="O50" s="139" t="s">
        <v>23</v>
      </c>
      <c r="P50" s="139" t="s">
        <v>23</v>
      </c>
      <c r="Q50" s="139" t="s">
        <v>23</v>
      </c>
      <c r="R50" s="139" t="s">
        <v>23</v>
      </c>
      <c r="S50" s="139" t="s">
        <v>23</v>
      </c>
    </row>
    <row r="51" spans="1:19">
      <c r="A51" s="95">
        <v>1998</v>
      </c>
      <c r="B51" s="139" t="s">
        <v>23</v>
      </c>
      <c r="C51" s="139" t="s">
        <v>23</v>
      </c>
      <c r="D51" s="139">
        <v>0</v>
      </c>
      <c r="E51" s="139">
        <v>0</v>
      </c>
      <c r="F51" s="139" t="s">
        <v>23</v>
      </c>
      <c r="G51" s="139" t="s">
        <v>23</v>
      </c>
      <c r="H51" s="139" t="s">
        <v>23</v>
      </c>
      <c r="I51" s="139" t="s">
        <v>23</v>
      </c>
      <c r="J51" s="139" t="s">
        <v>23</v>
      </c>
      <c r="K51" s="139" t="s">
        <v>23</v>
      </c>
      <c r="L51" s="139">
        <f t="shared" si="0"/>
        <v>0</v>
      </c>
      <c r="N51" s="139" t="s">
        <v>23</v>
      </c>
      <c r="O51" s="139" t="s">
        <v>23</v>
      </c>
      <c r="P51" s="139" t="s">
        <v>23</v>
      </c>
      <c r="Q51" s="139" t="s">
        <v>23</v>
      </c>
      <c r="R51" s="139" t="s">
        <v>23</v>
      </c>
      <c r="S51" s="139" t="s">
        <v>23</v>
      </c>
    </row>
    <row r="52" spans="1:19">
      <c r="A52" s="95">
        <v>1999</v>
      </c>
      <c r="B52" s="139" t="s">
        <v>23</v>
      </c>
      <c r="C52" s="139" t="s">
        <v>23</v>
      </c>
      <c r="D52" s="139">
        <v>0</v>
      </c>
      <c r="E52" s="139">
        <v>15</v>
      </c>
      <c r="F52" s="139" t="s">
        <v>23</v>
      </c>
      <c r="G52" s="139" t="s">
        <v>23</v>
      </c>
      <c r="H52" s="139" t="s">
        <v>23</v>
      </c>
      <c r="I52" s="139" t="s">
        <v>23</v>
      </c>
      <c r="J52" s="139" t="s">
        <v>23</v>
      </c>
      <c r="K52" s="139" t="s">
        <v>23</v>
      </c>
      <c r="L52" s="139">
        <f t="shared" si="0"/>
        <v>15</v>
      </c>
      <c r="N52" s="139" t="s">
        <v>23</v>
      </c>
      <c r="O52" s="139" t="s">
        <v>23</v>
      </c>
      <c r="P52" s="139" t="s">
        <v>23</v>
      </c>
      <c r="Q52" s="139" t="s">
        <v>23</v>
      </c>
      <c r="R52" s="139" t="s">
        <v>23</v>
      </c>
      <c r="S52" s="139" t="s">
        <v>23</v>
      </c>
    </row>
    <row r="53" spans="1:19">
      <c r="A53" s="95">
        <v>2000</v>
      </c>
      <c r="B53" s="139" t="s">
        <v>23</v>
      </c>
      <c r="C53" s="139" t="s">
        <v>23</v>
      </c>
      <c r="D53" s="139">
        <v>9</v>
      </c>
      <c r="E53" s="139">
        <v>236</v>
      </c>
      <c r="F53" s="139" t="s">
        <v>23</v>
      </c>
      <c r="G53" s="139">
        <v>1951</v>
      </c>
      <c r="H53" s="139">
        <v>49</v>
      </c>
      <c r="I53" s="139" t="s">
        <v>23</v>
      </c>
      <c r="J53" s="139" t="s">
        <v>23</v>
      </c>
      <c r="K53" s="139" t="s">
        <v>23</v>
      </c>
      <c r="L53" s="139">
        <f t="shared" si="0"/>
        <v>2245</v>
      </c>
      <c r="N53" s="139" t="s">
        <v>23</v>
      </c>
      <c r="O53" s="139" t="s">
        <v>23</v>
      </c>
      <c r="P53" s="139">
        <v>11600</v>
      </c>
      <c r="Q53" s="139">
        <v>658</v>
      </c>
      <c r="R53" s="139" t="s">
        <v>23</v>
      </c>
      <c r="S53" s="139">
        <f t="shared" si="3"/>
        <v>12258</v>
      </c>
    </row>
    <row r="54" spans="1:19">
      <c r="A54" s="95">
        <v>2001</v>
      </c>
      <c r="B54" s="139" t="s">
        <v>23</v>
      </c>
      <c r="C54" s="139" t="s">
        <v>23</v>
      </c>
      <c r="D54" s="139">
        <v>380</v>
      </c>
      <c r="E54" s="139">
        <v>1704</v>
      </c>
      <c r="F54" s="139">
        <v>925</v>
      </c>
      <c r="G54" s="139">
        <v>753</v>
      </c>
      <c r="H54" s="139">
        <v>329</v>
      </c>
      <c r="I54" s="139" t="s">
        <v>23</v>
      </c>
      <c r="J54" s="139" t="s">
        <v>23</v>
      </c>
      <c r="K54" s="139" t="s">
        <v>23</v>
      </c>
      <c r="L54" s="139">
        <f t="shared" si="0"/>
        <v>4091</v>
      </c>
      <c r="N54" s="139" t="s">
        <v>23</v>
      </c>
      <c r="O54" s="139">
        <v>3701</v>
      </c>
      <c r="P54" s="139">
        <v>3376</v>
      </c>
      <c r="Q54" s="139">
        <v>2256</v>
      </c>
      <c r="R54" s="139" t="s">
        <v>23</v>
      </c>
      <c r="S54" s="139">
        <f t="shared" si="3"/>
        <v>9333</v>
      </c>
    </row>
    <row r="55" spans="1:19">
      <c r="A55" s="95">
        <v>2002</v>
      </c>
      <c r="B55" s="139" t="s">
        <v>23</v>
      </c>
      <c r="C55" s="139" t="s">
        <v>23</v>
      </c>
      <c r="D55" s="139">
        <v>855</v>
      </c>
      <c r="E55" s="139">
        <v>3189</v>
      </c>
      <c r="F55" s="139">
        <v>4241</v>
      </c>
      <c r="G55" s="139">
        <v>4512</v>
      </c>
      <c r="H55" s="139" t="s">
        <v>23</v>
      </c>
      <c r="I55" s="139" t="s">
        <v>23</v>
      </c>
      <c r="J55" s="139" t="s">
        <v>23</v>
      </c>
      <c r="K55" s="139" t="s">
        <v>23</v>
      </c>
      <c r="L55" s="139">
        <f t="shared" si="0"/>
        <v>12797</v>
      </c>
      <c r="N55" s="139" t="s">
        <v>23</v>
      </c>
      <c r="O55" s="139" t="s">
        <v>23</v>
      </c>
      <c r="P55" s="139">
        <v>1515</v>
      </c>
      <c r="Q55" s="139" t="s">
        <v>23</v>
      </c>
      <c r="R55" s="139" t="s">
        <v>23</v>
      </c>
      <c r="S55" s="139">
        <f t="shared" si="3"/>
        <v>1515</v>
      </c>
    </row>
    <row r="56" spans="1:19">
      <c r="A56" s="95">
        <v>2003</v>
      </c>
      <c r="B56" s="139" t="s">
        <v>23</v>
      </c>
      <c r="C56" s="139" t="s">
        <v>23</v>
      </c>
      <c r="D56" s="139">
        <v>4927</v>
      </c>
      <c r="E56" s="139">
        <v>1171</v>
      </c>
      <c r="F56" s="139">
        <v>1310</v>
      </c>
      <c r="G56" s="139">
        <v>2377</v>
      </c>
      <c r="H56" s="139">
        <v>599</v>
      </c>
      <c r="I56" s="139" t="s">
        <v>23</v>
      </c>
      <c r="J56" s="139" t="s">
        <v>23</v>
      </c>
      <c r="K56" s="139" t="s">
        <v>23</v>
      </c>
      <c r="L56" s="139">
        <f t="shared" si="0"/>
        <v>10384</v>
      </c>
      <c r="N56" s="139" t="s">
        <v>23</v>
      </c>
      <c r="O56" s="139">
        <v>1473</v>
      </c>
      <c r="P56" s="139">
        <v>3657</v>
      </c>
      <c r="Q56" s="139">
        <v>1311</v>
      </c>
      <c r="R56" s="139" t="s">
        <v>23</v>
      </c>
      <c r="S56" s="139">
        <f t="shared" si="3"/>
        <v>6441</v>
      </c>
    </row>
    <row r="57" spans="1:19">
      <c r="A57" s="95">
        <v>2004</v>
      </c>
      <c r="B57" s="139" t="s">
        <v>23</v>
      </c>
      <c r="C57" s="139" t="s">
        <v>23</v>
      </c>
      <c r="D57" s="139">
        <v>1884</v>
      </c>
      <c r="E57" s="139">
        <v>17</v>
      </c>
      <c r="F57" s="139">
        <v>381</v>
      </c>
      <c r="G57" s="139">
        <v>331</v>
      </c>
      <c r="H57" s="139">
        <v>505</v>
      </c>
      <c r="I57" s="139" t="s">
        <v>23</v>
      </c>
      <c r="J57" s="139" t="s">
        <v>23</v>
      </c>
      <c r="K57" s="139" t="s">
        <v>23</v>
      </c>
      <c r="L57" s="139">
        <f t="shared" si="0"/>
        <v>3118</v>
      </c>
      <c r="N57" s="139" t="s">
        <v>23</v>
      </c>
      <c r="O57" s="139">
        <v>718</v>
      </c>
      <c r="P57" s="139">
        <v>1399</v>
      </c>
      <c r="Q57" s="139">
        <v>6722</v>
      </c>
      <c r="R57" s="139" t="s">
        <v>23</v>
      </c>
      <c r="S57" s="139">
        <f t="shared" si="3"/>
        <v>8839</v>
      </c>
    </row>
    <row r="58" spans="1:19">
      <c r="A58" s="95">
        <v>2005</v>
      </c>
      <c r="B58" s="139" t="s">
        <v>23</v>
      </c>
      <c r="C58" s="139" t="s">
        <v>23</v>
      </c>
      <c r="D58" s="139">
        <v>5119</v>
      </c>
      <c r="E58" s="139">
        <v>927</v>
      </c>
      <c r="F58" s="139">
        <v>367</v>
      </c>
      <c r="G58" s="139">
        <v>3672</v>
      </c>
      <c r="H58" s="139" t="s">
        <v>23</v>
      </c>
      <c r="I58" s="139" t="s">
        <v>23</v>
      </c>
      <c r="J58" s="139" t="s">
        <v>23</v>
      </c>
      <c r="K58" s="139" t="s">
        <v>23</v>
      </c>
      <c r="L58" s="139">
        <f t="shared" si="0"/>
        <v>10085</v>
      </c>
      <c r="N58" s="139" t="s">
        <v>23</v>
      </c>
      <c r="O58" s="139">
        <v>204</v>
      </c>
      <c r="P58" s="139">
        <v>2414</v>
      </c>
      <c r="Q58" s="139" t="s">
        <v>23</v>
      </c>
      <c r="R58" s="139" t="s">
        <v>23</v>
      </c>
      <c r="S58" s="139">
        <f t="shared" si="3"/>
        <v>2618</v>
      </c>
    </row>
    <row r="59" spans="1:19">
      <c r="A59" s="95">
        <v>2006</v>
      </c>
      <c r="B59" s="139" t="s">
        <v>23</v>
      </c>
      <c r="C59" s="139" t="s">
        <v>23</v>
      </c>
      <c r="D59" s="140">
        <v>7167</v>
      </c>
      <c r="E59" s="140">
        <v>3168</v>
      </c>
      <c r="F59" s="140">
        <v>1</v>
      </c>
      <c r="G59" s="140">
        <v>61</v>
      </c>
      <c r="H59" s="140">
        <v>92</v>
      </c>
      <c r="I59" s="135" t="s">
        <v>23</v>
      </c>
      <c r="J59" s="135" t="s">
        <v>23</v>
      </c>
      <c r="K59" s="135" t="s">
        <v>23</v>
      </c>
      <c r="L59" s="139">
        <f t="shared" si="0"/>
        <v>10489</v>
      </c>
      <c r="N59" s="139" t="s">
        <v>23</v>
      </c>
      <c r="O59" s="140">
        <v>10</v>
      </c>
      <c r="P59" s="140">
        <v>915</v>
      </c>
      <c r="Q59" s="140">
        <v>489</v>
      </c>
      <c r="R59" s="139" t="s">
        <v>23</v>
      </c>
      <c r="S59" s="139">
        <f t="shared" si="3"/>
        <v>1414</v>
      </c>
    </row>
    <row r="60" spans="1:19">
      <c r="A60" s="95">
        <v>2007</v>
      </c>
      <c r="B60" s="139" t="s">
        <v>23</v>
      </c>
      <c r="C60" s="139" t="s">
        <v>23</v>
      </c>
      <c r="D60" s="140">
        <v>777</v>
      </c>
      <c r="E60" s="140">
        <v>374</v>
      </c>
      <c r="F60" s="140">
        <v>115</v>
      </c>
      <c r="G60" s="140">
        <v>163</v>
      </c>
      <c r="H60" s="140">
        <v>14</v>
      </c>
      <c r="I60" s="135" t="s">
        <v>23</v>
      </c>
      <c r="J60" s="135" t="s">
        <v>23</v>
      </c>
      <c r="K60" s="135" t="s">
        <v>23</v>
      </c>
      <c r="L60" s="139">
        <f t="shared" si="0"/>
        <v>1443</v>
      </c>
      <c r="N60" s="139" t="s">
        <v>23</v>
      </c>
      <c r="O60" s="140">
        <v>1062</v>
      </c>
      <c r="P60" s="140">
        <v>10335</v>
      </c>
      <c r="Q60" s="140">
        <v>157</v>
      </c>
      <c r="R60" s="139" t="s">
        <v>23</v>
      </c>
      <c r="S60" s="139">
        <f t="shared" si="3"/>
        <v>11554</v>
      </c>
    </row>
    <row r="61" spans="1:19">
      <c r="A61" s="95">
        <v>2008</v>
      </c>
      <c r="B61" s="139" t="s">
        <v>23</v>
      </c>
      <c r="C61" s="139" t="s">
        <v>23</v>
      </c>
      <c r="D61" s="140">
        <v>2616</v>
      </c>
      <c r="E61" s="140">
        <v>2508</v>
      </c>
      <c r="F61" s="140">
        <v>129</v>
      </c>
      <c r="G61" s="140">
        <v>161</v>
      </c>
      <c r="H61" s="140">
        <v>20</v>
      </c>
      <c r="I61" s="135" t="s">
        <v>23</v>
      </c>
      <c r="J61" s="135" t="s">
        <v>23</v>
      </c>
      <c r="K61" s="135" t="s">
        <v>23</v>
      </c>
      <c r="L61" s="139">
        <f t="shared" si="0"/>
        <v>5434</v>
      </c>
      <c r="N61" s="139" t="s">
        <v>23</v>
      </c>
      <c r="O61" s="140">
        <v>49</v>
      </c>
      <c r="P61" s="140">
        <v>356</v>
      </c>
      <c r="Q61" s="140">
        <v>29</v>
      </c>
      <c r="R61" s="139" t="s">
        <v>23</v>
      </c>
      <c r="S61" s="139">
        <f t="shared" si="3"/>
        <v>434</v>
      </c>
    </row>
    <row r="62" spans="1:19">
      <c r="A62" s="95">
        <v>2009</v>
      </c>
      <c r="B62" s="139" t="s">
        <v>23</v>
      </c>
      <c r="C62" s="139" t="s">
        <v>23</v>
      </c>
      <c r="D62" s="140">
        <v>119</v>
      </c>
      <c r="E62" s="139">
        <v>232</v>
      </c>
      <c r="F62" s="139">
        <v>240</v>
      </c>
      <c r="G62" s="139">
        <v>117</v>
      </c>
      <c r="H62" s="139">
        <f>3+1</f>
        <v>4</v>
      </c>
      <c r="I62" s="139" t="s">
        <v>23</v>
      </c>
      <c r="J62" s="139" t="s">
        <v>23</v>
      </c>
      <c r="K62" s="139" t="s">
        <v>23</v>
      </c>
      <c r="L62" s="139">
        <f t="shared" si="0"/>
        <v>712</v>
      </c>
      <c r="N62" s="139" t="s">
        <v>23</v>
      </c>
      <c r="O62" s="139">
        <v>9061</v>
      </c>
      <c r="P62" s="139">
        <v>3458</v>
      </c>
      <c r="Q62" s="139">
        <v>165</v>
      </c>
      <c r="R62" s="139" t="s">
        <v>23</v>
      </c>
      <c r="S62" s="139">
        <f t="shared" si="3"/>
        <v>12684</v>
      </c>
    </row>
    <row r="63" spans="1:19">
      <c r="A63" s="95">
        <v>2010</v>
      </c>
      <c r="B63" s="139" t="s">
        <v>23</v>
      </c>
      <c r="C63" s="139" t="s">
        <v>23</v>
      </c>
      <c r="D63" s="140">
        <f>298+43+196+43</f>
        <v>580</v>
      </c>
      <c r="E63" s="139">
        <f>242+3252+746+2412</f>
        <v>6652</v>
      </c>
      <c r="F63" s="139">
        <f>358+110+25+69+1559</f>
        <v>2121</v>
      </c>
      <c r="G63" s="139">
        <f>1160+189+70+238</f>
        <v>1657</v>
      </c>
      <c r="H63" s="139">
        <v>110</v>
      </c>
      <c r="I63" s="139" t="s">
        <v>23</v>
      </c>
      <c r="J63" s="139" t="s">
        <v>23</v>
      </c>
      <c r="K63" s="139" t="s">
        <v>23</v>
      </c>
      <c r="L63" s="139">
        <f>SUM(B63:K63)</f>
        <v>11120</v>
      </c>
      <c r="N63" s="139" t="s">
        <v>23</v>
      </c>
      <c r="O63" s="139">
        <v>637</v>
      </c>
      <c r="P63" s="139">
        <v>368</v>
      </c>
      <c r="Q63" s="139">
        <f>10+25</f>
        <v>35</v>
      </c>
      <c r="R63" s="139" t="s">
        <v>23</v>
      </c>
      <c r="S63" s="139">
        <f t="shared" si="3"/>
        <v>1040</v>
      </c>
    </row>
    <row r="64" spans="1:19">
      <c r="A64" s="95">
        <v>2011</v>
      </c>
      <c r="B64" s="139" t="s">
        <v>23</v>
      </c>
      <c r="C64" s="139" t="s">
        <v>23</v>
      </c>
      <c r="D64" s="140">
        <v>1057</v>
      </c>
      <c r="E64" s="139">
        <v>1400</v>
      </c>
      <c r="F64" s="139">
        <v>114</v>
      </c>
      <c r="G64" s="139">
        <v>239</v>
      </c>
      <c r="H64" s="139">
        <v>26</v>
      </c>
      <c r="I64" s="139" t="s">
        <v>23</v>
      </c>
      <c r="J64" s="139" t="s">
        <v>23</v>
      </c>
      <c r="K64" s="139" t="s">
        <v>23</v>
      </c>
      <c r="L64" s="139">
        <f>SUM(B64:K64)</f>
        <v>2836</v>
      </c>
      <c r="N64" s="139" t="s">
        <v>23</v>
      </c>
      <c r="O64" s="139">
        <v>234</v>
      </c>
      <c r="P64" s="139">
        <v>147</v>
      </c>
      <c r="Q64" s="139">
        <v>83</v>
      </c>
      <c r="R64" s="139" t="s">
        <v>23</v>
      </c>
      <c r="S64" s="139">
        <f>SUM(N64:R64)</f>
        <v>464</v>
      </c>
    </row>
    <row r="65" spans="1:19">
      <c r="A65" s="95">
        <v>2012</v>
      </c>
      <c r="B65" s="139" t="s">
        <v>23</v>
      </c>
      <c r="C65" s="139" t="s">
        <v>23</v>
      </c>
      <c r="D65" s="140">
        <v>1034</v>
      </c>
      <c r="E65" s="139">
        <v>5366</v>
      </c>
      <c r="F65" s="139">
        <v>210</v>
      </c>
      <c r="G65" s="139">
        <v>149</v>
      </c>
      <c r="H65" s="139">
        <v>1685</v>
      </c>
      <c r="I65" s="139" t="s">
        <v>23</v>
      </c>
      <c r="J65" s="139" t="s">
        <v>23</v>
      </c>
      <c r="K65" s="139" t="s">
        <v>23</v>
      </c>
      <c r="L65" s="139">
        <f t="shared" ref="L65:L74" si="4">SUM(B65:K65)</f>
        <v>8444</v>
      </c>
      <c r="N65" s="139" t="s">
        <v>23</v>
      </c>
      <c r="O65" s="139">
        <v>38</v>
      </c>
      <c r="P65" s="139">
        <v>35</v>
      </c>
      <c r="Q65" s="139">
        <v>551</v>
      </c>
      <c r="R65" s="139" t="s">
        <v>23</v>
      </c>
      <c r="S65" s="139">
        <f>SUM(N65:R65)</f>
        <v>624</v>
      </c>
    </row>
    <row r="66" spans="1:19">
      <c r="A66" s="95">
        <v>2013</v>
      </c>
      <c r="B66" s="139" t="s">
        <v>23</v>
      </c>
      <c r="C66" s="139" t="s">
        <v>23</v>
      </c>
      <c r="D66" s="140">
        <v>432</v>
      </c>
      <c r="E66" s="139">
        <v>704</v>
      </c>
      <c r="F66" s="139">
        <v>136</v>
      </c>
      <c r="G66" s="139">
        <v>279</v>
      </c>
      <c r="H66" s="139">
        <v>394</v>
      </c>
      <c r="I66" s="139" t="s">
        <v>23</v>
      </c>
      <c r="J66" s="139" t="s">
        <v>23</v>
      </c>
      <c r="K66" s="139" t="s">
        <v>23</v>
      </c>
      <c r="L66" s="139">
        <f t="shared" si="4"/>
        <v>1945</v>
      </c>
      <c r="N66" s="139" t="s">
        <v>23</v>
      </c>
      <c r="O66" s="139">
        <v>39</v>
      </c>
      <c r="P66" s="139">
        <v>295</v>
      </c>
      <c r="Q66" s="139">
        <v>118</v>
      </c>
      <c r="R66" s="139" t="s">
        <v>23</v>
      </c>
      <c r="S66" s="139">
        <f>SUM(N66:R66)</f>
        <v>452</v>
      </c>
    </row>
    <row r="67" spans="1:19">
      <c r="A67" s="95">
        <v>2014</v>
      </c>
      <c r="B67" s="139" t="s">
        <v>23</v>
      </c>
      <c r="C67" s="139" t="s">
        <v>23</v>
      </c>
      <c r="D67" s="140">
        <v>12804</v>
      </c>
      <c r="E67" s="139">
        <v>725</v>
      </c>
      <c r="F67" s="139">
        <v>2282</v>
      </c>
      <c r="G67" s="139">
        <v>175</v>
      </c>
      <c r="H67" s="139">
        <v>196</v>
      </c>
      <c r="I67" s="139" t="s">
        <v>23</v>
      </c>
      <c r="J67" s="139" t="s">
        <v>23</v>
      </c>
      <c r="K67" s="139" t="s">
        <v>23</v>
      </c>
      <c r="L67" s="139">
        <f t="shared" si="4"/>
        <v>16182</v>
      </c>
      <c r="N67" s="139" t="s">
        <v>23</v>
      </c>
      <c r="O67" s="139">
        <v>2428</v>
      </c>
      <c r="P67" s="139">
        <v>1570</v>
      </c>
      <c r="Q67" s="139">
        <v>3704</v>
      </c>
      <c r="R67" s="139" t="s">
        <v>23</v>
      </c>
      <c r="S67" s="139">
        <f>SUM(N67:R67)</f>
        <v>7702</v>
      </c>
    </row>
    <row r="68" spans="1:19">
      <c r="A68" s="95">
        <v>2015</v>
      </c>
      <c r="B68" s="139" t="s">
        <v>23</v>
      </c>
      <c r="C68" s="139" t="s">
        <v>23</v>
      </c>
      <c r="D68" s="140">
        <v>6806</v>
      </c>
      <c r="E68" s="139">
        <v>1527</v>
      </c>
      <c r="F68" s="139">
        <v>1293</v>
      </c>
      <c r="G68" s="139">
        <v>700</v>
      </c>
      <c r="H68" s="139">
        <v>556</v>
      </c>
      <c r="I68" s="139" t="s">
        <v>23</v>
      </c>
      <c r="J68" s="139" t="s">
        <v>23</v>
      </c>
      <c r="K68" s="139" t="s">
        <v>23</v>
      </c>
      <c r="L68" s="139">
        <f t="shared" si="4"/>
        <v>10882</v>
      </c>
      <c r="N68" s="139" t="s">
        <v>23</v>
      </c>
      <c r="O68" s="139">
        <v>328</v>
      </c>
      <c r="P68" s="139">
        <v>411</v>
      </c>
      <c r="Q68" s="139">
        <v>1474</v>
      </c>
      <c r="R68" s="139" t="s">
        <v>23</v>
      </c>
      <c r="S68" s="139">
        <f>SUM(N68:R68)</f>
        <v>2213</v>
      </c>
    </row>
    <row r="69" spans="1:19">
      <c r="A69" s="95">
        <v>2016</v>
      </c>
      <c r="B69" s="139" t="s">
        <v>23</v>
      </c>
      <c r="C69" s="139" t="s">
        <v>23</v>
      </c>
      <c r="D69" s="140">
        <v>519</v>
      </c>
      <c r="E69" s="139">
        <v>743</v>
      </c>
      <c r="F69" s="139">
        <v>169</v>
      </c>
      <c r="G69" s="139">
        <v>627</v>
      </c>
      <c r="H69" s="139" t="s">
        <v>23</v>
      </c>
      <c r="I69" s="139" t="s">
        <v>23</v>
      </c>
      <c r="J69" s="139" t="s">
        <v>23</v>
      </c>
      <c r="K69" s="139" t="s">
        <v>23</v>
      </c>
      <c r="L69" s="139">
        <f t="shared" si="4"/>
        <v>2058</v>
      </c>
      <c r="N69" s="139" t="s">
        <v>23</v>
      </c>
      <c r="O69" s="139" t="s">
        <v>23</v>
      </c>
      <c r="P69" s="139" t="s">
        <v>23</v>
      </c>
      <c r="Q69" s="139" t="s">
        <v>23</v>
      </c>
      <c r="R69" s="139" t="s">
        <v>23</v>
      </c>
      <c r="S69" s="139" t="s">
        <v>23</v>
      </c>
    </row>
    <row r="70" spans="1:19">
      <c r="A70" s="95">
        <v>2017</v>
      </c>
      <c r="B70" s="139" t="s">
        <v>23</v>
      </c>
      <c r="C70" s="139" t="s">
        <v>23</v>
      </c>
      <c r="D70" s="140">
        <v>1080</v>
      </c>
      <c r="E70" s="139">
        <v>652</v>
      </c>
      <c r="F70" s="139">
        <v>50</v>
      </c>
      <c r="G70" s="139">
        <v>611</v>
      </c>
      <c r="H70" s="139">
        <v>234</v>
      </c>
      <c r="I70" s="139" t="s">
        <v>23</v>
      </c>
      <c r="J70" s="139" t="s">
        <v>23</v>
      </c>
      <c r="K70" s="139" t="s">
        <v>23</v>
      </c>
      <c r="L70" s="139">
        <f t="shared" si="4"/>
        <v>2627</v>
      </c>
      <c r="N70" s="139" t="s">
        <v>23</v>
      </c>
      <c r="O70" s="139">
        <v>16</v>
      </c>
      <c r="P70" s="139">
        <v>305</v>
      </c>
      <c r="Q70" s="139">
        <v>149</v>
      </c>
      <c r="R70" s="139" t="s">
        <v>23</v>
      </c>
      <c r="S70" s="139">
        <f>SUM(N70:R70)</f>
        <v>470</v>
      </c>
    </row>
    <row r="71" spans="1:19">
      <c r="A71" s="95">
        <v>2018</v>
      </c>
      <c r="B71" s="139" t="s">
        <v>23</v>
      </c>
      <c r="C71" s="139" t="s">
        <v>23</v>
      </c>
      <c r="D71" s="140">
        <v>16</v>
      </c>
      <c r="E71" s="139">
        <v>269</v>
      </c>
      <c r="F71" s="139">
        <v>10</v>
      </c>
      <c r="G71" s="139">
        <v>38</v>
      </c>
      <c r="H71" s="139">
        <v>0</v>
      </c>
      <c r="I71" s="139" t="s">
        <v>23</v>
      </c>
      <c r="J71" s="139" t="s">
        <v>23</v>
      </c>
      <c r="K71" s="139" t="s">
        <v>23</v>
      </c>
      <c r="L71" s="139">
        <f>SUM(B71:K71)</f>
        <v>333</v>
      </c>
      <c r="N71" s="139" t="s">
        <v>23</v>
      </c>
      <c r="O71" s="139">
        <v>8</v>
      </c>
      <c r="P71" s="139">
        <v>84</v>
      </c>
      <c r="Q71" s="139" t="s">
        <v>23</v>
      </c>
      <c r="R71" s="139" t="s">
        <v>23</v>
      </c>
      <c r="S71" s="139">
        <f>SUM(N71:R71)</f>
        <v>92</v>
      </c>
    </row>
    <row r="72" spans="1:19">
      <c r="A72" s="95">
        <v>2019</v>
      </c>
      <c r="B72" s="139" t="s">
        <v>23</v>
      </c>
      <c r="C72" s="139" t="s">
        <v>23</v>
      </c>
      <c r="D72" s="140">
        <v>17</v>
      </c>
      <c r="E72" s="139">
        <v>36</v>
      </c>
      <c r="F72" s="139">
        <v>334</v>
      </c>
      <c r="G72" s="139">
        <v>93</v>
      </c>
      <c r="H72" s="139">
        <v>28</v>
      </c>
      <c r="I72" s="139" t="s">
        <v>23</v>
      </c>
      <c r="J72" s="139" t="s">
        <v>23</v>
      </c>
      <c r="K72" s="139" t="s">
        <v>23</v>
      </c>
      <c r="L72" s="139">
        <f t="shared" ref="L72:L73" si="5">SUM(B72:K72)</f>
        <v>508</v>
      </c>
      <c r="N72" s="139" t="s">
        <v>23</v>
      </c>
      <c r="O72" s="139">
        <v>1029</v>
      </c>
      <c r="P72" s="139">
        <v>302</v>
      </c>
      <c r="Q72" s="139">
        <v>81</v>
      </c>
      <c r="R72" s="139" t="s">
        <v>23</v>
      </c>
      <c r="S72" s="139">
        <f>SUM(N72:R72)</f>
        <v>1412</v>
      </c>
    </row>
    <row r="73" spans="1:19">
      <c r="A73" s="95">
        <v>2020</v>
      </c>
      <c r="B73" s="139" t="s">
        <v>23</v>
      </c>
      <c r="C73" s="139" t="s">
        <v>23</v>
      </c>
      <c r="D73" s="140">
        <v>84</v>
      </c>
      <c r="E73" s="139">
        <v>36</v>
      </c>
      <c r="F73" s="139">
        <v>57</v>
      </c>
      <c r="G73" s="139">
        <v>13</v>
      </c>
      <c r="H73" s="139">
        <v>0</v>
      </c>
      <c r="I73" s="139" t="s">
        <v>23</v>
      </c>
      <c r="J73" s="139" t="s">
        <v>23</v>
      </c>
      <c r="K73" s="139" t="s">
        <v>23</v>
      </c>
      <c r="L73" s="139">
        <f t="shared" si="5"/>
        <v>190</v>
      </c>
      <c r="N73" s="139" t="s">
        <v>23</v>
      </c>
      <c r="O73" s="139">
        <v>63</v>
      </c>
      <c r="P73" s="139">
        <v>64</v>
      </c>
      <c r="Q73" s="139">
        <v>2</v>
      </c>
      <c r="R73" s="139" t="s">
        <v>23</v>
      </c>
      <c r="S73" s="139">
        <f>SUM(N73:R73)</f>
        <v>129</v>
      </c>
    </row>
    <row r="74" spans="1:19" ht="13">
      <c r="A74" s="95" t="s">
        <v>317</v>
      </c>
      <c r="B74" s="139" t="s">
        <v>23</v>
      </c>
      <c r="C74" s="139" t="s">
        <v>23</v>
      </c>
      <c r="D74" s="140">
        <v>15</v>
      </c>
      <c r="E74" s="139">
        <v>8</v>
      </c>
      <c r="F74" s="139">
        <v>126</v>
      </c>
      <c r="G74" s="139">
        <v>24</v>
      </c>
      <c r="H74" s="139">
        <v>5</v>
      </c>
      <c r="I74" s="139" t="s">
        <v>23</v>
      </c>
      <c r="J74" s="139" t="s">
        <v>23</v>
      </c>
      <c r="K74" s="139" t="s">
        <v>23</v>
      </c>
      <c r="L74" s="139">
        <f t="shared" si="4"/>
        <v>178</v>
      </c>
      <c r="N74" s="139" t="s">
        <v>23</v>
      </c>
      <c r="O74" s="139">
        <v>75</v>
      </c>
      <c r="P74" s="139">
        <v>25</v>
      </c>
      <c r="Q74" s="139">
        <v>41</v>
      </c>
      <c r="R74" s="139" t="s">
        <v>23</v>
      </c>
      <c r="S74" s="139">
        <f>SUM(N74:R74)</f>
        <v>141</v>
      </c>
    </row>
    <row r="76" spans="1:19">
      <c r="A76" s="88" t="s">
        <v>47</v>
      </c>
    </row>
    <row r="77" spans="1:19">
      <c r="A77" s="99">
        <v>1952</v>
      </c>
      <c r="B77" s="139" t="s">
        <v>23</v>
      </c>
      <c r="C77" s="139">
        <v>0</v>
      </c>
      <c r="D77" s="139">
        <v>61</v>
      </c>
      <c r="E77" s="139">
        <v>349</v>
      </c>
      <c r="F77" s="139">
        <v>236</v>
      </c>
      <c r="G77" s="139">
        <v>91</v>
      </c>
      <c r="H77" s="139">
        <v>81</v>
      </c>
      <c r="I77" s="139">
        <v>5</v>
      </c>
      <c r="J77" s="139" t="s">
        <v>23</v>
      </c>
      <c r="K77" s="139" t="s">
        <v>23</v>
      </c>
      <c r="L77" s="139">
        <f t="shared" ref="L77:L134" si="6">SUM(B77:K77)</f>
        <v>823</v>
      </c>
      <c r="N77" s="139">
        <v>530</v>
      </c>
      <c r="O77" s="139">
        <v>432</v>
      </c>
      <c r="P77" s="139">
        <v>1333</v>
      </c>
      <c r="Q77" s="139">
        <v>334</v>
      </c>
      <c r="R77" s="139">
        <v>6</v>
      </c>
      <c r="S77" s="139">
        <f t="shared" ref="S77:S117" si="7">SUM(N77:R77)</f>
        <v>2635</v>
      </c>
    </row>
    <row r="78" spans="1:19">
      <c r="A78" s="99">
        <v>1953</v>
      </c>
      <c r="B78" s="139" t="s">
        <v>23</v>
      </c>
      <c r="C78" s="139">
        <v>0</v>
      </c>
      <c r="D78" s="139">
        <v>53</v>
      </c>
      <c r="E78" s="139">
        <v>30</v>
      </c>
      <c r="F78" s="139">
        <v>125</v>
      </c>
      <c r="G78" s="139">
        <v>461</v>
      </c>
      <c r="H78" s="139">
        <v>81</v>
      </c>
      <c r="I78" s="139">
        <v>0</v>
      </c>
      <c r="J78" s="139" t="s">
        <v>23</v>
      </c>
      <c r="K78" s="139" t="s">
        <v>23</v>
      </c>
      <c r="L78" s="139">
        <f t="shared" si="6"/>
        <v>750</v>
      </c>
      <c r="N78" s="139">
        <v>483</v>
      </c>
      <c r="O78" s="139">
        <v>1450</v>
      </c>
      <c r="P78" s="139">
        <v>3464</v>
      </c>
      <c r="Q78" s="139">
        <v>1748</v>
      </c>
      <c r="R78" s="139">
        <v>698</v>
      </c>
      <c r="S78" s="139">
        <f t="shared" si="7"/>
        <v>7843</v>
      </c>
    </row>
    <row r="79" spans="1:19">
      <c r="A79" s="99">
        <v>1954</v>
      </c>
      <c r="B79" s="139" t="s">
        <v>23</v>
      </c>
      <c r="C79" s="139">
        <v>9</v>
      </c>
      <c r="D79" s="139">
        <v>0</v>
      </c>
      <c r="E79" s="139">
        <v>37</v>
      </c>
      <c r="F79" s="139">
        <v>322</v>
      </c>
      <c r="G79" s="139">
        <v>2748</v>
      </c>
      <c r="H79" s="139">
        <v>32</v>
      </c>
      <c r="I79" s="139">
        <v>0</v>
      </c>
      <c r="J79" s="139" t="s">
        <v>23</v>
      </c>
      <c r="K79" s="139" t="s">
        <v>23</v>
      </c>
      <c r="L79" s="139">
        <f t="shared" si="6"/>
        <v>3148</v>
      </c>
      <c r="N79" s="139">
        <v>240</v>
      </c>
      <c r="O79" s="139">
        <v>3116</v>
      </c>
      <c r="P79" s="139">
        <v>4232</v>
      </c>
      <c r="Q79" s="139">
        <v>607</v>
      </c>
      <c r="R79" s="139">
        <v>0</v>
      </c>
      <c r="S79" s="139">
        <f t="shared" si="7"/>
        <v>8195</v>
      </c>
    </row>
    <row r="80" spans="1:19">
      <c r="A80" s="99">
        <v>1955</v>
      </c>
      <c r="B80" s="139" t="s">
        <v>23</v>
      </c>
      <c r="C80" s="139">
        <v>0</v>
      </c>
      <c r="D80" s="139">
        <v>356</v>
      </c>
      <c r="E80" s="139">
        <v>70</v>
      </c>
      <c r="F80" s="139">
        <v>716</v>
      </c>
      <c r="G80" s="139">
        <v>3365</v>
      </c>
      <c r="H80" s="139">
        <v>471</v>
      </c>
      <c r="I80" s="139">
        <v>0</v>
      </c>
      <c r="J80" s="139" t="s">
        <v>23</v>
      </c>
      <c r="K80" s="139" t="s">
        <v>23</v>
      </c>
      <c r="L80" s="139">
        <f t="shared" si="6"/>
        <v>4978</v>
      </c>
      <c r="N80" s="139">
        <v>37</v>
      </c>
      <c r="O80" s="139">
        <v>4758</v>
      </c>
      <c r="P80" s="139">
        <v>4540</v>
      </c>
      <c r="Q80" s="139">
        <v>713</v>
      </c>
      <c r="R80" s="139">
        <v>55</v>
      </c>
      <c r="S80" s="139">
        <f t="shared" si="7"/>
        <v>10103</v>
      </c>
    </row>
    <row r="81" spans="1:19">
      <c r="A81" s="99">
        <v>1956</v>
      </c>
      <c r="B81" s="139" t="s">
        <v>23</v>
      </c>
      <c r="C81" s="139">
        <v>0</v>
      </c>
      <c r="D81" s="139">
        <v>34</v>
      </c>
      <c r="E81" s="139">
        <v>35</v>
      </c>
      <c r="F81" s="139">
        <v>891</v>
      </c>
      <c r="G81" s="139">
        <v>1642</v>
      </c>
      <c r="H81" s="139">
        <v>136</v>
      </c>
      <c r="I81" s="139">
        <v>1</v>
      </c>
      <c r="J81" s="139" t="s">
        <v>23</v>
      </c>
      <c r="K81" s="139" t="s">
        <v>23</v>
      </c>
      <c r="L81" s="139">
        <f t="shared" si="6"/>
        <v>2739</v>
      </c>
      <c r="N81" s="139">
        <v>47</v>
      </c>
      <c r="O81" s="139">
        <v>6508</v>
      </c>
      <c r="P81" s="139">
        <v>6660</v>
      </c>
      <c r="Q81" s="139">
        <v>2319</v>
      </c>
      <c r="R81" s="139">
        <v>8</v>
      </c>
      <c r="S81" s="139">
        <f t="shared" si="7"/>
        <v>15542</v>
      </c>
    </row>
    <row r="82" spans="1:19">
      <c r="A82" s="99">
        <v>1957</v>
      </c>
      <c r="B82" s="139" t="s">
        <v>23</v>
      </c>
      <c r="C82" s="139">
        <v>0</v>
      </c>
      <c r="D82" s="139">
        <v>0</v>
      </c>
      <c r="E82" s="139">
        <v>471</v>
      </c>
      <c r="F82" s="139">
        <v>1379</v>
      </c>
      <c r="G82" s="139">
        <v>287</v>
      </c>
      <c r="H82" s="139">
        <v>252</v>
      </c>
      <c r="I82" s="139">
        <v>17</v>
      </c>
      <c r="J82" s="139" t="s">
        <v>23</v>
      </c>
      <c r="K82" s="139" t="s">
        <v>23</v>
      </c>
      <c r="L82" s="139">
        <f t="shared" si="6"/>
        <v>2406</v>
      </c>
      <c r="N82" s="139">
        <v>3904</v>
      </c>
      <c r="O82" s="139">
        <v>8277</v>
      </c>
      <c r="P82" s="139">
        <v>4475</v>
      </c>
      <c r="Q82" s="139">
        <v>1027</v>
      </c>
      <c r="R82" s="139">
        <v>204</v>
      </c>
      <c r="S82" s="139">
        <f t="shared" si="7"/>
        <v>17887</v>
      </c>
    </row>
    <row r="83" spans="1:19">
      <c r="A83" s="99">
        <v>1958</v>
      </c>
      <c r="B83" s="139" t="s">
        <v>23</v>
      </c>
      <c r="C83" s="139">
        <v>0</v>
      </c>
      <c r="D83" s="139">
        <v>4</v>
      </c>
      <c r="E83" s="139">
        <v>740</v>
      </c>
      <c r="F83" s="139">
        <v>1611</v>
      </c>
      <c r="G83" s="139">
        <v>765</v>
      </c>
      <c r="H83" s="139">
        <v>184</v>
      </c>
      <c r="I83" s="139">
        <v>2</v>
      </c>
      <c r="J83" s="139" t="s">
        <v>23</v>
      </c>
      <c r="K83" s="139" t="s">
        <v>23</v>
      </c>
      <c r="L83" s="139">
        <f t="shared" si="6"/>
        <v>3306</v>
      </c>
      <c r="N83" s="139">
        <v>1165</v>
      </c>
      <c r="O83" s="139">
        <v>2976</v>
      </c>
      <c r="P83" s="139">
        <v>1710</v>
      </c>
      <c r="Q83" s="139">
        <v>415</v>
      </c>
      <c r="R83" s="139">
        <v>9</v>
      </c>
      <c r="S83" s="139">
        <f t="shared" si="7"/>
        <v>6275</v>
      </c>
    </row>
    <row r="84" spans="1:19">
      <c r="A84" s="99">
        <v>1959</v>
      </c>
      <c r="B84" s="139" t="s">
        <v>23</v>
      </c>
      <c r="C84" s="139">
        <v>0</v>
      </c>
      <c r="D84" s="139">
        <v>23</v>
      </c>
      <c r="E84" s="139">
        <v>288</v>
      </c>
      <c r="F84" s="139">
        <v>378</v>
      </c>
      <c r="G84" s="139">
        <v>946</v>
      </c>
      <c r="H84" s="139">
        <v>80</v>
      </c>
      <c r="I84" s="139">
        <v>21</v>
      </c>
      <c r="J84" s="139" t="s">
        <v>23</v>
      </c>
      <c r="K84" s="139" t="s">
        <v>23</v>
      </c>
      <c r="L84" s="139">
        <f t="shared" si="6"/>
        <v>1736</v>
      </c>
      <c r="N84" s="139">
        <v>1154</v>
      </c>
      <c r="O84" s="139">
        <v>3864</v>
      </c>
      <c r="P84" s="139">
        <v>2299</v>
      </c>
      <c r="Q84" s="139">
        <v>649</v>
      </c>
      <c r="R84" s="139">
        <v>2</v>
      </c>
      <c r="S84" s="139">
        <f t="shared" si="7"/>
        <v>7968</v>
      </c>
    </row>
    <row r="85" spans="1:19">
      <c r="A85" s="99">
        <v>1960</v>
      </c>
      <c r="B85" s="139" t="s">
        <v>23</v>
      </c>
      <c r="C85" s="139">
        <v>10</v>
      </c>
      <c r="D85" s="139">
        <v>11</v>
      </c>
      <c r="E85" s="139">
        <v>172</v>
      </c>
      <c r="F85" s="139">
        <v>334</v>
      </c>
      <c r="G85" s="139">
        <v>336</v>
      </c>
      <c r="H85" s="139">
        <v>132</v>
      </c>
      <c r="I85" s="139">
        <v>0</v>
      </c>
      <c r="J85" s="139" t="s">
        <v>23</v>
      </c>
      <c r="K85" s="139" t="s">
        <v>23</v>
      </c>
      <c r="L85" s="139">
        <f t="shared" si="6"/>
        <v>995</v>
      </c>
      <c r="N85" s="139">
        <v>150</v>
      </c>
      <c r="O85" s="139">
        <v>578</v>
      </c>
      <c r="P85" s="139">
        <v>3571</v>
      </c>
      <c r="Q85" s="139">
        <v>1171</v>
      </c>
      <c r="R85" s="139">
        <v>0</v>
      </c>
      <c r="S85" s="139">
        <f t="shared" si="7"/>
        <v>5470</v>
      </c>
    </row>
    <row r="86" spans="1:19">
      <c r="A86" s="99">
        <v>1961</v>
      </c>
      <c r="B86" s="139" t="s">
        <v>23</v>
      </c>
      <c r="C86" s="139">
        <v>9</v>
      </c>
      <c r="D86" s="139">
        <v>1</v>
      </c>
      <c r="E86" s="139">
        <v>86</v>
      </c>
      <c r="F86" s="139">
        <v>189</v>
      </c>
      <c r="G86" s="139">
        <v>399</v>
      </c>
      <c r="H86" s="139">
        <v>117</v>
      </c>
      <c r="I86" s="139">
        <v>29</v>
      </c>
      <c r="J86" s="139" t="s">
        <v>23</v>
      </c>
      <c r="K86" s="139" t="s">
        <v>23</v>
      </c>
      <c r="L86" s="139">
        <f t="shared" si="6"/>
        <v>830</v>
      </c>
      <c r="N86" s="139">
        <v>2535</v>
      </c>
      <c r="O86" s="139">
        <v>3742</v>
      </c>
      <c r="P86" s="139">
        <v>6790</v>
      </c>
      <c r="Q86" s="139">
        <v>746</v>
      </c>
      <c r="R86" s="139">
        <v>79</v>
      </c>
      <c r="S86" s="139">
        <f t="shared" si="7"/>
        <v>13892</v>
      </c>
    </row>
    <row r="87" spans="1:19">
      <c r="A87" s="99">
        <v>1962</v>
      </c>
      <c r="B87" s="139" t="s">
        <v>23</v>
      </c>
      <c r="C87" s="139">
        <v>0</v>
      </c>
      <c r="D87" s="139">
        <v>1</v>
      </c>
      <c r="E87" s="139">
        <v>86</v>
      </c>
      <c r="F87" s="139">
        <v>56</v>
      </c>
      <c r="G87" s="139">
        <v>108</v>
      </c>
      <c r="H87" s="139">
        <v>60</v>
      </c>
      <c r="I87" s="139">
        <v>1</v>
      </c>
      <c r="J87" s="139" t="s">
        <v>23</v>
      </c>
      <c r="K87" s="139" t="s">
        <v>23</v>
      </c>
      <c r="L87" s="139">
        <f t="shared" si="6"/>
        <v>312</v>
      </c>
      <c r="N87" s="139">
        <v>1156</v>
      </c>
      <c r="O87" s="139">
        <v>4400</v>
      </c>
      <c r="P87" s="139">
        <v>5082</v>
      </c>
      <c r="Q87" s="139">
        <v>181</v>
      </c>
      <c r="R87" s="139">
        <v>0</v>
      </c>
      <c r="S87" s="139">
        <f t="shared" si="7"/>
        <v>10819</v>
      </c>
    </row>
    <row r="88" spans="1:19">
      <c r="A88" s="99">
        <v>1963</v>
      </c>
      <c r="B88" s="139" t="s">
        <v>23</v>
      </c>
      <c r="C88" s="139">
        <v>0</v>
      </c>
      <c r="D88" s="139">
        <v>0</v>
      </c>
      <c r="E88" s="139">
        <v>7</v>
      </c>
      <c r="F88" s="139">
        <v>72</v>
      </c>
      <c r="G88" s="139">
        <v>449</v>
      </c>
      <c r="H88" s="139">
        <v>240</v>
      </c>
      <c r="I88" s="139">
        <v>15</v>
      </c>
      <c r="J88" s="139" t="s">
        <v>23</v>
      </c>
      <c r="K88" s="139" t="s">
        <v>23</v>
      </c>
      <c r="L88" s="139">
        <f t="shared" si="6"/>
        <v>783</v>
      </c>
      <c r="N88" s="139">
        <v>1109</v>
      </c>
      <c r="O88" s="139">
        <v>3023</v>
      </c>
      <c r="P88" s="139">
        <v>10457</v>
      </c>
      <c r="Q88" s="139">
        <v>2721</v>
      </c>
      <c r="R88" s="139">
        <v>71</v>
      </c>
      <c r="S88" s="139">
        <f t="shared" si="7"/>
        <v>17381</v>
      </c>
    </row>
    <row r="89" spans="1:19">
      <c r="A89" s="99">
        <v>1964</v>
      </c>
      <c r="B89" s="139" t="s">
        <v>23</v>
      </c>
      <c r="C89" s="139">
        <v>0</v>
      </c>
      <c r="D89" s="139">
        <v>0</v>
      </c>
      <c r="E89" s="139">
        <v>48</v>
      </c>
      <c r="F89" s="139">
        <v>322</v>
      </c>
      <c r="G89" s="139">
        <v>722</v>
      </c>
      <c r="H89" s="139">
        <v>237</v>
      </c>
      <c r="I89" s="139">
        <v>6</v>
      </c>
      <c r="J89" s="139" t="s">
        <v>23</v>
      </c>
      <c r="K89" s="139" t="s">
        <v>23</v>
      </c>
      <c r="L89" s="139">
        <f t="shared" si="6"/>
        <v>1335</v>
      </c>
      <c r="N89" s="139">
        <v>1312</v>
      </c>
      <c r="O89" s="139">
        <v>8994</v>
      </c>
      <c r="P89" s="139">
        <v>12247</v>
      </c>
      <c r="Q89" s="139">
        <v>2000</v>
      </c>
      <c r="R89" s="139">
        <v>28</v>
      </c>
      <c r="S89" s="139">
        <f t="shared" si="7"/>
        <v>24581</v>
      </c>
    </row>
    <row r="90" spans="1:19">
      <c r="A90" s="99">
        <v>1965</v>
      </c>
      <c r="B90" s="139" t="s">
        <v>23</v>
      </c>
      <c r="C90" s="139">
        <v>0</v>
      </c>
      <c r="D90" s="139">
        <v>0</v>
      </c>
      <c r="E90" s="139">
        <v>47</v>
      </c>
      <c r="F90" s="139">
        <v>112</v>
      </c>
      <c r="G90" s="139">
        <v>266</v>
      </c>
      <c r="H90" s="139">
        <v>766</v>
      </c>
      <c r="I90" s="139">
        <v>40</v>
      </c>
      <c r="J90" s="139" t="s">
        <v>23</v>
      </c>
      <c r="K90" s="139" t="s">
        <v>23</v>
      </c>
      <c r="L90" s="139">
        <f t="shared" si="6"/>
        <v>1231</v>
      </c>
      <c r="N90" s="139">
        <v>1029</v>
      </c>
      <c r="O90" s="139">
        <v>21670</v>
      </c>
      <c r="P90" s="139">
        <v>19397</v>
      </c>
      <c r="Q90" s="139">
        <v>1848</v>
      </c>
      <c r="R90" s="139">
        <v>28</v>
      </c>
      <c r="S90" s="139">
        <f t="shared" si="7"/>
        <v>43972</v>
      </c>
    </row>
    <row r="91" spans="1:19">
      <c r="A91" s="99">
        <v>1966</v>
      </c>
      <c r="B91" s="139" t="s">
        <v>23</v>
      </c>
      <c r="C91" s="139">
        <v>0</v>
      </c>
      <c r="D91" s="139">
        <v>57</v>
      </c>
      <c r="E91" s="139">
        <v>51</v>
      </c>
      <c r="F91" s="139">
        <v>1056</v>
      </c>
      <c r="G91" s="139">
        <v>523</v>
      </c>
      <c r="H91" s="139">
        <v>209</v>
      </c>
      <c r="I91" s="139">
        <v>0</v>
      </c>
      <c r="J91" s="139" t="s">
        <v>23</v>
      </c>
      <c r="K91" s="139" t="s">
        <v>23</v>
      </c>
      <c r="L91" s="139">
        <f t="shared" si="6"/>
        <v>1896</v>
      </c>
      <c r="N91" s="139">
        <v>2503</v>
      </c>
      <c r="O91" s="139">
        <v>41289</v>
      </c>
      <c r="P91" s="139">
        <v>11615</v>
      </c>
      <c r="Q91" s="139">
        <v>9294</v>
      </c>
      <c r="R91" s="139">
        <v>97</v>
      </c>
      <c r="S91" s="139">
        <f t="shared" si="7"/>
        <v>64798</v>
      </c>
    </row>
    <row r="92" spans="1:19">
      <c r="A92" s="99">
        <v>1967</v>
      </c>
      <c r="B92" s="139" t="s">
        <v>23</v>
      </c>
      <c r="C92" s="139">
        <v>0</v>
      </c>
      <c r="D92" s="139">
        <v>16</v>
      </c>
      <c r="E92" s="139">
        <v>1219</v>
      </c>
      <c r="F92" s="139">
        <v>876</v>
      </c>
      <c r="G92" s="139">
        <v>1372</v>
      </c>
      <c r="H92" s="139">
        <v>134</v>
      </c>
      <c r="I92" s="139">
        <v>0</v>
      </c>
      <c r="J92" s="139" t="s">
        <v>23</v>
      </c>
      <c r="K92" s="139" t="s">
        <v>23</v>
      </c>
      <c r="L92" s="139">
        <f t="shared" si="6"/>
        <v>3617</v>
      </c>
      <c r="N92" s="139">
        <v>11167</v>
      </c>
      <c r="O92" s="139">
        <v>88277</v>
      </c>
      <c r="P92" s="139">
        <v>52425</v>
      </c>
      <c r="Q92" s="139">
        <v>2629</v>
      </c>
      <c r="R92" s="139">
        <v>0</v>
      </c>
      <c r="S92" s="139">
        <f t="shared" si="7"/>
        <v>154498</v>
      </c>
    </row>
    <row r="93" spans="1:19">
      <c r="A93" s="99">
        <v>1968</v>
      </c>
      <c r="B93" s="139" t="s">
        <v>23</v>
      </c>
      <c r="C93" s="139">
        <v>0</v>
      </c>
      <c r="D93" s="139">
        <v>30</v>
      </c>
      <c r="E93" s="139">
        <v>347</v>
      </c>
      <c r="F93" s="139">
        <v>2553</v>
      </c>
      <c r="G93" s="139">
        <v>1704</v>
      </c>
      <c r="H93" s="139">
        <v>268</v>
      </c>
      <c r="I93" s="139">
        <v>296</v>
      </c>
      <c r="J93" s="139" t="s">
        <v>23</v>
      </c>
      <c r="K93" s="139" t="s">
        <v>23</v>
      </c>
      <c r="L93" s="139">
        <f t="shared" si="6"/>
        <v>5198</v>
      </c>
      <c r="N93" s="139">
        <v>10145</v>
      </c>
      <c r="O93" s="139">
        <v>80289</v>
      </c>
      <c r="P93" s="139">
        <v>38419</v>
      </c>
      <c r="Q93" s="139">
        <v>3783</v>
      </c>
      <c r="R93" s="139">
        <v>0</v>
      </c>
      <c r="S93" s="139">
        <f t="shared" si="7"/>
        <v>132636</v>
      </c>
    </row>
    <row r="94" spans="1:19">
      <c r="A94" s="99">
        <v>1969</v>
      </c>
      <c r="B94" s="139" t="s">
        <v>23</v>
      </c>
      <c r="C94" s="139">
        <v>0</v>
      </c>
      <c r="D94" s="139">
        <v>227</v>
      </c>
      <c r="E94" s="139">
        <v>1625</v>
      </c>
      <c r="F94" s="139">
        <v>712</v>
      </c>
      <c r="G94" s="139">
        <v>1817</v>
      </c>
      <c r="H94" s="139">
        <v>497</v>
      </c>
      <c r="I94" s="139">
        <v>221</v>
      </c>
      <c r="J94" s="139" t="s">
        <v>23</v>
      </c>
      <c r="K94" s="139" t="s">
        <v>23</v>
      </c>
      <c r="L94" s="139">
        <f t="shared" si="6"/>
        <v>5099</v>
      </c>
      <c r="N94" s="139">
        <v>10875</v>
      </c>
      <c r="O94" s="139">
        <v>26224</v>
      </c>
      <c r="P94" s="139">
        <v>29094</v>
      </c>
      <c r="Q94" s="139">
        <v>2215</v>
      </c>
      <c r="R94" s="139">
        <v>494</v>
      </c>
      <c r="S94" s="139">
        <f t="shared" si="7"/>
        <v>68902</v>
      </c>
    </row>
    <row r="95" spans="1:19">
      <c r="A95" s="99">
        <v>1970</v>
      </c>
      <c r="B95" s="139" t="s">
        <v>23</v>
      </c>
      <c r="C95" s="139">
        <v>34</v>
      </c>
      <c r="D95" s="139">
        <v>37</v>
      </c>
      <c r="E95" s="139">
        <v>1663</v>
      </c>
      <c r="F95" s="139">
        <v>1460</v>
      </c>
      <c r="G95" s="139">
        <v>747</v>
      </c>
      <c r="H95" s="139">
        <v>450</v>
      </c>
      <c r="I95" s="139">
        <v>85</v>
      </c>
      <c r="J95" s="139" t="s">
        <v>23</v>
      </c>
      <c r="K95" s="139" t="s">
        <v>23</v>
      </c>
      <c r="L95" s="139">
        <f t="shared" si="6"/>
        <v>4476</v>
      </c>
      <c r="N95" s="139">
        <v>13911</v>
      </c>
      <c r="O95" s="139">
        <v>22070</v>
      </c>
      <c r="P95" s="139">
        <v>40276</v>
      </c>
      <c r="Q95" s="139">
        <v>5102</v>
      </c>
      <c r="R95" s="139">
        <v>97</v>
      </c>
      <c r="S95" s="139">
        <f t="shared" si="7"/>
        <v>81456</v>
      </c>
    </row>
    <row r="96" spans="1:19">
      <c r="A96" s="99">
        <v>1971</v>
      </c>
      <c r="B96" s="139" t="s">
        <v>23</v>
      </c>
      <c r="C96" s="139">
        <v>0</v>
      </c>
      <c r="D96" s="139">
        <v>13</v>
      </c>
      <c r="E96" s="139">
        <v>367</v>
      </c>
      <c r="F96" s="139">
        <v>464</v>
      </c>
      <c r="G96" s="139">
        <v>1867</v>
      </c>
      <c r="H96" s="139">
        <v>281</v>
      </c>
      <c r="I96" s="139">
        <v>20</v>
      </c>
      <c r="J96" s="139" t="s">
        <v>23</v>
      </c>
      <c r="K96" s="139" t="s">
        <v>23</v>
      </c>
      <c r="L96" s="139">
        <f t="shared" si="6"/>
        <v>3012</v>
      </c>
      <c r="N96" s="139">
        <v>11056</v>
      </c>
      <c r="O96" s="139">
        <v>61288</v>
      </c>
      <c r="P96" s="139">
        <v>145328</v>
      </c>
      <c r="Q96" s="139">
        <v>3573</v>
      </c>
      <c r="R96" s="139">
        <v>178</v>
      </c>
      <c r="S96" s="139">
        <f t="shared" si="7"/>
        <v>221423</v>
      </c>
    </row>
    <row r="97" spans="1:19">
      <c r="A97" s="99">
        <v>1972</v>
      </c>
      <c r="B97" s="139" t="s">
        <v>23</v>
      </c>
      <c r="C97" s="139">
        <v>0</v>
      </c>
      <c r="D97" s="139">
        <v>65</v>
      </c>
      <c r="E97" s="139">
        <v>674</v>
      </c>
      <c r="F97" s="139">
        <v>722</v>
      </c>
      <c r="G97" s="139">
        <v>2393</v>
      </c>
      <c r="H97" s="139">
        <v>224</v>
      </c>
      <c r="I97" s="139">
        <v>24</v>
      </c>
      <c r="J97" s="139" t="s">
        <v>23</v>
      </c>
      <c r="K97" s="139" t="s">
        <v>23</v>
      </c>
      <c r="L97" s="139">
        <f t="shared" si="6"/>
        <v>4102</v>
      </c>
      <c r="N97" s="139">
        <v>26783</v>
      </c>
      <c r="O97" s="139">
        <v>40128</v>
      </c>
      <c r="P97" s="139">
        <v>45301</v>
      </c>
      <c r="Q97" s="139">
        <v>4603</v>
      </c>
      <c r="R97" s="139">
        <v>43</v>
      </c>
      <c r="S97" s="139">
        <f t="shared" si="7"/>
        <v>116858</v>
      </c>
    </row>
    <row r="98" spans="1:19">
      <c r="A98" s="99">
        <v>1973</v>
      </c>
      <c r="B98" s="139" t="s">
        <v>23</v>
      </c>
      <c r="C98" s="139">
        <v>11</v>
      </c>
      <c r="D98" s="139">
        <v>75</v>
      </c>
      <c r="E98" s="139">
        <v>472</v>
      </c>
      <c r="F98" s="139">
        <v>1422</v>
      </c>
      <c r="G98" s="139">
        <v>3774</v>
      </c>
      <c r="H98" s="139">
        <v>1512</v>
      </c>
      <c r="I98" s="139">
        <v>436</v>
      </c>
      <c r="J98" s="139" t="s">
        <v>23</v>
      </c>
      <c r="K98" s="139" t="s">
        <v>23</v>
      </c>
      <c r="L98" s="139">
        <f t="shared" si="6"/>
        <v>7702</v>
      </c>
      <c r="N98" s="139">
        <v>21883</v>
      </c>
      <c r="O98" s="139">
        <v>31941</v>
      </c>
      <c r="P98" s="139">
        <v>23716</v>
      </c>
      <c r="Q98" s="139">
        <v>2100</v>
      </c>
      <c r="R98" s="139">
        <v>229</v>
      </c>
      <c r="S98" s="139">
        <f t="shared" si="7"/>
        <v>79869</v>
      </c>
    </row>
    <row r="99" spans="1:19">
      <c r="A99" s="99">
        <v>1974</v>
      </c>
      <c r="B99" s="139" t="s">
        <v>23</v>
      </c>
      <c r="C99" s="139">
        <v>0</v>
      </c>
      <c r="D99" s="139">
        <v>55</v>
      </c>
      <c r="E99" s="139">
        <v>680</v>
      </c>
      <c r="F99" s="139">
        <v>2298</v>
      </c>
      <c r="G99" s="139">
        <v>3385</v>
      </c>
      <c r="H99" s="139">
        <v>934</v>
      </c>
      <c r="I99" s="139">
        <v>187</v>
      </c>
      <c r="J99" s="139" t="s">
        <v>23</v>
      </c>
      <c r="K99" s="139" t="s">
        <v>23</v>
      </c>
      <c r="L99" s="139">
        <f t="shared" si="6"/>
        <v>7539</v>
      </c>
      <c r="N99" s="139">
        <v>7739</v>
      </c>
      <c r="O99" s="139">
        <v>92840</v>
      </c>
      <c r="P99" s="139">
        <v>46587</v>
      </c>
      <c r="Q99" s="139">
        <v>6424</v>
      </c>
      <c r="R99" s="139">
        <v>107</v>
      </c>
      <c r="S99" s="139">
        <f t="shared" si="7"/>
        <v>153697</v>
      </c>
    </row>
    <row r="100" spans="1:19">
      <c r="A100" s="99">
        <v>1975</v>
      </c>
      <c r="B100" s="139" t="s">
        <v>23</v>
      </c>
      <c r="C100" s="139">
        <v>0</v>
      </c>
      <c r="D100" s="139">
        <v>7</v>
      </c>
      <c r="E100" s="139">
        <v>908</v>
      </c>
      <c r="F100" s="139">
        <v>2177</v>
      </c>
      <c r="G100" s="139">
        <v>2346</v>
      </c>
      <c r="H100" s="139">
        <v>406</v>
      </c>
      <c r="I100" s="139">
        <v>4</v>
      </c>
      <c r="J100" s="139" t="s">
        <v>23</v>
      </c>
      <c r="K100" s="139" t="s">
        <v>23</v>
      </c>
      <c r="L100" s="139">
        <f t="shared" si="6"/>
        <v>5848</v>
      </c>
      <c r="N100" s="139">
        <v>32268</v>
      </c>
      <c r="O100" s="139">
        <v>40863</v>
      </c>
      <c r="P100" s="139">
        <v>32429</v>
      </c>
      <c r="Q100" s="139">
        <v>4240</v>
      </c>
      <c r="R100" s="139">
        <v>15</v>
      </c>
      <c r="S100" s="139">
        <f t="shared" si="7"/>
        <v>109815</v>
      </c>
    </row>
    <row r="101" spans="1:19">
      <c r="A101" s="99">
        <v>1976</v>
      </c>
      <c r="B101" s="139" t="s">
        <v>23</v>
      </c>
      <c r="C101" s="139" t="s">
        <v>23</v>
      </c>
      <c r="D101" s="139">
        <v>1130</v>
      </c>
      <c r="E101" s="139">
        <v>3546</v>
      </c>
      <c r="F101" s="139">
        <v>2018</v>
      </c>
      <c r="G101" s="139">
        <v>1895</v>
      </c>
      <c r="H101" s="139">
        <v>397</v>
      </c>
      <c r="I101" s="139">
        <v>90</v>
      </c>
      <c r="J101" s="139" t="s">
        <v>23</v>
      </c>
      <c r="K101" s="139" t="s">
        <v>23</v>
      </c>
      <c r="L101" s="139">
        <f t="shared" si="6"/>
        <v>9076</v>
      </c>
      <c r="N101" s="139">
        <v>87485</v>
      </c>
      <c r="O101" s="139">
        <v>145114</v>
      </c>
      <c r="P101" s="139">
        <v>67530</v>
      </c>
      <c r="Q101" s="139">
        <v>7122</v>
      </c>
      <c r="R101" s="139">
        <v>204</v>
      </c>
      <c r="S101" s="139">
        <f t="shared" si="7"/>
        <v>307455</v>
      </c>
    </row>
    <row r="102" spans="1:19">
      <c r="A102" s="99">
        <v>1977</v>
      </c>
      <c r="B102" s="139" t="s">
        <v>23</v>
      </c>
      <c r="C102" s="139" t="s">
        <v>23</v>
      </c>
      <c r="D102" s="139">
        <v>150</v>
      </c>
      <c r="E102" s="139">
        <v>10127</v>
      </c>
      <c r="F102" s="139">
        <v>10969</v>
      </c>
      <c r="G102" s="139">
        <v>3094</v>
      </c>
      <c r="H102" s="139">
        <v>1382</v>
      </c>
      <c r="I102" s="139">
        <v>423</v>
      </c>
      <c r="J102" s="139" t="s">
        <v>23</v>
      </c>
      <c r="K102" s="139" t="s">
        <v>23</v>
      </c>
      <c r="L102" s="139">
        <f t="shared" si="6"/>
        <v>26145</v>
      </c>
      <c r="N102" s="139">
        <v>21648</v>
      </c>
      <c r="O102" s="139">
        <v>60470</v>
      </c>
      <c r="P102" s="139">
        <v>14248</v>
      </c>
      <c r="Q102" s="139">
        <v>1935</v>
      </c>
      <c r="R102" s="139">
        <v>96</v>
      </c>
      <c r="S102" s="139">
        <f t="shared" si="7"/>
        <v>98397</v>
      </c>
    </row>
    <row r="103" spans="1:19">
      <c r="A103" s="99">
        <v>1978</v>
      </c>
      <c r="B103" s="139" t="s">
        <v>23</v>
      </c>
      <c r="C103" s="139" t="s">
        <v>23</v>
      </c>
      <c r="D103" s="139">
        <v>24</v>
      </c>
      <c r="E103" s="139">
        <v>2318</v>
      </c>
      <c r="F103" s="139">
        <v>3839</v>
      </c>
      <c r="G103" s="139">
        <v>1549</v>
      </c>
      <c r="H103" s="139">
        <v>207</v>
      </c>
      <c r="I103" s="139">
        <v>201</v>
      </c>
      <c r="J103" s="139" t="s">
        <v>23</v>
      </c>
      <c r="K103" s="139" t="s">
        <v>23</v>
      </c>
      <c r="L103" s="139">
        <f t="shared" si="6"/>
        <v>8138</v>
      </c>
      <c r="N103" s="139">
        <v>40676</v>
      </c>
      <c r="O103" s="139">
        <v>39609</v>
      </c>
      <c r="P103" s="139">
        <v>11964</v>
      </c>
      <c r="Q103" s="139">
        <v>1078</v>
      </c>
      <c r="R103" s="139">
        <v>72</v>
      </c>
      <c r="S103" s="139">
        <f t="shared" si="7"/>
        <v>93399</v>
      </c>
    </row>
    <row r="104" spans="1:19">
      <c r="A104" s="99">
        <v>1979</v>
      </c>
      <c r="B104" s="139" t="s">
        <v>23</v>
      </c>
      <c r="C104" s="139" t="s">
        <v>23</v>
      </c>
      <c r="D104" s="139">
        <v>127</v>
      </c>
      <c r="E104" s="139">
        <v>0</v>
      </c>
      <c r="F104" s="139">
        <v>2124</v>
      </c>
      <c r="G104" s="139">
        <v>2527</v>
      </c>
      <c r="H104" s="139">
        <v>14</v>
      </c>
      <c r="I104" s="139">
        <v>158</v>
      </c>
      <c r="J104" s="139" t="s">
        <v>23</v>
      </c>
      <c r="K104" s="139" t="s">
        <v>23</v>
      </c>
      <c r="L104" s="139">
        <f t="shared" si="6"/>
        <v>4950</v>
      </c>
      <c r="N104" s="139" t="s">
        <v>23</v>
      </c>
      <c r="O104" s="139">
        <v>56202</v>
      </c>
      <c r="P104" s="139">
        <v>21696</v>
      </c>
      <c r="Q104" s="139">
        <v>26</v>
      </c>
      <c r="R104" s="139" t="s">
        <v>23</v>
      </c>
      <c r="S104" s="139">
        <f t="shared" si="7"/>
        <v>77924</v>
      </c>
    </row>
    <row r="105" spans="1:19">
      <c r="A105" s="99">
        <v>1980</v>
      </c>
      <c r="B105" s="139" t="s">
        <v>23</v>
      </c>
      <c r="C105" s="139" t="s">
        <v>23</v>
      </c>
      <c r="D105" s="139">
        <v>947</v>
      </c>
      <c r="E105" s="139">
        <v>288</v>
      </c>
      <c r="F105" s="139">
        <v>1588</v>
      </c>
      <c r="G105" s="139">
        <v>4375</v>
      </c>
      <c r="H105" s="139">
        <v>526</v>
      </c>
      <c r="I105" s="139">
        <v>75</v>
      </c>
      <c r="J105" s="139" t="s">
        <v>23</v>
      </c>
      <c r="K105" s="139" t="s">
        <v>23</v>
      </c>
      <c r="L105" s="139">
        <f t="shared" si="6"/>
        <v>7799</v>
      </c>
      <c r="N105" s="139" t="s">
        <v>23</v>
      </c>
      <c r="O105" s="139">
        <v>29532</v>
      </c>
      <c r="P105" s="139">
        <v>23709</v>
      </c>
      <c r="Q105" s="139">
        <v>8</v>
      </c>
      <c r="R105" s="139" t="s">
        <v>23</v>
      </c>
      <c r="S105" s="139">
        <f t="shared" si="7"/>
        <v>53249</v>
      </c>
    </row>
    <row r="106" spans="1:19">
      <c r="A106" s="99">
        <v>1981</v>
      </c>
      <c r="B106" s="139" t="s">
        <v>23</v>
      </c>
      <c r="C106" s="139" t="s">
        <v>23</v>
      </c>
      <c r="D106" s="139">
        <v>4251</v>
      </c>
      <c r="E106" s="139">
        <v>0</v>
      </c>
      <c r="F106" s="139">
        <v>5304</v>
      </c>
      <c r="G106" s="139">
        <v>2381</v>
      </c>
      <c r="H106" s="139">
        <v>200</v>
      </c>
      <c r="I106" s="139">
        <v>170</v>
      </c>
      <c r="J106" s="139" t="s">
        <v>23</v>
      </c>
      <c r="K106" s="139" t="s">
        <v>23</v>
      </c>
      <c r="L106" s="139">
        <f t="shared" si="6"/>
        <v>12306</v>
      </c>
      <c r="N106" s="139" t="s">
        <v>23</v>
      </c>
      <c r="O106" s="139">
        <v>117054</v>
      </c>
      <c r="P106" s="139">
        <v>42020</v>
      </c>
      <c r="Q106" s="139" t="s">
        <v>23</v>
      </c>
      <c r="R106" s="139" t="s">
        <v>23</v>
      </c>
      <c r="S106" s="139">
        <f t="shared" si="7"/>
        <v>159074</v>
      </c>
    </row>
    <row r="107" spans="1:19">
      <c r="A107" s="99">
        <v>1982</v>
      </c>
      <c r="B107" s="139" t="s">
        <v>23</v>
      </c>
      <c r="C107" s="139" t="s">
        <v>23</v>
      </c>
      <c r="D107" s="139">
        <v>2683</v>
      </c>
      <c r="E107" s="139">
        <v>864</v>
      </c>
      <c r="F107" s="139">
        <v>3062</v>
      </c>
      <c r="G107" s="139">
        <v>703</v>
      </c>
      <c r="H107" s="139">
        <v>378</v>
      </c>
      <c r="I107" s="139">
        <v>190</v>
      </c>
      <c r="J107" s="139" t="s">
        <v>23</v>
      </c>
      <c r="K107" s="139" t="s">
        <v>23</v>
      </c>
      <c r="L107" s="139">
        <f t="shared" si="6"/>
        <v>7880</v>
      </c>
      <c r="N107" s="139" t="s">
        <v>23</v>
      </c>
      <c r="O107" s="139">
        <v>113632</v>
      </c>
      <c r="P107" s="139" t="s">
        <v>23</v>
      </c>
      <c r="Q107" s="139" t="s">
        <v>23</v>
      </c>
      <c r="R107" s="139" t="s">
        <v>23</v>
      </c>
      <c r="S107" s="139">
        <f t="shared" si="7"/>
        <v>113632</v>
      </c>
    </row>
    <row r="108" spans="1:19">
      <c r="A108" s="99">
        <v>1983</v>
      </c>
      <c r="B108" s="139" t="s">
        <v>23</v>
      </c>
      <c r="C108" s="139" t="s">
        <v>23</v>
      </c>
      <c r="D108" s="139">
        <v>430</v>
      </c>
      <c r="E108" s="139">
        <v>264</v>
      </c>
      <c r="F108" s="139">
        <v>1545</v>
      </c>
      <c r="G108" s="139">
        <v>1131</v>
      </c>
      <c r="H108" s="139">
        <v>395</v>
      </c>
      <c r="I108" s="139">
        <v>379</v>
      </c>
      <c r="J108" s="139">
        <v>2</v>
      </c>
      <c r="K108" s="139" t="s">
        <v>23</v>
      </c>
      <c r="L108" s="139">
        <f t="shared" si="6"/>
        <v>4146</v>
      </c>
      <c r="N108" s="139" t="s">
        <v>23</v>
      </c>
      <c r="O108" s="139">
        <v>43161</v>
      </c>
      <c r="P108" s="139">
        <v>18324</v>
      </c>
      <c r="Q108" s="139">
        <v>1637</v>
      </c>
      <c r="R108" s="139" t="s">
        <v>23</v>
      </c>
      <c r="S108" s="139">
        <f t="shared" si="7"/>
        <v>63122</v>
      </c>
    </row>
    <row r="109" spans="1:19">
      <c r="A109" s="99">
        <v>1984</v>
      </c>
      <c r="B109" s="139" t="s">
        <v>23</v>
      </c>
      <c r="C109" s="139" t="s">
        <v>23</v>
      </c>
      <c r="D109" s="139">
        <v>327</v>
      </c>
      <c r="E109" s="139">
        <v>55</v>
      </c>
      <c r="F109" s="139">
        <v>174</v>
      </c>
      <c r="G109" s="139">
        <v>1143</v>
      </c>
      <c r="H109" s="139">
        <v>71</v>
      </c>
      <c r="I109" s="139">
        <v>85</v>
      </c>
      <c r="J109" s="139">
        <v>11</v>
      </c>
      <c r="K109" s="139" t="s">
        <v>23</v>
      </c>
      <c r="L109" s="139">
        <f t="shared" si="6"/>
        <v>1866</v>
      </c>
      <c r="N109" s="139" t="s">
        <v>23</v>
      </c>
      <c r="O109" s="139" t="s">
        <v>23</v>
      </c>
      <c r="P109" s="139" t="s">
        <v>23</v>
      </c>
      <c r="Q109" s="139" t="s">
        <v>23</v>
      </c>
      <c r="R109" s="139" t="s">
        <v>23</v>
      </c>
      <c r="S109" s="139" t="s">
        <v>23</v>
      </c>
    </row>
    <row r="110" spans="1:19">
      <c r="A110" s="99">
        <v>1985</v>
      </c>
      <c r="B110" s="139" t="s">
        <v>23</v>
      </c>
      <c r="C110" s="139" t="s">
        <v>23</v>
      </c>
      <c r="D110" s="139">
        <v>42</v>
      </c>
      <c r="E110" s="139">
        <v>231</v>
      </c>
      <c r="F110" s="139">
        <v>1814</v>
      </c>
      <c r="G110" s="139">
        <v>690</v>
      </c>
      <c r="H110" s="139">
        <v>362</v>
      </c>
      <c r="I110" s="139">
        <v>170</v>
      </c>
      <c r="J110" s="139" t="s">
        <v>23</v>
      </c>
      <c r="K110" s="139" t="s">
        <v>23</v>
      </c>
      <c r="L110" s="139">
        <f t="shared" si="6"/>
        <v>3309</v>
      </c>
      <c r="N110" s="139" t="s">
        <v>23</v>
      </c>
      <c r="O110" s="139">
        <v>1479</v>
      </c>
      <c r="P110" s="139">
        <v>15</v>
      </c>
      <c r="Q110" s="139" t="s">
        <v>23</v>
      </c>
      <c r="R110" s="139" t="s">
        <v>23</v>
      </c>
      <c r="S110" s="139">
        <f t="shared" si="7"/>
        <v>1494</v>
      </c>
    </row>
    <row r="111" spans="1:19">
      <c r="A111" s="95">
        <v>1986</v>
      </c>
      <c r="B111" s="139" t="s">
        <v>23</v>
      </c>
      <c r="C111" s="139" t="s">
        <v>23</v>
      </c>
      <c r="D111" s="139">
        <v>220</v>
      </c>
      <c r="E111" s="139">
        <v>52</v>
      </c>
      <c r="F111" s="139">
        <v>2750</v>
      </c>
      <c r="G111" s="139">
        <v>3076</v>
      </c>
      <c r="H111" s="139">
        <v>6462</v>
      </c>
      <c r="I111" s="139">
        <v>1517</v>
      </c>
      <c r="J111" s="139">
        <v>11</v>
      </c>
      <c r="K111" s="139" t="s">
        <v>23</v>
      </c>
      <c r="L111" s="139">
        <f t="shared" si="6"/>
        <v>14088</v>
      </c>
      <c r="N111" s="139" t="s">
        <v>23</v>
      </c>
      <c r="O111" s="139">
        <v>96733</v>
      </c>
      <c r="P111" s="139" t="s">
        <v>23</v>
      </c>
      <c r="Q111" s="139" t="s">
        <v>23</v>
      </c>
      <c r="R111" s="139" t="s">
        <v>23</v>
      </c>
      <c r="S111" s="139">
        <f t="shared" si="7"/>
        <v>96733</v>
      </c>
    </row>
    <row r="112" spans="1:19">
      <c r="A112" s="95">
        <v>1987</v>
      </c>
      <c r="B112" s="139" t="s">
        <v>23</v>
      </c>
      <c r="C112" s="139" t="s">
        <v>23</v>
      </c>
      <c r="D112" s="139">
        <v>1803</v>
      </c>
      <c r="E112" s="139">
        <v>1611</v>
      </c>
      <c r="F112" s="139">
        <v>16109</v>
      </c>
      <c r="G112" s="139">
        <v>11700</v>
      </c>
      <c r="H112" s="139">
        <v>6938</v>
      </c>
      <c r="I112" s="139">
        <v>3221</v>
      </c>
      <c r="J112" s="139" t="s">
        <v>23</v>
      </c>
      <c r="K112" s="139" t="s">
        <v>23</v>
      </c>
      <c r="L112" s="139">
        <f t="shared" si="6"/>
        <v>41382</v>
      </c>
      <c r="N112" s="139" t="s">
        <v>23</v>
      </c>
      <c r="O112" s="139">
        <v>49560</v>
      </c>
      <c r="P112" s="139">
        <v>19757</v>
      </c>
      <c r="Q112" s="139">
        <v>5397</v>
      </c>
      <c r="R112" s="139" t="s">
        <v>23</v>
      </c>
      <c r="S112" s="139">
        <f t="shared" si="7"/>
        <v>74714</v>
      </c>
    </row>
    <row r="113" spans="1:19">
      <c r="A113" s="95">
        <v>1988</v>
      </c>
      <c r="B113" s="139" t="s">
        <v>23</v>
      </c>
      <c r="C113" s="139" t="s">
        <v>23</v>
      </c>
      <c r="D113" s="139">
        <v>899</v>
      </c>
      <c r="E113" s="139">
        <v>5690</v>
      </c>
      <c r="F113" s="139">
        <v>9513</v>
      </c>
      <c r="G113" s="139">
        <v>8826</v>
      </c>
      <c r="H113" s="139">
        <v>5049</v>
      </c>
      <c r="I113" s="139">
        <v>2785</v>
      </c>
      <c r="J113" s="139" t="s">
        <v>23</v>
      </c>
      <c r="K113" s="139" t="s">
        <v>23</v>
      </c>
      <c r="L113" s="139">
        <f t="shared" si="6"/>
        <v>32762</v>
      </c>
      <c r="N113" s="139" t="s">
        <v>23</v>
      </c>
      <c r="O113" s="139">
        <v>124175</v>
      </c>
      <c r="P113" s="139">
        <v>48109</v>
      </c>
      <c r="Q113" s="139" t="s">
        <v>23</v>
      </c>
      <c r="R113" s="139" t="s">
        <v>23</v>
      </c>
      <c r="S113" s="139">
        <f t="shared" si="7"/>
        <v>172284</v>
      </c>
    </row>
    <row r="114" spans="1:19">
      <c r="A114" s="95">
        <v>1989</v>
      </c>
      <c r="B114" s="139" t="s">
        <v>23</v>
      </c>
      <c r="C114" s="139" t="s">
        <v>23</v>
      </c>
      <c r="D114" s="139">
        <v>5381</v>
      </c>
      <c r="E114" s="139">
        <v>7832</v>
      </c>
      <c r="F114" s="139">
        <v>6824</v>
      </c>
      <c r="G114" s="139">
        <v>4345</v>
      </c>
      <c r="H114" s="139">
        <v>4503</v>
      </c>
      <c r="I114" s="139">
        <v>1544</v>
      </c>
      <c r="J114" s="139" t="s">
        <v>23</v>
      </c>
      <c r="K114" s="139" t="s">
        <v>23</v>
      </c>
      <c r="L114" s="139">
        <f t="shared" si="6"/>
        <v>30429</v>
      </c>
      <c r="N114" s="139" t="s">
        <v>23</v>
      </c>
      <c r="O114" s="139">
        <v>117119</v>
      </c>
      <c r="P114" s="139">
        <v>19151</v>
      </c>
      <c r="Q114" s="139" t="s">
        <v>23</v>
      </c>
      <c r="R114" s="139" t="s">
        <v>23</v>
      </c>
      <c r="S114" s="139">
        <f t="shared" si="7"/>
        <v>136270</v>
      </c>
    </row>
    <row r="115" spans="1:19">
      <c r="A115" s="95">
        <v>1990</v>
      </c>
      <c r="B115" s="139" t="s">
        <v>23</v>
      </c>
      <c r="C115" s="139" t="s">
        <v>23</v>
      </c>
      <c r="D115" s="139">
        <v>422</v>
      </c>
      <c r="E115" s="139">
        <v>551</v>
      </c>
      <c r="F115" s="139">
        <v>5451</v>
      </c>
      <c r="G115" s="139">
        <v>3112</v>
      </c>
      <c r="H115" s="139">
        <v>1777</v>
      </c>
      <c r="I115" s="139">
        <v>1234</v>
      </c>
      <c r="J115" s="139" t="s">
        <v>23</v>
      </c>
      <c r="K115" s="139" t="s">
        <v>23</v>
      </c>
      <c r="L115" s="139">
        <f t="shared" si="6"/>
        <v>12547</v>
      </c>
      <c r="N115" s="139" t="s">
        <v>23</v>
      </c>
      <c r="O115" s="139">
        <v>23162</v>
      </c>
      <c r="P115" s="139">
        <v>30129</v>
      </c>
      <c r="Q115" s="139" t="s">
        <v>23</v>
      </c>
      <c r="R115" s="139" t="s">
        <v>23</v>
      </c>
      <c r="S115" s="139">
        <f t="shared" si="7"/>
        <v>53291</v>
      </c>
    </row>
    <row r="116" spans="1:19">
      <c r="A116" s="95">
        <v>1991</v>
      </c>
      <c r="B116" s="139" t="s">
        <v>23</v>
      </c>
      <c r="C116" s="139" t="s">
        <v>23</v>
      </c>
      <c r="D116" s="139">
        <v>224</v>
      </c>
      <c r="E116" s="139">
        <v>175</v>
      </c>
      <c r="F116" s="139">
        <v>3104</v>
      </c>
      <c r="G116" s="139">
        <v>1923</v>
      </c>
      <c r="H116" s="139">
        <v>2059</v>
      </c>
      <c r="I116" s="139">
        <v>1989</v>
      </c>
      <c r="J116" s="139" t="s">
        <v>23</v>
      </c>
      <c r="K116" s="139" t="s">
        <v>23</v>
      </c>
      <c r="L116" s="139">
        <f t="shared" si="6"/>
        <v>9474</v>
      </c>
      <c r="N116" s="139" t="s">
        <v>23</v>
      </c>
      <c r="O116" s="139">
        <v>89936</v>
      </c>
      <c r="P116" s="139" t="s">
        <v>23</v>
      </c>
      <c r="Q116" s="139" t="s">
        <v>23</v>
      </c>
      <c r="R116" s="139" t="s">
        <v>23</v>
      </c>
      <c r="S116" s="139">
        <f t="shared" si="7"/>
        <v>89936</v>
      </c>
    </row>
    <row r="117" spans="1:19">
      <c r="A117" s="95">
        <v>1992</v>
      </c>
      <c r="B117" s="139" t="s">
        <v>23</v>
      </c>
      <c r="C117" s="139" t="s">
        <v>23</v>
      </c>
      <c r="D117" s="139">
        <v>377</v>
      </c>
      <c r="E117" s="139" t="s">
        <v>23</v>
      </c>
      <c r="F117" s="139">
        <v>422</v>
      </c>
      <c r="G117" s="139">
        <v>2171</v>
      </c>
      <c r="H117" s="139">
        <v>1859</v>
      </c>
      <c r="I117" s="139">
        <v>2436</v>
      </c>
      <c r="J117" s="139" t="s">
        <v>23</v>
      </c>
      <c r="K117" s="139" t="s">
        <v>23</v>
      </c>
      <c r="L117" s="139">
        <f t="shared" si="6"/>
        <v>7265</v>
      </c>
      <c r="N117" s="139" t="s">
        <v>23</v>
      </c>
      <c r="O117" s="139">
        <v>797</v>
      </c>
      <c r="P117" s="139">
        <v>7065</v>
      </c>
      <c r="Q117" s="139" t="s">
        <v>23</v>
      </c>
      <c r="R117" s="139">
        <v>12</v>
      </c>
      <c r="S117" s="139">
        <f t="shared" si="7"/>
        <v>7874</v>
      </c>
    </row>
    <row r="118" spans="1:19">
      <c r="A118" s="95">
        <v>1993</v>
      </c>
      <c r="B118" s="139" t="s">
        <v>23</v>
      </c>
      <c r="C118" s="139" t="s">
        <v>23</v>
      </c>
      <c r="D118" s="139">
        <v>468</v>
      </c>
      <c r="E118" s="139">
        <v>199</v>
      </c>
      <c r="F118" s="139">
        <v>778</v>
      </c>
      <c r="G118" s="139">
        <v>642</v>
      </c>
      <c r="H118" s="139">
        <v>2641</v>
      </c>
      <c r="I118" s="139">
        <v>1616</v>
      </c>
      <c r="J118" s="139" t="s">
        <v>23</v>
      </c>
      <c r="K118" s="139" t="s">
        <v>23</v>
      </c>
      <c r="L118" s="139">
        <f t="shared" si="6"/>
        <v>6344</v>
      </c>
      <c r="N118" s="139" t="s">
        <v>23</v>
      </c>
      <c r="O118" s="139" t="s">
        <v>23</v>
      </c>
      <c r="P118" s="139" t="s">
        <v>23</v>
      </c>
      <c r="Q118" s="139" t="s">
        <v>23</v>
      </c>
      <c r="R118" s="139" t="s">
        <v>23</v>
      </c>
      <c r="S118" s="139" t="s">
        <v>23</v>
      </c>
    </row>
    <row r="119" spans="1:19">
      <c r="A119" s="95">
        <v>1994</v>
      </c>
      <c r="B119" s="139" t="s">
        <v>23</v>
      </c>
      <c r="C119" s="139" t="s">
        <v>23</v>
      </c>
      <c r="D119" s="139">
        <v>98</v>
      </c>
      <c r="E119" s="139">
        <v>282</v>
      </c>
      <c r="F119" s="139" t="s">
        <v>23</v>
      </c>
      <c r="G119" s="139" t="s">
        <v>23</v>
      </c>
      <c r="H119" s="139" t="s">
        <v>23</v>
      </c>
      <c r="I119" s="139">
        <v>1266</v>
      </c>
      <c r="J119" s="139">
        <v>7</v>
      </c>
      <c r="K119" s="139" t="s">
        <v>23</v>
      </c>
      <c r="L119" s="139">
        <f t="shared" si="6"/>
        <v>1653</v>
      </c>
      <c r="N119" s="139" t="s">
        <v>23</v>
      </c>
      <c r="O119" s="139" t="s">
        <v>23</v>
      </c>
      <c r="P119" s="139" t="s">
        <v>23</v>
      </c>
      <c r="Q119" s="139" t="s">
        <v>23</v>
      </c>
      <c r="R119" s="139" t="s">
        <v>23</v>
      </c>
      <c r="S119" s="139" t="s">
        <v>23</v>
      </c>
    </row>
    <row r="120" spans="1:19">
      <c r="A120" s="95">
        <v>1995</v>
      </c>
      <c r="B120" s="139" t="s">
        <v>23</v>
      </c>
      <c r="C120" s="139" t="s">
        <v>23</v>
      </c>
      <c r="D120" s="139">
        <v>364</v>
      </c>
      <c r="E120" s="139">
        <v>842</v>
      </c>
      <c r="F120" s="139" t="s">
        <v>23</v>
      </c>
      <c r="G120" s="139">
        <v>6636</v>
      </c>
      <c r="H120" s="139">
        <v>1130</v>
      </c>
      <c r="I120" s="139">
        <v>726</v>
      </c>
      <c r="J120" s="139" t="s">
        <v>23</v>
      </c>
      <c r="K120" s="139" t="s">
        <v>23</v>
      </c>
      <c r="L120" s="139">
        <f t="shared" si="6"/>
        <v>9698</v>
      </c>
      <c r="N120" s="139" t="s">
        <v>23</v>
      </c>
      <c r="O120" s="139" t="s">
        <v>23</v>
      </c>
      <c r="P120" s="139" t="s">
        <v>23</v>
      </c>
      <c r="Q120" s="139" t="s">
        <v>23</v>
      </c>
      <c r="R120" s="139" t="s">
        <v>23</v>
      </c>
      <c r="S120" s="139" t="s">
        <v>23</v>
      </c>
    </row>
    <row r="121" spans="1:19">
      <c r="A121" s="95">
        <v>1996</v>
      </c>
      <c r="B121" s="139" t="s">
        <v>23</v>
      </c>
      <c r="C121" s="139" t="s">
        <v>23</v>
      </c>
      <c r="D121" s="139">
        <v>719</v>
      </c>
      <c r="E121" s="139">
        <v>8565</v>
      </c>
      <c r="F121" s="139" t="s">
        <v>23</v>
      </c>
      <c r="G121" s="139">
        <v>1088</v>
      </c>
      <c r="H121" s="139">
        <v>2062</v>
      </c>
      <c r="I121" s="139">
        <v>702</v>
      </c>
      <c r="J121" s="139">
        <v>0</v>
      </c>
      <c r="K121" s="139" t="s">
        <v>23</v>
      </c>
      <c r="L121" s="139">
        <f t="shared" si="6"/>
        <v>13136</v>
      </c>
      <c r="N121" s="139" t="s">
        <v>23</v>
      </c>
      <c r="O121" s="139" t="s">
        <v>23</v>
      </c>
      <c r="P121" s="139" t="s">
        <v>23</v>
      </c>
      <c r="Q121" s="139" t="s">
        <v>23</v>
      </c>
      <c r="R121" s="139" t="s">
        <v>23</v>
      </c>
      <c r="S121" s="139" t="s">
        <v>23</v>
      </c>
    </row>
    <row r="122" spans="1:19">
      <c r="A122" s="95">
        <v>1997</v>
      </c>
      <c r="B122" s="139" t="s">
        <v>23</v>
      </c>
      <c r="C122" s="139">
        <v>41</v>
      </c>
      <c r="D122" s="139">
        <v>244</v>
      </c>
      <c r="E122" s="139">
        <v>567</v>
      </c>
      <c r="F122" s="139" t="s">
        <v>23</v>
      </c>
      <c r="G122" s="139">
        <v>292</v>
      </c>
      <c r="H122" s="139">
        <v>710</v>
      </c>
      <c r="I122" s="139">
        <v>440</v>
      </c>
      <c r="J122" s="139">
        <v>37</v>
      </c>
      <c r="K122" s="139" t="s">
        <v>23</v>
      </c>
      <c r="L122" s="139">
        <f t="shared" si="6"/>
        <v>2331</v>
      </c>
      <c r="N122" s="139" t="s">
        <v>23</v>
      </c>
      <c r="O122" s="139" t="s">
        <v>23</v>
      </c>
      <c r="P122" s="139" t="s">
        <v>23</v>
      </c>
      <c r="Q122" s="139" t="s">
        <v>23</v>
      </c>
      <c r="R122" s="139" t="s">
        <v>23</v>
      </c>
      <c r="S122" s="139" t="s">
        <v>23</v>
      </c>
    </row>
    <row r="123" spans="1:19">
      <c r="A123" s="95">
        <v>1998</v>
      </c>
      <c r="B123" s="139" t="s">
        <v>23</v>
      </c>
      <c r="C123" s="139">
        <v>165</v>
      </c>
      <c r="D123" s="139">
        <v>423</v>
      </c>
      <c r="E123" s="139">
        <v>809</v>
      </c>
      <c r="F123" s="139" t="s">
        <v>23</v>
      </c>
      <c r="G123" s="139">
        <v>2181</v>
      </c>
      <c r="H123" s="139">
        <v>2160</v>
      </c>
      <c r="I123" s="139">
        <v>784</v>
      </c>
      <c r="J123" s="139">
        <v>42</v>
      </c>
      <c r="K123" s="139" t="s">
        <v>23</v>
      </c>
      <c r="L123" s="139">
        <f t="shared" si="6"/>
        <v>6564</v>
      </c>
      <c r="N123" s="139" t="s">
        <v>23</v>
      </c>
      <c r="O123" s="139" t="s">
        <v>23</v>
      </c>
      <c r="P123" s="139" t="s">
        <v>23</v>
      </c>
      <c r="Q123" s="139" t="s">
        <v>23</v>
      </c>
      <c r="R123" s="139" t="s">
        <v>23</v>
      </c>
      <c r="S123" s="139" t="s">
        <v>23</v>
      </c>
    </row>
    <row r="124" spans="1:19">
      <c r="A124" s="95">
        <v>1999</v>
      </c>
      <c r="B124" s="139" t="s">
        <v>23</v>
      </c>
      <c r="C124" s="139">
        <v>1</v>
      </c>
      <c r="D124" s="139">
        <v>259</v>
      </c>
      <c r="E124" s="139">
        <v>555</v>
      </c>
      <c r="F124" s="139">
        <v>171</v>
      </c>
      <c r="G124" s="139">
        <v>963</v>
      </c>
      <c r="H124" s="139">
        <v>624</v>
      </c>
      <c r="I124" s="139">
        <v>219</v>
      </c>
      <c r="J124" s="139">
        <v>12</v>
      </c>
      <c r="K124" s="139" t="s">
        <v>23</v>
      </c>
      <c r="L124" s="139">
        <f t="shared" si="6"/>
        <v>2804</v>
      </c>
      <c r="N124" s="139" t="s">
        <v>23</v>
      </c>
      <c r="O124" s="139" t="s">
        <v>23</v>
      </c>
      <c r="P124" s="139" t="s">
        <v>23</v>
      </c>
      <c r="Q124" s="139" t="s">
        <v>23</v>
      </c>
      <c r="R124" s="139" t="s">
        <v>23</v>
      </c>
      <c r="S124" s="139" t="s">
        <v>23</v>
      </c>
    </row>
    <row r="125" spans="1:19">
      <c r="A125" s="95">
        <v>2000</v>
      </c>
      <c r="B125" s="139" t="s">
        <v>23</v>
      </c>
      <c r="C125" s="139">
        <v>1</v>
      </c>
      <c r="D125" s="139">
        <v>170</v>
      </c>
      <c r="E125" s="139">
        <v>3817</v>
      </c>
      <c r="F125" s="139">
        <v>569</v>
      </c>
      <c r="G125" s="139">
        <v>5887</v>
      </c>
      <c r="H125" s="139">
        <v>1511</v>
      </c>
      <c r="I125" s="139">
        <v>4151</v>
      </c>
      <c r="J125" s="139">
        <v>14</v>
      </c>
      <c r="K125" s="139" t="s">
        <v>23</v>
      </c>
      <c r="L125" s="139">
        <f t="shared" si="6"/>
        <v>16120</v>
      </c>
      <c r="N125" s="139" t="s">
        <v>23</v>
      </c>
      <c r="O125" s="139" t="s">
        <v>23</v>
      </c>
      <c r="P125" s="139" t="s">
        <v>23</v>
      </c>
      <c r="Q125" s="139" t="s">
        <v>23</v>
      </c>
      <c r="R125" s="139" t="s">
        <v>23</v>
      </c>
      <c r="S125" s="139" t="s">
        <v>23</v>
      </c>
    </row>
    <row r="126" spans="1:19">
      <c r="A126" s="95">
        <v>2001</v>
      </c>
      <c r="B126" s="139" t="s">
        <v>23</v>
      </c>
      <c r="C126" s="139">
        <v>791</v>
      </c>
      <c r="D126" s="139">
        <v>927</v>
      </c>
      <c r="E126" s="139">
        <v>4799</v>
      </c>
      <c r="F126" s="139">
        <v>7629</v>
      </c>
      <c r="G126" s="139">
        <v>6776</v>
      </c>
      <c r="H126" s="139">
        <v>3968</v>
      </c>
      <c r="I126" s="139">
        <v>1425</v>
      </c>
      <c r="J126" s="139">
        <v>42</v>
      </c>
      <c r="K126" s="139" t="s">
        <v>23</v>
      </c>
      <c r="L126" s="139">
        <f t="shared" si="6"/>
        <v>26357</v>
      </c>
      <c r="N126" s="139" t="s">
        <v>23</v>
      </c>
      <c r="O126" s="139" t="s">
        <v>23</v>
      </c>
      <c r="P126" s="139" t="s">
        <v>23</v>
      </c>
      <c r="Q126" s="139" t="s">
        <v>23</v>
      </c>
      <c r="R126" s="139" t="s">
        <v>23</v>
      </c>
      <c r="S126" s="139" t="s">
        <v>23</v>
      </c>
    </row>
    <row r="127" spans="1:19">
      <c r="A127" s="95">
        <v>2002</v>
      </c>
      <c r="B127" s="139">
        <v>131</v>
      </c>
      <c r="C127" s="139">
        <v>98</v>
      </c>
      <c r="D127" s="139">
        <v>1270</v>
      </c>
      <c r="E127" s="139">
        <v>4684</v>
      </c>
      <c r="F127" s="139">
        <v>1671</v>
      </c>
      <c r="G127" s="139">
        <v>5361</v>
      </c>
      <c r="H127" s="139">
        <v>6983</v>
      </c>
      <c r="I127" s="139">
        <v>10128</v>
      </c>
      <c r="J127" s="139">
        <v>5</v>
      </c>
      <c r="K127" s="139" t="s">
        <v>23</v>
      </c>
      <c r="L127" s="139">
        <f t="shared" si="6"/>
        <v>30331</v>
      </c>
      <c r="N127" s="139" t="s">
        <v>23</v>
      </c>
      <c r="O127" s="139" t="s">
        <v>23</v>
      </c>
      <c r="P127" s="139" t="s">
        <v>23</v>
      </c>
      <c r="Q127" s="139" t="s">
        <v>23</v>
      </c>
      <c r="R127" s="139" t="s">
        <v>23</v>
      </c>
      <c r="S127" s="139" t="s">
        <v>23</v>
      </c>
    </row>
    <row r="128" spans="1:19">
      <c r="A128" s="95">
        <v>2003</v>
      </c>
      <c r="B128" s="139">
        <v>335</v>
      </c>
      <c r="C128" s="139">
        <v>84</v>
      </c>
      <c r="D128" s="139">
        <v>13970</v>
      </c>
      <c r="E128" s="139">
        <v>11718</v>
      </c>
      <c r="F128" s="139">
        <v>1205</v>
      </c>
      <c r="G128" s="139">
        <v>1451</v>
      </c>
      <c r="H128" s="139">
        <v>2649</v>
      </c>
      <c r="I128" s="139">
        <v>2071</v>
      </c>
      <c r="J128" s="139">
        <v>33</v>
      </c>
      <c r="K128" s="139" t="s">
        <v>23</v>
      </c>
      <c r="L128" s="139">
        <f t="shared" si="6"/>
        <v>33516</v>
      </c>
      <c r="N128" s="139" t="s">
        <v>23</v>
      </c>
      <c r="O128" s="139" t="s">
        <v>23</v>
      </c>
      <c r="P128" s="139" t="s">
        <v>23</v>
      </c>
      <c r="Q128" s="139" t="s">
        <v>23</v>
      </c>
      <c r="R128" s="139" t="s">
        <v>23</v>
      </c>
      <c r="S128" s="139" t="s">
        <v>23</v>
      </c>
    </row>
    <row r="129" spans="1:19">
      <c r="A129" s="95">
        <v>2004</v>
      </c>
      <c r="B129" s="139">
        <v>31</v>
      </c>
      <c r="C129" s="139">
        <v>2967</v>
      </c>
      <c r="D129" s="139">
        <v>3373</v>
      </c>
      <c r="E129" s="139">
        <v>562</v>
      </c>
      <c r="F129" s="139">
        <v>332</v>
      </c>
      <c r="G129" s="139">
        <v>457</v>
      </c>
      <c r="H129" s="139">
        <v>1001</v>
      </c>
      <c r="I129" s="139">
        <v>882</v>
      </c>
      <c r="J129" s="139">
        <v>72</v>
      </c>
      <c r="K129" s="139" t="s">
        <v>23</v>
      </c>
      <c r="L129" s="139">
        <f t="shared" si="6"/>
        <v>9677</v>
      </c>
      <c r="N129" s="139" t="s">
        <v>23</v>
      </c>
      <c r="O129" s="139" t="s">
        <v>23</v>
      </c>
      <c r="P129" s="139" t="s">
        <v>23</v>
      </c>
      <c r="Q129" s="139" t="s">
        <v>23</v>
      </c>
      <c r="R129" s="139" t="s">
        <v>23</v>
      </c>
      <c r="S129" s="139" t="s">
        <v>23</v>
      </c>
    </row>
    <row r="130" spans="1:19">
      <c r="A130" s="95">
        <v>2005</v>
      </c>
      <c r="B130" s="139">
        <v>7027</v>
      </c>
      <c r="C130" s="139">
        <v>498</v>
      </c>
      <c r="D130" s="139">
        <v>6451</v>
      </c>
      <c r="E130" s="139">
        <v>10655</v>
      </c>
      <c r="F130" s="139" t="s">
        <v>23</v>
      </c>
      <c r="G130" s="139" t="s">
        <v>23</v>
      </c>
      <c r="H130" s="139">
        <v>2480</v>
      </c>
      <c r="I130" s="139">
        <v>866</v>
      </c>
      <c r="J130" s="139">
        <v>3</v>
      </c>
      <c r="K130" s="139" t="s">
        <v>23</v>
      </c>
      <c r="L130" s="139">
        <f t="shared" si="6"/>
        <v>27980</v>
      </c>
      <c r="N130" s="139" t="s">
        <v>23</v>
      </c>
      <c r="O130" s="139" t="s">
        <v>23</v>
      </c>
      <c r="P130" s="139" t="s">
        <v>23</v>
      </c>
      <c r="Q130" s="139" t="s">
        <v>23</v>
      </c>
      <c r="R130" s="139" t="s">
        <v>23</v>
      </c>
      <c r="S130" s="139" t="s">
        <v>23</v>
      </c>
    </row>
    <row r="131" spans="1:19">
      <c r="A131" s="95">
        <v>2006</v>
      </c>
      <c r="B131" s="135" t="s">
        <v>23</v>
      </c>
      <c r="C131" s="135" t="s">
        <v>23</v>
      </c>
      <c r="D131" s="135" t="s">
        <v>23</v>
      </c>
      <c r="E131" s="140">
        <v>1153</v>
      </c>
      <c r="F131" s="140">
        <v>60</v>
      </c>
      <c r="G131" s="140">
        <v>39</v>
      </c>
      <c r="H131" s="140">
        <v>450</v>
      </c>
      <c r="I131" s="140">
        <v>959</v>
      </c>
      <c r="J131" s="140">
        <v>95</v>
      </c>
      <c r="K131" s="135" t="s">
        <v>23</v>
      </c>
      <c r="L131" s="139">
        <f t="shared" si="6"/>
        <v>2756</v>
      </c>
      <c r="N131" s="139" t="s">
        <v>23</v>
      </c>
      <c r="O131" s="139" t="s">
        <v>23</v>
      </c>
      <c r="P131" s="139" t="s">
        <v>23</v>
      </c>
      <c r="Q131" s="139" t="s">
        <v>23</v>
      </c>
      <c r="R131" s="139" t="s">
        <v>23</v>
      </c>
      <c r="S131" s="139" t="s">
        <v>23</v>
      </c>
    </row>
    <row r="132" spans="1:19">
      <c r="A132" s="95">
        <v>2007</v>
      </c>
      <c r="B132" s="135" t="s">
        <v>23</v>
      </c>
      <c r="C132" s="135">
        <v>14</v>
      </c>
      <c r="D132" s="135">
        <v>2757</v>
      </c>
      <c r="E132" s="140">
        <v>922</v>
      </c>
      <c r="F132" s="140">
        <v>6</v>
      </c>
      <c r="G132" s="140">
        <v>59</v>
      </c>
      <c r="H132" s="140">
        <v>136</v>
      </c>
      <c r="I132" s="140">
        <v>237</v>
      </c>
      <c r="J132" s="140">
        <v>47</v>
      </c>
      <c r="K132" s="135" t="s">
        <v>23</v>
      </c>
      <c r="L132" s="139">
        <f t="shared" si="6"/>
        <v>4178</v>
      </c>
      <c r="N132" s="139" t="s">
        <v>23</v>
      </c>
      <c r="O132" s="139" t="s">
        <v>23</v>
      </c>
      <c r="P132" s="139">
        <v>1195</v>
      </c>
      <c r="Q132" s="139">
        <v>84</v>
      </c>
      <c r="R132" s="139" t="s">
        <v>23</v>
      </c>
      <c r="S132" s="139">
        <f>SUM(N132:R132)</f>
        <v>1279</v>
      </c>
    </row>
    <row r="133" spans="1:19">
      <c r="A133" s="95">
        <v>2008</v>
      </c>
      <c r="B133" s="135" t="s">
        <v>23</v>
      </c>
      <c r="C133" s="135" t="s">
        <v>23</v>
      </c>
      <c r="D133" s="135" t="s">
        <v>23</v>
      </c>
      <c r="E133" s="135" t="s">
        <v>23</v>
      </c>
      <c r="F133" s="135" t="s">
        <v>23</v>
      </c>
      <c r="G133" s="135" t="s">
        <v>23</v>
      </c>
      <c r="H133" s="135">
        <v>64</v>
      </c>
      <c r="I133" s="135">
        <v>12</v>
      </c>
      <c r="J133" s="136" t="s">
        <v>106</v>
      </c>
      <c r="K133" s="135" t="s">
        <v>23</v>
      </c>
      <c r="L133" s="139">
        <f t="shared" si="6"/>
        <v>76</v>
      </c>
      <c r="N133" s="139" t="s">
        <v>23</v>
      </c>
      <c r="O133" s="139" t="s">
        <v>23</v>
      </c>
      <c r="P133" s="139" t="s">
        <v>23</v>
      </c>
      <c r="Q133" s="139" t="s">
        <v>23</v>
      </c>
      <c r="R133" s="139" t="s">
        <v>23</v>
      </c>
      <c r="S133" s="139" t="s">
        <v>23</v>
      </c>
    </row>
    <row r="134" spans="1:19">
      <c r="A134" s="95">
        <v>2009</v>
      </c>
      <c r="B134" s="135" t="s">
        <v>23</v>
      </c>
      <c r="C134" s="135" t="s">
        <v>23</v>
      </c>
      <c r="D134" s="135" t="s">
        <v>23</v>
      </c>
      <c r="E134" s="135" t="s">
        <v>23</v>
      </c>
      <c r="F134" s="135" t="s">
        <v>23</v>
      </c>
      <c r="G134" s="135" t="s">
        <v>23</v>
      </c>
      <c r="H134" s="135">
        <f>18+28+17+42</f>
        <v>105</v>
      </c>
      <c r="I134" s="135">
        <v>39</v>
      </c>
      <c r="J134" s="135" t="s">
        <v>23</v>
      </c>
      <c r="K134" s="135" t="s">
        <v>23</v>
      </c>
      <c r="L134" s="139">
        <f t="shared" si="6"/>
        <v>144</v>
      </c>
      <c r="N134" s="139" t="s">
        <v>23</v>
      </c>
      <c r="O134" s="139" t="s">
        <v>23</v>
      </c>
      <c r="P134" s="139" t="s">
        <v>23</v>
      </c>
      <c r="Q134" s="139">
        <v>3490</v>
      </c>
      <c r="R134" s="139" t="s">
        <v>23</v>
      </c>
      <c r="S134" s="139">
        <f>SUM(N134:R134)</f>
        <v>3490</v>
      </c>
    </row>
    <row r="135" spans="1:19">
      <c r="A135" s="95">
        <v>2010</v>
      </c>
      <c r="B135" s="135" t="s">
        <v>23</v>
      </c>
      <c r="C135" s="135" t="s">
        <v>23</v>
      </c>
      <c r="D135" s="135">
        <f>29+47+1+31</f>
        <v>108</v>
      </c>
      <c r="E135" s="135">
        <f>7+66+88+2305</f>
        <v>2466</v>
      </c>
      <c r="F135" s="135">
        <f>827+85+5+9+5</f>
        <v>931</v>
      </c>
      <c r="G135" s="135">
        <f>37+10+17+8</f>
        <v>72</v>
      </c>
      <c r="H135" s="135">
        <v>56</v>
      </c>
      <c r="I135" s="135">
        <f>1+11+3</f>
        <v>15</v>
      </c>
      <c r="J135" s="135" t="s">
        <v>23</v>
      </c>
      <c r="K135" s="135" t="s">
        <v>23</v>
      </c>
      <c r="L135" s="139">
        <f>SUM(B135:K135)</f>
        <v>3648</v>
      </c>
      <c r="N135" s="139" t="s">
        <v>23</v>
      </c>
      <c r="O135" s="139" t="s">
        <v>23</v>
      </c>
      <c r="P135" s="139" t="s">
        <v>23</v>
      </c>
      <c r="Q135" s="139" t="s">
        <v>23</v>
      </c>
      <c r="R135" s="139" t="s">
        <v>23</v>
      </c>
      <c r="S135" s="139" t="s">
        <v>23</v>
      </c>
    </row>
    <row r="136" spans="1:19">
      <c r="A136" s="95">
        <v>2011</v>
      </c>
      <c r="B136" s="135" t="s">
        <v>23</v>
      </c>
      <c r="C136" s="135">
        <v>1</v>
      </c>
      <c r="D136" s="135">
        <v>130</v>
      </c>
      <c r="E136" s="135">
        <v>615</v>
      </c>
      <c r="F136" s="135">
        <v>174</v>
      </c>
      <c r="G136" s="135">
        <v>52</v>
      </c>
      <c r="H136" s="135">
        <v>114</v>
      </c>
      <c r="I136" s="135">
        <v>20</v>
      </c>
      <c r="J136" s="135" t="s">
        <v>23</v>
      </c>
      <c r="K136" s="135" t="s">
        <v>23</v>
      </c>
      <c r="L136" s="139">
        <f>SUM(B136:K136)</f>
        <v>1106</v>
      </c>
      <c r="N136" s="139" t="s">
        <v>23</v>
      </c>
      <c r="O136" s="139" t="s">
        <v>23</v>
      </c>
      <c r="P136" s="139" t="s">
        <v>23</v>
      </c>
      <c r="Q136" s="139" t="s">
        <v>23</v>
      </c>
      <c r="R136" s="139" t="s">
        <v>23</v>
      </c>
      <c r="S136" s="139" t="s">
        <v>23</v>
      </c>
    </row>
    <row r="137" spans="1:19">
      <c r="A137" s="95">
        <v>2012</v>
      </c>
      <c r="B137" s="135" t="s">
        <v>23</v>
      </c>
      <c r="C137" s="135">
        <v>440</v>
      </c>
      <c r="D137" s="135">
        <v>1492</v>
      </c>
      <c r="E137" s="135">
        <v>441</v>
      </c>
      <c r="F137" s="135">
        <v>178</v>
      </c>
      <c r="G137" s="135">
        <v>55</v>
      </c>
      <c r="H137" s="135">
        <v>1146</v>
      </c>
      <c r="I137" s="135">
        <v>3645</v>
      </c>
      <c r="J137" s="135" t="s">
        <v>23</v>
      </c>
      <c r="K137" s="135" t="s">
        <v>23</v>
      </c>
      <c r="L137" s="139">
        <f t="shared" ref="L137:L146" si="8">SUM(B137:K137)</f>
        <v>7397</v>
      </c>
      <c r="N137" s="139" t="s">
        <v>23</v>
      </c>
      <c r="O137" s="139" t="s">
        <v>23</v>
      </c>
      <c r="P137" s="139" t="s">
        <v>23</v>
      </c>
      <c r="Q137" s="139" t="s">
        <v>23</v>
      </c>
      <c r="R137" s="139" t="s">
        <v>23</v>
      </c>
      <c r="S137" s="139" t="s">
        <v>23</v>
      </c>
    </row>
    <row r="138" spans="1:19">
      <c r="A138" s="95">
        <v>2013</v>
      </c>
      <c r="B138" s="135" t="s">
        <v>23</v>
      </c>
      <c r="C138" s="135">
        <v>1391</v>
      </c>
      <c r="D138" s="135">
        <v>349</v>
      </c>
      <c r="E138" s="135">
        <v>144</v>
      </c>
      <c r="F138" s="135">
        <v>380</v>
      </c>
      <c r="G138" s="135">
        <v>2869</v>
      </c>
      <c r="H138" s="135">
        <v>3461</v>
      </c>
      <c r="I138" s="135">
        <v>286</v>
      </c>
      <c r="J138" s="135" t="s">
        <v>23</v>
      </c>
      <c r="K138" s="135" t="s">
        <v>23</v>
      </c>
      <c r="L138" s="139">
        <f t="shared" si="8"/>
        <v>8880</v>
      </c>
      <c r="N138" s="139" t="s">
        <v>23</v>
      </c>
      <c r="O138" s="139" t="s">
        <v>23</v>
      </c>
      <c r="P138" s="139" t="s">
        <v>23</v>
      </c>
      <c r="Q138" s="139" t="s">
        <v>23</v>
      </c>
      <c r="R138" s="139" t="s">
        <v>23</v>
      </c>
      <c r="S138" s="139" t="s">
        <v>23</v>
      </c>
    </row>
    <row r="139" spans="1:19">
      <c r="A139" s="95">
        <v>2014</v>
      </c>
      <c r="B139" s="135" t="s">
        <v>23</v>
      </c>
      <c r="C139" s="135">
        <v>20</v>
      </c>
      <c r="D139" s="135">
        <v>1133</v>
      </c>
      <c r="E139" s="135">
        <v>2640</v>
      </c>
      <c r="F139" s="135">
        <v>593</v>
      </c>
      <c r="G139" s="135">
        <v>246</v>
      </c>
      <c r="H139" s="135">
        <v>2355</v>
      </c>
      <c r="I139" s="135">
        <v>22</v>
      </c>
      <c r="J139" s="135" t="s">
        <v>23</v>
      </c>
      <c r="K139" s="135" t="s">
        <v>23</v>
      </c>
      <c r="L139" s="139">
        <f t="shared" si="8"/>
        <v>7009</v>
      </c>
      <c r="N139" s="139" t="s">
        <v>23</v>
      </c>
      <c r="O139" s="139" t="s">
        <v>23</v>
      </c>
      <c r="P139" s="139" t="s">
        <v>23</v>
      </c>
      <c r="Q139" s="139">
        <v>1104</v>
      </c>
      <c r="R139" s="139" t="s">
        <v>23</v>
      </c>
      <c r="S139" s="139">
        <f>SUM(N139:R139)</f>
        <v>1104</v>
      </c>
    </row>
    <row r="140" spans="1:19">
      <c r="A140" s="95">
        <v>2015</v>
      </c>
      <c r="B140" s="135" t="s">
        <v>23</v>
      </c>
      <c r="C140" s="135">
        <v>205</v>
      </c>
      <c r="D140" s="135">
        <v>4114</v>
      </c>
      <c r="E140" s="135">
        <v>3118</v>
      </c>
      <c r="F140" s="135">
        <v>96</v>
      </c>
      <c r="G140" s="135">
        <v>186</v>
      </c>
      <c r="H140" s="135">
        <v>807</v>
      </c>
      <c r="I140" s="135">
        <v>319</v>
      </c>
      <c r="J140" s="135" t="s">
        <v>23</v>
      </c>
      <c r="K140" s="135" t="s">
        <v>23</v>
      </c>
      <c r="L140" s="139">
        <f t="shared" si="8"/>
        <v>8845</v>
      </c>
      <c r="N140" s="139" t="s">
        <v>23</v>
      </c>
      <c r="O140" s="139" t="s">
        <v>23</v>
      </c>
      <c r="P140" s="139" t="s">
        <v>23</v>
      </c>
      <c r="Q140" s="139" t="s">
        <v>23</v>
      </c>
      <c r="R140" s="139" t="s">
        <v>23</v>
      </c>
      <c r="S140" s="139" t="s">
        <v>23</v>
      </c>
    </row>
    <row r="141" spans="1:19">
      <c r="A141" s="95">
        <v>2016</v>
      </c>
      <c r="B141" s="135" t="s">
        <v>23</v>
      </c>
      <c r="C141" s="135">
        <v>167</v>
      </c>
      <c r="D141" s="135">
        <v>185</v>
      </c>
      <c r="E141" s="135">
        <v>515</v>
      </c>
      <c r="F141" s="135">
        <v>16</v>
      </c>
      <c r="G141" s="135">
        <v>23</v>
      </c>
      <c r="H141" s="135">
        <v>135</v>
      </c>
      <c r="I141" s="135">
        <v>26</v>
      </c>
      <c r="J141" s="135" t="s">
        <v>23</v>
      </c>
      <c r="K141" s="135" t="s">
        <v>23</v>
      </c>
      <c r="L141" s="139">
        <f t="shared" si="8"/>
        <v>1067</v>
      </c>
      <c r="N141" s="139" t="s">
        <v>23</v>
      </c>
      <c r="O141" s="139" t="s">
        <v>23</v>
      </c>
      <c r="P141" s="139" t="s">
        <v>23</v>
      </c>
      <c r="Q141" s="139" t="s">
        <v>23</v>
      </c>
      <c r="R141" s="139" t="s">
        <v>23</v>
      </c>
      <c r="S141" s="139" t="s">
        <v>23</v>
      </c>
    </row>
    <row r="142" spans="1:19">
      <c r="A142" s="95">
        <v>2017</v>
      </c>
      <c r="B142" s="135" t="s">
        <v>23</v>
      </c>
      <c r="C142" s="135">
        <v>6</v>
      </c>
      <c r="D142" s="135">
        <v>325</v>
      </c>
      <c r="E142" s="135">
        <v>224</v>
      </c>
      <c r="F142" s="135">
        <v>17</v>
      </c>
      <c r="G142" s="139" t="s">
        <v>23</v>
      </c>
      <c r="H142" s="135">
        <v>112</v>
      </c>
      <c r="I142" s="135">
        <v>33</v>
      </c>
      <c r="J142" s="135" t="s">
        <v>23</v>
      </c>
      <c r="K142" s="135" t="s">
        <v>23</v>
      </c>
      <c r="L142" s="139">
        <f t="shared" si="8"/>
        <v>717</v>
      </c>
      <c r="N142" s="139" t="s">
        <v>23</v>
      </c>
      <c r="O142" s="139" t="s">
        <v>23</v>
      </c>
      <c r="P142" s="139" t="s">
        <v>23</v>
      </c>
      <c r="Q142" s="139" t="s">
        <v>23</v>
      </c>
      <c r="R142" s="139" t="s">
        <v>23</v>
      </c>
      <c r="S142" s="139" t="s">
        <v>23</v>
      </c>
    </row>
    <row r="143" spans="1:19">
      <c r="A143" s="95">
        <v>2018</v>
      </c>
      <c r="B143" s="135" t="s">
        <v>23</v>
      </c>
      <c r="C143" s="135" t="s">
        <v>23</v>
      </c>
      <c r="D143" s="135">
        <v>180</v>
      </c>
      <c r="E143" s="135">
        <v>168</v>
      </c>
      <c r="F143" s="135">
        <v>19</v>
      </c>
      <c r="G143" s="139">
        <v>58</v>
      </c>
      <c r="H143" s="135">
        <v>26</v>
      </c>
      <c r="I143" s="135">
        <v>14</v>
      </c>
      <c r="J143" s="135" t="s">
        <v>23</v>
      </c>
      <c r="K143" s="135" t="s">
        <v>23</v>
      </c>
      <c r="L143" s="139">
        <f>SUM(B143:K143)</f>
        <v>465</v>
      </c>
      <c r="N143" s="139" t="s">
        <v>23</v>
      </c>
      <c r="O143" s="139" t="s">
        <v>23</v>
      </c>
      <c r="P143" s="139" t="s">
        <v>23</v>
      </c>
      <c r="Q143" s="139" t="s">
        <v>23</v>
      </c>
      <c r="R143" s="139" t="s">
        <v>23</v>
      </c>
      <c r="S143" s="139" t="s">
        <v>23</v>
      </c>
    </row>
    <row r="144" spans="1:19">
      <c r="A144" s="95">
        <v>2019</v>
      </c>
      <c r="B144" s="135" t="s">
        <v>23</v>
      </c>
      <c r="C144" s="135">
        <v>3</v>
      </c>
      <c r="D144" s="135">
        <v>144</v>
      </c>
      <c r="E144" s="135">
        <v>68</v>
      </c>
      <c r="F144" s="135">
        <v>234</v>
      </c>
      <c r="G144" s="139">
        <v>42</v>
      </c>
      <c r="H144" s="135">
        <v>33</v>
      </c>
      <c r="I144" s="135">
        <v>43</v>
      </c>
      <c r="J144" s="135" t="s">
        <v>23</v>
      </c>
      <c r="K144" s="135" t="s">
        <v>23</v>
      </c>
      <c r="L144" s="139">
        <f t="shared" ref="L144:L145" si="9">SUM(B144:K144)</f>
        <v>567</v>
      </c>
      <c r="N144" s="139" t="s">
        <v>23</v>
      </c>
      <c r="O144" s="139" t="s">
        <v>23</v>
      </c>
      <c r="P144" s="139" t="s">
        <v>23</v>
      </c>
      <c r="Q144" s="139" t="s">
        <v>23</v>
      </c>
      <c r="R144" s="139" t="s">
        <v>23</v>
      </c>
      <c r="S144" s="139" t="s">
        <v>23</v>
      </c>
    </row>
    <row r="145" spans="1:19">
      <c r="A145" s="95">
        <v>2020</v>
      </c>
      <c r="B145" s="135" t="s">
        <v>23</v>
      </c>
      <c r="C145" s="135">
        <v>15</v>
      </c>
      <c r="D145" s="135">
        <v>9</v>
      </c>
      <c r="E145" s="135">
        <v>481</v>
      </c>
      <c r="F145" s="135">
        <v>38</v>
      </c>
      <c r="G145" s="139">
        <v>19</v>
      </c>
      <c r="H145" s="135">
        <v>73</v>
      </c>
      <c r="I145" s="135">
        <v>43</v>
      </c>
      <c r="J145" s="135" t="s">
        <v>23</v>
      </c>
      <c r="K145" s="135" t="s">
        <v>23</v>
      </c>
      <c r="L145" s="139">
        <f t="shared" si="9"/>
        <v>678</v>
      </c>
      <c r="N145" s="139" t="s">
        <v>23</v>
      </c>
      <c r="O145" s="139" t="s">
        <v>23</v>
      </c>
      <c r="P145" s="139" t="s">
        <v>23</v>
      </c>
      <c r="Q145" s="139" t="s">
        <v>23</v>
      </c>
      <c r="R145" s="139" t="s">
        <v>23</v>
      </c>
      <c r="S145" s="139" t="s">
        <v>23</v>
      </c>
    </row>
    <row r="146" spans="1:19" ht="13">
      <c r="A146" s="95" t="s">
        <v>317</v>
      </c>
      <c r="B146" s="135" t="s">
        <v>23</v>
      </c>
      <c r="C146" s="135">
        <v>413</v>
      </c>
      <c r="D146" s="135">
        <v>355</v>
      </c>
      <c r="E146" s="135">
        <v>238</v>
      </c>
      <c r="F146" s="135">
        <v>105</v>
      </c>
      <c r="G146" s="139">
        <v>146</v>
      </c>
      <c r="H146" s="135">
        <v>47</v>
      </c>
      <c r="I146" s="135">
        <v>4</v>
      </c>
      <c r="J146" s="135" t="s">
        <v>23</v>
      </c>
      <c r="K146" s="135" t="s">
        <v>23</v>
      </c>
      <c r="L146" s="139">
        <f t="shared" si="8"/>
        <v>1308</v>
      </c>
      <c r="N146" s="139" t="s">
        <v>23</v>
      </c>
      <c r="O146" s="139">
        <v>61</v>
      </c>
      <c r="P146" s="139">
        <v>56</v>
      </c>
      <c r="Q146" s="139" t="s">
        <v>23</v>
      </c>
      <c r="R146" s="139" t="s">
        <v>23</v>
      </c>
      <c r="S146" s="139">
        <v>117</v>
      </c>
    </row>
    <row r="148" spans="1:19">
      <c r="A148" s="88" t="s">
        <v>48</v>
      </c>
    </row>
    <row r="149" spans="1:19">
      <c r="A149" s="99">
        <v>1952</v>
      </c>
      <c r="B149" s="139">
        <v>0</v>
      </c>
      <c r="C149" s="139">
        <v>0</v>
      </c>
      <c r="D149" s="139">
        <v>98</v>
      </c>
      <c r="E149" s="139">
        <v>17401</v>
      </c>
      <c r="F149" s="139">
        <v>34945</v>
      </c>
      <c r="G149" s="139">
        <v>30213</v>
      </c>
      <c r="H149" s="139">
        <v>20490</v>
      </c>
      <c r="I149" s="139">
        <v>4663</v>
      </c>
      <c r="J149" s="139" t="s">
        <v>23</v>
      </c>
      <c r="K149" s="139" t="s">
        <v>23</v>
      </c>
      <c r="L149" s="139">
        <f t="shared" ref="L149:L201" si="10">SUM(B149:K149)</f>
        <v>107810</v>
      </c>
      <c r="N149" s="139">
        <v>12737</v>
      </c>
      <c r="O149" s="139">
        <v>86786</v>
      </c>
      <c r="P149" s="139">
        <v>90811</v>
      </c>
      <c r="Q149" s="139">
        <v>23494</v>
      </c>
      <c r="R149" s="139">
        <v>2266</v>
      </c>
      <c r="S149" s="139">
        <f t="shared" ref="S149:S190" si="11">SUM(N149:R149)</f>
        <v>216094</v>
      </c>
    </row>
    <row r="150" spans="1:19">
      <c r="A150" s="99">
        <v>1953</v>
      </c>
      <c r="B150" s="139">
        <v>13</v>
      </c>
      <c r="C150" s="139">
        <v>135</v>
      </c>
      <c r="D150" s="139">
        <v>119</v>
      </c>
      <c r="E150" s="139">
        <v>2590</v>
      </c>
      <c r="F150" s="139">
        <v>17878</v>
      </c>
      <c r="G150" s="139">
        <v>32671</v>
      </c>
      <c r="H150" s="139">
        <v>17172</v>
      </c>
      <c r="I150" s="139">
        <v>94</v>
      </c>
      <c r="J150" s="139" t="s">
        <v>23</v>
      </c>
      <c r="K150" s="139" t="s">
        <v>23</v>
      </c>
      <c r="L150" s="139">
        <f t="shared" si="10"/>
        <v>70672</v>
      </c>
      <c r="N150" s="139">
        <v>12377</v>
      </c>
      <c r="O150" s="139">
        <v>74251</v>
      </c>
      <c r="P150" s="139">
        <v>74399</v>
      </c>
      <c r="Q150" s="139">
        <v>17752</v>
      </c>
      <c r="R150" s="139">
        <v>232</v>
      </c>
      <c r="S150" s="139">
        <f t="shared" si="11"/>
        <v>179011</v>
      </c>
    </row>
    <row r="151" spans="1:19">
      <c r="A151" s="99">
        <v>1954</v>
      </c>
      <c r="B151" s="139">
        <v>62</v>
      </c>
      <c r="C151" s="139">
        <v>11</v>
      </c>
      <c r="D151" s="139">
        <v>1354</v>
      </c>
      <c r="E151" s="139">
        <v>9910</v>
      </c>
      <c r="F151" s="139">
        <v>23330</v>
      </c>
      <c r="G151" s="139">
        <v>22528</v>
      </c>
      <c r="H151" s="139">
        <v>10283</v>
      </c>
      <c r="I151" s="139">
        <v>772</v>
      </c>
      <c r="J151" s="139" t="s">
        <v>23</v>
      </c>
      <c r="K151" s="139" t="s">
        <v>23</v>
      </c>
      <c r="L151" s="139">
        <f t="shared" si="10"/>
        <v>68250</v>
      </c>
      <c r="N151" s="139">
        <v>10697</v>
      </c>
      <c r="O151" s="139">
        <v>62206</v>
      </c>
      <c r="P151" s="139">
        <v>32767</v>
      </c>
      <c r="Q151" s="139">
        <v>11158</v>
      </c>
      <c r="R151" s="139">
        <v>150</v>
      </c>
      <c r="S151" s="139">
        <f t="shared" si="11"/>
        <v>116978</v>
      </c>
    </row>
    <row r="152" spans="1:19">
      <c r="A152" s="99">
        <v>1955</v>
      </c>
      <c r="B152" s="139">
        <v>0</v>
      </c>
      <c r="C152" s="139">
        <v>292</v>
      </c>
      <c r="D152" s="139">
        <v>15585</v>
      </c>
      <c r="E152" s="139">
        <v>25383</v>
      </c>
      <c r="F152" s="139">
        <v>15569</v>
      </c>
      <c r="G152" s="139">
        <v>35634</v>
      </c>
      <c r="H152" s="139">
        <v>30389</v>
      </c>
      <c r="I152" s="139">
        <v>1789</v>
      </c>
      <c r="J152" s="139" t="s">
        <v>23</v>
      </c>
      <c r="K152" s="139" t="s">
        <v>23</v>
      </c>
      <c r="L152" s="139">
        <f t="shared" si="10"/>
        <v>124641</v>
      </c>
      <c r="N152" s="139">
        <v>10598</v>
      </c>
      <c r="O152" s="139">
        <v>35562</v>
      </c>
      <c r="P152" s="139">
        <v>56434</v>
      </c>
      <c r="Q152" s="139">
        <v>15456</v>
      </c>
      <c r="R152" s="139">
        <v>1548</v>
      </c>
      <c r="S152" s="139">
        <f t="shared" si="11"/>
        <v>119598</v>
      </c>
    </row>
    <row r="153" spans="1:19">
      <c r="A153" s="99">
        <v>1956</v>
      </c>
      <c r="B153" s="139" t="s">
        <v>23</v>
      </c>
      <c r="C153" s="139">
        <v>430</v>
      </c>
      <c r="D153" s="139">
        <v>4709</v>
      </c>
      <c r="E153" s="139">
        <v>20324</v>
      </c>
      <c r="F153" s="139">
        <v>37219</v>
      </c>
      <c r="G153" s="139">
        <v>36192</v>
      </c>
      <c r="H153" s="139">
        <v>11500</v>
      </c>
      <c r="I153" s="139">
        <v>4205</v>
      </c>
      <c r="J153" s="139" t="s">
        <v>23</v>
      </c>
      <c r="K153" s="139" t="s">
        <v>23</v>
      </c>
      <c r="L153" s="139">
        <f t="shared" si="10"/>
        <v>114579</v>
      </c>
      <c r="N153" s="139">
        <v>12872</v>
      </c>
      <c r="O153" s="139">
        <v>92547</v>
      </c>
      <c r="P153" s="139">
        <v>66028</v>
      </c>
      <c r="Q153" s="139">
        <v>14501</v>
      </c>
      <c r="R153" s="139">
        <v>2520</v>
      </c>
      <c r="S153" s="139">
        <f t="shared" si="11"/>
        <v>188468</v>
      </c>
    </row>
    <row r="154" spans="1:19">
      <c r="A154" s="99">
        <v>1957</v>
      </c>
      <c r="B154" s="139" t="s">
        <v>23</v>
      </c>
      <c r="C154" s="139">
        <v>152</v>
      </c>
      <c r="D154" s="139">
        <v>3114</v>
      </c>
      <c r="E154" s="139">
        <v>19030</v>
      </c>
      <c r="F154" s="139">
        <v>22907</v>
      </c>
      <c r="G154" s="139">
        <v>10585</v>
      </c>
      <c r="H154" s="139">
        <v>21308</v>
      </c>
      <c r="I154" s="139">
        <v>80</v>
      </c>
      <c r="J154" s="139" t="s">
        <v>23</v>
      </c>
      <c r="K154" s="139" t="s">
        <v>23</v>
      </c>
      <c r="L154" s="139">
        <f t="shared" si="10"/>
        <v>77176</v>
      </c>
      <c r="N154" s="139">
        <v>48445</v>
      </c>
      <c r="O154" s="139">
        <v>50333</v>
      </c>
      <c r="P154" s="139">
        <v>44866</v>
      </c>
      <c r="Q154" s="139">
        <v>50849</v>
      </c>
      <c r="R154" s="139">
        <v>656</v>
      </c>
      <c r="S154" s="139">
        <f t="shared" si="11"/>
        <v>195149</v>
      </c>
    </row>
    <row r="155" spans="1:19">
      <c r="A155" s="99">
        <v>1958</v>
      </c>
      <c r="B155" s="139" t="s">
        <v>23</v>
      </c>
      <c r="C155" s="139">
        <v>765</v>
      </c>
      <c r="D155" s="139">
        <v>3109</v>
      </c>
      <c r="E155" s="139">
        <v>6522</v>
      </c>
      <c r="F155" s="139">
        <v>22794</v>
      </c>
      <c r="G155" s="139">
        <v>20012</v>
      </c>
      <c r="H155" s="139">
        <v>5766</v>
      </c>
      <c r="I155" s="139">
        <v>1248</v>
      </c>
      <c r="J155" s="139" t="s">
        <v>23</v>
      </c>
      <c r="K155" s="139" t="s">
        <v>23</v>
      </c>
      <c r="L155" s="139">
        <f t="shared" si="10"/>
        <v>60216</v>
      </c>
      <c r="N155" s="139">
        <v>31007</v>
      </c>
      <c r="O155" s="139">
        <v>30649</v>
      </c>
      <c r="P155" s="139">
        <v>20088</v>
      </c>
      <c r="Q155" s="139">
        <v>15002</v>
      </c>
      <c r="R155" s="139">
        <v>1064</v>
      </c>
      <c r="S155" s="139">
        <f t="shared" si="11"/>
        <v>97810</v>
      </c>
    </row>
    <row r="156" spans="1:19">
      <c r="A156" s="99">
        <v>1959</v>
      </c>
      <c r="B156" s="139" t="s">
        <v>23</v>
      </c>
      <c r="C156" s="139">
        <v>92</v>
      </c>
      <c r="D156" s="139">
        <v>1283</v>
      </c>
      <c r="E156" s="139">
        <v>4020</v>
      </c>
      <c r="F156" s="139">
        <v>3103</v>
      </c>
      <c r="G156" s="139">
        <v>9079</v>
      </c>
      <c r="H156" s="139">
        <v>2391</v>
      </c>
      <c r="I156" s="139">
        <v>259</v>
      </c>
      <c r="J156" s="139" t="s">
        <v>23</v>
      </c>
      <c r="K156" s="139" t="s">
        <v>23</v>
      </c>
      <c r="L156" s="139">
        <f t="shared" si="10"/>
        <v>20227</v>
      </c>
      <c r="N156" s="139">
        <v>7039</v>
      </c>
      <c r="O156" s="139">
        <v>26046</v>
      </c>
      <c r="P156" s="139">
        <v>28393</v>
      </c>
      <c r="Q156" s="139">
        <v>4888</v>
      </c>
      <c r="R156" s="139">
        <v>1066</v>
      </c>
      <c r="S156" s="139">
        <f t="shared" si="11"/>
        <v>67432</v>
      </c>
    </row>
    <row r="157" spans="1:19">
      <c r="A157" s="99">
        <v>1960</v>
      </c>
      <c r="B157" s="139" t="s">
        <v>23</v>
      </c>
      <c r="C157" s="139">
        <v>842</v>
      </c>
      <c r="D157" s="139">
        <v>7186</v>
      </c>
      <c r="E157" s="139">
        <v>3029</v>
      </c>
      <c r="F157" s="139">
        <v>6249</v>
      </c>
      <c r="G157" s="139">
        <v>13079</v>
      </c>
      <c r="H157" s="139">
        <v>1875</v>
      </c>
      <c r="I157" s="139">
        <v>578</v>
      </c>
      <c r="J157" s="139" t="s">
        <v>23</v>
      </c>
      <c r="K157" s="139" t="s">
        <v>23</v>
      </c>
      <c r="L157" s="139">
        <f t="shared" si="10"/>
        <v>32838</v>
      </c>
      <c r="N157" s="139">
        <v>620</v>
      </c>
      <c r="O157" s="139">
        <v>9138</v>
      </c>
      <c r="P157" s="139">
        <v>28409</v>
      </c>
      <c r="Q157" s="139">
        <v>3055</v>
      </c>
      <c r="R157" s="139">
        <v>625</v>
      </c>
      <c r="S157" s="139">
        <f t="shared" si="11"/>
        <v>41847</v>
      </c>
    </row>
    <row r="158" spans="1:19">
      <c r="A158" s="99">
        <v>1961</v>
      </c>
      <c r="B158" s="139" t="s">
        <v>23</v>
      </c>
      <c r="C158" s="139">
        <v>254</v>
      </c>
      <c r="D158" s="139">
        <v>192</v>
      </c>
      <c r="E158" s="139">
        <v>3033</v>
      </c>
      <c r="F158" s="139">
        <v>17337</v>
      </c>
      <c r="G158" s="139">
        <v>5186</v>
      </c>
      <c r="H158" s="139">
        <v>3995</v>
      </c>
      <c r="I158" s="139">
        <v>1174</v>
      </c>
      <c r="J158" s="139" t="s">
        <v>23</v>
      </c>
      <c r="K158" s="139" t="s">
        <v>23</v>
      </c>
      <c r="L158" s="139">
        <f t="shared" si="10"/>
        <v>31171</v>
      </c>
      <c r="N158" s="139">
        <v>15552</v>
      </c>
      <c r="O158" s="139">
        <v>59227</v>
      </c>
      <c r="P158" s="139">
        <v>41776</v>
      </c>
      <c r="Q158" s="139">
        <v>8411</v>
      </c>
      <c r="R158" s="139">
        <v>1572</v>
      </c>
      <c r="S158" s="139">
        <f t="shared" si="11"/>
        <v>126538</v>
      </c>
    </row>
    <row r="159" spans="1:19">
      <c r="A159" s="99">
        <v>1962</v>
      </c>
      <c r="B159" s="139" t="s">
        <v>23</v>
      </c>
      <c r="C159" s="139">
        <v>265</v>
      </c>
      <c r="D159" s="139">
        <v>189</v>
      </c>
      <c r="E159" s="139">
        <v>1866</v>
      </c>
      <c r="F159" s="139">
        <v>2300</v>
      </c>
      <c r="G159" s="139">
        <v>2916</v>
      </c>
      <c r="H159" s="139">
        <v>1482</v>
      </c>
      <c r="I159" s="139">
        <v>104</v>
      </c>
      <c r="J159" s="139" t="s">
        <v>23</v>
      </c>
      <c r="K159" s="139" t="s">
        <v>23</v>
      </c>
      <c r="L159" s="139">
        <f t="shared" si="10"/>
        <v>9122</v>
      </c>
      <c r="N159" s="139">
        <v>5211</v>
      </c>
      <c r="O159" s="139">
        <v>47191</v>
      </c>
      <c r="P159" s="139">
        <v>52055</v>
      </c>
      <c r="Q159" s="139">
        <v>8730</v>
      </c>
      <c r="R159" s="139">
        <v>402</v>
      </c>
      <c r="S159" s="139">
        <f t="shared" si="11"/>
        <v>113589</v>
      </c>
    </row>
    <row r="160" spans="1:19">
      <c r="A160" s="99">
        <v>1963</v>
      </c>
      <c r="B160" s="139" t="s">
        <v>23</v>
      </c>
      <c r="C160" s="139">
        <v>6</v>
      </c>
      <c r="D160" s="139">
        <v>120</v>
      </c>
      <c r="E160" s="139">
        <v>3208</v>
      </c>
      <c r="F160" s="139">
        <v>2309</v>
      </c>
      <c r="G160" s="139">
        <v>3774</v>
      </c>
      <c r="H160" s="139">
        <v>913</v>
      </c>
      <c r="I160" s="139">
        <v>50</v>
      </c>
      <c r="J160" s="139" t="s">
        <v>23</v>
      </c>
      <c r="K160" s="139" t="s">
        <v>23</v>
      </c>
      <c r="L160" s="139">
        <f t="shared" si="10"/>
        <v>10380</v>
      </c>
      <c r="N160" s="139">
        <v>13668</v>
      </c>
      <c r="O160" s="139">
        <v>35051</v>
      </c>
      <c r="P160" s="139">
        <v>29959</v>
      </c>
      <c r="Q160" s="139">
        <v>7862</v>
      </c>
      <c r="R160" s="139">
        <v>598</v>
      </c>
      <c r="S160" s="139">
        <f t="shared" si="11"/>
        <v>87138</v>
      </c>
    </row>
    <row r="161" spans="1:19">
      <c r="A161" s="99">
        <v>1964</v>
      </c>
      <c r="B161" s="139" t="s">
        <v>23</v>
      </c>
      <c r="C161" s="139">
        <v>185</v>
      </c>
      <c r="D161" s="139">
        <v>739</v>
      </c>
      <c r="E161" s="139">
        <v>1365</v>
      </c>
      <c r="F161" s="139">
        <v>1107</v>
      </c>
      <c r="G161" s="139">
        <v>2961</v>
      </c>
      <c r="H161" s="139">
        <v>712</v>
      </c>
      <c r="I161" s="139">
        <v>61</v>
      </c>
      <c r="J161" s="139" t="s">
        <v>23</v>
      </c>
      <c r="K161" s="139" t="s">
        <v>23</v>
      </c>
      <c r="L161" s="139">
        <f t="shared" si="10"/>
        <v>7130</v>
      </c>
      <c r="N161" s="139">
        <v>12479</v>
      </c>
      <c r="O161" s="139">
        <v>42302</v>
      </c>
      <c r="P161" s="139">
        <v>60570</v>
      </c>
      <c r="Q161" s="139">
        <v>17337</v>
      </c>
      <c r="R161" s="139">
        <v>1482</v>
      </c>
      <c r="S161" s="139">
        <f t="shared" si="11"/>
        <v>134170</v>
      </c>
    </row>
    <row r="162" spans="1:19">
      <c r="A162" s="99">
        <v>1965</v>
      </c>
      <c r="B162" s="139" t="s">
        <v>23</v>
      </c>
      <c r="C162" s="139">
        <v>0</v>
      </c>
      <c r="D162" s="139">
        <v>110</v>
      </c>
      <c r="E162" s="139">
        <v>2914</v>
      </c>
      <c r="F162" s="139">
        <v>2499</v>
      </c>
      <c r="G162" s="139">
        <v>3368</v>
      </c>
      <c r="H162" s="139">
        <v>6850</v>
      </c>
      <c r="I162" s="139">
        <v>312</v>
      </c>
      <c r="J162" s="139" t="s">
        <v>23</v>
      </c>
      <c r="K162" s="139" t="s">
        <v>23</v>
      </c>
      <c r="L162" s="139">
        <f t="shared" si="10"/>
        <v>16053</v>
      </c>
      <c r="N162" s="139">
        <v>9553</v>
      </c>
      <c r="O162" s="139">
        <v>130677</v>
      </c>
      <c r="P162" s="139">
        <v>93970</v>
      </c>
      <c r="Q162" s="139">
        <v>17496</v>
      </c>
      <c r="R162" s="139">
        <v>885</v>
      </c>
      <c r="S162" s="139">
        <f t="shared" si="11"/>
        <v>252581</v>
      </c>
    </row>
    <row r="163" spans="1:19">
      <c r="A163" s="99">
        <v>1966</v>
      </c>
      <c r="B163" s="139" t="s">
        <v>23</v>
      </c>
      <c r="C163" s="139">
        <v>38</v>
      </c>
      <c r="D163" s="139">
        <v>182</v>
      </c>
      <c r="E163" s="139">
        <v>3620</v>
      </c>
      <c r="F163" s="139">
        <v>3683</v>
      </c>
      <c r="G163" s="139">
        <v>5982</v>
      </c>
      <c r="H163" s="139">
        <v>2026</v>
      </c>
      <c r="I163" s="139">
        <v>141</v>
      </c>
      <c r="J163" s="139" t="s">
        <v>23</v>
      </c>
      <c r="K163" s="139" t="s">
        <v>23</v>
      </c>
      <c r="L163" s="139">
        <f t="shared" si="10"/>
        <v>15672</v>
      </c>
      <c r="N163" s="139">
        <v>11286</v>
      </c>
      <c r="O163" s="139">
        <v>48063</v>
      </c>
      <c r="P163" s="139">
        <v>45797</v>
      </c>
      <c r="Q163" s="139">
        <v>34541</v>
      </c>
      <c r="R163" s="139">
        <v>970</v>
      </c>
      <c r="S163" s="139">
        <f t="shared" si="11"/>
        <v>140657</v>
      </c>
    </row>
    <row r="164" spans="1:19">
      <c r="A164" s="99">
        <v>1967</v>
      </c>
      <c r="B164" s="139" t="s">
        <v>23</v>
      </c>
      <c r="C164" s="139">
        <v>198</v>
      </c>
      <c r="D164" s="139">
        <v>262</v>
      </c>
      <c r="E164" s="139">
        <v>6248</v>
      </c>
      <c r="F164" s="139">
        <v>6393</v>
      </c>
      <c r="G164" s="139">
        <v>3246</v>
      </c>
      <c r="H164" s="139">
        <v>1127</v>
      </c>
      <c r="I164" s="139">
        <v>27</v>
      </c>
      <c r="J164" s="139" t="s">
        <v>23</v>
      </c>
      <c r="K164" s="139" t="s">
        <v>23</v>
      </c>
      <c r="L164" s="139">
        <f t="shared" si="10"/>
        <v>17501</v>
      </c>
      <c r="N164" s="139">
        <v>13370</v>
      </c>
      <c r="O164" s="139">
        <v>186004</v>
      </c>
      <c r="P164" s="139">
        <v>37201</v>
      </c>
      <c r="Q164" s="139">
        <v>17938</v>
      </c>
      <c r="R164" s="139">
        <v>415</v>
      </c>
      <c r="S164" s="139">
        <f t="shared" si="11"/>
        <v>254928</v>
      </c>
    </row>
    <row r="165" spans="1:19">
      <c r="A165" s="99">
        <v>1968</v>
      </c>
      <c r="B165" s="139" t="s">
        <v>23</v>
      </c>
      <c r="C165" s="139">
        <v>207</v>
      </c>
      <c r="D165" s="139">
        <v>1570</v>
      </c>
      <c r="E165" s="139">
        <v>2565</v>
      </c>
      <c r="F165" s="139">
        <v>2056</v>
      </c>
      <c r="G165" s="139">
        <v>2244</v>
      </c>
      <c r="H165" s="139">
        <v>271</v>
      </c>
      <c r="I165" s="139">
        <v>18</v>
      </c>
      <c r="J165" s="139" t="s">
        <v>23</v>
      </c>
      <c r="K165" s="139" t="s">
        <v>23</v>
      </c>
      <c r="L165" s="139">
        <f t="shared" si="10"/>
        <v>8931</v>
      </c>
      <c r="N165" s="139">
        <v>17905</v>
      </c>
      <c r="O165" s="139">
        <v>48459</v>
      </c>
      <c r="P165" s="139">
        <v>45797</v>
      </c>
      <c r="Q165" s="139">
        <v>8679</v>
      </c>
      <c r="R165" s="139">
        <v>599</v>
      </c>
      <c r="S165" s="139">
        <f t="shared" si="11"/>
        <v>121439</v>
      </c>
    </row>
    <row r="166" spans="1:19">
      <c r="A166" s="99">
        <v>1969</v>
      </c>
      <c r="B166" s="139" t="s">
        <v>23</v>
      </c>
      <c r="C166" s="139">
        <v>305</v>
      </c>
      <c r="D166" s="139">
        <v>1481</v>
      </c>
      <c r="E166" s="139">
        <v>6403</v>
      </c>
      <c r="F166" s="139">
        <v>3959</v>
      </c>
      <c r="G166" s="139">
        <v>2101</v>
      </c>
      <c r="H166" s="139">
        <v>244</v>
      </c>
      <c r="I166" s="139">
        <v>20</v>
      </c>
      <c r="J166" s="139" t="s">
        <v>23</v>
      </c>
      <c r="K166" s="139" t="s">
        <v>23</v>
      </c>
      <c r="L166" s="139">
        <f t="shared" si="10"/>
        <v>14513</v>
      </c>
      <c r="N166" s="139">
        <v>38483</v>
      </c>
      <c r="O166" s="139">
        <v>72088</v>
      </c>
      <c r="P166" s="139">
        <v>26974</v>
      </c>
      <c r="Q166" s="139">
        <v>2377</v>
      </c>
      <c r="R166" s="139">
        <v>179</v>
      </c>
      <c r="S166" s="139">
        <f t="shared" si="11"/>
        <v>140101</v>
      </c>
    </row>
    <row r="167" spans="1:19">
      <c r="A167" s="99">
        <v>1970</v>
      </c>
      <c r="B167" s="139" t="s">
        <v>23</v>
      </c>
      <c r="C167" s="139">
        <v>291</v>
      </c>
      <c r="D167" s="139">
        <v>688</v>
      </c>
      <c r="E167" s="139">
        <v>4445</v>
      </c>
      <c r="F167" s="139">
        <v>3138</v>
      </c>
      <c r="G167" s="139">
        <v>11823</v>
      </c>
      <c r="H167" s="139">
        <v>3844</v>
      </c>
      <c r="I167" s="139">
        <v>1592</v>
      </c>
      <c r="J167" s="139" t="s">
        <v>23</v>
      </c>
      <c r="K167" s="139" t="s">
        <v>23</v>
      </c>
      <c r="L167" s="139">
        <f t="shared" si="10"/>
        <v>25821</v>
      </c>
      <c r="N167" s="139">
        <v>55846</v>
      </c>
      <c r="O167" s="139">
        <v>22792</v>
      </c>
      <c r="P167" s="139">
        <v>257897</v>
      </c>
      <c r="Q167" s="139">
        <v>27748</v>
      </c>
      <c r="R167" s="139">
        <v>7502</v>
      </c>
      <c r="S167" s="139">
        <f t="shared" si="11"/>
        <v>371785</v>
      </c>
    </row>
    <row r="168" spans="1:19">
      <c r="A168" s="99">
        <v>1971</v>
      </c>
      <c r="B168" s="139" t="s">
        <v>23</v>
      </c>
      <c r="C168" s="139">
        <v>34</v>
      </c>
      <c r="D168" s="139">
        <v>739</v>
      </c>
      <c r="E168" s="139">
        <v>1636</v>
      </c>
      <c r="F168" s="139">
        <v>1474</v>
      </c>
      <c r="G168" s="139">
        <v>4130</v>
      </c>
      <c r="H168" s="139">
        <v>472</v>
      </c>
      <c r="I168" s="139">
        <v>60</v>
      </c>
      <c r="J168" s="139" t="s">
        <v>23</v>
      </c>
      <c r="K168" s="139" t="s">
        <v>23</v>
      </c>
      <c r="L168" s="139">
        <f t="shared" si="10"/>
        <v>8545</v>
      </c>
      <c r="N168" s="139">
        <v>33110</v>
      </c>
      <c r="O168" s="139">
        <v>56687</v>
      </c>
      <c r="P168" s="139">
        <v>243622</v>
      </c>
      <c r="Q168" s="139">
        <v>5631</v>
      </c>
      <c r="R168" s="139">
        <v>1342</v>
      </c>
      <c r="S168" s="139">
        <f t="shared" si="11"/>
        <v>340392</v>
      </c>
    </row>
    <row r="169" spans="1:19">
      <c r="A169" s="99">
        <v>1972</v>
      </c>
      <c r="B169" s="139" t="s">
        <v>23</v>
      </c>
      <c r="C169" s="139">
        <v>0</v>
      </c>
      <c r="D169" s="139">
        <v>425</v>
      </c>
      <c r="E169" s="139">
        <v>2742</v>
      </c>
      <c r="F169" s="139">
        <v>3653</v>
      </c>
      <c r="G169" s="139">
        <v>9646</v>
      </c>
      <c r="H169" s="139">
        <v>1430</v>
      </c>
      <c r="I169" s="139">
        <v>1985</v>
      </c>
      <c r="J169" s="139" t="s">
        <v>23</v>
      </c>
      <c r="K169" s="139" t="s">
        <v>23</v>
      </c>
      <c r="L169" s="139">
        <f t="shared" si="10"/>
        <v>19881</v>
      </c>
      <c r="N169" s="139">
        <v>39410</v>
      </c>
      <c r="O169" s="139">
        <v>111362</v>
      </c>
      <c r="P169" s="139">
        <v>70488</v>
      </c>
      <c r="Q169" s="139">
        <v>4362</v>
      </c>
      <c r="R169" s="139">
        <v>281</v>
      </c>
      <c r="S169" s="139">
        <f t="shared" si="11"/>
        <v>225903</v>
      </c>
    </row>
    <row r="170" spans="1:19">
      <c r="A170" s="99">
        <v>1973</v>
      </c>
      <c r="B170" s="139" t="s">
        <v>23</v>
      </c>
      <c r="C170" s="139">
        <v>38</v>
      </c>
      <c r="D170" s="139">
        <v>820</v>
      </c>
      <c r="E170" s="139">
        <v>5240</v>
      </c>
      <c r="F170" s="139">
        <v>19206</v>
      </c>
      <c r="G170" s="139">
        <v>40795</v>
      </c>
      <c r="H170" s="139">
        <v>13586</v>
      </c>
      <c r="I170" s="139">
        <v>16998</v>
      </c>
      <c r="J170" s="139" t="s">
        <v>23</v>
      </c>
      <c r="K170" s="139" t="s">
        <v>23</v>
      </c>
      <c r="L170" s="139">
        <f t="shared" si="10"/>
        <v>96683</v>
      </c>
      <c r="N170" s="139">
        <v>49768</v>
      </c>
      <c r="O170" s="139">
        <v>49084</v>
      </c>
      <c r="P170" s="139">
        <v>136541</v>
      </c>
      <c r="Q170" s="139">
        <v>17846</v>
      </c>
      <c r="R170" s="139">
        <v>4762</v>
      </c>
      <c r="S170" s="139">
        <f t="shared" si="11"/>
        <v>258001</v>
      </c>
    </row>
    <row r="171" spans="1:19">
      <c r="A171" s="99">
        <v>1974</v>
      </c>
      <c r="B171" s="139" t="s">
        <v>23</v>
      </c>
      <c r="C171" s="139">
        <v>64</v>
      </c>
      <c r="D171" s="139">
        <v>264</v>
      </c>
      <c r="E171" s="139">
        <v>6339</v>
      </c>
      <c r="F171" s="139">
        <v>19075</v>
      </c>
      <c r="G171" s="139">
        <v>8028</v>
      </c>
      <c r="H171" s="139">
        <v>3652</v>
      </c>
      <c r="I171" s="139">
        <v>159</v>
      </c>
      <c r="J171" s="139" t="s">
        <v>23</v>
      </c>
      <c r="K171" s="139" t="s">
        <v>23</v>
      </c>
      <c r="L171" s="139">
        <f t="shared" si="10"/>
        <v>37581</v>
      </c>
      <c r="N171" s="139">
        <v>50128</v>
      </c>
      <c r="O171" s="139">
        <v>224202</v>
      </c>
      <c r="P171" s="139">
        <v>106155</v>
      </c>
      <c r="Q171" s="139">
        <v>21705</v>
      </c>
      <c r="R171" s="139">
        <v>200</v>
      </c>
      <c r="S171" s="139">
        <f t="shared" si="11"/>
        <v>402390</v>
      </c>
    </row>
    <row r="172" spans="1:19">
      <c r="A172" s="99">
        <v>1975</v>
      </c>
      <c r="B172" s="139" t="s">
        <v>23</v>
      </c>
      <c r="C172" s="139">
        <v>9</v>
      </c>
      <c r="D172" s="139">
        <v>371</v>
      </c>
      <c r="E172" s="139">
        <v>6888</v>
      </c>
      <c r="F172" s="139">
        <v>6189</v>
      </c>
      <c r="G172" s="139">
        <v>8910</v>
      </c>
      <c r="H172" s="139">
        <v>1653</v>
      </c>
      <c r="I172" s="139">
        <v>189</v>
      </c>
      <c r="J172" s="139" t="s">
        <v>23</v>
      </c>
      <c r="K172" s="139" t="s">
        <v>23</v>
      </c>
      <c r="L172" s="139">
        <f t="shared" si="10"/>
        <v>24209</v>
      </c>
      <c r="N172" s="139">
        <v>59412</v>
      </c>
      <c r="O172" s="139">
        <v>64478</v>
      </c>
      <c r="P172" s="139">
        <v>48335</v>
      </c>
      <c r="Q172" s="139">
        <v>4082</v>
      </c>
      <c r="R172" s="139">
        <v>346</v>
      </c>
      <c r="S172" s="139">
        <f t="shared" si="11"/>
        <v>176653</v>
      </c>
    </row>
    <row r="173" spans="1:19">
      <c r="A173" s="99">
        <v>1976</v>
      </c>
      <c r="B173" s="139" t="s">
        <v>23</v>
      </c>
      <c r="C173" s="139" t="s">
        <v>23</v>
      </c>
      <c r="D173" s="139">
        <v>582</v>
      </c>
      <c r="E173" s="139">
        <v>4062</v>
      </c>
      <c r="F173" s="139">
        <v>10202</v>
      </c>
      <c r="G173" s="139">
        <v>12169</v>
      </c>
      <c r="H173" s="139">
        <v>1238</v>
      </c>
      <c r="I173" s="139">
        <v>1690</v>
      </c>
      <c r="J173" s="139" t="s">
        <v>23</v>
      </c>
      <c r="K173" s="139" t="s">
        <v>23</v>
      </c>
      <c r="L173" s="139">
        <f t="shared" si="10"/>
        <v>29943</v>
      </c>
      <c r="N173" s="139">
        <v>99934</v>
      </c>
      <c r="O173" s="139">
        <v>175600</v>
      </c>
      <c r="P173" s="139">
        <v>148198</v>
      </c>
      <c r="Q173" s="139">
        <v>18131</v>
      </c>
      <c r="R173" s="139">
        <v>3721</v>
      </c>
      <c r="S173" s="139">
        <f t="shared" si="11"/>
        <v>445584</v>
      </c>
    </row>
    <row r="174" spans="1:19">
      <c r="A174" s="99">
        <v>1977</v>
      </c>
      <c r="B174" s="139" t="s">
        <v>23</v>
      </c>
      <c r="C174" s="139" t="s">
        <v>23</v>
      </c>
      <c r="D174" s="139">
        <v>3453</v>
      </c>
      <c r="E174" s="139">
        <v>11123</v>
      </c>
      <c r="F174" s="139">
        <v>11886</v>
      </c>
      <c r="G174" s="139">
        <v>31577</v>
      </c>
      <c r="H174" s="139">
        <v>3083</v>
      </c>
      <c r="I174" s="139">
        <v>497</v>
      </c>
      <c r="J174" s="139" t="s">
        <v>23</v>
      </c>
      <c r="K174" s="139" t="s">
        <v>23</v>
      </c>
      <c r="L174" s="139">
        <f t="shared" si="10"/>
        <v>61619</v>
      </c>
      <c r="N174" s="139">
        <v>8582</v>
      </c>
      <c r="O174" s="139">
        <v>60997</v>
      </c>
      <c r="P174" s="139">
        <v>30399</v>
      </c>
      <c r="Q174" s="139">
        <v>2601</v>
      </c>
      <c r="R174" s="139">
        <v>164</v>
      </c>
      <c r="S174" s="139">
        <f t="shared" si="11"/>
        <v>102743</v>
      </c>
    </row>
    <row r="175" spans="1:19">
      <c r="A175" s="99">
        <v>1978</v>
      </c>
      <c r="B175" s="139" t="s">
        <v>23</v>
      </c>
      <c r="C175" s="139" t="s">
        <v>23</v>
      </c>
      <c r="D175" s="139">
        <v>259</v>
      </c>
      <c r="E175" s="139">
        <v>8267</v>
      </c>
      <c r="F175" s="139">
        <v>16294</v>
      </c>
      <c r="G175" s="139">
        <v>15165</v>
      </c>
      <c r="H175" s="139">
        <v>11464</v>
      </c>
      <c r="I175" s="139">
        <v>2567</v>
      </c>
      <c r="J175" s="139">
        <v>106</v>
      </c>
      <c r="K175" s="139" t="s">
        <v>23</v>
      </c>
      <c r="L175" s="139">
        <f t="shared" si="10"/>
        <v>54122</v>
      </c>
      <c r="N175" s="139">
        <v>73328</v>
      </c>
      <c r="O175" s="139">
        <v>68623</v>
      </c>
      <c r="P175" s="139">
        <v>41801</v>
      </c>
      <c r="Q175" s="139">
        <v>2644</v>
      </c>
      <c r="R175" s="139">
        <v>132</v>
      </c>
      <c r="S175" s="139">
        <f t="shared" si="11"/>
        <v>186528</v>
      </c>
    </row>
    <row r="176" spans="1:19">
      <c r="A176" s="99">
        <v>1979</v>
      </c>
      <c r="B176" s="139" t="s">
        <v>23</v>
      </c>
      <c r="C176" s="139" t="s">
        <v>23</v>
      </c>
      <c r="D176" s="139">
        <v>4522</v>
      </c>
      <c r="E176" s="139">
        <v>1</v>
      </c>
      <c r="F176" s="139">
        <v>15320</v>
      </c>
      <c r="G176" s="139">
        <v>10618</v>
      </c>
      <c r="H176" s="139">
        <v>5006</v>
      </c>
      <c r="I176" s="139">
        <v>3178</v>
      </c>
      <c r="J176" s="139" t="s">
        <v>23</v>
      </c>
      <c r="K176" s="139" t="s">
        <v>23</v>
      </c>
      <c r="L176" s="139">
        <f t="shared" si="10"/>
        <v>38645</v>
      </c>
      <c r="N176" s="139" t="s">
        <v>23</v>
      </c>
      <c r="O176" s="139">
        <v>159410</v>
      </c>
      <c r="P176" s="139">
        <v>51832</v>
      </c>
      <c r="Q176" s="139">
        <v>544</v>
      </c>
      <c r="R176" s="139" t="s">
        <v>23</v>
      </c>
      <c r="S176" s="139">
        <f t="shared" si="11"/>
        <v>211786</v>
      </c>
    </row>
    <row r="177" spans="1:19">
      <c r="A177" s="99">
        <v>1980</v>
      </c>
      <c r="B177" s="139" t="s">
        <v>23</v>
      </c>
      <c r="C177" s="139" t="s">
        <v>23</v>
      </c>
      <c r="D177" s="139">
        <v>9429</v>
      </c>
      <c r="E177" s="139">
        <v>8972</v>
      </c>
      <c r="F177" s="139">
        <v>8645</v>
      </c>
      <c r="G177" s="139">
        <v>12333</v>
      </c>
      <c r="H177" s="139">
        <v>3148</v>
      </c>
      <c r="I177" s="139">
        <v>6208</v>
      </c>
      <c r="J177" s="139" t="s">
        <v>23</v>
      </c>
      <c r="K177" s="139" t="s">
        <v>23</v>
      </c>
      <c r="L177" s="139">
        <f t="shared" si="10"/>
        <v>48735</v>
      </c>
      <c r="N177" s="139" t="s">
        <v>23</v>
      </c>
      <c r="O177" s="139">
        <v>13964</v>
      </c>
      <c r="P177" s="139">
        <v>0</v>
      </c>
      <c r="Q177" s="139">
        <v>0</v>
      </c>
      <c r="R177" s="139" t="s">
        <v>23</v>
      </c>
      <c r="S177" s="139">
        <f t="shared" si="11"/>
        <v>13964</v>
      </c>
    </row>
    <row r="178" spans="1:19">
      <c r="A178" s="99">
        <v>1981</v>
      </c>
      <c r="B178" s="139" t="s">
        <v>23</v>
      </c>
      <c r="C178" s="139" t="s">
        <v>23</v>
      </c>
      <c r="D178" s="139">
        <v>9633</v>
      </c>
      <c r="E178" s="139">
        <v>0</v>
      </c>
      <c r="F178" s="139">
        <v>9938</v>
      </c>
      <c r="G178" s="139">
        <v>7157</v>
      </c>
      <c r="H178" s="139">
        <v>325</v>
      </c>
      <c r="I178" s="139">
        <v>369</v>
      </c>
      <c r="J178" s="139" t="s">
        <v>23</v>
      </c>
      <c r="K178" s="139" t="s">
        <v>23</v>
      </c>
      <c r="L178" s="139">
        <f t="shared" si="10"/>
        <v>27422</v>
      </c>
      <c r="N178" s="139" t="s">
        <v>23</v>
      </c>
      <c r="O178" s="139">
        <v>74198</v>
      </c>
      <c r="P178" s="139">
        <v>119174</v>
      </c>
      <c r="Q178" s="139" t="s">
        <v>23</v>
      </c>
      <c r="R178" s="139" t="s">
        <v>23</v>
      </c>
      <c r="S178" s="139">
        <f t="shared" si="11"/>
        <v>193372</v>
      </c>
    </row>
    <row r="179" spans="1:19">
      <c r="A179" s="99">
        <v>1982</v>
      </c>
      <c r="B179" s="139" t="s">
        <v>23</v>
      </c>
      <c r="C179" s="139" t="s">
        <v>23</v>
      </c>
      <c r="D179" s="139">
        <v>5044</v>
      </c>
      <c r="E179" s="139">
        <v>5026</v>
      </c>
      <c r="F179" s="139">
        <v>10908</v>
      </c>
      <c r="G179" s="139">
        <v>1482</v>
      </c>
      <c r="H179" s="139">
        <v>2279</v>
      </c>
      <c r="I179" s="139">
        <v>3462</v>
      </c>
      <c r="J179" s="139" t="s">
        <v>23</v>
      </c>
      <c r="K179" s="139" t="s">
        <v>23</v>
      </c>
      <c r="L179" s="139">
        <f t="shared" si="10"/>
        <v>28201</v>
      </c>
      <c r="N179" s="139" t="s">
        <v>23</v>
      </c>
      <c r="O179" s="139">
        <v>116125</v>
      </c>
      <c r="P179" s="139" t="s">
        <v>23</v>
      </c>
      <c r="Q179" s="139" t="s">
        <v>23</v>
      </c>
      <c r="R179" s="139" t="s">
        <v>23</v>
      </c>
      <c r="S179" s="139">
        <f t="shared" si="11"/>
        <v>116125</v>
      </c>
    </row>
    <row r="180" spans="1:19">
      <c r="A180" s="99">
        <v>1983</v>
      </c>
      <c r="B180" s="139" t="s">
        <v>23</v>
      </c>
      <c r="C180" s="139" t="s">
        <v>23</v>
      </c>
      <c r="D180" s="139">
        <v>1787</v>
      </c>
      <c r="E180" s="139">
        <v>1050</v>
      </c>
      <c r="F180" s="139">
        <v>10652</v>
      </c>
      <c r="G180" s="139">
        <v>6014</v>
      </c>
      <c r="H180" s="139">
        <v>1386</v>
      </c>
      <c r="I180" s="139">
        <v>2312</v>
      </c>
      <c r="J180" s="139">
        <v>111</v>
      </c>
      <c r="K180" s="139" t="s">
        <v>23</v>
      </c>
      <c r="L180" s="139">
        <f t="shared" si="10"/>
        <v>23312</v>
      </c>
      <c r="N180" s="139" t="s">
        <v>23</v>
      </c>
      <c r="O180" s="139">
        <v>99086</v>
      </c>
      <c r="P180" s="139">
        <v>14174</v>
      </c>
      <c r="Q180" s="139">
        <v>4161</v>
      </c>
      <c r="R180" s="139" t="s">
        <v>23</v>
      </c>
      <c r="S180" s="139">
        <f t="shared" si="11"/>
        <v>117421</v>
      </c>
    </row>
    <row r="181" spans="1:19">
      <c r="A181" s="99">
        <v>1984</v>
      </c>
      <c r="B181" s="139" t="s">
        <v>23</v>
      </c>
      <c r="C181" s="139" t="s">
        <v>23</v>
      </c>
      <c r="D181" s="139">
        <v>138</v>
      </c>
      <c r="E181" s="139">
        <v>1464</v>
      </c>
      <c r="F181" s="139">
        <v>10572</v>
      </c>
      <c r="G181" s="139">
        <v>6602</v>
      </c>
      <c r="H181" s="139">
        <v>72</v>
      </c>
      <c r="I181" s="139">
        <v>0</v>
      </c>
      <c r="J181" s="139" t="s">
        <v>23</v>
      </c>
      <c r="K181" s="139" t="s">
        <v>23</v>
      </c>
      <c r="L181" s="139">
        <f t="shared" si="10"/>
        <v>18848</v>
      </c>
      <c r="N181" s="139" t="s">
        <v>23</v>
      </c>
      <c r="O181" s="139" t="s">
        <v>23</v>
      </c>
      <c r="P181" s="139" t="s">
        <v>23</v>
      </c>
      <c r="Q181" s="139" t="s">
        <v>23</v>
      </c>
      <c r="R181" s="139" t="s">
        <v>23</v>
      </c>
      <c r="S181" s="139" t="s">
        <v>23</v>
      </c>
    </row>
    <row r="182" spans="1:19">
      <c r="A182" s="99">
        <v>1985</v>
      </c>
      <c r="B182" s="139" t="s">
        <v>23</v>
      </c>
      <c r="C182" s="139" t="s">
        <v>23</v>
      </c>
      <c r="D182" s="139">
        <v>14858</v>
      </c>
      <c r="E182" s="139">
        <v>3738</v>
      </c>
      <c r="F182" s="139">
        <v>16615</v>
      </c>
      <c r="G182" s="139">
        <v>4617</v>
      </c>
      <c r="H182" s="139">
        <v>735</v>
      </c>
      <c r="I182" s="139">
        <v>1237</v>
      </c>
      <c r="J182" s="139" t="s">
        <v>23</v>
      </c>
      <c r="K182" s="139" t="s">
        <v>23</v>
      </c>
      <c r="L182" s="139">
        <f t="shared" si="10"/>
        <v>41800</v>
      </c>
      <c r="N182" s="139" t="s">
        <v>23</v>
      </c>
      <c r="O182" s="139">
        <v>11940</v>
      </c>
      <c r="P182" s="139" t="s">
        <v>23</v>
      </c>
      <c r="Q182" s="139" t="s">
        <v>23</v>
      </c>
      <c r="R182" s="139" t="s">
        <v>23</v>
      </c>
      <c r="S182" s="139">
        <f t="shared" si="11"/>
        <v>11940</v>
      </c>
    </row>
    <row r="183" spans="1:19">
      <c r="A183" s="95">
        <v>1986</v>
      </c>
      <c r="B183" s="139" t="s">
        <v>23</v>
      </c>
      <c r="C183" s="139" t="s">
        <v>23</v>
      </c>
      <c r="D183" s="139">
        <v>10211</v>
      </c>
      <c r="E183" s="139">
        <v>11936</v>
      </c>
      <c r="F183" s="139">
        <v>30932</v>
      </c>
      <c r="G183" s="139">
        <v>5516</v>
      </c>
      <c r="H183" s="139">
        <v>6922</v>
      </c>
      <c r="I183" s="139">
        <v>22469</v>
      </c>
      <c r="J183" s="139" t="s">
        <v>23</v>
      </c>
      <c r="K183" s="139" t="s">
        <v>23</v>
      </c>
      <c r="L183" s="139">
        <f t="shared" si="10"/>
        <v>87986</v>
      </c>
      <c r="N183" s="139" t="s">
        <v>23</v>
      </c>
      <c r="O183" s="139">
        <v>192332</v>
      </c>
      <c r="P183" s="139" t="s">
        <v>23</v>
      </c>
      <c r="Q183" s="139" t="s">
        <v>23</v>
      </c>
      <c r="R183" s="139" t="s">
        <v>23</v>
      </c>
      <c r="S183" s="139">
        <f t="shared" si="11"/>
        <v>192332</v>
      </c>
    </row>
    <row r="184" spans="1:19">
      <c r="A184" s="95">
        <v>1987</v>
      </c>
      <c r="B184" s="139" t="s">
        <v>23</v>
      </c>
      <c r="C184" s="139" t="s">
        <v>23</v>
      </c>
      <c r="D184" s="139">
        <v>10514</v>
      </c>
      <c r="E184" s="139">
        <v>7533</v>
      </c>
      <c r="F184" s="139">
        <v>24226</v>
      </c>
      <c r="G184" s="139">
        <v>23663</v>
      </c>
      <c r="H184" s="139">
        <v>13659</v>
      </c>
      <c r="I184" s="139">
        <v>8087</v>
      </c>
      <c r="J184" s="139" t="s">
        <v>23</v>
      </c>
      <c r="K184" s="139" t="s">
        <v>23</v>
      </c>
      <c r="L184" s="139">
        <f t="shared" si="10"/>
        <v>87682</v>
      </c>
      <c r="N184" s="139" t="s">
        <v>23</v>
      </c>
      <c r="O184" s="139">
        <v>59307</v>
      </c>
      <c r="P184" s="139">
        <v>18510</v>
      </c>
      <c r="Q184" s="139">
        <v>5166</v>
      </c>
      <c r="R184" s="139" t="s">
        <v>23</v>
      </c>
      <c r="S184" s="139">
        <f t="shared" si="11"/>
        <v>82983</v>
      </c>
    </row>
    <row r="185" spans="1:19">
      <c r="A185" s="95">
        <v>1988</v>
      </c>
      <c r="B185" s="139" t="s">
        <v>23</v>
      </c>
      <c r="C185" s="139" t="s">
        <v>23</v>
      </c>
      <c r="D185" s="139">
        <v>8396</v>
      </c>
      <c r="E185" s="139">
        <v>15218</v>
      </c>
      <c r="F185" s="139">
        <v>46612</v>
      </c>
      <c r="G185" s="139">
        <v>32518</v>
      </c>
      <c r="H185" s="139">
        <v>10512</v>
      </c>
      <c r="I185" s="139">
        <v>15879</v>
      </c>
      <c r="J185" s="139" t="s">
        <v>23</v>
      </c>
      <c r="K185" s="139" t="s">
        <v>23</v>
      </c>
      <c r="L185" s="139">
        <f t="shared" si="10"/>
        <v>129135</v>
      </c>
      <c r="N185" s="139" t="s">
        <v>23</v>
      </c>
      <c r="O185" s="139">
        <v>146231</v>
      </c>
      <c r="P185" s="139">
        <v>106259</v>
      </c>
      <c r="Q185" s="139" t="s">
        <v>23</v>
      </c>
      <c r="R185" s="139" t="s">
        <v>23</v>
      </c>
      <c r="S185" s="139">
        <f t="shared" si="11"/>
        <v>252490</v>
      </c>
    </row>
    <row r="186" spans="1:19">
      <c r="A186" s="95">
        <v>1989</v>
      </c>
      <c r="B186" s="139" t="s">
        <v>23</v>
      </c>
      <c r="C186" s="139" t="s">
        <v>23</v>
      </c>
      <c r="D186" s="139">
        <v>12361</v>
      </c>
      <c r="E186" s="139">
        <v>19148</v>
      </c>
      <c r="F186" s="139">
        <v>20614</v>
      </c>
      <c r="G186" s="139">
        <v>10146</v>
      </c>
      <c r="H186" s="139">
        <v>2950</v>
      </c>
      <c r="I186" s="139">
        <v>5451</v>
      </c>
      <c r="J186" s="139" t="s">
        <v>23</v>
      </c>
      <c r="K186" s="139" t="s">
        <v>23</v>
      </c>
      <c r="L186" s="139">
        <f t="shared" si="10"/>
        <v>70670</v>
      </c>
      <c r="N186" s="139" t="s">
        <v>23</v>
      </c>
      <c r="O186" s="139">
        <v>129827</v>
      </c>
      <c r="P186" s="139">
        <v>7954</v>
      </c>
      <c r="Q186" s="139" t="s">
        <v>23</v>
      </c>
      <c r="R186" s="139" t="s">
        <v>23</v>
      </c>
      <c r="S186" s="139">
        <f t="shared" si="11"/>
        <v>137781</v>
      </c>
    </row>
    <row r="187" spans="1:19">
      <c r="A187" s="95">
        <v>1990</v>
      </c>
      <c r="B187" s="139" t="s">
        <v>23</v>
      </c>
      <c r="C187" s="139" t="s">
        <v>23</v>
      </c>
      <c r="D187" s="139">
        <v>2518</v>
      </c>
      <c r="E187" s="139">
        <v>16502</v>
      </c>
      <c r="F187" s="139">
        <v>16590</v>
      </c>
      <c r="G187" s="139">
        <v>2334</v>
      </c>
      <c r="H187" s="139">
        <v>587</v>
      </c>
      <c r="I187" s="139">
        <v>780</v>
      </c>
      <c r="J187" s="139" t="s">
        <v>23</v>
      </c>
      <c r="K187" s="139" t="s">
        <v>23</v>
      </c>
      <c r="L187" s="139">
        <f t="shared" si="10"/>
        <v>39311</v>
      </c>
      <c r="N187" s="139">
        <v>56</v>
      </c>
      <c r="O187" s="139">
        <v>13719</v>
      </c>
      <c r="P187" s="139" t="s">
        <v>23</v>
      </c>
      <c r="Q187" s="139" t="s">
        <v>23</v>
      </c>
      <c r="R187" s="139" t="s">
        <v>23</v>
      </c>
      <c r="S187" s="139">
        <f t="shared" si="11"/>
        <v>13775</v>
      </c>
    </row>
    <row r="188" spans="1:19">
      <c r="A188" s="95">
        <v>1991</v>
      </c>
      <c r="B188" s="139" t="s">
        <v>23</v>
      </c>
      <c r="C188" s="139" t="s">
        <v>23</v>
      </c>
      <c r="D188" s="139">
        <v>2944</v>
      </c>
      <c r="E188" s="139">
        <v>7299</v>
      </c>
      <c r="F188" s="139">
        <v>3393</v>
      </c>
      <c r="G188" s="139">
        <v>5784</v>
      </c>
      <c r="H188" s="139">
        <v>7030</v>
      </c>
      <c r="I188" s="139">
        <v>6957</v>
      </c>
      <c r="J188" s="139" t="s">
        <v>23</v>
      </c>
      <c r="K188" s="139" t="s">
        <v>23</v>
      </c>
      <c r="L188" s="139">
        <f t="shared" si="10"/>
        <v>33407</v>
      </c>
      <c r="N188" s="139">
        <v>58218</v>
      </c>
      <c r="O188" s="139">
        <v>30362</v>
      </c>
      <c r="P188" s="139" t="s">
        <v>23</v>
      </c>
      <c r="Q188" s="139" t="s">
        <v>23</v>
      </c>
      <c r="R188" s="139" t="s">
        <v>23</v>
      </c>
      <c r="S188" s="139">
        <f t="shared" si="11"/>
        <v>88580</v>
      </c>
    </row>
    <row r="189" spans="1:19">
      <c r="A189" s="95">
        <v>1992</v>
      </c>
      <c r="B189" s="139" t="s">
        <v>23</v>
      </c>
      <c r="C189" s="139" t="s">
        <v>23</v>
      </c>
      <c r="D189" s="139">
        <v>19619</v>
      </c>
      <c r="E189" s="139" t="s">
        <v>23</v>
      </c>
      <c r="F189" s="139">
        <v>28494</v>
      </c>
      <c r="G189" s="139">
        <v>21880</v>
      </c>
      <c r="H189" s="139">
        <v>8556</v>
      </c>
      <c r="I189" s="139">
        <v>16228</v>
      </c>
      <c r="J189" s="139" t="s">
        <v>23</v>
      </c>
      <c r="K189" s="139" t="s">
        <v>23</v>
      </c>
      <c r="L189" s="139">
        <f t="shared" si="10"/>
        <v>94777</v>
      </c>
      <c r="N189" s="139" t="s">
        <v>23</v>
      </c>
      <c r="O189" s="139">
        <v>19045</v>
      </c>
      <c r="P189" s="139">
        <v>15942</v>
      </c>
      <c r="Q189" s="139" t="s">
        <v>23</v>
      </c>
      <c r="R189" s="139" t="s">
        <v>23</v>
      </c>
      <c r="S189" s="139">
        <f t="shared" si="11"/>
        <v>34987</v>
      </c>
    </row>
    <row r="190" spans="1:19">
      <c r="A190" s="95">
        <v>1993</v>
      </c>
      <c r="B190" s="139" t="s">
        <v>23</v>
      </c>
      <c r="C190" s="139" t="s">
        <v>23</v>
      </c>
      <c r="D190" s="139">
        <v>17103</v>
      </c>
      <c r="E190" s="139">
        <v>13666</v>
      </c>
      <c r="F190" s="139">
        <v>11953</v>
      </c>
      <c r="G190" s="139">
        <v>9398</v>
      </c>
      <c r="H190" s="139">
        <v>8561</v>
      </c>
      <c r="I190" s="139">
        <v>3542</v>
      </c>
      <c r="J190" s="139" t="s">
        <v>23</v>
      </c>
      <c r="K190" s="139" t="s">
        <v>23</v>
      </c>
      <c r="L190" s="139">
        <f t="shared" si="10"/>
        <v>64223</v>
      </c>
      <c r="N190" s="139" t="s">
        <v>23</v>
      </c>
      <c r="O190" s="139" t="s">
        <v>23</v>
      </c>
      <c r="P190" s="139">
        <v>2</v>
      </c>
      <c r="Q190" s="139" t="s">
        <v>23</v>
      </c>
      <c r="R190" s="139" t="s">
        <v>23</v>
      </c>
      <c r="S190" s="139">
        <f t="shared" si="11"/>
        <v>2</v>
      </c>
    </row>
    <row r="191" spans="1:19">
      <c r="A191" s="95">
        <v>1994</v>
      </c>
      <c r="B191" s="139" t="s">
        <v>23</v>
      </c>
      <c r="C191" s="139" t="s">
        <v>23</v>
      </c>
      <c r="D191" s="139">
        <v>7178</v>
      </c>
      <c r="E191" s="139">
        <v>7047</v>
      </c>
      <c r="F191" s="139" t="s">
        <v>23</v>
      </c>
      <c r="G191" s="139" t="s">
        <v>23</v>
      </c>
      <c r="H191" s="139">
        <v>1040</v>
      </c>
      <c r="I191" s="139">
        <v>2803</v>
      </c>
      <c r="J191" s="139" t="s">
        <v>23</v>
      </c>
      <c r="K191" s="139" t="s">
        <v>23</v>
      </c>
      <c r="L191" s="139">
        <f t="shared" si="10"/>
        <v>18068</v>
      </c>
      <c r="N191" s="139" t="s">
        <v>23</v>
      </c>
      <c r="O191" s="139" t="s">
        <v>23</v>
      </c>
      <c r="P191" s="139" t="s">
        <v>23</v>
      </c>
      <c r="Q191" s="139" t="s">
        <v>23</v>
      </c>
      <c r="R191" s="139" t="s">
        <v>23</v>
      </c>
      <c r="S191" s="139" t="s">
        <v>23</v>
      </c>
    </row>
    <row r="192" spans="1:19">
      <c r="A192" s="95">
        <v>1995</v>
      </c>
      <c r="B192" s="139" t="s">
        <v>23</v>
      </c>
      <c r="C192" s="139" t="s">
        <v>23</v>
      </c>
      <c r="D192" s="139">
        <v>8610</v>
      </c>
      <c r="E192" s="139">
        <v>27986</v>
      </c>
      <c r="F192" s="139" t="s">
        <v>23</v>
      </c>
      <c r="G192" s="139">
        <v>79387</v>
      </c>
      <c r="H192" s="139">
        <v>33322</v>
      </c>
      <c r="I192" s="139">
        <v>24891</v>
      </c>
      <c r="J192" s="139" t="s">
        <v>23</v>
      </c>
      <c r="K192" s="139" t="s">
        <v>23</v>
      </c>
      <c r="L192" s="139">
        <f t="shared" si="10"/>
        <v>174196</v>
      </c>
      <c r="N192" s="139" t="s">
        <v>23</v>
      </c>
      <c r="O192" s="139" t="s">
        <v>23</v>
      </c>
      <c r="P192" s="139" t="s">
        <v>23</v>
      </c>
      <c r="Q192" s="139" t="s">
        <v>23</v>
      </c>
      <c r="R192" s="139" t="s">
        <v>23</v>
      </c>
      <c r="S192" s="139" t="s">
        <v>23</v>
      </c>
    </row>
    <row r="193" spans="1:19">
      <c r="A193" s="95">
        <v>1996</v>
      </c>
      <c r="B193" s="139" t="s">
        <v>23</v>
      </c>
      <c r="C193" s="139" t="s">
        <v>23</v>
      </c>
      <c r="D193" s="139">
        <v>22690</v>
      </c>
      <c r="E193" s="139">
        <v>20565</v>
      </c>
      <c r="F193" s="139" t="s">
        <v>23</v>
      </c>
      <c r="G193" s="139">
        <v>53636</v>
      </c>
      <c r="H193" s="139">
        <v>19394</v>
      </c>
      <c r="I193" s="139">
        <v>11534</v>
      </c>
      <c r="J193" s="139" t="s">
        <v>23</v>
      </c>
      <c r="K193" s="139" t="s">
        <v>23</v>
      </c>
      <c r="L193" s="139">
        <f t="shared" si="10"/>
        <v>127819</v>
      </c>
      <c r="N193" s="139" t="s">
        <v>23</v>
      </c>
      <c r="O193" s="139" t="s">
        <v>23</v>
      </c>
      <c r="P193" s="139" t="s">
        <v>23</v>
      </c>
      <c r="Q193" s="139" t="s">
        <v>23</v>
      </c>
      <c r="R193" s="139" t="s">
        <v>23</v>
      </c>
      <c r="S193" s="139" t="s">
        <v>23</v>
      </c>
    </row>
    <row r="194" spans="1:19">
      <c r="A194" s="95">
        <v>1997</v>
      </c>
      <c r="B194" s="139" t="s">
        <v>23</v>
      </c>
      <c r="C194" s="139">
        <v>2369</v>
      </c>
      <c r="D194" s="139">
        <v>24047</v>
      </c>
      <c r="E194" s="139">
        <v>26925</v>
      </c>
      <c r="F194" s="139" t="s">
        <v>23</v>
      </c>
      <c r="G194" s="139">
        <v>38819</v>
      </c>
      <c r="H194" s="139">
        <v>23978</v>
      </c>
      <c r="I194" s="139">
        <v>2828</v>
      </c>
      <c r="J194" s="139" t="s">
        <v>23</v>
      </c>
      <c r="K194" s="139" t="s">
        <v>23</v>
      </c>
      <c r="L194" s="139">
        <f t="shared" si="10"/>
        <v>118966</v>
      </c>
      <c r="N194" s="139" t="s">
        <v>23</v>
      </c>
      <c r="O194" s="139" t="s">
        <v>23</v>
      </c>
      <c r="P194" s="139" t="s">
        <v>23</v>
      </c>
      <c r="Q194" s="139" t="s">
        <v>23</v>
      </c>
      <c r="R194" s="139" t="s">
        <v>23</v>
      </c>
      <c r="S194" s="139" t="s">
        <v>23</v>
      </c>
    </row>
    <row r="195" spans="1:19">
      <c r="A195" s="95">
        <v>1998</v>
      </c>
      <c r="B195" s="139" t="s">
        <v>23</v>
      </c>
      <c r="C195" s="139">
        <v>16486</v>
      </c>
      <c r="D195" s="139">
        <v>34071</v>
      </c>
      <c r="E195" s="139">
        <v>25029</v>
      </c>
      <c r="F195" s="139" t="s">
        <v>23</v>
      </c>
      <c r="G195" s="139">
        <v>15983</v>
      </c>
      <c r="H195" s="139">
        <v>2293</v>
      </c>
      <c r="I195" s="139">
        <v>930</v>
      </c>
      <c r="J195" s="139" t="s">
        <v>23</v>
      </c>
      <c r="K195" s="139" t="s">
        <v>23</v>
      </c>
      <c r="L195" s="139">
        <f t="shared" si="10"/>
        <v>94792</v>
      </c>
      <c r="N195" s="139" t="s">
        <v>23</v>
      </c>
      <c r="O195" s="139" t="s">
        <v>23</v>
      </c>
      <c r="P195" s="139" t="s">
        <v>23</v>
      </c>
      <c r="Q195" s="139" t="s">
        <v>23</v>
      </c>
      <c r="R195" s="139" t="s">
        <v>23</v>
      </c>
      <c r="S195" s="139" t="s">
        <v>23</v>
      </c>
    </row>
    <row r="196" spans="1:19">
      <c r="A196" s="95">
        <v>1999</v>
      </c>
      <c r="B196" s="139" t="s">
        <v>23</v>
      </c>
      <c r="C196" s="139">
        <v>612</v>
      </c>
      <c r="D196" s="139">
        <v>4501</v>
      </c>
      <c r="E196" s="139">
        <v>5721</v>
      </c>
      <c r="F196" s="139">
        <v>3163</v>
      </c>
      <c r="G196" s="139">
        <v>1028</v>
      </c>
      <c r="H196" s="139">
        <v>98</v>
      </c>
      <c r="I196" s="139">
        <v>741</v>
      </c>
      <c r="J196" s="139" t="s">
        <v>23</v>
      </c>
      <c r="K196" s="139" t="s">
        <v>23</v>
      </c>
      <c r="L196" s="139">
        <f t="shared" si="10"/>
        <v>15864</v>
      </c>
      <c r="N196" s="139" t="s">
        <v>23</v>
      </c>
      <c r="O196" s="139" t="s">
        <v>23</v>
      </c>
      <c r="P196" s="139" t="s">
        <v>23</v>
      </c>
      <c r="Q196" s="139" t="s">
        <v>23</v>
      </c>
      <c r="R196" s="139" t="s">
        <v>23</v>
      </c>
      <c r="S196" s="139" t="s">
        <v>23</v>
      </c>
    </row>
    <row r="197" spans="1:19">
      <c r="A197" s="95">
        <v>2000</v>
      </c>
      <c r="B197" s="139" t="s">
        <v>23</v>
      </c>
      <c r="C197" s="139">
        <v>595</v>
      </c>
      <c r="D197" s="139">
        <v>4426</v>
      </c>
      <c r="E197" s="139">
        <v>5762</v>
      </c>
      <c r="F197" s="139">
        <v>4409</v>
      </c>
      <c r="G197" s="139">
        <v>14178</v>
      </c>
      <c r="H197" s="139">
        <v>14926</v>
      </c>
      <c r="I197" s="139">
        <v>4715</v>
      </c>
      <c r="J197" s="139" t="s">
        <v>23</v>
      </c>
      <c r="K197" s="139" t="s">
        <v>23</v>
      </c>
      <c r="L197" s="139">
        <f t="shared" si="10"/>
        <v>49011</v>
      </c>
      <c r="N197" s="139" t="s">
        <v>23</v>
      </c>
      <c r="O197" s="139" t="s">
        <v>23</v>
      </c>
      <c r="P197" s="139" t="s">
        <v>23</v>
      </c>
      <c r="Q197" s="139" t="s">
        <v>23</v>
      </c>
      <c r="R197" s="139" t="s">
        <v>23</v>
      </c>
      <c r="S197" s="139" t="s">
        <v>23</v>
      </c>
    </row>
    <row r="198" spans="1:19">
      <c r="A198" s="95">
        <v>2001</v>
      </c>
      <c r="B198" s="139" t="s">
        <v>23</v>
      </c>
      <c r="C198" s="139">
        <v>8536</v>
      </c>
      <c r="D198" s="139">
        <v>45372</v>
      </c>
      <c r="E198" s="139">
        <v>28016</v>
      </c>
      <c r="F198" s="139">
        <v>15669</v>
      </c>
      <c r="G198" s="139">
        <v>40694</v>
      </c>
      <c r="H198" s="139">
        <v>20356</v>
      </c>
      <c r="I198" s="139">
        <v>10001</v>
      </c>
      <c r="J198" s="139" t="s">
        <v>23</v>
      </c>
      <c r="K198" s="139" t="s">
        <v>23</v>
      </c>
      <c r="L198" s="139">
        <f t="shared" si="10"/>
        <v>168644</v>
      </c>
      <c r="N198" s="139" t="s">
        <v>23</v>
      </c>
      <c r="O198" s="139" t="s">
        <v>23</v>
      </c>
      <c r="P198" s="139" t="s">
        <v>23</v>
      </c>
      <c r="Q198" s="139" t="s">
        <v>23</v>
      </c>
      <c r="R198" s="139" t="s">
        <v>23</v>
      </c>
      <c r="S198" s="139" t="s">
        <v>23</v>
      </c>
    </row>
    <row r="199" spans="1:19">
      <c r="A199" s="95">
        <v>2002</v>
      </c>
      <c r="B199" s="139">
        <v>3938</v>
      </c>
      <c r="C199" s="139">
        <v>4321</v>
      </c>
      <c r="D199" s="139">
        <v>12233</v>
      </c>
      <c r="E199" s="139">
        <v>7372</v>
      </c>
      <c r="F199" s="139">
        <v>5135</v>
      </c>
      <c r="G199" s="139">
        <v>7648</v>
      </c>
      <c r="H199" s="139">
        <v>34931</v>
      </c>
      <c r="I199" s="139">
        <v>56506</v>
      </c>
      <c r="J199" s="139" t="s">
        <v>23</v>
      </c>
      <c r="K199" s="139" t="s">
        <v>23</v>
      </c>
      <c r="L199" s="139">
        <f t="shared" si="10"/>
        <v>132084</v>
      </c>
      <c r="N199" s="139" t="s">
        <v>23</v>
      </c>
      <c r="O199" s="139" t="s">
        <v>23</v>
      </c>
      <c r="P199" s="139" t="s">
        <v>23</v>
      </c>
      <c r="Q199" s="139" t="s">
        <v>23</v>
      </c>
      <c r="R199" s="139" t="s">
        <v>23</v>
      </c>
      <c r="S199" s="139" t="s">
        <v>23</v>
      </c>
    </row>
    <row r="200" spans="1:19">
      <c r="A200" s="95">
        <v>2003</v>
      </c>
      <c r="B200" s="139">
        <v>674</v>
      </c>
      <c r="C200" s="139">
        <v>8915</v>
      </c>
      <c r="D200" s="139">
        <v>24752</v>
      </c>
      <c r="E200" s="139">
        <v>12180</v>
      </c>
      <c r="F200" s="139">
        <v>12769</v>
      </c>
      <c r="G200" s="139">
        <v>22804</v>
      </c>
      <c r="H200" s="139">
        <v>36204</v>
      </c>
      <c r="I200" s="139">
        <v>30252</v>
      </c>
      <c r="J200" s="139" t="s">
        <v>23</v>
      </c>
      <c r="K200" s="139" t="s">
        <v>23</v>
      </c>
      <c r="L200" s="139">
        <f t="shared" si="10"/>
        <v>148550</v>
      </c>
      <c r="N200" s="139" t="s">
        <v>23</v>
      </c>
      <c r="O200" s="139" t="s">
        <v>23</v>
      </c>
      <c r="P200" s="139" t="s">
        <v>23</v>
      </c>
      <c r="Q200" s="139" t="s">
        <v>23</v>
      </c>
      <c r="R200" s="139" t="s">
        <v>23</v>
      </c>
      <c r="S200" s="139" t="s">
        <v>23</v>
      </c>
    </row>
    <row r="201" spans="1:19">
      <c r="A201" s="95">
        <v>2004</v>
      </c>
      <c r="B201" s="139">
        <v>12970</v>
      </c>
      <c r="C201" s="139">
        <v>12286</v>
      </c>
      <c r="D201" s="139">
        <v>26499</v>
      </c>
      <c r="E201" s="139">
        <v>7350</v>
      </c>
      <c r="F201" s="139">
        <v>8085</v>
      </c>
      <c r="G201" s="139">
        <v>11018</v>
      </c>
      <c r="H201" s="139">
        <v>12354</v>
      </c>
      <c r="I201" s="139">
        <v>726</v>
      </c>
      <c r="J201" s="139" t="s">
        <v>23</v>
      </c>
      <c r="K201" s="139" t="s">
        <v>23</v>
      </c>
      <c r="L201" s="139">
        <f t="shared" si="10"/>
        <v>91288</v>
      </c>
      <c r="N201" s="139" t="s">
        <v>23</v>
      </c>
      <c r="O201" s="139" t="s">
        <v>23</v>
      </c>
      <c r="P201" s="139" t="s">
        <v>23</v>
      </c>
      <c r="Q201" s="139" t="s">
        <v>23</v>
      </c>
      <c r="R201" s="139" t="s">
        <v>23</v>
      </c>
      <c r="S201" s="139" t="s">
        <v>23</v>
      </c>
    </row>
    <row r="202" spans="1:19">
      <c r="A202" s="95">
        <v>2005</v>
      </c>
      <c r="B202" s="139">
        <v>4171</v>
      </c>
      <c r="C202" s="139">
        <v>2209</v>
      </c>
      <c r="D202" s="139">
        <v>7347</v>
      </c>
      <c r="E202" s="139">
        <v>39240</v>
      </c>
      <c r="F202" s="139" t="s">
        <v>23</v>
      </c>
      <c r="G202" s="139" t="s">
        <v>23</v>
      </c>
      <c r="H202" s="139">
        <v>29592</v>
      </c>
      <c r="I202" s="139">
        <v>7505</v>
      </c>
      <c r="J202" s="139" t="s">
        <v>23</v>
      </c>
      <c r="K202" s="139" t="s">
        <v>23</v>
      </c>
      <c r="L202" s="139">
        <f>SUM(B202:K202)</f>
        <v>90064</v>
      </c>
      <c r="N202" s="139" t="s">
        <v>23</v>
      </c>
      <c r="O202" s="139" t="s">
        <v>23</v>
      </c>
      <c r="P202" s="139" t="s">
        <v>23</v>
      </c>
      <c r="Q202" s="139" t="s">
        <v>23</v>
      </c>
      <c r="R202" s="139" t="s">
        <v>23</v>
      </c>
      <c r="S202" s="139" t="s">
        <v>23</v>
      </c>
    </row>
    <row r="203" spans="1:19">
      <c r="A203" s="95">
        <v>2006</v>
      </c>
      <c r="B203" s="135" t="s">
        <v>23</v>
      </c>
      <c r="C203" s="135" t="s">
        <v>23</v>
      </c>
      <c r="D203" s="135" t="s">
        <v>23</v>
      </c>
      <c r="E203" s="135">
        <v>8397</v>
      </c>
      <c r="F203" s="135">
        <v>3556</v>
      </c>
      <c r="G203" s="135">
        <v>923</v>
      </c>
      <c r="H203" s="135">
        <v>3852</v>
      </c>
      <c r="I203" s="135">
        <v>1528</v>
      </c>
      <c r="J203" s="135">
        <v>639</v>
      </c>
      <c r="K203" s="135" t="s">
        <v>23</v>
      </c>
      <c r="L203" s="139">
        <f>SUM(B203:K203)</f>
        <v>18895</v>
      </c>
      <c r="N203" s="139" t="s">
        <v>23</v>
      </c>
      <c r="O203" s="139" t="s">
        <v>23</v>
      </c>
      <c r="P203" s="139" t="s">
        <v>23</v>
      </c>
      <c r="Q203" s="139" t="s">
        <v>23</v>
      </c>
      <c r="R203" s="139" t="s">
        <v>23</v>
      </c>
      <c r="S203" s="139" t="s">
        <v>23</v>
      </c>
    </row>
    <row r="204" spans="1:19">
      <c r="A204" s="95">
        <v>2007</v>
      </c>
      <c r="B204" s="135" t="s">
        <v>23</v>
      </c>
      <c r="C204" s="135">
        <v>279</v>
      </c>
      <c r="D204" s="135">
        <v>1553</v>
      </c>
      <c r="E204" s="135">
        <v>1427</v>
      </c>
      <c r="F204" s="135">
        <v>323</v>
      </c>
      <c r="G204" s="135">
        <v>338</v>
      </c>
      <c r="H204" s="135">
        <v>88</v>
      </c>
      <c r="I204" s="135">
        <v>54</v>
      </c>
      <c r="J204" s="135">
        <v>2</v>
      </c>
      <c r="K204" s="135" t="s">
        <v>23</v>
      </c>
      <c r="L204" s="139">
        <f>SUM(B204:K204)</f>
        <v>4064</v>
      </c>
      <c r="N204" s="139" t="s">
        <v>23</v>
      </c>
      <c r="O204" s="139" t="s">
        <v>23</v>
      </c>
      <c r="P204" s="139">
        <v>1607</v>
      </c>
      <c r="Q204" s="139">
        <v>276</v>
      </c>
      <c r="R204" s="139" t="s">
        <v>23</v>
      </c>
      <c r="S204" s="139">
        <f>SUM(N204:R204)</f>
        <v>1883</v>
      </c>
    </row>
    <row r="205" spans="1:19">
      <c r="A205" s="95">
        <v>2008</v>
      </c>
      <c r="B205" s="135" t="s">
        <v>23</v>
      </c>
      <c r="C205" s="135" t="s">
        <v>23</v>
      </c>
      <c r="D205" s="135" t="s">
        <v>23</v>
      </c>
      <c r="E205" s="135" t="s">
        <v>23</v>
      </c>
      <c r="F205" s="135" t="s">
        <v>23</v>
      </c>
      <c r="G205" s="135" t="s">
        <v>23</v>
      </c>
      <c r="H205" s="135" t="s">
        <v>23</v>
      </c>
      <c r="I205" s="135" t="s">
        <v>23</v>
      </c>
      <c r="J205" s="135" t="s">
        <v>23</v>
      </c>
      <c r="K205" s="135" t="s">
        <v>23</v>
      </c>
      <c r="L205" s="139" t="s">
        <v>23</v>
      </c>
      <c r="N205" s="139" t="s">
        <v>23</v>
      </c>
      <c r="O205" s="139" t="s">
        <v>23</v>
      </c>
      <c r="P205" s="139" t="s">
        <v>23</v>
      </c>
      <c r="Q205" s="139" t="s">
        <v>23</v>
      </c>
      <c r="R205" s="139" t="s">
        <v>23</v>
      </c>
      <c r="S205" s="139" t="s">
        <v>23</v>
      </c>
    </row>
    <row r="206" spans="1:19">
      <c r="A206" s="95">
        <v>2009</v>
      </c>
      <c r="B206" s="135" t="s">
        <v>23</v>
      </c>
      <c r="C206" s="135" t="s">
        <v>23</v>
      </c>
      <c r="D206" s="135" t="s">
        <v>23</v>
      </c>
      <c r="E206" s="135" t="s">
        <v>23</v>
      </c>
      <c r="F206" s="135" t="s">
        <v>23</v>
      </c>
      <c r="G206" s="135" t="s">
        <v>23</v>
      </c>
      <c r="H206" s="135" t="s">
        <v>23</v>
      </c>
      <c r="I206" s="135" t="s">
        <v>23</v>
      </c>
      <c r="J206" s="135" t="s">
        <v>23</v>
      </c>
      <c r="K206" s="135" t="s">
        <v>23</v>
      </c>
      <c r="L206" s="139" t="s">
        <v>23</v>
      </c>
      <c r="N206" s="139" t="s">
        <v>23</v>
      </c>
      <c r="O206" s="139" t="s">
        <v>23</v>
      </c>
      <c r="P206" s="139" t="s">
        <v>23</v>
      </c>
      <c r="Q206" s="139">
        <v>5105</v>
      </c>
      <c r="R206" s="139" t="s">
        <v>23</v>
      </c>
      <c r="S206" s="139">
        <f>SUM(N206:R206)</f>
        <v>5105</v>
      </c>
    </row>
    <row r="207" spans="1:19">
      <c r="A207" s="95">
        <v>2010</v>
      </c>
      <c r="B207" s="135" t="s">
        <v>23</v>
      </c>
      <c r="C207" s="135" t="s">
        <v>23</v>
      </c>
      <c r="D207" s="135">
        <f>10+886+1373+889+792</f>
        <v>3950</v>
      </c>
      <c r="E207" s="135">
        <f>599+1349+316+1249</f>
        <v>3513</v>
      </c>
      <c r="F207" s="135">
        <f>1270+96+63+325+751</f>
        <v>2505</v>
      </c>
      <c r="G207" s="135">
        <f>1796+455+88+70</f>
        <v>2409</v>
      </c>
      <c r="H207" s="135" t="s">
        <v>23</v>
      </c>
      <c r="I207" s="135" t="s">
        <v>23</v>
      </c>
      <c r="J207" s="135" t="s">
        <v>23</v>
      </c>
      <c r="K207" s="135" t="s">
        <v>23</v>
      </c>
      <c r="L207" s="139">
        <f t="shared" ref="L207:L218" si="12">SUM(B207:K207)</f>
        <v>12377</v>
      </c>
      <c r="N207" s="139" t="s">
        <v>23</v>
      </c>
      <c r="O207" s="139" t="s">
        <v>23</v>
      </c>
      <c r="P207" s="139" t="s">
        <v>23</v>
      </c>
      <c r="Q207" s="139" t="s">
        <v>23</v>
      </c>
      <c r="R207" s="139" t="s">
        <v>23</v>
      </c>
      <c r="S207" s="139" t="s">
        <v>23</v>
      </c>
    </row>
    <row r="208" spans="1:19">
      <c r="A208" s="95">
        <v>2011</v>
      </c>
      <c r="B208" s="135" t="s">
        <v>23</v>
      </c>
      <c r="C208" s="135">
        <v>378</v>
      </c>
      <c r="D208" s="135">
        <v>2357</v>
      </c>
      <c r="E208" s="135">
        <v>1477</v>
      </c>
      <c r="F208" s="135">
        <v>192</v>
      </c>
      <c r="G208" s="135">
        <v>561</v>
      </c>
      <c r="H208" s="135" t="s">
        <v>23</v>
      </c>
      <c r="I208" s="135">
        <v>15</v>
      </c>
      <c r="J208" s="135" t="s">
        <v>23</v>
      </c>
      <c r="K208" s="135" t="s">
        <v>23</v>
      </c>
      <c r="L208" s="139">
        <f t="shared" si="12"/>
        <v>4980</v>
      </c>
      <c r="N208" s="139" t="s">
        <v>23</v>
      </c>
      <c r="O208" s="139" t="s">
        <v>23</v>
      </c>
      <c r="P208" s="139" t="s">
        <v>23</v>
      </c>
      <c r="Q208" s="139" t="s">
        <v>23</v>
      </c>
      <c r="R208" s="139" t="s">
        <v>23</v>
      </c>
      <c r="S208" s="139" t="s">
        <v>23</v>
      </c>
    </row>
    <row r="209" spans="1:19">
      <c r="A209" s="95">
        <v>2012</v>
      </c>
      <c r="B209" s="135" t="s">
        <v>23</v>
      </c>
      <c r="C209" s="135">
        <v>1090</v>
      </c>
      <c r="D209" s="135">
        <v>4408</v>
      </c>
      <c r="E209" s="135">
        <v>2578</v>
      </c>
      <c r="F209" s="135">
        <v>998</v>
      </c>
      <c r="G209" s="135">
        <v>5819</v>
      </c>
      <c r="H209" s="135">
        <v>8550</v>
      </c>
      <c r="I209" s="135">
        <v>3169</v>
      </c>
      <c r="J209" s="135" t="s">
        <v>23</v>
      </c>
      <c r="K209" s="135" t="s">
        <v>23</v>
      </c>
      <c r="L209" s="139">
        <f t="shared" si="12"/>
        <v>26612</v>
      </c>
      <c r="N209" s="139" t="s">
        <v>23</v>
      </c>
      <c r="O209" s="139" t="s">
        <v>23</v>
      </c>
      <c r="P209" s="139" t="s">
        <v>23</v>
      </c>
      <c r="Q209" s="139" t="s">
        <v>23</v>
      </c>
      <c r="R209" s="139" t="s">
        <v>23</v>
      </c>
      <c r="S209" s="139" t="s">
        <v>23</v>
      </c>
    </row>
    <row r="210" spans="1:19">
      <c r="A210" s="95">
        <v>2013</v>
      </c>
      <c r="B210" s="135" t="s">
        <v>23</v>
      </c>
      <c r="C210" s="135">
        <v>2186</v>
      </c>
      <c r="D210" s="135">
        <v>3436</v>
      </c>
      <c r="E210" s="135">
        <v>1740</v>
      </c>
      <c r="F210" s="135">
        <v>1443</v>
      </c>
      <c r="G210" s="135">
        <v>5569</v>
      </c>
      <c r="H210" s="135">
        <v>865</v>
      </c>
      <c r="I210" s="135">
        <v>461</v>
      </c>
      <c r="J210" s="135" t="s">
        <v>23</v>
      </c>
      <c r="K210" s="135" t="s">
        <v>23</v>
      </c>
      <c r="L210" s="139">
        <f t="shared" si="12"/>
        <v>15700</v>
      </c>
      <c r="N210" s="139" t="s">
        <v>23</v>
      </c>
      <c r="O210" s="139" t="s">
        <v>23</v>
      </c>
      <c r="P210" s="139" t="s">
        <v>23</v>
      </c>
      <c r="Q210" s="139" t="s">
        <v>23</v>
      </c>
      <c r="R210" s="139" t="s">
        <v>23</v>
      </c>
      <c r="S210" s="139" t="s">
        <v>23</v>
      </c>
    </row>
    <row r="211" spans="1:19">
      <c r="A211" s="95">
        <v>2014</v>
      </c>
      <c r="B211" s="135" t="s">
        <v>23</v>
      </c>
      <c r="C211" s="135">
        <v>9078</v>
      </c>
      <c r="D211" s="135">
        <v>18829</v>
      </c>
      <c r="E211" s="135">
        <v>8108</v>
      </c>
      <c r="F211" s="135">
        <v>6348</v>
      </c>
      <c r="G211" s="135">
        <v>36167</v>
      </c>
      <c r="H211" s="135">
        <v>3658</v>
      </c>
      <c r="I211" s="135">
        <v>934</v>
      </c>
      <c r="J211" s="135" t="s">
        <v>23</v>
      </c>
      <c r="K211" s="135" t="s">
        <v>23</v>
      </c>
      <c r="L211" s="139">
        <f t="shared" si="12"/>
        <v>83122</v>
      </c>
      <c r="N211" s="139" t="s">
        <v>23</v>
      </c>
      <c r="O211" s="139" t="s">
        <v>23</v>
      </c>
      <c r="P211" s="139" t="s">
        <v>23</v>
      </c>
      <c r="Q211" s="139">
        <v>1222</v>
      </c>
      <c r="R211" s="139" t="s">
        <v>23</v>
      </c>
      <c r="S211" s="139">
        <f>SUM(N211:R211)</f>
        <v>1222</v>
      </c>
    </row>
    <row r="212" spans="1:19">
      <c r="A212" s="95">
        <v>2015</v>
      </c>
      <c r="B212" s="135" t="s">
        <v>23</v>
      </c>
      <c r="C212" s="135">
        <v>7286</v>
      </c>
      <c r="D212" s="135">
        <v>2240</v>
      </c>
      <c r="E212" s="135">
        <v>2503</v>
      </c>
      <c r="F212" s="135">
        <v>18472</v>
      </c>
      <c r="G212" s="135">
        <v>5544</v>
      </c>
      <c r="H212" s="135">
        <v>813</v>
      </c>
      <c r="I212" s="135" t="s">
        <v>23</v>
      </c>
      <c r="J212" s="135" t="s">
        <v>23</v>
      </c>
      <c r="K212" s="135" t="s">
        <v>23</v>
      </c>
      <c r="L212" s="139">
        <f>SUM(B212:K212)</f>
        <v>36858</v>
      </c>
      <c r="N212" s="139" t="s">
        <v>23</v>
      </c>
      <c r="O212" s="139" t="s">
        <v>23</v>
      </c>
      <c r="P212" s="139" t="s">
        <v>23</v>
      </c>
      <c r="Q212" s="139" t="s">
        <v>23</v>
      </c>
      <c r="R212" s="139" t="s">
        <v>23</v>
      </c>
      <c r="S212" s="139" t="s">
        <v>23</v>
      </c>
    </row>
    <row r="213" spans="1:19">
      <c r="A213" s="95">
        <v>2016</v>
      </c>
      <c r="B213" s="135" t="s">
        <v>23</v>
      </c>
      <c r="C213" s="135">
        <v>5610</v>
      </c>
      <c r="D213" s="135">
        <v>5044</v>
      </c>
      <c r="E213" s="135">
        <v>1948</v>
      </c>
      <c r="F213" s="135">
        <v>9188</v>
      </c>
      <c r="G213" s="135">
        <v>8063</v>
      </c>
      <c r="H213" s="135">
        <v>1426</v>
      </c>
      <c r="I213" s="135">
        <v>2</v>
      </c>
      <c r="J213" s="135" t="s">
        <v>23</v>
      </c>
      <c r="K213" s="135" t="s">
        <v>23</v>
      </c>
      <c r="L213" s="139">
        <f>SUM(B213:K213)</f>
        <v>31281</v>
      </c>
      <c r="N213" s="139" t="s">
        <v>23</v>
      </c>
      <c r="O213" s="139" t="s">
        <v>23</v>
      </c>
      <c r="P213" s="139" t="s">
        <v>23</v>
      </c>
      <c r="Q213" s="139" t="s">
        <v>23</v>
      </c>
      <c r="R213" s="139" t="s">
        <v>23</v>
      </c>
      <c r="S213" s="139" t="s">
        <v>23</v>
      </c>
    </row>
    <row r="214" spans="1:19">
      <c r="A214" s="95">
        <v>2017</v>
      </c>
      <c r="B214" s="135" t="s">
        <v>23</v>
      </c>
      <c r="C214" s="135">
        <v>547</v>
      </c>
      <c r="D214" s="135">
        <v>904</v>
      </c>
      <c r="E214" s="135">
        <v>2950</v>
      </c>
      <c r="F214" s="135">
        <v>13002</v>
      </c>
      <c r="G214" s="135" t="s">
        <v>23</v>
      </c>
      <c r="H214" s="135">
        <v>25</v>
      </c>
      <c r="I214" s="135">
        <v>10</v>
      </c>
      <c r="J214" s="135" t="s">
        <v>23</v>
      </c>
      <c r="K214" s="135" t="s">
        <v>23</v>
      </c>
      <c r="L214" s="139">
        <f>SUM(B214:K214)</f>
        <v>17438</v>
      </c>
      <c r="N214" s="139" t="s">
        <v>23</v>
      </c>
      <c r="O214" s="139" t="s">
        <v>23</v>
      </c>
      <c r="P214" s="139" t="s">
        <v>23</v>
      </c>
      <c r="Q214" s="139" t="s">
        <v>23</v>
      </c>
      <c r="R214" s="139" t="s">
        <v>23</v>
      </c>
      <c r="S214" s="139" t="s">
        <v>23</v>
      </c>
    </row>
    <row r="215" spans="1:19">
      <c r="A215" s="95">
        <v>2018</v>
      </c>
      <c r="B215" s="135" t="s">
        <v>23</v>
      </c>
      <c r="C215" s="135" t="s">
        <v>23</v>
      </c>
      <c r="D215" s="135">
        <v>491</v>
      </c>
      <c r="E215" s="135">
        <v>709</v>
      </c>
      <c r="F215" s="135">
        <v>2101</v>
      </c>
      <c r="G215" s="135">
        <v>11031</v>
      </c>
      <c r="H215" s="135">
        <v>151</v>
      </c>
      <c r="I215" s="135">
        <v>4</v>
      </c>
      <c r="J215" s="135" t="s">
        <v>23</v>
      </c>
      <c r="K215" s="135" t="s">
        <v>23</v>
      </c>
      <c r="L215" s="139">
        <f>SUM(B215:K215)</f>
        <v>14487</v>
      </c>
      <c r="N215" s="139" t="s">
        <v>23</v>
      </c>
      <c r="O215" s="139" t="s">
        <v>23</v>
      </c>
      <c r="P215" s="139" t="s">
        <v>23</v>
      </c>
      <c r="Q215" s="139" t="s">
        <v>23</v>
      </c>
      <c r="R215" s="139" t="s">
        <v>23</v>
      </c>
      <c r="S215" s="139" t="s">
        <v>23</v>
      </c>
    </row>
    <row r="216" spans="1:19">
      <c r="A216" s="95">
        <v>2019</v>
      </c>
      <c r="B216" s="135" t="s">
        <v>23</v>
      </c>
      <c r="C216" s="135">
        <v>68</v>
      </c>
      <c r="D216" s="135">
        <v>351</v>
      </c>
      <c r="E216" s="135">
        <v>2602</v>
      </c>
      <c r="F216" s="135">
        <v>14763</v>
      </c>
      <c r="G216" s="135">
        <v>4436</v>
      </c>
      <c r="H216" s="135">
        <v>537</v>
      </c>
      <c r="I216" s="135">
        <v>14</v>
      </c>
      <c r="J216" s="135" t="s">
        <v>23</v>
      </c>
      <c r="K216" s="135" t="s">
        <v>23</v>
      </c>
      <c r="L216" s="139">
        <f t="shared" ref="L216" si="13">SUM(B216:K216)</f>
        <v>22771</v>
      </c>
      <c r="N216" s="139" t="s">
        <v>23</v>
      </c>
      <c r="O216" s="139" t="s">
        <v>23</v>
      </c>
      <c r="P216" s="139" t="s">
        <v>23</v>
      </c>
      <c r="Q216" s="139" t="s">
        <v>23</v>
      </c>
      <c r="R216" s="139" t="s">
        <v>23</v>
      </c>
      <c r="S216" s="139" t="s">
        <v>23</v>
      </c>
    </row>
    <row r="217" spans="1:19">
      <c r="A217" s="95">
        <v>2020</v>
      </c>
      <c r="B217" s="135" t="s">
        <v>23</v>
      </c>
      <c r="C217" s="135">
        <v>532</v>
      </c>
      <c r="D217" s="135">
        <v>709</v>
      </c>
      <c r="E217" s="135">
        <v>1786</v>
      </c>
      <c r="F217" s="135">
        <v>3790</v>
      </c>
      <c r="G217" s="135">
        <v>1672</v>
      </c>
      <c r="H217" s="135">
        <v>428</v>
      </c>
      <c r="I217" s="135">
        <v>17</v>
      </c>
      <c r="J217" s="135" t="s">
        <v>23</v>
      </c>
      <c r="K217" s="135" t="s">
        <v>23</v>
      </c>
      <c r="L217" s="139">
        <f t="shared" ref="L217" si="14">SUM(B217:K217)</f>
        <v>8934</v>
      </c>
      <c r="N217" s="139" t="s">
        <v>23</v>
      </c>
      <c r="O217" s="139" t="s">
        <v>23</v>
      </c>
      <c r="P217" s="139" t="s">
        <v>23</v>
      </c>
      <c r="Q217" s="139" t="s">
        <v>23</v>
      </c>
      <c r="R217" s="139" t="s">
        <v>23</v>
      </c>
      <c r="S217" s="139" t="s">
        <v>23</v>
      </c>
    </row>
    <row r="218" spans="1:19" ht="13">
      <c r="A218" s="95" t="s">
        <v>317</v>
      </c>
      <c r="B218" s="135">
        <v>229</v>
      </c>
      <c r="C218" s="135">
        <v>1970</v>
      </c>
      <c r="D218" s="135">
        <v>785</v>
      </c>
      <c r="E218" s="135">
        <v>264</v>
      </c>
      <c r="F218" s="135">
        <v>4444</v>
      </c>
      <c r="G218" s="135">
        <v>4942</v>
      </c>
      <c r="H218" s="135">
        <v>26</v>
      </c>
      <c r="I218" s="135">
        <v>7</v>
      </c>
      <c r="J218" s="135" t="s">
        <v>23</v>
      </c>
      <c r="K218" s="135" t="s">
        <v>23</v>
      </c>
      <c r="L218" s="139">
        <f t="shared" si="12"/>
        <v>12667</v>
      </c>
      <c r="N218" s="139" t="s">
        <v>23</v>
      </c>
      <c r="O218" s="139">
        <v>856</v>
      </c>
      <c r="P218" s="139">
        <v>1089</v>
      </c>
      <c r="Q218" s="139" t="s">
        <v>23</v>
      </c>
      <c r="R218" s="139" t="s">
        <v>23</v>
      </c>
      <c r="S218" s="139">
        <f>SUM(N218:R218)</f>
        <v>1945</v>
      </c>
    </row>
    <row r="220" spans="1:19">
      <c r="A220" s="88" t="s">
        <v>49</v>
      </c>
    </row>
    <row r="221" spans="1:19">
      <c r="A221" s="99">
        <v>1952</v>
      </c>
      <c r="B221" s="139">
        <v>0</v>
      </c>
      <c r="C221" s="139">
        <v>0</v>
      </c>
      <c r="D221" s="139">
        <v>259</v>
      </c>
      <c r="E221" s="139">
        <v>6027</v>
      </c>
      <c r="F221" s="139">
        <v>14808</v>
      </c>
      <c r="G221" s="139">
        <v>25749</v>
      </c>
      <c r="H221" s="139">
        <v>4124</v>
      </c>
      <c r="I221" s="139">
        <v>116</v>
      </c>
      <c r="J221" s="139" t="s">
        <v>23</v>
      </c>
      <c r="K221" s="139" t="s">
        <v>23</v>
      </c>
      <c r="L221" s="139">
        <f t="shared" ref="L221:L278" si="15">SUM(B221:K221)</f>
        <v>51083</v>
      </c>
      <c r="N221" s="139">
        <v>5740</v>
      </c>
      <c r="O221" s="139">
        <v>35467</v>
      </c>
      <c r="P221" s="139">
        <v>17324</v>
      </c>
      <c r="Q221" s="139">
        <v>1960</v>
      </c>
      <c r="R221" s="139">
        <v>390</v>
      </c>
      <c r="S221" s="139">
        <f t="shared" ref="S221:S254" si="16">SUM(N221:R221)</f>
        <v>60881</v>
      </c>
    </row>
    <row r="222" spans="1:19">
      <c r="A222" s="99">
        <v>1953</v>
      </c>
      <c r="B222" s="139">
        <v>0</v>
      </c>
      <c r="C222" s="139">
        <v>0</v>
      </c>
      <c r="D222" s="139">
        <v>3</v>
      </c>
      <c r="E222" s="139">
        <v>1996</v>
      </c>
      <c r="F222" s="139">
        <v>9009</v>
      </c>
      <c r="G222" s="139">
        <v>16619</v>
      </c>
      <c r="H222" s="139">
        <v>1546</v>
      </c>
      <c r="I222" s="139">
        <v>33</v>
      </c>
      <c r="J222" s="139" t="s">
        <v>23</v>
      </c>
      <c r="K222" s="139" t="s">
        <v>23</v>
      </c>
      <c r="L222" s="139">
        <f t="shared" si="15"/>
        <v>29206</v>
      </c>
      <c r="N222" s="139">
        <v>2990</v>
      </c>
      <c r="O222" s="139">
        <v>17868</v>
      </c>
      <c r="P222" s="139">
        <v>14058</v>
      </c>
      <c r="Q222" s="139">
        <v>2568</v>
      </c>
      <c r="R222" s="139">
        <v>225</v>
      </c>
      <c r="S222" s="139">
        <f t="shared" si="16"/>
        <v>37709</v>
      </c>
    </row>
    <row r="223" spans="1:19">
      <c r="A223" s="99">
        <v>1954</v>
      </c>
      <c r="B223" s="139">
        <v>0</v>
      </c>
      <c r="C223" s="139">
        <v>9</v>
      </c>
      <c r="D223" s="139">
        <v>1655</v>
      </c>
      <c r="E223" s="139">
        <v>8148</v>
      </c>
      <c r="F223" s="139">
        <v>18576</v>
      </c>
      <c r="G223" s="139">
        <v>26221</v>
      </c>
      <c r="H223" s="139">
        <v>12876</v>
      </c>
      <c r="I223" s="139">
        <v>1114</v>
      </c>
      <c r="J223" s="139" t="s">
        <v>23</v>
      </c>
      <c r="K223" s="139" t="s">
        <v>23</v>
      </c>
      <c r="L223" s="139">
        <f t="shared" si="15"/>
        <v>68599</v>
      </c>
      <c r="N223" s="139">
        <v>9745</v>
      </c>
      <c r="O223" s="139">
        <v>23622</v>
      </c>
      <c r="P223" s="139">
        <v>16905</v>
      </c>
      <c r="Q223" s="139">
        <v>20514</v>
      </c>
      <c r="R223" s="139">
        <v>626</v>
      </c>
      <c r="S223" s="139">
        <f t="shared" si="16"/>
        <v>71412</v>
      </c>
    </row>
    <row r="224" spans="1:19">
      <c r="A224" s="99">
        <v>1955</v>
      </c>
      <c r="B224" s="139">
        <v>65</v>
      </c>
      <c r="C224" s="139">
        <v>715</v>
      </c>
      <c r="D224" s="139">
        <v>18705</v>
      </c>
      <c r="E224" s="139">
        <v>23698</v>
      </c>
      <c r="F224" s="139">
        <v>17265</v>
      </c>
      <c r="G224" s="139">
        <v>48585</v>
      </c>
      <c r="H224" s="139">
        <v>16741</v>
      </c>
      <c r="I224" s="139">
        <v>83</v>
      </c>
      <c r="J224" s="139" t="s">
        <v>23</v>
      </c>
      <c r="K224" s="139" t="s">
        <v>23</v>
      </c>
      <c r="L224" s="139">
        <f t="shared" si="15"/>
        <v>125857</v>
      </c>
      <c r="N224" s="139">
        <v>7477</v>
      </c>
      <c r="O224" s="139">
        <v>35568</v>
      </c>
      <c r="P224" s="139">
        <v>28946</v>
      </c>
      <c r="Q224" s="139">
        <v>7314</v>
      </c>
      <c r="R224" s="139">
        <v>145</v>
      </c>
      <c r="S224" s="139">
        <f t="shared" si="16"/>
        <v>79450</v>
      </c>
    </row>
    <row r="225" spans="1:19">
      <c r="A225" s="99">
        <v>1956</v>
      </c>
      <c r="B225" s="139" t="s">
        <v>23</v>
      </c>
      <c r="C225" s="139">
        <v>393</v>
      </c>
      <c r="D225" s="139">
        <v>4992</v>
      </c>
      <c r="E225" s="139">
        <v>19835</v>
      </c>
      <c r="F225" s="139">
        <v>30420</v>
      </c>
      <c r="G225" s="139">
        <v>104428</v>
      </c>
      <c r="H225" s="139">
        <v>14747</v>
      </c>
      <c r="I225" s="139">
        <v>356</v>
      </c>
      <c r="J225" s="139" t="s">
        <v>23</v>
      </c>
      <c r="K225" s="139" t="s">
        <v>23</v>
      </c>
      <c r="L225" s="139">
        <f t="shared" si="15"/>
        <v>175171</v>
      </c>
      <c r="N225" s="139">
        <v>20917</v>
      </c>
      <c r="O225" s="139">
        <v>71663</v>
      </c>
      <c r="P225" s="139">
        <v>62603</v>
      </c>
      <c r="Q225" s="139">
        <v>10435</v>
      </c>
      <c r="R225" s="139">
        <v>1148</v>
      </c>
      <c r="S225" s="139">
        <f t="shared" si="16"/>
        <v>166766</v>
      </c>
    </row>
    <row r="226" spans="1:19">
      <c r="A226" s="99">
        <v>1957</v>
      </c>
      <c r="B226" s="139" t="s">
        <v>23</v>
      </c>
      <c r="C226" s="139">
        <v>180</v>
      </c>
      <c r="D226" s="139">
        <v>10070</v>
      </c>
      <c r="E226" s="139">
        <v>28277</v>
      </c>
      <c r="F226" s="139">
        <v>41393</v>
      </c>
      <c r="G226" s="139">
        <v>50396</v>
      </c>
      <c r="H226" s="139">
        <v>6584</v>
      </c>
      <c r="I226" s="139">
        <v>47</v>
      </c>
      <c r="J226" s="139" t="s">
        <v>23</v>
      </c>
      <c r="K226" s="139" t="s">
        <v>23</v>
      </c>
      <c r="L226" s="139">
        <f t="shared" si="15"/>
        <v>136947</v>
      </c>
      <c r="N226" s="139">
        <v>51534</v>
      </c>
      <c r="O226" s="139">
        <v>121095</v>
      </c>
      <c r="P226" s="139">
        <v>71955</v>
      </c>
      <c r="Q226" s="139">
        <v>15529</v>
      </c>
      <c r="R226" s="139">
        <v>4266</v>
      </c>
      <c r="S226" s="139">
        <f t="shared" si="16"/>
        <v>264379</v>
      </c>
    </row>
    <row r="227" spans="1:19">
      <c r="A227" s="99">
        <v>1958</v>
      </c>
      <c r="B227" s="139" t="s">
        <v>23</v>
      </c>
      <c r="C227" s="139">
        <v>29</v>
      </c>
      <c r="D227" s="139">
        <v>9840</v>
      </c>
      <c r="E227" s="139">
        <v>45316</v>
      </c>
      <c r="F227" s="139">
        <v>23165</v>
      </c>
      <c r="G227" s="139">
        <v>4882</v>
      </c>
      <c r="H227" s="139">
        <v>2822</v>
      </c>
      <c r="I227" s="139">
        <v>1115</v>
      </c>
      <c r="J227" s="139" t="s">
        <v>23</v>
      </c>
      <c r="K227" s="139" t="s">
        <v>23</v>
      </c>
      <c r="L227" s="139">
        <f t="shared" si="15"/>
        <v>87169</v>
      </c>
      <c r="N227" s="139">
        <v>19456</v>
      </c>
      <c r="O227" s="139">
        <v>29271</v>
      </c>
      <c r="P227" s="139">
        <v>4964</v>
      </c>
      <c r="Q227" s="139">
        <v>5563</v>
      </c>
      <c r="R227" s="139">
        <v>583</v>
      </c>
      <c r="S227" s="139">
        <f t="shared" si="16"/>
        <v>59837</v>
      </c>
    </row>
    <row r="228" spans="1:19">
      <c r="A228" s="99">
        <v>1959</v>
      </c>
      <c r="B228" s="139" t="s">
        <v>23</v>
      </c>
      <c r="C228" s="139">
        <v>662</v>
      </c>
      <c r="D228" s="139">
        <v>2813</v>
      </c>
      <c r="E228" s="139">
        <v>10375</v>
      </c>
      <c r="F228" s="139">
        <v>3599</v>
      </c>
      <c r="G228" s="139">
        <v>1084</v>
      </c>
      <c r="H228" s="139">
        <v>659</v>
      </c>
      <c r="I228" s="139">
        <v>195</v>
      </c>
      <c r="J228" s="139" t="s">
        <v>23</v>
      </c>
      <c r="K228" s="139" t="s">
        <v>23</v>
      </c>
      <c r="L228" s="139">
        <f t="shared" si="15"/>
        <v>19387</v>
      </c>
      <c r="N228" s="139">
        <v>14654</v>
      </c>
      <c r="O228" s="139">
        <v>12822</v>
      </c>
      <c r="P228" s="139">
        <v>12318</v>
      </c>
      <c r="Q228" s="139">
        <v>5359</v>
      </c>
      <c r="R228" s="139">
        <v>3859</v>
      </c>
      <c r="S228" s="139">
        <f t="shared" si="16"/>
        <v>49012</v>
      </c>
    </row>
    <row r="229" spans="1:19">
      <c r="A229" s="99">
        <v>1960</v>
      </c>
      <c r="B229" s="139" t="s">
        <v>23</v>
      </c>
      <c r="C229" s="139">
        <v>387</v>
      </c>
      <c r="D229" s="139">
        <v>9645</v>
      </c>
      <c r="E229" s="139">
        <v>7582</v>
      </c>
      <c r="F229" s="139">
        <v>15448</v>
      </c>
      <c r="G229" s="139">
        <v>29924</v>
      </c>
      <c r="H229" s="139">
        <v>6755</v>
      </c>
      <c r="I229" s="139">
        <v>376</v>
      </c>
      <c r="J229" s="139" t="s">
        <v>23</v>
      </c>
      <c r="K229" s="139" t="s">
        <v>23</v>
      </c>
      <c r="L229" s="139">
        <f t="shared" si="15"/>
        <v>70117</v>
      </c>
      <c r="N229" s="139">
        <v>2633</v>
      </c>
      <c r="O229" s="139">
        <v>16183</v>
      </c>
      <c r="P229" s="139">
        <v>13357</v>
      </c>
      <c r="Q229" s="139">
        <v>1405</v>
      </c>
      <c r="R229" s="139">
        <v>52</v>
      </c>
      <c r="S229" s="139">
        <f t="shared" si="16"/>
        <v>33630</v>
      </c>
    </row>
    <row r="230" spans="1:19">
      <c r="A230" s="99">
        <v>1961</v>
      </c>
      <c r="B230" s="139" t="s">
        <v>23</v>
      </c>
      <c r="C230" s="139">
        <v>594</v>
      </c>
      <c r="D230" s="139">
        <v>1082</v>
      </c>
      <c r="E230" s="139">
        <v>4024</v>
      </c>
      <c r="F230" s="139">
        <v>9360</v>
      </c>
      <c r="G230" s="139">
        <v>8614</v>
      </c>
      <c r="H230" s="139">
        <v>8544</v>
      </c>
      <c r="I230" s="139">
        <v>1168</v>
      </c>
      <c r="J230" s="139" t="s">
        <v>23</v>
      </c>
      <c r="K230" s="139" t="s">
        <v>23</v>
      </c>
      <c r="L230" s="139">
        <f t="shared" si="15"/>
        <v>33386</v>
      </c>
      <c r="N230" s="139">
        <v>30964</v>
      </c>
      <c r="O230" s="139">
        <v>48079</v>
      </c>
      <c r="P230" s="139">
        <v>22561</v>
      </c>
      <c r="Q230" s="139">
        <v>4823</v>
      </c>
      <c r="R230" s="139">
        <v>381</v>
      </c>
      <c r="S230" s="139">
        <f t="shared" si="16"/>
        <v>106808</v>
      </c>
    </row>
    <row r="231" spans="1:19">
      <c r="A231" s="99">
        <v>1962</v>
      </c>
      <c r="B231" s="139" t="s">
        <v>23</v>
      </c>
      <c r="C231" s="139">
        <v>191</v>
      </c>
      <c r="D231" s="139">
        <v>539</v>
      </c>
      <c r="E231" s="139">
        <v>3750</v>
      </c>
      <c r="F231" s="139">
        <v>5318</v>
      </c>
      <c r="G231" s="139">
        <v>5750</v>
      </c>
      <c r="H231" s="139">
        <v>3916</v>
      </c>
      <c r="I231" s="139">
        <v>216</v>
      </c>
      <c r="J231" s="139" t="s">
        <v>23</v>
      </c>
      <c r="K231" s="139" t="s">
        <v>23</v>
      </c>
      <c r="L231" s="139">
        <f t="shared" si="15"/>
        <v>19680</v>
      </c>
      <c r="N231" s="139">
        <v>8275</v>
      </c>
      <c r="O231" s="139">
        <v>45248</v>
      </c>
      <c r="P231" s="139">
        <v>34336</v>
      </c>
      <c r="Q231" s="139">
        <v>5952</v>
      </c>
      <c r="R231" s="139">
        <v>2403</v>
      </c>
      <c r="S231" s="139">
        <f t="shared" si="16"/>
        <v>96214</v>
      </c>
    </row>
    <row r="232" spans="1:19">
      <c r="A232" s="99">
        <v>1963</v>
      </c>
      <c r="B232" s="139" t="s">
        <v>23</v>
      </c>
      <c r="C232" s="139">
        <v>57</v>
      </c>
      <c r="D232" s="139">
        <v>837</v>
      </c>
      <c r="E232" s="139">
        <v>13789</v>
      </c>
      <c r="F232" s="139">
        <v>34846</v>
      </c>
      <c r="G232" s="139">
        <v>25771</v>
      </c>
      <c r="H232" s="139">
        <v>1785</v>
      </c>
      <c r="I232" s="139">
        <v>159</v>
      </c>
      <c r="J232" s="139" t="s">
        <v>23</v>
      </c>
      <c r="K232" s="139" t="s">
        <v>23</v>
      </c>
      <c r="L232" s="139">
        <f t="shared" si="15"/>
        <v>77244</v>
      </c>
      <c r="N232" s="139">
        <v>27258</v>
      </c>
      <c r="O232" s="139">
        <v>93115</v>
      </c>
      <c r="P232" s="139">
        <v>67942</v>
      </c>
      <c r="Q232" s="139">
        <v>4220</v>
      </c>
      <c r="R232" s="139">
        <v>108</v>
      </c>
      <c r="S232" s="139">
        <f t="shared" si="16"/>
        <v>192643</v>
      </c>
    </row>
    <row r="233" spans="1:19">
      <c r="A233" s="99">
        <v>1964</v>
      </c>
      <c r="B233" s="139" t="s">
        <v>23</v>
      </c>
      <c r="C233" s="139">
        <v>113</v>
      </c>
      <c r="D233" s="139">
        <v>887</v>
      </c>
      <c r="E233" s="139">
        <v>3113</v>
      </c>
      <c r="F233" s="139">
        <v>4631</v>
      </c>
      <c r="G233" s="139">
        <v>17283</v>
      </c>
      <c r="H233" s="139">
        <v>2050</v>
      </c>
      <c r="I233" s="139">
        <v>39</v>
      </c>
      <c r="J233" s="139" t="s">
        <v>23</v>
      </c>
      <c r="K233" s="139" t="s">
        <v>23</v>
      </c>
      <c r="L233" s="139">
        <f t="shared" si="15"/>
        <v>28116</v>
      </c>
      <c r="N233" s="139">
        <v>25660</v>
      </c>
      <c r="O233" s="139">
        <v>47611</v>
      </c>
      <c r="P233" s="139">
        <v>124638</v>
      </c>
      <c r="Q233" s="139">
        <v>22546</v>
      </c>
      <c r="R233" s="139">
        <v>285</v>
      </c>
      <c r="S233" s="139">
        <f t="shared" si="16"/>
        <v>220740</v>
      </c>
    </row>
    <row r="234" spans="1:19">
      <c r="A234" s="99">
        <v>1965</v>
      </c>
      <c r="B234" s="139" t="s">
        <v>23</v>
      </c>
      <c r="C234" s="139">
        <v>34</v>
      </c>
      <c r="D234" s="139">
        <v>2106</v>
      </c>
      <c r="E234" s="139">
        <v>3499</v>
      </c>
      <c r="F234" s="139">
        <v>3764</v>
      </c>
      <c r="G234" s="139">
        <v>5103</v>
      </c>
      <c r="H234" s="139">
        <v>1971</v>
      </c>
      <c r="I234" s="139">
        <v>75</v>
      </c>
      <c r="J234" s="139" t="s">
        <v>23</v>
      </c>
      <c r="K234" s="139" t="s">
        <v>23</v>
      </c>
      <c r="L234" s="139">
        <f t="shared" si="15"/>
        <v>16552</v>
      </c>
      <c r="N234" s="139">
        <v>11743</v>
      </c>
      <c r="O234" s="139">
        <v>78188</v>
      </c>
      <c r="P234" s="139">
        <v>27767</v>
      </c>
      <c r="Q234" s="139">
        <v>861</v>
      </c>
      <c r="R234" s="139">
        <v>20</v>
      </c>
      <c r="S234" s="139">
        <f t="shared" si="16"/>
        <v>118579</v>
      </c>
    </row>
    <row r="235" spans="1:19">
      <c r="A235" s="99">
        <v>1966</v>
      </c>
      <c r="B235" s="139" t="s">
        <v>23</v>
      </c>
      <c r="C235" s="139">
        <v>59</v>
      </c>
      <c r="D235" s="139">
        <v>630</v>
      </c>
      <c r="E235" s="139">
        <v>4192</v>
      </c>
      <c r="F235" s="139">
        <v>6108</v>
      </c>
      <c r="G235" s="139">
        <v>7507</v>
      </c>
      <c r="H235" s="139">
        <v>8288</v>
      </c>
      <c r="I235" s="139">
        <v>77</v>
      </c>
      <c r="J235" s="139" t="s">
        <v>23</v>
      </c>
      <c r="K235" s="139" t="s">
        <v>23</v>
      </c>
      <c r="L235" s="139">
        <f t="shared" si="15"/>
        <v>26861</v>
      </c>
      <c r="N235" s="139">
        <v>40388</v>
      </c>
      <c r="O235" s="139">
        <v>72300</v>
      </c>
      <c r="P235" s="139">
        <v>65458</v>
      </c>
      <c r="Q235" s="139">
        <v>36846</v>
      </c>
      <c r="R235" s="139">
        <v>359</v>
      </c>
      <c r="S235" s="139">
        <f t="shared" si="16"/>
        <v>215351</v>
      </c>
    </row>
    <row r="236" spans="1:19">
      <c r="A236" s="99">
        <v>1967</v>
      </c>
      <c r="B236" s="139" t="s">
        <v>23</v>
      </c>
      <c r="C236" s="139">
        <v>61</v>
      </c>
      <c r="D236" s="139">
        <v>232</v>
      </c>
      <c r="E236" s="139">
        <v>2940</v>
      </c>
      <c r="F236" s="139">
        <v>15919</v>
      </c>
      <c r="G236" s="139">
        <v>10713</v>
      </c>
      <c r="H236" s="139">
        <v>5384</v>
      </c>
      <c r="I236" s="139">
        <v>14</v>
      </c>
      <c r="J236" s="139" t="s">
        <v>23</v>
      </c>
      <c r="K236" s="139" t="s">
        <v>23</v>
      </c>
      <c r="L236" s="139">
        <f t="shared" si="15"/>
        <v>35263</v>
      </c>
      <c r="N236" s="139">
        <v>31989</v>
      </c>
      <c r="O236" s="139">
        <v>280839</v>
      </c>
      <c r="P236" s="139">
        <v>22777</v>
      </c>
      <c r="Q236" s="139">
        <v>10110</v>
      </c>
      <c r="R236" s="139">
        <v>321</v>
      </c>
      <c r="S236" s="139">
        <f t="shared" si="16"/>
        <v>346036</v>
      </c>
    </row>
    <row r="237" spans="1:19">
      <c r="A237" s="99">
        <v>1968</v>
      </c>
      <c r="B237" s="139" t="s">
        <v>23</v>
      </c>
      <c r="C237" s="139">
        <v>51</v>
      </c>
      <c r="D237" s="139">
        <v>972</v>
      </c>
      <c r="E237" s="139">
        <v>6504</v>
      </c>
      <c r="F237" s="139">
        <v>19824</v>
      </c>
      <c r="G237" s="139">
        <v>27594</v>
      </c>
      <c r="H237" s="139">
        <v>243</v>
      </c>
      <c r="I237" s="139">
        <v>2</v>
      </c>
      <c r="J237" s="139" t="s">
        <v>23</v>
      </c>
      <c r="K237" s="139" t="s">
        <v>23</v>
      </c>
      <c r="L237" s="139">
        <f t="shared" si="15"/>
        <v>55190</v>
      </c>
      <c r="N237" s="139">
        <v>135565</v>
      </c>
      <c r="O237" s="139">
        <v>204509</v>
      </c>
      <c r="P237" s="139">
        <v>49972</v>
      </c>
      <c r="Q237" s="139">
        <v>7855</v>
      </c>
      <c r="R237" s="139">
        <v>7</v>
      </c>
      <c r="S237" s="139">
        <f t="shared" si="16"/>
        <v>397908</v>
      </c>
    </row>
    <row r="238" spans="1:19">
      <c r="A238" s="99">
        <v>1969</v>
      </c>
      <c r="B238" s="139" t="s">
        <v>23</v>
      </c>
      <c r="C238" s="139">
        <v>40</v>
      </c>
      <c r="D238" s="139">
        <v>1907</v>
      </c>
      <c r="E238" s="139">
        <v>20543</v>
      </c>
      <c r="F238" s="139">
        <v>20120</v>
      </c>
      <c r="G238" s="139">
        <v>23879</v>
      </c>
      <c r="H238" s="139">
        <v>4092</v>
      </c>
      <c r="I238" s="139">
        <v>131</v>
      </c>
      <c r="J238" s="139" t="s">
        <v>23</v>
      </c>
      <c r="K238" s="139" t="s">
        <v>23</v>
      </c>
      <c r="L238" s="139">
        <f t="shared" si="15"/>
        <v>70712</v>
      </c>
      <c r="N238" s="139">
        <v>80086</v>
      </c>
      <c r="O238" s="139">
        <v>113290</v>
      </c>
      <c r="P238" s="139">
        <v>30290</v>
      </c>
      <c r="Q238" s="139">
        <v>4718</v>
      </c>
      <c r="R238" s="139">
        <v>391</v>
      </c>
      <c r="S238" s="139">
        <f t="shared" si="16"/>
        <v>228775</v>
      </c>
    </row>
    <row r="239" spans="1:19">
      <c r="A239" s="99">
        <v>1970</v>
      </c>
      <c r="B239" s="139" t="s">
        <v>23</v>
      </c>
      <c r="C239" s="139">
        <v>69</v>
      </c>
      <c r="D239" s="139">
        <v>1419</v>
      </c>
      <c r="E239" s="139">
        <v>10028</v>
      </c>
      <c r="F239" s="139">
        <v>12131</v>
      </c>
      <c r="G239" s="139">
        <v>14275</v>
      </c>
      <c r="H239" s="139">
        <v>17509</v>
      </c>
      <c r="I239" s="139">
        <v>9118</v>
      </c>
      <c r="J239" s="139" t="s">
        <v>23</v>
      </c>
      <c r="K239" s="139" t="s">
        <v>23</v>
      </c>
      <c r="L239" s="139">
        <f t="shared" si="15"/>
        <v>64549</v>
      </c>
      <c r="N239" s="139">
        <v>88032</v>
      </c>
      <c r="O239" s="139">
        <v>115927</v>
      </c>
      <c r="P239" s="139">
        <v>114696</v>
      </c>
      <c r="Q239" s="139">
        <v>10548</v>
      </c>
      <c r="R239" s="139">
        <v>503</v>
      </c>
      <c r="S239" s="139">
        <f t="shared" si="16"/>
        <v>329706</v>
      </c>
    </row>
    <row r="240" spans="1:19">
      <c r="A240" s="99">
        <v>1971</v>
      </c>
      <c r="B240" s="139" t="s">
        <v>23</v>
      </c>
      <c r="C240" s="139">
        <v>9</v>
      </c>
      <c r="D240" s="139">
        <v>422</v>
      </c>
      <c r="E240" s="139">
        <v>3648</v>
      </c>
      <c r="F240" s="139">
        <v>2765</v>
      </c>
      <c r="G240" s="139">
        <v>7198</v>
      </c>
      <c r="H240" s="139">
        <v>1434</v>
      </c>
      <c r="I240" s="139">
        <v>2183</v>
      </c>
      <c r="J240" s="139" t="s">
        <v>23</v>
      </c>
      <c r="K240" s="139" t="s">
        <v>23</v>
      </c>
      <c r="L240" s="139">
        <f t="shared" si="15"/>
        <v>17659</v>
      </c>
      <c r="N240" s="139">
        <v>88748</v>
      </c>
      <c r="O240" s="139">
        <v>137213</v>
      </c>
      <c r="P240" s="139">
        <v>271273</v>
      </c>
      <c r="Q240" s="139">
        <v>13224</v>
      </c>
      <c r="R240" s="139">
        <v>4268</v>
      </c>
      <c r="S240" s="139">
        <f t="shared" si="16"/>
        <v>514726</v>
      </c>
    </row>
    <row r="241" spans="1:19">
      <c r="A241" s="99">
        <v>1972</v>
      </c>
      <c r="B241" s="139" t="s">
        <v>23</v>
      </c>
      <c r="C241" s="139">
        <v>1</v>
      </c>
      <c r="D241" s="139">
        <v>306</v>
      </c>
      <c r="E241" s="139">
        <v>13850</v>
      </c>
      <c r="F241" s="139">
        <v>15250</v>
      </c>
      <c r="G241" s="139">
        <v>8993</v>
      </c>
      <c r="H241" s="139">
        <v>1154</v>
      </c>
      <c r="I241" s="139">
        <v>642</v>
      </c>
      <c r="J241" s="139" t="s">
        <v>23</v>
      </c>
      <c r="K241" s="139" t="s">
        <v>23</v>
      </c>
      <c r="L241" s="139">
        <f t="shared" si="15"/>
        <v>40196</v>
      </c>
      <c r="N241" s="139">
        <v>179815</v>
      </c>
      <c r="O241" s="139">
        <v>157591</v>
      </c>
      <c r="P241" s="139">
        <v>13649</v>
      </c>
      <c r="Q241" s="139">
        <v>1846</v>
      </c>
      <c r="R241" s="139">
        <v>61</v>
      </c>
      <c r="S241" s="139">
        <f t="shared" si="16"/>
        <v>352962</v>
      </c>
    </row>
    <row r="242" spans="1:19">
      <c r="A242" s="99">
        <v>1973</v>
      </c>
      <c r="B242" s="139" t="s">
        <v>23</v>
      </c>
      <c r="C242" s="139">
        <v>14</v>
      </c>
      <c r="D242" s="139">
        <v>226</v>
      </c>
      <c r="E242" s="139">
        <v>10182</v>
      </c>
      <c r="F242" s="139">
        <v>54684</v>
      </c>
      <c r="G242" s="139">
        <v>90944</v>
      </c>
      <c r="H242" s="139">
        <v>26886</v>
      </c>
      <c r="I242" s="139">
        <v>12613</v>
      </c>
      <c r="J242" s="139" t="s">
        <v>23</v>
      </c>
      <c r="K242" s="139" t="s">
        <v>23</v>
      </c>
      <c r="L242" s="139">
        <f t="shared" si="15"/>
        <v>195549</v>
      </c>
      <c r="N242" s="139">
        <v>93907</v>
      </c>
      <c r="O242" s="139">
        <v>156442</v>
      </c>
      <c r="P242" s="139">
        <v>65493</v>
      </c>
      <c r="Q242" s="139">
        <v>6712</v>
      </c>
      <c r="R242" s="139">
        <v>1446</v>
      </c>
      <c r="S242" s="139">
        <f t="shared" si="16"/>
        <v>324000</v>
      </c>
    </row>
    <row r="243" spans="1:19">
      <c r="A243" s="99">
        <v>1974</v>
      </c>
      <c r="B243" s="139" t="s">
        <v>23</v>
      </c>
      <c r="C243" s="139">
        <v>14</v>
      </c>
      <c r="D243" s="139">
        <v>201</v>
      </c>
      <c r="E243" s="139">
        <v>11626</v>
      </c>
      <c r="F243" s="139">
        <v>25428</v>
      </c>
      <c r="G243" s="139">
        <v>52761</v>
      </c>
      <c r="H243" s="139">
        <v>27470</v>
      </c>
      <c r="I243" s="139">
        <v>8302</v>
      </c>
      <c r="J243" s="139">
        <v>221</v>
      </c>
      <c r="K243" s="139" t="s">
        <v>23</v>
      </c>
      <c r="L243" s="139">
        <f t="shared" si="15"/>
        <v>126023</v>
      </c>
      <c r="N243" s="139">
        <v>98525</v>
      </c>
      <c r="O243" s="139">
        <v>254161</v>
      </c>
      <c r="P243" s="139">
        <v>79323</v>
      </c>
      <c r="Q243" s="139">
        <v>8703</v>
      </c>
      <c r="R243" s="139">
        <v>955</v>
      </c>
      <c r="S243" s="139">
        <f t="shared" si="16"/>
        <v>441667</v>
      </c>
    </row>
    <row r="244" spans="1:19">
      <c r="A244" s="99">
        <v>1975</v>
      </c>
      <c r="B244" s="139" t="s">
        <v>23</v>
      </c>
      <c r="C244" s="139">
        <v>36</v>
      </c>
      <c r="D244" s="139">
        <v>162</v>
      </c>
      <c r="E244" s="139">
        <v>14923</v>
      </c>
      <c r="F244" s="139">
        <v>32045</v>
      </c>
      <c r="G244" s="139">
        <v>28098</v>
      </c>
      <c r="H244" s="139">
        <v>31038</v>
      </c>
      <c r="I244" s="139">
        <v>6745</v>
      </c>
      <c r="J244" s="139">
        <v>0</v>
      </c>
      <c r="K244" s="139" t="s">
        <v>23</v>
      </c>
      <c r="L244" s="139">
        <f t="shared" si="15"/>
        <v>113047</v>
      </c>
      <c r="N244" s="139">
        <v>74542</v>
      </c>
      <c r="O244" s="139">
        <v>142352</v>
      </c>
      <c r="P244" s="139">
        <v>25731</v>
      </c>
      <c r="Q244" s="139">
        <v>8488</v>
      </c>
      <c r="R244" s="139">
        <v>342</v>
      </c>
      <c r="S244" s="139">
        <f t="shared" si="16"/>
        <v>251455</v>
      </c>
    </row>
    <row r="245" spans="1:19">
      <c r="A245" s="99">
        <v>1976</v>
      </c>
      <c r="B245" s="139" t="s">
        <v>23</v>
      </c>
      <c r="C245" s="139" t="s">
        <v>23</v>
      </c>
      <c r="D245" s="139">
        <v>1407</v>
      </c>
      <c r="E245" s="139">
        <v>14648</v>
      </c>
      <c r="F245" s="139">
        <v>22044</v>
      </c>
      <c r="G245" s="139">
        <v>25248</v>
      </c>
      <c r="H245" s="139">
        <v>9508</v>
      </c>
      <c r="I245" s="139">
        <v>2170</v>
      </c>
      <c r="J245" s="139">
        <v>0</v>
      </c>
      <c r="K245" s="139" t="s">
        <v>23</v>
      </c>
      <c r="L245" s="139">
        <f t="shared" si="15"/>
        <v>75025</v>
      </c>
      <c r="N245" s="139">
        <v>195233</v>
      </c>
      <c r="O245" s="139">
        <v>423668</v>
      </c>
      <c r="P245" s="139">
        <v>152431</v>
      </c>
      <c r="Q245" s="139">
        <v>6886</v>
      </c>
      <c r="R245" s="139">
        <v>371</v>
      </c>
      <c r="S245" s="139">
        <f t="shared" si="16"/>
        <v>778589</v>
      </c>
    </row>
    <row r="246" spans="1:19">
      <c r="A246" s="99">
        <v>1977</v>
      </c>
      <c r="B246" s="139" t="s">
        <v>23</v>
      </c>
      <c r="C246" s="139" t="s">
        <v>23</v>
      </c>
      <c r="D246" s="139">
        <v>7248</v>
      </c>
      <c r="E246" s="139">
        <v>15482</v>
      </c>
      <c r="F246" s="139">
        <v>45522</v>
      </c>
      <c r="G246" s="139">
        <v>57119</v>
      </c>
      <c r="H246" s="139">
        <v>13212</v>
      </c>
      <c r="I246" s="139">
        <v>3936</v>
      </c>
      <c r="J246" s="139">
        <v>0</v>
      </c>
      <c r="K246" s="139" t="s">
        <v>23</v>
      </c>
      <c r="L246" s="139">
        <f t="shared" si="15"/>
        <v>142519</v>
      </c>
      <c r="N246" s="139">
        <v>33829</v>
      </c>
      <c r="O246" s="139">
        <v>85162</v>
      </c>
      <c r="P246" s="139">
        <v>26689</v>
      </c>
      <c r="Q246" s="139">
        <v>2621</v>
      </c>
      <c r="R246" s="139">
        <v>302</v>
      </c>
      <c r="S246" s="139">
        <f t="shared" si="16"/>
        <v>148603</v>
      </c>
    </row>
    <row r="247" spans="1:19">
      <c r="A247" s="99">
        <v>1978</v>
      </c>
      <c r="B247" s="139" t="s">
        <v>23</v>
      </c>
      <c r="C247" s="139">
        <v>17</v>
      </c>
      <c r="D247" s="139">
        <v>1076</v>
      </c>
      <c r="E247" s="139">
        <v>13652</v>
      </c>
      <c r="F247" s="139">
        <v>28093</v>
      </c>
      <c r="G247" s="139">
        <v>18656</v>
      </c>
      <c r="H247" s="139">
        <v>4854</v>
      </c>
      <c r="I247" s="139">
        <v>339</v>
      </c>
      <c r="J247" s="139">
        <v>138</v>
      </c>
      <c r="K247" s="139" t="s">
        <v>23</v>
      </c>
      <c r="L247" s="139">
        <f t="shared" si="15"/>
        <v>66825</v>
      </c>
      <c r="N247" s="139">
        <v>120323</v>
      </c>
      <c r="O247" s="139">
        <v>73975</v>
      </c>
      <c r="P247" s="139">
        <v>20719</v>
      </c>
      <c r="Q247" s="139">
        <v>2263</v>
      </c>
      <c r="R247" s="139">
        <v>119</v>
      </c>
      <c r="S247" s="139">
        <f t="shared" si="16"/>
        <v>217399</v>
      </c>
    </row>
    <row r="248" spans="1:19">
      <c r="A248" s="99">
        <v>1979</v>
      </c>
      <c r="B248" s="139" t="s">
        <v>23</v>
      </c>
      <c r="C248" s="139" t="s">
        <v>23</v>
      </c>
      <c r="D248" s="139">
        <v>3290</v>
      </c>
      <c r="E248" s="139">
        <v>309</v>
      </c>
      <c r="F248" s="139">
        <v>28990</v>
      </c>
      <c r="G248" s="139">
        <v>25974</v>
      </c>
      <c r="H248" s="139">
        <v>3256</v>
      </c>
      <c r="I248" s="139">
        <v>6866</v>
      </c>
      <c r="J248" s="139">
        <v>0</v>
      </c>
      <c r="K248" s="139" t="s">
        <v>23</v>
      </c>
      <c r="L248" s="139">
        <f t="shared" si="15"/>
        <v>68685</v>
      </c>
      <c r="N248" s="139">
        <v>6453</v>
      </c>
      <c r="O248" s="139">
        <v>218997</v>
      </c>
      <c r="P248" s="139">
        <v>37599</v>
      </c>
      <c r="Q248" s="139">
        <v>22</v>
      </c>
      <c r="R248" s="139" t="s">
        <v>23</v>
      </c>
      <c r="S248" s="139">
        <f t="shared" si="16"/>
        <v>263071</v>
      </c>
    </row>
    <row r="249" spans="1:19">
      <c r="A249" s="99">
        <v>1980</v>
      </c>
      <c r="B249" s="139" t="s">
        <v>23</v>
      </c>
      <c r="C249" s="139" t="s">
        <v>23</v>
      </c>
      <c r="D249" s="139">
        <v>2545</v>
      </c>
      <c r="E249" s="139">
        <v>15779</v>
      </c>
      <c r="F249" s="139">
        <v>26291</v>
      </c>
      <c r="G249" s="139">
        <v>17558</v>
      </c>
      <c r="H249" s="139">
        <v>6583</v>
      </c>
      <c r="I249" s="139">
        <v>6003</v>
      </c>
      <c r="J249" s="139">
        <v>1</v>
      </c>
      <c r="K249" s="139" t="s">
        <v>23</v>
      </c>
      <c r="L249" s="139">
        <f t="shared" si="15"/>
        <v>74760</v>
      </c>
      <c r="N249" s="139" t="s">
        <v>23</v>
      </c>
      <c r="O249" s="139">
        <v>42992</v>
      </c>
      <c r="P249" s="139">
        <v>0</v>
      </c>
      <c r="Q249" s="139">
        <v>0</v>
      </c>
      <c r="R249" s="139" t="s">
        <v>23</v>
      </c>
      <c r="S249" s="139">
        <f t="shared" si="16"/>
        <v>42992</v>
      </c>
    </row>
    <row r="250" spans="1:19">
      <c r="A250" s="99">
        <v>1981</v>
      </c>
      <c r="B250" s="139" t="s">
        <v>23</v>
      </c>
      <c r="C250" s="139" t="s">
        <v>23</v>
      </c>
      <c r="D250" s="139">
        <v>2506</v>
      </c>
      <c r="E250" s="139">
        <v>0</v>
      </c>
      <c r="F250" s="139">
        <v>8742</v>
      </c>
      <c r="G250" s="139">
        <v>10692</v>
      </c>
      <c r="H250" s="139">
        <v>1232</v>
      </c>
      <c r="I250" s="139">
        <v>1198</v>
      </c>
      <c r="J250" s="139">
        <v>4</v>
      </c>
      <c r="K250" s="139" t="s">
        <v>23</v>
      </c>
      <c r="L250" s="139">
        <f t="shared" si="15"/>
        <v>24374</v>
      </c>
      <c r="N250" s="139" t="s">
        <v>23</v>
      </c>
      <c r="O250" s="139">
        <v>96633</v>
      </c>
      <c r="P250" s="139">
        <v>62008</v>
      </c>
      <c r="Q250" s="139" t="s">
        <v>23</v>
      </c>
      <c r="R250" s="139" t="s">
        <v>23</v>
      </c>
      <c r="S250" s="139">
        <f t="shared" si="16"/>
        <v>158641</v>
      </c>
    </row>
    <row r="251" spans="1:19">
      <c r="A251" s="99">
        <v>1982</v>
      </c>
      <c r="B251" s="139" t="s">
        <v>23</v>
      </c>
      <c r="C251" s="139" t="s">
        <v>23</v>
      </c>
      <c r="D251" s="139">
        <v>4616</v>
      </c>
      <c r="E251" s="139">
        <v>5822</v>
      </c>
      <c r="F251" s="139">
        <v>76452</v>
      </c>
      <c r="G251" s="139">
        <v>13979</v>
      </c>
      <c r="H251" s="139">
        <v>7043</v>
      </c>
      <c r="I251" s="139">
        <v>1140</v>
      </c>
      <c r="J251" s="139">
        <v>15</v>
      </c>
      <c r="K251" s="139" t="s">
        <v>23</v>
      </c>
      <c r="L251" s="139">
        <f t="shared" si="15"/>
        <v>109067</v>
      </c>
      <c r="N251" s="139" t="s">
        <v>23</v>
      </c>
      <c r="O251" s="139">
        <v>229021</v>
      </c>
      <c r="P251" s="139" t="s">
        <v>23</v>
      </c>
      <c r="Q251" s="139" t="s">
        <v>23</v>
      </c>
      <c r="R251" s="139" t="s">
        <v>23</v>
      </c>
      <c r="S251" s="139">
        <f t="shared" si="16"/>
        <v>229021</v>
      </c>
    </row>
    <row r="252" spans="1:19">
      <c r="A252" s="99">
        <v>1983</v>
      </c>
      <c r="B252" s="139" t="s">
        <v>23</v>
      </c>
      <c r="C252" s="139" t="s">
        <v>23</v>
      </c>
      <c r="D252" s="139">
        <v>1646</v>
      </c>
      <c r="E252" s="139">
        <v>3909</v>
      </c>
      <c r="F252" s="139">
        <v>12646</v>
      </c>
      <c r="G252" s="139">
        <v>1237</v>
      </c>
      <c r="H252" s="139">
        <v>388</v>
      </c>
      <c r="I252" s="139">
        <v>232</v>
      </c>
      <c r="J252" s="139">
        <v>3</v>
      </c>
      <c r="K252" s="139" t="s">
        <v>23</v>
      </c>
      <c r="L252" s="139">
        <f t="shared" si="15"/>
        <v>20061</v>
      </c>
      <c r="N252" s="139" t="s">
        <v>23</v>
      </c>
      <c r="O252" s="139">
        <v>108738</v>
      </c>
      <c r="P252" s="139">
        <v>33</v>
      </c>
      <c r="Q252" s="139">
        <v>5</v>
      </c>
      <c r="R252" s="139" t="s">
        <v>23</v>
      </c>
      <c r="S252" s="139">
        <f t="shared" si="16"/>
        <v>108776</v>
      </c>
    </row>
    <row r="253" spans="1:19">
      <c r="A253" s="99">
        <v>1984</v>
      </c>
      <c r="B253" s="139" t="s">
        <v>23</v>
      </c>
      <c r="C253" s="139" t="s">
        <v>23</v>
      </c>
      <c r="D253" s="139">
        <v>130</v>
      </c>
      <c r="E253" s="139">
        <v>891</v>
      </c>
      <c r="F253" s="139">
        <v>3564</v>
      </c>
      <c r="G253" s="139">
        <v>10195</v>
      </c>
      <c r="H253" s="139">
        <v>590</v>
      </c>
      <c r="I253" s="139">
        <v>0</v>
      </c>
      <c r="J253" s="139">
        <v>0</v>
      </c>
      <c r="K253" s="139" t="s">
        <v>23</v>
      </c>
      <c r="L253" s="139">
        <f t="shared" si="15"/>
        <v>15370</v>
      </c>
      <c r="N253" s="139" t="s">
        <v>23</v>
      </c>
      <c r="O253" s="139" t="s">
        <v>23</v>
      </c>
      <c r="P253" s="139" t="s">
        <v>23</v>
      </c>
      <c r="Q253" s="139" t="s">
        <v>23</v>
      </c>
      <c r="R253" s="139" t="s">
        <v>23</v>
      </c>
      <c r="S253" s="139" t="s">
        <v>23</v>
      </c>
    </row>
    <row r="254" spans="1:19">
      <c r="A254" s="99">
        <v>1985</v>
      </c>
      <c r="B254" s="139" t="s">
        <v>23</v>
      </c>
      <c r="C254" s="139" t="s">
        <v>23</v>
      </c>
      <c r="D254" s="139">
        <v>18675</v>
      </c>
      <c r="E254" s="139">
        <v>10883</v>
      </c>
      <c r="F254" s="139">
        <v>47953</v>
      </c>
      <c r="G254" s="139">
        <v>50198</v>
      </c>
      <c r="H254" s="139">
        <v>17842</v>
      </c>
      <c r="I254" s="139">
        <v>3077</v>
      </c>
      <c r="J254" s="139">
        <v>33</v>
      </c>
      <c r="K254" s="139" t="s">
        <v>23</v>
      </c>
      <c r="L254" s="139">
        <f t="shared" si="15"/>
        <v>148661</v>
      </c>
      <c r="N254" s="139" t="s">
        <v>23</v>
      </c>
      <c r="O254" s="139">
        <v>29440</v>
      </c>
      <c r="P254" s="139" t="s">
        <v>23</v>
      </c>
      <c r="Q254" s="139" t="s">
        <v>23</v>
      </c>
      <c r="R254" s="139" t="s">
        <v>23</v>
      </c>
      <c r="S254" s="139">
        <f t="shared" si="16"/>
        <v>29440</v>
      </c>
    </row>
    <row r="255" spans="1:19">
      <c r="A255" s="95">
        <v>1986</v>
      </c>
      <c r="B255" s="139" t="s">
        <v>23</v>
      </c>
      <c r="C255" s="139" t="s">
        <v>23</v>
      </c>
      <c r="D255" s="139">
        <v>18246</v>
      </c>
      <c r="E255" s="139">
        <v>21329</v>
      </c>
      <c r="F255" s="139">
        <v>94870</v>
      </c>
      <c r="G255" s="139">
        <v>83311</v>
      </c>
      <c r="H255" s="139">
        <v>20571</v>
      </c>
      <c r="I255" s="139">
        <v>1691</v>
      </c>
      <c r="J255" s="139" t="s">
        <v>23</v>
      </c>
      <c r="K255" s="139" t="s">
        <v>23</v>
      </c>
      <c r="L255" s="139">
        <f t="shared" si="15"/>
        <v>240018</v>
      </c>
      <c r="N255" s="139">
        <v>0</v>
      </c>
      <c r="O255" s="139">
        <v>86171</v>
      </c>
      <c r="P255" s="139" t="s">
        <v>23</v>
      </c>
      <c r="Q255" s="139" t="s">
        <v>23</v>
      </c>
      <c r="R255" s="139" t="s">
        <v>23</v>
      </c>
      <c r="S255" s="139">
        <f>SUM(N255:R255)</f>
        <v>86171</v>
      </c>
    </row>
    <row r="256" spans="1:19">
      <c r="A256" s="95">
        <v>1987</v>
      </c>
      <c r="B256" s="139" t="s">
        <v>23</v>
      </c>
      <c r="C256" s="139" t="s">
        <v>23</v>
      </c>
      <c r="D256" s="139">
        <v>17764</v>
      </c>
      <c r="E256" s="139">
        <v>11407</v>
      </c>
      <c r="F256" s="139">
        <v>228486</v>
      </c>
      <c r="G256" s="139">
        <v>47387</v>
      </c>
      <c r="H256" s="139">
        <v>40442</v>
      </c>
      <c r="I256" s="139">
        <v>4877</v>
      </c>
      <c r="J256" s="139" t="s">
        <v>23</v>
      </c>
      <c r="K256" s="139" t="s">
        <v>23</v>
      </c>
      <c r="L256" s="139">
        <f t="shared" si="15"/>
        <v>350363</v>
      </c>
      <c r="N256" s="139">
        <v>22</v>
      </c>
      <c r="O256" s="139">
        <v>146348</v>
      </c>
      <c r="P256" s="139">
        <v>20487</v>
      </c>
      <c r="Q256" s="139">
        <v>10213</v>
      </c>
      <c r="R256" s="139" t="s">
        <v>23</v>
      </c>
      <c r="S256" s="139">
        <f t="shared" ref="S256:S265" si="17">SUM(N256:R256)</f>
        <v>177070</v>
      </c>
    </row>
    <row r="257" spans="1:19">
      <c r="A257" s="95">
        <v>1988</v>
      </c>
      <c r="B257" s="139" t="s">
        <v>23</v>
      </c>
      <c r="C257" s="139" t="s">
        <v>23</v>
      </c>
      <c r="D257" s="139">
        <v>39440</v>
      </c>
      <c r="E257" s="139">
        <v>47271</v>
      </c>
      <c r="F257" s="139">
        <v>54173</v>
      </c>
      <c r="G257" s="139">
        <v>87616</v>
      </c>
      <c r="H257" s="139">
        <v>15998</v>
      </c>
      <c r="I257" s="139">
        <v>23988</v>
      </c>
      <c r="J257" s="139" t="s">
        <v>23</v>
      </c>
      <c r="K257" s="139" t="s">
        <v>23</v>
      </c>
      <c r="L257" s="139">
        <f t="shared" si="15"/>
        <v>268486</v>
      </c>
      <c r="N257" s="139" t="s">
        <v>23</v>
      </c>
      <c r="O257" s="139">
        <v>117061</v>
      </c>
      <c r="P257" s="139">
        <v>79320</v>
      </c>
      <c r="Q257" s="139" t="s">
        <v>23</v>
      </c>
      <c r="R257" s="139" t="s">
        <v>23</v>
      </c>
      <c r="S257" s="139">
        <f t="shared" si="17"/>
        <v>196381</v>
      </c>
    </row>
    <row r="258" spans="1:19">
      <c r="A258" s="95">
        <v>1989</v>
      </c>
      <c r="B258" s="139" t="s">
        <v>23</v>
      </c>
      <c r="C258" s="139" t="s">
        <v>23</v>
      </c>
      <c r="D258" s="139">
        <v>64832</v>
      </c>
      <c r="E258" s="139">
        <v>45275</v>
      </c>
      <c r="F258" s="139">
        <v>42800</v>
      </c>
      <c r="G258" s="139">
        <v>59038</v>
      </c>
      <c r="H258" s="139">
        <v>8480</v>
      </c>
      <c r="I258" s="139">
        <v>9883</v>
      </c>
      <c r="J258" s="139">
        <v>2178</v>
      </c>
      <c r="K258" s="139" t="s">
        <v>23</v>
      </c>
      <c r="L258" s="139">
        <f t="shared" si="15"/>
        <v>232486</v>
      </c>
      <c r="N258" s="139" t="s">
        <v>23</v>
      </c>
      <c r="O258" s="139">
        <v>125227</v>
      </c>
      <c r="P258" s="139">
        <v>34318</v>
      </c>
      <c r="Q258" s="139" t="s">
        <v>23</v>
      </c>
      <c r="R258" s="139" t="s">
        <v>23</v>
      </c>
      <c r="S258" s="139">
        <f t="shared" si="17"/>
        <v>159545</v>
      </c>
    </row>
    <row r="259" spans="1:19">
      <c r="A259" s="95">
        <v>1990</v>
      </c>
      <c r="B259" s="139" t="s">
        <v>23</v>
      </c>
      <c r="C259" s="139" t="s">
        <v>23</v>
      </c>
      <c r="D259" s="139">
        <v>12054</v>
      </c>
      <c r="E259" s="139">
        <v>15527</v>
      </c>
      <c r="F259" s="139">
        <v>97323</v>
      </c>
      <c r="G259" s="139">
        <v>44070</v>
      </c>
      <c r="H259" s="139">
        <v>4654</v>
      </c>
      <c r="I259" s="139">
        <v>2151</v>
      </c>
      <c r="J259" s="139" t="s">
        <v>23</v>
      </c>
      <c r="K259" s="139" t="s">
        <v>23</v>
      </c>
      <c r="L259" s="139">
        <f t="shared" si="15"/>
        <v>175779</v>
      </c>
      <c r="N259" s="139">
        <v>43</v>
      </c>
      <c r="O259" s="139">
        <v>43400</v>
      </c>
      <c r="P259" s="139" t="s">
        <v>23</v>
      </c>
      <c r="Q259" s="139" t="s">
        <v>23</v>
      </c>
      <c r="R259" s="139" t="s">
        <v>23</v>
      </c>
      <c r="S259" s="139">
        <f t="shared" si="17"/>
        <v>43443</v>
      </c>
    </row>
    <row r="260" spans="1:19">
      <c r="A260" s="95">
        <v>1991</v>
      </c>
      <c r="B260" s="139" t="s">
        <v>23</v>
      </c>
      <c r="C260" s="139" t="s">
        <v>23</v>
      </c>
      <c r="D260" s="139">
        <v>108</v>
      </c>
      <c r="E260" s="139">
        <v>5096</v>
      </c>
      <c r="F260" s="139">
        <v>8931</v>
      </c>
      <c r="G260" s="139">
        <v>3889</v>
      </c>
      <c r="H260" s="139">
        <v>8925</v>
      </c>
      <c r="I260" s="139">
        <v>3493</v>
      </c>
      <c r="J260" s="139" t="s">
        <v>23</v>
      </c>
      <c r="K260" s="139" t="s">
        <v>23</v>
      </c>
      <c r="L260" s="139">
        <f t="shared" si="15"/>
        <v>30442</v>
      </c>
      <c r="N260" s="139">
        <v>33031</v>
      </c>
      <c r="O260" s="139">
        <v>68459</v>
      </c>
      <c r="P260" s="139">
        <v>11</v>
      </c>
      <c r="Q260" s="139" t="s">
        <v>23</v>
      </c>
      <c r="R260" s="139" t="s">
        <v>23</v>
      </c>
      <c r="S260" s="139">
        <f t="shared" si="17"/>
        <v>101501</v>
      </c>
    </row>
    <row r="261" spans="1:19">
      <c r="A261" s="95">
        <v>1992</v>
      </c>
      <c r="B261" s="139" t="s">
        <v>23</v>
      </c>
      <c r="C261" s="139" t="s">
        <v>23</v>
      </c>
      <c r="D261" s="139">
        <v>648</v>
      </c>
      <c r="E261" s="139" t="s">
        <v>23</v>
      </c>
      <c r="F261" s="139">
        <v>2572</v>
      </c>
      <c r="G261" s="139">
        <v>2035</v>
      </c>
      <c r="H261" s="139">
        <v>342</v>
      </c>
      <c r="I261" s="139">
        <v>608</v>
      </c>
      <c r="J261" s="139" t="s">
        <v>23</v>
      </c>
      <c r="K261" s="139" t="s">
        <v>23</v>
      </c>
      <c r="L261" s="139">
        <f t="shared" si="15"/>
        <v>6205</v>
      </c>
      <c r="N261" s="139" t="s">
        <v>23</v>
      </c>
      <c r="O261" s="139">
        <v>3222</v>
      </c>
      <c r="P261" s="139">
        <v>2126</v>
      </c>
      <c r="Q261" s="139" t="s">
        <v>23</v>
      </c>
      <c r="R261" s="139" t="s">
        <v>23</v>
      </c>
      <c r="S261" s="139">
        <f t="shared" si="17"/>
        <v>5348</v>
      </c>
    </row>
    <row r="262" spans="1:19">
      <c r="A262" s="95">
        <v>1993</v>
      </c>
      <c r="B262" s="139" t="s">
        <v>23</v>
      </c>
      <c r="C262" s="139" t="s">
        <v>23</v>
      </c>
      <c r="D262" s="139">
        <v>2740</v>
      </c>
      <c r="E262" s="139">
        <v>858</v>
      </c>
      <c r="F262" s="139">
        <v>221</v>
      </c>
      <c r="G262" s="139">
        <v>396</v>
      </c>
      <c r="H262" s="139">
        <v>4376</v>
      </c>
      <c r="I262" s="139">
        <v>1296</v>
      </c>
      <c r="J262" s="139">
        <v>658</v>
      </c>
      <c r="K262" s="139" t="s">
        <v>23</v>
      </c>
      <c r="L262" s="139">
        <f t="shared" si="15"/>
        <v>10545</v>
      </c>
      <c r="N262" s="139" t="s">
        <v>23</v>
      </c>
      <c r="O262" s="139" t="s">
        <v>23</v>
      </c>
      <c r="P262" s="139" t="s">
        <v>23</v>
      </c>
      <c r="Q262" s="139" t="s">
        <v>23</v>
      </c>
      <c r="R262" s="139">
        <v>25</v>
      </c>
      <c r="S262" s="139">
        <f t="shared" si="17"/>
        <v>25</v>
      </c>
    </row>
    <row r="263" spans="1:19">
      <c r="A263" s="95">
        <v>1994</v>
      </c>
      <c r="B263" s="139" t="s">
        <v>23</v>
      </c>
      <c r="C263" s="139" t="s">
        <v>23</v>
      </c>
      <c r="D263" s="139">
        <v>385</v>
      </c>
      <c r="E263" s="139">
        <v>1577</v>
      </c>
      <c r="F263" s="139" t="s">
        <v>23</v>
      </c>
      <c r="G263" s="139" t="s">
        <v>23</v>
      </c>
      <c r="H263" s="139">
        <v>199</v>
      </c>
      <c r="I263" s="139">
        <v>1476</v>
      </c>
      <c r="J263" s="139">
        <v>371</v>
      </c>
      <c r="K263" s="139" t="s">
        <v>23</v>
      </c>
      <c r="L263" s="139">
        <f t="shared" si="15"/>
        <v>4008</v>
      </c>
      <c r="N263" s="139" t="s">
        <v>23</v>
      </c>
      <c r="O263" s="139" t="s">
        <v>23</v>
      </c>
      <c r="P263" s="139" t="s">
        <v>23</v>
      </c>
      <c r="Q263" s="139" t="s">
        <v>23</v>
      </c>
      <c r="R263" s="139" t="s">
        <v>23</v>
      </c>
      <c r="S263" s="139" t="s">
        <v>23</v>
      </c>
    </row>
    <row r="264" spans="1:19">
      <c r="A264" s="95">
        <v>1995</v>
      </c>
      <c r="B264" s="139" t="s">
        <v>23</v>
      </c>
      <c r="C264" s="139" t="s">
        <v>23</v>
      </c>
      <c r="D264" s="139">
        <v>1628</v>
      </c>
      <c r="E264" s="139">
        <v>7038</v>
      </c>
      <c r="F264" s="139" t="s">
        <v>23</v>
      </c>
      <c r="G264" s="139">
        <v>11855</v>
      </c>
      <c r="H264" s="139">
        <v>4095</v>
      </c>
      <c r="I264" s="139">
        <v>1630</v>
      </c>
      <c r="J264" s="139">
        <v>324</v>
      </c>
      <c r="K264" s="139" t="s">
        <v>23</v>
      </c>
      <c r="L264" s="139">
        <f t="shared" si="15"/>
        <v>26570</v>
      </c>
      <c r="N264" s="139" t="s">
        <v>23</v>
      </c>
      <c r="O264" s="139" t="s">
        <v>23</v>
      </c>
      <c r="P264" s="139" t="s">
        <v>23</v>
      </c>
      <c r="Q264" s="139" t="s">
        <v>23</v>
      </c>
      <c r="R264" s="139" t="s">
        <v>23</v>
      </c>
      <c r="S264" s="139" t="s">
        <v>23</v>
      </c>
    </row>
    <row r="265" spans="1:19">
      <c r="A265" s="95">
        <v>1996</v>
      </c>
      <c r="B265" s="139" t="s">
        <v>23</v>
      </c>
      <c r="C265" s="139" t="s">
        <v>23</v>
      </c>
      <c r="D265" s="139">
        <v>2221</v>
      </c>
      <c r="E265" s="139">
        <v>10137</v>
      </c>
      <c r="F265" s="139" t="s">
        <v>23</v>
      </c>
      <c r="G265" s="139">
        <v>6073</v>
      </c>
      <c r="H265" s="139">
        <v>4511</v>
      </c>
      <c r="I265" s="139">
        <v>1903</v>
      </c>
      <c r="J265" s="139">
        <v>845</v>
      </c>
      <c r="K265" s="139" t="s">
        <v>23</v>
      </c>
      <c r="L265" s="139">
        <f t="shared" si="15"/>
        <v>25690</v>
      </c>
      <c r="N265" s="139">
        <v>8</v>
      </c>
      <c r="O265" s="139" t="s">
        <v>23</v>
      </c>
      <c r="P265" s="139" t="s">
        <v>23</v>
      </c>
      <c r="Q265" s="139" t="s">
        <v>23</v>
      </c>
      <c r="R265" s="139" t="s">
        <v>23</v>
      </c>
      <c r="S265" s="139">
        <f t="shared" si="17"/>
        <v>8</v>
      </c>
    </row>
    <row r="266" spans="1:19">
      <c r="A266" s="95">
        <v>1997</v>
      </c>
      <c r="B266" s="139" t="s">
        <v>23</v>
      </c>
      <c r="C266" s="139">
        <v>1982</v>
      </c>
      <c r="D266" s="139">
        <v>6727</v>
      </c>
      <c r="E266" s="139">
        <v>7889</v>
      </c>
      <c r="F266" s="139" t="s">
        <v>23</v>
      </c>
      <c r="G266" s="139">
        <v>5477</v>
      </c>
      <c r="H266" s="139">
        <v>1098</v>
      </c>
      <c r="I266" s="139">
        <v>1233</v>
      </c>
      <c r="J266" s="139">
        <v>455</v>
      </c>
      <c r="K266" s="139" t="s">
        <v>23</v>
      </c>
      <c r="L266" s="139">
        <f t="shared" si="15"/>
        <v>24861</v>
      </c>
      <c r="N266" s="139" t="s">
        <v>23</v>
      </c>
      <c r="O266" s="139" t="s">
        <v>23</v>
      </c>
      <c r="P266" s="139" t="s">
        <v>23</v>
      </c>
      <c r="Q266" s="139" t="s">
        <v>23</v>
      </c>
      <c r="R266" s="139" t="s">
        <v>23</v>
      </c>
      <c r="S266" s="139" t="s">
        <v>23</v>
      </c>
    </row>
    <row r="267" spans="1:19">
      <c r="A267" s="95">
        <v>1998</v>
      </c>
      <c r="B267" s="139" t="s">
        <v>23</v>
      </c>
      <c r="C267" s="139">
        <v>3302</v>
      </c>
      <c r="D267" s="139">
        <v>5177</v>
      </c>
      <c r="E267" s="139">
        <v>7911</v>
      </c>
      <c r="F267" s="139" t="s">
        <v>23</v>
      </c>
      <c r="G267" s="139">
        <v>2711</v>
      </c>
      <c r="H267" s="139">
        <v>499</v>
      </c>
      <c r="I267" s="139">
        <v>1654</v>
      </c>
      <c r="J267" s="139">
        <v>858</v>
      </c>
      <c r="K267" s="139" t="s">
        <v>23</v>
      </c>
      <c r="L267" s="139">
        <f t="shared" si="15"/>
        <v>22112</v>
      </c>
      <c r="N267" s="139" t="s">
        <v>23</v>
      </c>
      <c r="O267" s="139" t="s">
        <v>23</v>
      </c>
      <c r="P267" s="139" t="s">
        <v>23</v>
      </c>
      <c r="Q267" s="139" t="s">
        <v>23</v>
      </c>
      <c r="R267" s="139" t="s">
        <v>23</v>
      </c>
      <c r="S267" s="139" t="s">
        <v>23</v>
      </c>
    </row>
    <row r="268" spans="1:19">
      <c r="A268" s="95">
        <v>1999</v>
      </c>
      <c r="B268" s="139" t="s">
        <v>23</v>
      </c>
      <c r="C268" s="139">
        <v>213</v>
      </c>
      <c r="D268" s="139">
        <v>1292</v>
      </c>
      <c r="E268" s="139">
        <v>17171</v>
      </c>
      <c r="F268" s="139">
        <v>4761</v>
      </c>
      <c r="G268" s="139">
        <v>15229</v>
      </c>
      <c r="H268" s="139">
        <v>1062</v>
      </c>
      <c r="I268" s="139">
        <v>1492</v>
      </c>
      <c r="J268" s="139">
        <v>1225</v>
      </c>
      <c r="K268" s="139">
        <v>43</v>
      </c>
      <c r="L268" s="139">
        <f t="shared" si="15"/>
        <v>42488</v>
      </c>
      <c r="N268" s="139" t="s">
        <v>23</v>
      </c>
      <c r="O268" s="139" t="s">
        <v>23</v>
      </c>
      <c r="P268" s="139" t="s">
        <v>23</v>
      </c>
      <c r="Q268" s="139" t="s">
        <v>23</v>
      </c>
      <c r="R268" s="139" t="s">
        <v>23</v>
      </c>
      <c r="S268" s="139" t="s">
        <v>23</v>
      </c>
    </row>
    <row r="269" spans="1:19">
      <c r="A269" s="95">
        <v>2000</v>
      </c>
      <c r="B269" s="139" t="s">
        <v>23</v>
      </c>
      <c r="C269" s="139">
        <v>591</v>
      </c>
      <c r="D269" s="139">
        <v>1468</v>
      </c>
      <c r="E269" s="139">
        <v>1862</v>
      </c>
      <c r="F269" s="139">
        <v>14686</v>
      </c>
      <c r="G269" s="139">
        <v>27277</v>
      </c>
      <c r="H269" s="139">
        <v>13918</v>
      </c>
      <c r="I269" s="139">
        <v>3369</v>
      </c>
      <c r="J269" s="139">
        <v>1523</v>
      </c>
      <c r="K269" s="139">
        <v>367</v>
      </c>
      <c r="L269" s="139">
        <f t="shared" si="15"/>
        <v>65061</v>
      </c>
      <c r="N269" s="139" t="s">
        <v>23</v>
      </c>
      <c r="O269" s="139" t="s">
        <v>23</v>
      </c>
      <c r="P269" s="139" t="s">
        <v>23</v>
      </c>
      <c r="Q269" s="139" t="s">
        <v>23</v>
      </c>
      <c r="R269" s="139" t="s">
        <v>23</v>
      </c>
      <c r="S269" s="139" t="s">
        <v>23</v>
      </c>
    </row>
    <row r="270" spans="1:19">
      <c r="A270" s="95">
        <v>2001</v>
      </c>
      <c r="B270" s="139" t="s">
        <v>23</v>
      </c>
      <c r="C270" s="139">
        <v>9209</v>
      </c>
      <c r="D270" s="139">
        <v>14253</v>
      </c>
      <c r="E270" s="139">
        <v>10111</v>
      </c>
      <c r="F270" s="139">
        <v>14241</v>
      </c>
      <c r="G270" s="139">
        <v>13237</v>
      </c>
      <c r="H270" s="139">
        <v>6211</v>
      </c>
      <c r="I270" s="139">
        <v>3686</v>
      </c>
      <c r="J270" s="139">
        <v>1303</v>
      </c>
      <c r="K270" s="139">
        <v>21</v>
      </c>
      <c r="L270" s="139">
        <f t="shared" si="15"/>
        <v>72272</v>
      </c>
      <c r="N270" s="139" t="s">
        <v>23</v>
      </c>
      <c r="O270" s="139" t="s">
        <v>23</v>
      </c>
      <c r="P270" s="139" t="s">
        <v>23</v>
      </c>
      <c r="Q270" s="139" t="s">
        <v>23</v>
      </c>
      <c r="R270" s="139" t="s">
        <v>23</v>
      </c>
      <c r="S270" s="139" t="s">
        <v>23</v>
      </c>
    </row>
    <row r="271" spans="1:19">
      <c r="A271" s="95">
        <v>2002</v>
      </c>
      <c r="B271" s="139">
        <v>2593</v>
      </c>
      <c r="C271" s="139">
        <v>6167</v>
      </c>
      <c r="D271" s="139">
        <v>9949</v>
      </c>
      <c r="E271" s="139">
        <v>47825</v>
      </c>
      <c r="F271" s="139">
        <v>5515</v>
      </c>
      <c r="G271" s="139">
        <v>15292</v>
      </c>
      <c r="H271" s="139">
        <v>16947</v>
      </c>
      <c r="I271" s="139">
        <v>16571</v>
      </c>
      <c r="J271" s="139">
        <v>1250</v>
      </c>
      <c r="K271" s="139">
        <v>65</v>
      </c>
      <c r="L271" s="139">
        <f t="shared" si="15"/>
        <v>122174</v>
      </c>
      <c r="N271" s="139" t="s">
        <v>23</v>
      </c>
      <c r="O271" s="139" t="s">
        <v>23</v>
      </c>
      <c r="P271" s="139" t="s">
        <v>23</v>
      </c>
      <c r="Q271" s="139" t="s">
        <v>23</v>
      </c>
      <c r="R271" s="139" t="s">
        <v>23</v>
      </c>
      <c r="S271" s="139" t="s">
        <v>23</v>
      </c>
    </row>
    <row r="272" spans="1:19">
      <c r="A272" s="95">
        <v>2003</v>
      </c>
      <c r="B272" s="139">
        <v>2183</v>
      </c>
      <c r="C272" s="139">
        <v>49900</v>
      </c>
      <c r="D272" s="139">
        <v>34800</v>
      </c>
      <c r="E272" s="139">
        <v>7943</v>
      </c>
      <c r="F272" s="139">
        <v>5605</v>
      </c>
      <c r="G272" s="139">
        <v>13066</v>
      </c>
      <c r="H272" s="139">
        <v>10793</v>
      </c>
      <c r="I272" s="139">
        <v>6766</v>
      </c>
      <c r="J272" s="139">
        <v>963</v>
      </c>
      <c r="K272" s="139">
        <v>137</v>
      </c>
      <c r="L272" s="139">
        <f t="shared" si="15"/>
        <v>132156</v>
      </c>
      <c r="N272" s="139" t="s">
        <v>23</v>
      </c>
      <c r="O272" s="139" t="s">
        <v>23</v>
      </c>
      <c r="P272" s="139" t="s">
        <v>23</v>
      </c>
      <c r="Q272" s="139" t="s">
        <v>23</v>
      </c>
      <c r="R272" s="139" t="s">
        <v>23</v>
      </c>
      <c r="S272" s="139" t="s">
        <v>23</v>
      </c>
    </row>
    <row r="273" spans="1:19">
      <c r="A273" s="95">
        <v>2004</v>
      </c>
      <c r="B273" s="139">
        <v>8042</v>
      </c>
      <c r="C273" s="139">
        <v>18736</v>
      </c>
      <c r="D273" s="139">
        <v>7398</v>
      </c>
      <c r="E273" s="139">
        <v>14987</v>
      </c>
      <c r="F273" s="139">
        <v>5651</v>
      </c>
      <c r="G273" s="139">
        <v>65177</v>
      </c>
      <c r="H273" s="139">
        <v>11176</v>
      </c>
      <c r="I273" s="139">
        <v>6714</v>
      </c>
      <c r="J273" s="139">
        <v>2079</v>
      </c>
      <c r="K273" s="139">
        <v>182</v>
      </c>
      <c r="L273" s="139">
        <f t="shared" si="15"/>
        <v>140142</v>
      </c>
      <c r="N273" s="139" t="s">
        <v>23</v>
      </c>
      <c r="O273" s="139" t="s">
        <v>23</v>
      </c>
      <c r="P273" s="139" t="s">
        <v>23</v>
      </c>
      <c r="Q273" s="139" t="s">
        <v>23</v>
      </c>
      <c r="R273" s="139" t="s">
        <v>23</v>
      </c>
      <c r="S273" s="139" t="s">
        <v>23</v>
      </c>
    </row>
    <row r="274" spans="1:19">
      <c r="A274" s="95">
        <v>2005</v>
      </c>
      <c r="B274" s="139">
        <v>17099</v>
      </c>
      <c r="C274" s="139">
        <v>2075</v>
      </c>
      <c r="D274" s="139">
        <f>32878+9065</f>
        <v>41943</v>
      </c>
      <c r="E274" s="139" t="s">
        <v>23</v>
      </c>
      <c r="F274" s="139" t="s">
        <v>23</v>
      </c>
      <c r="G274" s="139" t="s">
        <v>23</v>
      </c>
      <c r="H274" s="139">
        <v>49865</v>
      </c>
      <c r="I274" s="139">
        <v>8799</v>
      </c>
      <c r="J274" s="139">
        <v>784</v>
      </c>
      <c r="K274" s="139">
        <v>335</v>
      </c>
      <c r="L274" s="139">
        <f t="shared" si="15"/>
        <v>120900</v>
      </c>
      <c r="N274" s="139" t="s">
        <v>23</v>
      </c>
      <c r="O274" s="139" t="s">
        <v>23</v>
      </c>
      <c r="P274" s="139" t="s">
        <v>23</v>
      </c>
      <c r="Q274" s="139" t="s">
        <v>23</v>
      </c>
      <c r="R274" s="139" t="s">
        <v>23</v>
      </c>
      <c r="S274" s="139" t="s">
        <v>23</v>
      </c>
    </row>
    <row r="275" spans="1:19">
      <c r="A275" s="95">
        <v>2006</v>
      </c>
      <c r="B275" s="135" t="s">
        <v>23</v>
      </c>
      <c r="C275" s="135" t="s">
        <v>23</v>
      </c>
      <c r="D275" s="135" t="s">
        <v>23</v>
      </c>
      <c r="E275" s="135" t="s">
        <v>23</v>
      </c>
      <c r="F275" s="135" t="s">
        <v>23</v>
      </c>
      <c r="G275" s="135" t="s">
        <v>23</v>
      </c>
      <c r="H275" s="135">
        <v>65</v>
      </c>
      <c r="I275" s="135">
        <v>962</v>
      </c>
      <c r="J275" s="135">
        <v>821</v>
      </c>
      <c r="K275" s="135">
        <v>131</v>
      </c>
      <c r="L275" s="139">
        <f t="shared" si="15"/>
        <v>1979</v>
      </c>
      <c r="N275" s="139" t="s">
        <v>23</v>
      </c>
      <c r="O275" s="139" t="s">
        <v>23</v>
      </c>
      <c r="P275" s="139" t="s">
        <v>23</v>
      </c>
      <c r="Q275" s="139" t="s">
        <v>23</v>
      </c>
      <c r="R275" s="139" t="s">
        <v>23</v>
      </c>
      <c r="S275" s="139" t="s">
        <v>23</v>
      </c>
    </row>
    <row r="276" spans="1:19">
      <c r="A276" s="95">
        <v>2007</v>
      </c>
      <c r="B276" s="135" t="s">
        <v>23</v>
      </c>
      <c r="C276" s="135">
        <v>1563</v>
      </c>
      <c r="D276" s="135">
        <v>3018</v>
      </c>
      <c r="E276" s="135">
        <v>2114</v>
      </c>
      <c r="F276" s="135">
        <v>1430</v>
      </c>
      <c r="G276" s="135">
        <v>11963</v>
      </c>
      <c r="H276" s="135">
        <v>489</v>
      </c>
      <c r="I276" s="135">
        <v>504</v>
      </c>
      <c r="J276" s="135">
        <v>621</v>
      </c>
      <c r="K276" s="135">
        <v>3</v>
      </c>
      <c r="L276" s="139">
        <f t="shared" si="15"/>
        <v>21705</v>
      </c>
      <c r="N276" s="139" t="s">
        <v>23</v>
      </c>
      <c r="O276" s="139" t="s">
        <v>23</v>
      </c>
      <c r="P276" s="139">
        <v>2234</v>
      </c>
      <c r="Q276" s="139">
        <v>159</v>
      </c>
      <c r="R276" s="139" t="s">
        <v>23</v>
      </c>
      <c r="S276" s="139">
        <f>SUM(N276:R276)</f>
        <v>2393</v>
      </c>
    </row>
    <row r="277" spans="1:19">
      <c r="A277" s="95">
        <v>2008</v>
      </c>
      <c r="B277" s="135" t="s">
        <v>23</v>
      </c>
      <c r="C277" s="135" t="s">
        <v>23</v>
      </c>
      <c r="D277" s="135" t="s">
        <v>23</v>
      </c>
      <c r="E277" s="135" t="s">
        <v>23</v>
      </c>
      <c r="F277" s="135" t="s">
        <v>23</v>
      </c>
      <c r="G277" s="135" t="s">
        <v>23</v>
      </c>
      <c r="H277" s="135" t="s">
        <v>23</v>
      </c>
      <c r="I277" s="135" t="s">
        <v>23</v>
      </c>
      <c r="J277" s="135">
        <v>208</v>
      </c>
      <c r="K277" s="135" t="s">
        <v>23</v>
      </c>
      <c r="L277" s="139">
        <f t="shared" si="15"/>
        <v>208</v>
      </c>
      <c r="N277" s="139" t="s">
        <v>23</v>
      </c>
      <c r="O277" s="139" t="s">
        <v>23</v>
      </c>
      <c r="P277" s="139" t="s">
        <v>23</v>
      </c>
      <c r="Q277" s="139" t="s">
        <v>23</v>
      </c>
      <c r="R277" s="139" t="s">
        <v>23</v>
      </c>
      <c r="S277" s="139" t="s">
        <v>23</v>
      </c>
    </row>
    <row r="278" spans="1:19">
      <c r="A278" s="95">
        <v>2009</v>
      </c>
      <c r="B278" s="135" t="s">
        <v>23</v>
      </c>
      <c r="C278" s="135" t="s">
        <v>23</v>
      </c>
      <c r="D278" s="135" t="s">
        <v>23</v>
      </c>
      <c r="E278" s="135" t="s">
        <v>23</v>
      </c>
      <c r="F278" s="135" t="s">
        <v>23</v>
      </c>
      <c r="G278" s="135" t="s">
        <v>23</v>
      </c>
      <c r="H278" s="135" t="s">
        <v>23</v>
      </c>
      <c r="I278" s="135">
        <v>293</v>
      </c>
      <c r="J278" s="135" t="s">
        <v>23</v>
      </c>
      <c r="K278" s="135" t="s">
        <v>23</v>
      </c>
      <c r="L278" s="139">
        <f t="shared" si="15"/>
        <v>293</v>
      </c>
      <c r="N278" s="139" t="s">
        <v>23</v>
      </c>
      <c r="O278" s="139" t="s">
        <v>23</v>
      </c>
      <c r="P278" s="139" t="s">
        <v>23</v>
      </c>
      <c r="Q278" s="139">
        <v>683</v>
      </c>
      <c r="R278" s="139" t="s">
        <v>23</v>
      </c>
      <c r="S278" s="139">
        <f>SUM(N278:R278)</f>
        <v>683</v>
      </c>
    </row>
    <row r="279" spans="1:19">
      <c r="A279" s="95">
        <v>2010</v>
      </c>
      <c r="B279" s="135" t="s">
        <v>23</v>
      </c>
      <c r="C279" s="135" t="s">
        <v>23</v>
      </c>
      <c r="D279" s="135">
        <f>37+1126+1981+1020+797</f>
        <v>4961</v>
      </c>
      <c r="E279" s="135">
        <f>853+745+306+1083</f>
        <v>2987</v>
      </c>
      <c r="F279" s="135">
        <f>722+51+9+2+56</f>
        <v>840</v>
      </c>
      <c r="G279" s="135">
        <v>1316</v>
      </c>
      <c r="H279" s="135" t="s">
        <v>23</v>
      </c>
      <c r="I279" s="135">
        <f>578+328+409</f>
        <v>1315</v>
      </c>
      <c r="J279" s="135" t="s">
        <v>23</v>
      </c>
      <c r="K279" s="135" t="s">
        <v>23</v>
      </c>
      <c r="L279" s="139">
        <f>SUM(B279:K279)</f>
        <v>11419</v>
      </c>
      <c r="N279" s="139" t="s">
        <v>23</v>
      </c>
      <c r="O279" s="139" t="s">
        <v>23</v>
      </c>
      <c r="P279" s="139" t="s">
        <v>23</v>
      </c>
      <c r="Q279" s="139" t="s">
        <v>23</v>
      </c>
      <c r="R279" s="139" t="s">
        <v>23</v>
      </c>
      <c r="S279" s="139" t="s">
        <v>23</v>
      </c>
    </row>
    <row r="280" spans="1:19">
      <c r="A280" s="95">
        <v>2011</v>
      </c>
      <c r="B280" s="135" t="s">
        <v>23</v>
      </c>
      <c r="C280" s="135">
        <v>4102</v>
      </c>
      <c r="D280" s="135">
        <v>5414</v>
      </c>
      <c r="E280" s="135">
        <v>8309</v>
      </c>
      <c r="F280" s="135">
        <v>333</v>
      </c>
      <c r="G280" s="135">
        <v>399</v>
      </c>
      <c r="H280" s="135">
        <v>223</v>
      </c>
      <c r="I280" s="135">
        <v>1058</v>
      </c>
      <c r="J280" s="135">
        <v>1995</v>
      </c>
      <c r="K280" s="135" t="s">
        <v>23</v>
      </c>
      <c r="L280" s="139">
        <f>SUM(B280:K280)</f>
        <v>21833</v>
      </c>
      <c r="N280" s="139" t="s">
        <v>23</v>
      </c>
      <c r="O280" s="139" t="s">
        <v>23</v>
      </c>
      <c r="P280" s="139" t="s">
        <v>23</v>
      </c>
      <c r="Q280" s="139" t="s">
        <v>23</v>
      </c>
      <c r="R280" s="139" t="s">
        <v>23</v>
      </c>
      <c r="S280" s="139" t="s">
        <v>23</v>
      </c>
    </row>
    <row r="281" spans="1:19">
      <c r="A281" s="95">
        <v>2012</v>
      </c>
      <c r="B281" s="135" t="s">
        <v>23</v>
      </c>
      <c r="C281" s="135">
        <v>2103</v>
      </c>
      <c r="D281" s="135">
        <v>8633</v>
      </c>
      <c r="E281" s="135">
        <v>4338</v>
      </c>
      <c r="F281" s="135">
        <v>609</v>
      </c>
      <c r="G281" s="135">
        <v>2897</v>
      </c>
      <c r="H281" s="135">
        <v>3981</v>
      </c>
      <c r="I281" s="135">
        <v>1942</v>
      </c>
      <c r="J281" s="135">
        <v>701</v>
      </c>
      <c r="K281" s="135" t="s">
        <v>23</v>
      </c>
      <c r="L281" s="139">
        <f t="shared" ref="L281:L290" si="18">SUM(B281:K281)</f>
        <v>25204</v>
      </c>
      <c r="N281" s="139" t="s">
        <v>23</v>
      </c>
      <c r="O281" s="139" t="s">
        <v>23</v>
      </c>
      <c r="P281" s="139" t="s">
        <v>23</v>
      </c>
      <c r="Q281" s="139" t="s">
        <v>23</v>
      </c>
      <c r="R281" s="139" t="s">
        <v>23</v>
      </c>
      <c r="S281" s="139" t="s">
        <v>23</v>
      </c>
    </row>
    <row r="282" spans="1:19">
      <c r="A282" s="95">
        <v>2013</v>
      </c>
      <c r="B282" s="135" t="s">
        <v>23</v>
      </c>
      <c r="C282" s="135">
        <v>3796</v>
      </c>
      <c r="D282" s="135">
        <v>5308</v>
      </c>
      <c r="E282" s="135">
        <v>4103</v>
      </c>
      <c r="F282" s="135">
        <v>3508</v>
      </c>
      <c r="G282" s="135">
        <v>30097</v>
      </c>
      <c r="H282" s="135">
        <v>23925</v>
      </c>
      <c r="I282" s="135">
        <v>7677</v>
      </c>
      <c r="J282" s="135">
        <v>1002</v>
      </c>
      <c r="K282" s="135" t="s">
        <v>23</v>
      </c>
      <c r="L282" s="139">
        <f t="shared" si="18"/>
        <v>79416</v>
      </c>
      <c r="N282" s="139" t="s">
        <v>23</v>
      </c>
      <c r="O282" s="139" t="s">
        <v>23</v>
      </c>
      <c r="P282" s="139" t="s">
        <v>23</v>
      </c>
      <c r="Q282" s="139" t="s">
        <v>23</v>
      </c>
      <c r="R282" s="139" t="s">
        <v>23</v>
      </c>
      <c r="S282" s="139" t="s">
        <v>23</v>
      </c>
    </row>
    <row r="283" spans="1:19">
      <c r="A283" s="95">
        <v>2014</v>
      </c>
      <c r="B283" s="135" t="s">
        <v>23</v>
      </c>
      <c r="C283" s="135">
        <v>6403</v>
      </c>
      <c r="D283" s="135">
        <v>15427</v>
      </c>
      <c r="E283" s="135">
        <v>17812</v>
      </c>
      <c r="F283" s="135">
        <v>11385</v>
      </c>
      <c r="G283" s="135">
        <v>30187</v>
      </c>
      <c r="H283" s="135">
        <v>2838</v>
      </c>
      <c r="I283" s="135">
        <v>1116</v>
      </c>
      <c r="J283" s="135">
        <v>469</v>
      </c>
      <c r="K283" s="135" t="s">
        <v>23</v>
      </c>
      <c r="L283" s="139">
        <f t="shared" si="18"/>
        <v>85637</v>
      </c>
      <c r="N283" s="139" t="s">
        <v>23</v>
      </c>
      <c r="O283" s="139" t="s">
        <v>23</v>
      </c>
      <c r="P283" s="139" t="s">
        <v>23</v>
      </c>
      <c r="Q283" s="139">
        <v>970</v>
      </c>
      <c r="R283" s="139" t="s">
        <v>23</v>
      </c>
      <c r="S283" s="139">
        <f>SUM(N283:R283)</f>
        <v>970</v>
      </c>
    </row>
    <row r="284" spans="1:19">
      <c r="A284" s="95">
        <v>2015</v>
      </c>
      <c r="B284" s="135" t="s">
        <v>23</v>
      </c>
      <c r="C284" s="135">
        <v>8890</v>
      </c>
      <c r="D284" s="135">
        <v>6786</v>
      </c>
      <c r="E284" s="135">
        <v>14182</v>
      </c>
      <c r="F284" s="135">
        <v>8682</v>
      </c>
      <c r="G284" s="135">
        <v>1727</v>
      </c>
      <c r="H284" s="135">
        <v>386</v>
      </c>
      <c r="I284" s="135">
        <v>1635</v>
      </c>
      <c r="J284" s="135">
        <v>1163</v>
      </c>
      <c r="K284" s="135" t="s">
        <v>23</v>
      </c>
      <c r="L284" s="139">
        <f t="shared" si="18"/>
        <v>43451</v>
      </c>
      <c r="N284" s="139" t="s">
        <v>23</v>
      </c>
      <c r="O284" s="139" t="s">
        <v>23</v>
      </c>
      <c r="P284" s="139" t="s">
        <v>23</v>
      </c>
      <c r="Q284" s="139" t="s">
        <v>23</v>
      </c>
      <c r="R284" s="139" t="s">
        <v>23</v>
      </c>
      <c r="S284" s="139" t="s">
        <v>23</v>
      </c>
    </row>
    <row r="285" spans="1:19">
      <c r="A285" s="95">
        <v>2016</v>
      </c>
      <c r="B285" s="135" t="s">
        <v>23</v>
      </c>
      <c r="C285" s="135">
        <v>808</v>
      </c>
      <c r="D285" s="135">
        <v>760</v>
      </c>
      <c r="E285" s="135">
        <v>2273</v>
      </c>
      <c r="F285" s="135">
        <v>2039</v>
      </c>
      <c r="G285" s="135">
        <v>541</v>
      </c>
      <c r="H285" s="135">
        <v>251</v>
      </c>
      <c r="I285" s="135">
        <v>689</v>
      </c>
      <c r="J285" s="135">
        <v>182</v>
      </c>
      <c r="K285" s="135" t="s">
        <v>23</v>
      </c>
      <c r="L285" s="139">
        <f t="shared" si="18"/>
        <v>7543</v>
      </c>
      <c r="N285" s="139" t="s">
        <v>23</v>
      </c>
      <c r="O285" s="139" t="s">
        <v>23</v>
      </c>
      <c r="P285" s="139" t="s">
        <v>23</v>
      </c>
      <c r="Q285" s="139" t="s">
        <v>23</v>
      </c>
      <c r="R285" s="139" t="s">
        <v>23</v>
      </c>
      <c r="S285" s="139" t="s">
        <v>23</v>
      </c>
    </row>
    <row r="286" spans="1:19">
      <c r="A286" s="95">
        <v>2017</v>
      </c>
      <c r="B286" s="135" t="s">
        <v>23</v>
      </c>
      <c r="C286" s="135" t="s">
        <v>23</v>
      </c>
      <c r="D286" s="135" t="s">
        <v>23</v>
      </c>
      <c r="E286" s="135" t="s">
        <v>23</v>
      </c>
      <c r="F286" s="135" t="s">
        <v>23</v>
      </c>
      <c r="G286" s="135" t="s">
        <v>23</v>
      </c>
      <c r="H286" s="135" t="s">
        <v>23</v>
      </c>
      <c r="I286" s="135">
        <v>638</v>
      </c>
      <c r="J286" s="135">
        <v>96</v>
      </c>
      <c r="K286" s="135" t="s">
        <v>23</v>
      </c>
      <c r="L286" s="139">
        <f t="shared" si="18"/>
        <v>734</v>
      </c>
      <c r="N286" s="139" t="s">
        <v>23</v>
      </c>
      <c r="O286" s="139" t="s">
        <v>23</v>
      </c>
      <c r="P286" s="139" t="s">
        <v>23</v>
      </c>
      <c r="Q286" s="139" t="s">
        <v>23</v>
      </c>
      <c r="R286" s="139" t="s">
        <v>23</v>
      </c>
      <c r="S286" s="139" t="s">
        <v>23</v>
      </c>
    </row>
    <row r="287" spans="1:19">
      <c r="A287" s="95">
        <v>2018</v>
      </c>
      <c r="B287" s="135" t="s">
        <v>23</v>
      </c>
      <c r="C287" s="135" t="s">
        <v>23</v>
      </c>
      <c r="D287" s="135">
        <v>300</v>
      </c>
      <c r="E287" s="135">
        <v>2001</v>
      </c>
      <c r="F287" s="135">
        <v>810</v>
      </c>
      <c r="G287" s="135">
        <v>1215</v>
      </c>
      <c r="H287" s="135">
        <v>48</v>
      </c>
      <c r="I287" s="135">
        <v>472</v>
      </c>
      <c r="J287" s="135">
        <v>431</v>
      </c>
      <c r="K287" s="135" t="s">
        <v>23</v>
      </c>
      <c r="L287" s="139">
        <f>SUM(B287:K287)</f>
        <v>5277</v>
      </c>
      <c r="N287" s="139" t="s">
        <v>23</v>
      </c>
      <c r="O287" s="139" t="s">
        <v>23</v>
      </c>
      <c r="P287" s="139" t="s">
        <v>23</v>
      </c>
      <c r="Q287" s="139" t="s">
        <v>23</v>
      </c>
      <c r="R287" s="139" t="s">
        <v>23</v>
      </c>
      <c r="S287" s="139" t="s">
        <v>23</v>
      </c>
    </row>
    <row r="288" spans="1:19">
      <c r="A288" s="95">
        <v>2019</v>
      </c>
      <c r="B288" s="135" t="s">
        <v>23</v>
      </c>
      <c r="C288" s="135">
        <v>79</v>
      </c>
      <c r="D288" s="135">
        <v>170</v>
      </c>
      <c r="E288" s="135">
        <v>632</v>
      </c>
      <c r="F288" s="135">
        <v>1245</v>
      </c>
      <c r="G288" s="135">
        <v>170</v>
      </c>
      <c r="H288" s="135">
        <v>62</v>
      </c>
      <c r="I288" s="135">
        <v>813</v>
      </c>
      <c r="J288" s="135" t="s">
        <v>23</v>
      </c>
      <c r="K288" s="135" t="s">
        <v>23</v>
      </c>
      <c r="L288" s="139">
        <f t="shared" ref="L288:L289" si="19">SUM(B288:K288)</f>
        <v>3171</v>
      </c>
      <c r="N288" s="139" t="s">
        <v>23</v>
      </c>
      <c r="O288" s="139" t="s">
        <v>23</v>
      </c>
      <c r="P288" s="139" t="s">
        <v>23</v>
      </c>
      <c r="Q288" s="139" t="s">
        <v>23</v>
      </c>
      <c r="R288" s="139" t="s">
        <v>23</v>
      </c>
      <c r="S288" s="139" t="s">
        <v>23</v>
      </c>
    </row>
    <row r="289" spans="1:19">
      <c r="A289" s="95">
        <v>2020</v>
      </c>
      <c r="B289" s="135" t="s">
        <v>23</v>
      </c>
      <c r="C289" s="135">
        <v>252</v>
      </c>
      <c r="D289" s="135">
        <v>55</v>
      </c>
      <c r="E289" s="135">
        <v>147</v>
      </c>
      <c r="F289" s="135">
        <v>557</v>
      </c>
      <c r="G289" s="135">
        <v>170</v>
      </c>
      <c r="H289" s="135">
        <v>59</v>
      </c>
      <c r="I289" s="135">
        <v>943</v>
      </c>
      <c r="J289" s="135" t="s">
        <v>23</v>
      </c>
      <c r="K289" s="135" t="s">
        <v>23</v>
      </c>
      <c r="L289" s="139">
        <f t="shared" si="19"/>
        <v>2183</v>
      </c>
      <c r="N289" s="139" t="s">
        <v>23</v>
      </c>
      <c r="O289" s="139" t="s">
        <v>23</v>
      </c>
      <c r="P289" s="139" t="s">
        <v>23</v>
      </c>
      <c r="Q289" s="139" t="s">
        <v>23</v>
      </c>
      <c r="R289" s="139" t="s">
        <v>23</v>
      </c>
      <c r="S289" s="139" t="s">
        <v>23</v>
      </c>
    </row>
    <row r="290" spans="1:19" ht="13">
      <c r="A290" s="95" t="s">
        <v>317</v>
      </c>
      <c r="B290" s="135" t="s">
        <v>23</v>
      </c>
      <c r="C290" s="135" t="s">
        <v>23</v>
      </c>
      <c r="D290" s="135">
        <v>965</v>
      </c>
      <c r="E290" s="135">
        <v>339</v>
      </c>
      <c r="F290" s="135">
        <v>107</v>
      </c>
      <c r="G290" s="135">
        <v>23</v>
      </c>
      <c r="H290" s="135">
        <v>294</v>
      </c>
      <c r="I290" s="135">
        <v>1232</v>
      </c>
      <c r="J290" s="135" t="s">
        <v>23</v>
      </c>
      <c r="K290" s="135" t="s">
        <v>23</v>
      </c>
      <c r="L290" s="139">
        <f t="shared" si="18"/>
        <v>2960</v>
      </c>
      <c r="N290" s="139" t="s">
        <v>23</v>
      </c>
      <c r="O290" s="139">
        <v>17</v>
      </c>
      <c r="P290" s="139">
        <v>9</v>
      </c>
      <c r="Q290" s="139" t="s">
        <v>23</v>
      </c>
      <c r="R290" s="139" t="s">
        <v>23</v>
      </c>
      <c r="S290" s="139">
        <f>SUM(N290:R290)</f>
        <v>26</v>
      </c>
    </row>
    <row r="292" spans="1:19">
      <c r="A292" s="88" t="s">
        <v>50</v>
      </c>
    </row>
    <row r="293" spans="1:19">
      <c r="A293" s="99">
        <v>1952</v>
      </c>
      <c r="B293" s="139">
        <v>0</v>
      </c>
      <c r="C293" s="139">
        <v>0</v>
      </c>
      <c r="D293" s="139">
        <v>0</v>
      </c>
      <c r="E293" s="139">
        <v>2777</v>
      </c>
      <c r="F293" s="139">
        <v>2765</v>
      </c>
      <c r="G293" s="139">
        <v>8604</v>
      </c>
      <c r="H293" s="139">
        <v>920</v>
      </c>
      <c r="I293" s="139">
        <v>0</v>
      </c>
      <c r="J293" s="139" t="s">
        <v>23</v>
      </c>
      <c r="K293" s="139" t="s">
        <v>23</v>
      </c>
      <c r="L293" s="139">
        <f t="shared" ref="L293:L345" si="20">SUM(B293:K293)</f>
        <v>15066</v>
      </c>
      <c r="N293" s="139">
        <v>46</v>
      </c>
      <c r="O293" s="139">
        <v>3422</v>
      </c>
      <c r="P293" s="139">
        <v>854</v>
      </c>
      <c r="Q293" s="139">
        <v>47</v>
      </c>
      <c r="R293" s="139">
        <v>0</v>
      </c>
      <c r="S293" s="139">
        <f t="shared" ref="S293:S330" si="21">SUM(N293:R293)</f>
        <v>4369</v>
      </c>
    </row>
    <row r="294" spans="1:19">
      <c r="A294" s="99">
        <v>1953</v>
      </c>
      <c r="B294" s="139">
        <v>0</v>
      </c>
      <c r="C294" s="139">
        <v>0</v>
      </c>
      <c r="D294" s="139">
        <v>0</v>
      </c>
      <c r="E294" s="139">
        <v>93</v>
      </c>
      <c r="F294" s="139">
        <v>1531</v>
      </c>
      <c r="G294" s="139">
        <v>6226</v>
      </c>
      <c r="H294" s="139">
        <v>32</v>
      </c>
      <c r="I294" s="139">
        <v>0</v>
      </c>
      <c r="J294" s="139" t="s">
        <v>23</v>
      </c>
      <c r="K294" s="139" t="s">
        <v>23</v>
      </c>
      <c r="L294" s="139">
        <f t="shared" si="20"/>
        <v>7882</v>
      </c>
      <c r="N294" s="139">
        <v>8</v>
      </c>
      <c r="O294" s="139">
        <v>740</v>
      </c>
      <c r="P294" s="139">
        <v>768</v>
      </c>
      <c r="Q294" s="139">
        <v>39</v>
      </c>
      <c r="R294" s="139">
        <v>0</v>
      </c>
      <c r="S294" s="139">
        <f t="shared" si="21"/>
        <v>1555</v>
      </c>
    </row>
    <row r="295" spans="1:19">
      <c r="A295" s="99">
        <v>1954</v>
      </c>
      <c r="B295" s="139">
        <v>0</v>
      </c>
      <c r="C295" s="139">
        <v>0</v>
      </c>
      <c r="D295" s="139">
        <v>0</v>
      </c>
      <c r="E295" s="139">
        <v>152</v>
      </c>
      <c r="F295" s="139">
        <v>1701</v>
      </c>
      <c r="G295" s="139">
        <v>9463</v>
      </c>
      <c r="H295" s="139">
        <v>898</v>
      </c>
      <c r="I295" s="139">
        <v>0</v>
      </c>
      <c r="J295" s="139" t="s">
        <v>23</v>
      </c>
      <c r="K295" s="139" t="s">
        <v>23</v>
      </c>
      <c r="L295" s="139">
        <f t="shared" si="20"/>
        <v>12214</v>
      </c>
      <c r="N295" s="139">
        <v>47</v>
      </c>
      <c r="O295" s="139">
        <v>821</v>
      </c>
      <c r="P295" s="139">
        <v>2364</v>
      </c>
      <c r="Q295" s="139">
        <v>689</v>
      </c>
      <c r="R295" s="139">
        <v>0</v>
      </c>
      <c r="S295" s="139">
        <f t="shared" si="21"/>
        <v>3921</v>
      </c>
    </row>
    <row r="296" spans="1:19">
      <c r="A296" s="99">
        <v>1955</v>
      </c>
      <c r="B296" s="139">
        <v>0</v>
      </c>
      <c r="C296" s="139">
        <v>0</v>
      </c>
      <c r="D296" s="139">
        <v>0</v>
      </c>
      <c r="E296" s="139">
        <v>1846</v>
      </c>
      <c r="F296" s="139">
        <v>2165</v>
      </c>
      <c r="G296" s="139">
        <v>4347</v>
      </c>
      <c r="H296" s="139">
        <v>939</v>
      </c>
      <c r="I296" s="139">
        <v>0</v>
      </c>
      <c r="J296" s="139" t="s">
        <v>23</v>
      </c>
      <c r="K296" s="139" t="s">
        <v>23</v>
      </c>
      <c r="L296" s="139">
        <f t="shared" si="20"/>
        <v>9297</v>
      </c>
      <c r="N296" s="139">
        <v>201</v>
      </c>
      <c r="O296" s="139">
        <v>646</v>
      </c>
      <c r="P296" s="139">
        <v>755</v>
      </c>
      <c r="Q296" s="139">
        <v>111</v>
      </c>
      <c r="R296" s="139">
        <v>0</v>
      </c>
      <c r="S296" s="139">
        <f t="shared" si="21"/>
        <v>1713</v>
      </c>
    </row>
    <row r="297" spans="1:19">
      <c r="A297" s="99">
        <v>1956</v>
      </c>
      <c r="B297" s="139" t="s">
        <v>23</v>
      </c>
      <c r="C297" s="139">
        <v>181</v>
      </c>
      <c r="D297" s="139">
        <v>41</v>
      </c>
      <c r="E297" s="139">
        <v>352</v>
      </c>
      <c r="F297" s="139">
        <v>3240</v>
      </c>
      <c r="G297" s="139">
        <v>8555</v>
      </c>
      <c r="H297" s="139">
        <v>13</v>
      </c>
      <c r="I297" s="139">
        <v>0</v>
      </c>
      <c r="J297" s="139" t="s">
        <v>23</v>
      </c>
      <c r="K297" s="139" t="s">
        <v>23</v>
      </c>
      <c r="L297" s="139">
        <f t="shared" si="20"/>
        <v>12382</v>
      </c>
      <c r="N297" s="139">
        <v>300</v>
      </c>
      <c r="O297" s="139">
        <v>3384</v>
      </c>
      <c r="P297" s="139">
        <v>1248</v>
      </c>
      <c r="Q297" s="139">
        <v>14</v>
      </c>
      <c r="R297" s="139">
        <v>0</v>
      </c>
      <c r="S297" s="139">
        <f t="shared" si="21"/>
        <v>4946</v>
      </c>
    </row>
    <row r="298" spans="1:19">
      <c r="A298" s="99">
        <v>1957</v>
      </c>
      <c r="B298" s="139" t="s">
        <v>23</v>
      </c>
      <c r="C298" s="139">
        <v>0</v>
      </c>
      <c r="D298" s="139">
        <v>95</v>
      </c>
      <c r="E298" s="139">
        <v>3189</v>
      </c>
      <c r="F298" s="139">
        <v>6061</v>
      </c>
      <c r="G298" s="139">
        <v>13399</v>
      </c>
      <c r="H298" s="139">
        <v>827</v>
      </c>
      <c r="I298" s="139">
        <v>2</v>
      </c>
      <c r="J298" s="139" t="s">
        <v>23</v>
      </c>
      <c r="K298" s="139" t="s">
        <v>23</v>
      </c>
      <c r="L298" s="139">
        <f t="shared" si="20"/>
        <v>23573</v>
      </c>
      <c r="N298" s="139">
        <v>3374</v>
      </c>
      <c r="O298" s="139">
        <v>5992</v>
      </c>
      <c r="P298" s="139">
        <v>6613</v>
      </c>
      <c r="Q298" s="139">
        <v>216</v>
      </c>
      <c r="R298" s="139">
        <v>7</v>
      </c>
      <c r="S298" s="139">
        <f t="shared" si="21"/>
        <v>16202</v>
      </c>
    </row>
    <row r="299" spans="1:19">
      <c r="A299" s="99">
        <v>1958</v>
      </c>
      <c r="B299" s="139" t="s">
        <v>23</v>
      </c>
      <c r="C299" s="139">
        <v>0</v>
      </c>
      <c r="D299" s="139">
        <v>1010</v>
      </c>
      <c r="E299" s="139">
        <v>8997</v>
      </c>
      <c r="F299" s="139">
        <v>3334</v>
      </c>
      <c r="G299" s="139">
        <v>873</v>
      </c>
      <c r="H299" s="139">
        <v>1836</v>
      </c>
      <c r="I299" s="139">
        <v>174</v>
      </c>
      <c r="J299" s="139" t="s">
        <v>23</v>
      </c>
      <c r="K299" s="139" t="s">
        <v>23</v>
      </c>
      <c r="L299" s="139">
        <f t="shared" si="20"/>
        <v>16224</v>
      </c>
      <c r="N299" s="139">
        <v>785</v>
      </c>
      <c r="O299" s="139">
        <v>838</v>
      </c>
      <c r="P299" s="139">
        <v>195</v>
      </c>
      <c r="Q299" s="139">
        <v>402</v>
      </c>
      <c r="R299" s="139">
        <v>45</v>
      </c>
      <c r="S299" s="139">
        <f t="shared" si="21"/>
        <v>2265</v>
      </c>
    </row>
    <row r="300" spans="1:19">
      <c r="A300" s="99">
        <v>1959</v>
      </c>
      <c r="B300" s="139" t="s">
        <v>23</v>
      </c>
      <c r="C300" s="139">
        <v>0</v>
      </c>
      <c r="D300" s="139">
        <v>109</v>
      </c>
      <c r="E300" s="139">
        <v>1548</v>
      </c>
      <c r="F300" s="139">
        <v>1970</v>
      </c>
      <c r="G300" s="139">
        <v>350</v>
      </c>
      <c r="H300" s="139">
        <v>293</v>
      </c>
      <c r="I300" s="139">
        <v>66</v>
      </c>
      <c r="J300" s="139" t="s">
        <v>23</v>
      </c>
      <c r="K300" s="139" t="s">
        <v>23</v>
      </c>
      <c r="L300" s="139">
        <f t="shared" si="20"/>
        <v>4336</v>
      </c>
      <c r="N300" s="139">
        <v>4494</v>
      </c>
      <c r="O300" s="139">
        <v>2623</v>
      </c>
      <c r="P300" s="139">
        <v>1161</v>
      </c>
      <c r="Q300" s="139">
        <v>682</v>
      </c>
      <c r="R300" s="139">
        <v>95</v>
      </c>
      <c r="S300" s="139">
        <f t="shared" si="21"/>
        <v>9055</v>
      </c>
    </row>
    <row r="301" spans="1:19">
      <c r="A301" s="99">
        <v>1960</v>
      </c>
      <c r="B301" s="139" t="s">
        <v>23</v>
      </c>
      <c r="C301" s="139">
        <v>0</v>
      </c>
      <c r="D301" s="139">
        <v>22</v>
      </c>
      <c r="E301" s="139">
        <v>700</v>
      </c>
      <c r="F301" s="139">
        <v>2965</v>
      </c>
      <c r="G301" s="139">
        <v>3627</v>
      </c>
      <c r="H301" s="139">
        <v>5568</v>
      </c>
      <c r="I301" s="139">
        <v>2415</v>
      </c>
      <c r="J301" s="139" t="s">
        <v>23</v>
      </c>
      <c r="K301" s="139" t="s">
        <v>23</v>
      </c>
      <c r="L301" s="139">
        <f t="shared" si="20"/>
        <v>15297</v>
      </c>
      <c r="N301" s="139">
        <v>383</v>
      </c>
      <c r="O301" s="139">
        <v>951</v>
      </c>
      <c r="P301" s="139">
        <v>170</v>
      </c>
      <c r="Q301" s="139">
        <v>132</v>
      </c>
      <c r="R301" s="139">
        <v>62</v>
      </c>
      <c r="S301" s="139">
        <f t="shared" si="21"/>
        <v>1698</v>
      </c>
    </row>
    <row r="302" spans="1:19">
      <c r="A302" s="99">
        <v>1961</v>
      </c>
      <c r="B302" s="139" t="s">
        <v>23</v>
      </c>
      <c r="C302" s="139">
        <v>85</v>
      </c>
      <c r="D302" s="139">
        <v>2974</v>
      </c>
      <c r="E302" s="139">
        <v>10121</v>
      </c>
      <c r="F302" s="139">
        <v>14925</v>
      </c>
      <c r="G302" s="139">
        <v>12319</v>
      </c>
      <c r="H302" s="139">
        <v>346</v>
      </c>
      <c r="I302" s="139">
        <v>473</v>
      </c>
      <c r="J302" s="139" t="s">
        <v>23</v>
      </c>
      <c r="K302" s="139" t="s">
        <v>23</v>
      </c>
      <c r="L302" s="139">
        <f t="shared" si="20"/>
        <v>41243</v>
      </c>
      <c r="N302" s="139">
        <v>872</v>
      </c>
      <c r="O302" s="139">
        <v>14564</v>
      </c>
      <c r="P302" s="139">
        <v>4238</v>
      </c>
      <c r="Q302" s="139">
        <v>154</v>
      </c>
      <c r="R302" s="139">
        <v>15</v>
      </c>
      <c r="S302" s="139">
        <f t="shared" si="21"/>
        <v>19843</v>
      </c>
    </row>
    <row r="303" spans="1:19">
      <c r="A303" s="99">
        <v>1962</v>
      </c>
      <c r="B303" s="139" t="s">
        <v>23</v>
      </c>
      <c r="C303" s="139">
        <v>174</v>
      </c>
      <c r="D303" s="139">
        <v>1117</v>
      </c>
      <c r="E303" s="139">
        <v>1260</v>
      </c>
      <c r="F303" s="139">
        <v>5046</v>
      </c>
      <c r="G303" s="139">
        <v>8469</v>
      </c>
      <c r="H303" s="139">
        <v>715</v>
      </c>
      <c r="I303" s="139">
        <v>98</v>
      </c>
      <c r="J303" s="139" t="s">
        <v>23</v>
      </c>
      <c r="K303" s="139" t="s">
        <v>23</v>
      </c>
      <c r="L303" s="139">
        <f t="shared" si="20"/>
        <v>16879</v>
      </c>
      <c r="N303" s="139">
        <v>597</v>
      </c>
      <c r="O303" s="139">
        <v>4783</v>
      </c>
      <c r="P303" s="139">
        <v>6919</v>
      </c>
      <c r="Q303" s="139">
        <v>2147</v>
      </c>
      <c r="R303" s="139">
        <v>42</v>
      </c>
      <c r="S303" s="139">
        <f t="shared" si="21"/>
        <v>14488</v>
      </c>
    </row>
    <row r="304" spans="1:19">
      <c r="A304" s="99">
        <v>1963</v>
      </c>
      <c r="B304" s="139" t="s">
        <v>23</v>
      </c>
      <c r="C304" s="139">
        <v>4</v>
      </c>
      <c r="D304" s="139">
        <v>1927</v>
      </c>
      <c r="E304" s="139">
        <v>7000</v>
      </c>
      <c r="F304" s="139">
        <v>29550</v>
      </c>
      <c r="G304" s="139">
        <v>8161</v>
      </c>
      <c r="H304" s="139">
        <v>1267</v>
      </c>
      <c r="I304" s="139">
        <v>412</v>
      </c>
      <c r="J304" s="139" t="s">
        <v>23</v>
      </c>
      <c r="K304" s="139" t="s">
        <v>23</v>
      </c>
      <c r="L304" s="139">
        <f t="shared" si="20"/>
        <v>48321</v>
      </c>
      <c r="N304" s="139">
        <v>15445</v>
      </c>
      <c r="O304" s="139">
        <v>53997</v>
      </c>
      <c r="P304" s="139">
        <v>12247</v>
      </c>
      <c r="Q304" s="139">
        <v>1930</v>
      </c>
      <c r="R304" s="139">
        <v>199</v>
      </c>
      <c r="S304" s="139">
        <f t="shared" si="21"/>
        <v>83818</v>
      </c>
    </row>
    <row r="305" spans="1:19">
      <c r="A305" s="99">
        <v>1964</v>
      </c>
      <c r="B305" s="139" t="s">
        <v>23</v>
      </c>
      <c r="C305" s="139">
        <v>33</v>
      </c>
      <c r="D305" s="139">
        <v>333</v>
      </c>
      <c r="E305" s="139">
        <v>1684</v>
      </c>
      <c r="F305" s="139">
        <v>10347</v>
      </c>
      <c r="G305" s="139">
        <v>4279</v>
      </c>
      <c r="H305" s="139">
        <v>1391</v>
      </c>
      <c r="I305" s="139">
        <v>1232</v>
      </c>
      <c r="J305" s="139" t="s">
        <v>23</v>
      </c>
      <c r="K305" s="139" t="s">
        <v>23</v>
      </c>
      <c r="L305" s="139">
        <f t="shared" si="20"/>
        <v>19299</v>
      </c>
      <c r="N305" s="139">
        <v>12879</v>
      </c>
      <c r="O305" s="139">
        <v>49638</v>
      </c>
      <c r="P305" s="139">
        <v>27760</v>
      </c>
      <c r="Q305" s="139">
        <v>2970</v>
      </c>
      <c r="R305" s="139">
        <v>483</v>
      </c>
      <c r="S305" s="139">
        <f t="shared" si="21"/>
        <v>93730</v>
      </c>
    </row>
    <row r="306" spans="1:19">
      <c r="A306" s="99">
        <v>1965</v>
      </c>
      <c r="B306" s="139" t="s">
        <v>23</v>
      </c>
      <c r="C306" s="139">
        <v>59</v>
      </c>
      <c r="D306" s="139">
        <v>988</v>
      </c>
      <c r="E306" s="139">
        <v>3169</v>
      </c>
      <c r="F306" s="139">
        <v>9029</v>
      </c>
      <c r="G306" s="139">
        <v>4549</v>
      </c>
      <c r="H306" s="139">
        <v>479</v>
      </c>
      <c r="I306" s="139">
        <v>683</v>
      </c>
      <c r="J306" s="139" t="s">
        <v>23</v>
      </c>
      <c r="K306" s="139" t="s">
        <v>23</v>
      </c>
      <c r="L306" s="139">
        <f t="shared" si="20"/>
        <v>18956</v>
      </c>
      <c r="N306" s="139">
        <v>10897</v>
      </c>
      <c r="O306" s="139">
        <v>75892</v>
      </c>
      <c r="P306" s="139">
        <v>7985</v>
      </c>
      <c r="Q306" s="139">
        <v>609</v>
      </c>
      <c r="R306" s="139">
        <v>67</v>
      </c>
      <c r="S306" s="139">
        <f t="shared" si="21"/>
        <v>95450</v>
      </c>
    </row>
    <row r="307" spans="1:19">
      <c r="A307" s="99">
        <v>1966</v>
      </c>
      <c r="B307" s="139" t="s">
        <v>23</v>
      </c>
      <c r="C307" s="139">
        <v>2</v>
      </c>
      <c r="D307" s="139">
        <v>278</v>
      </c>
      <c r="E307" s="139">
        <v>3921</v>
      </c>
      <c r="F307" s="139">
        <v>19216</v>
      </c>
      <c r="G307" s="139">
        <v>4633</v>
      </c>
      <c r="H307" s="139">
        <v>3338</v>
      </c>
      <c r="I307" s="139">
        <v>1296</v>
      </c>
      <c r="J307" s="139" t="s">
        <v>23</v>
      </c>
      <c r="K307" s="139" t="s">
        <v>23</v>
      </c>
      <c r="L307" s="139">
        <f t="shared" si="20"/>
        <v>32684</v>
      </c>
      <c r="N307" s="139">
        <v>36504</v>
      </c>
      <c r="O307" s="139">
        <v>44239</v>
      </c>
      <c r="P307" s="139">
        <v>12127</v>
      </c>
      <c r="Q307" s="139">
        <v>2857</v>
      </c>
      <c r="R307" s="139">
        <v>93</v>
      </c>
      <c r="S307" s="139">
        <f t="shared" si="21"/>
        <v>95820</v>
      </c>
    </row>
    <row r="308" spans="1:19">
      <c r="A308" s="99">
        <v>1967</v>
      </c>
      <c r="B308" s="139" t="s">
        <v>23</v>
      </c>
      <c r="C308" s="139">
        <v>1988</v>
      </c>
      <c r="D308" s="139">
        <v>4031</v>
      </c>
      <c r="E308" s="139">
        <v>3272</v>
      </c>
      <c r="F308" s="139">
        <v>9512</v>
      </c>
      <c r="G308" s="139">
        <v>2805</v>
      </c>
      <c r="H308" s="139">
        <v>1445</v>
      </c>
      <c r="I308" s="139">
        <v>492</v>
      </c>
      <c r="J308" s="139" t="s">
        <v>23</v>
      </c>
      <c r="K308" s="139" t="s">
        <v>23</v>
      </c>
      <c r="L308" s="139">
        <f t="shared" si="20"/>
        <v>23545</v>
      </c>
      <c r="N308" s="139">
        <v>11184</v>
      </c>
      <c r="O308" s="139">
        <v>70621</v>
      </c>
      <c r="P308" s="139">
        <v>7063</v>
      </c>
      <c r="Q308" s="139">
        <v>1245</v>
      </c>
      <c r="R308" s="139">
        <v>44</v>
      </c>
      <c r="S308" s="139">
        <f t="shared" si="21"/>
        <v>90157</v>
      </c>
    </row>
    <row r="309" spans="1:19">
      <c r="A309" s="99">
        <v>1968</v>
      </c>
      <c r="B309" s="139" t="s">
        <v>23</v>
      </c>
      <c r="C309" s="139">
        <v>6</v>
      </c>
      <c r="D309" s="139">
        <v>1303</v>
      </c>
      <c r="E309" s="139">
        <v>1558</v>
      </c>
      <c r="F309" s="139">
        <v>9883</v>
      </c>
      <c r="G309" s="139">
        <v>4750</v>
      </c>
      <c r="H309" s="139">
        <v>422</v>
      </c>
      <c r="I309" s="139">
        <v>402</v>
      </c>
      <c r="J309" s="139" t="s">
        <v>23</v>
      </c>
      <c r="K309" s="139" t="s">
        <v>23</v>
      </c>
      <c r="L309" s="139">
        <f t="shared" si="20"/>
        <v>18324</v>
      </c>
      <c r="N309" s="139">
        <v>16361</v>
      </c>
      <c r="O309" s="139">
        <v>44789</v>
      </c>
      <c r="P309" s="139">
        <v>12824</v>
      </c>
      <c r="Q309" s="139">
        <v>1548</v>
      </c>
      <c r="R309" s="139">
        <v>4</v>
      </c>
      <c r="S309" s="139">
        <f t="shared" si="21"/>
        <v>75526</v>
      </c>
    </row>
    <row r="310" spans="1:19">
      <c r="A310" s="99">
        <v>1969</v>
      </c>
      <c r="B310" s="139" t="s">
        <v>23</v>
      </c>
      <c r="C310" s="139">
        <v>28</v>
      </c>
      <c r="D310" s="139">
        <v>2930</v>
      </c>
      <c r="E310" s="139">
        <v>17944</v>
      </c>
      <c r="F310" s="139">
        <v>10144</v>
      </c>
      <c r="G310" s="139">
        <v>5424</v>
      </c>
      <c r="H310" s="139">
        <v>366</v>
      </c>
      <c r="I310" s="139">
        <v>2482</v>
      </c>
      <c r="J310" s="139" t="s">
        <v>23</v>
      </c>
      <c r="K310" s="139" t="s">
        <v>23</v>
      </c>
      <c r="L310" s="139">
        <f t="shared" si="20"/>
        <v>39318</v>
      </c>
      <c r="N310" s="139">
        <v>42038</v>
      </c>
      <c r="O310" s="139">
        <v>22733</v>
      </c>
      <c r="P310" s="139">
        <v>6081</v>
      </c>
      <c r="Q310" s="139">
        <v>137</v>
      </c>
      <c r="R310" s="139">
        <v>197</v>
      </c>
      <c r="S310" s="139">
        <f t="shared" si="21"/>
        <v>71186</v>
      </c>
    </row>
    <row r="311" spans="1:19">
      <c r="A311" s="99">
        <v>1970</v>
      </c>
      <c r="B311" s="139" t="s">
        <v>23</v>
      </c>
      <c r="C311" s="139">
        <v>32</v>
      </c>
      <c r="D311" s="139">
        <v>1352</v>
      </c>
      <c r="E311" s="139">
        <v>11546</v>
      </c>
      <c r="F311" s="139">
        <v>10588</v>
      </c>
      <c r="G311" s="139">
        <v>15299</v>
      </c>
      <c r="H311" s="139">
        <v>6051</v>
      </c>
      <c r="I311" s="139">
        <v>964</v>
      </c>
      <c r="J311" s="139" t="s">
        <v>23</v>
      </c>
      <c r="K311" s="139" t="s">
        <v>23</v>
      </c>
      <c r="L311" s="139">
        <f t="shared" si="20"/>
        <v>45832</v>
      </c>
      <c r="N311" s="139">
        <v>48813</v>
      </c>
      <c r="O311" s="139">
        <v>24981</v>
      </c>
      <c r="P311" s="139">
        <v>36965</v>
      </c>
      <c r="Q311" s="139">
        <v>1554</v>
      </c>
      <c r="R311" s="139">
        <v>8</v>
      </c>
      <c r="S311" s="139">
        <f t="shared" si="21"/>
        <v>112321</v>
      </c>
    </row>
    <row r="312" spans="1:19">
      <c r="A312" s="99">
        <v>1971</v>
      </c>
      <c r="B312" s="139" t="s">
        <v>23</v>
      </c>
      <c r="C312" s="139">
        <v>1</v>
      </c>
      <c r="D312" s="139">
        <v>1749</v>
      </c>
      <c r="E312" s="139">
        <v>12909</v>
      </c>
      <c r="F312" s="139">
        <v>15129</v>
      </c>
      <c r="G312" s="139">
        <v>23841</v>
      </c>
      <c r="H312" s="139">
        <v>1059</v>
      </c>
      <c r="I312" s="139">
        <v>2962</v>
      </c>
      <c r="J312" s="139" t="s">
        <v>23</v>
      </c>
      <c r="K312" s="139" t="s">
        <v>23</v>
      </c>
      <c r="L312" s="139">
        <f t="shared" si="20"/>
        <v>57650</v>
      </c>
      <c r="N312" s="139">
        <v>49917</v>
      </c>
      <c r="O312" s="139">
        <v>159908</v>
      </c>
      <c r="P312" s="139">
        <v>73370</v>
      </c>
      <c r="Q312" s="139">
        <v>1055</v>
      </c>
      <c r="R312" s="139">
        <v>196</v>
      </c>
      <c r="S312" s="139">
        <f t="shared" si="21"/>
        <v>284446</v>
      </c>
    </row>
    <row r="313" spans="1:19">
      <c r="A313" s="99">
        <v>1972</v>
      </c>
      <c r="B313" s="139" t="s">
        <v>23</v>
      </c>
      <c r="C313" s="139">
        <v>0</v>
      </c>
      <c r="D313" s="139">
        <v>2602</v>
      </c>
      <c r="E313" s="139">
        <v>12597</v>
      </c>
      <c r="F313" s="139">
        <v>12322</v>
      </c>
      <c r="G313" s="139">
        <v>12113</v>
      </c>
      <c r="H313" s="139">
        <v>8361</v>
      </c>
      <c r="I313" s="139">
        <v>6265</v>
      </c>
      <c r="J313" s="139" t="s">
        <v>23</v>
      </c>
      <c r="K313" s="139" t="s">
        <v>23</v>
      </c>
      <c r="L313" s="139">
        <f t="shared" si="20"/>
        <v>54260</v>
      </c>
      <c r="N313" s="139">
        <v>34310</v>
      </c>
      <c r="O313" s="139">
        <v>27045</v>
      </c>
      <c r="P313" s="139">
        <v>2803</v>
      </c>
      <c r="Q313" s="139">
        <v>870</v>
      </c>
      <c r="R313" s="139">
        <v>137</v>
      </c>
      <c r="S313" s="139">
        <f t="shared" si="21"/>
        <v>65165</v>
      </c>
    </row>
    <row r="314" spans="1:19">
      <c r="A314" s="99">
        <v>1973</v>
      </c>
      <c r="B314" s="139" t="s">
        <v>23</v>
      </c>
      <c r="C314" s="139">
        <v>106</v>
      </c>
      <c r="D314" s="139">
        <v>734</v>
      </c>
      <c r="E314" s="139">
        <v>7545</v>
      </c>
      <c r="F314" s="139">
        <v>26555</v>
      </c>
      <c r="G314" s="139">
        <v>9462</v>
      </c>
      <c r="H314" s="139">
        <v>5609</v>
      </c>
      <c r="I314" s="139">
        <v>4709</v>
      </c>
      <c r="J314" s="139" t="s">
        <v>23</v>
      </c>
      <c r="K314" s="139" t="s">
        <v>23</v>
      </c>
      <c r="L314" s="139">
        <f t="shared" si="20"/>
        <v>54720</v>
      </c>
      <c r="N314" s="139">
        <v>39107</v>
      </c>
      <c r="O314" s="139">
        <v>48661</v>
      </c>
      <c r="P314" s="139">
        <v>2728</v>
      </c>
      <c r="Q314" s="139">
        <v>1124</v>
      </c>
      <c r="R314" s="139">
        <v>167</v>
      </c>
      <c r="S314" s="139">
        <f t="shared" si="21"/>
        <v>91787</v>
      </c>
    </row>
    <row r="315" spans="1:19">
      <c r="A315" s="99">
        <v>1974</v>
      </c>
      <c r="B315" s="139" t="s">
        <v>23</v>
      </c>
      <c r="C315" s="139">
        <v>48</v>
      </c>
      <c r="D315" s="139">
        <v>226</v>
      </c>
      <c r="E315" s="139">
        <v>2825</v>
      </c>
      <c r="F315" s="139">
        <v>9518</v>
      </c>
      <c r="G315" s="139">
        <v>14229</v>
      </c>
      <c r="H315" s="139">
        <v>4970</v>
      </c>
      <c r="I315" s="139">
        <v>1795</v>
      </c>
      <c r="J315" s="139">
        <v>1546</v>
      </c>
      <c r="K315" s="139">
        <v>129</v>
      </c>
      <c r="L315" s="139">
        <f t="shared" si="20"/>
        <v>35286</v>
      </c>
      <c r="N315" s="139">
        <v>16810</v>
      </c>
      <c r="O315" s="139">
        <v>61476</v>
      </c>
      <c r="P315" s="139">
        <v>14223</v>
      </c>
      <c r="Q315" s="139">
        <v>2731</v>
      </c>
      <c r="R315" s="139">
        <v>48</v>
      </c>
      <c r="S315" s="139">
        <f t="shared" si="21"/>
        <v>95288</v>
      </c>
    </row>
    <row r="316" spans="1:19">
      <c r="A316" s="99">
        <v>1975</v>
      </c>
      <c r="B316" s="139" t="s">
        <v>23</v>
      </c>
      <c r="C316" s="139">
        <v>4</v>
      </c>
      <c r="D316" s="139">
        <v>212</v>
      </c>
      <c r="E316" s="139">
        <v>6038</v>
      </c>
      <c r="F316" s="139">
        <v>26649</v>
      </c>
      <c r="G316" s="139">
        <v>11652</v>
      </c>
      <c r="H316" s="139">
        <v>23321</v>
      </c>
      <c r="I316" s="139">
        <v>1857</v>
      </c>
      <c r="J316" s="139">
        <v>859</v>
      </c>
      <c r="K316" s="139">
        <v>57</v>
      </c>
      <c r="L316" s="139">
        <f t="shared" si="20"/>
        <v>70649</v>
      </c>
      <c r="N316" s="139">
        <v>26784</v>
      </c>
      <c r="O316" s="139">
        <v>43479</v>
      </c>
      <c r="P316" s="139">
        <v>4985</v>
      </c>
      <c r="Q316" s="139">
        <v>1409</v>
      </c>
      <c r="R316" s="139">
        <v>27</v>
      </c>
      <c r="S316" s="139">
        <f t="shared" si="21"/>
        <v>76684</v>
      </c>
    </row>
    <row r="317" spans="1:19">
      <c r="A317" s="99">
        <v>1976</v>
      </c>
      <c r="B317" s="139" t="s">
        <v>23</v>
      </c>
      <c r="C317" s="139" t="s">
        <v>23</v>
      </c>
      <c r="D317" s="139">
        <v>110</v>
      </c>
      <c r="E317" s="139">
        <v>3111</v>
      </c>
      <c r="F317" s="139">
        <v>8573</v>
      </c>
      <c r="G317" s="139">
        <v>13022</v>
      </c>
      <c r="H317" s="139">
        <v>11230</v>
      </c>
      <c r="I317" s="139">
        <v>4299</v>
      </c>
      <c r="J317" s="139">
        <v>1854</v>
      </c>
      <c r="K317" s="139" t="s">
        <v>23</v>
      </c>
      <c r="L317" s="139">
        <f t="shared" si="20"/>
        <v>42199</v>
      </c>
      <c r="N317" s="139">
        <v>24057</v>
      </c>
      <c r="O317" s="139">
        <v>74573</v>
      </c>
      <c r="P317" s="139">
        <v>17811</v>
      </c>
      <c r="Q317" s="139">
        <v>1920</v>
      </c>
      <c r="R317" s="139">
        <v>306</v>
      </c>
      <c r="S317" s="139">
        <f t="shared" si="21"/>
        <v>118667</v>
      </c>
    </row>
    <row r="318" spans="1:19">
      <c r="A318" s="99">
        <v>1977</v>
      </c>
      <c r="B318" s="139" t="s">
        <v>23</v>
      </c>
      <c r="C318" s="139" t="s">
        <v>23</v>
      </c>
      <c r="D318" s="139">
        <v>1754</v>
      </c>
      <c r="E318" s="139">
        <v>4977</v>
      </c>
      <c r="F318" s="139">
        <v>34960</v>
      </c>
      <c r="G318" s="139">
        <v>23299</v>
      </c>
      <c r="H318" s="139">
        <v>13806</v>
      </c>
      <c r="I318" s="139">
        <v>4910</v>
      </c>
      <c r="J318" s="139">
        <v>4141</v>
      </c>
      <c r="K318" s="139" t="s">
        <v>23</v>
      </c>
      <c r="L318" s="139">
        <f t="shared" si="20"/>
        <v>87847</v>
      </c>
      <c r="N318" s="139">
        <v>1275</v>
      </c>
      <c r="O318" s="139">
        <v>18684</v>
      </c>
      <c r="P318" s="139">
        <v>2874</v>
      </c>
      <c r="Q318" s="139">
        <v>290</v>
      </c>
      <c r="R318" s="139">
        <v>30</v>
      </c>
      <c r="S318" s="139">
        <f t="shared" si="21"/>
        <v>23153</v>
      </c>
    </row>
    <row r="319" spans="1:19">
      <c r="A319" s="99">
        <v>1978</v>
      </c>
      <c r="B319" s="139" t="s">
        <v>23</v>
      </c>
      <c r="C319" s="139" t="s">
        <v>23</v>
      </c>
      <c r="D319" s="139">
        <v>736</v>
      </c>
      <c r="E319" s="139">
        <v>10428</v>
      </c>
      <c r="F319" s="139">
        <v>9825</v>
      </c>
      <c r="G319" s="139">
        <v>10459</v>
      </c>
      <c r="H319" s="139">
        <v>8381</v>
      </c>
      <c r="I319" s="139">
        <v>4215</v>
      </c>
      <c r="J319" s="139">
        <v>3207</v>
      </c>
      <c r="K319" s="139" t="s">
        <v>23</v>
      </c>
      <c r="L319" s="139">
        <f t="shared" si="20"/>
        <v>47251</v>
      </c>
      <c r="N319" s="139">
        <v>27451</v>
      </c>
      <c r="O319" s="139">
        <v>18182</v>
      </c>
      <c r="P319" s="139">
        <v>10177</v>
      </c>
      <c r="Q319" s="139">
        <v>2158</v>
      </c>
      <c r="R319" s="139">
        <v>186</v>
      </c>
      <c r="S319" s="139">
        <f t="shared" si="21"/>
        <v>58154</v>
      </c>
    </row>
    <row r="320" spans="1:19">
      <c r="A320" s="99">
        <v>1979</v>
      </c>
      <c r="B320" s="139" t="s">
        <v>23</v>
      </c>
      <c r="C320" s="139" t="s">
        <v>23</v>
      </c>
      <c r="D320" s="139">
        <v>290</v>
      </c>
      <c r="E320" s="139">
        <v>1276</v>
      </c>
      <c r="F320" s="139">
        <v>39670</v>
      </c>
      <c r="G320" s="139">
        <v>60192</v>
      </c>
      <c r="H320" s="139">
        <v>4762</v>
      </c>
      <c r="I320" s="139">
        <v>15743</v>
      </c>
      <c r="J320" s="139">
        <v>1861</v>
      </c>
      <c r="K320" s="139" t="s">
        <v>23</v>
      </c>
      <c r="L320" s="139">
        <f t="shared" si="20"/>
        <v>123794</v>
      </c>
      <c r="N320" s="139">
        <v>1750</v>
      </c>
      <c r="O320" s="139">
        <v>86379</v>
      </c>
      <c r="P320" s="139">
        <v>13060</v>
      </c>
      <c r="Q320" s="139">
        <v>11</v>
      </c>
      <c r="R320" s="139" t="s">
        <v>23</v>
      </c>
      <c r="S320" s="139">
        <f t="shared" si="21"/>
        <v>101200</v>
      </c>
    </row>
    <row r="321" spans="1:19">
      <c r="A321" s="99">
        <v>1980</v>
      </c>
      <c r="B321" s="139" t="s">
        <v>23</v>
      </c>
      <c r="C321" s="139" t="s">
        <v>23</v>
      </c>
      <c r="D321" s="139">
        <v>6183</v>
      </c>
      <c r="E321" s="139">
        <v>2566</v>
      </c>
      <c r="F321" s="139">
        <v>12169</v>
      </c>
      <c r="G321" s="139">
        <v>28303</v>
      </c>
      <c r="H321" s="139">
        <v>14453</v>
      </c>
      <c r="I321" s="139">
        <v>3748</v>
      </c>
      <c r="J321" s="139">
        <v>983</v>
      </c>
      <c r="K321" s="139" t="s">
        <v>23</v>
      </c>
      <c r="L321" s="139">
        <f t="shared" si="20"/>
        <v>68405</v>
      </c>
      <c r="N321" s="139" t="s">
        <v>23</v>
      </c>
      <c r="O321" s="139">
        <v>0</v>
      </c>
      <c r="P321" s="139">
        <v>0</v>
      </c>
      <c r="Q321" s="139">
        <v>0</v>
      </c>
      <c r="R321" s="139" t="s">
        <v>23</v>
      </c>
      <c r="S321" s="139">
        <f t="shared" si="21"/>
        <v>0</v>
      </c>
    </row>
    <row r="322" spans="1:19">
      <c r="A322" s="99">
        <v>1981</v>
      </c>
      <c r="B322" s="139" t="s">
        <v>23</v>
      </c>
      <c r="C322" s="139" t="s">
        <v>23</v>
      </c>
      <c r="D322" s="139">
        <v>4325</v>
      </c>
      <c r="E322" s="139">
        <v>0</v>
      </c>
      <c r="F322" s="139">
        <v>8720</v>
      </c>
      <c r="G322" s="139">
        <v>44600</v>
      </c>
      <c r="H322" s="139">
        <v>13202</v>
      </c>
      <c r="I322" s="139">
        <v>11266</v>
      </c>
      <c r="J322" s="139">
        <v>1214</v>
      </c>
      <c r="K322" s="139" t="s">
        <v>23</v>
      </c>
      <c r="L322" s="139">
        <f t="shared" si="20"/>
        <v>83327</v>
      </c>
      <c r="N322" s="139" t="s">
        <v>23</v>
      </c>
      <c r="O322" s="139">
        <v>17874</v>
      </c>
      <c r="P322" s="139">
        <v>35594</v>
      </c>
      <c r="Q322" s="139" t="s">
        <v>23</v>
      </c>
      <c r="R322" s="139" t="s">
        <v>23</v>
      </c>
      <c r="S322" s="139">
        <f t="shared" si="21"/>
        <v>53468</v>
      </c>
    </row>
    <row r="323" spans="1:19">
      <c r="A323" s="99">
        <v>1982</v>
      </c>
      <c r="B323" s="139" t="s">
        <v>23</v>
      </c>
      <c r="C323" s="139" t="s">
        <v>23</v>
      </c>
      <c r="D323" s="139">
        <v>2252</v>
      </c>
      <c r="E323" s="139">
        <v>539</v>
      </c>
      <c r="F323" s="139">
        <v>28553</v>
      </c>
      <c r="G323" s="139">
        <v>28979</v>
      </c>
      <c r="H323" s="139">
        <v>3698</v>
      </c>
      <c r="I323" s="139">
        <v>3204</v>
      </c>
      <c r="J323" s="139">
        <v>1385</v>
      </c>
      <c r="K323" s="139" t="s">
        <v>23</v>
      </c>
      <c r="L323" s="139">
        <f t="shared" si="20"/>
        <v>68610</v>
      </c>
      <c r="N323" s="139" t="s">
        <v>23</v>
      </c>
      <c r="O323" s="139">
        <v>20409</v>
      </c>
      <c r="P323" s="139" t="s">
        <v>23</v>
      </c>
      <c r="Q323" s="139" t="s">
        <v>23</v>
      </c>
      <c r="R323" s="139" t="s">
        <v>23</v>
      </c>
      <c r="S323" s="139">
        <f t="shared" si="21"/>
        <v>20409</v>
      </c>
    </row>
    <row r="324" spans="1:19">
      <c r="A324" s="99">
        <v>1983</v>
      </c>
      <c r="B324" s="139" t="s">
        <v>23</v>
      </c>
      <c r="C324" s="139" t="s">
        <v>23</v>
      </c>
      <c r="D324" s="139">
        <v>1195</v>
      </c>
      <c r="E324" s="139">
        <v>8564</v>
      </c>
      <c r="F324" s="139">
        <v>8862</v>
      </c>
      <c r="G324" s="139">
        <v>1184</v>
      </c>
      <c r="H324" s="139">
        <v>307</v>
      </c>
      <c r="I324" s="139">
        <v>1744</v>
      </c>
      <c r="J324" s="139">
        <v>753</v>
      </c>
      <c r="K324" s="139" t="s">
        <v>23</v>
      </c>
      <c r="L324" s="139">
        <f t="shared" si="20"/>
        <v>22609</v>
      </c>
      <c r="N324" s="139" t="s">
        <v>23</v>
      </c>
      <c r="O324" s="139">
        <v>24025</v>
      </c>
      <c r="P324" s="139" t="s">
        <v>23</v>
      </c>
      <c r="Q324" s="139" t="s">
        <v>23</v>
      </c>
      <c r="R324" s="139" t="s">
        <v>23</v>
      </c>
      <c r="S324" s="139">
        <f t="shared" si="21"/>
        <v>24025</v>
      </c>
    </row>
    <row r="325" spans="1:19">
      <c r="A325" s="99">
        <v>1984</v>
      </c>
      <c r="B325" s="139" t="s">
        <v>23</v>
      </c>
      <c r="C325" s="139" t="s">
        <v>23</v>
      </c>
      <c r="D325" s="139">
        <v>879</v>
      </c>
      <c r="E325" s="139">
        <v>46</v>
      </c>
      <c r="F325" s="139">
        <v>3254</v>
      </c>
      <c r="G325" s="139">
        <v>18629</v>
      </c>
      <c r="H325" s="139">
        <v>8</v>
      </c>
      <c r="I325" s="139">
        <v>871</v>
      </c>
      <c r="J325" s="139">
        <v>894</v>
      </c>
      <c r="K325" s="139" t="s">
        <v>23</v>
      </c>
      <c r="L325" s="139">
        <f t="shared" si="20"/>
        <v>24581</v>
      </c>
      <c r="N325" s="139" t="s">
        <v>23</v>
      </c>
      <c r="O325" s="139" t="s">
        <v>23</v>
      </c>
      <c r="P325" s="139" t="s">
        <v>23</v>
      </c>
      <c r="Q325" s="139" t="s">
        <v>23</v>
      </c>
      <c r="R325" s="139" t="s">
        <v>23</v>
      </c>
      <c r="S325" s="139" t="s">
        <v>23</v>
      </c>
    </row>
    <row r="326" spans="1:19">
      <c r="A326" s="99">
        <v>1985</v>
      </c>
      <c r="B326" s="139" t="s">
        <v>23</v>
      </c>
      <c r="C326" s="139" t="s">
        <v>23</v>
      </c>
      <c r="D326" s="139">
        <v>259</v>
      </c>
      <c r="E326" s="139">
        <v>75</v>
      </c>
      <c r="F326" s="139">
        <v>2394</v>
      </c>
      <c r="G326" s="139">
        <v>7005</v>
      </c>
      <c r="H326" s="139">
        <v>2545</v>
      </c>
      <c r="I326" s="139">
        <v>388</v>
      </c>
      <c r="J326" s="139">
        <v>1320</v>
      </c>
      <c r="K326" s="139" t="s">
        <v>23</v>
      </c>
      <c r="L326" s="139">
        <f t="shared" si="20"/>
        <v>13986</v>
      </c>
      <c r="N326" s="139" t="s">
        <v>23</v>
      </c>
      <c r="O326" s="139">
        <v>1011</v>
      </c>
      <c r="P326" s="139" t="s">
        <v>23</v>
      </c>
      <c r="Q326" s="139" t="s">
        <v>23</v>
      </c>
      <c r="R326" s="139" t="s">
        <v>23</v>
      </c>
      <c r="S326" s="139">
        <f t="shared" si="21"/>
        <v>1011</v>
      </c>
    </row>
    <row r="327" spans="1:19">
      <c r="A327" s="95">
        <v>1986</v>
      </c>
      <c r="B327" s="139" t="s">
        <v>23</v>
      </c>
      <c r="C327" s="139" t="s">
        <v>23</v>
      </c>
      <c r="D327" s="139">
        <v>3686</v>
      </c>
      <c r="E327" s="139">
        <v>16648</v>
      </c>
      <c r="F327" s="139">
        <v>9562</v>
      </c>
      <c r="G327" s="139">
        <v>22127</v>
      </c>
      <c r="H327" s="139" t="s">
        <v>23</v>
      </c>
      <c r="I327" s="139">
        <v>1045</v>
      </c>
      <c r="J327" s="139">
        <v>613</v>
      </c>
      <c r="K327" s="139" t="s">
        <v>23</v>
      </c>
      <c r="L327" s="139">
        <f t="shared" si="20"/>
        <v>53681</v>
      </c>
      <c r="N327" s="139">
        <v>12028</v>
      </c>
      <c r="O327" s="139">
        <v>7121</v>
      </c>
      <c r="P327" s="139" t="s">
        <v>23</v>
      </c>
      <c r="Q327" s="139" t="s">
        <v>23</v>
      </c>
      <c r="R327" s="139" t="s">
        <v>23</v>
      </c>
      <c r="S327" s="139">
        <f t="shared" si="21"/>
        <v>19149</v>
      </c>
    </row>
    <row r="328" spans="1:19">
      <c r="A328" s="95">
        <v>1987</v>
      </c>
      <c r="B328" s="139" t="s">
        <v>23</v>
      </c>
      <c r="C328" s="139" t="s">
        <v>23</v>
      </c>
      <c r="D328" s="139">
        <v>8823</v>
      </c>
      <c r="E328" s="139">
        <v>28028</v>
      </c>
      <c r="F328" s="139" t="s">
        <v>23</v>
      </c>
      <c r="G328" s="139" t="s">
        <v>23</v>
      </c>
      <c r="H328" s="139" t="s">
        <v>23</v>
      </c>
      <c r="I328" s="139">
        <v>1070</v>
      </c>
      <c r="J328" s="139">
        <v>1916</v>
      </c>
      <c r="K328" s="139" t="s">
        <v>23</v>
      </c>
      <c r="L328" s="139">
        <f t="shared" si="20"/>
        <v>39837</v>
      </c>
      <c r="N328" s="139">
        <v>4095</v>
      </c>
      <c r="O328" s="139" t="s">
        <v>23</v>
      </c>
      <c r="P328" s="139" t="s">
        <v>23</v>
      </c>
      <c r="Q328" s="139" t="s">
        <v>23</v>
      </c>
      <c r="R328" s="139" t="s">
        <v>23</v>
      </c>
      <c r="S328" s="139">
        <f t="shared" si="21"/>
        <v>4095</v>
      </c>
    </row>
    <row r="329" spans="1:19">
      <c r="A329" s="95">
        <v>1988</v>
      </c>
      <c r="B329" s="139" t="s">
        <v>23</v>
      </c>
      <c r="C329" s="139" t="s">
        <v>23</v>
      </c>
      <c r="D329" s="139">
        <v>8199</v>
      </c>
      <c r="E329" s="139">
        <v>20652</v>
      </c>
      <c r="F329" s="139" t="s">
        <v>23</v>
      </c>
      <c r="G329" s="139" t="s">
        <v>23</v>
      </c>
      <c r="H329" s="139">
        <v>112</v>
      </c>
      <c r="I329" s="139">
        <v>774</v>
      </c>
      <c r="J329" s="139">
        <v>1851</v>
      </c>
      <c r="K329" s="139" t="s">
        <v>23</v>
      </c>
      <c r="L329" s="139">
        <f t="shared" si="20"/>
        <v>31588</v>
      </c>
      <c r="N329" s="139">
        <v>1250</v>
      </c>
      <c r="O329" s="139" t="s">
        <v>23</v>
      </c>
      <c r="P329" s="139" t="s">
        <v>23</v>
      </c>
      <c r="Q329" s="139" t="s">
        <v>23</v>
      </c>
      <c r="R329" s="139" t="s">
        <v>23</v>
      </c>
      <c r="S329" s="139">
        <f t="shared" si="21"/>
        <v>1250</v>
      </c>
    </row>
    <row r="330" spans="1:19">
      <c r="A330" s="95">
        <v>1989</v>
      </c>
      <c r="B330" s="139" t="s">
        <v>23</v>
      </c>
      <c r="C330" s="139" t="s">
        <v>23</v>
      </c>
      <c r="D330" s="139">
        <v>4643</v>
      </c>
      <c r="E330" s="139">
        <v>1878</v>
      </c>
      <c r="F330" s="139" t="s">
        <v>23</v>
      </c>
      <c r="G330" s="139">
        <v>1920</v>
      </c>
      <c r="H330" s="139">
        <v>8357</v>
      </c>
      <c r="I330" s="139" t="s">
        <v>23</v>
      </c>
      <c r="J330" s="139" t="s">
        <v>23</v>
      </c>
      <c r="K330" s="139" t="s">
        <v>23</v>
      </c>
      <c r="L330" s="139">
        <f t="shared" si="20"/>
        <v>16798</v>
      </c>
      <c r="N330" s="139">
        <v>1004</v>
      </c>
      <c r="O330" s="139" t="s">
        <v>23</v>
      </c>
      <c r="P330" s="139" t="s">
        <v>23</v>
      </c>
      <c r="Q330" s="139" t="s">
        <v>23</v>
      </c>
      <c r="R330" s="139" t="s">
        <v>23</v>
      </c>
      <c r="S330" s="139">
        <f t="shared" si="21"/>
        <v>1004</v>
      </c>
    </row>
    <row r="331" spans="1:19">
      <c r="A331" s="95">
        <v>1990</v>
      </c>
      <c r="B331" s="139" t="s">
        <v>23</v>
      </c>
      <c r="C331" s="139" t="s">
        <v>23</v>
      </c>
      <c r="D331" s="139">
        <v>84</v>
      </c>
      <c r="E331" s="139" t="s">
        <v>23</v>
      </c>
      <c r="F331" s="139" t="s">
        <v>23</v>
      </c>
      <c r="G331" s="139">
        <v>2072</v>
      </c>
      <c r="H331" s="139">
        <v>63</v>
      </c>
      <c r="I331" s="139" t="s">
        <v>23</v>
      </c>
      <c r="J331" s="139" t="s">
        <v>23</v>
      </c>
      <c r="K331" s="139" t="s">
        <v>23</v>
      </c>
      <c r="L331" s="139">
        <f t="shared" si="20"/>
        <v>2219</v>
      </c>
      <c r="N331" s="139" t="s">
        <v>23</v>
      </c>
      <c r="O331" s="139" t="s">
        <v>23</v>
      </c>
      <c r="P331" s="139" t="s">
        <v>23</v>
      </c>
      <c r="Q331" s="139" t="s">
        <v>23</v>
      </c>
      <c r="R331" s="139" t="s">
        <v>23</v>
      </c>
      <c r="S331" s="139" t="s">
        <v>23</v>
      </c>
    </row>
    <row r="332" spans="1:19">
      <c r="A332" s="95">
        <v>1991</v>
      </c>
      <c r="B332" s="139" t="s">
        <v>23</v>
      </c>
      <c r="C332" s="139" t="s">
        <v>23</v>
      </c>
      <c r="D332" s="139" t="s">
        <v>23</v>
      </c>
      <c r="E332" s="139" t="s">
        <v>23</v>
      </c>
      <c r="F332" s="139" t="s">
        <v>23</v>
      </c>
      <c r="G332" s="139" t="s">
        <v>23</v>
      </c>
      <c r="H332" s="139">
        <v>210</v>
      </c>
      <c r="I332" s="139" t="s">
        <v>23</v>
      </c>
      <c r="J332" s="139" t="s">
        <v>23</v>
      </c>
      <c r="K332" s="139" t="s">
        <v>23</v>
      </c>
      <c r="L332" s="139">
        <f t="shared" si="20"/>
        <v>210</v>
      </c>
      <c r="N332" s="139" t="s">
        <v>23</v>
      </c>
      <c r="O332" s="139" t="s">
        <v>23</v>
      </c>
      <c r="P332" s="139" t="s">
        <v>23</v>
      </c>
      <c r="Q332" s="139" t="s">
        <v>23</v>
      </c>
      <c r="R332" s="139" t="s">
        <v>23</v>
      </c>
      <c r="S332" s="139" t="s">
        <v>23</v>
      </c>
    </row>
    <row r="333" spans="1:19">
      <c r="A333" s="95">
        <v>1992</v>
      </c>
      <c r="B333" s="139" t="s">
        <v>23</v>
      </c>
      <c r="C333" s="139" t="s">
        <v>23</v>
      </c>
      <c r="D333" s="139" t="s">
        <v>23</v>
      </c>
      <c r="E333" s="139" t="s">
        <v>23</v>
      </c>
      <c r="F333" s="139" t="s">
        <v>23</v>
      </c>
      <c r="G333" s="139" t="s">
        <v>23</v>
      </c>
      <c r="H333" s="139" t="s">
        <v>23</v>
      </c>
      <c r="I333" s="139" t="s">
        <v>23</v>
      </c>
      <c r="J333" s="139" t="s">
        <v>23</v>
      </c>
      <c r="K333" s="139" t="s">
        <v>23</v>
      </c>
      <c r="L333" s="139" t="s">
        <v>23</v>
      </c>
      <c r="N333" s="139" t="s">
        <v>23</v>
      </c>
      <c r="O333" s="139" t="s">
        <v>23</v>
      </c>
      <c r="P333" s="139" t="s">
        <v>23</v>
      </c>
      <c r="Q333" s="139" t="s">
        <v>23</v>
      </c>
      <c r="R333" s="139" t="s">
        <v>23</v>
      </c>
      <c r="S333" s="139" t="s">
        <v>23</v>
      </c>
    </row>
    <row r="334" spans="1:19">
      <c r="A334" s="95">
        <v>1993</v>
      </c>
      <c r="B334" s="139" t="s">
        <v>23</v>
      </c>
      <c r="C334" s="139" t="s">
        <v>23</v>
      </c>
      <c r="D334" s="139" t="s">
        <v>23</v>
      </c>
      <c r="E334" s="139" t="s">
        <v>23</v>
      </c>
      <c r="F334" s="139" t="s">
        <v>23</v>
      </c>
      <c r="G334" s="139" t="s">
        <v>23</v>
      </c>
      <c r="H334" s="139" t="s">
        <v>23</v>
      </c>
      <c r="I334" s="139" t="s">
        <v>23</v>
      </c>
      <c r="J334" s="139" t="s">
        <v>23</v>
      </c>
      <c r="K334" s="139" t="s">
        <v>23</v>
      </c>
      <c r="L334" s="139" t="s">
        <v>23</v>
      </c>
      <c r="N334" s="139" t="s">
        <v>23</v>
      </c>
      <c r="O334" s="139" t="s">
        <v>23</v>
      </c>
      <c r="P334" s="139" t="s">
        <v>23</v>
      </c>
      <c r="Q334" s="139" t="s">
        <v>23</v>
      </c>
      <c r="R334" s="139" t="s">
        <v>23</v>
      </c>
      <c r="S334" s="139" t="s">
        <v>23</v>
      </c>
    </row>
    <row r="335" spans="1:19">
      <c r="A335" s="95">
        <v>1994</v>
      </c>
      <c r="B335" s="139" t="s">
        <v>23</v>
      </c>
      <c r="C335" s="139" t="s">
        <v>23</v>
      </c>
      <c r="D335" s="139">
        <v>224</v>
      </c>
      <c r="E335" s="139" t="s">
        <v>23</v>
      </c>
      <c r="F335" s="139" t="s">
        <v>23</v>
      </c>
      <c r="G335" s="139">
        <v>234</v>
      </c>
      <c r="H335" s="139" t="s">
        <v>23</v>
      </c>
      <c r="I335" s="139">
        <v>1043</v>
      </c>
      <c r="J335" s="139" t="s">
        <v>23</v>
      </c>
      <c r="K335" s="139" t="s">
        <v>23</v>
      </c>
      <c r="L335" s="139">
        <f t="shared" si="20"/>
        <v>1501</v>
      </c>
      <c r="N335" s="139" t="s">
        <v>23</v>
      </c>
      <c r="O335" s="139" t="s">
        <v>23</v>
      </c>
      <c r="P335" s="139" t="s">
        <v>23</v>
      </c>
      <c r="Q335" s="139" t="s">
        <v>23</v>
      </c>
      <c r="R335" s="139" t="s">
        <v>23</v>
      </c>
      <c r="S335" s="139" t="s">
        <v>23</v>
      </c>
    </row>
    <row r="336" spans="1:19">
      <c r="A336" s="95">
        <v>1995</v>
      </c>
      <c r="B336" s="139" t="s">
        <v>23</v>
      </c>
      <c r="C336" s="139" t="s">
        <v>23</v>
      </c>
      <c r="D336" s="139">
        <v>305</v>
      </c>
      <c r="E336" s="139" t="s">
        <v>23</v>
      </c>
      <c r="F336" s="139">
        <v>1682</v>
      </c>
      <c r="G336" s="139" t="s">
        <v>23</v>
      </c>
      <c r="H336" s="139" t="s">
        <v>23</v>
      </c>
      <c r="I336" s="139">
        <v>1338</v>
      </c>
      <c r="J336" s="139" t="s">
        <v>23</v>
      </c>
      <c r="K336" s="139" t="s">
        <v>23</v>
      </c>
      <c r="L336" s="139">
        <f t="shared" si="20"/>
        <v>3325</v>
      </c>
      <c r="N336" s="139" t="s">
        <v>23</v>
      </c>
      <c r="O336" s="139" t="s">
        <v>23</v>
      </c>
      <c r="P336" s="139" t="s">
        <v>23</v>
      </c>
      <c r="Q336" s="139" t="s">
        <v>23</v>
      </c>
      <c r="R336" s="139" t="s">
        <v>23</v>
      </c>
      <c r="S336" s="139" t="s">
        <v>23</v>
      </c>
    </row>
    <row r="337" spans="1:19">
      <c r="A337" s="95">
        <v>1996</v>
      </c>
      <c r="B337" s="139" t="s">
        <v>23</v>
      </c>
      <c r="C337" s="139" t="s">
        <v>23</v>
      </c>
      <c r="D337" s="139">
        <v>2876</v>
      </c>
      <c r="E337" s="139">
        <v>2233</v>
      </c>
      <c r="F337" s="139" t="s">
        <v>23</v>
      </c>
      <c r="G337" s="139">
        <v>2667</v>
      </c>
      <c r="H337" s="139" t="s">
        <v>23</v>
      </c>
      <c r="I337" s="139">
        <v>788</v>
      </c>
      <c r="J337" s="139" t="s">
        <v>23</v>
      </c>
      <c r="K337" s="139" t="s">
        <v>23</v>
      </c>
      <c r="L337" s="139">
        <f t="shared" si="20"/>
        <v>8564</v>
      </c>
      <c r="N337" s="139" t="s">
        <v>23</v>
      </c>
      <c r="O337" s="139" t="s">
        <v>23</v>
      </c>
      <c r="P337" s="139" t="s">
        <v>23</v>
      </c>
      <c r="Q337" s="139" t="s">
        <v>23</v>
      </c>
      <c r="R337" s="139" t="s">
        <v>23</v>
      </c>
      <c r="S337" s="139" t="s">
        <v>23</v>
      </c>
    </row>
    <row r="338" spans="1:19">
      <c r="A338" s="95">
        <v>1997</v>
      </c>
      <c r="B338" s="139" t="s">
        <v>23</v>
      </c>
      <c r="C338" s="139">
        <v>101</v>
      </c>
      <c r="D338" s="139">
        <v>2348</v>
      </c>
      <c r="E338" s="139" t="s">
        <v>23</v>
      </c>
      <c r="F338" s="139" t="s">
        <v>23</v>
      </c>
      <c r="G338" s="139">
        <v>255</v>
      </c>
      <c r="H338" s="139" t="s">
        <v>23</v>
      </c>
      <c r="I338" s="139">
        <v>869</v>
      </c>
      <c r="J338" s="139" t="s">
        <v>23</v>
      </c>
      <c r="K338" s="139" t="s">
        <v>23</v>
      </c>
      <c r="L338" s="139">
        <f t="shared" si="20"/>
        <v>3573</v>
      </c>
      <c r="N338" s="139" t="s">
        <v>23</v>
      </c>
      <c r="O338" s="139" t="s">
        <v>23</v>
      </c>
      <c r="P338" s="139" t="s">
        <v>23</v>
      </c>
      <c r="Q338" s="139" t="s">
        <v>23</v>
      </c>
      <c r="R338" s="139" t="s">
        <v>23</v>
      </c>
      <c r="S338" s="139" t="s">
        <v>23</v>
      </c>
    </row>
    <row r="339" spans="1:19">
      <c r="A339" s="95">
        <v>1998</v>
      </c>
      <c r="B339" s="139" t="s">
        <v>23</v>
      </c>
      <c r="C339" s="139">
        <v>0</v>
      </c>
      <c r="D339" s="139">
        <v>69</v>
      </c>
      <c r="E339" s="139" t="s">
        <v>23</v>
      </c>
      <c r="F339" s="139" t="s">
        <v>23</v>
      </c>
      <c r="G339" s="139">
        <v>75</v>
      </c>
      <c r="H339" s="139" t="s">
        <v>23</v>
      </c>
      <c r="I339" s="139">
        <v>599</v>
      </c>
      <c r="J339" s="139" t="s">
        <v>23</v>
      </c>
      <c r="K339" s="139" t="s">
        <v>23</v>
      </c>
      <c r="L339" s="139">
        <f t="shared" si="20"/>
        <v>743</v>
      </c>
      <c r="N339" s="139" t="s">
        <v>23</v>
      </c>
      <c r="O339" s="139" t="s">
        <v>23</v>
      </c>
      <c r="P339" s="139" t="s">
        <v>23</v>
      </c>
      <c r="Q339" s="139" t="s">
        <v>23</v>
      </c>
      <c r="R339" s="139" t="s">
        <v>23</v>
      </c>
      <c r="S339" s="139" t="s">
        <v>23</v>
      </c>
    </row>
    <row r="340" spans="1:19">
      <c r="A340" s="95">
        <v>1999</v>
      </c>
      <c r="B340" s="139" t="s">
        <v>23</v>
      </c>
      <c r="C340" s="139" t="s">
        <v>23</v>
      </c>
      <c r="D340" s="139">
        <v>4</v>
      </c>
      <c r="E340" s="139" t="s">
        <v>23</v>
      </c>
      <c r="F340" s="139" t="s">
        <v>23</v>
      </c>
      <c r="G340" s="139">
        <v>844</v>
      </c>
      <c r="H340" s="139">
        <v>150</v>
      </c>
      <c r="I340" s="139">
        <v>364</v>
      </c>
      <c r="J340" s="139" t="s">
        <v>23</v>
      </c>
      <c r="K340" s="139" t="s">
        <v>23</v>
      </c>
      <c r="L340" s="139">
        <f t="shared" si="20"/>
        <v>1362</v>
      </c>
      <c r="N340" s="139" t="s">
        <v>23</v>
      </c>
      <c r="O340" s="139" t="s">
        <v>23</v>
      </c>
      <c r="P340" s="139" t="s">
        <v>23</v>
      </c>
      <c r="Q340" s="139" t="s">
        <v>23</v>
      </c>
      <c r="R340" s="139" t="s">
        <v>23</v>
      </c>
      <c r="S340" s="139" t="s">
        <v>23</v>
      </c>
    </row>
    <row r="341" spans="1:19">
      <c r="A341" s="95">
        <v>2000</v>
      </c>
      <c r="B341" s="139" t="s">
        <v>23</v>
      </c>
      <c r="C341" s="139" t="s">
        <v>23</v>
      </c>
      <c r="D341" s="139">
        <v>21</v>
      </c>
      <c r="E341" s="139" t="s">
        <v>23</v>
      </c>
      <c r="F341" s="139" t="s">
        <v>23</v>
      </c>
      <c r="G341" s="139">
        <v>1405</v>
      </c>
      <c r="H341" s="139">
        <v>1179</v>
      </c>
      <c r="I341" s="139">
        <v>861</v>
      </c>
      <c r="J341" s="139" t="s">
        <v>23</v>
      </c>
      <c r="K341" s="139" t="s">
        <v>23</v>
      </c>
      <c r="L341" s="139">
        <f t="shared" si="20"/>
        <v>3466</v>
      </c>
      <c r="N341" s="139" t="s">
        <v>23</v>
      </c>
      <c r="O341" s="139" t="s">
        <v>23</v>
      </c>
      <c r="P341" s="139" t="s">
        <v>23</v>
      </c>
      <c r="Q341" s="139" t="s">
        <v>23</v>
      </c>
      <c r="R341" s="139" t="s">
        <v>23</v>
      </c>
      <c r="S341" s="139" t="s">
        <v>23</v>
      </c>
    </row>
    <row r="342" spans="1:19">
      <c r="A342" s="95">
        <v>2001</v>
      </c>
      <c r="B342" s="139" t="s">
        <v>23</v>
      </c>
      <c r="C342" s="139" t="s">
        <v>23</v>
      </c>
      <c r="D342" s="139">
        <v>233</v>
      </c>
      <c r="E342" s="139">
        <v>362</v>
      </c>
      <c r="F342" s="139" t="s">
        <v>23</v>
      </c>
      <c r="G342" s="139">
        <v>1290</v>
      </c>
      <c r="H342" s="139">
        <v>986</v>
      </c>
      <c r="I342" s="139">
        <v>728</v>
      </c>
      <c r="J342" s="139" t="s">
        <v>23</v>
      </c>
      <c r="K342" s="139" t="s">
        <v>23</v>
      </c>
      <c r="L342" s="139">
        <f t="shared" si="20"/>
        <v>3599</v>
      </c>
      <c r="N342" s="139" t="s">
        <v>23</v>
      </c>
      <c r="O342" s="139" t="s">
        <v>23</v>
      </c>
      <c r="P342" s="139" t="s">
        <v>23</v>
      </c>
      <c r="Q342" s="139" t="s">
        <v>23</v>
      </c>
      <c r="R342" s="139" t="s">
        <v>23</v>
      </c>
      <c r="S342" s="139" t="s">
        <v>23</v>
      </c>
    </row>
    <row r="343" spans="1:19">
      <c r="A343" s="95">
        <v>2002</v>
      </c>
      <c r="B343" s="139">
        <v>5</v>
      </c>
      <c r="C343" s="139">
        <v>103</v>
      </c>
      <c r="D343" s="139">
        <v>118</v>
      </c>
      <c r="E343" s="139">
        <v>952</v>
      </c>
      <c r="F343" s="139">
        <v>1457</v>
      </c>
      <c r="G343" s="139">
        <v>1326</v>
      </c>
      <c r="H343" s="139">
        <v>2305</v>
      </c>
      <c r="I343" s="139">
        <v>537</v>
      </c>
      <c r="J343" s="139" t="s">
        <v>23</v>
      </c>
      <c r="K343" s="139" t="s">
        <v>23</v>
      </c>
      <c r="L343" s="139">
        <f t="shared" si="20"/>
        <v>6803</v>
      </c>
      <c r="N343" s="139" t="s">
        <v>23</v>
      </c>
      <c r="O343" s="139" t="s">
        <v>23</v>
      </c>
      <c r="P343" s="139" t="s">
        <v>23</v>
      </c>
      <c r="Q343" s="139" t="s">
        <v>23</v>
      </c>
      <c r="R343" s="139" t="s">
        <v>23</v>
      </c>
      <c r="S343" s="139" t="s">
        <v>23</v>
      </c>
    </row>
    <row r="344" spans="1:19">
      <c r="A344" s="95">
        <v>2003</v>
      </c>
      <c r="B344" s="204">
        <v>0</v>
      </c>
      <c r="C344" s="205">
        <v>110</v>
      </c>
      <c r="D344" s="205">
        <v>575</v>
      </c>
      <c r="E344" s="205">
        <v>484</v>
      </c>
      <c r="F344" s="205">
        <v>1082</v>
      </c>
      <c r="G344" s="205">
        <v>1108</v>
      </c>
      <c r="H344" s="205">
        <v>1119</v>
      </c>
      <c r="I344" s="205">
        <v>591</v>
      </c>
      <c r="J344" s="205">
        <v>3</v>
      </c>
      <c r="K344" s="139" t="s">
        <v>23</v>
      </c>
      <c r="L344" s="139">
        <f t="shared" si="20"/>
        <v>5072</v>
      </c>
      <c r="N344" s="139" t="s">
        <v>23</v>
      </c>
      <c r="O344" s="139" t="s">
        <v>23</v>
      </c>
      <c r="P344" s="139" t="s">
        <v>23</v>
      </c>
      <c r="Q344" s="139" t="s">
        <v>23</v>
      </c>
      <c r="R344" s="139" t="s">
        <v>23</v>
      </c>
      <c r="S344" s="139" t="s">
        <v>23</v>
      </c>
    </row>
    <row r="345" spans="1:19">
      <c r="A345" s="95">
        <v>2004</v>
      </c>
      <c r="B345" s="205">
        <v>6</v>
      </c>
      <c r="C345" s="205">
        <v>32</v>
      </c>
      <c r="D345" s="205">
        <v>774</v>
      </c>
      <c r="E345" s="205">
        <v>2825</v>
      </c>
      <c r="F345" s="205">
        <v>2305</v>
      </c>
      <c r="G345" s="205">
        <v>2011</v>
      </c>
      <c r="H345" s="205">
        <v>271</v>
      </c>
      <c r="I345" s="205">
        <v>220</v>
      </c>
      <c r="J345" s="205">
        <v>40</v>
      </c>
      <c r="K345" s="139" t="s">
        <v>23</v>
      </c>
      <c r="L345" s="139">
        <f t="shared" si="20"/>
        <v>8484</v>
      </c>
      <c r="N345" s="139" t="s">
        <v>23</v>
      </c>
      <c r="O345" s="139" t="s">
        <v>23</v>
      </c>
      <c r="P345" s="139" t="s">
        <v>23</v>
      </c>
      <c r="Q345" s="139" t="s">
        <v>23</v>
      </c>
      <c r="R345" s="139" t="s">
        <v>23</v>
      </c>
      <c r="S345" s="139" t="s">
        <v>23</v>
      </c>
    </row>
    <row r="346" spans="1:19">
      <c r="A346" s="95">
        <v>2005</v>
      </c>
      <c r="B346" s="205">
        <v>87</v>
      </c>
      <c r="C346" s="205">
        <v>6</v>
      </c>
      <c r="D346" s="139" t="s">
        <v>23</v>
      </c>
      <c r="E346" s="139" t="s">
        <v>23</v>
      </c>
      <c r="F346" s="139" t="s">
        <v>23</v>
      </c>
      <c r="G346" s="139" t="s">
        <v>23</v>
      </c>
      <c r="H346" s="205">
        <v>1376</v>
      </c>
      <c r="I346" s="205">
        <v>641</v>
      </c>
      <c r="J346" s="205">
        <v>156</v>
      </c>
      <c r="K346" s="139" t="s">
        <v>23</v>
      </c>
      <c r="L346" s="139">
        <f>SUM(B346:K346)</f>
        <v>2266</v>
      </c>
      <c r="N346" s="139" t="s">
        <v>23</v>
      </c>
      <c r="O346" s="139" t="s">
        <v>23</v>
      </c>
      <c r="P346" s="139" t="s">
        <v>23</v>
      </c>
      <c r="Q346" s="139" t="s">
        <v>23</v>
      </c>
      <c r="R346" s="139" t="s">
        <v>23</v>
      </c>
      <c r="S346" s="139" t="s">
        <v>23</v>
      </c>
    </row>
    <row r="347" spans="1:19">
      <c r="A347" s="95">
        <v>2006</v>
      </c>
      <c r="B347" s="135" t="s">
        <v>23</v>
      </c>
      <c r="C347" s="135" t="s">
        <v>23</v>
      </c>
      <c r="D347" s="135" t="s">
        <v>23</v>
      </c>
      <c r="E347" s="135" t="s">
        <v>23</v>
      </c>
      <c r="F347" s="135" t="s">
        <v>23</v>
      </c>
      <c r="G347" s="135" t="s">
        <v>23</v>
      </c>
      <c r="H347" s="206">
        <v>12</v>
      </c>
      <c r="I347" s="206">
        <v>590</v>
      </c>
      <c r="J347" s="206">
        <v>136</v>
      </c>
      <c r="K347" s="135" t="s">
        <v>23</v>
      </c>
      <c r="L347" s="139">
        <f>SUM(B347:K347)</f>
        <v>738</v>
      </c>
      <c r="N347" s="139" t="s">
        <v>23</v>
      </c>
      <c r="O347" s="139" t="s">
        <v>23</v>
      </c>
      <c r="P347" s="139" t="s">
        <v>23</v>
      </c>
      <c r="Q347" s="139" t="s">
        <v>23</v>
      </c>
      <c r="R347" s="139" t="s">
        <v>23</v>
      </c>
      <c r="S347" s="139" t="s">
        <v>23</v>
      </c>
    </row>
    <row r="348" spans="1:19">
      <c r="A348" s="95">
        <v>2007</v>
      </c>
      <c r="B348" s="135" t="s">
        <v>23</v>
      </c>
      <c r="C348" s="135">
        <v>15</v>
      </c>
      <c r="D348" s="135">
        <v>25</v>
      </c>
      <c r="E348" s="135">
        <v>727</v>
      </c>
      <c r="F348" s="135">
        <v>1150</v>
      </c>
      <c r="G348" s="135">
        <v>1524</v>
      </c>
      <c r="H348" s="207">
        <v>400</v>
      </c>
      <c r="I348" s="207">
        <v>209</v>
      </c>
      <c r="J348" s="207">
        <v>47</v>
      </c>
      <c r="K348" s="135" t="s">
        <v>23</v>
      </c>
      <c r="L348" s="139">
        <f>SUM(B348:K348)</f>
        <v>4097</v>
      </c>
      <c r="N348" s="139" t="s">
        <v>23</v>
      </c>
      <c r="O348" s="139" t="s">
        <v>23</v>
      </c>
      <c r="P348" s="139" t="s">
        <v>23</v>
      </c>
      <c r="Q348" s="139" t="s">
        <v>23</v>
      </c>
      <c r="R348" s="139" t="s">
        <v>23</v>
      </c>
      <c r="S348" s="139" t="s">
        <v>23</v>
      </c>
    </row>
    <row r="349" spans="1:19">
      <c r="A349" s="95">
        <v>2008</v>
      </c>
      <c r="B349" s="135" t="s">
        <v>23</v>
      </c>
      <c r="C349" s="135" t="s">
        <v>23</v>
      </c>
      <c r="D349" s="135" t="s">
        <v>23</v>
      </c>
      <c r="E349" s="135" t="s">
        <v>23</v>
      </c>
      <c r="F349" s="135" t="s">
        <v>23</v>
      </c>
      <c r="G349" s="135" t="s">
        <v>23</v>
      </c>
      <c r="H349" s="135" t="s">
        <v>23</v>
      </c>
      <c r="I349" s="135">
        <v>236</v>
      </c>
      <c r="J349" s="135" t="s">
        <v>23</v>
      </c>
      <c r="K349" s="135" t="s">
        <v>23</v>
      </c>
      <c r="L349" s="139">
        <f>SUM(B349:K349)</f>
        <v>236</v>
      </c>
      <c r="N349" s="139" t="s">
        <v>23</v>
      </c>
      <c r="O349" s="139" t="s">
        <v>23</v>
      </c>
      <c r="P349" s="139" t="s">
        <v>23</v>
      </c>
      <c r="Q349" s="139" t="s">
        <v>23</v>
      </c>
      <c r="R349" s="139" t="s">
        <v>23</v>
      </c>
      <c r="S349" s="139" t="s">
        <v>23</v>
      </c>
    </row>
    <row r="350" spans="1:19">
      <c r="A350" s="95">
        <v>2009</v>
      </c>
      <c r="B350" s="135" t="s">
        <v>23</v>
      </c>
      <c r="C350" s="135" t="s">
        <v>23</v>
      </c>
      <c r="D350" s="135" t="s">
        <v>23</v>
      </c>
      <c r="E350" s="135" t="s">
        <v>23</v>
      </c>
      <c r="F350" s="135" t="s">
        <v>23</v>
      </c>
      <c r="G350" s="135" t="s">
        <v>23</v>
      </c>
      <c r="H350" s="135" t="s">
        <v>23</v>
      </c>
      <c r="I350" s="135" t="s">
        <v>23</v>
      </c>
      <c r="J350" s="135" t="s">
        <v>23</v>
      </c>
      <c r="K350" s="135" t="s">
        <v>23</v>
      </c>
      <c r="L350" s="139" t="s">
        <v>23</v>
      </c>
      <c r="N350" s="139" t="s">
        <v>23</v>
      </c>
      <c r="O350" s="139" t="s">
        <v>23</v>
      </c>
      <c r="P350" s="139" t="s">
        <v>23</v>
      </c>
      <c r="Q350" s="139" t="s">
        <v>23</v>
      </c>
      <c r="R350" s="139" t="s">
        <v>23</v>
      </c>
      <c r="S350" s="139" t="s">
        <v>23</v>
      </c>
    </row>
    <row r="351" spans="1:19">
      <c r="A351" s="95">
        <v>2010</v>
      </c>
      <c r="B351" s="135" t="s">
        <v>23</v>
      </c>
      <c r="C351" s="135" t="s">
        <v>23</v>
      </c>
      <c r="D351" s="135">
        <v>164</v>
      </c>
      <c r="E351" s="135" t="s">
        <v>23</v>
      </c>
      <c r="F351" s="135">
        <f>23+19+4+5</f>
        <v>51</v>
      </c>
      <c r="G351" s="135">
        <v>125</v>
      </c>
      <c r="H351" s="135" t="s">
        <v>23</v>
      </c>
      <c r="I351" s="135">
        <f>421+108</f>
        <v>529</v>
      </c>
      <c r="J351" s="135" t="s">
        <v>23</v>
      </c>
      <c r="K351" s="135" t="s">
        <v>23</v>
      </c>
      <c r="L351" s="139">
        <f t="shared" ref="L351:L362" si="22">SUM(B351:K351)</f>
        <v>869</v>
      </c>
      <c r="N351" s="139" t="s">
        <v>23</v>
      </c>
      <c r="O351" s="139" t="s">
        <v>23</v>
      </c>
      <c r="P351" s="139" t="s">
        <v>23</v>
      </c>
      <c r="Q351" s="139" t="s">
        <v>23</v>
      </c>
      <c r="R351" s="139" t="s">
        <v>23</v>
      </c>
      <c r="S351" s="139" t="s">
        <v>23</v>
      </c>
    </row>
    <row r="352" spans="1:19">
      <c r="A352" s="95">
        <v>2011</v>
      </c>
      <c r="B352" s="135" t="s">
        <v>23</v>
      </c>
      <c r="C352" s="135" t="s">
        <v>23</v>
      </c>
      <c r="D352" s="135">
        <v>601</v>
      </c>
      <c r="E352" s="135">
        <v>254</v>
      </c>
      <c r="F352" s="135">
        <v>27</v>
      </c>
      <c r="G352" s="135">
        <v>337</v>
      </c>
      <c r="H352" s="135" t="s">
        <v>23</v>
      </c>
      <c r="I352" s="135">
        <v>107</v>
      </c>
      <c r="J352" s="135" t="s">
        <v>23</v>
      </c>
      <c r="K352" s="135" t="s">
        <v>23</v>
      </c>
      <c r="L352" s="139">
        <f t="shared" si="22"/>
        <v>1326</v>
      </c>
      <c r="N352" s="139" t="s">
        <v>23</v>
      </c>
      <c r="O352" s="139" t="s">
        <v>23</v>
      </c>
      <c r="P352" s="139" t="s">
        <v>23</v>
      </c>
      <c r="Q352" s="139" t="s">
        <v>23</v>
      </c>
      <c r="R352" s="139" t="s">
        <v>23</v>
      </c>
      <c r="S352" s="139" t="s">
        <v>23</v>
      </c>
    </row>
    <row r="353" spans="1:19">
      <c r="A353" s="95">
        <v>2012</v>
      </c>
      <c r="B353" s="135" t="s">
        <v>23</v>
      </c>
      <c r="C353" s="136" t="s">
        <v>186</v>
      </c>
      <c r="D353" s="135">
        <v>371</v>
      </c>
      <c r="E353" s="135">
        <v>1287</v>
      </c>
      <c r="F353" s="135">
        <v>1456</v>
      </c>
      <c r="G353" s="135">
        <v>1328</v>
      </c>
      <c r="H353" s="135">
        <v>884</v>
      </c>
      <c r="I353" s="135">
        <v>118</v>
      </c>
      <c r="J353" s="135" t="s">
        <v>23</v>
      </c>
      <c r="K353" s="135" t="s">
        <v>23</v>
      </c>
      <c r="L353" s="139">
        <f t="shared" si="22"/>
        <v>5444</v>
      </c>
      <c r="N353" s="139" t="s">
        <v>23</v>
      </c>
      <c r="O353" s="139" t="s">
        <v>23</v>
      </c>
      <c r="P353" s="139" t="s">
        <v>23</v>
      </c>
      <c r="Q353" s="139" t="s">
        <v>23</v>
      </c>
      <c r="R353" s="139" t="s">
        <v>23</v>
      </c>
      <c r="S353" s="139" t="s">
        <v>23</v>
      </c>
    </row>
    <row r="354" spans="1:19">
      <c r="A354" s="95">
        <v>2013</v>
      </c>
      <c r="B354" s="135" t="s">
        <v>23</v>
      </c>
      <c r="C354" s="135">
        <v>50</v>
      </c>
      <c r="D354" s="135">
        <v>7</v>
      </c>
      <c r="E354" s="135">
        <v>1450</v>
      </c>
      <c r="F354" s="135">
        <v>3171</v>
      </c>
      <c r="G354" s="135">
        <v>1848</v>
      </c>
      <c r="H354" s="135">
        <v>135</v>
      </c>
      <c r="I354" s="135">
        <v>155</v>
      </c>
      <c r="J354" s="135" t="s">
        <v>23</v>
      </c>
      <c r="K354" s="135" t="s">
        <v>23</v>
      </c>
      <c r="L354" s="139">
        <f t="shared" si="22"/>
        <v>6816</v>
      </c>
      <c r="N354" s="139" t="s">
        <v>23</v>
      </c>
      <c r="O354" s="139" t="s">
        <v>23</v>
      </c>
      <c r="P354" s="139" t="s">
        <v>23</v>
      </c>
      <c r="Q354" s="139" t="s">
        <v>23</v>
      </c>
      <c r="R354" s="139" t="s">
        <v>23</v>
      </c>
      <c r="S354" s="139" t="s">
        <v>23</v>
      </c>
    </row>
    <row r="355" spans="1:19">
      <c r="A355" s="95">
        <v>2014</v>
      </c>
      <c r="B355" s="135" t="s">
        <v>23</v>
      </c>
      <c r="C355" s="135">
        <v>53</v>
      </c>
      <c r="D355" s="135">
        <v>13352</v>
      </c>
      <c r="E355" s="135">
        <v>1349</v>
      </c>
      <c r="F355" s="135">
        <v>492</v>
      </c>
      <c r="G355" s="135">
        <v>403</v>
      </c>
      <c r="H355" s="135">
        <v>54</v>
      </c>
      <c r="I355" s="135">
        <v>443</v>
      </c>
      <c r="J355" s="135" t="s">
        <v>23</v>
      </c>
      <c r="K355" s="135" t="s">
        <v>23</v>
      </c>
      <c r="L355" s="139">
        <f t="shared" si="22"/>
        <v>16146</v>
      </c>
      <c r="N355" s="139" t="s">
        <v>23</v>
      </c>
      <c r="O355" s="139" t="s">
        <v>23</v>
      </c>
      <c r="P355" s="139" t="s">
        <v>23</v>
      </c>
      <c r="Q355" s="139" t="s">
        <v>23</v>
      </c>
      <c r="R355" s="139" t="s">
        <v>23</v>
      </c>
      <c r="S355" s="139" t="s">
        <v>23</v>
      </c>
    </row>
    <row r="356" spans="1:19">
      <c r="A356" s="95">
        <v>2015</v>
      </c>
      <c r="B356" s="135" t="s">
        <v>23</v>
      </c>
      <c r="C356" s="135">
        <v>39</v>
      </c>
      <c r="D356" s="135">
        <v>1146</v>
      </c>
      <c r="E356" s="135">
        <v>1528</v>
      </c>
      <c r="F356" s="135">
        <v>779</v>
      </c>
      <c r="G356" s="135">
        <v>92</v>
      </c>
      <c r="H356" s="135" t="s">
        <v>23</v>
      </c>
      <c r="I356" s="135">
        <v>639</v>
      </c>
      <c r="J356" s="135" t="s">
        <v>23</v>
      </c>
      <c r="K356" s="135" t="s">
        <v>23</v>
      </c>
      <c r="L356" s="139">
        <f t="shared" si="22"/>
        <v>4223</v>
      </c>
      <c r="N356" s="139" t="s">
        <v>23</v>
      </c>
      <c r="O356" s="139" t="s">
        <v>23</v>
      </c>
      <c r="P356" s="139" t="s">
        <v>23</v>
      </c>
      <c r="Q356" s="139" t="s">
        <v>23</v>
      </c>
      <c r="R356" s="139" t="s">
        <v>23</v>
      </c>
      <c r="S356" s="139" t="s">
        <v>23</v>
      </c>
    </row>
    <row r="357" spans="1:19">
      <c r="A357" s="95">
        <v>2016</v>
      </c>
      <c r="B357" s="135" t="s">
        <v>23</v>
      </c>
      <c r="C357" s="135">
        <v>12</v>
      </c>
      <c r="D357" s="135">
        <v>34</v>
      </c>
      <c r="E357" s="135">
        <v>179</v>
      </c>
      <c r="F357" s="135">
        <v>21</v>
      </c>
      <c r="G357" s="135" t="s">
        <v>23</v>
      </c>
      <c r="H357" s="135" t="s">
        <v>23</v>
      </c>
      <c r="I357" s="135">
        <v>152</v>
      </c>
      <c r="J357" s="135" t="s">
        <v>23</v>
      </c>
      <c r="K357" s="135" t="s">
        <v>23</v>
      </c>
      <c r="L357" s="139">
        <f t="shared" si="22"/>
        <v>398</v>
      </c>
      <c r="N357" s="139" t="s">
        <v>23</v>
      </c>
      <c r="O357" s="139" t="s">
        <v>23</v>
      </c>
      <c r="P357" s="139" t="s">
        <v>23</v>
      </c>
      <c r="Q357" s="139" t="s">
        <v>23</v>
      </c>
      <c r="R357" s="139" t="s">
        <v>23</v>
      </c>
      <c r="S357" s="139" t="s">
        <v>23</v>
      </c>
    </row>
    <row r="358" spans="1:19">
      <c r="A358" s="95">
        <v>2017</v>
      </c>
      <c r="B358" s="135" t="s">
        <v>23</v>
      </c>
      <c r="C358" s="135" t="s">
        <v>23</v>
      </c>
      <c r="D358" s="135" t="s">
        <v>23</v>
      </c>
      <c r="E358" s="135" t="s">
        <v>23</v>
      </c>
      <c r="F358" s="135" t="s">
        <v>23</v>
      </c>
      <c r="G358" s="135" t="s">
        <v>23</v>
      </c>
      <c r="H358" s="135" t="s">
        <v>23</v>
      </c>
      <c r="I358" s="135">
        <v>329</v>
      </c>
      <c r="J358" s="135" t="s">
        <v>23</v>
      </c>
      <c r="K358" s="135" t="s">
        <v>23</v>
      </c>
      <c r="L358" s="139">
        <f t="shared" si="22"/>
        <v>329</v>
      </c>
      <c r="N358" s="139" t="s">
        <v>23</v>
      </c>
      <c r="O358" s="139" t="s">
        <v>23</v>
      </c>
      <c r="P358" s="139" t="s">
        <v>23</v>
      </c>
      <c r="Q358" s="139" t="s">
        <v>23</v>
      </c>
      <c r="R358" s="139" t="s">
        <v>23</v>
      </c>
      <c r="S358" s="139" t="s">
        <v>23</v>
      </c>
    </row>
    <row r="359" spans="1:19">
      <c r="A359" s="95">
        <v>2018</v>
      </c>
      <c r="B359" s="135" t="s">
        <v>23</v>
      </c>
      <c r="C359" s="135" t="s">
        <v>23</v>
      </c>
      <c r="D359" s="135">
        <v>272</v>
      </c>
      <c r="E359" s="135">
        <v>1529</v>
      </c>
      <c r="F359" s="135">
        <v>1168</v>
      </c>
      <c r="G359" s="135">
        <v>614</v>
      </c>
      <c r="H359" s="135" t="s">
        <v>23</v>
      </c>
      <c r="I359" s="135">
        <v>316</v>
      </c>
      <c r="J359" s="135" t="s">
        <v>23</v>
      </c>
      <c r="K359" s="135" t="s">
        <v>23</v>
      </c>
      <c r="L359" s="139">
        <f>SUM(B359:K359)</f>
        <v>3899</v>
      </c>
      <c r="N359" s="139" t="s">
        <v>23</v>
      </c>
      <c r="O359" s="139" t="s">
        <v>23</v>
      </c>
      <c r="P359" s="139" t="s">
        <v>23</v>
      </c>
      <c r="Q359" s="139" t="s">
        <v>23</v>
      </c>
      <c r="R359" s="139" t="s">
        <v>23</v>
      </c>
      <c r="S359" s="139" t="s">
        <v>23</v>
      </c>
    </row>
    <row r="360" spans="1:19">
      <c r="A360" s="95">
        <v>2019</v>
      </c>
      <c r="B360" s="135" t="s">
        <v>23</v>
      </c>
      <c r="C360" s="135">
        <v>12</v>
      </c>
      <c r="D360" s="135">
        <v>16</v>
      </c>
      <c r="E360" s="135">
        <v>62</v>
      </c>
      <c r="F360" s="135">
        <v>470</v>
      </c>
      <c r="G360" s="135">
        <v>1312</v>
      </c>
      <c r="H360" s="135" t="s">
        <v>23</v>
      </c>
      <c r="I360" s="135" t="s">
        <v>23</v>
      </c>
      <c r="J360" s="135" t="s">
        <v>23</v>
      </c>
      <c r="K360" s="135" t="s">
        <v>23</v>
      </c>
      <c r="L360" s="139">
        <f t="shared" ref="L360:L361" si="23">SUM(B360:K360)</f>
        <v>1872</v>
      </c>
      <c r="N360" s="139" t="s">
        <v>23</v>
      </c>
      <c r="O360" s="139" t="s">
        <v>23</v>
      </c>
      <c r="P360" s="139" t="s">
        <v>23</v>
      </c>
      <c r="Q360" s="139" t="s">
        <v>23</v>
      </c>
      <c r="R360" s="139" t="s">
        <v>23</v>
      </c>
      <c r="S360" s="139" t="s">
        <v>23</v>
      </c>
    </row>
    <row r="361" spans="1:19">
      <c r="A361" s="95">
        <v>2020</v>
      </c>
      <c r="B361" s="135" t="s">
        <v>23</v>
      </c>
      <c r="C361" s="135">
        <v>1</v>
      </c>
      <c r="D361" s="135">
        <v>5</v>
      </c>
      <c r="E361" s="135">
        <v>168</v>
      </c>
      <c r="F361" s="135">
        <v>651</v>
      </c>
      <c r="G361" s="135" t="s">
        <v>23</v>
      </c>
      <c r="H361" s="135" t="s">
        <v>23</v>
      </c>
      <c r="I361" s="135" t="s">
        <v>23</v>
      </c>
      <c r="J361" s="135" t="s">
        <v>23</v>
      </c>
      <c r="K361" s="135" t="s">
        <v>23</v>
      </c>
      <c r="L361" s="139">
        <f t="shared" si="23"/>
        <v>825</v>
      </c>
      <c r="N361" s="139" t="s">
        <v>23</v>
      </c>
      <c r="O361" s="139" t="s">
        <v>23</v>
      </c>
      <c r="P361" s="139" t="s">
        <v>23</v>
      </c>
      <c r="Q361" s="139" t="s">
        <v>23</v>
      </c>
      <c r="R361" s="139" t="s">
        <v>23</v>
      </c>
      <c r="S361" s="139" t="s">
        <v>23</v>
      </c>
    </row>
    <row r="362" spans="1:19" ht="13">
      <c r="A362" s="95" t="s">
        <v>317</v>
      </c>
      <c r="B362" s="135">
        <v>2</v>
      </c>
      <c r="C362" s="135">
        <v>2</v>
      </c>
      <c r="D362" s="135">
        <v>13</v>
      </c>
      <c r="E362" s="135">
        <v>275</v>
      </c>
      <c r="F362" s="135">
        <v>132</v>
      </c>
      <c r="G362" s="135" t="s">
        <v>23</v>
      </c>
      <c r="H362" s="135" t="s">
        <v>23</v>
      </c>
      <c r="I362" s="135" t="s">
        <v>23</v>
      </c>
      <c r="J362" s="135" t="s">
        <v>23</v>
      </c>
      <c r="K362" s="135" t="s">
        <v>23</v>
      </c>
      <c r="L362" s="139">
        <f t="shared" si="22"/>
        <v>424</v>
      </c>
      <c r="N362" s="139" t="s">
        <v>23</v>
      </c>
      <c r="O362" s="139" t="s">
        <v>23</v>
      </c>
      <c r="P362" s="139" t="s">
        <v>23</v>
      </c>
      <c r="Q362" s="139" t="s">
        <v>23</v>
      </c>
      <c r="R362" s="139" t="s">
        <v>23</v>
      </c>
      <c r="S362" s="139" t="s">
        <v>23</v>
      </c>
    </row>
    <row r="364" spans="1:19">
      <c r="A364" s="92" t="s">
        <v>44</v>
      </c>
    </row>
    <row r="365" spans="1:19">
      <c r="A365" s="99">
        <v>1952</v>
      </c>
      <c r="B365" s="139">
        <f t="shared" ref="B365:L365" si="24">IF(AND(B293="-",B221="-",B149="-",B77="-"),"-",SUM(B293,B221,B149,B77))</f>
        <v>0</v>
      </c>
      <c r="C365" s="139">
        <f t="shared" si="24"/>
        <v>0</v>
      </c>
      <c r="D365" s="139">
        <f t="shared" si="24"/>
        <v>418</v>
      </c>
      <c r="E365" s="139">
        <f t="shared" si="24"/>
        <v>26554</v>
      </c>
      <c r="F365" s="139">
        <f t="shared" si="24"/>
        <v>52754</v>
      </c>
      <c r="G365" s="139">
        <f t="shared" si="24"/>
        <v>64657</v>
      </c>
      <c r="H365" s="139">
        <f t="shared" si="24"/>
        <v>25615</v>
      </c>
      <c r="I365" s="139">
        <f t="shared" si="24"/>
        <v>4784</v>
      </c>
      <c r="J365" s="139" t="str">
        <f t="shared" si="24"/>
        <v>-</v>
      </c>
      <c r="K365" s="139" t="str">
        <f t="shared" si="24"/>
        <v>-</v>
      </c>
      <c r="L365" s="139">
        <f t="shared" si="24"/>
        <v>174782</v>
      </c>
      <c r="N365" s="139">
        <f t="shared" ref="N365:S374" si="25">IF(AND(N293="-",N221="-",N149="-",N77="-"),"-",SUM(N293,N221,N149,N77))</f>
        <v>19053</v>
      </c>
      <c r="O365" s="139">
        <f t="shared" si="25"/>
        <v>126107</v>
      </c>
      <c r="P365" s="139">
        <f t="shared" si="25"/>
        <v>110322</v>
      </c>
      <c r="Q365" s="139">
        <f t="shared" si="25"/>
        <v>25835</v>
      </c>
      <c r="R365" s="139">
        <f t="shared" si="25"/>
        <v>2662</v>
      </c>
      <c r="S365" s="139">
        <f t="shared" si="25"/>
        <v>283979</v>
      </c>
    </row>
    <row r="366" spans="1:19">
      <c r="A366" s="99">
        <v>1953</v>
      </c>
      <c r="B366" s="139">
        <f t="shared" ref="B366:L366" si="26">IF(AND(B294="-",B222="-",B150="-",B78="-"),"-",SUM(B294,B222,B150,B78))</f>
        <v>13</v>
      </c>
      <c r="C366" s="139">
        <f t="shared" si="26"/>
        <v>135</v>
      </c>
      <c r="D366" s="139">
        <f t="shared" si="26"/>
        <v>175</v>
      </c>
      <c r="E366" s="139">
        <f t="shared" si="26"/>
        <v>4709</v>
      </c>
      <c r="F366" s="139">
        <f t="shared" si="26"/>
        <v>28543</v>
      </c>
      <c r="G366" s="139">
        <f t="shared" si="26"/>
        <v>55977</v>
      </c>
      <c r="H366" s="139">
        <f t="shared" si="26"/>
        <v>18831</v>
      </c>
      <c r="I366" s="139">
        <f t="shared" si="26"/>
        <v>127</v>
      </c>
      <c r="J366" s="139" t="str">
        <f t="shared" si="26"/>
        <v>-</v>
      </c>
      <c r="K366" s="139" t="str">
        <f t="shared" si="26"/>
        <v>-</v>
      </c>
      <c r="L366" s="139">
        <f t="shared" si="26"/>
        <v>108510</v>
      </c>
      <c r="N366" s="139">
        <f t="shared" si="25"/>
        <v>15858</v>
      </c>
      <c r="O366" s="139">
        <f t="shared" si="25"/>
        <v>94309</v>
      </c>
      <c r="P366" s="139">
        <f t="shared" si="25"/>
        <v>92689</v>
      </c>
      <c r="Q366" s="139">
        <f t="shared" si="25"/>
        <v>22107</v>
      </c>
      <c r="R366" s="139">
        <f t="shared" si="25"/>
        <v>1155</v>
      </c>
      <c r="S366" s="139">
        <f t="shared" si="25"/>
        <v>226118</v>
      </c>
    </row>
    <row r="367" spans="1:19">
      <c r="A367" s="99">
        <v>1954</v>
      </c>
      <c r="B367" s="139">
        <f t="shared" ref="B367:L367" si="27">IF(AND(B295="-",B223="-",B151="-",B79="-"),"-",SUM(B295,B223,B151,B79))</f>
        <v>62</v>
      </c>
      <c r="C367" s="139">
        <f t="shared" si="27"/>
        <v>29</v>
      </c>
      <c r="D367" s="139">
        <f t="shared" si="27"/>
        <v>3009</v>
      </c>
      <c r="E367" s="139">
        <f t="shared" si="27"/>
        <v>18247</v>
      </c>
      <c r="F367" s="139">
        <f t="shared" si="27"/>
        <v>43929</v>
      </c>
      <c r="G367" s="139">
        <f t="shared" si="27"/>
        <v>60960</v>
      </c>
      <c r="H367" s="139">
        <f t="shared" si="27"/>
        <v>24089</v>
      </c>
      <c r="I367" s="139">
        <f t="shared" si="27"/>
        <v>1886</v>
      </c>
      <c r="J367" s="139" t="str">
        <f t="shared" si="27"/>
        <v>-</v>
      </c>
      <c r="K367" s="139" t="str">
        <f t="shared" si="27"/>
        <v>-</v>
      </c>
      <c r="L367" s="139">
        <f t="shared" si="27"/>
        <v>152211</v>
      </c>
      <c r="N367" s="139">
        <f t="shared" si="25"/>
        <v>20729</v>
      </c>
      <c r="O367" s="139">
        <f t="shared" si="25"/>
        <v>89765</v>
      </c>
      <c r="P367" s="139">
        <f t="shared" si="25"/>
        <v>56268</v>
      </c>
      <c r="Q367" s="139">
        <f t="shared" si="25"/>
        <v>32968</v>
      </c>
      <c r="R367" s="139">
        <f t="shared" si="25"/>
        <v>776</v>
      </c>
      <c r="S367" s="139">
        <f t="shared" si="25"/>
        <v>200506</v>
      </c>
    </row>
    <row r="368" spans="1:19">
      <c r="A368" s="99">
        <v>1955</v>
      </c>
      <c r="B368" s="139">
        <f t="shared" ref="B368:L368" si="28">IF(AND(B296="-",B224="-",B152="-",B80="-"),"-",SUM(B296,B224,B152,B80))</f>
        <v>65</v>
      </c>
      <c r="C368" s="139">
        <f t="shared" si="28"/>
        <v>1007</v>
      </c>
      <c r="D368" s="139">
        <f t="shared" si="28"/>
        <v>34646</v>
      </c>
      <c r="E368" s="139">
        <f t="shared" si="28"/>
        <v>50997</v>
      </c>
      <c r="F368" s="139">
        <f t="shared" si="28"/>
        <v>35715</v>
      </c>
      <c r="G368" s="139">
        <f t="shared" si="28"/>
        <v>91931</v>
      </c>
      <c r="H368" s="139">
        <f t="shared" si="28"/>
        <v>48540</v>
      </c>
      <c r="I368" s="139">
        <f t="shared" si="28"/>
        <v>1872</v>
      </c>
      <c r="J368" s="139" t="str">
        <f t="shared" si="28"/>
        <v>-</v>
      </c>
      <c r="K368" s="139" t="str">
        <f t="shared" si="28"/>
        <v>-</v>
      </c>
      <c r="L368" s="139">
        <f t="shared" si="28"/>
        <v>264773</v>
      </c>
      <c r="N368" s="139">
        <f t="shared" si="25"/>
        <v>18313</v>
      </c>
      <c r="O368" s="139">
        <f t="shared" si="25"/>
        <v>76534</v>
      </c>
      <c r="P368" s="139">
        <f t="shared" si="25"/>
        <v>90675</v>
      </c>
      <c r="Q368" s="139">
        <f t="shared" si="25"/>
        <v>23594</v>
      </c>
      <c r="R368" s="139">
        <f t="shared" si="25"/>
        <v>1748</v>
      </c>
      <c r="S368" s="139">
        <f t="shared" si="25"/>
        <v>210864</v>
      </c>
    </row>
    <row r="369" spans="1:19">
      <c r="A369" s="99">
        <v>1956</v>
      </c>
      <c r="B369" s="139" t="str">
        <f t="shared" ref="B369:L369" si="29">IF(AND(B297="-",B225="-",B153="-",B81="-"),"-",SUM(B297,B225,B153,B81))</f>
        <v>-</v>
      </c>
      <c r="C369" s="139">
        <f t="shared" si="29"/>
        <v>1004</v>
      </c>
      <c r="D369" s="139">
        <f t="shared" si="29"/>
        <v>9776</v>
      </c>
      <c r="E369" s="139">
        <f t="shared" si="29"/>
        <v>40546</v>
      </c>
      <c r="F369" s="139">
        <f t="shared" si="29"/>
        <v>71770</v>
      </c>
      <c r="G369" s="139">
        <f t="shared" si="29"/>
        <v>150817</v>
      </c>
      <c r="H369" s="139">
        <f t="shared" si="29"/>
        <v>26396</v>
      </c>
      <c r="I369" s="139">
        <f t="shared" si="29"/>
        <v>4562</v>
      </c>
      <c r="J369" s="139" t="str">
        <f t="shared" si="29"/>
        <v>-</v>
      </c>
      <c r="K369" s="139" t="str">
        <f t="shared" si="29"/>
        <v>-</v>
      </c>
      <c r="L369" s="139">
        <f t="shared" si="29"/>
        <v>304871</v>
      </c>
      <c r="N369" s="139">
        <f t="shared" si="25"/>
        <v>34136</v>
      </c>
      <c r="O369" s="139">
        <f t="shared" si="25"/>
        <v>174102</v>
      </c>
      <c r="P369" s="139">
        <f t="shared" si="25"/>
        <v>136539</v>
      </c>
      <c r="Q369" s="139">
        <f t="shared" si="25"/>
        <v>27269</v>
      </c>
      <c r="R369" s="139">
        <f t="shared" si="25"/>
        <v>3676</v>
      </c>
      <c r="S369" s="139">
        <f t="shared" si="25"/>
        <v>375722</v>
      </c>
    </row>
    <row r="370" spans="1:19">
      <c r="A370" s="99">
        <v>1957</v>
      </c>
      <c r="B370" s="139" t="str">
        <f t="shared" ref="B370:L370" si="30">IF(AND(B298="-",B226="-",B154="-",B82="-"),"-",SUM(B298,B226,B154,B82))</f>
        <v>-</v>
      </c>
      <c r="C370" s="139">
        <f t="shared" si="30"/>
        <v>332</v>
      </c>
      <c r="D370" s="139">
        <f t="shared" si="30"/>
        <v>13279</v>
      </c>
      <c r="E370" s="139">
        <f t="shared" si="30"/>
        <v>50967</v>
      </c>
      <c r="F370" s="139">
        <f t="shared" si="30"/>
        <v>71740</v>
      </c>
      <c r="G370" s="139">
        <f t="shared" si="30"/>
        <v>74667</v>
      </c>
      <c r="H370" s="139">
        <f t="shared" si="30"/>
        <v>28971</v>
      </c>
      <c r="I370" s="139">
        <f t="shared" si="30"/>
        <v>146</v>
      </c>
      <c r="J370" s="139" t="str">
        <f t="shared" si="30"/>
        <v>-</v>
      </c>
      <c r="K370" s="139" t="str">
        <f t="shared" si="30"/>
        <v>-</v>
      </c>
      <c r="L370" s="139">
        <f t="shared" si="30"/>
        <v>240102</v>
      </c>
      <c r="N370" s="139">
        <f t="shared" si="25"/>
        <v>107257</v>
      </c>
      <c r="O370" s="139">
        <f t="shared" si="25"/>
        <v>185697</v>
      </c>
      <c r="P370" s="139">
        <f t="shared" si="25"/>
        <v>127909</v>
      </c>
      <c r="Q370" s="139">
        <f t="shared" si="25"/>
        <v>67621</v>
      </c>
      <c r="R370" s="139">
        <f t="shared" si="25"/>
        <v>5133</v>
      </c>
      <c r="S370" s="139">
        <f t="shared" si="25"/>
        <v>493617</v>
      </c>
    </row>
    <row r="371" spans="1:19">
      <c r="A371" s="99">
        <v>1958</v>
      </c>
      <c r="B371" s="139" t="str">
        <f t="shared" ref="B371:L371" si="31">IF(AND(B299="-",B227="-",B155="-",B83="-"),"-",SUM(B299,B227,B155,B83))</f>
        <v>-</v>
      </c>
      <c r="C371" s="139">
        <f t="shared" si="31"/>
        <v>794</v>
      </c>
      <c r="D371" s="139">
        <f t="shared" si="31"/>
        <v>13963</v>
      </c>
      <c r="E371" s="139">
        <f t="shared" si="31"/>
        <v>61575</v>
      </c>
      <c r="F371" s="139">
        <f t="shared" si="31"/>
        <v>50904</v>
      </c>
      <c r="G371" s="139">
        <f t="shared" si="31"/>
        <v>26532</v>
      </c>
      <c r="H371" s="139">
        <f t="shared" si="31"/>
        <v>10608</v>
      </c>
      <c r="I371" s="139">
        <f t="shared" si="31"/>
        <v>2539</v>
      </c>
      <c r="J371" s="139" t="str">
        <f t="shared" si="31"/>
        <v>-</v>
      </c>
      <c r="K371" s="139" t="str">
        <f t="shared" si="31"/>
        <v>-</v>
      </c>
      <c r="L371" s="139">
        <f t="shared" si="31"/>
        <v>166915</v>
      </c>
      <c r="N371" s="139">
        <f t="shared" si="25"/>
        <v>52413</v>
      </c>
      <c r="O371" s="139">
        <f t="shared" si="25"/>
        <v>63734</v>
      </c>
      <c r="P371" s="139">
        <f t="shared" si="25"/>
        <v>26957</v>
      </c>
      <c r="Q371" s="139">
        <f t="shared" si="25"/>
        <v>21382</v>
      </c>
      <c r="R371" s="139">
        <f t="shared" si="25"/>
        <v>1701</v>
      </c>
      <c r="S371" s="139">
        <f t="shared" si="25"/>
        <v>166187</v>
      </c>
    </row>
    <row r="372" spans="1:19">
      <c r="A372" s="99">
        <v>1959</v>
      </c>
      <c r="B372" s="139" t="str">
        <f t="shared" ref="B372:L372" si="32">IF(AND(B300="-",B228="-",B156="-",B84="-"),"-",SUM(B300,B228,B156,B84))</f>
        <v>-</v>
      </c>
      <c r="C372" s="139">
        <f t="shared" si="32"/>
        <v>754</v>
      </c>
      <c r="D372" s="139">
        <f t="shared" si="32"/>
        <v>4228</v>
      </c>
      <c r="E372" s="139">
        <f t="shared" si="32"/>
        <v>16231</v>
      </c>
      <c r="F372" s="139">
        <f t="shared" si="32"/>
        <v>9050</v>
      </c>
      <c r="G372" s="139">
        <f t="shared" si="32"/>
        <v>11459</v>
      </c>
      <c r="H372" s="139">
        <f t="shared" si="32"/>
        <v>3423</v>
      </c>
      <c r="I372" s="139">
        <f t="shared" si="32"/>
        <v>541</v>
      </c>
      <c r="J372" s="139" t="str">
        <f t="shared" si="32"/>
        <v>-</v>
      </c>
      <c r="K372" s="139" t="str">
        <f t="shared" si="32"/>
        <v>-</v>
      </c>
      <c r="L372" s="139">
        <f t="shared" si="32"/>
        <v>45686</v>
      </c>
      <c r="N372" s="139">
        <f t="shared" si="25"/>
        <v>27341</v>
      </c>
      <c r="O372" s="139">
        <f t="shared" si="25"/>
        <v>45355</v>
      </c>
      <c r="P372" s="139">
        <f t="shared" si="25"/>
        <v>44171</v>
      </c>
      <c r="Q372" s="139">
        <f t="shared" si="25"/>
        <v>11578</v>
      </c>
      <c r="R372" s="139">
        <f t="shared" si="25"/>
        <v>5022</v>
      </c>
      <c r="S372" s="139">
        <f t="shared" si="25"/>
        <v>133467</v>
      </c>
    </row>
    <row r="373" spans="1:19">
      <c r="A373" s="99">
        <v>1960</v>
      </c>
      <c r="B373" s="139" t="str">
        <f t="shared" ref="B373:L373" si="33">IF(AND(B301="-",B229="-",B157="-",B85="-"),"-",SUM(B301,B229,B157,B85))</f>
        <v>-</v>
      </c>
      <c r="C373" s="139">
        <f t="shared" si="33"/>
        <v>1239</v>
      </c>
      <c r="D373" s="139">
        <f t="shared" si="33"/>
        <v>16864</v>
      </c>
      <c r="E373" s="139">
        <f t="shared" si="33"/>
        <v>11483</v>
      </c>
      <c r="F373" s="139">
        <f t="shared" si="33"/>
        <v>24996</v>
      </c>
      <c r="G373" s="139">
        <f t="shared" si="33"/>
        <v>46966</v>
      </c>
      <c r="H373" s="139">
        <f t="shared" si="33"/>
        <v>14330</v>
      </c>
      <c r="I373" s="139">
        <f t="shared" si="33"/>
        <v>3369</v>
      </c>
      <c r="J373" s="139" t="str">
        <f t="shared" si="33"/>
        <v>-</v>
      </c>
      <c r="K373" s="139" t="str">
        <f t="shared" si="33"/>
        <v>-</v>
      </c>
      <c r="L373" s="139">
        <f t="shared" si="33"/>
        <v>119247</v>
      </c>
      <c r="N373" s="139">
        <f t="shared" si="25"/>
        <v>3786</v>
      </c>
      <c r="O373" s="139">
        <f t="shared" si="25"/>
        <v>26850</v>
      </c>
      <c r="P373" s="139">
        <f t="shared" si="25"/>
        <v>45507</v>
      </c>
      <c r="Q373" s="139">
        <f t="shared" si="25"/>
        <v>5763</v>
      </c>
      <c r="R373" s="139">
        <f t="shared" si="25"/>
        <v>739</v>
      </c>
      <c r="S373" s="139">
        <f t="shared" si="25"/>
        <v>82645</v>
      </c>
    </row>
    <row r="374" spans="1:19">
      <c r="A374" s="99">
        <v>1961</v>
      </c>
      <c r="B374" s="139" t="str">
        <f t="shared" ref="B374:L374" si="34">IF(AND(B302="-",B230="-",B158="-",B86="-"),"-",SUM(B302,B230,B158,B86))</f>
        <v>-</v>
      </c>
      <c r="C374" s="139">
        <f t="shared" si="34"/>
        <v>942</v>
      </c>
      <c r="D374" s="139">
        <f t="shared" si="34"/>
        <v>4249</v>
      </c>
      <c r="E374" s="139">
        <f t="shared" si="34"/>
        <v>17264</v>
      </c>
      <c r="F374" s="139">
        <f t="shared" si="34"/>
        <v>41811</v>
      </c>
      <c r="G374" s="139">
        <f t="shared" si="34"/>
        <v>26518</v>
      </c>
      <c r="H374" s="139">
        <f t="shared" si="34"/>
        <v>13002</v>
      </c>
      <c r="I374" s="139">
        <f t="shared" si="34"/>
        <v>2844</v>
      </c>
      <c r="J374" s="139" t="str">
        <f t="shared" si="34"/>
        <v>-</v>
      </c>
      <c r="K374" s="139" t="str">
        <f t="shared" si="34"/>
        <v>-</v>
      </c>
      <c r="L374" s="139">
        <f t="shared" si="34"/>
        <v>106630</v>
      </c>
      <c r="N374" s="139">
        <f t="shared" si="25"/>
        <v>49923</v>
      </c>
      <c r="O374" s="139">
        <f t="shared" si="25"/>
        <v>125612</v>
      </c>
      <c r="P374" s="139">
        <f t="shared" si="25"/>
        <v>75365</v>
      </c>
      <c r="Q374" s="139">
        <f t="shared" si="25"/>
        <v>14134</v>
      </c>
      <c r="R374" s="139">
        <f t="shared" si="25"/>
        <v>2047</v>
      </c>
      <c r="S374" s="139">
        <f t="shared" si="25"/>
        <v>267081</v>
      </c>
    </row>
    <row r="375" spans="1:19">
      <c r="A375" s="99">
        <v>1962</v>
      </c>
      <c r="B375" s="139" t="str">
        <f t="shared" ref="B375:L375" si="35">IF(AND(B303="-",B231="-",B159="-",B87="-"),"-",SUM(B303,B231,B159,B87))</f>
        <v>-</v>
      </c>
      <c r="C375" s="139">
        <f t="shared" si="35"/>
        <v>630</v>
      </c>
      <c r="D375" s="139">
        <f t="shared" si="35"/>
        <v>1846</v>
      </c>
      <c r="E375" s="139">
        <f t="shared" si="35"/>
        <v>6962</v>
      </c>
      <c r="F375" s="139">
        <f t="shared" si="35"/>
        <v>12720</v>
      </c>
      <c r="G375" s="139">
        <f t="shared" si="35"/>
        <v>17243</v>
      </c>
      <c r="H375" s="139">
        <f t="shared" si="35"/>
        <v>6173</v>
      </c>
      <c r="I375" s="139">
        <f t="shared" si="35"/>
        <v>419</v>
      </c>
      <c r="J375" s="139" t="str">
        <f t="shared" si="35"/>
        <v>-</v>
      </c>
      <c r="K375" s="139" t="str">
        <f t="shared" si="35"/>
        <v>-</v>
      </c>
      <c r="L375" s="139">
        <f t="shared" si="35"/>
        <v>45993</v>
      </c>
      <c r="N375" s="139">
        <f t="shared" ref="N375:S384" si="36">IF(AND(N303="-",N231="-",N159="-",N87="-"),"-",SUM(N303,N231,N159,N87))</f>
        <v>15239</v>
      </c>
      <c r="O375" s="139">
        <f t="shared" si="36"/>
        <v>101622</v>
      </c>
      <c r="P375" s="139">
        <f t="shared" si="36"/>
        <v>98392</v>
      </c>
      <c r="Q375" s="139">
        <f t="shared" si="36"/>
        <v>17010</v>
      </c>
      <c r="R375" s="139">
        <f t="shared" si="36"/>
        <v>2847</v>
      </c>
      <c r="S375" s="139">
        <f t="shared" si="36"/>
        <v>235110</v>
      </c>
    </row>
    <row r="376" spans="1:19">
      <c r="A376" s="99">
        <v>1963</v>
      </c>
      <c r="B376" s="139" t="str">
        <f t="shared" ref="B376:L376" si="37">IF(AND(B304="-",B232="-",B160="-",B88="-"),"-",SUM(B304,B232,B160,B88))</f>
        <v>-</v>
      </c>
      <c r="C376" s="139">
        <f t="shared" si="37"/>
        <v>67</v>
      </c>
      <c r="D376" s="139">
        <f t="shared" si="37"/>
        <v>2884</v>
      </c>
      <c r="E376" s="139">
        <f t="shared" si="37"/>
        <v>24004</v>
      </c>
      <c r="F376" s="139">
        <f t="shared" si="37"/>
        <v>66777</v>
      </c>
      <c r="G376" s="139">
        <f t="shared" si="37"/>
        <v>38155</v>
      </c>
      <c r="H376" s="139">
        <f t="shared" si="37"/>
        <v>4205</v>
      </c>
      <c r="I376" s="139">
        <f t="shared" si="37"/>
        <v>636</v>
      </c>
      <c r="J376" s="139" t="str">
        <f t="shared" si="37"/>
        <v>-</v>
      </c>
      <c r="K376" s="139" t="str">
        <f t="shared" si="37"/>
        <v>-</v>
      </c>
      <c r="L376" s="139">
        <f t="shared" si="37"/>
        <v>136728</v>
      </c>
      <c r="N376" s="139">
        <f t="shared" si="36"/>
        <v>57480</v>
      </c>
      <c r="O376" s="139">
        <f t="shared" si="36"/>
        <v>185186</v>
      </c>
      <c r="P376" s="139">
        <f t="shared" si="36"/>
        <v>120605</v>
      </c>
      <c r="Q376" s="139">
        <f t="shared" si="36"/>
        <v>16733</v>
      </c>
      <c r="R376" s="139">
        <f t="shared" si="36"/>
        <v>976</v>
      </c>
      <c r="S376" s="139">
        <f t="shared" si="36"/>
        <v>380980</v>
      </c>
    </row>
    <row r="377" spans="1:19">
      <c r="A377" s="99">
        <v>1964</v>
      </c>
      <c r="B377" s="139" t="str">
        <f t="shared" ref="B377:L377" si="38">IF(AND(B305="-",B233="-",B161="-",B89="-"),"-",SUM(B305,B233,B161,B89))</f>
        <v>-</v>
      </c>
      <c r="C377" s="139">
        <f t="shared" si="38"/>
        <v>331</v>
      </c>
      <c r="D377" s="139">
        <f t="shared" si="38"/>
        <v>1959</v>
      </c>
      <c r="E377" s="139">
        <f t="shared" si="38"/>
        <v>6210</v>
      </c>
      <c r="F377" s="139">
        <f t="shared" si="38"/>
        <v>16407</v>
      </c>
      <c r="G377" s="139">
        <f t="shared" si="38"/>
        <v>25245</v>
      </c>
      <c r="H377" s="139">
        <f t="shared" si="38"/>
        <v>4390</v>
      </c>
      <c r="I377" s="139">
        <f t="shared" si="38"/>
        <v>1338</v>
      </c>
      <c r="J377" s="139" t="str">
        <f t="shared" si="38"/>
        <v>-</v>
      </c>
      <c r="K377" s="139" t="str">
        <f t="shared" si="38"/>
        <v>-</v>
      </c>
      <c r="L377" s="139">
        <f t="shared" si="38"/>
        <v>55880</v>
      </c>
      <c r="N377" s="139">
        <f t="shared" si="36"/>
        <v>52330</v>
      </c>
      <c r="O377" s="139">
        <f t="shared" si="36"/>
        <v>148545</v>
      </c>
      <c r="P377" s="139">
        <f t="shared" si="36"/>
        <v>225215</v>
      </c>
      <c r="Q377" s="139">
        <f t="shared" si="36"/>
        <v>44853</v>
      </c>
      <c r="R377" s="139">
        <f t="shared" si="36"/>
        <v>2278</v>
      </c>
      <c r="S377" s="139">
        <f t="shared" si="36"/>
        <v>473221</v>
      </c>
    </row>
    <row r="378" spans="1:19">
      <c r="A378" s="99">
        <v>1965</v>
      </c>
      <c r="B378" s="139" t="str">
        <f t="shared" ref="B378:L378" si="39">IF(AND(B306="-",B234="-",B162="-",B90="-"),"-",SUM(B306,B234,B162,B90))</f>
        <v>-</v>
      </c>
      <c r="C378" s="139">
        <f t="shared" si="39"/>
        <v>93</v>
      </c>
      <c r="D378" s="139">
        <f t="shared" si="39"/>
        <v>3204</v>
      </c>
      <c r="E378" s="139">
        <f t="shared" si="39"/>
        <v>9629</v>
      </c>
      <c r="F378" s="139">
        <f t="shared" si="39"/>
        <v>15404</v>
      </c>
      <c r="G378" s="139">
        <f t="shared" si="39"/>
        <v>13286</v>
      </c>
      <c r="H378" s="139">
        <f t="shared" si="39"/>
        <v>10066</v>
      </c>
      <c r="I378" s="139">
        <f t="shared" si="39"/>
        <v>1110</v>
      </c>
      <c r="J378" s="139" t="str">
        <f t="shared" si="39"/>
        <v>-</v>
      </c>
      <c r="K378" s="139" t="str">
        <f t="shared" si="39"/>
        <v>-</v>
      </c>
      <c r="L378" s="139">
        <f t="shared" si="39"/>
        <v>52792</v>
      </c>
      <c r="N378" s="139">
        <f t="shared" si="36"/>
        <v>33222</v>
      </c>
      <c r="O378" s="139">
        <f t="shared" si="36"/>
        <v>306427</v>
      </c>
      <c r="P378" s="139">
        <f t="shared" si="36"/>
        <v>149119</v>
      </c>
      <c r="Q378" s="139">
        <f t="shared" si="36"/>
        <v>20814</v>
      </c>
      <c r="R378" s="139">
        <f t="shared" si="36"/>
        <v>1000</v>
      </c>
      <c r="S378" s="139">
        <f t="shared" si="36"/>
        <v>510582</v>
      </c>
    </row>
    <row r="379" spans="1:19">
      <c r="A379" s="99">
        <v>1966</v>
      </c>
      <c r="B379" s="139" t="str">
        <f t="shared" ref="B379:L379" si="40">IF(AND(B307="-",B235="-",B163="-",B91="-"),"-",SUM(B307,B235,B163,B91))</f>
        <v>-</v>
      </c>
      <c r="C379" s="139">
        <f t="shared" si="40"/>
        <v>99</v>
      </c>
      <c r="D379" s="139">
        <f t="shared" si="40"/>
        <v>1147</v>
      </c>
      <c r="E379" s="139">
        <f t="shared" si="40"/>
        <v>11784</v>
      </c>
      <c r="F379" s="139">
        <f t="shared" si="40"/>
        <v>30063</v>
      </c>
      <c r="G379" s="139">
        <f t="shared" si="40"/>
        <v>18645</v>
      </c>
      <c r="H379" s="139">
        <f t="shared" si="40"/>
        <v>13861</v>
      </c>
      <c r="I379" s="139">
        <f t="shared" si="40"/>
        <v>1514</v>
      </c>
      <c r="J379" s="139" t="str">
        <f t="shared" si="40"/>
        <v>-</v>
      </c>
      <c r="K379" s="139" t="str">
        <f t="shared" si="40"/>
        <v>-</v>
      </c>
      <c r="L379" s="139">
        <f t="shared" si="40"/>
        <v>77113</v>
      </c>
      <c r="N379" s="139">
        <f t="shared" si="36"/>
        <v>90681</v>
      </c>
      <c r="O379" s="139">
        <f t="shared" si="36"/>
        <v>205891</v>
      </c>
      <c r="P379" s="139">
        <f t="shared" si="36"/>
        <v>134997</v>
      </c>
      <c r="Q379" s="139">
        <f t="shared" si="36"/>
        <v>83538</v>
      </c>
      <c r="R379" s="139">
        <f t="shared" si="36"/>
        <v>1519</v>
      </c>
      <c r="S379" s="139">
        <f t="shared" si="36"/>
        <v>516626</v>
      </c>
    </row>
    <row r="380" spans="1:19">
      <c r="A380" s="99">
        <v>1967</v>
      </c>
      <c r="B380" s="139" t="str">
        <f t="shared" ref="B380:L380" si="41">IF(AND(B308="-",B236="-",B164="-",B92="-"),"-",SUM(B308,B236,B164,B92))</f>
        <v>-</v>
      </c>
      <c r="C380" s="139">
        <f t="shared" si="41"/>
        <v>2247</v>
      </c>
      <c r="D380" s="139">
        <f t="shared" si="41"/>
        <v>4541</v>
      </c>
      <c r="E380" s="139">
        <f t="shared" si="41"/>
        <v>13679</v>
      </c>
      <c r="F380" s="139">
        <f t="shared" si="41"/>
        <v>32700</v>
      </c>
      <c r="G380" s="139">
        <f t="shared" si="41"/>
        <v>18136</v>
      </c>
      <c r="H380" s="139">
        <f t="shared" si="41"/>
        <v>8090</v>
      </c>
      <c r="I380" s="139">
        <f t="shared" si="41"/>
        <v>533</v>
      </c>
      <c r="J380" s="139" t="str">
        <f t="shared" si="41"/>
        <v>-</v>
      </c>
      <c r="K380" s="139" t="str">
        <f t="shared" si="41"/>
        <v>-</v>
      </c>
      <c r="L380" s="139">
        <f t="shared" si="41"/>
        <v>79926</v>
      </c>
      <c r="N380" s="139">
        <f t="shared" si="36"/>
        <v>67710</v>
      </c>
      <c r="O380" s="139">
        <f t="shared" si="36"/>
        <v>625741</v>
      </c>
      <c r="P380" s="139">
        <f t="shared" si="36"/>
        <v>119466</v>
      </c>
      <c r="Q380" s="139">
        <f t="shared" si="36"/>
        <v>31922</v>
      </c>
      <c r="R380" s="139">
        <f t="shared" si="36"/>
        <v>780</v>
      </c>
      <c r="S380" s="139">
        <f t="shared" si="36"/>
        <v>845619</v>
      </c>
    </row>
    <row r="381" spans="1:19">
      <c r="A381" s="99">
        <v>1968</v>
      </c>
      <c r="B381" s="139" t="str">
        <f t="shared" ref="B381:L381" si="42">IF(AND(B309="-",B237="-",B165="-",B93="-"),"-",SUM(B309,B237,B165,B93))</f>
        <v>-</v>
      </c>
      <c r="C381" s="139">
        <f t="shared" si="42"/>
        <v>264</v>
      </c>
      <c r="D381" s="139">
        <f t="shared" si="42"/>
        <v>3875</v>
      </c>
      <c r="E381" s="139">
        <f t="shared" si="42"/>
        <v>10974</v>
      </c>
      <c r="F381" s="139">
        <f t="shared" si="42"/>
        <v>34316</v>
      </c>
      <c r="G381" s="139">
        <f t="shared" si="42"/>
        <v>36292</v>
      </c>
      <c r="H381" s="139">
        <f t="shared" si="42"/>
        <v>1204</v>
      </c>
      <c r="I381" s="139">
        <f t="shared" si="42"/>
        <v>718</v>
      </c>
      <c r="J381" s="139" t="str">
        <f t="shared" si="42"/>
        <v>-</v>
      </c>
      <c r="K381" s="139" t="str">
        <f t="shared" si="42"/>
        <v>-</v>
      </c>
      <c r="L381" s="139">
        <f t="shared" si="42"/>
        <v>87643</v>
      </c>
      <c r="N381" s="139">
        <f t="shared" si="36"/>
        <v>179976</v>
      </c>
      <c r="O381" s="139">
        <f t="shared" si="36"/>
        <v>378046</v>
      </c>
      <c r="P381" s="139">
        <f t="shared" si="36"/>
        <v>147012</v>
      </c>
      <c r="Q381" s="139">
        <f t="shared" si="36"/>
        <v>21865</v>
      </c>
      <c r="R381" s="139">
        <f t="shared" si="36"/>
        <v>610</v>
      </c>
      <c r="S381" s="139">
        <f t="shared" si="36"/>
        <v>727509</v>
      </c>
    </row>
    <row r="382" spans="1:19">
      <c r="A382" s="99">
        <v>1969</v>
      </c>
      <c r="B382" s="139" t="str">
        <f t="shared" ref="B382:L382" si="43">IF(AND(B310="-",B238="-",B166="-",B94="-"),"-",SUM(B310,B238,B166,B94))</f>
        <v>-</v>
      </c>
      <c r="C382" s="139">
        <f t="shared" si="43"/>
        <v>373</v>
      </c>
      <c r="D382" s="139">
        <f t="shared" si="43"/>
        <v>6545</v>
      </c>
      <c r="E382" s="139">
        <f t="shared" si="43"/>
        <v>46515</v>
      </c>
      <c r="F382" s="139">
        <f t="shared" si="43"/>
        <v>34935</v>
      </c>
      <c r="G382" s="139">
        <f t="shared" si="43"/>
        <v>33221</v>
      </c>
      <c r="H382" s="139">
        <f t="shared" si="43"/>
        <v>5199</v>
      </c>
      <c r="I382" s="139">
        <f t="shared" si="43"/>
        <v>2854</v>
      </c>
      <c r="J382" s="139" t="str">
        <f t="shared" si="43"/>
        <v>-</v>
      </c>
      <c r="K382" s="139" t="str">
        <f t="shared" si="43"/>
        <v>-</v>
      </c>
      <c r="L382" s="139">
        <f t="shared" si="43"/>
        <v>129642</v>
      </c>
      <c r="N382" s="139">
        <f t="shared" si="36"/>
        <v>171482</v>
      </c>
      <c r="O382" s="139">
        <f t="shared" si="36"/>
        <v>234335</v>
      </c>
      <c r="P382" s="139">
        <f t="shared" si="36"/>
        <v>92439</v>
      </c>
      <c r="Q382" s="139">
        <f t="shared" si="36"/>
        <v>9447</v>
      </c>
      <c r="R382" s="139">
        <f t="shared" si="36"/>
        <v>1261</v>
      </c>
      <c r="S382" s="139">
        <f t="shared" si="36"/>
        <v>508964</v>
      </c>
    </row>
    <row r="383" spans="1:19">
      <c r="A383" s="99">
        <v>1970</v>
      </c>
      <c r="B383" s="139" t="str">
        <f t="shared" ref="B383:L383" si="44">IF(AND(B311="-",B239="-",B167="-",B95="-"),"-",SUM(B311,B239,B167,B95))</f>
        <v>-</v>
      </c>
      <c r="C383" s="139">
        <f t="shared" si="44"/>
        <v>426</v>
      </c>
      <c r="D383" s="139">
        <f t="shared" si="44"/>
        <v>3496</v>
      </c>
      <c r="E383" s="139">
        <f t="shared" si="44"/>
        <v>27682</v>
      </c>
      <c r="F383" s="139">
        <f t="shared" si="44"/>
        <v>27317</v>
      </c>
      <c r="G383" s="139">
        <f t="shared" si="44"/>
        <v>42144</v>
      </c>
      <c r="H383" s="139">
        <f t="shared" si="44"/>
        <v>27854</v>
      </c>
      <c r="I383" s="139">
        <f t="shared" si="44"/>
        <v>11759</v>
      </c>
      <c r="J383" s="139" t="str">
        <f t="shared" si="44"/>
        <v>-</v>
      </c>
      <c r="K383" s="139" t="str">
        <f t="shared" si="44"/>
        <v>-</v>
      </c>
      <c r="L383" s="139">
        <f t="shared" si="44"/>
        <v>140678</v>
      </c>
      <c r="N383" s="139">
        <f t="shared" si="36"/>
        <v>206602</v>
      </c>
      <c r="O383" s="139">
        <f t="shared" si="36"/>
        <v>185770</v>
      </c>
      <c r="P383" s="139">
        <f t="shared" si="36"/>
        <v>449834</v>
      </c>
      <c r="Q383" s="139">
        <f t="shared" si="36"/>
        <v>44952</v>
      </c>
      <c r="R383" s="139">
        <f t="shared" si="36"/>
        <v>8110</v>
      </c>
      <c r="S383" s="139">
        <f t="shared" si="36"/>
        <v>895268</v>
      </c>
    </row>
    <row r="384" spans="1:19">
      <c r="A384" s="99">
        <v>1971</v>
      </c>
      <c r="B384" s="139" t="str">
        <f t="shared" ref="B384:L384" si="45">IF(AND(B312="-",B240="-",B168="-",B96="-"),"-",SUM(B312,B240,B168,B96))</f>
        <v>-</v>
      </c>
      <c r="C384" s="139">
        <f t="shared" si="45"/>
        <v>44</v>
      </c>
      <c r="D384" s="139">
        <f t="shared" si="45"/>
        <v>2923</v>
      </c>
      <c r="E384" s="139">
        <f t="shared" si="45"/>
        <v>18560</v>
      </c>
      <c r="F384" s="139">
        <f t="shared" si="45"/>
        <v>19832</v>
      </c>
      <c r="G384" s="139">
        <f t="shared" si="45"/>
        <v>37036</v>
      </c>
      <c r="H384" s="139">
        <f t="shared" si="45"/>
        <v>3246</v>
      </c>
      <c r="I384" s="139">
        <f t="shared" si="45"/>
        <v>5225</v>
      </c>
      <c r="J384" s="139" t="str">
        <f t="shared" si="45"/>
        <v>-</v>
      </c>
      <c r="K384" s="139" t="str">
        <f t="shared" si="45"/>
        <v>-</v>
      </c>
      <c r="L384" s="139">
        <f t="shared" si="45"/>
        <v>86866</v>
      </c>
      <c r="N384" s="139">
        <f t="shared" si="36"/>
        <v>182831</v>
      </c>
      <c r="O384" s="139">
        <f t="shared" si="36"/>
        <v>415096</v>
      </c>
      <c r="P384" s="139">
        <f t="shared" si="36"/>
        <v>733593</v>
      </c>
      <c r="Q384" s="139">
        <f t="shared" si="36"/>
        <v>23483</v>
      </c>
      <c r="R384" s="139">
        <f t="shared" si="36"/>
        <v>5984</v>
      </c>
      <c r="S384" s="143">
        <f t="shared" si="36"/>
        <v>1360987</v>
      </c>
    </row>
    <row r="385" spans="1:19">
      <c r="A385" s="99">
        <v>1972</v>
      </c>
      <c r="B385" s="139" t="str">
        <f t="shared" ref="B385:L385" si="46">IF(AND(B313="-",B241="-",B169="-",B97="-"),"-",SUM(B313,B241,B169,B97))</f>
        <v>-</v>
      </c>
      <c r="C385" s="139">
        <f t="shared" si="46"/>
        <v>1</v>
      </c>
      <c r="D385" s="139">
        <f t="shared" si="46"/>
        <v>3398</v>
      </c>
      <c r="E385" s="139">
        <f t="shared" si="46"/>
        <v>29863</v>
      </c>
      <c r="F385" s="139">
        <f t="shared" si="46"/>
        <v>31947</v>
      </c>
      <c r="G385" s="139">
        <f t="shared" si="46"/>
        <v>33145</v>
      </c>
      <c r="H385" s="139">
        <f t="shared" si="46"/>
        <v>11169</v>
      </c>
      <c r="I385" s="139">
        <f t="shared" si="46"/>
        <v>8916</v>
      </c>
      <c r="J385" s="139" t="str">
        <f t="shared" si="46"/>
        <v>-</v>
      </c>
      <c r="K385" s="139" t="str">
        <f t="shared" si="46"/>
        <v>-</v>
      </c>
      <c r="L385" s="139">
        <f t="shared" si="46"/>
        <v>118439</v>
      </c>
      <c r="N385" s="139">
        <f t="shared" ref="N385:S394" si="47">IF(AND(N313="-",N241="-",N169="-",N97="-"),"-",SUM(N313,N241,N169,N97))</f>
        <v>280318</v>
      </c>
      <c r="O385" s="139">
        <f t="shared" si="47"/>
        <v>336126</v>
      </c>
      <c r="P385" s="139">
        <f t="shared" si="47"/>
        <v>132241</v>
      </c>
      <c r="Q385" s="139">
        <f t="shared" si="47"/>
        <v>11681</v>
      </c>
      <c r="R385" s="139">
        <f t="shared" si="47"/>
        <v>522</v>
      </c>
      <c r="S385" s="143">
        <f t="shared" si="47"/>
        <v>760888</v>
      </c>
    </row>
    <row r="386" spans="1:19">
      <c r="A386" s="99">
        <v>1973</v>
      </c>
      <c r="B386" s="139" t="str">
        <f t="shared" ref="B386:L386" si="48">IF(AND(B314="-",B242="-",B170="-",B98="-"),"-",SUM(B314,B242,B170,B98))</f>
        <v>-</v>
      </c>
      <c r="C386" s="139">
        <f t="shared" si="48"/>
        <v>169</v>
      </c>
      <c r="D386" s="139">
        <f t="shared" si="48"/>
        <v>1855</v>
      </c>
      <c r="E386" s="139">
        <f t="shared" si="48"/>
        <v>23439</v>
      </c>
      <c r="F386" s="139">
        <f t="shared" si="48"/>
        <v>101867</v>
      </c>
      <c r="G386" s="139">
        <f t="shared" si="48"/>
        <v>144975</v>
      </c>
      <c r="H386" s="139">
        <f t="shared" si="48"/>
        <v>47593</v>
      </c>
      <c r="I386" s="139">
        <f t="shared" si="48"/>
        <v>34756</v>
      </c>
      <c r="J386" s="139" t="str">
        <f t="shared" si="48"/>
        <v>-</v>
      </c>
      <c r="K386" s="139" t="str">
        <f t="shared" si="48"/>
        <v>-</v>
      </c>
      <c r="L386" s="139">
        <f t="shared" si="48"/>
        <v>354654</v>
      </c>
      <c r="N386" s="139">
        <f t="shared" si="47"/>
        <v>204665</v>
      </c>
      <c r="O386" s="139">
        <f t="shared" si="47"/>
        <v>286128</v>
      </c>
      <c r="P386" s="139">
        <f t="shared" si="47"/>
        <v>228478</v>
      </c>
      <c r="Q386" s="139">
        <f t="shared" si="47"/>
        <v>27782</v>
      </c>
      <c r="R386" s="139">
        <f t="shared" si="47"/>
        <v>6604</v>
      </c>
      <c r="S386" s="143">
        <f t="shared" si="47"/>
        <v>753657</v>
      </c>
    </row>
    <row r="387" spans="1:19">
      <c r="A387" s="99">
        <v>1974</v>
      </c>
      <c r="B387" s="139" t="str">
        <f t="shared" ref="B387:L387" si="49">IF(AND(B315="-",B243="-",B171="-",B99="-"),"-",SUM(B315,B243,B171,B99))</f>
        <v>-</v>
      </c>
      <c r="C387" s="139">
        <f t="shared" si="49"/>
        <v>126</v>
      </c>
      <c r="D387" s="139">
        <f t="shared" si="49"/>
        <v>746</v>
      </c>
      <c r="E387" s="139">
        <f t="shared" si="49"/>
        <v>21470</v>
      </c>
      <c r="F387" s="139">
        <f t="shared" si="49"/>
        <v>56319</v>
      </c>
      <c r="G387" s="139">
        <f t="shared" si="49"/>
        <v>78403</v>
      </c>
      <c r="H387" s="139">
        <f t="shared" si="49"/>
        <v>37026</v>
      </c>
      <c r="I387" s="139">
        <f t="shared" si="49"/>
        <v>10443</v>
      </c>
      <c r="J387" s="139">
        <f t="shared" si="49"/>
        <v>1767</v>
      </c>
      <c r="K387" s="139">
        <f t="shared" si="49"/>
        <v>129</v>
      </c>
      <c r="L387" s="139">
        <f t="shared" si="49"/>
        <v>206429</v>
      </c>
      <c r="N387" s="139">
        <f t="shared" si="47"/>
        <v>173202</v>
      </c>
      <c r="O387" s="139">
        <f t="shared" si="47"/>
        <v>632679</v>
      </c>
      <c r="P387" s="139">
        <f t="shared" si="47"/>
        <v>246288</v>
      </c>
      <c r="Q387" s="139">
        <f t="shared" si="47"/>
        <v>39563</v>
      </c>
      <c r="R387" s="139">
        <f t="shared" si="47"/>
        <v>1310</v>
      </c>
      <c r="S387" s="143">
        <f t="shared" si="47"/>
        <v>1093042</v>
      </c>
    </row>
    <row r="388" spans="1:19">
      <c r="A388" s="99">
        <v>1975</v>
      </c>
      <c r="B388" s="139" t="str">
        <f t="shared" ref="B388:L388" si="50">IF(AND(B316="-",B244="-",B172="-",B100="-"),"-",SUM(B316,B244,B172,B100))</f>
        <v>-</v>
      </c>
      <c r="C388" s="139">
        <f t="shared" si="50"/>
        <v>49</v>
      </c>
      <c r="D388" s="139">
        <f t="shared" si="50"/>
        <v>752</v>
      </c>
      <c r="E388" s="139">
        <f t="shared" si="50"/>
        <v>28757</v>
      </c>
      <c r="F388" s="139">
        <f t="shared" si="50"/>
        <v>67060</v>
      </c>
      <c r="G388" s="139">
        <f t="shared" si="50"/>
        <v>51006</v>
      </c>
      <c r="H388" s="139">
        <f t="shared" si="50"/>
        <v>56418</v>
      </c>
      <c r="I388" s="139">
        <f t="shared" si="50"/>
        <v>8795</v>
      </c>
      <c r="J388" s="139">
        <f t="shared" si="50"/>
        <v>859</v>
      </c>
      <c r="K388" s="139">
        <f t="shared" si="50"/>
        <v>57</v>
      </c>
      <c r="L388" s="139">
        <f t="shared" si="50"/>
        <v>213753</v>
      </c>
      <c r="N388" s="139">
        <f t="shared" si="47"/>
        <v>193006</v>
      </c>
      <c r="O388" s="139">
        <f t="shared" si="47"/>
        <v>291172</v>
      </c>
      <c r="P388" s="139">
        <f t="shared" si="47"/>
        <v>111480</v>
      </c>
      <c r="Q388" s="139">
        <f t="shared" si="47"/>
        <v>18219</v>
      </c>
      <c r="R388" s="139">
        <f t="shared" si="47"/>
        <v>730</v>
      </c>
      <c r="S388" s="143">
        <f t="shared" si="47"/>
        <v>614607</v>
      </c>
    </row>
    <row r="389" spans="1:19">
      <c r="A389" s="99">
        <v>1976</v>
      </c>
      <c r="B389" s="139" t="str">
        <f t="shared" ref="B389:L389" si="51">IF(AND(B317="-",B245="-",B173="-",B101="-"),"-",SUM(B317,B245,B173,B101))</f>
        <v>-</v>
      </c>
      <c r="C389" s="139" t="str">
        <f t="shared" si="51"/>
        <v>-</v>
      </c>
      <c r="D389" s="139">
        <f t="shared" si="51"/>
        <v>3229</v>
      </c>
      <c r="E389" s="139">
        <f t="shared" si="51"/>
        <v>25367</v>
      </c>
      <c r="F389" s="139">
        <f t="shared" si="51"/>
        <v>42837</v>
      </c>
      <c r="G389" s="139">
        <f t="shared" si="51"/>
        <v>52334</v>
      </c>
      <c r="H389" s="139">
        <f t="shared" si="51"/>
        <v>22373</v>
      </c>
      <c r="I389" s="139">
        <f t="shared" si="51"/>
        <v>8249</v>
      </c>
      <c r="J389" s="139">
        <f t="shared" si="51"/>
        <v>1854</v>
      </c>
      <c r="K389" s="139" t="str">
        <f t="shared" si="51"/>
        <v>-</v>
      </c>
      <c r="L389" s="139">
        <f t="shared" si="51"/>
        <v>156243</v>
      </c>
      <c r="N389" s="139">
        <f t="shared" si="47"/>
        <v>406709</v>
      </c>
      <c r="O389" s="139">
        <f t="shared" si="47"/>
        <v>818955</v>
      </c>
      <c r="P389" s="139">
        <f t="shared" si="47"/>
        <v>385970</v>
      </c>
      <c r="Q389" s="139">
        <f t="shared" si="47"/>
        <v>34059</v>
      </c>
      <c r="R389" s="139">
        <f t="shared" si="47"/>
        <v>4602</v>
      </c>
      <c r="S389" s="143">
        <f t="shared" si="47"/>
        <v>1650295</v>
      </c>
    </row>
    <row r="390" spans="1:19">
      <c r="A390" s="99">
        <v>1977</v>
      </c>
      <c r="B390" s="139" t="str">
        <f t="shared" ref="B390:L390" si="52">IF(AND(B318="-",B246="-",B174="-",B102="-"),"-",SUM(B318,B246,B174,B102))</f>
        <v>-</v>
      </c>
      <c r="C390" s="139" t="str">
        <f t="shared" si="52"/>
        <v>-</v>
      </c>
      <c r="D390" s="139">
        <f t="shared" si="52"/>
        <v>12605</v>
      </c>
      <c r="E390" s="139">
        <f t="shared" si="52"/>
        <v>41709</v>
      </c>
      <c r="F390" s="139">
        <f t="shared" si="52"/>
        <v>103337</v>
      </c>
      <c r="G390" s="139">
        <f t="shared" si="52"/>
        <v>115089</v>
      </c>
      <c r="H390" s="139">
        <f t="shared" si="52"/>
        <v>31483</v>
      </c>
      <c r="I390" s="139">
        <f t="shared" si="52"/>
        <v>9766</v>
      </c>
      <c r="J390" s="139">
        <f t="shared" si="52"/>
        <v>4141</v>
      </c>
      <c r="K390" s="139" t="str">
        <f t="shared" si="52"/>
        <v>-</v>
      </c>
      <c r="L390" s="139">
        <f t="shared" si="52"/>
        <v>318130</v>
      </c>
      <c r="N390" s="139">
        <f t="shared" si="47"/>
        <v>65334</v>
      </c>
      <c r="O390" s="139">
        <f t="shared" si="47"/>
        <v>225313</v>
      </c>
      <c r="P390" s="139">
        <f t="shared" si="47"/>
        <v>74210</v>
      </c>
      <c r="Q390" s="139">
        <f t="shared" si="47"/>
        <v>7447</v>
      </c>
      <c r="R390" s="139">
        <f t="shared" si="47"/>
        <v>592</v>
      </c>
      <c r="S390" s="139">
        <f t="shared" si="47"/>
        <v>372896</v>
      </c>
    </row>
    <row r="391" spans="1:19">
      <c r="A391" s="99">
        <v>1978</v>
      </c>
      <c r="B391" s="139" t="str">
        <f t="shared" ref="B391:L391" si="53">IF(AND(B319="-",B247="-",B175="-",B103="-"),"-",SUM(B319,B247,B175,B103))</f>
        <v>-</v>
      </c>
      <c r="C391" s="139">
        <f t="shared" si="53"/>
        <v>17</v>
      </c>
      <c r="D391" s="139">
        <f t="shared" si="53"/>
        <v>2095</v>
      </c>
      <c r="E391" s="139">
        <f t="shared" si="53"/>
        <v>34665</v>
      </c>
      <c r="F391" s="139">
        <f t="shared" si="53"/>
        <v>58051</v>
      </c>
      <c r="G391" s="139">
        <f t="shared" si="53"/>
        <v>45829</v>
      </c>
      <c r="H391" s="139">
        <f t="shared" si="53"/>
        <v>24906</v>
      </c>
      <c r="I391" s="139">
        <f t="shared" si="53"/>
        <v>7322</v>
      </c>
      <c r="J391" s="139">
        <f t="shared" si="53"/>
        <v>3451</v>
      </c>
      <c r="K391" s="139" t="str">
        <f t="shared" si="53"/>
        <v>-</v>
      </c>
      <c r="L391" s="139">
        <f t="shared" si="53"/>
        <v>176336</v>
      </c>
      <c r="N391" s="139">
        <f t="shared" si="47"/>
        <v>261778</v>
      </c>
      <c r="O391" s="139">
        <f t="shared" si="47"/>
        <v>200389</v>
      </c>
      <c r="P391" s="139">
        <f t="shared" si="47"/>
        <v>84661</v>
      </c>
      <c r="Q391" s="139">
        <f t="shared" si="47"/>
        <v>8143</v>
      </c>
      <c r="R391" s="139">
        <f t="shared" si="47"/>
        <v>509</v>
      </c>
      <c r="S391" s="139">
        <f t="shared" si="47"/>
        <v>555480</v>
      </c>
    </row>
    <row r="392" spans="1:19">
      <c r="A392" s="99">
        <v>1979</v>
      </c>
      <c r="B392" s="139" t="str">
        <f t="shared" ref="B392:L392" si="54">IF(AND(B320="-",B248="-",B176="-",B104="-"),"-",SUM(B320,B248,B176,B104))</f>
        <v>-</v>
      </c>
      <c r="C392" s="139" t="str">
        <f t="shared" si="54"/>
        <v>-</v>
      </c>
      <c r="D392" s="139">
        <f t="shared" si="54"/>
        <v>8229</v>
      </c>
      <c r="E392" s="139">
        <f t="shared" si="54"/>
        <v>1586</v>
      </c>
      <c r="F392" s="139">
        <f t="shared" si="54"/>
        <v>86104</v>
      </c>
      <c r="G392" s="139">
        <f t="shared" si="54"/>
        <v>99311</v>
      </c>
      <c r="H392" s="139">
        <f t="shared" si="54"/>
        <v>13038</v>
      </c>
      <c r="I392" s="139">
        <f t="shared" si="54"/>
        <v>25945</v>
      </c>
      <c r="J392" s="139">
        <f t="shared" si="54"/>
        <v>1861</v>
      </c>
      <c r="K392" s="139" t="str">
        <f t="shared" si="54"/>
        <v>-</v>
      </c>
      <c r="L392" s="139">
        <f t="shared" si="54"/>
        <v>236074</v>
      </c>
      <c r="N392" s="139">
        <f t="shared" si="47"/>
        <v>8203</v>
      </c>
      <c r="O392" s="139">
        <f t="shared" si="47"/>
        <v>520988</v>
      </c>
      <c r="P392" s="139">
        <f t="shared" si="47"/>
        <v>124187</v>
      </c>
      <c r="Q392" s="139">
        <f t="shared" si="47"/>
        <v>603</v>
      </c>
      <c r="R392" s="139" t="str">
        <f t="shared" si="47"/>
        <v>-</v>
      </c>
      <c r="S392" s="139">
        <f t="shared" si="47"/>
        <v>653981</v>
      </c>
    </row>
    <row r="393" spans="1:19">
      <c r="A393" s="99">
        <v>1980</v>
      </c>
      <c r="B393" s="139" t="str">
        <f t="shared" ref="B393:L393" si="55">IF(AND(B321="-",B249="-",B177="-",B105="-"),"-",SUM(B321,B249,B177,B105))</f>
        <v>-</v>
      </c>
      <c r="C393" s="139" t="str">
        <f t="shared" si="55"/>
        <v>-</v>
      </c>
      <c r="D393" s="139">
        <f t="shared" si="55"/>
        <v>19104</v>
      </c>
      <c r="E393" s="139">
        <f t="shared" si="55"/>
        <v>27605</v>
      </c>
      <c r="F393" s="139">
        <f t="shared" si="55"/>
        <v>48693</v>
      </c>
      <c r="G393" s="139">
        <f t="shared" si="55"/>
        <v>62569</v>
      </c>
      <c r="H393" s="139">
        <f t="shared" si="55"/>
        <v>24710</v>
      </c>
      <c r="I393" s="139">
        <f t="shared" si="55"/>
        <v>16034</v>
      </c>
      <c r="J393" s="139">
        <f t="shared" si="55"/>
        <v>984</v>
      </c>
      <c r="K393" s="139" t="str">
        <f t="shared" si="55"/>
        <v>-</v>
      </c>
      <c r="L393" s="139">
        <f t="shared" si="55"/>
        <v>199699</v>
      </c>
      <c r="N393" s="139" t="str">
        <f t="shared" si="47"/>
        <v>-</v>
      </c>
      <c r="O393" s="139">
        <f t="shared" si="47"/>
        <v>86488</v>
      </c>
      <c r="P393" s="139">
        <f t="shared" si="47"/>
        <v>23709</v>
      </c>
      <c r="Q393" s="139">
        <f t="shared" si="47"/>
        <v>8</v>
      </c>
      <c r="R393" s="139" t="str">
        <f t="shared" si="47"/>
        <v>-</v>
      </c>
      <c r="S393" s="139">
        <f t="shared" si="47"/>
        <v>110205</v>
      </c>
    </row>
    <row r="394" spans="1:19">
      <c r="A394" s="99">
        <v>1981</v>
      </c>
      <c r="B394" s="139" t="str">
        <f t="shared" ref="B394:L394" si="56">IF(AND(B322="-",B250="-",B178="-",B106="-"),"-",SUM(B322,B250,B178,B106))</f>
        <v>-</v>
      </c>
      <c r="C394" s="139" t="str">
        <f t="shared" si="56"/>
        <v>-</v>
      </c>
      <c r="D394" s="139">
        <f t="shared" si="56"/>
        <v>20715</v>
      </c>
      <c r="E394" s="139">
        <f t="shared" si="56"/>
        <v>0</v>
      </c>
      <c r="F394" s="139">
        <f t="shared" si="56"/>
        <v>32704</v>
      </c>
      <c r="G394" s="139">
        <f t="shared" si="56"/>
        <v>64830</v>
      </c>
      <c r="H394" s="139">
        <f t="shared" si="56"/>
        <v>14959</v>
      </c>
      <c r="I394" s="139">
        <f t="shared" si="56"/>
        <v>13003</v>
      </c>
      <c r="J394" s="139">
        <f t="shared" si="56"/>
        <v>1218</v>
      </c>
      <c r="K394" s="139" t="str">
        <f t="shared" si="56"/>
        <v>-</v>
      </c>
      <c r="L394" s="139">
        <f t="shared" si="56"/>
        <v>147429</v>
      </c>
      <c r="N394" s="139" t="str">
        <f t="shared" si="47"/>
        <v>-</v>
      </c>
      <c r="O394" s="139">
        <f t="shared" si="47"/>
        <v>305759</v>
      </c>
      <c r="P394" s="139">
        <f t="shared" si="47"/>
        <v>258796</v>
      </c>
      <c r="Q394" s="139" t="str">
        <f t="shared" si="47"/>
        <v>-</v>
      </c>
      <c r="R394" s="139" t="str">
        <f t="shared" si="47"/>
        <v>-</v>
      </c>
      <c r="S394" s="139">
        <f t="shared" si="47"/>
        <v>564555</v>
      </c>
    </row>
    <row r="395" spans="1:19">
      <c r="A395" s="99">
        <v>1982</v>
      </c>
      <c r="B395" s="139" t="str">
        <f t="shared" ref="B395:L395" si="57">IF(AND(B323="-",B251="-",B179="-",B107="-"),"-",SUM(B323,B251,B179,B107))</f>
        <v>-</v>
      </c>
      <c r="C395" s="139" t="str">
        <f t="shared" si="57"/>
        <v>-</v>
      </c>
      <c r="D395" s="139">
        <f t="shared" si="57"/>
        <v>14595</v>
      </c>
      <c r="E395" s="139">
        <f t="shared" si="57"/>
        <v>12251</v>
      </c>
      <c r="F395" s="139">
        <f t="shared" si="57"/>
        <v>118975</v>
      </c>
      <c r="G395" s="139">
        <f t="shared" si="57"/>
        <v>45143</v>
      </c>
      <c r="H395" s="139">
        <f t="shared" si="57"/>
        <v>13398</v>
      </c>
      <c r="I395" s="139">
        <f t="shared" si="57"/>
        <v>7996</v>
      </c>
      <c r="J395" s="139">
        <f t="shared" si="57"/>
        <v>1400</v>
      </c>
      <c r="K395" s="139" t="str">
        <f t="shared" si="57"/>
        <v>-</v>
      </c>
      <c r="L395" s="139">
        <f t="shared" si="57"/>
        <v>213758</v>
      </c>
      <c r="N395" s="139" t="str">
        <f t="shared" ref="N395:S404" si="58">IF(AND(N323="-",N251="-",N179="-",N107="-"),"-",SUM(N323,N251,N179,N107))</f>
        <v>-</v>
      </c>
      <c r="O395" s="139">
        <f t="shared" si="58"/>
        <v>479187</v>
      </c>
      <c r="P395" s="139" t="str">
        <f t="shared" si="58"/>
        <v>-</v>
      </c>
      <c r="Q395" s="139" t="str">
        <f t="shared" si="58"/>
        <v>-</v>
      </c>
      <c r="R395" s="139" t="str">
        <f t="shared" si="58"/>
        <v>-</v>
      </c>
      <c r="S395" s="139">
        <f t="shared" si="58"/>
        <v>479187</v>
      </c>
    </row>
    <row r="396" spans="1:19">
      <c r="A396" s="99">
        <v>1983</v>
      </c>
      <c r="B396" s="139" t="str">
        <f t="shared" ref="B396:L396" si="59">IF(AND(B324="-",B252="-",B180="-",B108="-"),"-",SUM(B324,B252,B180,B108))</f>
        <v>-</v>
      </c>
      <c r="C396" s="139" t="str">
        <f t="shared" si="59"/>
        <v>-</v>
      </c>
      <c r="D396" s="139">
        <f t="shared" si="59"/>
        <v>5058</v>
      </c>
      <c r="E396" s="139">
        <f t="shared" si="59"/>
        <v>13787</v>
      </c>
      <c r="F396" s="139">
        <f t="shared" si="59"/>
        <v>33705</v>
      </c>
      <c r="G396" s="139">
        <f t="shared" si="59"/>
        <v>9566</v>
      </c>
      <c r="H396" s="139">
        <f t="shared" si="59"/>
        <v>2476</v>
      </c>
      <c r="I396" s="139">
        <f t="shared" si="59"/>
        <v>4667</v>
      </c>
      <c r="J396" s="139">
        <f t="shared" si="59"/>
        <v>869</v>
      </c>
      <c r="K396" s="139" t="str">
        <f t="shared" si="59"/>
        <v>-</v>
      </c>
      <c r="L396" s="139">
        <f t="shared" si="59"/>
        <v>70128</v>
      </c>
      <c r="N396" s="139" t="str">
        <f t="shared" si="58"/>
        <v>-</v>
      </c>
      <c r="O396" s="139">
        <f t="shared" si="58"/>
        <v>275010</v>
      </c>
      <c r="P396" s="139">
        <f t="shared" si="58"/>
        <v>32531</v>
      </c>
      <c r="Q396" s="139">
        <f t="shared" si="58"/>
        <v>5803</v>
      </c>
      <c r="R396" s="139" t="str">
        <f t="shared" si="58"/>
        <v>-</v>
      </c>
      <c r="S396" s="139">
        <f t="shared" si="58"/>
        <v>313344</v>
      </c>
    </row>
    <row r="397" spans="1:19">
      <c r="A397" s="99">
        <v>1984</v>
      </c>
      <c r="B397" s="139" t="str">
        <f t="shared" ref="B397:L397" si="60">IF(AND(B325="-",B253="-",B181="-",B109="-"),"-",SUM(B325,B253,B181,B109))</f>
        <v>-</v>
      </c>
      <c r="C397" s="139" t="str">
        <f t="shared" si="60"/>
        <v>-</v>
      </c>
      <c r="D397" s="139">
        <f t="shared" si="60"/>
        <v>1474</v>
      </c>
      <c r="E397" s="139">
        <f t="shared" si="60"/>
        <v>2456</v>
      </c>
      <c r="F397" s="139">
        <f t="shared" si="60"/>
        <v>17564</v>
      </c>
      <c r="G397" s="139">
        <f t="shared" si="60"/>
        <v>36569</v>
      </c>
      <c r="H397" s="139">
        <f t="shared" si="60"/>
        <v>741</v>
      </c>
      <c r="I397" s="139">
        <f t="shared" si="60"/>
        <v>956</v>
      </c>
      <c r="J397" s="139">
        <f t="shared" si="60"/>
        <v>905</v>
      </c>
      <c r="K397" s="139" t="str">
        <f t="shared" si="60"/>
        <v>-</v>
      </c>
      <c r="L397" s="139">
        <f t="shared" si="60"/>
        <v>60665</v>
      </c>
      <c r="N397" s="139" t="str">
        <f t="shared" si="58"/>
        <v>-</v>
      </c>
      <c r="O397" s="139" t="str">
        <f t="shared" si="58"/>
        <v>-</v>
      </c>
      <c r="P397" s="139" t="str">
        <f t="shared" si="58"/>
        <v>-</v>
      </c>
      <c r="Q397" s="139" t="str">
        <f t="shared" si="58"/>
        <v>-</v>
      </c>
      <c r="R397" s="139" t="str">
        <f t="shared" si="58"/>
        <v>-</v>
      </c>
      <c r="S397" s="139" t="str">
        <f t="shared" si="58"/>
        <v>-</v>
      </c>
    </row>
    <row r="398" spans="1:19">
      <c r="A398" s="99">
        <v>1985</v>
      </c>
      <c r="B398" s="139" t="str">
        <f t="shared" ref="B398:L398" si="61">IF(AND(B326="-",B254="-",B182="-",B110="-"),"-",SUM(B326,B254,B182,B110))</f>
        <v>-</v>
      </c>
      <c r="C398" s="139" t="str">
        <f t="shared" si="61"/>
        <v>-</v>
      </c>
      <c r="D398" s="139">
        <f t="shared" si="61"/>
        <v>33834</v>
      </c>
      <c r="E398" s="139">
        <f t="shared" si="61"/>
        <v>14927</v>
      </c>
      <c r="F398" s="139">
        <f t="shared" si="61"/>
        <v>68776</v>
      </c>
      <c r="G398" s="139">
        <f t="shared" si="61"/>
        <v>62510</v>
      </c>
      <c r="H398" s="139">
        <f t="shared" si="61"/>
        <v>21484</v>
      </c>
      <c r="I398" s="139">
        <f t="shared" si="61"/>
        <v>4872</v>
      </c>
      <c r="J398" s="139">
        <f t="shared" si="61"/>
        <v>1353</v>
      </c>
      <c r="K398" s="139" t="str">
        <f t="shared" si="61"/>
        <v>-</v>
      </c>
      <c r="L398" s="139">
        <f t="shared" si="61"/>
        <v>207756</v>
      </c>
      <c r="N398" s="139" t="str">
        <f t="shared" si="58"/>
        <v>-</v>
      </c>
      <c r="O398" s="139">
        <f t="shared" si="58"/>
        <v>43870</v>
      </c>
      <c r="P398" s="139">
        <f t="shared" si="58"/>
        <v>15</v>
      </c>
      <c r="Q398" s="139" t="str">
        <f t="shared" si="58"/>
        <v>-</v>
      </c>
      <c r="R398" s="139" t="str">
        <f t="shared" si="58"/>
        <v>-</v>
      </c>
      <c r="S398" s="139">
        <f t="shared" si="58"/>
        <v>43885</v>
      </c>
    </row>
    <row r="399" spans="1:19">
      <c r="A399" s="95">
        <v>1986</v>
      </c>
      <c r="B399" s="139" t="str">
        <f t="shared" ref="B399:L399" si="62">IF(AND(B327="-",B255="-",B183="-",B111="-"),"-",SUM(B327,B255,B183,B111))</f>
        <v>-</v>
      </c>
      <c r="C399" s="139" t="str">
        <f t="shared" si="62"/>
        <v>-</v>
      </c>
      <c r="D399" s="139">
        <f t="shared" si="62"/>
        <v>32363</v>
      </c>
      <c r="E399" s="139">
        <f t="shared" si="62"/>
        <v>49965</v>
      </c>
      <c r="F399" s="139">
        <f t="shared" si="62"/>
        <v>138114</v>
      </c>
      <c r="G399" s="139">
        <f t="shared" si="62"/>
        <v>114030</v>
      </c>
      <c r="H399" s="139">
        <f t="shared" si="62"/>
        <v>33955</v>
      </c>
      <c r="I399" s="139">
        <f t="shared" si="62"/>
        <v>26722</v>
      </c>
      <c r="J399" s="139">
        <f t="shared" si="62"/>
        <v>624</v>
      </c>
      <c r="K399" s="139" t="str">
        <f t="shared" si="62"/>
        <v>-</v>
      </c>
      <c r="L399" s="139">
        <f t="shared" si="62"/>
        <v>395773</v>
      </c>
      <c r="N399" s="139">
        <f t="shared" si="58"/>
        <v>12028</v>
      </c>
      <c r="O399" s="139">
        <f t="shared" si="58"/>
        <v>382357</v>
      </c>
      <c r="P399" s="139" t="str">
        <f t="shared" si="58"/>
        <v>-</v>
      </c>
      <c r="Q399" s="139" t="str">
        <f t="shared" si="58"/>
        <v>-</v>
      </c>
      <c r="R399" s="139" t="str">
        <f t="shared" si="58"/>
        <v>-</v>
      </c>
      <c r="S399" s="139">
        <f t="shared" si="58"/>
        <v>394385</v>
      </c>
    </row>
    <row r="400" spans="1:19">
      <c r="A400" s="95">
        <v>1987</v>
      </c>
      <c r="B400" s="139" t="str">
        <f t="shared" ref="B400:L400" si="63">IF(AND(B328="-",B256="-",B184="-",B112="-"),"-",SUM(B328,B256,B184,B112))</f>
        <v>-</v>
      </c>
      <c r="C400" s="139" t="str">
        <f t="shared" si="63"/>
        <v>-</v>
      </c>
      <c r="D400" s="139">
        <f t="shared" si="63"/>
        <v>38904</v>
      </c>
      <c r="E400" s="139">
        <f t="shared" si="63"/>
        <v>48579</v>
      </c>
      <c r="F400" s="139">
        <f t="shared" si="63"/>
        <v>268821</v>
      </c>
      <c r="G400" s="139">
        <f t="shared" si="63"/>
        <v>82750</v>
      </c>
      <c r="H400" s="139">
        <f t="shared" si="63"/>
        <v>61039</v>
      </c>
      <c r="I400" s="139">
        <f t="shared" si="63"/>
        <v>17255</v>
      </c>
      <c r="J400" s="139">
        <f t="shared" si="63"/>
        <v>1916</v>
      </c>
      <c r="K400" s="139" t="str">
        <f t="shared" si="63"/>
        <v>-</v>
      </c>
      <c r="L400" s="139">
        <f t="shared" si="63"/>
        <v>519264</v>
      </c>
      <c r="N400" s="139">
        <f t="shared" si="58"/>
        <v>4117</v>
      </c>
      <c r="O400" s="139">
        <f t="shared" si="58"/>
        <v>255215</v>
      </c>
      <c r="P400" s="139">
        <f t="shared" si="58"/>
        <v>58754</v>
      </c>
      <c r="Q400" s="139">
        <f t="shared" si="58"/>
        <v>20776</v>
      </c>
      <c r="R400" s="139" t="str">
        <f t="shared" si="58"/>
        <v>-</v>
      </c>
      <c r="S400" s="139">
        <f t="shared" si="58"/>
        <v>338862</v>
      </c>
    </row>
    <row r="401" spans="1:19">
      <c r="A401" s="95">
        <v>1988</v>
      </c>
      <c r="B401" s="139" t="str">
        <f t="shared" ref="B401:L401" si="64">IF(AND(B329="-",B257="-",B185="-",B113="-"),"-",SUM(B329,B257,B185,B113))</f>
        <v>-</v>
      </c>
      <c r="C401" s="139" t="str">
        <f t="shared" si="64"/>
        <v>-</v>
      </c>
      <c r="D401" s="139">
        <f t="shared" si="64"/>
        <v>56934</v>
      </c>
      <c r="E401" s="139">
        <f t="shared" si="64"/>
        <v>88831</v>
      </c>
      <c r="F401" s="139">
        <f t="shared" si="64"/>
        <v>110298</v>
      </c>
      <c r="G401" s="139">
        <f t="shared" si="64"/>
        <v>128960</v>
      </c>
      <c r="H401" s="139">
        <f t="shared" si="64"/>
        <v>31671</v>
      </c>
      <c r="I401" s="139">
        <f t="shared" si="64"/>
        <v>43426</v>
      </c>
      <c r="J401" s="139">
        <f t="shared" si="64"/>
        <v>1851</v>
      </c>
      <c r="K401" s="139" t="str">
        <f t="shared" si="64"/>
        <v>-</v>
      </c>
      <c r="L401" s="139">
        <f t="shared" si="64"/>
        <v>461971</v>
      </c>
      <c r="N401" s="139">
        <f t="shared" si="58"/>
        <v>1250</v>
      </c>
      <c r="O401" s="139">
        <f t="shared" si="58"/>
        <v>387467</v>
      </c>
      <c r="P401" s="139">
        <f t="shared" si="58"/>
        <v>233688</v>
      </c>
      <c r="Q401" s="139" t="str">
        <f t="shared" si="58"/>
        <v>-</v>
      </c>
      <c r="R401" s="139" t="str">
        <f t="shared" si="58"/>
        <v>-</v>
      </c>
      <c r="S401" s="139">
        <f t="shared" si="58"/>
        <v>622405</v>
      </c>
    </row>
    <row r="402" spans="1:19">
      <c r="A402" s="95">
        <v>1989</v>
      </c>
      <c r="B402" s="139" t="str">
        <f t="shared" ref="B402:L402" si="65">IF(AND(B330="-",B258="-",B186="-",B114="-"),"-",SUM(B330,B258,B186,B114))</f>
        <v>-</v>
      </c>
      <c r="C402" s="139" t="str">
        <f t="shared" si="65"/>
        <v>-</v>
      </c>
      <c r="D402" s="139">
        <f t="shared" si="65"/>
        <v>87217</v>
      </c>
      <c r="E402" s="139">
        <f t="shared" si="65"/>
        <v>74133</v>
      </c>
      <c r="F402" s="139">
        <f t="shared" si="65"/>
        <v>70238</v>
      </c>
      <c r="G402" s="139">
        <f t="shared" si="65"/>
        <v>75449</v>
      </c>
      <c r="H402" s="139">
        <f t="shared" si="65"/>
        <v>24290</v>
      </c>
      <c r="I402" s="139">
        <f t="shared" si="65"/>
        <v>16878</v>
      </c>
      <c r="J402" s="139">
        <f t="shared" si="65"/>
        <v>2178</v>
      </c>
      <c r="K402" s="139" t="str">
        <f t="shared" si="65"/>
        <v>-</v>
      </c>
      <c r="L402" s="139">
        <f t="shared" si="65"/>
        <v>350383</v>
      </c>
      <c r="N402" s="139">
        <f t="shared" si="58"/>
        <v>1004</v>
      </c>
      <c r="O402" s="139">
        <f t="shared" si="58"/>
        <v>372173</v>
      </c>
      <c r="P402" s="139">
        <f t="shared" si="58"/>
        <v>61423</v>
      </c>
      <c r="Q402" s="139" t="str">
        <f t="shared" si="58"/>
        <v>-</v>
      </c>
      <c r="R402" s="139" t="str">
        <f t="shared" si="58"/>
        <v>-</v>
      </c>
      <c r="S402" s="139">
        <f t="shared" si="58"/>
        <v>434600</v>
      </c>
    </row>
    <row r="403" spans="1:19">
      <c r="A403" s="95">
        <v>1990</v>
      </c>
      <c r="B403" s="139" t="str">
        <f t="shared" ref="B403:L403" si="66">IF(AND(B331="-",B259="-",B187="-",B115="-"),"-",SUM(B331,B259,B187,B115))</f>
        <v>-</v>
      </c>
      <c r="C403" s="139" t="str">
        <f t="shared" si="66"/>
        <v>-</v>
      </c>
      <c r="D403" s="139">
        <f t="shared" si="66"/>
        <v>15078</v>
      </c>
      <c r="E403" s="139">
        <f t="shared" si="66"/>
        <v>32580</v>
      </c>
      <c r="F403" s="139">
        <f t="shared" si="66"/>
        <v>119364</v>
      </c>
      <c r="G403" s="139">
        <f t="shared" si="66"/>
        <v>51588</v>
      </c>
      <c r="H403" s="139">
        <f t="shared" si="66"/>
        <v>7081</v>
      </c>
      <c r="I403" s="139">
        <f t="shared" si="66"/>
        <v>4165</v>
      </c>
      <c r="J403" s="139" t="str">
        <f t="shared" si="66"/>
        <v>-</v>
      </c>
      <c r="K403" s="139" t="str">
        <f t="shared" si="66"/>
        <v>-</v>
      </c>
      <c r="L403" s="139">
        <f t="shared" si="66"/>
        <v>229856</v>
      </c>
      <c r="N403" s="139">
        <f t="shared" si="58"/>
        <v>99</v>
      </c>
      <c r="O403" s="139">
        <f t="shared" si="58"/>
        <v>80281</v>
      </c>
      <c r="P403" s="139">
        <f t="shared" si="58"/>
        <v>30129</v>
      </c>
      <c r="Q403" s="139" t="str">
        <f t="shared" si="58"/>
        <v>-</v>
      </c>
      <c r="R403" s="139" t="str">
        <f t="shared" si="58"/>
        <v>-</v>
      </c>
      <c r="S403" s="139">
        <f t="shared" si="58"/>
        <v>110509</v>
      </c>
    </row>
    <row r="404" spans="1:19">
      <c r="A404" s="95">
        <v>1991</v>
      </c>
      <c r="B404" s="139" t="str">
        <f t="shared" ref="B404:L404" si="67">IF(AND(B332="-",B260="-",B188="-",B116="-"),"-",SUM(B332,B260,B188,B116))</f>
        <v>-</v>
      </c>
      <c r="C404" s="139" t="str">
        <f t="shared" si="67"/>
        <v>-</v>
      </c>
      <c r="D404" s="139">
        <f t="shared" si="67"/>
        <v>3276</v>
      </c>
      <c r="E404" s="139">
        <f t="shared" si="67"/>
        <v>12570</v>
      </c>
      <c r="F404" s="139">
        <f t="shared" si="67"/>
        <v>15428</v>
      </c>
      <c r="G404" s="139">
        <f t="shared" si="67"/>
        <v>11596</v>
      </c>
      <c r="H404" s="139">
        <f t="shared" si="67"/>
        <v>18224</v>
      </c>
      <c r="I404" s="139">
        <f t="shared" si="67"/>
        <v>12439</v>
      </c>
      <c r="J404" s="139" t="str">
        <f t="shared" si="67"/>
        <v>-</v>
      </c>
      <c r="K404" s="139" t="str">
        <f t="shared" si="67"/>
        <v>-</v>
      </c>
      <c r="L404" s="139">
        <f t="shared" si="67"/>
        <v>73533</v>
      </c>
      <c r="N404" s="139">
        <f t="shared" si="58"/>
        <v>91249</v>
      </c>
      <c r="O404" s="139">
        <f t="shared" si="58"/>
        <v>188757</v>
      </c>
      <c r="P404" s="139">
        <f t="shared" si="58"/>
        <v>11</v>
      </c>
      <c r="Q404" s="139" t="str">
        <f t="shared" si="58"/>
        <v>-</v>
      </c>
      <c r="R404" s="139" t="str">
        <f t="shared" si="58"/>
        <v>-</v>
      </c>
      <c r="S404" s="139">
        <f t="shared" si="58"/>
        <v>280017</v>
      </c>
    </row>
    <row r="405" spans="1:19">
      <c r="A405" s="95">
        <v>1992</v>
      </c>
      <c r="B405" s="139" t="str">
        <f t="shared" ref="B405:L405" si="68">IF(AND(B333="-",B261="-",B189="-",B117="-"),"-",SUM(B333,B261,B189,B117))</f>
        <v>-</v>
      </c>
      <c r="C405" s="139" t="str">
        <f t="shared" si="68"/>
        <v>-</v>
      </c>
      <c r="D405" s="139">
        <f t="shared" si="68"/>
        <v>20644</v>
      </c>
      <c r="E405" s="139" t="str">
        <f t="shared" si="68"/>
        <v>-</v>
      </c>
      <c r="F405" s="139">
        <f t="shared" si="68"/>
        <v>31488</v>
      </c>
      <c r="G405" s="139">
        <f t="shared" si="68"/>
        <v>26086</v>
      </c>
      <c r="H405" s="139">
        <f t="shared" si="68"/>
        <v>10757</v>
      </c>
      <c r="I405" s="139">
        <f t="shared" si="68"/>
        <v>19272</v>
      </c>
      <c r="J405" s="139" t="str">
        <f t="shared" si="68"/>
        <v>-</v>
      </c>
      <c r="K405" s="139" t="str">
        <f t="shared" si="68"/>
        <v>-</v>
      </c>
      <c r="L405" s="139">
        <f t="shared" si="68"/>
        <v>108247</v>
      </c>
      <c r="N405" s="139" t="str">
        <f t="shared" ref="N405:S414" si="69">IF(AND(N333="-",N261="-",N189="-",N117="-"),"-",SUM(N333,N261,N189,N117))</f>
        <v>-</v>
      </c>
      <c r="O405" s="139">
        <f t="shared" si="69"/>
        <v>23064</v>
      </c>
      <c r="P405" s="139">
        <f t="shared" si="69"/>
        <v>25133</v>
      </c>
      <c r="Q405" s="139" t="str">
        <f t="shared" si="69"/>
        <v>-</v>
      </c>
      <c r="R405" s="139">
        <f t="shared" si="69"/>
        <v>12</v>
      </c>
      <c r="S405" s="139">
        <f t="shared" si="69"/>
        <v>48209</v>
      </c>
    </row>
    <row r="406" spans="1:19">
      <c r="A406" s="95">
        <v>1993</v>
      </c>
      <c r="B406" s="139" t="str">
        <f t="shared" ref="B406:L406" si="70">IF(AND(B334="-",B262="-",B190="-",B118="-"),"-",SUM(B334,B262,B190,B118))</f>
        <v>-</v>
      </c>
      <c r="C406" s="139" t="str">
        <f t="shared" si="70"/>
        <v>-</v>
      </c>
      <c r="D406" s="139">
        <f t="shared" si="70"/>
        <v>20311</v>
      </c>
      <c r="E406" s="139">
        <f t="shared" si="70"/>
        <v>14723</v>
      </c>
      <c r="F406" s="139">
        <f t="shared" si="70"/>
        <v>12952</v>
      </c>
      <c r="G406" s="139">
        <f t="shared" si="70"/>
        <v>10436</v>
      </c>
      <c r="H406" s="139">
        <f t="shared" si="70"/>
        <v>15578</v>
      </c>
      <c r="I406" s="139">
        <f t="shared" si="70"/>
        <v>6454</v>
      </c>
      <c r="J406" s="139">
        <f t="shared" si="70"/>
        <v>658</v>
      </c>
      <c r="K406" s="139" t="str">
        <f t="shared" si="70"/>
        <v>-</v>
      </c>
      <c r="L406" s="139">
        <f t="shared" si="70"/>
        <v>81112</v>
      </c>
      <c r="N406" s="139" t="str">
        <f t="shared" si="69"/>
        <v>-</v>
      </c>
      <c r="O406" s="139" t="str">
        <f t="shared" si="69"/>
        <v>-</v>
      </c>
      <c r="P406" s="139">
        <f t="shared" si="69"/>
        <v>2</v>
      </c>
      <c r="Q406" s="139" t="str">
        <f t="shared" si="69"/>
        <v>-</v>
      </c>
      <c r="R406" s="139">
        <f t="shared" si="69"/>
        <v>25</v>
      </c>
      <c r="S406" s="139">
        <f t="shared" si="69"/>
        <v>27</v>
      </c>
    </row>
    <row r="407" spans="1:19">
      <c r="A407" s="95">
        <v>1994</v>
      </c>
      <c r="B407" s="139" t="str">
        <f t="shared" ref="B407:L407" si="71">IF(AND(B335="-",B263="-",B191="-",B119="-"),"-",SUM(B335,B263,B191,B119))</f>
        <v>-</v>
      </c>
      <c r="C407" s="139" t="str">
        <f t="shared" si="71"/>
        <v>-</v>
      </c>
      <c r="D407" s="139">
        <f t="shared" si="71"/>
        <v>7885</v>
      </c>
      <c r="E407" s="139">
        <f t="shared" si="71"/>
        <v>8906</v>
      </c>
      <c r="F407" s="139" t="str">
        <f t="shared" si="71"/>
        <v>-</v>
      </c>
      <c r="G407" s="139">
        <f t="shared" si="71"/>
        <v>234</v>
      </c>
      <c r="H407" s="139">
        <f t="shared" si="71"/>
        <v>1239</v>
      </c>
      <c r="I407" s="139">
        <f t="shared" si="71"/>
        <v>6588</v>
      </c>
      <c r="J407" s="139">
        <f t="shared" si="71"/>
        <v>378</v>
      </c>
      <c r="K407" s="139" t="str">
        <f t="shared" si="71"/>
        <v>-</v>
      </c>
      <c r="L407" s="139">
        <f t="shared" si="71"/>
        <v>25230</v>
      </c>
      <c r="N407" s="139" t="str">
        <f t="shared" si="69"/>
        <v>-</v>
      </c>
      <c r="O407" s="139" t="str">
        <f t="shared" si="69"/>
        <v>-</v>
      </c>
      <c r="P407" s="139" t="str">
        <f t="shared" si="69"/>
        <v>-</v>
      </c>
      <c r="Q407" s="139" t="str">
        <f t="shared" si="69"/>
        <v>-</v>
      </c>
      <c r="R407" s="139" t="str">
        <f t="shared" si="69"/>
        <v>-</v>
      </c>
      <c r="S407" s="139" t="str">
        <f t="shared" si="69"/>
        <v>-</v>
      </c>
    </row>
    <row r="408" spans="1:19">
      <c r="A408" s="95">
        <v>1995</v>
      </c>
      <c r="B408" s="139" t="str">
        <f t="shared" ref="B408:L408" si="72">IF(AND(B336="-",B264="-",B192="-",B120="-"),"-",SUM(B336,B264,B192,B120))</f>
        <v>-</v>
      </c>
      <c r="C408" s="139" t="str">
        <f t="shared" si="72"/>
        <v>-</v>
      </c>
      <c r="D408" s="139">
        <f t="shared" si="72"/>
        <v>10907</v>
      </c>
      <c r="E408" s="139">
        <f t="shared" si="72"/>
        <v>35866</v>
      </c>
      <c r="F408" s="139">
        <f t="shared" si="72"/>
        <v>1682</v>
      </c>
      <c r="G408" s="139">
        <f t="shared" si="72"/>
        <v>97878</v>
      </c>
      <c r="H408" s="139">
        <f t="shared" si="72"/>
        <v>38547</v>
      </c>
      <c r="I408" s="139">
        <f t="shared" si="72"/>
        <v>28585</v>
      </c>
      <c r="J408" s="139">
        <f t="shared" si="72"/>
        <v>324</v>
      </c>
      <c r="K408" s="139" t="str">
        <f t="shared" si="72"/>
        <v>-</v>
      </c>
      <c r="L408" s="139">
        <f t="shared" si="72"/>
        <v>213789</v>
      </c>
      <c r="N408" s="139" t="str">
        <f t="shared" si="69"/>
        <v>-</v>
      </c>
      <c r="O408" s="139" t="str">
        <f t="shared" si="69"/>
        <v>-</v>
      </c>
      <c r="P408" s="139" t="str">
        <f t="shared" si="69"/>
        <v>-</v>
      </c>
      <c r="Q408" s="139" t="str">
        <f t="shared" si="69"/>
        <v>-</v>
      </c>
      <c r="R408" s="139" t="str">
        <f t="shared" si="69"/>
        <v>-</v>
      </c>
      <c r="S408" s="139" t="str">
        <f t="shared" si="69"/>
        <v>-</v>
      </c>
    </row>
    <row r="409" spans="1:19">
      <c r="A409" s="95">
        <v>1996</v>
      </c>
      <c r="B409" s="139" t="str">
        <f t="shared" ref="B409:L409" si="73">IF(AND(B337="-",B265="-",B193="-",B121="-"),"-",SUM(B337,B265,B193,B121))</f>
        <v>-</v>
      </c>
      <c r="C409" s="139" t="str">
        <f t="shared" si="73"/>
        <v>-</v>
      </c>
      <c r="D409" s="139">
        <f t="shared" si="73"/>
        <v>28506</v>
      </c>
      <c r="E409" s="139">
        <f t="shared" si="73"/>
        <v>41500</v>
      </c>
      <c r="F409" s="139" t="str">
        <f t="shared" si="73"/>
        <v>-</v>
      </c>
      <c r="G409" s="139">
        <f t="shared" si="73"/>
        <v>63464</v>
      </c>
      <c r="H409" s="139">
        <f t="shared" si="73"/>
        <v>25967</v>
      </c>
      <c r="I409" s="139">
        <f t="shared" si="73"/>
        <v>14927</v>
      </c>
      <c r="J409" s="139">
        <f t="shared" si="73"/>
        <v>845</v>
      </c>
      <c r="K409" s="139" t="str">
        <f t="shared" si="73"/>
        <v>-</v>
      </c>
      <c r="L409" s="139">
        <f t="shared" si="73"/>
        <v>175209</v>
      </c>
      <c r="N409" s="139">
        <f t="shared" si="69"/>
        <v>8</v>
      </c>
      <c r="O409" s="139" t="str">
        <f t="shared" si="69"/>
        <v>-</v>
      </c>
      <c r="P409" s="139" t="str">
        <f t="shared" si="69"/>
        <v>-</v>
      </c>
      <c r="Q409" s="139" t="str">
        <f t="shared" si="69"/>
        <v>-</v>
      </c>
      <c r="R409" s="139" t="str">
        <f t="shared" si="69"/>
        <v>-</v>
      </c>
      <c r="S409" s="139">
        <f t="shared" si="69"/>
        <v>8</v>
      </c>
    </row>
    <row r="410" spans="1:19">
      <c r="A410" s="95">
        <v>1997</v>
      </c>
      <c r="B410" s="139" t="str">
        <f t="shared" ref="B410:L410" si="74">IF(AND(B338="-",B266="-",B194="-",B122="-"),"-",SUM(B338,B266,B194,B122))</f>
        <v>-</v>
      </c>
      <c r="C410" s="139">
        <f t="shared" si="74"/>
        <v>4493</v>
      </c>
      <c r="D410" s="139">
        <f t="shared" si="74"/>
        <v>33366</v>
      </c>
      <c r="E410" s="139">
        <f t="shared" si="74"/>
        <v>35381</v>
      </c>
      <c r="F410" s="139" t="str">
        <f t="shared" si="74"/>
        <v>-</v>
      </c>
      <c r="G410" s="139">
        <f t="shared" si="74"/>
        <v>44843</v>
      </c>
      <c r="H410" s="139">
        <f t="shared" si="74"/>
        <v>25786</v>
      </c>
      <c r="I410" s="139">
        <f t="shared" si="74"/>
        <v>5370</v>
      </c>
      <c r="J410" s="139">
        <f t="shared" si="74"/>
        <v>492</v>
      </c>
      <c r="K410" s="139" t="str">
        <f t="shared" si="74"/>
        <v>-</v>
      </c>
      <c r="L410" s="139">
        <f t="shared" si="74"/>
        <v>149731</v>
      </c>
      <c r="N410" s="139" t="str">
        <f t="shared" si="69"/>
        <v>-</v>
      </c>
      <c r="O410" s="139" t="str">
        <f t="shared" si="69"/>
        <v>-</v>
      </c>
      <c r="P410" s="139" t="str">
        <f t="shared" si="69"/>
        <v>-</v>
      </c>
      <c r="Q410" s="139" t="str">
        <f t="shared" si="69"/>
        <v>-</v>
      </c>
      <c r="R410" s="139" t="str">
        <f t="shared" si="69"/>
        <v>-</v>
      </c>
      <c r="S410" s="139" t="str">
        <f t="shared" si="69"/>
        <v>-</v>
      </c>
    </row>
    <row r="411" spans="1:19">
      <c r="A411" s="95">
        <v>1998</v>
      </c>
      <c r="B411" s="139" t="str">
        <f t="shared" ref="B411:L411" si="75">IF(AND(B339="-",B267="-",B195="-",B123="-"),"-",SUM(B339,B267,B195,B123))</f>
        <v>-</v>
      </c>
      <c r="C411" s="139">
        <f t="shared" si="75"/>
        <v>19953</v>
      </c>
      <c r="D411" s="139">
        <f t="shared" si="75"/>
        <v>39740</v>
      </c>
      <c r="E411" s="139">
        <f t="shared" si="75"/>
        <v>33749</v>
      </c>
      <c r="F411" s="139" t="str">
        <f t="shared" si="75"/>
        <v>-</v>
      </c>
      <c r="G411" s="139">
        <f t="shared" si="75"/>
        <v>20950</v>
      </c>
      <c r="H411" s="139">
        <f t="shared" si="75"/>
        <v>4952</v>
      </c>
      <c r="I411" s="139">
        <f t="shared" si="75"/>
        <v>3967</v>
      </c>
      <c r="J411" s="139">
        <f t="shared" si="75"/>
        <v>900</v>
      </c>
      <c r="K411" s="139" t="str">
        <f t="shared" si="75"/>
        <v>-</v>
      </c>
      <c r="L411" s="139">
        <f t="shared" si="75"/>
        <v>124211</v>
      </c>
      <c r="N411" s="139" t="str">
        <f t="shared" si="69"/>
        <v>-</v>
      </c>
      <c r="O411" s="139" t="str">
        <f t="shared" si="69"/>
        <v>-</v>
      </c>
      <c r="P411" s="139" t="str">
        <f t="shared" si="69"/>
        <v>-</v>
      </c>
      <c r="Q411" s="139" t="str">
        <f t="shared" si="69"/>
        <v>-</v>
      </c>
      <c r="R411" s="139" t="str">
        <f t="shared" si="69"/>
        <v>-</v>
      </c>
      <c r="S411" s="139" t="str">
        <f t="shared" si="69"/>
        <v>-</v>
      </c>
    </row>
    <row r="412" spans="1:19">
      <c r="A412" s="95">
        <v>1999</v>
      </c>
      <c r="B412" s="139" t="str">
        <f t="shared" ref="B412:L412" si="76">IF(AND(B340="-",B268="-",B196="-",B124="-"),"-",SUM(B340,B268,B196,B124))</f>
        <v>-</v>
      </c>
      <c r="C412" s="139">
        <f t="shared" si="76"/>
        <v>826</v>
      </c>
      <c r="D412" s="139">
        <f t="shared" si="76"/>
        <v>6056</v>
      </c>
      <c r="E412" s="139">
        <f t="shared" si="76"/>
        <v>23447</v>
      </c>
      <c r="F412" s="139">
        <f t="shared" si="76"/>
        <v>8095</v>
      </c>
      <c r="G412" s="139">
        <f t="shared" si="76"/>
        <v>18064</v>
      </c>
      <c r="H412" s="139">
        <f t="shared" si="76"/>
        <v>1934</v>
      </c>
      <c r="I412" s="139">
        <f t="shared" si="76"/>
        <v>2816</v>
      </c>
      <c r="J412" s="139">
        <f t="shared" si="76"/>
        <v>1237</v>
      </c>
      <c r="K412" s="139">
        <f t="shared" si="76"/>
        <v>43</v>
      </c>
      <c r="L412" s="139">
        <f t="shared" si="76"/>
        <v>62518</v>
      </c>
      <c r="N412" s="139" t="str">
        <f t="shared" si="69"/>
        <v>-</v>
      </c>
      <c r="O412" s="139" t="str">
        <f t="shared" si="69"/>
        <v>-</v>
      </c>
      <c r="P412" s="139" t="str">
        <f t="shared" si="69"/>
        <v>-</v>
      </c>
      <c r="Q412" s="139" t="str">
        <f t="shared" si="69"/>
        <v>-</v>
      </c>
      <c r="R412" s="139" t="str">
        <f t="shared" si="69"/>
        <v>-</v>
      </c>
      <c r="S412" s="139" t="str">
        <f t="shared" si="69"/>
        <v>-</v>
      </c>
    </row>
    <row r="413" spans="1:19">
      <c r="A413" s="95">
        <v>2000</v>
      </c>
      <c r="B413" s="139" t="str">
        <f t="shared" ref="B413:L413" si="77">IF(AND(B341="-",B269="-",B197="-",B125="-"),"-",SUM(B341,B269,B197,B125))</f>
        <v>-</v>
      </c>
      <c r="C413" s="139">
        <f t="shared" si="77"/>
        <v>1187</v>
      </c>
      <c r="D413" s="139">
        <f t="shared" si="77"/>
        <v>6085</v>
      </c>
      <c r="E413" s="139">
        <f t="shared" si="77"/>
        <v>11441</v>
      </c>
      <c r="F413" s="139">
        <f t="shared" si="77"/>
        <v>19664</v>
      </c>
      <c r="G413" s="139">
        <f t="shared" si="77"/>
        <v>48747</v>
      </c>
      <c r="H413" s="139">
        <f t="shared" si="77"/>
        <v>31534</v>
      </c>
      <c r="I413" s="139">
        <f t="shared" si="77"/>
        <v>13096</v>
      </c>
      <c r="J413" s="139">
        <f t="shared" si="77"/>
        <v>1537</v>
      </c>
      <c r="K413" s="139">
        <f t="shared" si="77"/>
        <v>367</v>
      </c>
      <c r="L413" s="139">
        <f t="shared" si="77"/>
        <v>133658</v>
      </c>
      <c r="N413" s="139" t="str">
        <f t="shared" si="69"/>
        <v>-</v>
      </c>
      <c r="O413" s="139" t="str">
        <f t="shared" si="69"/>
        <v>-</v>
      </c>
      <c r="P413" s="139" t="str">
        <f t="shared" si="69"/>
        <v>-</v>
      </c>
      <c r="Q413" s="139" t="str">
        <f t="shared" si="69"/>
        <v>-</v>
      </c>
      <c r="R413" s="139" t="str">
        <f t="shared" si="69"/>
        <v>-</v>
      </c>
      <c r="S413" s="139" t="str">
        <f t="shared" si="69"/>
        <v>-</v>
      </c>
    </row>
    <row r="414" spans="1:19">
      <c r="A414" s="95">
        <v>2001</v>
      </c>
      <c r="B414" s="139" t="str">
        <f t="shared" ref="B414:L414" si="78">IF(AND(B342="-",B270="-",B198="-",B126="-"),"-",SUM(B342,B270,B198,B126))</f>
        <v>-</v>
      </c>
      <c r="C414" s="139">
        <f t="shared" si="78"/>
        <v>18536</v>
      </c>
      <c r="D414" s="139">
        <f t="shared" si="78"/>
        <v>60785</v>
      </c>
      <c r="E414" s="139">
        <f t="shared" si="78"/>
        <v>43288</v>
      </c>
      <c r="F414" s="139">
        <f t="shared" si="78"/>
        <v>37539</v>
      </c>
      <c r="G414" s="139">
        <f t="shared" si="78"/>
        <v>61997</v>
      </c>
      <c r="H414" s="139">
        <f t="shared" si="78"/>
        <v>31521</v>
      </c>
      <c r="I414" s="139">
        <f t="shared" si="78"/>
        <v>15840</v>
      </c>
      <c r="J414" s="139">
        <f t="shared" si="78"/>
        <v>1345</v>
      </c>
      <c r="K414" s="139">
        <f t="shared" si="78"/>
        <v>21</v>
      </c>
      <c r="L414" s="139">
        <f t="shared" si="78"/>
        <v>270872</v>
      </c>
      <c r="N414" s="139" t="str">
        <f t="shared" si="69"/>
        <v>-</v>
      </c>
      <c r="O414" s="139" t="str">
        <f t="shared" si="69"/>
        <v>-</v>
      </c>
      <c r="P414" s="139" t="str">
        <f t="shared" si="69"/>
        <v>-</v>
      </c>
      <c r="Q414" s="139" t="str">
        <f t="shared" si="69"/>
        <v>-</v>
      </c>
      <c r="R414" s="139" t="str">
        <f t="shared" si="69"/>
        <v>-</v>
      </c>
      <c r="S414" s="139" t="str">
        <f t="shared" si="69"/>
        <v>-</v>
      </c>
    </row>
    <row r="415" spans="1:19">
      <c r="A415" s="95">
        <v>2002</v>
      </c>
      <c r="B415" s="139">
        <f t="shared" ref="B415:L415" si="79">IF(AND(B343="-",B271="-",B199="-",B127="-"),"-",SUM(B343,B271,B199,B127))</f>
        <v>6667</v>
      </c>
      <c r="C415" s="139">
        <f t="shared" si="79"/>
        <v>10689</v>
      </c>
      <c r="D415" s="139">
        <f t="shared" si="79"/>
        <v>23570</v>
      </c>
      <c r="E415" s="139">
        <f t="shared" si="79"/>
        <v>60833</v>
      </c>
      <c r="F415" s="139">
        <f t="shared" si="79"/>
        <v>13778</v>
      </c>
      <c r="G415" s="139">
        <f t="shared" si="79"/>
        <v>29627</v>
      </c>
      <c r="H415" s="139">
        <f t="shared" si="79"/>
        <v>61166</v>
      </c>
      <c r="I415" s="139">
        <f t="shared" si="79"/>
        <v>83742</v>
      </c>
      <c r="J415" s="139">
        <f t="shared" si="79"/>
        <v>1255</v>
      </c>
      <c r="K415" s="139">
        <f t="shared" si="79"/>
        <v>65</v>
      </c>
      <c r="L415" s="139">
        <f t="shared" si="79"/>
        <v>291392</v>
      </c>
      <c r="N415" s="139" t="str">
        <f t="shared" ref="N415:S424" si="80">IF(AND(N343="-",N271="-",N199="-",N127="-"),"-",SUM(N343,N271,N199,N127))</f>
        <v>-</v>
      </c>
      <c r="O415" s="139" t="str">
        <f t="shared" si="80"/>
        <v>-</v>
      </c>
      <c r="P415" s="139" t="str">
        <f t="shared" si="80"/>
        <v>-</v>
      </c>
      <c r="Q415" s="139" t="str">
        <f t="shared" si="80"/>
        <v>-</v>
      </c>
      <c r="R415" s="139" t="str">
        <f t="shared" si="80"/>
        <v>-</v>
      </c>
      <c r="S415" s="139" t="str">
        <f t="shared" si="80"/>
        <v>-</v>
      </c>
    </row>
    <row r="416" spans="1:19">
      <c r="A416" s="95">
        <v>2003</v>
      </c>
      <c r="B416" s="139">
        <f t="shared" ref="B416:L416" si="81">IF(AND(B344="-",B272="-",B200="-",B128="-"),"-",SUM(B344,B272,B200,B128))</f>
        <v>3192</v>
      </c>
      <c r="C416" s="139">
        <f t="shared" si="81"/>
        <v>59009</v>
      </c>
      <c r="D416" s="139">
        <f t="shared" si="81"/>
        <v>74097</v>
      </c>
      <c r="E416" s="139">
        <f t="shared" si="81"/>
        <v>32325</v>
      </c>
      <c r="F416" s="139">
        <f t="shared" si="81"/>
        <v>20661</v>
      </c>
      <c r="G416" s="139">
        <f t="shared" si="81"/>
        <v>38429</v>
      </c>
      <c r="H416" s="139">
        <f t="shared" si="81"/>
        <v>50765</v>
      </c>
      <c r="I416" s="139">
        <f t="shared" si="81"/>
        <v>39680</v>
      </c>
      <c r="J416" s="139">
        <f t="shared" si="81"/>
        <v>999</v>
      </c>
      <c r="K416" s="139">
        <f t="shared" si="81"/>
        <v>137</v>
      </c>
      <c r="L416" s="139">
        <f t="shared" si="81"/>
        <v>319294</v>
      </c>
      <c r="N416" s="139" t="str">
        <f t="shared" si="80"/>
        <v>-</v>
      </c>
      <c r="O416" s="139" t="str">
        <f t="shared" si="80"/>
        <v>-</v>
      </c>
      <c r="P416" s="139" t="str">
        <f t="shared" si="80"/>
        <v>-</v>
      </c>
      <c r="Q416" s="139" t="str">
        <f t="shared" si="80"/>
        <v>-</v>
      </c>
      <c r="R416" s="139" t="str">
        <f t="shared" si="80"/>
        <v>-</v>
      </c>
      <c r="S416" s="139" t="str">
        <f t="shared" si="80"/>
        <v>-</v>
      </c>
    </row>
    <row r="417" spans="1:19">
      <c r="A417" s="95">
        <v>2004</v>
      </c>
      <c r="B417" s="139">
        <f t="shared" ref="B417:L417" si="82">IF(AND(B345="-",B273="-",B201="-",B129="-"),"-",SUM(B345,B273,B201,B129))</f>
        <v>21049</v>
      </c>
      <c r="C417" s="139">
        <f t="shared" si="82"/>
        <v>34021</v>
      </c>
      <c r="D417" s="139">
        <f t="shared" si="82"/>
        <v>38044</v>
      </c>
      <c r="E417" s="139">
        <f t="shared" si="82"/>
        <v>25724</v>
      </c>
      <c r="F417" s="139">
        <f t="shared" si="82"/>
        <v>16373</v>
      </c>
      <c r="G417" s="139">
        <f t="shared" si="82"/>
        <v>78663</v>
      </c>
      <c r="H417" s="139">
        <f t="shared" si="82"/>
        <v>24802</v>
      </c>
      <c r="I417" s="139">
        <f t="shared" si="82"/>
        <v>8542</v>
      </c>
      <c r="J417" s="139">
        <f t="shared" si="82"/>
        <v>2191</v>
      </c>
      <c r="K417" s="139">
        <f t="shared" si="82"/>
        <v>182</v>
      </c>
      <c r="L417" s="139">
        <f t="shared" si="82"/>
        <v>249591</v>
      </c>
      <c r="N417" s="139" t="str">
        <f t="shared" si="80"/>
        <v>-</v>
      </c>
      <c r="O417" s="139" t="str">
        <f t="shared" si="80"/>
        <v>-</v>
      </c>
      <c r="P417" s="139" t="str">
        <f t="shared" si="80"/>
        <v>-</v>
      </c>
      <c r="Q417" s="139" t="str">
        <f t="shared" si="80"/>
        <v>-</v>
      </c>
      <c r="R417" s="139" t="str">
        <f t="shared" si="80"/>
        <v>-</v>
      </c>
      <c r="S417" s="139" t="str">
        <f t="shared" si="80"/>
        <v>-</v>
      </c>
    </row>
    <row r="418" spans="1:19">
      <c r="A418" s="95">
        <v>2005</v>
      </c>
      <c r="B418" s="139">
        <f t="shared" ref="B418:L418" si="83">IF(AND(B346="-",B274="-",B202="-",B130="-"),"-",SUM(B346,B274,B202,B130))</f>
        <v>28384</v>
      </c>
      <c r="C418" s="139">
        <f t="shared" si="83"/>
        <v>4788</v>
      </c>
      <c r="D418" s="139">
        <f t="shared" si="83"/>
        <v>55741</v>
      </c>
      <c r="E418" s="139">
        <f t="shared" si="83"/>
        <v>49895</v>
      </c>
      <c r="F418" s="139" t="str">
        <f t="shared" si="83"/>
        <v>-</v>
      </c>
      <c r="G418" s="139" t="str">
        <f t="shared" si="83"/>
        <v>-</v>
      </c>
      <c r="H418" s="139">
        <f t="shared" si="83"/>
        <v>83313</v>
      </c>
      <c r="I418" s="139">
        <f t="shared" si="83"/>
        <v>17811</v>
      </c>
      <c r="J418" s="139">
        <f t="shared" si="83"/>
        <v>943</v>
      </c>
      <c r="K418" s="139">
        <f t="shared" si="83"/>
        <v>335</v>
      </c>
      <c r="L418" s="139">
        <f t="shared" si="83"/>
        <v>241210</v>
      </c>
      <c r="N418" s="139" t="str">
        <f t="shared" si="80"/>
        <v>-</v>
      </c>
      <c r="O418" s="139" t="str">
        <f t="shared" si="80"/>
        <v>-</v>
      </c>
      <c r="P418" s="139" t="str">
        <f t="shared" si="80"/>
        <v>-</v>
      </c>
      <c r="Q418" s="139" t="str">
        <f t="shared" si="80"/>
        <v>-</v>
      </c>
      <c r="R418" s="139" t="str">
        <f t="shared" si="80"/>
        <v>-</v>
      </c>
      <c r="S418" s="139" t="str">
        <f t="shared" si="80"/>
        <v>-</v>
      </c>
    </row>
    <row r="419" spans="1:19">
      <c r="A419" s="95">
        <v>2006</v>
      </c>
      <c r="B419" s="139" t="str">
        <f t="shared" ref="B419:L419" si="84">IF(AND(B347="-",B275="-",B203="-",B131="-"),"-",SUM(B347,B275,B203,B131))</f>
        <v>-</v>
      </c>
      <c r="C419" s="139" t="str">
        <f t="shared" si="84"/>
        <v>-</v>
      </c>
      <c r="D419" s="139" t="str">
        <f t="shared" si="84"/>
        <v>-</v>
      </c>
      <c r="E419" s="139">
        <f t="shared" si="84"/>
        <v>9550</v>
      </c>
      <c r="F419" s="139">
        <f t="shared" si="84"/>
        <v>3616</v>
      </c>
      <c r="G419" s="139">
        <f t="shared" si="84"/>
        <v>962</v>
      </c>
      <c r="H419" s="139">
        <f t="shared" si="84"/>
        <v>4379</v>
      </c>
      <c r="I419" s="139">
        <f t="shared" si="84"/>
        <v>4039</v>
      </c>
      <c r="J419" s="139">
        <f t="shared" si="84"/>
        <v>1691</v>
      </c>
      <c r="K419" s="139">
        <f t="shared" si="84"/>
        <v>131</v>
      </c>
      <c r="L419" s="139">
        <f t="shared" si="84"/>
        <v>24368</v>
      </c>
      <c r="N419" s="139" t="str">
        <f t="shared" si="80"/>
        <v>-</v>
      </c>
      <c r="O419" s="139" t="str">
        <f t="shared" si="80"/>
        <v>-</v>
      </c>
      <c r="P419" s="139" t="str">
        <f t="shared" si="80"/>
        <v>-</v>
      </c>
      <c r="Q419" s="139" t="str">
        <f t="shared" si="80"/>
        <v>-</v>
      </c>
      <c r="R419" s="139" t="str">
        <f t="shared" si="80"/>
        <v>-</v>
      </c>
      <c r="S419" s="139" t="str">
        <f t="shared" si="80"/>
        <v>-</v>
      </c>
    </row>
    <row r="420" spans="1:19">
      <c r="A420" s="95">
        <v>2007</v>
      </c>
      <c r="B420" s="139" t="str">
        <f t="shared" ref="B420:L420" si="85">IF(AND(B348="-",B276="-",B204="-",B132="-"),"-",SUM(B348,B276,B204,B132))</f>
        <v>-</v>
      </c>
      <c r="C420" s="139">
        <f t="shared" si="85"/>
        <v>1871</v>
      </c>
      <c r="D420" s="139">
        <f t="shared" si="85"/>
        <v>7353</v>
      </c>
      <c r="E420" s="139">
        <f t="shared" si="85"/>
        <v>5190</v>
      </c>
      <c r="F420" s="139">
        <f t="shared" si="85"/>
        <v>2909</v>
      </c>
      <c r="G420" s="139">
        <f t="shared" si="85"/>
        <v>13884</v>
      </c>
      <c r="H420" s="139">
        <f t="shared" si="85"/>
        <v>1113</v>
      </c>
      <c r="I420" s="139">
        <f t="shared" si="85"/>
        <v>1004</v>
      </c>
      <c r="J420" s="139">
        <f t="shared" si="85"/>
        <v>717</v>
      </c>
      <c r="K420" s="139">
        <f t="shared" si="85"/>
        <v>3</v>
      </c>
      <c r="L420" s="139">
        <f t="shared" si="85"/>
        <v>34044</v>
      </c>
      <c r="N420" s="139" t="str">
        <f t="shared" si="80"/>
        <v>-</v>
      </c>
      <c r="O420" s="139" t="str">
        <f t="shared" si="80"/>
        <v>-</v>
      </c>
      <c r="P420" s="139">
        <f t="shared" si="80"/>
        <v>5036</v>
      </c>
      <c r="Q420" s="139">
        <f t="shared" si="80"/>
        <v>519</v>
      </c>
      <c r="R420" s="139" t="str">
        <f t="shared" si="80"/>
        <v>-</v>
      </c>
      <c r="S420" s="139">
        <f t="shared" si="80"/>
        <v>5555</v>
      </c>
    </row>
    <row r="421" spans="1:19">
      <c r="A421" s="95">
        <v>2008</v>
      </c>
      <c r="B421" s="139" t="str">
        <f t="shared" ref="B421:L421" si="86">IF(AND(B349="-",B277="-",B205="-",B133="-"),"-",SUM(B349,B277,B205,B133))</f>
        <v>-</v>
      </c>
      <c r="C421" s="139" t="str">
        <f t="shared" si="86"/>
        <v>-</v>
      </c>
      <c r="D421" s="139" t="str">
        <f t="shared" si="86"/>
        <v>-</v>
      </c>
      <c r="E421" s="139" t="str">
        <f t="shared" si="86"/>
        <v>-</v>
      </c>
      <c r="F421" s="139" t="str">
        <f t="shared" si="86"/>
        <v>-</v>
      </c>
      <c r="G421" s="139" t="str">
        <f t="shared" si="86"/>
        <v>-</v>
      </c>
      <c r="H421" s="139">
        <f t="shared" si="86"/>
        <v>64</v>
      </c>
      <c r="I421" s="139">
        <f t="shared" si="86"/>
        <v>248</v>
      </c>
      <c r="J421" s="139">
        <f t="shared" si="86"/>
        <v>208</v>
      </c>
      <c r="K421" s="139" t="str">
        <f t="shared" si="86"/>
        <v>-</v>
      </c>
      <c r="L421" s="139">
        <f t="shared" si="86"/>
        <v>520</v>
      </c>
      <c r="N421" s="139" t="str">
        <f t="shared" si="80"/>
        <v>-</v>
      </c>
      <c r="O421" s="139" t="str">
        <f t="shared" si="80"/>
        <v>-</v>
      </c>
      <c r="P421" s="139" t="str">
        <f t="shared" si="80"/>
        <v>-</v>
      </c>
      <c r="Q421" s="139" t="str">
        <f t="shared" si="80"/>
        <v>-</v>
      </c>
      <c r="R421" s="139" t="str">
        <f t="shared" si="80"/>
        <v>-</v>
      </c>
      <c r="S421" s="139" t="str">
        <f t="shared" si="80"/>
        <v>-</v>
      </c>
    </row>
    <row r="422" spans="1:19">
      <c r="A422" s="95">
        <v>2009</v>
      </c>
      <c r="B422" s="139" t="str">
        <f t="shared" ref="B422:L422" si="87">IF(AND(B350="-",B278="-",B206="-",B134="-"),"-",SUM(B350,B278,B206,B134))</f>
        <v>-</v>
      </c>
      <c r="C422" s="139" t="str">
        <f t="shared" si="87"/>
        <v>-</v>
      </c>
      <c r="D422" s="139" t="str">
        <f t="shared" si="87"/>
        <v>-</v>
      </c>
      <c r="E422" s="139" t="str">
        <f t="shared" si="87"/>
        <v>-</v>
      </c>
      <c r="F422" s="139" t="str">
        <f t="shared" si="87"/>
        <v>-</v>
      </c>
      <c r="G422" s="139" t="str">
        <f t="shared" si="87"/>
        <v>-</v>
      </c>
      <c r="H422" s="139">
        <f t="shared" si="87"/>
        <v>105</v>
      </c>
      <c r="I422" s="139">
        <f t="shared" si="87"/>
        <v>332</v>
      </c>
      <c r="J422" s="139" t="str">
        <f t="shared" si="87"/>
        <v>-</v>
      </c>
      <c r="K422" s="139" t="str">
        <f t="shared" si="87"/>
        <v>-</v>
      </c>
      <c r="L422" s="139">
        <f t="shared" si="87"/>
        <v>437</v>
      </c>
      <c r="N422" s="139" t="str">
        <f t="shared" si="80"/>
        <v>-</v>
      </c>
      <c r="O422" s="139" t="str">
        <f t="shared" si="80"/>
        <v>-</v>
      </c>
      <c r="P422" s="139" t="str">
        <f t="shared" si="80"/>
        <v>-</v>
      </c>
      <c r="Q422" s="139">
        <f t="shared" si="80"/>
        <v>9278</v>
      </c>
      <c r="R422" s="139" t="str">
        <f t="shared" si="80"/>
        <v>-</v>
      </c>
      <c r="S422" s="139">
        <f t="shared" si="80"/>
        <v>9278</v>
      </c>
    </row>
    <row r="423" spans="1:19">
      <c r="A423" s="95">
        <v>2010</v>
      </c>
      <c r="B423" s="139" t="str">
        <f t="shared" ref="B423:L423" si="88">IF(AND(B351="-",B279="-",B207="-",B135="-"),"-",SUM(B351,B279,B207,B135))</f>
        <v>-</v>
      </c>
      <c r="C423" s="139" t="str">
        <f t="shared" si="88"/>
        <v>-</v>
      </c>
      <c r="D423" s="139">
        <f t="shared" si="88"/>
        <v>9183</v>
      </c>
      <c r="E423" s="139">
        <f t="shared" si="88"/>
        <v>8966</v>
      </c>
      <c r="F423" s="139">
        <f t="shared" si="88"/>
        <v>4327</v>
      </c>
      <c r="G423" s="139">
        <f t="shared" si="88"/>
        <v>3922</v>
      </c>
      <c r="H423" s="139">
        <f t="shared" si="88"/>
        <v>56</v>
      </c>
      <c r="I423" s="139">
        <f t="shared" si="88"/>
        <v>1859</v>
      </c>
      <c r="J423" s="139" t="str">
        <f t="shared" si="88"/>
        <v>-</v>
      </c>
      <c r="K423" s="139" t="str">
        <f t="shared" si="88"/>
        <v>-</v>
      </c>
      <c r="L423" s="139">
        <f t="shared" si="88"/>
        <v>28313</v>
      </c>
      <c r="N423" s="139" t="str">
        <f t="shared" si="80"/>
        <v>-</v>
      </c>
      <c r="O423" s="139" t="str">
        <f t="shared" si="80"/>
        <v>-</v>
      </c>
      <c r="P423" s="139" t="str">
        <f t="shared" si="80"/>
        <v>-</v>
      </c>
      <c r="Q423" s="139" t="str">
        <f t="shared" si="80"/>
        <v>-</v>
      </c>
      <c r="R423" s="139" t="str">
        <f t="shared" si="80"/>
        <v>-</v>
      </c>
      <c r="S423" s="139" t="str">
        <f t="shared" si="80"/>
        <v>-</v>
      </c>
    </row>
    <row r="424" spans="1:19">
      <c r="A424" s="95">
        <v>2011</v>
      </c>
      <c r="B424" s="139" t="str">
        <f t="shared" ref="B424:L424" si="89">IF(AND(B352="-",B280="-",B208="-",B136="-"),"-",SUM(B352,B280,B208,B136))</f>
        <v>-</v>
      </c>
      <c r="C424" s="139">
        <f t="shared" si="89"/>
        <v>4481</v>
      </c>
      <c r="D424" s="139">
        <f t="shared" si="89"/>
        <v>8502</v>
      </c>
      <c r="E424" s="139">
        <f t="shared" si="89"/>
        <v>10655</v>
      </c>
      <c r="F424" s="139">
        <f t="shared" si="89"/>
        <v>726</v>
      </c>
      <c r="G424" s="139">
        <f t="shared" si="89"/>
        <v>1349</v>
      </c>
      <c r="H424" s="139">
        <f t="shared" si="89"/>
        <v>337</v>
      </c>
      <c r="I424" s="139">
        <f t="shared" si="89"/>
        <v>1200</v>
      </c>
      <c r="J424" s="139">
        <f t="shared" si="89"/>
        <v>1995</v>
      </c>
      <c r="K424" s="139" t="str">
        <f t="shared" si="89"/>
        <v>-</v>
      </c>
      <c r="L424" s="139">
        <f t="shared" si="89"/>
        <v>29245</v>
      </c>
      <c r="N424" s="139" t="str">
        <f t="shared" si="80"/>
        <v>-</v>
      </c>
      <c r="O424" s="139" t="str">
        <f t="shared" si="80"/>
        <v>-</v>
      </c>
      <c r="P424" s="139" t="str">
        <f t="shared" si="80"/>
        <v>-</v>
      </c>
      <c r="Q424" s="139" t="str">
        <f t="shared" si="80"/>
        <v>-</v>
      </c>
      <c r="R424" s="139" t="str">
        <f t="shared" si="80"/>
        <v>-</v>
      </c>
      <c r="S424" s="139" t="str">
        <f t="shared" si="80"/>
        <v>-</v>
      </c>
    </row>
    <row r="425" spans="1:19">
      <c r="A425" s="95">
        <v>2012</v>
      </c>
      <c r="B425" s="139" t="str">
        <f t="shared" ref="B425:L425" si="90">IF(AND(B353="-",B281="-",B209="-",B137="-"),"-",SUM(B353,B281,B209,B137))</f>
        <v>-</v>
      </c>
      <c r="C425" s="139">
        <f t="shared" si="90"/>
        <v>3633</v>
      </c>
      <c r="D425" s="139">
        <f t="shared" si="90"/>
        <v>14904</v>
      </c>
      <c r="E425" s="139">
        <f t="shared" si="90"/>
        <v>8644</v>
      </c>
      <c r="F425" s="139">
        <f t="shared" si="90"/>
        <v>3241</v>
      </c>
      <c r="G425" s="139">
        <f t="shared" si="90"/>
        <v>10099</v>
      </c>
      <c r="H425" s="139">
        <f t="shared" si="90"/>
        <v>14561</v>
      </c>
      <c r="I425" s="139">
        <f t="shared" si="90"/>
        <v>8874</v>
      </c>
      <c r="J425" s="139">
        <f t="shared" si="90"/>
        <v>701</v>
      </c>
      <c r="K425" s="139" t="str">
        <f t="shared" si="90"/>
        <v>-</v>
      </c>
      <c r="L425" s="139">
        <f t="shared" si="90"/>
        <v>64657</v>
      </c>
      <c r="N425" s="139" t="str">
        <f t="shared" ref="N425:S432" si="91">IF(AND(N353="-",N281="-",N209="-",N137="-"),"-",SUM(N353,N281,N209,N137))</f>
        <v>-</v>
      </c>
      <c r="O425" s="139" t="str">
        <f t="shared" si="91"/>
        <v>-</v>
      </c>
      <c r="P425" s="139" t="str">
        <f t="shared" si="91"/>
        <v>-</v>
      </c>
      <c r="Q425" s="139" t="str">
        <f t="shared" si="91"/>
        <v>-</v>
      </c>
      <c r="R425" s="139" t="str">
        <f t="shared" si="91"/>
        <v>-</v>
      </c>
      <c r="S425" s="139" t="str">
        <f t="shared" si="91"/>
        <v>-</v>
      </c>
    </row>
    <row r="426" spans="1:19">
      <c r="A426" s="95">
        <v>2013</v>
      </c>
      <c r="B426" s="139" t="str">
        <f t="shared" ref="B426:L426" si="92">IF(AND(B354="-",B282="-",B210="-",B138="-"),"-",SUM(B354,B282,B210,B138))</f>
        <v>-</v>
      </c>
      <c r="C426" s="139">
        <f t="shared" si="92"/>
        <v>7423</v>
      </c>
      <c r="D426" s="139">
        <f t="shared" si="92"/>
        <v>9100</v>
      </c>
      <c r="E426" s="139">
        <f t="shared" si="92"/>
        <v>7437</v>
      </c>
      <c r="F426" s="139">
        <f t="shared" si="92"/>
        <v>8502</v>
      </c>
      <c r="G426" s="139">
        <f t="shared" si="92"/>
        <v>40383</v>
      </c>
      <c r="H426" s="139">
        <f t="shared" si="92"/>
        <v>28386</v>
      </c>
      <c r="I426" s="139">
        <f t="shared" si="92"/>
        <v>8579</v>
      </c>
      <c r="J426" s="139">
        <f t="shared" si="92"/>
        <v>1002</v>
      </c>
      <c r="K426" s="139" t="str">
        <f t="shared" si="92"/>
        <v>-</v>
      </c>
      <c r="L426" s="139">
        <f t="shared" si="92"/>
        <v>110812</v>
      </c>
      <c r="N426" s="139" t="str">
        <f t="shared" si="91"/>
        <v>-</v>
      </c>
      <c r="O426" s="139" t="str">
        <f t="shared" si="91"/>
        <v>-</v>
      </c>
      <c r="P426" s="139" t="str">
        <f t="shared" si="91"/>
        <v>-</v>
      </c>
      <c r="Q426" s="139" t="str">
        <f t="shared" si="91"/>
        <v>-</v>
      </c>
      <c r="R426" s="139" t="str">
        <f t="shared" si="91"/>
        <v>-</v>
      </c>
      <c r="S426" s="139" t="str">
        <f t="shared" si="91"/>
        <v>-</v>
      </c>
    </row>
    <row r="427" spans="1:19">
      <c r="A427" s="95">
        <v>2014</v>
      </c>
      <c r="B427" s="139" t="str">
        <f t="shared" ref="B427:L427" si="93">IF(AND(B355="-",B283="-",B211="-",B139="-"),"-",SUM(B355,B283,B211,B139))</f>
        <v>-</v>
      </c>
      <c r="C427" s="139">
        <f t="shared" si="93"/>
        <v>15554</v>
      </c>
      <c r="D427" s="139">
        <f t="shared" si="93"/>
        <v>48741</v>
      </c>
      <c r="E427" s="139">
        <f t="shared" si="93"/>
        <v>29909</v>
      </c>
      <c r="F427" s="139">
        <f t="shared" si="93"/>
        <v>18818</v>
      </c>
      <c r="G427" s="139">
        <f t="shared" si="93"/>
        <v>67003</v>
      </c>
      <c r="H427" s="139">
        <f t="shared" si="93"/>
        <v>8905</v>
      </c>
      <c r="I427" s="139">
        <f t="shared" si="93"/>
        <v>2515</v>
      </c>
      <c r="J427" s="139">
        <f t="shared" si="93"/>
        <v>469</v>
      </c>
      <c r="K427" s="139" t="str">
        <f t="shared" si="93"/>
        <v>-</v>
      </c>
      <c r="L427" s="139">
        <f t="shared" si="93"/>
        <v>191914</v>
      </c>
      <c r="N427" s="139" t="str">
        <f t="shared" si="91"/>
        <v>-</v>
      </c>
      <c r="O427" s="139" t="str">
        <f t="shared" si="91"/>
        <v>-</v>
      </c>
      <c r="P427" s="139" t="str">
        <f t="shared" si="91"/>
        <v>-</v>
      </c>
      <c r="Q427" s="139">
        <f t="shared" si="91"/>
        <v>3296</v>
      </c>
      <c r="R427" s="139" t="str">
        <f t="shared" si="91"/>
        <v>-</v>
      </c>
      <c r="S427" s="139">
        <f t="shared" si="91"/>
        <v>3296</v>
      </c>
    </row>
    <row r="428" spans="1:19">
      <c r="A428" s="95">
        <v>2015</v>
      </c>
      <c r="B428" s="139" t="str">
        <f t="shared" ref="B428:L428" si="94">IF(AND(B356="-",B284="-",B212="-",B140="-"),"-",SUM(B356,B284,B212,B140))</f>
        <v>-</v>
      </c>
      <c r="C428" s="139">
        <f t="shared" si="94"/>
        <v>16420</v>
      </c>
      <c r="D428" s="139">
        <f t="shared" si="94"/>
        <v>14286</v>
      </c>
      <c r="E428" s="139">
        <f t="shared" si="94"/>
        <v>21331</v>
      </c>
      <c r="F428" s="139">
        <f t="shared" si="94"/>
        <v>28029</v>
      </c>
      <c r="G428" s="139">
        <f t="shared" si="94"/>
        <v>7549</v>
      </c>
      <c r="H428" s="139">
        <f t="shared" si="94"/>
        <v>2006</v>
      </c>
      <c r="I428" s="139">
        <f t="shared" si="94"/>
        <v>2593</v>
      </c>
      <c r="J428" s="139">
        <f t="shared" si="94"/>
        <v>1163</v>
      </c>
      <c r="K428" s="139" t="str">
        <f t="shared" si="94"/>
        <v>-</v>
      </c>
      <c r="L428" s="139">
        <f t="shared" si="94"/>
        <v>93377</v>
      </c>
      <c r="N428" s="139" t="str">
        <f t="shared" si="91"/>
        <v>-</v>
      </c>
      <c r="O428" s="139" t="str">
        <f t="shared" si="91"/>
        <v>-</v>
      </c>
      <c r="P428" s="139" t="str">
        <f t="shared" si="91"/>
        <v>-</v>
      </c>
      <c r="Q428" s="139" t="str">
        <f t="shared" si="91"/>
        <v>-</v>
      </c>
      <c r="R428" s="139" t="str">
        <f t="shared" si="91"/>
        <v>-</v>
      </c>
      <c r="S428" s="139" t="str">
        <f t="shared" si="91"/>
        <v>-</v>
      </c>
    </row>
    <row r="429" spans="1:19">
      <c r="A429" s="95">
        <v>2016</v>
      </c>
      <c r="B429" s="139" t="str">
        <f t="shared" ref="B429:L429" si="95">IF(AND(B357="-",B285="-",B213="-",B141="-"),"-",SUM(B357,B285,B213,B141))</f>
        <v>-</v>
      </c>
      <c r="C429" s="139">
        <f t="shared" si="95"/>
        <v>6597</v>
      </c>
      <c r="D429" s="139">
        <f t="shared" si="95"/>
        <v>6023</v>
      </c>
      <c r="E429" s="139">
        <f t="shared" si="95"/>
        <v>4915</v>
      </c>
      <c r="F429" s="139">
        <f t="shared" si="95"/>
        <v>11264</v>
      </c>
      <c r="G429" s="139">
        <f t="shared" si="95"/>
        <v>8627</v>
      </c>
      <c r="H429" s="139">
        <f t="shared" si="95"/>
        <v>1812</v>
      </c>
      <c r="I429" s="139">
        <f t="shared" si="95"/>
        <v>869</v>
      </c>
      <c r="J429" s="139">
        <f t="shared" si="95"/>
        <v>182</v>
      </c>
      <c r="K429" s="139" t="str">
        <f t="shared" si="95"/>
        <v>-</v>
      </c>
      <c r="L429" s="139">
        <f t="shared" si="95"/>
        <v>40289</v>
      </c>
      <c r="N429" s="139" t="str">
        <f t="shared" si="91"/>
        <v>-</v>
      </c>
      <c r="O429" s="139" t="str">
        <f t="shared" si="91"/>
        <v>-</v>
      </c>
      <c r="P429" s="139" t="str">
        <f t="shared" si="91"/>
        <v>-</v>
      </c>
      <c r="Q429" s="139" t="str">
        <f t="shared" si="91"/>
        <v>-</v>
      </c>
      <c r="R429" s="139" t="str">
        <f t="shared" si="91"/>
        <v>-</v>
      </c>
      <c r="S429" s="139" t="str">
        <f t="shared" si="91"/>
        <v>-</v>
      </c>
    </row>
    <row r="430" spans="1:19">
      <c r="A430" s="95">
        <v>2017</v>
      </c>
      <c r="B430" s="139" t="str">
        <f t="shared" ref="B430:L430" si="96">IF(AND(B358="-",B286="-",B214="-",B142="-"),"-",SUM(B358,B286,B214,B142))</f>
        <v>-</v>
      </c>
      <c r="C430" s="139">
        <f t="shared" si="96"/>
        <v>553</v>
      </c>
      <c r="D430" s="139">
        <f t="shared" si="96"/>
        <v>1229</v>
      </c>
      <c r="E430" s="139">
        <f t="shared" si="96"/>
        <v>3174</v>
      </c>
      <c r="F430" s="139">
        <f t="shared" si="96"/>
        <v>13019</v>
      </c>
      <c r="G430" s="177" t="str">
        <f t="shared" si="96"/>
        <v>-</v>
      </c>
      <c r="H430" s="139">
        <f t="shared" si="96"/>
        <v>137</v>
      </c>
      <c r="I430" s="139">
        <f t="shared" si="96"/>
        <v>1010</v>
      </c>
      <c r="J430" s="139">
        <f t="shared" si="96"/>
        <v>96</v>
      </c>
      <c r="K430" s="139" t="str">
        <f t="shared" si="96"/>
        <v>-</v>
      </c>
      <c r="L430" s="139">
        <f t="shared" si="96"/>
        <v>19218</v>
      </c>
      <c r="N430" s="139" t="str">
        <f t="shared" si="91"/>
        <v>-</v>
      </c>
      <c r="O430" s="139" t="str">
        <f t="shared" si="91"/>
        <v>-</v>
      </c>
      <c r="P430" s="139" t="str">
        <f t="shared" si="91"/>
        <v>-</v>
      </c>
      <c r="Q430" s="139" t="str">
        <f t="shared" si="91"/>
        <v>-</v>
      </c>
      <c r="R430" s="139" t="str">
        <f t="shared" si="91"/>
        <v>-</v>
      </c>
      <c r="S430" s="139" t="str">
        <f t="shared" si="91"/>
        <v>-</v>
      </c>
    </row>
    <row r="431" spans="1:19">
      <c r="A431" s="95">
        <v>2018</v>
      </c>
      <c r="B431" s="139" t="str">
        <f t="shared" ref="B431:L431" si="97">IF(AND(B359="-",B287="-",B215="-",B143="-"),"-",SUM(B359,B287,B215,B143))</f>
        <v>-</v>
      </c>
      <c r="C431" s="139" t="str">
        <f t="shared" si="97"/>
        <v>-</v>
      </c>
      <c r="D431" s="139">
        <f t="shared" si="97"/>
        <v>1243</v>
      </c>
      <c r="E431" s="139">
        <f t="shared" si="97"/>
        <v>4407</v>
      </c>
      <c r="F431" s="139">
        <f t="shared" si="97"/>
        <v>4098</v>
      </c>
      <c r="G431" s="177">
        <f t="shared" si="97"/>
        <v>12918</v>
      </c>
      <c r="H431" s="139">
        <f t="shared" si="97"/>
        <v>225</v>
      </c>
      <c r="I431" s="139">
        <f t="shared" si="97"/>
        <v>806</v>
      </c>
      <c r="J431" s="139">
        <f t="shared" si="97"/>
        <v>431</v>
      </c>
      <c r="K431" s="139" t="str">
        <f t="shared" si="97"/>
        <v>-</v>
      </c>
      <c r="L431" s="139">
        <f t="shared" si="97"/>
        <v>24128</v>
      </c>
      <c r="N431" s="139" t="str">
        <f t="shared" si="91"/>
        <v>-</v>
      </c>
      <c r="O431" s="139" t="str">
        <f t="shared" si="91"/>
        <v>-</v>
      </c>
      <c r="P431" s="139" t="str">
        <f t="shared" si="91"/>
        <v>-</v>
      </c>
      <c r="Q431" s="139" t="str">
        <f t="shared" si="91"/>
        <v>-</v>
      </c>
      <c r="R431" s="139" t="str">
        <f t="shared" si="91"/>
        <v>-</v>
      </c>
      <c r="S431" s="139" t="str">
        <f t="shared" si="91"/>
        <v>-</v>
      </c>
    </row>
    <row r="432" spans="1:19">
      <c r="A432" s="95">
        <v>2019</v>
      </c>
      <c r="B432" s="139" t="str">
        <f t="shared" ref="B432:L432" si="98">IF(AND(B360="-",B288="-",B216="-",B144="-"),"-",SUM(B360,B288,B216,B144))</f>
        <v>-</v>
      </c>
      <c r="C432" s="139">
        <f t="shared" si="98"/>
        <v>162</v>
      </c>
      <c r="D432" s="139">
        <f t="shared" si="98"/>
        <v>681</v>
      </c>
      <c r="E432" s="139">
        <f t="shared" si="98"/>
        <v>3364</v>
      </c>
      <c r="F432" s="139">
        <f t="shared" si="98"/>
        <v>16712</v>
      </c>
      <c r="G432" s="177">
        <f t="shared" si="98"/>
        <v>5960</v>
      </c>
      <c r="H432" s="139">
        <f t="shared" si="98"/>
        <v>632</v>
      </c>
      <c r="I432" s="139">
        <f t="shared" si="98"/>
        <v>870</v>
      </c>
      <c r="J432" s="139" t="str">
        <f t="shared" si="98"/>
        <v>-</v>
      </c>
      <c r="K432" s="139" t="str">
        <f t="shared" si="98"/>
        <v>-</v>
      </c>
      <c r="L432" s="139">
        <f t="shared" si="98"/>
        <v>28381</v>
      </c>
      <c r="N432" s="139" t="str">
        <f t="shared" si="91"/>
        <v>-</v>
      </c>
      <c r="O432" s="139" t="str">
        <f t="shared" si="91"/>
        <v>-</v>
      </c>
      <c r="P432" s="139" t="str">
        <f t="shared" si="91"/>
        <v>-</v>
      </c>
      <c r="Q432" s="139" t="str">
        <f t="shared" si="91"/>
        <v>-</v>
      </c>
      <c r="R432" s="139" t="str">
        <f t="shared" si="91"/>
        <v>-</v>
      </c>
      <c r="S432" s="139" t="str">
        <f t="shared" si="91"/>
        <v>-</v>
      </c>
    </row>
    <row r="433" spans="1:19">
      <c r="A433" s="95">
        <v>2020</v>
      </c>
      <c r="B433" s="139" t="str">
        <f t="shared" ref="B433:L434" si="99">IF(AND(B361="-",B289="-",B217="-",B145="-"),"-",SUM(B361,B289,B217,B145))</f>
        <v>-</v>
      </c>
      <c r="C433" s="139">
        <f t="shared" si="99"/>
        <v>800</v>
      </c>
      <c r="D433" s="139">
        <f t="shared" si="99"/>
        <v>778</v>
      </c>
      <c r="E433" s="139">
        <f t="shared" si="99"/>
        <v>2582</v>
      </c>
      <c r="F433" s="139">
        <f t="shared" si="99"/>
        <v>5036</v>
      </c>
      <c r="G433" s="177">
        <f t="shared" si="99"/>
        <v>1861</v>
      </c>
      <c r="H433" s="139">
        <f t="shared" si="99"/>
        <v>560</v>
      </c>
      <c r="I433" s="139">
        <f t="shared" si="99"/>
        <v>1003</v>
      </c>
      <c r="J433" s="139" t="str">
        <f t="shared" si="99"/>
        <v>-</v>
      </c>
      <c r="K433" s="139" t="str">
        <f t="shared" si="99"/>
        <v>-</v>
      </c>
      <c r="L433" s="139">
        <f t="shared" si="99"/>
        <v>12620</v>
      </c>
      <c r="N433" s="139" t="str">
        <f t="shared" ref="N433:S434" si="100">IF(AND(N361="-",N289="-",N217="-",N145="-"),"-",SUM(N361,N289,N217,N145))</f>
        <v>-</v>
      </c>
      <c r="O433" s="139" t="str">
        <f t="shared" si="100"/>
        <v>-</v>
      </c>
      <c r="P433" s="139" t="str">
        <f t="shared" si="100"/>
        <v>-</v>
      </c>
      <c r="Q433" s="139" t="str">
        <f t="shared" si="100"/>
        <v>-</v>
      </c>
      <c r="R433" s="139" t="str">
        <f t="shared" si="100"/>
        <v>-</v>
      </c>
      <c r="S433" s="139" t="str">
        <f t="shared" si="100"/>
        <v>-</v>
      </c>
    </row>
    <row r="434" spans="1:19" ht="13">
      <c r="A434" s="95" t="s">
        <v>317</v>
      </c>
      <c r="B434" s="139">
        <f t="shared" si="99"/>
        <v>231</v>
      </c>
      <c r="C434" s="139">
        <f t="shared" si="99"/>
        <v>2385</v>
      </c>
      <c r="D434" s="139">
        <f t="shared" si="99"/>
        <v>2118</v>
      </c>
      <c r="E434" s="139">
        <f t="shared" si="99"/>
        <v>1116</v>
      </c>
      <c r="F434" s="139">
        <f t="shared" si="99"/>
        <v>4788</v>
      </c>
      <c r="G434" s="177">
        <f t="shared" si="99"/>
        <v>5111</v>
      </c>
      <c r="H434" s="139">
        <f t="shared" si="99"/>
        <v>367</v>
      </c>
      <c r="I434" s="139">
        <f t="shared" si="99"/>
        <v>1243</v>
      </c>
      <c r="J434" s="139" t="str">
        <f t="shared" si="99"/>
        <v>-</v>
      </c>
      <c r="K434" s="139" t="str">
        <f t="shared" si="99"/>
        <v>-</v>
      </c>
      <c r="L434" s="139">
        <f t="shared" si="99"/>
        <v>17359</v>
      </c>
      <c r="N434" s="139" t="str">
        <f t="shared" si="100"/>
        <v>-</v>
      </c>
      <c r="O434" s="139">
        <f t="shared" si="100"/>
        <v>934</v>
      </c>
      <c r="P434" s="139">
        <f t="shared" si="100"/>
        <v>1154</v>
      </c>
      <c r="Q434" s="139" t="str">
        <f t="shared" si="100"/>
        <v>-</v>
      </c>
      <c r="R434" s="139" t="str">
        <f t="shared" si="100"/>
        <v>-</v>
      </c>
      <c r="S434" s="139">
        <f t="shared" si="100"/>
        <v>2088</v>
      </c>
    </row>
    <row r="436" spans="1:19">
      <c r="A436" s="93" t="s">
        <v>101</v>
      </c>
    </row>
    <row r="437" spans="1:19">
      <c r="A437" s="99">
        <v>1952</v>
      </c>
      <c r="B437" s="139">
        <f t="shared" ref="B437:L437" si="101">IF(AND(B5="-",B365="-"),"-",SUM(B5,B365))</f>
        <v>7233</v>
      </c>
      <c r="C437" s="139">
        <f t="shared" si="101"/>
        <v>19870</v>
      </c>
      <c r="D437" s="139">
        <f t="shared" si="101"/>
        <v>13687</v>
      </c>
      <c r="E437" s="139">
        <f t="shared" si="101"/>
        <v>37951</v>
      </c>
      <c r="F437" s="139">
        <f t="shared" si="101"/>
        <v>59136</v>
      </c>
      <c r="G437" s="139">
        <f t="shared" si="101"/>
        <v>72095</v>
      </c>
      <c r="H437" s="139">
        <f t="shared" si="101"/>
        <v>28046</v>
      </c>
      <c r="I437" s="139">
        <f t="shared" si="101"/>
        <v>9729</v>
      </c>
      <c r="J437" s="139" t="str">
        <f t="shared" si="101"/>
        <v>-</v>
      </c>
      <c r="K437" s="139" t="str">
        <f t="shared" si="101"/>
        <v>-</v>
      </c>
      <c r="L437" s="139">
        <f t="shared" si="101"/>
        <v>247747</v>
      </c>
      <c r="N437" s="139">
        <f t="shared" ref="N437:S446" si="102">IF(AND(N5="-",N365="-"),"-",SUM(N5,N365))</f>
        <v>31997</v>
      </c>
      <c r="O437" s="139">
        <f t="shared" si="102"/>
        <v>150506</v>
      </c>
      <c r="P437" s="139">
        <f t="shared" si="102"/>
        <v>130309</v>
      </c>
      <c r="Q437" s="139">
        <f t="shared" si="102"/>
        <v>35283</v>
      </c>
      <c r="R437" s="139">
        <f t="shared" si="102"/>
        <v>8392</v>
      </c>
      <c r="S437" s="139">
        <f t="shared" si="102"/>
        <v>356487</v>
      </c>
    </row>
    <row r="438" spans="1:19">
      <c r="A438" s="99">
        <v>1953</v>
      </c>
      <c r="B438" s="139">
        <f t="shared" ref="B438:L438" si="103">IF(AND(B6="-",B366="-"),"-",SUM(B6,B366))</f>
        <v>2342</v>
      </c>
      <c r="C438" s="139">
        <f t="shared" si="103"/>
        <v>22550</v>
      </c>
      <c r="D438" s="139">
        <f t="shared" si="103"/>
        <v>4550</v>
      </c>
      <c r="E438" s="139">
        <f t="shared" si="103"/>
        <v>9355</v>
      </c>
      <c r="F438" s="139">
        <f t="shared" si="103"/>
        <v>32973</v>
      </c>
      <c r="G438" s="139">
        <f t="shared" si="103"/>
        <v>59124</v>
      </c>
      <c r="H438" s="139">
        <f t="shared" si="103"/>
        <v>19660</v>
      </c>
      <c r="I438" s="139">
        <f t="shared" si="103"/>
        <v>368</v>
      </c>
      <c r="J438" s="139" t="str">
        <f t="shared" si="103"/>
        <v>-</v>
      </c>
      <c r="K438" s="139" t="str">
        <f t="shared" si="103"/>
        <v>-</v>
      </c>
      <c r="L438" s="139">
        <f t="shared" si="103"/>
        <v>150922</v>
      </c>
      <c r="N438" s="139">
        <f t="shared" si="102"/>
        <v>19921</v>
      </c>
      <c r="O438" s="139">
        <f t="shared" si="102"/>
        <v>109070</v>
      </c>
      <c r="P438" s="139">
        <f t="shared" si="102"/>
        <v>108125</v>
      </c>
      <c r="Q438" s="139">
        <f t="shared" si="102"/>
        <v>33785</v>
      </c>
      <c r="R438" s="139">
        <f t="shared" si="102"/>
        <v>4056</v>
      </c>
      <c r="S438" s="139">
        <f t="shared" si="102"/>
        <v>274957</v>
      </c>
    </row>
    <row r="439" spans="1:19">
      <c r="A439" s="99">
        <v>1954</v>
      </c>
      <c r="B439" s="139">
        <f t="shared" ref="B439:L439" si="104">IF(AND(B7="-",B367="-"),"-",SUM(B7,B367))</f>
        <v>11398</v>
      </c>
      <c r="C439" s="139">
        <f t="shared" si="104"/>
        <v>13438</v>
      </c>
      <c r="D439" s="139">
        <f t="shared" si="104"/>
        <v>9967</v>
      </c>
      <c r="E439" s="139">
        <f t="shared" si="104"/>
        <v>19487</v>
      </c>
      <c r="F439" s="139">
        <f t="shared" si="104"/>
        <v>45665</v>
      </c>
      <c r="G439" s="139">
        <f t="shared" si="104"/>
        <v>67498</v>
      </c>
      <c r="H439" s="139">
        <f t="shared" si="104"/>
        <v>27429</v>
      </c>
      <c r="I439" s="139">
        <f t="shared" si="104"/>
        <v>2514</v>
      </c>
      <c r="J439" s="139" t="str">
        <f t="shared" si="104"/>
        <v>-</v>
      </c>
      <c r="K439" s="139" t="str">
        <f t="shared" si="104"/>
        <v>-</v>
      </c>
      <c r="L439" s="139">
        <f t="shared" si="104"/>
        <v>197396</v>
      </c>
      <c r="N439" s="139">
        <f t="shared" si="102"/>
        <v>21577</v>
      </c>
      <c r="O439" s="139">
        <f t="shared" si="102"/>
        <v>99608</v>
      </c>
      <c r="P439" s="139">
        <f t="shared" si="102"/>
        <v>65620</v>
      </c>
      <c r="Q439" s="139">
        <f t="shared" si="102"/>
        <v>38963</v>
      </c>
      <c r="R439" s="139">
        <f t="shared" si="102"/>
        <v>1429</v>
      </c>
      <c r="S439" s="139">
        <f t="shared" si="102"/>
        <v>227197</v>
      </c>
    </row>
    <row r="440" spans="1:19">
      <c r="A440" s="99">
        <v>1955</v>
      </c>
      <c r="B440" s="139">
        <f t="shared" ref="B440:L440" si="105">IF(AND(B8="-",B368="-"),"-",SUM(B8,B368))</f>
        <v>3882</v>
      </c>
      <c r="C440" s="139">
        <f t="shared" si="105"/>
        <v>15554</v>
      </c>
      <c r="D440" s="139">
        <f t="shared" si="105"/>
        <v>41494</v>
      </c>
      <c r="E440" s="139">
        <f t="shared" si="105"/>
        <v>54918</v>
      </c>
      <c r="F440" s="139">
        <f t="shared" si="105"/>
        <v>40159</v>
      </c>
      <c r="G440" s="139">
        <f t="shared" si="105"/>
        <v>100492</v>
      </c>
      <c r="H440" s="139">
        <f t="shared" si="105"/>
        <v>51276</v>
      </c>
      <c r="I440" s="139">
        <f t="shared" si="105"/>
        <v>2101</v>
      </c>
      <c r="J440" s="139" t="str">
        <f t="shared" si="105"/>
        <v>-</v>
      </c>
      <c r="K440" s="139" t="str">
        <f t="shared" si="105"/>
        <v>-</v>
      </c>
      <c r="L440" s="139">
        <f t="shared" si="105"/>
        <v>309876</v>
      </c>
      <c r="N440" s="139">
        <f t="shared" si="102"/>
        <v>19492</v>
      </c>
      <c r="O440" s="139">
        <f t="shared" si="102"/>
        <v>89554</v>
      </c>
      <c r="P440" s="139">
        <f t="shared" si="102"/>
        <v>107711</v>
      </c>
      <c r="Q440" s="139">
        <f t="shared" si="102"/>
        <v>34787</v>
      </c>
      <c r="R440" s="139">
        <f t="shared" si="102"/>
        <v>4407</v>
      </c>
      <c r="S440" s="139">
        <f t="shared" si="102"/>
        <v>255951</v>
      </c>
    </row>
    <row r="441" spans="1:19">
      <c r="A441" s="99">
        <v>1956</v>
      </c>
      <c r="B441" s="139" t="str">
        <f t="shared" ref="B441:L441" si="106">IF(AND(B9="-",B369="-"),"-",SUM(B9,B369))</f>
        <v>-</v>
      </c>
      <c r="C441" s="139">
        <f t="shared" si="106"/>
        <v>24166</v>
      </c>
      <c r="D441" s="139">
        <f t="shared" si="106"/>
        <v>10263</v>
      </c>
      <c r="E441" s="139">
        <f t="shared" si="106"/>
        <v>41543</v>
      </c>
      <c r="F441" s="139">
        <f t="shared" si="106"/>
        <v>76859</v>
      </c>
      <c r="G441" s="139">
        <f t="shared" si="106"/>
        <v>157805</v>
      </c>
      <c r="H441" s="139">
        <f t="shared" si="106"/>
        <v>27616</v>
      </c>
      <c r="I441" s="139">
        <f t="shared" si="106"/>
        <v>4793</v>
      </c>
      <c r="J441" s="139" t="str">
        <f t="shared" si="106"/>
        <v>-</v>
      </c>
      <c r="K441" s="139" t="str">
        <f t="shared" si="106"/>
        <v>-</v>
      </c>
      <c r="L441" s="139">
        <f t="shared" si="106"/>
        <v>343045</v>
      </c>
      <c r="N441" s="139">
        <f t="shared" si="102"/>
        <v>38190</v>
      </c>
      <c r="O441" s="139">
        <f t="shared" si="102"/>
        <v>201653</v>
      </c>
      <c r="P441" s="139">
        <f t="shared" si="102"/>
        <v>159682</v>
      </c>
      <c r="Q441" s="139">
        <f t="shared" si="102"/>
        <v>37400</v>
      </c>
      <c r="R441" s="139">
        <f t="shared" si="102"/>
        <v>6289</v>
      </c>
      <c r="S441" s="139">
        <f t="shared" si="102"/>
        <v>443214</v>
      </c>
    </row>
    <row r="442" spans="1:19">
      <c r="A442" s="99">
        <v>1957</v>
      </c>
      <c r="B442" s="139" t="str">
        <f t="shared" ref="B442:L442" si="107">IF(AND(B10="-",B370="-"),"-",SUM(B10,B370))</f>
        <v>-</v>
      </c>
      <c r="C442" s="139">
        <f t="shared" si="107"/>
        <v>4528</v>
      </c>
      <c r="D442" s="139">
        <f t="shared" si="107"/>
        <v>15671</v>
      </c>
      <c r="E442" s="139">
        <f t="shared" si="107"/>
        <v>51809</v>
      </c>
      <c r="F442" s="139">
        <f t="shared" si="107"/>
        <v>76911</v>
      </c>
      <c r="G442" s="139">
        <f t="shared" si="107"/>
        <v>77614</v>
      </c>
      <c r="H442" s="139">
        <f t="shared" si="107"/>
        <v>30227</v>
      </c>
      <c r="I442" s="139">
        <f t="shared" si="107"/>
        <v>157</v>
      </c>
      <c r="J442" s="139" t="str">
        <f t="shared" si="107"/>
        <v>-</v>
      </c>
      <c r="K442" s="139" t="str">
        <f t="shared" si="107"/>
        <v>-</v>
      </c>
      <c r="L442" s="139">
        <f t="shared" si="107"/>
        <v>256917</v>
      </c>
      <c r="N442" s="139">
        <f t="shared" si="102"/>
        <v>115983</v>
      </c>
      <c r="O442" s="139">
        <f t="shared" si="102"/>
        <v>212638</v>
      </c>
      <c r="P442" s="139">
        <f t="shared" si="102"/>
        <v>144501</v>
      </c>
      <c r="Q442" s="139">
        <f t="shared" si="102"/>
        <v>72288</v>
      </c>
      <c r="R442" s="139">
        <f t="shared" si="102"/>
        <v>5664</v>
      </c>
      <c r="S442" s="139">
        <f t="shared" si="102"/>
        <v>551074</v>
      </c>
    </row>
    <row r="443" spans="1:19">
      <c r="A443" s="99">
        <v>1958</v>
      </c>
      <c r="B443" s="139" t="str">
        <f t="shared" ref="B443:L443" si="108">IF(AND(B11="-",B371="-"),"-",SUM(B11,B371))</f>
        <v>-</v>
      </c>
      <c r="C443" s="139">
        <f t="shared" si="108"/>
        <v>1722</v>
      </c>
      <c r="D443" s="139">
        <f t="shared" si="108"/>
        <v>14367</v>
      </c>
      <c r="E443" s="139">
        <f t="shared" si="108"/>
        <v>63016</v>
      </c>
      <c r="F443" s="139">
        <f t="shared" si="108"/>
        <v>53044</v>
      </c>
      <c r="G443" s="139">
        <f t="shared" si="108"/>
        <v>29223</v>
      </c>
      <c r="H443" s="139">
        <f t="shared" si="108"/>
        <v>10884</v>
      </c>
      <c r="I443" s="139">
        <f t="shared" si="108"/>
        <v>2620</v>
      </c>
      <c r="J443" s="139" t="str">
        <f t="shared" si="108"/>
        <v>-</v>
      </c>
      <c r="K443" s="139" t="str">
        <f t="shared" si="108"/>
        <v>-</v>
      </c>
      <c r="L443" s="139">
        <f t="shared" si="108"/>
        <v>174876</v>
      </c>
      <c r="N443" s="139">
        <f t="shared" si="102"/>
        <v>62698</v>
      </c>
      <c r="O443" s="139">
        <f t="shared" si="102"/>
        <v>71865</v>
      </c>
      <c r="P443" s="139">
        <f t="shared" si="102"/>
        <v>32008</v>
      </c>
      <c r="Q443" s="139">
        <f t="shared" si="102"/>
        <v>27809</v>
      </c>
      <c r="R443" s="139">
        <f t="shared" si="102"/>
        <v>2232</v>
      </c>
      <c r="S443" s="139">
        <f t="shared" si="102"/>
        <v>196612</v>
      </c>
    </row>
    <row r="444" spans="1:19">
      <c r="A444" s="99">
        <v>1959</v>
      </c>
      <c r="B444" s="139" t="str">
        <f t="shared" ref="B444:L444" si="109">IF(AND(B12="-",B372="-"),"-",SUM(B12,B372))</f>
        <v>-</v>
      </c>
      <c r="C444" s="139">
        <f t="shared" si="109"/>
        <v>2950</v>
      </c>
      <c r="D444" s="139">
        <f t="shared" si="109"/>
        <v>4642</v>
      </c>
      <c r="E444" s="139">
        <f t="shared" si="109"/>
        <v>17325</v>
      </c>
      <c r="F444" s="139">
        <f t="shared" si="109"/>
        <v>10272</v>
      </c>
      <c r="G444" s="139">
        <f t="shared" si="109"/>
        <v>14286</v>
      </c>
      <c r="H444" s="139">
        <f t="shared" si="109"/>
        <v>3682</v>
      </c>
      <c r="I444" s="139">
        <f t="shared" si="109"/>
        <v>700</v>
      </c>
      <c r="J444" s="139" t="str">
        <f t="shared" si="109"/>
        <v>-</v>
      </c>
      <c r="K444" s="139" t="str">
        <f t="shared" si="109"/>
        <v>-</v>
      </c>
      <c r="L444" s="139">
        <f t="shared" si="109"/>
        <v>53857</v>
      </c>
      <c r="N444" s="139">
        <f t="shared" si="102"/>
        <v>40798</v>
      </c>
      <c r="O444" s="139">
        <f t="shared" si="102"/>
        <v>63503</v>
      </c>
      <c r="P444" s="139">
        <f t="shared" si="102"/>
        <v>49455</v>
      </c>
      <c r="Q444" s="139">
        <f t="shared" si="102"/>
        <v>14910</v>
      </c>
      <c r="R444" s="139">
        <f t="shared" si="102"/>
        <v>6135</v>
      </c>
      <c r="S444" s="139">
        <f t="shared" si="102"/>
        <v>174801</v>
      </c>
    </row>
    <row r="445" spans="1:19">
      <c r="A445" s="99">
        <v>1960</v>
      </c>
      <c r="B445" s="139" t="str">
        <f t="shared" ref="B445:L445" si="110">IF(AND(B13="-",B373="-"),"-",SUM(B13,B373))</f>
        <v>-</v>
      </c>
      <c r="C445" s="139">
        <f t="shared" si="110"/>
        <v>2987</v>
      </c>
      <c r="D445" s="139">
        <f t="shared" si="110"/>
        <v>17046</v>
      </c>
      <c r="E445" s="139">
        <f t="shared" si="110"/>
        <v>12903</v>
      </c>
      <c r="F445" s="139">
        <f t="shared" si="110"/>
        <v>27744</v>
      </c>
      <c r="G445" s="139">
        <f t="shared" si="110"/>
        <v>48652</v>
      </c>
      <c r="H445" s="139">
        <f t="shared" si="110"/>
        <v>14987</v>
      </c>
      <c r="I445" s="139">
        <f t="shared" si="110"/>
        <v>3482</v>
      </c>
      <c r="J445" s="139" t="str">
        <f t="shared" si="110"/>
        <v>-</v>
      </c>
      <c r="K445" s="139" t="str">
        <f t="shared" si="110"/>
        <v>-</v>
      </c>
      <c r="L445" s="139">
        <f t="shared" si="110"/>
        <v>127801</v>
      </c>
      <c r="N445" s="139">
        <f t="shared" si="102"/>
        <v>9539</v>
      </c>
      <c r="O445" s="139">
        <f t="shared" si="102"/>
        <v>36644</v>
      </c>
      <c r="P445" s="139">
        <f t="shared" si="102"/>
        <v>55315</v>
      </c>
      <c r="Q445" s="139">
        <f t="shared" si="102"/>
        <v>9720</v>
      </c>
      <c r="R445" s="139">
        <f t="shared" si="102"/>
        <v>1168</v>
      </c>
      <c r="S445" s="139">
        <f t="shared" si="102"/>
        <v>112386</v>
      </c>
    </row>
    <row r="446" spans="1:19">
      <c r="A446" s="99">
        <v>1961</v>
      </c>
      <c r="B446" s="139" t="str">
        <f t="shared" ref="B446:L446" si="111">IF(AND(B14="-",B374="-"),"-",SUM(B14,B374))</f>
        <v>-</v>
      </c>
      <c r="C446" s="139">
        <f t="shared" si="111"/>
        <v>1542</v>
      </c>
      <c r="D446" s="139">
        <f t="shared" si="111"/>
        <v>4559</v>
      </c>
      <c r="E446" s="139">
        <f t="shared" si="111"/>
        <v>19469</v>
      </c>
      <c r="F446" s="139">
        <f t="shared" si="111"/>
        <v>43522</v>
      </c>
      <c r="G446" s="139">
        <f t="shared" si="111"/>
        <v>29526</v>
      </c>
      <c r="H446" s="139">
        <f t="shared" si="111"/>
        <v>14537</v>
      </c>
      <c r="I446" s="139">
        <f t="shared" si="111"/>
        <v>2961</v>
      </c>
      <c r="J446" s="139" t="str">
        <f t="shared" si="111"/>
        <v>-</v>
      </c>
      <c r="K446" s="139" t="str">
        <f t="shared" si="111"/>
        <v>-</v>
      </c>
      <c r="L446" s="139">
        <f t="shared" si="111"/>
        <v>116116</v>
      </c>
      <c r="N446" s="139">
        <f t="shared" si="102"/>
        <v>64139</v>
      </c>
      <c r="O446" s="139">
        <f t="shared" si="102"/>
        <v>142189</v>
      </c>
      <c r="P446" s="139">
        <f t="shared" si="102"/>
        <v>88680</v>
      </c>
      <c r="Q446" s="139">
        <f t="shared" si="102"/>
        <v>30568</v>
      </c>
      <c r="R446" s="139">
        <f t="shared" si="102"/>
        <v>3064</v>
      </c>
      <c r="S446" s="139">
        <f t="shared" si="102"/>
        <v>328640</v>
      </c>
    </row>
    <row r="447" spans="1:19">
      <c r="A447" s="99">
        <v>1962</v>
      </c>
      <c r="B447" s="139" t="str">
        <f t="shared" ref="B447:L447" si="112">IF(AND(B15="-",B375="-"),"-",SUM(B15,B375))</f>
        <v>-</v>
      </c>
      <c r="C447" s="139">
        <f t="shared" si="112"/>
        <v>732</v>
      </c>
      <c r="D447" s="139">
        <f t="shared" si="112"/>
        <v>2574</v>
      </c>
      <c r="E447" s="139">
        <f t="shared" si="112"/>
        <v>9871</v>
      </c>
      <c r="F447" s="139">
        <f t="shared" si="112"/>
        <v>14142</v>
      </c>
      <c r="G447" s="139">
        <f t="shared" si="112"/>
        <v>18331</v>
      </c>
      <c r="H447" s="139">
        <f t="shared" si="112"/>
        <v>6403</v>
      </c>
      <c r="I447" s="139">
        <f t="shared" si="112"/>
        <v>474</v>
      </c>
      <c r="J447" s="139" t="str">
        <f t="shared" si="112"/>
        <v>-</v>
      </c>
      <c r="K447" s="139" t="str">
        <f t="shared" si="112"/>
        <v>-</v>
      </c>
      <c r="L447" s="139">
        <f t="shared" si="112"/>
        <v>52527</v>
      </c>
      <c r="N447" s="139">
        <f t="shared" ref="N447:S456" si="113">IF(AND(N15="-",N375="-"),"-",SUM(N15,N375))</f>
        <v>32076</v>
      </c>
      <c r="O447" s="139">
        <f t="shared" si="113"/>
        <v>121453</v>
      </c>
      <c r="P447" s="139">
        <f t="shared" si="113"/>
        <v>115681</v>
      </c>
      <c r="Q447" s="139">
        <f t="shared" si="113"/>
        <v>19781</v>
      </c>
      <c r="R447" s="139">
        <f t="shared" si="113"/>
        <v>2984</v>
      </c>
      <c r="S447" s="139">
        <f t="shared" si="113"/>
        <v>291975</v>
      </c>
    </row>
    <row r="448" spans="1:19">
      <c r="A448" s="99">
        <v>1963</v>
      </c>
      <c r="B448" s="139" t="str">
        <f t="shared" ref="B448:L448" si="114">IF(AND(B16="-",B376="-"),"-",SUM(B16,B376))</f>
        <v>-</v>
      </c>
      <c r="C448" s="139">
        <f t="shared" si="114"/>
        <v>2846</v>
      </c>
      <c r="D448" s="139">
        <f t="shared" si="114"/>
        <v>7770</v>
      </c>
      <c r="E448" s="139">
        <f t="shared" si="114"/>
        <v>28934</v>
      </c>
      <c r="F448" s="139">
        <f t="shared" si="114"/>
        <v>67810</v>
      </c>
      <c r="G448" s="139">
        <f t="shared" si="114"/>
        <v>39673</v>
      </c>
      <c r="H448" s="139">
        <f t="shared" si="114"/>
        <v>4699</v>
      </c>
      <c r="I448" s="139">
        <f t="shared" si="114"/>
        <v>742</v>
      </c>
      <c r="J448" s="139" t="str">
        <f t="shared" si="114"/>
        <v>-</v>
      </c>
      <c r="K448" s="139" t="str">
        <f t="shared" si="114"/>
        <v>-</v>
      </c>
      <c r="L448" s="139">
        <f t="shared" si="114"/>
        <v>152474</v>
      </c>
      <c r="N448" s="139">
        <f t="shared" si="113"/>
        <v>68233</v>
      </c>
      <c r="O448" s="139">
        <f t="shared" si="113"/>
        <v>222617</v>
      </c>
      <c r="P448" s="139">
        <f t="shared" si="113"/>
        <v>136545</v>
      </c>
      <c r="Q448" s="139">
        <f t="shared" si="113"/>
        <v>27737</v>
      </c>
      <c r="R448" s="139">
        <f t="shared" si="113"/>
        <v>2273</v>
      </c>
      <c r="S448" s="139">
        <f t="shared" si="113"/>
        <v>457405</v>
      </c>
    </row>
    <row r="449" spans="1:19">
      <c r="A449" s="99">
        <v>1964</v>
      </c>
      <c r="B449" s="139" t="str">
        <f t="shared" ref="B449:L449" si="115">IF(AND(B17="-",B377="-"),"-",SUM(B17,B377))</f>
        <v>-</v>
      </c>
      <c r="C449" s="139">
        <f t="shared" si="115"/>
        <v>1366</v>
      </c>
      <c r="D449" s="139">
        <f t="shared" si="115"/>
        <v>8092</v>
      </c>
      <c r="E449" s="139">
        <f t="shared" si="115"/>
        <v>7581</v>
      </c>
      <c r="F449" s="139">
        <f t="shared" si="115"/>
        <v>17882</v>
      </c>
      <c r="G449" s="139">
        <f t="shared" si="115"/>
        <v>25771</v>
      </c>
      <c r="H449" s="139">
        <f t="shared" si="115"/>
        <v>5352</v>
      </c>
      <c r="I449" s="139">
        <f t="shared" si="115"/>
        <v>1385</v>
      </c>
      <c r="J449" s="139" t="str">
        <f t="shared" si="115"/>
        <v>-</v>
      </c>
      <c r="K449" s="139" t="str">
        <f t="shared" si="115"/>
        <v>-</v>
      </c>
      <c r="L449" s="139">
        <f t="shared" si="115"/>
        <v>67429</v>
      </c>
      <c r="N449" s="139">
        <f t="shared" si="113"/>
        <v>56855</v>
      </c>
      <c r="O449" s="139">
        <f t="shared" si="113"/>
        <v>183433</v>
      </c>
      <c r="P449" s="139">
        <f t="shared" si="113"/>
        <v>246102</v>
      </c>
      <c r="Q449" s="139">
        <f t="shared" si="113"/>
        <v>68149</v>
      </c>
      <c r="R449" s="139">
        <f t="shared" si="113"/>
        <v>2660</v>
      </c>
      <c r="S449" s="139">
        <f t="shared" si="113"/>
        <v>557199</v>
      </c>
    </row>
    <row r="450" spans="1:19">
      <c r="A450" s="99">
        <v>1965</v>
      </c>
      <c r="B450" s="139" t="str">
        <f t="shared" ref="B450:L450" si="116">IF(AND(B18="-",B378="-"),"-",SUM(B18,B378))</f>
        <v>-</v>
      </c>
      <c r="C450" s="139">
        <f t="shared" si="116"/>
        <v>103</v>
      </c>
      <c r="D450" s="139">
        <f t="shared" si="116"/>
        <v>4164</v>
      </c>
      <c r="E450" s="139">
        <f t="shared" si="116"/>
        <v>10310</v>
      </c>
      <c r="F450" s="139">
        <f t="shared" si="116"/>
        <v>15979</v>
      </c>
      <c r="G450" s="139">
        <f t="shared" si="116"/>
        <v>14519</v>
      </c>
      <c r="H450" s="139">
        <f t="shared" si="116"/>
        <v>10835</v>
      </c>
      <c r="I450" s="139">
        <f t="shared" si="116"/>
        <v>1741</v>
      </c>
      <c r="J450" s="139" t="str">
        <f t="shared" si="116"/>
        <v>-</v>
      </c>
      <c r="K450" s="139" t="str">
        <f t="shared" si="116"/>
        <v>-</v>
      </c>
      <c r="L450" s="139">
        <f t="shared" si="116"/>
        <v>57651</v>
      </c>
      <c r="N450" s="139">
        <f t="shared" si="113"/>
        <v>41552</v>
      </c>
      <c r="O450" s="139">
        <f t="shared" si="113"/>
        <v>352153</v>
      </c>
      <c r="P450" s="139">
        <f t="shared" si="113"/>
        <v>227415</v>
      </c>
      <c r="Q450" s="139">
        <f t="shared" si="113"/>
        <v>38781</v>
      </c>
      <c r="R450" s="139">
        <f t="shared" si="113"/>
        <v>6145</v>
      </c>
      <c r="S450" s="139">
        <f t="shared" si="113"/>
        <v>666046</v>
      </c>
    </row>
    <row r="451" spans="1:19">
      <c r="A451" s="99">
        <v>1966</v>
      </c>
      <c r="B451" s="139" t="str">
        <f t="shared" ref="B451:L451" si="117">IF(AND(B19="-",B379="-"),"-",SUM(B19,B379))</f>
        <v>-</v>
      </c>
      <c r="C451" s="139">
        <f t="shared" si="117"/>
        <v>660</v>
      </c>
      <c r="D451" s="139">
        <f t="shared" si="117"/>
        <v>8194</v>
      </c>
      <c r="E451" s="139">
        <f t="shared" si="117"/>
        <v>18471</v>
      </c>
      <c r="F451" s="139">
        <f t="shared" si="117"/>
        <v>31414</v>
      </c>
      <c r="G451" s="139">
        <f t="shared" si="117"/>
        <v>19466</v>
      </c>
      <c r="H451" s="139">
        <f t="shared" si="117"/>
        <v>15332</v>
      </c>
      <c r="I451" s="139">
        <f t="shared" si="117"/>
        <v>1780</v>
      </c>
      <c r="J451" s="139" t="str">
        <f t="shared" si="117"/>
        <v>-</v>
      </c>
      <c r="K451" s="139" t="str">
        <f t="shared" si="117"/>
        <v>-</v>
      </c>
      <c r="L451" s="139">
        <f t="shared" si="117"/>
        <v>95317</v>
      </c>
      <c r="N451" s="139">
        <f t="shared" si="113"/>
        <v>104341</v>
      </c>
      <c r="O451" s="139">
        <f t="shared" si="113"/>
        <v>258250</v>
      </c>
      <c r="P451" s="139">
        <f t="shared" si="113"/>
        <v>143274</v>
      </c>
      <c r="Q451" s="139">
        <f t="shared" si="113"/>
        <v>135665</v>
      </c>
      <c r="R451" s="139">
        <f t="shared" si="113"/>
        <v>4615</v>
      </c>
      <c r="S451" s="139">
        <f t="shared" si="113"/>
        <v>646145</v>
      </c>
    </row>
    <row r="452" spans="1:19">
      <c r="A452" s="99">
        <v>1967</v>
      </c>
      <c r="B452" s="139" t="str">
        <f t="shared" ref="B452:L452" si="118">IF(AND(B20="-",B380="-"),"-",SUM(B20,B380))</f>
        <v>-</v>
      </c>
      <c r="C452" s="139">
        <f t="shared" si="118"/>
        <v>4396</v>
      </c>
      <c r="D452" s="139">
        <f t="shared" si="118"/>
        <v>8082</v>
      </c>
      <c r="E452" s="139">
        <f t="shared" si="118"/>
        <v>18622</v>
      </c>
      <c r="F452" s="139">
        <f t="shared" si="118"/>
        <v>34179</v>
      </c>
      <c r="G452" s="139">
        <f t="shared" si="118"/>
        <v>24321</v>
      </c>
      <c r="H452" s="139">
        <f t="shared" si="118"/>
        <v>9555</v>
      </c>
      <c r="I452" s="139">
        <f t="shared" si="118"/>
        <v>560</v>
      </c>
      <c r="J452" s="139" t="str">
        <f t="shared" si="118"/>
        <v>-</v>
      </c>
      <c r="K452" s="139" t="str">
        <f t="shared" si="118"/>
        <v>-</v>
      </c>
      <c r="L452" s="139">
        <f t="shared" si="118"/>
        <v>99715</v>
      </c>
      <c r="N452" s="139">
        <f t="shared" si="113"/>
        <v>73955</v>
      </c>
      <c r="O452" s="139">
        <f t="shared" si="113"/>
        <v>665311</v>
      </c>
      <c r="P452" s="139">
        <f t="shared" si="113"/>
        <v>196319</v>
      </c>
      <c r="Q452" s="139">
        <f t="shared" si="113"/>
        <v>67255</v>
      </c>
      <c r="R452" s="139">
        <f t="shared" si="113"/>
        <v>1154</v>
      </c>
      <c r="S452" s="143">
        <f t="shared" si="113"/>
        <v>1003994</v>
      </c>
    </row>
    <row r="453" spans="1:19">
      <c r="A453" s="99">
        <v>1968</v>
      </c>
      <c r="B453" s="139" t="str">
        <f t="shared" ref="B453:L453" si="119">IF(AND(B21="-",B381="-"),"-",SUM(B21,B381))</f>
        <v>-</v>
      </c>
      <c r="C453" s="139">
        <f t="shared" si="119"/>
        <v>4502</v>
      </c>
      <c r="D453" s="139">
        <f t="shared" si="119"/>
        <v>15937</v>
      </c>
      <c r="E453" s="139">
        <f t="shared" si="119"/>
        <v>14422</v>
      </c>
      <c r="F453" s="139">
        <f t="shared" si="119"/>
        <v>35793</v>
      </c>
      <c r="G453" s="139">
        <f t="shared" si="119"/>
        <v>37215</v>
      </c>
      <c r="H453" s="139">
        <f t="shared" si="119"/>
        <v>1555</v>
      </c>
      <c r="I453" s="139">
        <f t="shared" si="119"/>
        <v>726</v>
      </c>
      <c r="J453" s="139" t="str">
        <f t="shared" si="119"/>
        <v>-</v>
      </c>
      <c r="K453" s="139" t="str">
        <f t="shared" si="119"/>
        <v>-</v>
      </c>
      <c r="L453" s="139">
        <f t="shared" si="119"/>
        <v>110150</v>
      </c>
      <c r="N453" s="139">
        <f t="shared" si="113"/>
        <v>222696</v>
      </c>
      <c r="O453" s="139">
        <f t="shared" si="113"/>
        <v>411046</v>
      </c>
      <c r="P453" s="139">
        <f t="shared" si="113"/>
        <v>162284</v>
      </c>
      <c r="Q453" s="139">
        <f t="shared" si="113"/>
        <v>28628</v>
      </c>
      <c r="R453" s="139">
        <f t="shared" si="113"/>
        <v>698</v>
      </c>
      <c r="S453" s="143">
        <f t="shared" si="113"/>
        <v>825352</v>
      </c>
    </row>
    <row r="454" spans="1:19">
      <c r="A454" s="99">
        <v>1969</v>
      </c>
      <c r="B454" s="139" t="str">
        <f t="shared" ref="B454:L454" si="120">IF(AND(B22="-",B382="-"),"-",SUM(B22,B382))</f>
        <v>-</v>
      </c>
      <c r="C454" s="139">
        <f t="shared" si="120"/>
        <v>488</v>
      </c>
      <c r="D454" s="139">
        <f t="shared" si="120"/>
        <v>7470</v>
      </c>
      <c r="E454" s="139">
        <f t="shared" si="120"/>
        <v>51898</v>
      </c>
      <c r="F454" s="139">
        <f t="shared" si="120"/>
        <v>36769</v>
      </c>
      <c r="G454" s="139">
        <f t="shared" si="120"/>
        <v>34726</v>
      </c>
      <c r="H454" s="139">
        <f t="shared" si="120"/>
        <v>6064</v>
      </c>
      <c r="I454" s="139">
        <f t="shared" si="120"/>
        <v>2860</v>
      </c>
      <c r="J454" s="139" t="str">
        <f t="shared" si="120"/>
        <v>-</v>
      </c>
      <c r="K454" s="139" t="str">
        <f t="shared" si="120"/>
        <v>-</v>
      </c>
      <c r="L454" s="139">
        <f t="shared" si="120"/>
        <v>140275</v>
      </c>
      <c r="N454" s="139">
        <f t="shared" si="113"/>
        <v>183192</v>
      </c>
      <c r="O454" s="139">
        <f t="shared" si="113"/>
        <v>250287</v>
      </c>
      <c r="P454" s="139">
        <f t="shared" si="113"/>
        <v>108230</v>
      </c>
      <c r="Q454" s="139">
        <f t="shared" si="113"/>
        <v>14319</v>
      </c>
      <c r="R454" s="139">
        <f t="shared" si="113"/>
        <v>1309</v>
      </c>
      <c r="S454" s="143">
        <f t="shared" si="113"/>
        <v>557337</v>
      </c>
    </row>
    <row r="455" spans="1:19">
      <c r="A455" s="99">
        <v>1970</v>
      </c>
      <c r="B455" s="139" t="str">
        <f t="shared" ref="B455:L455" si="121">IF(AND(B23="-",B383="-"),"-",SUM(B23,B383))</f>
        <v>-</v>
      </c>
      <c r="C455" s="139">
        <f t="shared" si="121"/>
        <v>1727</v>
      </c>
      <c r="D455" s="139">
        <f t="shared" si="121"/>
        <v>15154</v>
      </c>
      <c r="E455" s="139">
        <f t="shared" si="121"/>
        <v>35107</v>
      </c>
      <c r="F455" s="139">
        <f t="shared" si="121"/>
        <v>29004</v>
      </c>
      <c r="G455" s="139">
        <f t="shared" si="121"/>
        <v>43625</v>
      </c>
      <c r="H455" s="139">
        <f t="shared" si="121"/>
        <v>28290</v>
      </c>
      <c r="I455" s="139">
        <f t="shared" si="121"/>
        <v>11781</v>
      </c>
      <c r="J455" s="139" t="str">
        <f t="shared" si="121"/>
        <v>-</v>
      </c>
      <c r="K455" s="139" t="str">
        <f t="shared" si="121"/>
        <v>-</v>
      </c>
      <c r="L455" s="139">
        <f t="shared" si="121"/>
        <v>164688</v>
      </c>
      <c r="N455" s="139">
        <f t="shared" si="113"/>
        <v>234021</v>
      </c>
      <c r="O455" s="139">
        <f t="shared" si="113"/>
        <v>210426</v>
      </c>
      <c r="P455" s="139">
        <f t="shared" si="113"/>
        <v>479926</v>
      </c>
      <c r="Q455" s="139">
        <f t="shared" si="113"/>
        <v>57018</v>
      </c>
      <c r="R455" s="139">
        <f t="shared" si="113"/>
        <v>8352</v>
      </c>
      <c r="S455" s="143">
        <f t="shared" si="113"/>
        <v>989743</v>
      </c>
    </row>
    <row r="456" spans="1:19">
      <c r="A456" s="99">
        <v>1971</v>
      </c>
      <c r="B456" s="139" t="str">
        <f t="shared" ref="B456:L456" si="122">IF(AND(B24="-",B384="-"),"-",SUM(B24,B384))</f>
        <v>-</v>
      </c>
      <c r="C456" s="139">
        <f t="shared" si="122"/>
        <v>1367</v>
      </c>
      <c r="D456" s="139">
        <f t="shared" si="122"/>
        <v>10743</v>
      </c>
      <c r="E456" s="139">
        <f t="shared" si="122"/>
        <v>23417</v>
      </c>
      <c r="F456" s="139">
        <f t="shared" si="122"/>
        <v>20605</v>
      </c>
      <c r="G456" s="139">
        <f t="shared" si="122"/>
        <v>38065</v>
      </c>
      <c r="H456" s="139">
        <f t="shared" si="122"/>
        <v>3465</v>
      </c>
      <c r="I456" s="139">
        <f t="shared" si="122"/>
        <v>5264</v>
      </c>
      <c r="J456" s="139" t="str">
        <f t="shared" si="122"/>
        <v>-</v>
      </c>
      <c r="K456" s="139" t="str">
        <f t="shared" si="122"/>
        <v>-</v>
      </c>
      <c r="L456" s="139">
        <f t="shared" si="122"/>
        <v>102926</v>
      </c>
      <c r="N456" s="139">
        <f t="shared" si="113"/>
        <v>217025</v>
      </c>
      <c r="O456" s="139">
        <f t="shared" si="113"/>
        <v>453174</v>
      </c>
      <c r="P456" s="139">
        <f t="shared" si="113"/>
        <v>778727</v>
      </c>
      <c r="Q456" s="139">
        <f t="shared" si="113"/>
        <v>34707</v>
      </c>
      <c r="R456" s="139">
        <f t="shared" si="113"/>
        <v>6489</v>
      </c>
      <c r="S456" s="143">
        <f t="shared" si="113"/>
        <v>1490122</v>
      </c>
    </row>
    <row r="457" spans="1:19">
      <c r="A457" s="99">
        <v>1972</v>
      </c>
      <c r="B457" s="139" t="str">
        <f t="shared" ref="B457:L457" si="123">IF(AND(B25="-",B385="-"),"-",SUM(B25,B385))</f>
        <v>-</v>
      </c>
      <c r="C457" s="139">
        <f t="shared" si="123"/>
        <v>16</v>
      </c>
      <c r="D457" s="139">
        <f t="shared" si="123"/>
        <v>6707</v>
      </c>
      <c r="E457" s="139">
        <f t="shared" si="123"/>
        <v>33681</v>
      </c>
      <c r="F457" s="139">
        <f t="shared" si="123"/>
        <v>32766</v>
      </c>
      <c r="G457" s="139">
        <f t="shared" si="123"/>
        <v>33670</v>
      </c>
      <c r="H457" s="139">
        <f t="shared" si="123"/>
        <v>11504</v>
      </c>
      <c r="I457" s="139">
        <f t="shared" si="123"/>
        <v>8943</v>
      </c>
      <c r="J457" s="139" t="str">
        <f t="shared" si="123"/>
        <v>-</v>
      </c>
      <c r="K457" s="139" t="str">
        <f t="shared" si="123"/>
        <v>-</v>
      </c>
      <c r="L457" s="139">
        <f t="shared" si="123"/>
        <v>127287</v>
      </c>
      <c r="N457" s="139">
        <f t="shared" ref="N457:S466" si="124">IF(AND(N25="-",N385="-"),"-",SUM(N25,N385))</f>
        <v>305375</v>
      </c>
      <c r="O457" s="139">
        <f t="shared" si="124"/>
        <v>351441</v>
      </c>
      <c r="P457" s="139">
        <f t="shared" si="124"/>
        <v>147283</v>
      </c>
      <c r="Q457" s="139">
        <f t="shared" si="124"/>
        <v>19826</v>
      </c>
      <c r="R457" s="139">
        <f t="shared" si="124"/>
        <v>677</v>
      </c>
      <c r="S457" s="143">
        <f t="shared" si="124"/>
        <v>824602</v>
      </c>
    </row>
    <row r="458" spans="1:19">
      <c r="A458" s="99">
        <v>1973</v>
      </c>
      <c r="B458" s="139" t="str">
        <f t="shared" ref="B458:L458" si="125">IF(AND(B26="-",B386="-"),"-",SUM(B26,B386))</f>
        <v>-</v>
      </c>
      <c r="C458" s="139">
        <f t="shared" si="125"/>
        <v>649</v>
      </c>
      <c r="D458" s="139">
        <f t="shared" si="125"/>
        <v>5596</v>
      </c>
      <c r="E458" s="139">
        <f t="shared" si="125"/>
        <v>25697</v>
      </c>
      <c r="F458" s="139">
        <f t="shared" si="125"/>
        <v>102817</v>
      </c>
      <c r="G458" s="139">
        <f t="shared" si="125"/>
        <v>145708</v>
      </c>
      <c r="H458" s="139">
        <f t="shared" si="125"/>
        <v>47884</v>
      </c>
      <c r="I458" s="139">
        <f t="shared" si="125"/>
        <v>34916</v>
      </c>
      <c r="J458" s="139" t="str">
        <f t="shared" si="125"/>
        <v>-</v>
      </c>
      <c r="K458" s="139" t="str">
        <f t="shared" si="125"/>
        <v>-</v>
      </c>
      <c r="L458" s="139">
        <f t="shared" si="125"/>
        <v>363267</v>
      </c>
      <c r="N458" s="139">
        <f t="shared" si="124"/>
        <v>220357</v>
      </c>
      <c r="O458" s="139">
        <f t="shared" si="124"/>
        <v>297929</v>
      </c>
      <c r="P458" s="139">
        <f t="shared" si="124"/>
        <v>231628</v>
      </c>
      <c r="Q458" s="139">
        <f t="shared" si="124"/>
        <v>28570</v>
      </c>
      <c r="R458" s="139">
        <f t="shared" si="124"/>
        <v>6893</v>
      </c>
      <c r="S458" s="143">
        <f t="shared" si="124"/>
        <v>785377</v>
      </c>
    </row>
    <row r="459" spans="1:19">
      <c r="A459" s="99">
        <v>1974</v>
      </c>
      <c r="B459" s="139" t="str">
        <f t="shared" ref="B459:L459" si="126">IF(AND(B27="-",B387="-"),"-",SUM(B27,B387))</f>
        <v>-</v>
      </c>
      <c r="C459" s="139">
        <f t="shared" si="126"/>
        <v>496</v>
      </c>
      <c r="D459" s="139">
        <f t="shared" si="126"/>
        <v>13394</v>
      </c>
      <c r="E459" s="139">
        <f t="shared" si="126"/>
        <v>22639</v>
      </c>
      <c r="F459" s="139">
        <f t="shared" si="126"/>
        <v>58052</v>
      </c>
      <c r="G459" s="139">
        <f t="shared" si="126"/>
        <v>79420</v>
      </c>
      <c r="H459" s="139">
        <f t="shared" si="126"/>
        <v>37652</v>
      </c>
      <c r="I459" s="139">
        <f t="shared" si="126"/>
        <v>10561</v>
      </c>
      <c r="J459" s="139">
        <f t="shared" si="126"/>
        <v>1767</v>
      </c>
      <c r="K459" s="139">
        <f t="shared" si="126"/>
        <v>129</v>
      </c>
      <c r="L459" s="139">
        <f t="shared" si="126"/>
        <v>224110</v>
      </c>
      <c r="N459" s="139">
        <f t="shared" si="124"/>
        <v>177317</v>
      </c>
      <c r="O459" s="139">
        <f t="shared" si="124"/>
        <v>658812</v>
      </c>
      <c r="P459" s="139">
        <f t="shared" si="124"/>
        <v>255506</v>
      </c>
      <c r="Q459" s="139">
        <f t="shared" si="124"/>
        <v>44048</v>
      </c>
      <c r="R459" s="139">
        <f t="shared" si="124"/>
        <v>1510</v>
      </c>
      <c r="S459" s="143">
        <f t="shared" si="124"/>
        <v>1137193</v>
      </c>
    </row>
    <row r="460" spans="1:19">
      <c r="A460" s="99">
        <v>1975</v>
      </c>
      <c r="B460" s="139" t="str">
        <f t="shared" ref="B460:L460" si="127">IF(AND(B28="-",B388="-"),"-",SUM(B28,B388))</f>
        <v>-</v>
      </c>
      <c r="C460" s="139">
        <f t="shared" si="127"/>
        <v>130</v>
      </c>
      <c r="D460" s="139">
        <f t="shared" si="127"/>
        <v>5178</v>
      </c>
      <c r="E460" s="139">
        <f t="shared" si="127"/>
        <v>32204</v>
      </c>
      <c r="F460" s="139">
        <f t="shared" si="127"/>
        <v>68994</v>
      </c>
      <c r="G460" s="139">
        <f t="shared" si="127"/>
        <v>51760</v>
      </c>
      <c r="H460" s="139">
        <f t="shared" si="127"/>
        <v>56705</v>
      </c>
      <c r="I460" s="139">
        <f t="shared" si="127"/>
        <v>8821</v>
      </c>
      <c r="J460" s="139">
        <f t="shared" si="127"/>
        <v>859</v>
      </c>
      <c r="K460" s="139">
        <f t="shared" si="127"/>
        <v>57</v>
      </c>
      <c r="L460" s="139">
        <f t="shared" si="127"/>
        <v>224708</v>
      </c>
      <c r="N460" s="139">
        <f t="shared" si="124"/>
        <v>209909</v>
      </c>
      <c r="O460" s="139">
        <f t="shared" si="124"/>
        <v>309326</v>
      </c>
      <c r="P460" s="139">
        <f t="shared" si="124"/>
        <v>116039</v>
      </c>
      <c r="Q460" s="139">
        <f t="shared" si="124"/>
        <v>21239</v>
      </c>
      <c r="R460" s="139">
        <f t="shared" si="124"/>
        <v>902</v>
      </c>
      <c r="S460" s="143">
        <f t="shared" si="124"/>
        <v>657415</v>
      </c>
    </row>
    <row r="461" spans="1:19">
      <c r="A461" s="99">
        <v>1976</v>
      </c>
      <c r="B461" s="139" t="str">
        <f t="shared" ref="B461:L461" si="128">IF(AND(B29="-",B389="-"),"-",SUM(B29,B389))</f>
        <v>-</v>
      </c>
      <c r="C461" s="139" t="str">
        <f t="shared" si="128"/>
        <v>-</v>
      </c>
      <c r="D461" s="139">
        <f t="shared" si="128"/>
        <v>16405</v>
      </c>
      <c r="E461" s="139">
        <f t="shared" si="128"/>
        <v>33812</v>
      </c>
      <c r="F461" s="139">
        <f t="shared" si="128"/>
        <v>46771</v>
      </c>
      <c r="G461" s="139">
        <f t="shared" si="128"/>
        <v>53857</v>
      </c>
      <c r="H461" s="139">
        <f t="shared" si="128"/>
        <v>23187</v>
      </c>
      <c r="I461" s="139">
        <f t="shared" si="128"/>
        <v>8459</v>
      </c>
      <c r="J461" s="139">
        <f t="shared" si="128"/>
        <v>1854</v>
      </c>
      <c r="K461" s="139" t="str">
        <f t="shared" si="128"/>
        <v>-</v>
      </c>
      <c r="L461" s="139">
        <f t="shared" si="128"/>
        <v>184345</v>
      </c>
      <c r="N461" s="139">
        <f t="shared" si="124"/>
        <v>476818</v>
      </c>
      <c r="O461" s="139">
        <f t="shared" si="124"/>
        <v>883525</v>
      </c>
      <c r="P461" s="139">
        <f t="shared" si="124"/>
        <v>408970</v>
      </c>
      <c r="Q461" s="139">
        <f t="shared" si="124"/>
        <v>51306</v>
      </c>
      <c r="R461" s="139">
        <f t="shared" si="124"/>
        <v>6349</v>
      </c>
      <c r="S461" s="143">
        <f t="shared" si="124"/>
        <v>1826968</v>
      </c>
    </row>
    <row r="462" spans="1:19">
      <c r="A462" s="99">
        <v>1977</v>
      </c>
      <c r="B462" s="139" t="str">
        <f t="shared" ref="B462:L462" si="129">IF(AND(B30="-",B390="-"),"-",SUM(B30,B390))</f>
        <v>-</v>
      </c>
      <c r="C462" s="139" t="str">
        <f t="shared" si="129"/>
        <v>-</v>
      </c>
      <c r="D462" s="139">
        <f t="shared" si="129"/>
        <v>18359</v>
      </c>
      <c r="E462" s="139">
        <f t="shared" si="129"/>
        <v>50432</v>
      </c>
      <c r="F462" s="139">
        <f t="shared" si="129"/>
        <v>107568</v>
      </c>
      <c r="G462" s="139">
        <f t="shared" si="129"/>
        <v>116350</v>
      </c>
      <c r="H462" s="139">
        <f t="shared" si="129"/>
        <v>32701</v>
      </c>
      <c r="I462" s="139">
        <f t="shared" si="129"/>
        <v>10463</v>
      </c>
      <c r="J462" s="139">
        <f t="shared" si="129"/>
        <v>4141</v>
      </c>
      <c r="K462" s="139" t="str">
        <f t="shared" si="129"/>
        <v>-</v>
      </c>
      <c r="L462" s="139">
        <f t="shared" si="129"/>
        <v>340014</v>
      </c>
      <c r="N462" s="139">
        <f t="shared" si="124"/>
        <v>91995</v>
      </c>
      <c r="O462" s="139">
        <f t="shared" si="124"/>
        <v>263698</v>
      </c>
      <c r="P462" s="139">
        <f t="shared" si="124"/>
        <v>79771</v>
      </c>
      <c r="Q462" s="139">
        <f t="shared" si="124"/>
        <v>9692</v>
      </c>
      <c r="R462" s="139">
        <f t="shared" si="124"/>
        <v>966</v>
      </c>
      <c r="S462" s="139">
        <f t="shared" si="124"/>
        <v>446122</v>
      </c>
    </row>
    <row r="463" spans="1:19">
      <c r="A463" s="99">
        <v>1978</v>
      </c>
      <c r="B463" s="139" t="str">
        <f t="shared" ref="B463:L463" si="130">IF(AND(B31="-",B391="-"),"-",SUM(B31,B391))</f>
        <v>-</v>
      </c>
      <c r="C463" s="139">
        <f t="shared" si="130"/>
        <v>17</v>
      </c>
      <c r="D463" s="139">
        <f t="shared" si="130"/>
        <v>3199</v>
      </c>
      <c r="E463" s="139">
        <f t="shared" si="130"/>
        <v>40597</v>
      </c>
      <c r="F463" s="139">
        <f t="shared" si="130"/>
        <v>63087</v>
      </c>
      <c r="G463" s="139">
        <f t="shared" si="130"/>
        <v>46870</v>
      </c>
      <c r="H463" s="139">
        <f t="shared" si="130"/>
        <v>25023</v>
      </c>
      <c r="I463" s="139">
        <f t="shared" si="130"/>
        <v>9288</v>
      </c>
      <c r="J463" s="139">
        <f t="shared" si="130"/>
        <v>3451</v>
      </c>
      <c r="K463" s="139" t="str">
        <f t="shared" si="130"/>
        <v>-</v>
      </c>
      <c r="L463" s="139">
        <f t="shared" si="130"/>
        <v>191532</v>
      </c>
      <c r="N463" s="139">
        <f t="shared" si="124"/>
        <v>279618</v>
      </c>
      <c r="O463" s="139">
        <f t="shared" si="124"/>
        <v>227231</v>
      </c>
      <c r="P463" s="139">
        <f t="shared" si="124"/>
        <v>92810</v>
      </c>
      <c r="Q463" s="139">
        <f t="shared" si="124"/>
        <v>10378</v>
      </c>
      <c r="R463" s="139">
        <f t="shared" si="124"/>
        <v>1601</v>
      </c>
      <c r="S463" s="139">
        <f t="shared" si="124"/>
        <v>611638</v>
      </c>
    </row>
    <row r="464" spans="1:19">
      <c r="A464" s="99">
        <v>1979</v>
      </c>
      <c r="B464" s="139" t="str">
        <f t="shared" ref="B464:L464" si="131">IF(AND(B32="-",B392="-"),"-",SUM(B32,B392))</f>
        <v>-</v>
      </c>
      <c r="C464" s="139" t="str">
        <f t="shared" si="131"/>
        <v>-</v>
      </c>
      <c r="D464" s="139">
        <f t="shared" si="131"/>
        <v>9001</v>
      </c>
      <c r="E464" s="139">
        <f t="shared" si="131"/>
        <v>1591</v>
      </c>
      <c r="F464" s="139">
        <f t="shared" si="131"/>
        <v>87971</v>
      </c>
      <c r="G464" s="139">
        <f t="shared" si="131"/>
        <v>102357</v>
      </c>
      <c r="H464" s="139">
        <f t="shared" si="131"/>
        <v>13238</v>
      </c>
      <c r="I464" s="139">
        <f t="shared" si="131"/>
        <v>25954</v>
      </c>
      <c r="J464" s="139">
        <f t="shared" si="131"/>
        <v>1861</v>
      </c>
      <c r="K464" s="139" t="str">
        <f t="shared" si="131"/>
        <v>-</v>
      </c>
      <c r="L464" s="139">
        <f t="shared" si="131"/>
        <v>241973</v>
      </c>
      <c r="N464" s="139">
        <f t="shared" si="124"/>
        <v>8214</v>
      </c>
      <c r="O464" s="139">
        <f t="shared" si="124"/>
        <v>548819</v>
      </c>
      <c r="P464" s="139">
        <f t="shared" si="124"/>
        <v>144092</v>
      </c>
      <c r="Q464" s="139">
        <f t="shared" si="124"/>
        <v>1563</v>
      </c>
      <c r="R464" s="139" t="str">
        <f t="shared" si="124"/>
        <v>-</v>
      </c>
      <c r="S464" s="139">
        <f t="shared" si="124"/>
        <v>702688</v>
      </c>
    </row>
    <row r="465" spans="1:19">
      <c r="A465" s="99">
        <v>1980</v>
      </c>
      <c r="B465" s="139" t="str">
        <f t="shared" ref="B465:L465" si="132">IF(AND(B33="-",B393="-"),"-",SUM(B33,B393))</f>
        <v>-</v>
      </c>
      <c r="C465" s="139" t="str">
        <f t="shared" si="132"/>
        <v>-</v>
      </c>
      <c r="D465" s="139">
        <f t="shared" si="132"/>
        <v>23494</v>
      </c>
      <c r="E465" s="139">
        <f t="shared" si="132"/>
        <v>27620</v>
      </c>
      <c r="F465" s="139">
        <f t="shared" si="132"/>
        <v>49241</v>
      </c>
      <c r="G465" s="139">
        <f t="shared" si="132"/>
        <v>63098</v>
      </c>
      <c r="H465" s="139">
        <f t="shared" si="132"/>
        <v>24821</v>
      </c>
      <c r="I465" s="139">
        <f t="shared" si="132"/>
        <v>16039</v>
      </c>
      <c r="J465" s="139">
        <f t="shared" si="132"/>
        <v>984</v>
      </c>
      <c r="K465" s="139" t="str">
        <f t="shared" si="132"/>
        <v>-</v>
      </c>
      <c r="L465" s="139">
        <f t="shared" si="132"/>
        <v>205297</v>
      </c>
      <c r="N465" s="139" t="str">
        <f t="shared" si="124"/>
        <v>-</v>
      </c>
      <c r="O465" s="139">
        <f t="shared" si="124"/>
        <v>86488</v>
      </c>
      <c r="P465" s="139">
        <f t="shared" si="124"/>
        <v>29097</v>
      </c>
      <c r="Q465" s="139">
        <f t="shared" si="124"/>
        <v>5164</v>
      </c>
      <c r="R465" s="139">
        <f t="shared" si="124"/>
        <v>304</v>
      </c>
      <c r="S465" s="139">
        <f t="shared" si="124"/>
        <v>121053</v>
      </c>
    </row>
    <row r="466" spans="1:19">
      <c r="A466" s="99">
        <v>1981</v>
      </c>
      <c r="B466" s="139" t="str">
        <f t="shared" ref="B466:L466" si="133">IF(AND(B34="-",B394="-"),"-",SUM(B34,B394))</f>
        <v>-</v>
      </c>
      <c r="C466" s="139" t="str">
        <f t="shared" si="133"/>
        <v>-</v>
      </c>
      <c r="D466" s="139">
        <f t="shared" si="133"/>
        <v>27322</v>
      </c>
      <c r="E466" s="139">
        <f t="shared" si="133"/>
        <v>0</v>
      </c>
      <c r="F466" s="139">
        <f t="shared" si="133"/>
        <v>33741</v>
      </c>
      <c r="G466" s="139">
        <f t="shared" si="133"/>
        <v>65343</v>
      </c>
      <c r="H466" s="139">
        <f t="shared" si="133"/>
        <v>14959</v>
      </c>
      <c r="I466" s="139">
        <f t="shared" si="133"/>
        <v>13012</v>
      </c>
      <c r="J466" s="139">
        <f t="shared" si="133"/>
        <v>1218</v>
      </c>
      <c r="K466" s="139" t="str">
        <f t="shared" si="133"/>
        <v>-</v>
      </c>
      <c r="L466" s="139">
        <f t="shared" si="133"/>
        <v>155595</v>
      </c>
      <c r="N466" s="139" t="str">
        <f t="shared" si="124"/>
        <v>-</v>
      </c>
      <c r="O466" s="139">
        <f t="shared" si="124"/>
        <v>338342</v>
      </c>
      <c r="P466" s="139">
        <f t="shared" si="124"/>
        <v>272037</v>
      </c>
      <c r="Q466" s="139" t="str">
        <f t="shared" si="124"/>
        <v>-</v>
      </c>
      <c r="R466" s="139" t="str">
        <f t="shared" si="124"/>
        <v>-</v>
      </c>
      <c r="S466" s="139">
        <f t="shared" si="124"/>
        <v>610379</v>
      </c>
    </row>
    <row r="467" spans="1:19">
      <c r="A467" s="99">
        <v>1982</v>
      </c>
      <c r="B467" s="139" t="str">
        <f t="shared" ref="B467:L467" si="134">IF(AND(B35="-",B395="-"),"-",SUM(B35,B395))</f>
        <v>-</v>
      </c>
      <c r="C467" s="139" t="str">
        <f t="shared" si="134"/>
        <v>-</v>
      </c>
      <c r="D467" s="139">
        <f t="shared" si="134"/>
        <v>21749</v>
      </c>
      <c r="E467" s="139">
        <f t="shared" si="134"/>
        <v>12251</v>
      </c>
      <c r="F467" s="139">
        <f t="shared" si="134"/>
        <v>120194</v>
      </c>
      <c r="G467" s="139">
        <f t="shared" si="134"/>
        <v>45143</v>
      </c>
      <c r="H467" s="139">
        <f t="shared" si="134"/>
        <v>13398</v>
      </c>
      <c r="I467" s="139">
        <f t="shared" si="134"/>
        <v>7996</v>
      </c>
      <c r="J467" s="139">
        <f t="shared" si="134"/>
        <v>1400</v>
      </c>
      <c r="K467" s="139" t="str">
        <f t="shared" si="134"/>
        <v>-</v>
      </c>
      <c r="L467" s="139">
        <f t="shared" si="134"/>
        <v>222131</v>
      </c>
      <c r="N467" s="139" t="str">
        <f t="shared" ref="N467:S476" si="135">IF(AND(N35="-",N395="-"),"-",SUM(N35,N395))</f>
        <v>-</v>
      </c>
      <c r="O467" s="139">
        <f t="shared" si="135"/>
        <v>502949</v>
      </c>
      <c r="P467" s="139" t="str">
        <f t="shared" si="135"/>
        <v>-</v>
      </c>
      <c r="Q467" s="139" t="str">
        <f t="shared" si="135"/>
        <v>-</v>
      </c>
      <c r="R467" s="139" t="str">
        <f t="shared" si="135"/>
        <v>-</v>
      </c>
      <c r="S467" s="139">
        <f t="shared" si="135"/>
        <v>502949</v>
      </c>
    </row>
    <row r="468" spans="1:19">
      <c r="A468" s="99">
        <v>1983</v>
      </c>
      <c r="B468" s="139" t="str">
        <f t="shared" ref="B468:L468" si="136">IF(AND(B36="-",B396="-"),"-",SUM(B36,B396))</f>
        <v>-</v>
      </c>
      <c r="C468" s="139" t="str">
        <f t="shared" si="136"/>
        <v>-</v>
      </c>
      <c r="D468" s="139">
        <f t="shared" si="136"/>
        <v>9419</v>
      </c>
      <c r="E468" s="139">
        <f t="shared" si="136"/>
        <v>13787</v>
      </c>
      <c r="F468" s="139">
        <f t="shared" si="136"/>
        <v>33943</v>
      </c>
      <c r="G468" s="139">
        <f t="shared" si="136"/>
        <v>9772</v>
      </c>
      <c r="H468" s="139">
        <f t="shared" si="136"/>
        <v>2592</v>
      </c>
      <c r="I468" s="139">
        <f t="shared" si="136"/>
        <v>4667</v>
      </c>
      <c r="J468" s="139">
        <f t="shared" si="136"/>
        <v>869</v>
      </c>
      <c r="K468" s="139" t="str">
        <f t="shared" si="136"/>
        <v>-</v>
      </c>
      <c r="L468" s="139">
        <f t="shared" si="136"/>
        <v>75049</v>
      </c>
      <c r="N468" s="139" t="str">
        <f t="shared" si="135"/>
        <v>-</v>
      </c>
      <c r="O468" s="139">
        <f t="shared" si="135"/>
        <v>275150</v>
      </c>
      <c r="P468" s="139">
        <f t="shared" si="135"/>
        <v>34896</v>
      </c>
      <c r="Q468" s="139">
        <f t="shared" si="135"/>
        <v>8346</v>
      </c>
      <c r="R468" s="139" t="str">
        <f t="shared" si="135"/>
        <v>-</v>
      </c>
      <c r="S468" s="139">
        <f t="shared" si="135"/>
        <v>318392</v>
      </c>
    </row>
    <row r="469" spans="1:19">
      <c r="A469" s="99">
        <v>1984</v>
      </c>
      <c r="B469" s="139" t="str">
        <f t="shared" ref="B469:L469" si="137">IF(AND(B37="-",B397="-"),"-",SUM(B37,B397))</f>
        <v>-</v>
      </c>
      <c r="C469" s="139" t="str">
        <f t="shared" si="137"/>
        <v>-</v>
      </c>
      <c r="D469" s="139">
        <f t="shared" si="137"/>
        <v>2487</v>
      </c>
      <c r="E469" s="139">
        <f t="shared" si="137"/>
        <v>2456</v>
      </c>
      <c r="F469" s="139">
        <f t="shared" si="137"/>
        <v>17564</v>
      </c>
      <c r="G469" s="139">
        <f t="shared" si="137"/>
        <v>36826</v>
      </c>
      <c r="H469" s="139">
        <f t="shared" si="137"/>
        <v>741</v>
      </c>
      <c r="I469" s="139">
        <f t="shared" si="137"/>
        <v>956</v>
      </c>
      <c r="J469" s="139">
        <f t="shared" si="137"/>
        <v>905</v>
      </c>
      <c r="K469" s="139" t="str">
        <f t="shared" si="137"/>
        <v>-</v>
      </c>
      <c r="L469" s="139">
        <f t="shared" si="137"/>
        <v>61935</v>
      </c>
      <c r="N469" s="139" t="str">
        <f t="shared" si="135"/>
        <v>-</v>
      </c>
      <c r="O469" s="139" t="str">
        <f t="shared" si="135"/>
        <v>-</v>
      </c>
      <c r="P469" s="139">
        <f t="shared" si="135"/>
        <v>13649</v>
      </c>
      <c r="Q469" s="139" t="str">
        <f t="shared" si="135"/>
        <v>-</v>
      </c>
      <c r="R469" s="139" t="str">
        <f t="shared" si="135"/>
        <v>-</v>
      </c>
      <c r="S469" s="139">
        <f t="shared" si="135"/>
        <v>13649</v>
      </c>
    </row>
    <row r="470" spans="1:19">
      <c r="A470" s="99">
        <v>1985</v>
      </c>
      <c r="B470" s="139" t="str">
        <f t="shared" ref="B470:L470" si="138">IF(AND(B38="-",B398="-"),"-",SUM(B38,B398))</f>
        <v>-</v>
      </c>
      <c r="C470" s="139" t="str">
        <f t="shared" si="138"/>
        <v>-</v>
      </c>
      <c r="D470" s="139">
        <f t="shared" si="138"/>
        <v>38390</v>
      </c>
      <c r="E470" s="139">
        <f t="shared" si="138"/>
        <v>14927</v>
      </c>
      <c r="F470" s="139">
        <f t="shared" si="138"/>
        <v>68776</v>
      </c>
      <c r="G470" s="139">
        <f t="shared" si="138"/>
        <v>63000</v>
      </c>
      <c r="H470" s="139">
        <f t="shared" si="138"/>
        <v>21484</v>
      </c>
      <c r="I470" s="139">
        <f t="shared" si="138"/>
        <v>4875</v>
      </c>
      <c r="J470" s="139">
        <f t="shared" si="138"/>
        <v>1353</v>
      </c>
      <c r="K470" s="139" t="str">
        <f t="shared" si="138"/>
        <v>-</v>
      </c>
      <c r="L470" s="139">
        <f t="shared" si="138"/>
        <v>212805</v>
      </c>
      <c r="N470" s="139" t="str">
        <f t="shared" si="135"/>
        <v>-</v>
      </c>
      <c r="O470" s="139">
        <f t="shared" si="135"/>
        <v>43870</v>
      </c>
      <c r="P470" s="139">
        <f t="shared" si="135"/>
        <v>18257</v>
      </c>
      <c r="Q470" s="139" t="str">
        <f t="shared" si="135"/>
        <v>-</v>
      </c>
      <c r="R470" s="139" t="str">
        <f t="shared" si="135"/>
        <v>-</v>
      </c>
      <c r="S470" s="139">
        <f t="shared" si="135"/>
        <v>62127</v>
      </c>
    </row>
    <row r="471" spans="1:19">
      <c r="A471" s="95">
        <v>1986</v>
      </c>
      <c r="B471" s="139" t="str">
        <f t="shared" ref="B471:L471" si="139">IF(AND(B39="-",B399="-"),"-",SUM(B39,B399))</f>
        <v>-</v>
      </c>
      <c r="C471" s="139" t="str">
        <f t="shared" si="139"/>
        <v>-</v>
      </c>
      <c r="D471" s="139">
        <f t="shared" si="139"/>
        <v>36875</v>
      </c>
      <c r="E471" s="139">
        <f t="shared" si="139"/>
        <v>49965</v>
      </c>
      <c r="F471" s="139">
        <f t="shared" si="139"/>
        <v>138114</v>
      </c>
      <c r="G471" s="139">
        <f t="shared" si="139"/>
        <v>115615</v>
      </c>
      <c r="H471" s="139">
        <f t="shared" si="139"/>
        <v>33955</v>
      </c>
      <c r="I471" s="139">
        <f t="shared" si="139"/>
        <v>26722</v>
      </c>
      <c r="J471" s="139">
        <f t="shared" si="139"/>
        <v>624</v>
      </c>
      <c r="K471" s="139" t="str">
        <f t="shared" si="139"/>
        <v>-</v>
      </c>
      <c r="L471" s="139">
        <f t="shared" si="139"/>
        <v>401870</v>
      </c>
      <c r="N471" s="139">
        <f t="shared" si="135"/>
        <v>12028</v>
      </c>
      <c r="O471" s="139">
        <f t="shared" si="135"/>
        <v>382357</v>
      </c>
      <c r="P471" s="139">
        <f t="shared" si="135"/>
        <v>46063</v>
      </c>
      <c r="Q471" s="139" t="str">
        <f t="shared" si="135"/>
        <v>-</v>
      </c>
      <c r="R471" s="139" t="str">
        <f t="shared" si="135"/>
        <v>-</v>
      </c>
      <c r="S471" s="139">
        <f t="shared" si="135"/>
        <v>440448</v>
      </c>
    </row>
    <row r="472" spans="1:19">
      <c r="A472" s="95">
        <v>1987</v>
      </c>
      <c r="B472" s="139" t="str">
        <f t="shared" ref="B472:L472" si="140">IF(AND(B40="-",B400="-"),"-",SUM(B40,B400))</f>
        <v>-</v>
      </c>
      <c r="C472" s="139" t="str">
        <f t="shared" si="140"/>
        <v>-</v>
      </c>
      <c r="D472" s="139">
        <f t="shared" si="140"/>
        <v>41231</v>
      </c>
      <c r="E472" s="139">
        <f t="shared" si="140"/>
        <v>48579</v>
      </c>
      <c r="F472" s="139">
        <f t="shared" si="140"/>
        <v>271046</v>
      </c>
      <c r="G472" s="139">
        <f t="shared" si="140"/>
        <v>82750</v>
      </c>
      <c r="H472" s="139">
        <f t="shared" si="140"/>
        <v>61039</v>
      </c>
      <c r="I472" s="139">
        <f t="shared" si="140"/>
        <v>17255</v>
      </c>
      <c r="J472" s="139">
        <f t="shared" si="140"/>
        <v>1916</v>
      </c>
      <c r="K472" s="139" t="str">
        <f t="shared" si="140"/>
        <v>-</v>
      </c>
      <c r="L472" s="139">
        <f t="shared" si="140"/>
        <v>523816</v>
      </c>
      <c r="N472" s="139">
        <f t="shared" si="135"/>
        <v>4117</v>
      </c>
      <c r="O472" s="139">
        <f t="shared" si="135"/>
        <v>262605</v>
      </c>
      <c r="P472" s="139">
        <f t="shared" si="135"/>
        <v>58754</v>
      </c>
      <c r="Q472" s="139">
        <f t="shared" si="135"/>
        <v>20776</v>
      </c>
      <c r="R472" s="139" t="str">
        <f t="shared" si="135"/>
        <v>-</v>
      </c>
      <c r="S472" s="139">
        <f t="shared" si="135"/>
        <v>346252</v>
      </c>
    </row>
    <row r="473" spans="1:19">
      <c r="A473" s="95">
        <v>1988</v>
      </c>
      <c r="B473" s="139" t="str">
        <f t="shared" ref="B473:L473" si="141">IF(AND(B41="-",B401="-"),"-",SUM(B41,B401))</f>
        <v>-</v>
      </c>
      <c r="C473" s="139" t="str">
        <f t="shared" si="141"/>
        <v>-</v>
      </c>
      <c r="D473" s="139">
        <f t="shared" si="141"/>
        <v>57907</v>
      </c>
      <c r="E473" s="139">
        <f t="shared" si="141"/>
        <v>89479</v>
      </c>
      <c r="F473" s="139">
        <f t="shared" si="141"/>
        <v>110298</v>
      </c>
      <c r="G473" s="139">
        <f t="shared" si="141"/>
        <v>128960</v>
      </c>
      <c r="H473" s="139">
        <f t="shared" si="141"/>
        <v>31671</v>
      </c>
      <c r="I473" s="139">
        <f t="shared" si="141"/>
        <v>43426</v>
      </c>
      <c r="J473" s="139">
        <f t="shared" si="141"/>
        <v>1851</v>
      </c>
      <c r="K473" s="139" t="str">
        <f t="shared" si="141"/>
        <v>-</v>
      </c>
      <c r="L473" s="139">
        <f t="shared" si="141"/>
        <v>463592</v>
      </c>
      <c r="N473" s="139">
        <f t="shared" si="135"/>
        <v>1250</v>
      </c>
      <c r="O473" s="139">
        <f t="shared" si="135"/>
        <v>387467</v>
      </c>
      <c r="P473" s="139">
        <f t="shared" si="135"/>
        <v>233688</v>
      </c>
      <c r="Q473" s="139" t="str">
        <f t="shared" si="135"/>
        <v>-</v>
      </c>
      <c r="R473" s="139" t="str">
        <f t="shared" si="135"/>
        <v>-</v>
      </c>
      <c r="S473" s="139">
        <f t="shared" si="135"/>
        <v>622405</v>
      </c>
    </row>
    <row r="474" spans="1:19">
      <c r="A474" s="95">
        <v>1989</v>
      </c>
      <c r="B474" s="139" t="str">
        <f t="shared" ref="B474:L474" si="142">IF(AND(B42="-",B402="-"),"-",SUM(B42,B402))</f>
        <v>-</v>
      </c>
      <c r="C474" s="139" t="str">
        <f t="shared" si="142"/>
        <v>-</v>
      </c>
      <c r="D474" s="139">
        <f t="shared" si="142"/>
        <v>87870</v>
      </c>
      <c r="E474" s="139">
        <f t="shared" si="142"/>
        <v>74508</v>
      </c>
      <c r="F474" s="139">
        <f t="shared" si="142"/>
        <v>70238</v>
      </c>
      <c r="G474" s="139">
        <f t="shared" si="142"/>
        <v>76932</v>
      </c>
      <c r="H474" s="139">
        <f t="shared" si="142"/>
        <v>24642</v>
      </c>
      <c r="I474" s="139">
        <f t="shared" si="142"/>
        <v>16878</v>
      </c>
      <c r="J474" s="139">
        <f t="shared" si="142"/>
        <v>2178</v>
      </c>
      <c r="K474" s="139" t="str">
        <f t="shared" si="142"/>
        <v>-</v>
      </c>
      <c r="L474" s="139">
        <f t="shared" si="142"/>
        <v>353246</v>
      </c>
      <c r="N474" s="139">
        <f t="shared" si="135"/>
        <v>1004</v>
      </c>
      <c r="O474" s="139">
        <f t="shared" si="135"/>
        <v>372173</v>
      </c>
      <c r="P474" s="139">
        <f t="shared" si="135"/>
        <v>77014</v>
      </c>
      <c r="Q474" s="139">
        <f t="shared" si="135"/>
        <v>5527</v>
      </c>
      <c r="R474" s="139" t="str">
        <f t="shared" si="135"/>
        <v>-</v>
      </c>
      <c r="S474" s="139">
        <f t="shared" si="135"/>
        <v>455718</v>
      </c>
    </row>
    <row r="475" spans="1:19">
      <c r="A475" s="95">
        <v>1990</v>
      </c>
      <c r="B475" s="139" t="str">
        <f t="shared" ref="B475:L475" si="143">IF(AND(B43="-",B403="-"),"-",SUM(B43,B403))</f>
        <v>-</v>
      </c>
      <c r="C475" s="139" t="str">
        <f t="shared" si="143"/>
        <v>-</v>
      </c>
      <c r="D475" s="139">
        <f t="shared" si="143"/>
        <v>15567</v>
      </c>
      <c r="E475" s="139">
        <f t="shared" si="143"/>
        <v>32646</v>
      </c>
      <c r="F475" s="139">
        <f t="shared" si="143"/>
        <v>119364</v>
      </c>
      <c r="G475" s="139">
        <f t="shared" si="143"/>
        <v>52037</v>
      </c>
      <c r="H475" s="139">
        <f t="shared" si="143"/>
        <v>8259</v>
      </c>
      <c r="I475" s="139">
        <f t="shared" si="143"/>
        <v>4236</v>
      </c>
      <c r="J475" s="139" t="str">
        <f t="shared" si="143"/>
        <v>-</v>
      </c>
      <c r="K475" s="139" t="str">
        <f t="shared" si="143"/>
        <v>-</v>
      </c>
      <c r="L475" s="139">
        <f t="shared" si="143"/>
        <v>232109</v>
      </c>
      <c r="N475" s="139">
        <f t="shared" si="135"/>
        <v>99</v>
      </c>
      <c r="O475" s="139">
        <f t="shared" si="135"/>
        <v>80281</v>
      </c>
      <c r="P475" s="139">
        <f t="shared" si="135"/>
        <v>33675</v>
      </c>
      <c r="Q475" s="139">
        <f t="shared" si="135"/>
        <v>7034</v>
      </c>
      <c r="R475" s="139">
        <f t="shared" si="135"/>
        <v>304</v>
      </c>
      <c r="S475" s="139">
        <f t="shared" si="135"/>
        <v>121393</v>
      </c>
    </row>
    <row r="476" spans="1:19">
      <c r="A476" s="95">
        <v>1991</v>
      </c>
      <c r="B476" s="139" t="str">
        <f t="shared" ref="B476:L476" si="144">IF(AND(B44="-",B404="-"),"-",SUM(B44,B404))</f>
        <v>-</v>
      </c>
      <c r="C476" s="139" t="str">
        <f t="shared" si="144"/>
        <v>-</v>
      </c>
      <c r="D476" s="139">
        <f t="shared" si="144"/>
        <v>3601</v>
      </c>
      <c r="E476" s="139">
        <f t="shared" si="144"/>
        <v>12597</v>
      </c>
      <c r="F476" s="139">
        <f t="shared" si="144"/>
        <v>15428</v>
      </c>
      <c r="G476" s="139">
        <f t="shared" si="144"/>
        <v>12047</v>
      </c>
      <c r="H476" s="139">
        <f t="shared" si="144"/>
        <v>18335</v>
      </c>
      <c r="I476" s="139">
        <f t="shared" si="144"/>
        <v>12439</v>
      </c>
      <c r="J476" s="139" t="str">
        <f t="shared" si="144"/>
        <v>-</v>
      </c>
      <c r="K476" s="139" t="str">
        <f t="shared" si="144"/>
        <v>-</v>
      </c>
      <c r="L476" s="139">
        <f t="shared" si="144"/>
        <v>74447</v>
      </c>
      <c r="N476" s="139">
        <f t="shared" si="135"/>
        <v>91249</v>
      </c>
      <c r="O476" s="139">
        <f t="shared" si="135"/>
        <v>188757</v>
      </c>
      <c r="P476" s="139">
        <f t="shared" si="135"/>
        <v>21629</v>
      </c>
      <c r="Q476" s="139">
        <f t="shared" si="135"/>
        <v>5160</v>
      </c>
      <c r="R476" s="139" t="str">
        <f t="shared" si="135"/>
        <v>-</v>
      </c>
      <c r="S476" s="139">
        <f t="shared" si="135"/>
        <v>306795</v>
      </c>
    </row>
    <row r="477" spans="1:19">
      <c r="A477" s="95">
        <v>1992</v>
      </c>
      <c r="B477" s="139" t="str">
        <f t="shared" ref="B477:L477" si="145">IF(AND(B45="-",B405="-"),"-",SUM(B45,B405))</f>
        <v>-</v>
      </c>
      <c r="C477" s="139" t="str">
        <f t="shared" si="145"/>
        <v>-</v>
      </c>
      <c r="D477" s="139">
        <f t="shared" si="145"/>
        <v>21020</v>
      </c>
      <c r="E477" s="139">
        <f t="shared" si="145"/>
        <v>925</v>
      </c>
      <c r="F477" s="139">
        <f t="shared" si="145"/>
        <v>31606</v>
      </c>
      <c r="G477" s="139">
        <f t="shared" si="145"/>
        <v>26160</v>
      </c>
      <c r="H477" s="139">
        <f t="shared" si="145"/>
        <v>10757</v>
      </c>
      <c r="I477" s="139">
        <f t="shared" si="145"/>
        <v>19272</v>
      </c>
      <c r="J477" s="139" t="str">
        <f t="shared" si="145"/>
        <v>-</v>
      </c>
      <c r="K477" s="139" t="str">
        <f t="shared" si="145"/>
        <v>-</v>
      </c>
      <c r="L477" s="139">
        <f t="shared" si="145"/>
        <v>109740</v>
      </c>
      <c r="N477" s="139" t="str">
        <f t="shared" ref="N477:S486" si="146">IF(AND(N45="-",N405="-"),"-",SUM(N45,N405))</f>
        <v>-</v>
      </c>
      <c r="O477" s="139">
        <f t="shared" si="146"/>
        <v>23726</v>
      </c>
      <c r="P477" s="139">
        <f t="shared" si="146"/>
        <v>25900</v>
      </c>
      <c r="Q477" s="139" t="str">
        <f t="shared" si="146"/>
        <v>-</v>
      </c>
      <c r="R477" s="139">
        <f t="shared" si="146"/>
        <v>12</v>
      </c>
      <c r="S477" s="139">
        <f t="shared" si="146"/>
        <v>49638</v>
      </c>
    </row>
    <row r="478" spans="1:19">
      <c r="A478" s="95">
        <v>1993</v>
      </c>
      <c r="B478" s="139" t="str">
        <f t="shared" ref="B478:L478" si="147">IF(AND(B46="-",B406="-"),"-",SUM(B46,B406))</f>
        <v>-</v>
      </c>
      <c r="C478" s="139" t="str">
        <f t="shared" si="147"/>
        <v>-</v>
      </c>
      <c r="D478" s="139">
        <f t="shared" si="147"/>
        <v>20564</v>
      </c>
      <c r="E478" s="139">
        <f t="shared" si="147"/>
        <v>14736</v>
      </c>
      <c r="F478" s="139">
        <f t="shared" si="147"/>
        <v>12989</v>
      </c>
      <c r="G478" s="139">
        <f t="shared" si="147"/>
        <v>10473</v>
      </c>
      <c r="H478" s="139">
        <f t="shared" si="147"/>
        <v>15643</v>
      </c>
      <c r="I478" s="139">
        <f t="shared" si="147"/>
        <v>6454</v>
      </c>
      <c r="J478" s="139">
        <f t="shared" si="147"/>
        <v>658</v>
      </c>
      <c r="K478" s="139" t="str">
        <f t="shared" si="147"/>
        <v>-</v>
      </c>
      <c r="L478" s="139">
        <f t="shared" si="147"/>
        <v>81517</v>
      </c>
      <c r="N478" s="139" t="str">
        <f t="shared" si="146"/>
        <v>-</v>
      </c>
      <c r="O478" s="139">
        <f t="shared" si="146"/>
        <v>207</v>
      </c>
      <c r="P478" s="139">
        <f t="shared" si="146"/>
        <v>582</v>
      </c>
      <c r="Q478" s="139">
        <f t="shared" si="146"/>
        <v>853</v>
      </c>
      <c r="R478" s="139">
        <f t="shared" si="146"/>
        <v>25</v>
      </c>
      <c r="S478" s="139">
        <f t="shared" si="146"/>
        <v>1667</v>
      </c>
    </row>
    <row r="479" spans="1:19">
      <c r="A479" s="95">
        <v>1994</v>
      </c>
      <c r="B479" s="139" t="str">
        <f t="shared" ref="B479:L479" si="148">IF(AND(B47="-",B407="-"),"-",SUM(B47,B407))</f>
        <v>-</v>
      </c>
      <c r="C479" s="139" t="str">
        <f t="shared" si="148"/>
        <v>-</v>
      </c>
      <c r="D479" s="139">
        <f t="shared" si="148"/>
        <v>7885</v>
      </c>
      <c r="E479" s="139">
        <f t="shared" si="148"/>
        <v>8906</v>
      </c>
      <c r="F479" s="139" t="str">
        <f t="shared" si="148"/>
        <v>-</v>
      </c>
      <c r="G479" s="139">
        <f t="shared" si="148"/>
        <v>234</v>
      </c>
      <c r="H479" s="139">
        <f t="shared" si="148"/>
        <v>1239</v>
      </c>
      <c r="I479" s="139">
        <f t="shared" si="148"/>
        <v>6588</v>
      </c>
      <c r="J479" s="139">
        <f t="shared" si="148"/>
        <v>378</v>
      </c>
      <c r="K479" s="139" t="str">
        <f t="shared" si="148"/>
        <v>-</v>
      </c>
      <c r="L479" s="139">
        <f t="shared" si="148"/>
        <v>25230</v>
      </c>
      <c r="N479" s="139" t="str">
        <f t="shared" si="146"/>
        <v>-</v>
      </c>
      <c r="O479" s="139" t="str">
        <f t="shared" si="146"/>
        <v>-</v>
      </c>
      <c r="P479" s="139" t="str">
        <f t="shared" si="146"/>
        <v>-</v>
      </c>
      <c r="Q479" s="139" t="str">
        <f t="shared" si="146"/>
        <v>-</v>
      </c>
      <c r="R479" s="139" t="str">
        <f t="shared" si="146"/>
        <v>-</v>
      </c>
      <c r="S479" s="139" t="str">
        <f t="shared" si="146"/>
        <v>-</v>
      </c>
    </row>
    <row r="480" spans="1:19">
      <c r="A480" s="95">
        <v>1995</v>
      </c>
      <c r="B480" s="139" t="str">
        <f t="shared" ref="B480:L480" si="149">IF(AND(B48="-",B408="-"),"-",SUM(B48,B408))</f>
        <v>-</v>
      </c>
      <c r="C480" s="139" t="str">
        <f t="shared" si="149"/>
        <v>-</v>
      </c>
      <c r="D480" s="139">
        <f t="shared" si="149"/>
        <v>10907</v>
      </c>
      <c r="E480" s="139">
        <f t="shared" si="149"/>
        <v>35866</v>
      </c>
      <c r="F480" s="139">
        <f t="shared" si="149"/>
        <v>1682</v>
      </c>
      <c r="G480" s="139">
        <f t="shared" si="149"/>
        <v>97878</v>
      </c>
      <c r="H480" s="139">
        <f t="shared" si="149"/>
        <v>38547</v>
      </c>
      <c r="I480" s="139">
        <f t="shared" si="149"/>
        <v>28585</v>
      </c>
      <c r="J480" s="139">
        <f t="shared" si="149"/>
        <v>324</v>
      </c>
      <c r="K480" s="139" t="str">
        <f t="shared" si="149"/>
        <v>-</v>
      </c>
      <c r="L480" s="139">
        <f t="shared" si="149"/>
        <v>213789</v>
      </c>
      <c r="N480" s="139" t="str">
        <f t="shared" si="146"/>
        <v>-</v>
      </c>
      <c r="O480" s="139" t="str">
        <f t="shared" si="146"/>
        <v>-</v>
      </c>
      <c r="P480" s="139" t="str">
        <f t="shared" si="146"/>
        <v>-</v>
      </c>
      <c r="Q480" s="139" t="str">
        <f t="shared" si="146"/>
        <v>-</v>
      </c>
      <c r="R480" s="139" t="str">
        <f t="shared" si="146"/>
        <v>-</v>
      </c>
      <c r="S480" s="139" t="str">
        <f t="shared" si="146"/>
        <v>-</v>
      </c>
    </row>
    <row r="481" spans="1:19">
      <c r="A481" s="95">
        <v>1996</v>
      </c>
      <c r="B481" s="139" t="str">
        <f t="shared" ref="B481:L481" si="150">IF(AND(B49="-",B409="-"),"-",SUM(B49,B409))</f>
        <v>-</v>
      </c>
      <c r="C481" s="139" t="str">
        <f t="shared" si="150"/>
        <v>-</v>
      </c>
      <c r="D481" s="139">
        <f t="shared" si="150"/>
        <v>28506</v>
      </c>
      <c r="E481" s="139">
        <f t="shared" si="150"/>
        <v>41500</v>
      </c>
      <c r="F481" s="139" t="str">
        <f t="shared" si="150"/>
        <v>-</v>
      </c>
      <c r="G481" s="139">
        <f t="shared" si="150"/>
        <v>63464</v>
      </c>
      <c r="H481" s="139">
        <f t="shared" si="150"/>
        <v>25967</v>
      </c>
      <c r="I481" s="139">
        <f t="shared" si="150"/>
        <v>14927</v>
      </c>
      <c r="J481" s="139">
        <f t="shared" si="150"/>
        <v>845</v>
      </c>
      <c r="K481" s="139" t="str">
        <f t="shared" si="150"/>
        <v>-</v>
      </c>
      <c r="L481" s="139">
        <f t="shared" si="150"/>
        <v>175209</v>
      </c>
      <c r="N481" s="139">
        <f t="shared" si="146"/>
        <v>8</v>
      </c>
      <c r="O481" s="139" t="str">
        <f t="shared" si="146"/>
        <v>-</v>
      </c>
      <c r="P481" s="139" t="str">
        <f t="shared" si="146"/>
        <v>-</v>
      </c>
      <c r="Q481" s="139" t="str">
        <f t="shared" si="146"/>
        <v>-</v>
      </c>
      <c r="R481" s="139" t="str">
        <f t="shared" si="146"/>
        <v>-</v>
      </c>
      <c r="S481" s="139">
        <f t="shared" si="146"/>
        <v>8</v>
      </c>
    </row>
    <row r="482" spans="1:19">
      <c r="A482" s="95">
        <v>1997</v>
      </c>
      <c r="B482" s="139" t="str">
        <f t="shared" ref="B482:L482" si="151">IF(AND(B50="-",B410="-"),"-",SUM(B50,B410))</f>
        <v>-</v>
      </c>
      <c r="C482" s="139">
        <f t="shared" si="151"/>
        <v>4493</v>
      </c>
      <c r="D482" s="139">
        <f t="shared" si="151"/>
        <v>33391</v>
      </c>
      <c r="E482" s="139">
        <f t="shared" si="151"/>
        <v>35384</v>
      </c>
      <c r="F482" s="139" t="str">
        <f t="shared" si="151"/>
        <v>-</v>
      </c>
      <c r="G482" s="139">
        <f t="shared" si="151"/>
        <v>44843</v>
      </c>
      <c r="H482" s="139">
        <f t="shared" si="151"/>
        <v>25786</v>
      </c>
      <c r="I482" s="139">
        <f t="shared" si="151"/>
        <v>5370</v>
      </c>
      <c r="J482" s="139">
        <f t="shared" si="151"/>
        <v>492</v>
      </c>
      <c r="K482" s="139" t="str">
        <f t="shared" si="151"/>
        <v>-</v>
      </c>
      <c r="L482" s="139">
        <f t="shared" si="151"/>
        <v>149759</v>
      </c>
      <c r="N482" s="139" t="str">
        <f t="shared" si="146"/>
        <v>-</v>
      </c>
      <c r="O482" s="139" t="str">
        <f t="shared" si="146"/>
        <v>-</v>
      </c>
      <c r="P482" s="139" t="str">
        <f t="shared" si="146"/>
        <v>-</v>
      </c>
      <c r="Q482" s="139" t="str">
        <f t="shared" si="146"/>
        <v>-</v>
      </c>
      <c r="R482" s="139" t="str">
        <f t="shared" si="146"/>
        <v>-</v>
      </c>
      <c r="S482" s="139" t="str">
        <f t="shared" si="146"/>
        <v>-</v>
      </c>
    </row>
    <row r="483" spans="1:19">
      <c r="A483" s="95">
        <v>1998</v>
      </c>
      <c r="B483" s="139" t="str">
        <f t="shared" ref="B483:L483" si="152">IF(AND(B51="-",B411="-"),"-",SUM(B51,B411))</f>
        <v>-</v>
      </c>
      <c r="C483" s="139">
        <f t="shared" si="152"/>
        <v>19953</v>
      </c>
      <c r="D483" s="139">
        <f t="shared" si="152"/>
        <v>39740</v>
      </c>
      <c r="E483" s="139">
        <f t="shared" si="152"/>
        <v>33749</v>
      </c>
      <c r="F483" s="139" t="str">
        <f t="shared" si="152"/>
        <v>-</v>
      </c>
      <c r="G483" s="139">
        <f t="shared" si="152"/>
        <v>20950</v>
      </c>
      <c r="H483" s="139">
        <f t="shared" si="152"/>
        <v>4952</v>
      </c>
      <c r="I483" s="139">
        <f t="shared" si="152"/>
        <v>3967</v>
      </c>
      <c r="J483" s="139">
        <f t="shared" si="152"/>
        <v>900</v>
      </c>
      <c r="K483" s="139" t="str">
        <f t="shared" si="152"/>
        <v>-</v>
      </c>
      <c r="L483" s="139">
        <f t="shared" si="152"/>
        <v>124211</v>
      </c>
      <c r="N483" s="139" t="str">
        <f t="shared" si="146"/>
        <v>-</v>
      </c>
      <c r="O483" s="139" t="str">
        <f t="shared" si="146"/>
        <v>-</v>
      </c>
      <c r="P483" s="139" t="str">
        <f t="shared" si="146"/>
        <v>-</v>
      </c>
      <c r="Q483" s="139" t="str">
        <f t="shared" si="146"/>
        <v>-</v>
      </c>
      <c r="R483" s="139" t="str">
        <f t="shared" si="146"/>
        <v>-</v>
      </c>
      <c r="S483" s="139" t="str">
        <f t="shared" si="146"/>
        <v>-</v>
      </c>
    </row>
    <row r="484" spans="1:19">
      <c r="A484" s="95">
        <v>1999</v>
      </c>
      <c r="B484" s="139" t="str">
        <f t="shared" ref="B484:L484" si="153">IF(AND(B52="-",B412="-"),"-",SUM(B52,B412))</f>
        <v>-</v>
      </c>
      <c r="C484" s="139">
        <f t="shared" si="153"/>
        <v>826</v>
      </c>
      <c r="D484" s="139">
        <f t="shared" si="153"/>
        <v>6056</v>
      </c>
      <c r="E484" s="139">
        <f t="shared" si="153"/>
        <v>23462</v>
      </c>
      <c r="F484" s="139">
        <f t="shared" si="153"/>
        <v>8095</v>
      </c>
      <c r="G484" s="139">
        <f t="shared" si="153"/>
        <v>18064</v>
      </c>
      <c r="H484" s="139">
        <f t="shared" si="153"/>
        <v>1934</v>
      </c>
      <c r="I484" s="139">
        <f t="shared" si="153"/>
        <v>2816</v>
      </c>
      <c r="J484" s="139">
        <f t="shared" si="153"/>
        <v>1237</v>
      </c>
      <c r="K484" s="139">
        <f t="shared" si="153"/>
        <v>43</v>
      </c>
      <c r="L484" s="139">
        <f t="shared" si="153"/>
        <v>62533</v>
      </c>
      <c r="N484" s="139" t="str">
        <f t="shared" si="146"/>
        <v>-</v>
      </c>
      <c r="O484" s="139" t="str">
        <f t="shared" si="146"/>
        <v>-</v>
      </c>
      <c r="P484" s="139" t="str">
        <f t="shared" si="146"/>
        <v>-</v>
      </c>
      <c r="Q484" s="139" t="str">
        <f t="shared" si="146"/>
        <v>-</v>
      </c>
      <c r="R484" s="139" t="str">
        <f t="shared" si="146"/>
        <v>-</v>
      </c>
      <c r="S484" s="139" t="str">
        <f t="shared" si="146"/>
        <v>-</v>
      </c>
    </row>
    <row r="485" spans="1:19">
      <c r="A485" s="95">
        <v>2000</v>
      </c>
      <c r="B485" s="139" t="str">
        <f t="shared" ref="B485:L485" si="154">IF(AND(B53="-",B413="-"),"-",SUM(B53,B413))</f>
        <v>-</v>
      </c>
      <c r="C485" s="139">
        <f t="shared" si="154"/>
        <v>1187</v>
      </c>
      <c r="D485" s="139">
        <f t="shared" si="154"/>
        <v>6094</v>
      </c>
      <c r="E485" s="139">
        <f t="shared" si="154"/>
        <v>11677</v>
      </c>
      <c r="F485" s="139">
        <f t="shared" si="154"/>
        <v>19664</v>
      </c>
      <c r="G485" s="139">
        <f t="shared" si="154"/>
        <v>50698</v>
      </c>
      <c r="H485" s="139">
        <f t="shared" si="154"/>
        <v>31583</v>
      </c>
      <c r="I485" s="139">
        <f t="shared" si="154"/>
        <v>13096</v>
      </c>
      <c r="J485" s="139">
        <f t="shared" si="154"/>
        <v>1537</v>
      </c>
      <c r="K485" s="139">
        <f t="shared" si="154"/>
        <v>367</v>
      </c>
      <c r="L485" s="139">
        <f t="shared" si="154"/>
        <v>135903</v>
      </c>
      <c r="N485" s="139" t="str">
        <f t="shared" si="146"/>
        <v>-</v>
      </c>
      <c r="O485" s="139" t="str">
        <f t="shared" si="146"/>
        <v>-</v>
      </c>
      <c r="P485" s="139">
        <f t="shared" si="146"/>
        <v>11600</v>
      </c>
      <c r="Q485" s="139">
        <f t="shared" si="146"/>
        <v>658</v>
      </c>
      <c r="R485" s="139" t="str">
        <f t="shared" si="146"/>
        <v>-</v>
      </c>
      <c r="S485" s="139">
        <f t="shared" si="146"/>
        <v>12258</v>
      </c>
    </row>
    <row r="486" spans="1:19">
      <c r="A486" s="95">
        <v>2001</v>
      </c>
      <c r="B486" s="139" t="str">
        <f t="shared" ref="B486:L486" si="155">IF(AND(B54="-",B414="-"),"-",SUM(B54,B414))</f>
        <v>-</v>
      </c>
      <c r="C486" s="139">
        <f t="shared" si="155"/>
        <v>18536</v>
      </c>
      <c r="D486" s="139">
        <f t="shared" si="155"/>
        <v>61165</v>
      </c>
      <c r="E486" s="139">
        <f t="shared" si="155"/>
        <v>44992</v>
      </c>
      <c r="F486" s="139">
        <f t="shared" si="155"/>
        <v>38464</v>
      </c>
      <c r="G486" s="139">
        <f t="shared" si="155"/>
        <v>62750</v>
      </c>
      <c r="H486" s="139">
        <f t="shared" si="155"/>
        <v>31850</v>
      </c>
      <c r="I486" s="139">
        <f t="shared" si="155"/>
        <v>15840</v>
      </c>
      <c r="J486" s="139">
        <f t="shared" si="155"/>
        <v>1345</v>
      </c>
      <c r="K486" s="139">
        <f t="shared" si="155"/>
        <v>21</v>
      </c>
      <c r="L486" s="139">
        <f t="shared" si="155"/>
        <v>274963</v>
      </c>
      <c r="N486" s="139" t="str">
        <f t="shared" si="146"/>
        <v>-</v>
      </c>
      <c r="O486" s="139">
        <f t="shared" si="146"/>
        <v>3701</v>
      </c>
      <c r="P486" s="139">
        <f t="shared" si="146"/>
        <v>3376</v>
      </c>
      <c r="Q486" s="139">
        <f t="shared" si="146"/>
        <v>2256</v>
      </c>
      <c r="R486" s="139" t="str">
        <f t="shared" si="146"/>
        <v>-</v>
      </c>
      <c r="S486" s="139">
        <f t="shared" si="146"/>
        <v>9333</v>
      </c>
    </row>
    <row r="487" spans="1:19">
      <c r="A487" s="95">
        <v>2002</v>
      </c>
      <c r="B487" s="139">
        <f t="shared" ref="B487:L487" si="156">IF(AND(B55="-",B415="-"),"-",SUM(B55,B415))</f>
        <v>6667</v>
      </c>
      <c r="C487" s="139">
        <f t="shared" si="156"/>
        <v>10689</v>
      </c>
      <c r="D487" s="139">
        <f t="shared" si="156"/>
        <v>24425</v>
      </c>
      <c r="E487" s="139">
        <f t="shared" si="156"/>
        <v>64022</v>
      </c>
      <c r="F487" s="139">
        <f t="shared" si="156"/>
        <v>18019</v>
      </c>
      <c r="G487" s="139">
        <f t="shared" si="156"/>
        <v>34139</v>
      </c>
      <c r="H487" s="139">
        <f t="shared" si="156"/>
        <v>61166</v>
      </c>
      <c r="I487" s="139">
        <f t="shared" si="156"/>
        <v>83742</v>
      </c>
      <c r="J487" s="139">
        <f t="shared" si="156"/>
        <v>1255</v>
      </c>
      <c r="K487" s="139">
        <f t="shared" si="156"/>
        <v>65</v>
      </c>
      <c r="L487" s="139">
        <f t="shared" si="156"/>
        <v>304189</v>
      </c>
      <c r="N487" s="139" t="str">
        <f t="shared" ref="N487:S496" si="157">IF(AND(N55="-",N415="-"),"-",SUM(N55,N415))</f>
        <v>-</v>
      </c>
      <c r="O487" s="139" t="str">
        <f t="shared" si="157"/>
        <v>-</v>
      </c>
      <c r="P487" s="139">
        <f t="shared" si="157"/>
        <v>1515</v>
      </c>
      <c r="Q487" s="139" t="str">
        <f t="shared" si="157"/>
        <v>-</v>
      </c>
      <c r="R487" s="139" t="str">
        <f t="shared" si="157"/>
        <v>-</v>
      </c>
      <c r="S487" s="139">
        <f t="shared" si="157"/>
        <v>1515</v>
      </c>
    </row>
    <row r="488" spans="1:19">
      <c r="A488" s="95">
        <v>2003</v>
      </c>
      <c r="B488" s="139">
        <f t="shared" ref="B488:L488" si="158">IF(AND(B56="-",B416="-"),"-",SUM(B56,B416))</f>
        <v>3192</v>
      </c>
      <c r="C488" s="139">
        <f t="shared" si="158"/>
        <v>59009</v>
      </c>
      <c r="D488" s="139">
        <f t="shared" si="158"/>
        <v>79024</v>
      </c>
      <c r="E488" s="139">
        <f t="shared" si="158"/>
        <v>33496</v>
      </c>
      <c r="F488" s="139">
        <f t="shared" si="158"/>
        <v>21971</v>
      </c>
      <c r="G488" s="139">
        <f t="shared" si="158"/>
        <v>40806</v>
      </c>
      <c r="H488" s="139">
        <f t="shared" si="158"/>
        <v>51364</v>
      </c>
      <c r="I488" s="139">
        <f t="shared" si="158"/>
        <v>39680</v>
      </c>
      <c r="J488" s="139">
        <f t="shared" si="158"/>
        <v>999</v>
      </c>
      <c r="K488" s="139">
        <f t="shared" si="158"/>
        <v>137</v>
      </c>
      <c r="L488" s="139">
        <f t="shared" si="158"/>
        <v>329678</v>
      </c>
      <c r="N488" s="139" t="str">
        <f t="shared" si="157"/>
        <v>-</v>
      </c>
      <c r="O488" s="139">
        <f t="shared" si="157"/>
        <v>1473</v>
      </c>
      <c r="P488" s="139">
        <f t="shared" si="157"/>
        <v>3657</v>
      </c>
      <c r="Q488" s="139">
        <f t="shared" si="157"/>
        <v>1311</v>
      </c>
      <c r="R488" s="139" t="str">
        <f t="shared" si="157"/>
        <v>-</v>
      </c>
      <c r="S488" s="139">
        <f t="shared" si="157"/>
        <v>6441</v>
      </c>
    </row>
    <row r="489" spans="1:19">
      <c r="A489" s="95">
        <v>2004</v>
      </c>
      <c r="B489" s="139">
        <f t="shared" ref="B489:L489" si="159">IF(AND(B57="-",B417="-"),"-",SUM(B57,B417))</f>
        <v>21049</v>
      </c>
      <c r="C489" s="139">
        <f t="shared" si="159"/>
        <v>34021</v>
      </c>
      <c r="D489" s="139">
        <f t="shared" si="159"/>
        <v>39928</v>
      </c>
      <c r="E489" s="139">
        <f t="shared" si="159"/>
        <v>25741</v>
      </c>
      <c r="F489" s="139">
        <f t="shared" si="159"/>
        <v>16754</v>
      </c>
      <c r="G489" s="139">
        <f t="shared" si="159"/>
        <v>78994</v>
      </c>
      <c r="H489" s="139">
        <f t="shared" si="159"/>
        <v>25307</v>
      </c>
      <c r="I489" s="139">
        <f t="shared" si="159"/>
        <v>8542</v>
      </c>
      <c r="J489" s="139">
        <f t="shared" si="159"/>
        <v>2191</v>
      </c>
      <c r="K489" s="139">
        <f t="shared" si="159"/>
        <v>182</v>
      </c>
      <c r="L489" s="139">
        <f t="shared" si="159"/>
        <v>252709</v>
      </c>
      <c r="N489" s="139" t="str">
        <f t="shared" si="157"/>
        <v>-</v>
      </c>
      <c r="O489" s="139">
        <f t="shared" si="157"/>
        <v>718</v>
      </c>
      <c r="P489" s="139">
        <f t="shared" si="157"/>
        <v>1399</v>
      </c>
      <c r="Q489" s="139">
        <f t="shared" si="157"/>
        <v>6722</v>
      </c>
      <c r="R489" s="139" t="str">
        <f t="shared" si="157"/>
        <v>-</v>
      </c>
      <c r="S489" s="139">
        <f t="shared" si="157"/>
        <v>8839</v>
      </c>
    </row>
    <row r="490" spans="1:19">
      <c r="A490" s="95">
        <v>2005</v>
      </c>
      <c r="B490" s="139">
        <f t="shared" ref="B490:L490" si="160">IF(AND(B58="-",B418="-"),"-",SUM(B58,B418))</f>
        <v>28384</v>
      </c>
      <c r="C490" s="139">
        <f t="shared" si="160"/>
        <v>4788</v>
      </c>
      <c r="D490" s="139">
        <f t="shared" si="160"/>
        <v>60860</v>
      </c>
      <c r="E490" s="139">
        <f t="shared" si="160"/>
        <v>50822</v>
      </c>
      <c r="F490" s="139">
        <f t="shared" si="160"/>
        <v>367</v>
      </c>
      <c r="G490" s="139">
        <f t="shared" si="160"/>
        <v>3672</v>
      </c>
      <c r="H490" s="139">
        <f t="shared" si="160"/>
        <v>83313</v>
      </c>
      <c r="I490" s="139">
        <f t="shared" si="160"/>
        <v>17811</v>
      </c>
      <c r="J490" s="139">
        <f t="shared" si="160"/>
        <v>943</v>
      </c>
      <c r="K490" s="139">
        <f t="shared" si="160"/>
        <v>335</v>
      </c>
      <c r="L490" s="139">
        <f t="shared" si="160"/>
        <v>251295</v>
      </c>
      <c r="N490" s="139" t="str">
        <f t="shared" si="157"/>
        <v>-</v>
      </c>
      <c r="O490" s="139">
        <f t="shared" si="157"/>
        <v>204</v>
      </c>
      <c r="P490" s="139">
        <f t="shared" si="157"/>
        <v>2414</v>
      </c>
      <c r="Q490" s="139" t="str">
        <f t="shared" si="157"/>
        <v>-</v>
      </c>
      <c r="R490" s="139" t="str">
        <f t="shared" si="157"/>
        <v>-</v>
      </c>
      <c r="S490" s="139">
        <f t="shared" si="157"/>
        <v>2618</v>
      </c>
    </row>
    <row r="491" spans="1:19">
      <c r="A491" s="95">
        <v>2006</v>
      </c>
      <c r="B491" s="139" t="str">
        <f t="shared" ref="B491:L491" si="161">IF(AND(B59="-",B419="-"),"-",SUM(B59,B419))</f>
        <v>-</v>
      </c>
      <c r="C491" s="139" t="str">
        <f t="shared" si="161"/>
        <v>-</v>
      </c>
      <c r="D491" s="139">
        <f t="shared" si="161"/>
        <v>7167</v>
      </c>
      <c r="E491" s="139">
        <f t="shared" si="161"/>
        <v>12718</v>
      </c>
      <c r="F491" s="139">
        <f t="shared" si="161"/>
        <v>3617</v>
      </c>
      <c r="G491" s="139">
        <f t="shared" si="161"/>
        <v>1023</v>
      </c>
      <c r="H491" s="139">
        <f t="shared" si="161"/>
        <v>4471</v>
      </c>
      <c r="I491" s="139">
        <f t="shared" si="161"/>
        <v>4039</v>
      </c>
      <c r="J491" s="139">
        <f t="shared" si="161"/>
        <v>1691</v>
      </c>
      <c r="K491" s="139">
        <f t="shared" si="161"/>
        <v>131</v>
      </c>
      <c r="L491" s="139">
        <f t="shared" si="161"/>
        <v>34857</v>
      </c>
      <c r="N491" s="139" t="str">
        <f t="shared" si="157"/>
        <v>-</v>
      </c>
      <c r="O491" s="139">
        <f t="shared" si="157"/>
        <v>10</v>
      </c>
      <c r="P491" s="139">
        <f t="shared" si="157"/>
        <v>915</v>
      </c>
      <c r="Q491" s="139">
        <f t="shared" si="157"/>
        <v>489</v>
      </c>
      <c r="R491" s="139" t="str">
        <f t="shared" si="157"/>
        <v>-</v>
      </c>
      <c r="S491" s="139">
        <f t="shared" si="157"/>
        <v>1414</v>
      </c>
    </row>
    <row r="492" spans="1:19">
      <c r="A492" s="95">
        <v>2007</v>
      </c>
      <c r="B492" s="139" t="str">
        <f t="shared" ref="B492:L492" si="162">IF(AND(B60="-",B420="-"),"-",SUM(B60,B420))</f>
        <v>-</v>
      </c>
      <c r="C492" s="139">
        <f t="shared" si="162"/>
        <v>1871</v>
      </c>
      <c r="D492" s="139">
        <f t="shared" si="162"/>
        <v>8130</v>
      </c>
      <c r="E492" s="139">
        <f t="shared" si="162"/>
        <v>5564</v>
      </c>
      <c r="F492" s="139">
        <f t="shared" si="162"/>
        <v>3024</v>
      </c>
      <c r="G492" s="139">
        <f t="shared" si="162"/>
        <v>14047</v>
      </c>
      <c r="H492" s="139">
        <f t="shared" si="162"/>
        <v>1127</v>
      </c>
      <c r="I492" s="139">
        <f t="shared" si="162"/>
        <v>1004</v>
      </c>
      <c r="J492" s="139">
        <f t="shared" si="162"/>
        <v>717</v>
      </c>
      <c r="K492" s="139">
        <f t="shared" si="162"/>
        <v>3</v>
      </c>
      <c r="L492" s="139">
        <f t="shared" si="162"/>
        <v>35487</v>
      </c>
      <c r="N492" s="139" t="str">
        <f t="shared" si="157"/>
        <v>-</v>
      </c>
      <c r="O492" s="139">
        <f t="shared" si="157"/>
        <v>1062</v>
      </c>
      <c r="P492" s="139">
        <f t="shared" si="157"/>
        <v>15371</v>
      </c>
      <c r="Q492" s="139">
        <f t="shared" si="157"/>
        <v>676</v>
      </c>
      <c r="R492" s="139" t="str">
        <f t="shared" si="157"/>
        <v>-</v>
      </c>
      <c r="S492" s="139">
        <f t="shared" si="157"/>
        <v>17109</v>
      </c>
    </row>
    <row r="493" spans="1:19">
      <c r="A493" s="95">
        <v>2008</v>
      </c>
      <c r="B493" s="139" t="str">
        <f t="shared" ref="B493:L493" si="163">IF(AND(B61="-",B421="-"),"-",SUM(B61,B421))</f>
        <v>-</v>
      </c>
      <c r="C493" s="139" t="str">
        <f t="shared" si="163"/>
        <v>-</v>
      </c>
      <c r="D493" s="139">
        <f t="shared" si="163"/>
        <v>2616</v>
      </c>
      <c r="E493" s="139">
        <f t="shared" si="163"/>
        <v>2508</v>
      </c>
      <c r="F493" s="139">
        <f t="shared" si="163"/>
        <v>129</v>
      </c>
      <c r="G493" s="139">
        <f t="shared" si="163"/>
        <v>161</v>
      </c>
      <c r="H493" s="139">
        <f t="shared" si="163"/>
        <v>84</v>
      </c>
      <c r="I493" s="139">
        <f t="shared" si="163"/>
        <v>248</v>
      </c>
      <c r="J493" s="139">
        <f t="shared" si="163"/>
        <v>208</v>
      </c>
      <c r="K493" s="139" t="str">
        <f t="shared" si="163"/>
        <v>-</v>
      </c>
      <c r="L493" s="139">
        <f t="shared" si="163"/>
        <v>5954</v>
      </c>
      <c r="N493" s="139" t="str">
        <f t="shared" si="157"/>
        <v>-</v>
      </c>
      <c r="O493" s="139">
        <f t="shared" si="157"/>
        <v>49</v>
      </c>
      <c r="P493" s="139">
        <f t="shared" si="157"/>
        <v>356</v>
      </c>
      <c r="Q493" s="139">
        <f t="shared" si="157"/>
        <v>29</v>
      </c>
      <c r="R493" s="139" t="str">
        <f t="shared" si="157"/>
        <v>-</v>
      </c>
      <c r="S493" s="139">
        <f t="shared" si="157"/>
        <v>434</v>
      </c>
    </row>
    <row r="494" spans="1:19">
      <c r="A494" s="95">
        <v>2009</v>
      </c>
      <c r="B494" s="139" t="str">
        <f t="shared" ref="B494:L494" si="164">IF(AND(B62="-",B422="-"),"-",SUM(B62,B422))</f>
        <v>-</v>
      </c>
      <c r="C494" s="139" t="str">
        <f t="shared" si="164"/>
        <v>-</v>
      </c>
      <c r="D494" s="139">
        <f t="shared" si="164"/>
        <v>119</v>
      </c>
      <c r="E494" s="139">
        <f t="shared" si="164"/>
        <v>232</v>
      </c>
      <c r="F494" s="139">
        <f t="shared" si="164"/>
        <v>240</v>
      </c>
      <c r="G494" s="139">
        <f t="shared" si="164"/>
        <v>117</v>
      </c>
      <c r="H494" s="139">
        <f t="shared" si="164"/>
        <v>109</v>
      </c>
      <c r="I494" s="139">
        <f t="shared" si="164"/>
        <v>332</v>
      </c>
      <c r="J494" s="139" t="str">
        <f t="shared" si="164"/>
        <v>-</v>
      </c>
      <c r="K494" s="139" t="str">
        <f t="shared" si="164"/>
        <v>-</v>
      </c>
      <c r="L494" s="139">
        <f t="shared" si="164"/>
        <v>1149</v>
      </c>
      <c r="N494" s="139" t="str">
        <f t="shared" si="157"/>
        <v>-</v>
      </c>
      <c r="O494" s="139">
        <f t="shared" si="157"/>
        <v>9061</v>
      </c>
      <c r="P494" s="139">
        <f t="shared" si="157"/>
        <v>3458</v>
      </c>
      <c r="Q494" s="139">
        <f t="shared" si="157"/>
        <v>9443</v>
      </c>
      <c r="R494" s="139" t="str">
        <f t="shared" si="157"/>
        <v>-</v>
      </c>
      <c r="S494" s="139">
        <f t="shared" si="157"/>
        <v>21962</v>
      </c>
    </row>
    <row r="495" spans="1:19">
      <c r="A495" s="95">
        <v>2010</v>
      </c>
      <c r="B495" s="139" t="str">
        <f t="shared" ref="B495:L495" si="165">IF(AND(B63="-",B423="-"),"-",SUM(B63,B423))</f>
        <v>-</v>
      </c>
      <c r="C495" s="139" t="str">
        <f t="shared" si="165"/>
        <v>-</v>
      </c>
      <c r="D495" s="139">
        <f t="shared" si="165"/>
        <v>9763</v>
      </c>
      <c r="E495" s="139">
        <f t="shared" si="165"/>
        <v>15618</v>
      </c>
      <c r="F495" s="139">
        <f t="shared" si="165"/>
        <v>6448</v>
      </c>
      <c r="G495" s="139">
        <f t="shared" si="165"/>
        <v>5579</v>
      </c>
      <c r="H495" s="139">
        <f t="shared" si="165"/>
        <v>166</v>
      </c>
      <c r="I495" s="139">
        <f t="shared" si="165"/>
        <v>1859</v>
      </c>
      <c r="J495" s="139" t="str">
        <f t="shared" si="165"/>
        <v>-</v>
      </c>
      <c r="K495" s="139" t="str">
        <f t="shared" si="165"/>
        <v>-</v>
      </c>
      <c r="L495" s="139">
        <f t="shared" si="165"/>
        <v>39433</v>
      </c>
      <c r="N495" s="139" t="str">
        <f t="shared" si="157"/>
        <v>-</v>
      </c>
      <c r="O495" s="139">
        <f t="shared" si="157"/>
        <v>637</v>
      </c>
      <c r="P495" s="139">
        <f t="shared" si="157"/>
        <v>368</v>
      </c>
      <c r="Q495" s="139">
        <f t="shared" si="157"/>
        <v>35</v>
      </c>
      <c r="R495" s="139" t="str">
        <f t="shared" si="157"/>
        <v>-</v>
      </c>
      <c r="S495" s="139">
        <f t="shared" si="157"/>
        <v>1040</v>
      </c>
    </row>
    <row r="496" spans="1:19">
      <c r="A496" s="95">
        <v>2011</v>
      </c>
      <c r="B496" s="139" t="str">
        <f t="shared" ref="B496:L496" si="166">IF(AND(B64="-",B424="-"),"-",SUM(B64,B424))</f>
        <v>-</v>
      </c>
      <c r="C496" s="139">
        <f t="shared" si="166"/>
        <v>4481</v>
      </c>
      <c r="D496" s="139">
        <f t="shared" si="166"/>
        <v>9559</v>
      </c>
      <c r="E496" s="139">
        <f t="shared" si="166"/>
        <v>12055</v>
      </c>
      <c r="F496" s="139">
        <f t="shared" si="166"/>
        <v>840</v>
      </c>
      <c r="G496" s="139">
        <f t="shared" si="166"/>
        <v>1588</v>
      </c>
      <c r="H496" s="139">
        <f t="shared" si="166"/>
        <v>363</v>
      </c>
      <c r="I496" s="139">
        <f t="shared" si="166"/>
        <v>1200</v>
      </c>
      <c r="J496" s="139">
        <f t="shared" si="166"/>
        <v>1995</v>
      </c>
      <c r="K496" s="139" t="str">
        <f t="shared" si="166"/>
        <v>-</v>
      </c>
      <c r="L496" s="139">
        <f t="shared" si="166"/>
        <v>32081</v>
      </c>
      <c r="N496" s="139" t="str">
        <f t="shared" si="157"/>
        <v>-</v>
      </c>
      <c r="O496" s="139">
        <f t="shared" si="157"/>
        <v>234</v>
      </c>
      <c r="P496" s="139">
        <f t="shared" si="157"/>
        <v>147</v>
      </c>
      <c r="Q496" s="139">
        <f t="shared" si="157"/>
        <v>83</v>
      </c>
      <c r="R496" s="139" t="str">
        <f t="shared" si="157"/>
        <v>-</v>
      </c>
      <c r="S496" s="139">
        <f t="shared" si="157"/>
        <v>464</v>
      </c>
    </row>
    <row r="497" spans="1:19">
      <c r="A497" s="95">
        <v>2012</v>
      </c>
      <c r="B497" s="139" t="str">
        <f t="shared" ref="B497:L497" si="167">IF(AND(B65="-",B425="-"),"-",SUM(B65,B425))</f>
        <v>-</v>
      </c>
      <c r="C497" s="139">
        <f t="shared" si="167"/>
        <v>3633</v>
      </c>
      <c r="D497" s="139">
        <f t="shared" si="167"/>
        <v>15938</v>
      </c>
      <c r="E497" s="139">
        <f t="shared" si="167"/>
        <v>14010</v>
      </c>
      <c r="F497" s="139">
        <f t="shared" si="167"/>
        <v>3451</v>
      </c>
      <c r="G497" s="139">
        <f t="shared" si="167"/>
        <v>10248</v>
      </c>
      <c r="H497" s="139">
        <f t="shared" si="167"/>
        <v>16246</v>
      </c>
      <c r="I497" s="139">
        <f t="shared" si="167"/>
        <v>8874</v>
      </c>
      <c r="J497" s="139">
        <f t="shared" si="167"/>
        <v>701</v>
      </c>
      <c r="K497" s="139" t="str">
        <f t="shared" si="167"/>
        <v>-</v>
      </c>
      <c r="L497" s="139">
        <f t="shared" si="167"/>
        <v>73101</v>
      </c>
      <c r="N497" s="139" t="str">
        <f t="shared" ref="N497:S504" si="168">IF(AND(N65="-",N425="-"),"-",SUM(N65,N425))</f>
        <v>-</v>
      </c>
      <c r="O497" s="139">
        <f t="shared" si="168"/>
        <v>38</v>
      </c>
      <c r="P497" s="139">
        <f t="shared" si="168"/>
        <v>35</v>
      </c>
      <c r="Q497" s="139">
        <f t="shared" si="168"/>
        <v>551</v>
      </c>
      <c r="R497" s="139" t="str">
        <f t="shared" si="168"/>
        <v>-</v>
      </c>
      <c r="S497" s="139">
        <f t="shared" si="168"/>
        <v>624</v>
      </c>
    </row>
    <row r="498" spans="1:19">
      <c r="A498" s="95">
        <v>2013</v>
      </c>
      <c r="B498" s="139" t="str">
        <f t="shared" ref="B498:L498" si="169">IF(AND(B66="-",B426="-"),"-",SUM(B66,B426))</f>
        <v>-</v>
      </c>
      <c r="C498" s="139">
        <f t="shared" si="169"/>
        <v>7423</v>
      </c>
      <c r="D498" s="139">
        <f t="shared" si="169"/>
        <v>9532</v>
      </c>
      <c r="E498" s="139">
        <f t="shared" si="169"/>
        <v>8141</v>
      </c>
      <c r="F498" s="139">
        <f t="shared" si="169"/>
        <v>8638</v>
      </c>
      <c r="G498" s="139">
        <f t="shared" si="169"/>
        <v>40662</v>
      </c>
      <c r="H498" s="139">
        <f t="shared" si="169"/>
        <v>28780</v>
      </c>
      <c r="I498" s="139">
        <f t="shared" si="169"/>
        <v>8579</v>
      </c>
      <c r="J498" s="139">
        <f t="shared" si="169"/>
        <v>1002</v>
      </c>
      <c r="K498" s="139" t="str">
        <f t="shared" si="169"/>
        <v>-</v>
      </c>
      <c r="L498" s="139">
        <f t="shared" si="169"/>
        <v>112757</v>
      </c>
      <c r="N498" s="139" t="str">
        <f t="shared" si="168"/>
        <v>-</v>
      </c>
      <c r="O498" s="139">
        <f t="shared" si="168"/>
        <v>39</v>
      </c>
      <c r="P498" s="139">
        <f t="shared" si="168"/>
        <v>295</v>
      </c>
      <c r="Q498" s="139">
        <f t="shared" si="168"/>
        <v>118</v>
      </c>
      <c r="R498" s="139" t="str">
        <f t="shared" si="168"/>
        <v>-</v>
      </c>
      <c r="S498" s="139">
        <f t="shared" si="168"/>
        <v>452</v>
      </c>
    </row>
    <row r="499" spans="1:19">
      <c r="A499" s="95">
        <v>2014</v>
      </c>
      <c r="B499" s="139" t="str">
        <f t="shared" ref="B499:L499" si="170">IF(AND(B67="-",B427="-"),"-",SUM(B67,B427))</f>
        <v>-</v>
      </c>
      <c r="C499" s="139">
        <f t="shared" si="170"/>
        <v>15554</v>
      </c>
      <c r="D499" s="139">
        <f t="shared" si="170"/>
        <v>61545</v>
      </c>
      <c r="E499" s="139">
        <f t="shared" si="170"/>
        <v>30634</v>
      </c>
      <c r="F499" s="139">
        <f t="shared" si="170"/>
        <v>21100</v>
      </c>
      <c r="G499" s="139">
        <f t="shared" si="170"/>
        <v>67178</v>
      </c>
      <c r="H499" s="139">
        <f t="shared" si="170"/>
        <v>9101</v>
      </c>
      <c r="I499" s="139">
        <f t="shared" si="170"/>
        <v>2515</v>
      </c>
      <c r="J499" s="139">
        <f t="shared" si="170"/>
        <v>469</v>
      </c>
      <c r="K499" s="139" t="str">
        <f t="shared" si="170"/>
        <v>-</v>
      </c>
      <c r="L499" s="139">
        <f t="shared" si="170"/>
        <v>208096</v>
      </c>
      <c r="N499" s="139" t="str">
        <f t="shared" si="168"/>
        <v>-</v>
      </c>
      <c r="O499" s="139">
        <f t="shared" si="168"/>
        <v>2428</v>
      </c>
      <c r="P499" s="139">
        <f t="shared" si="168"/>
        <v>1570</v>
      </c>
      <c r="Q499" s="139">
        <f t="shared" si="168"/>
        <v>7000</v>
      </c>
      <c r="R499" s="139" t="str">
        <f t="shared" si="168"/>
        <v>-</v>
      </c>
      <c r="S499" s="139">
        <f t="shared" si="168"/>
        <v>10998</v>
      </c>
    </row>
    <row r="500" spans="1:19">
      <c r="A500" s="95">
        <v>2015</v>
      </c>
      <c r="B500" s="139" t="str">
        <f t="shared" ref="B500:L500" si="171">IF(AND(B68="-",B428="-"),"-",SUM(B68,B428))</f>
        <v>-</v>
      </c>
      <c r="C500" s="139">
        <f t="shared" si="171"/>
        <v>16420</v>
      </c>
      <c r="D500" s="139">
        <f t="shared" si="171"/>
        <v>21092</v>
      </c>
      <c r="E500" s="139">
        <f t="shared" si="171"/>
        <v>22858</v>
      </c>
      <c r="F500" s="139">
        <f t="shared" si="171"/>
        <v>29322</v>
      </c>
      <c r="G500" s="139">
        <f t="shared" si="171"/>
        <v>8249</v>
      </c>
      <c r="H500" s="139">
        <f t="shared" si="171"/>
        <v>2562</v>
      </c>
      <c r="I500" s="139">
        <f t="shared" si="171"/>
        <v>2593</v>
      </c>
      <c r="J500" s="139">
        <f t="shared" si="171"/>
        <v>1163</v>
      </c>
      <c r="K500" s="139" t="str">
        <f t="shared" si="171"/>
        <v>-</v>
      </c>
      <c r="L500" s="139">
        <f t="shared" si="171"/>
        <v>104259</v>
      </c>
      <c r="N500" s="139" t="str">
        <f t="shared" si="168"/>
        <v>-</v>
      </c>
      <c r="O500" s="139">
        <f t="shared" si="168"/>
        <v>328</v>
      </c>
      <c r="P500" s="139">
        <f t="shared" si="168"/>
        <v>411</v>
      </c>
      <c r="Q500" s="139">
        <f t="shared" si="168"/>
        <v>1474</v>
      </c>
      <c r="R500" s="139" t="str">
        <f t="shared" si="168"/>
        <v>-</v>
      </c>
      <c r="S500" s="139">
        <f t="shared" si="168"/>
        <v>2213</v>
      </c>
    </row>
    <row r="501" spans="1:19">
      <c r="A501" s="95">
        <v>2016</v>
      </c>
      <c r="B501" s="139" t="str">
        <f t="shared" ref="B501:L501" si="172">IF(AND(B69="-",B429="-"),"-",SUM(B69,B429))</f>
        <v>-</v>
      </c>
      <c r="C501" s="139">
        <f t="shared" si="172"/>
        <v>6597</v>
      </c>
      <c r="D501" s="139">
        <f t="shared" si="172"/>
        <v>6542</v>
      </c>
      <c r="E501" s="139">
        <f t="shared" si="172"/>
        <v>5658</v>
      </c>
      <c r="F501" s="139">
        <f t="shared" si="172"/>
        <v>11433</v>
      </c>
      <c r="G501" s="139">
        <f t="shared" si="172"/>
        <v>9254</v>
      </c>
      <c r="H501" s="139">
        <f t="shared" si="172"/>
        <v>1812</v>
      </c>
      <c r="I501" s="139">
        <f t="shared" si="172"/>
        <v>869</v>
      </c>
      <c r="J501" s="139">
        <f t="shared" si="172"/>
        <v>182</v>
      </c>
      <c r="K501" s="139" t="str">
        <f t="shared" si="172"/>
        <v>-</v>
      </c>
      <c r="L501" s="139">
        <f t="shared" si="172"/>
        <v>42347</v>
      </c>
      <c r="N501" s="139" t="str">
        <f t="shared" si="168"/>
        <v>-</v>
      </c>
      <c r="O501" s="139" t="str">
        <f t="shared" si="168"/>
        <v>-</v>
      </c>
      <c r="P501" s="139" t="str">
        <f t="shared" si="168"/>
        <v>-</v>
      </c>
      <c r="Q501" s="139" t="str">
        <f t="shared" si="168"/>
        <v>-</v>
      </c>
      <c r="R501" s="139" t="str">
        <f t="shared" si="168"/>
        <v>-</v>
      </c>
      <c r="S501" s="139" t="str">
        <f t="shared" si="168"/>
        <v>-</v>
      </c>
    </row>
    <row r="502" spans="1:19">
      <c r="A502" s="95">
        <v>2017</v>
      </c>
      <c r="B502" s="139" t="str">
        <f t="shared" ref="B502:L502" si="173">IF(AND(B70="-",B430="-"),"-",SUM(B70,B430))</f>
        <v>-</v>
      </c>
      <c r="C502" s="139">
        <f t="shared" si="173"/>
        <v>553</v>
      </c>
      <c r="D502" s="139">
        <f t="shared" si="173"/>
        <v>2309</v>
      </c>
      <c r="E502" s="139">
        <f t="shared" si="173"/>
        <v>3826</v>
      </c>
      <c r="F502" s="139">
        <f t="shared" si="173"/>
        <v>13069</v>
      </c>
      <c r="G502" s="139">
        <f t="shared" si="173"/>
        <v>611</v>
      </c>
      <c r="H502" s="139">
        <f t="shared" si="173"/>
        <v>371</v>
      </c>
      <c r="I502" s="139">
        <f t="shared" si="173"/>
        <v>1010</v>
      </c>
      <c r="J502" s="139">
        <f t="shared" si="173"/>
        <v>96</v>
      </c>
      <c r="K502" s="139" t="str">
        <f t="shared" si="173"/>
        <v>-</v>
      </c>
      <c r="L502" s="139">
        <f t="shared" si="173"/>
        <v>21845</v>
      </c>
      <c r="N502" s="139" t="str">
        <f t="shared" si="168"/>
        <v>-</v>
      </c>
      <c r="O502" s="139">
        <f t="shared" si="168"/>
        <v>16</v>
      </c>
      <c r="P502" s="139">
        <f t="shared" si="168"/>
        <v>305</v>
      </c>
      <c r="Q502" s="139">
        <f t="shared" si="168"/>
        <v>149</v>
      </c>
      <c r="R502" s="139" t="str">
        <f t="shared" si="168"/>
        <v>-</v>
      </c>
      <c r="S502" s="139">
        <f t="shared" si="168"/>
        <v>470</v>
      </c>
    </row>
    <row r="503" spans="1:19">
      <c r="A503" s="95">
        <v>2018</v>
      </c>
      <c r="B503" s="139" t="str">
        <f t="shared" ref="B503:L503" si="174">IF(AND(B71="-",B431="-"),"-",SUM(B71,B431))</f>
        <v>-</v>
      </c>
      <c r="C503" s="139" t="str">
        <f t="shared" si="174"/>
        <v>-</v>
      </c>
      <c r="D503" s="139">
        <f t="shared" si="174"/>
        <v>1259</v>
      </c>
      <c r="E503" s="139">
        <f t="shared" si="174"/>
        <v>4676</v>
      </c>
      <c r="F503" s="139">
        <f t="shared" si="174"/>
        <v>4108</v>
      </c>
      <c r="G503" s="139">
        <f t="shared" si="174"/>
        <v>12956</v>
      </c>
      <c r="H503" s="139">
        <f t="shared" si="174"/>
        <v>225</v>
      </c>
      <c r="I503" s="139">
        <f t="shared" si="174"/>
        <v>806</v>
      </c>
      <c r="J503" s="139">
        <f t="shared" si="174"/>
        <v>431</v>
      </c>
      <c r="K503" s="139" t="str">
        <f t="shared" si="174"/>
        <v>-</v>
      </c>
      <c r="L503" s="139">
        <f t="shared" si="174"/>
        <v>24461</v>
      </c>
      <c r="N503" s="139" t="str">
        <f t="shared" si="168"/>
        <v>-</v>
      </c>
      <c r="O503" s="139">
        <f t="shared" si="168"/>
        <v>8</v>
      </c>
      <c r="P503" s="139">
        <f t="shared" si="168"/>
        <v>84</v>
      </c>
      <c r="Q503" s="139" t="str">
        <f t="shared" si="168"/>
        <v>-</v>
      </c>
      <c r="R503" s="139" t="str">
        <f t="shared" si="168"/>
        <v>-</v>
      </c>
      <c r="S503" s="139">
        <f t="shared" si="168"/>
        <v>92</v>
      </c>
    </row>
    <row r="504" spans="1:19">
      <c r="A504" s="95">
        <v>2019</v>
      </c>
      <c r="B504" s="139" t="str">
        <f t="shared" ref="B504:L504" si="175">IF(AND(B72="-",B432="-"),"-",SUM(B72,B432))</f>
        <v>-</v>
      </c>
      <c r="C504" s="139">
        <f t="shared" si="175"/>
        <v>162</v>
      </c>
      <c r="D504" s="139">
        <f t="shared" si="175"/>
        <v>698</v>
      </c>
      <c r="E504" s="139">
        <f t="shared" si="175"/>
        <v>3400</v>
      </c>
      <c r="F504" s="139">
        <f t="shared" si="175"/>
        <v>17046</v>
      </c>
      <c r="G504" s="139">
        <f t="shared" si="175"/>
        <v>6053</v>
      </c>
      <c r="H504" s="139">
        <f t="shared" si="175"/>
        <v>660</v>
      </c>
      <c r="I504" s="139">
        <f t="shared" si="175"/>
        <v>870</v>
      </c>
      <c r="J504" s="139" t="str">
        <f t="shared" si="175"/>
        <v>-</v>
      </c>
      <c r="K504" s="139" t="str">
        <f t="shared" si="175"/>
        <v>-</v>
      </c>
      <c r="L504" s="139">
        <f t="shared" si="175"/>
        <v>28889</v>
      </c>
      <c r="N504" s="139" t="str">
        <f t="shared" si="168"/>
        <v>-</v>
      </c>
      <c r="O504" s="139">
        <f t="shared" si="168"/>
        <v>1029</v>
      </c>
      <c r="P504" s="139">
        <f t="shared" si="168"/>
        <v>302</v>
      </c>
      <c r="Q504" s="139">
        <f t="shared" si="168"/>
        <v>81</v>
      </c>
      <c r="R504" s="139" t="str">
        <f t="shared" si="168"/>
        <v>-</v>
      </c>
      <c r="S504" s="139">
        <f t="shared" si="168"/>
        <v>1412</v>
      </c>
    </row>
    <row r="505" spans="1:19">
      <c r="A505" s="95">
        <v>2020</v>
      </c>
      <c r="B505" s="139" t="str">
        <f t="shared" ref="B505:L506" si="176">IF(AND(B73="-",B433="-"),"-",SUM(B73,B433))</f>
        <v>-</v>
      </c>
      <c r="C505" s="139">
        <f t="shared" si="176"/>
        <v>800</v>
      </c>
      <c r="D505" s="139">
        <f t="shared" si="176"/>
        <v>862</v>
      </c>
      <c r="E505" s="139">
        <f t="shared" si="176"/>
        <v>2618</v>
      </c>
      <c r="F505" s="139">
        <f t="shared" si="176"/>
        <v>5093</v>
      </c>
      <c r="G505" s="139">
        <f>IF(AND(G73="-",G433="-"),"-",SUM(G73,G433))</f>
        <v>1874</v>
      </c>
      <c r="H505" s="139">
        <f t="shared" si="176"/>
        <v>560</v>
      </c>
      <c r="I505" s="139">
        <f t="shared" si="176"/>
        <v>1003</v>
      </c>
      <c r="J505" s="139" t="str">
        <f t="shared" si="176"/>
        <v>-</v>
      </c>
      <c r="K505" s="139" t="str">
        <f t="shared" si="176"/>
        <v>-</v>
      </c>
      <c r="L505" s="139">
        <f t="shared" si="176"/>
        <v>12810</v>
      </c>
      <c r="N505" s="139" t="str">
        <f t="shared" ref="N505:S506" si="177">IF(AND(N73="-",N433="-"),"-",SUM(N73,N433))</f>
        <v>-</v>
      </c>
      <c r="O505" s="139">
        <f t="shared" si="177"/>
        <v>63</v>
      </c>
      <c r="P505" s="139">
        <f t="shared" si="177"/>
        <v>64</v>
      </c>
      <c r="Q505" s="139">
        <f t="shared" si="177"/>
        <v>2</v>
      </c>
      <c r="R505" s="139" t="str">
        <f t="shared" si="177"/>
        <v>-</v>
      </c>
      <c r="S505" s="139">
        <f t="shared" si="177"/>
        <v>129</v>
      </c>
    </row>
    <row r="506" spans="1:19" ht="13">
      <c r="A506" s="95" t="s">
        <v>317</v>
      </c>
      <c r="B506" s="185">
        <f t="shared" si="176"/>
        <v>231</v>
      </c>
      <c r="C506" s="185">
        <f t="shared" si="176"/>
        <v>2385</v>
      </c>
      <c r="D506" s="185">
        <f t="shared" si="176"/>
        <v>2133</v>
      </c>
      <c r="E506" s="185">
        <f t="shared" si="176"/>
        <v>1124</v>
      </c>
      <c r="F506" s="185">
        <f t="shared" si="176"/>
        <v>4914</v>
      </c>
      <c r="G506" s="185">
        <f>IF(AND(G74="-",G434="-"),"-",SUM(G74,G434))</f>
        <v>5135</v>
      </c>
      <c r="H506" s="185">
        <f t="shared" si="176"/>
        <v>372</v>
      </c>
      <c r="I506" s="185">
        <f t="shared" si="176"/>
        <v>1243</v>
      </c>
      <c r="J506" s="185" t="str">
        <f t="shared" si="176"/>
        <v>-</v>
      </c>
      <c r="K506" s="185" t="str">
        <f t="shared" si="176"/>
        <v>-</v>
      </c>
      <c r="L506" s="185">
        <f t="shared" si="176"/>
        <v>17537</v>
      </c>
      <c r="M506" s="185"/>
      <c r="N506" s="185" t="str">
        <f t="shared" si="177"/>
        <v>-</v>
      </c>
      <c r="O506" s="185">
        <f t="shared" si="177"/>
        <v>1009</v>
      </c>
      <c r="P506" s="185">
        <f t="shared" si="177"/>
        <v>1179</v>
      </c>
      <c r="Q506" s="185">
        <f t="shared" si="177"/>
        <v>41</v>
      </c>
      <c r="R506" s="185" t="str">
        <f t="shared" si="177"/>
        <v>-</v>
      </c>
      <c r="S506" s="185">
        <f t="shared" si="177"/>
        <v>2229</v>
      </c>
    </row>
    <row r="507" spans="1:19">
      <c r="A507" s="312" t="s">
        <v>214</v>
      </c>
      <c r="B507" s="313"/>
      <c r="C507" s="313"/>
      <c r="D507" s="313"/>
      <c r="E507" s="313"/>
      <c r="F507" s="313"/>
      <c r="G507" s="313"/>
      <c r="H507" s="313"/>
      <c r="I507" s="313"/>
      <c r="J507" s="313"/>
      <c r="K507" s="313"/>
      <c r="L507" s="313"/>
      <c r="M507" s="313"/>
      <c r="N507" s="313"/>
      <c r="O507" s="313"/>
      <c r="P507" s="313"/>
      <c r="Q507" s="313"/>
      <c r="R507" s="313"/>
      <c r="S507" s="313"/>
    </row>
    <row r="508" spans="1:19">
      <c r="A508" s="302"/>
      <c r="B508" s="314"/>
      <c r="C508" s="314"/>
      <c r="D508" s="314"/>
      <c r="E508" s="314"/>
      <c r="F508" s="314"/>
      <c r="G508" s="314"/>
      <c r="H508" s="314"/>
      <c r="I508" s="314"/>
      <c r="J508" s="314"/>
      <c r="K508" s="314"/>
      <c r="L508" s="314"/>
      <c r="M508" s="314"/>
      <c r="N508" s="314"/>
      <c r="O508" s="314"/>
      <c r="P508" s="314"/>
      <c r="Q508" s="314"/>
      <c r="R508" s="314"/>
      <c r="S508" s="314"/>
    </row>
    <row r="509" spans="1:19">
      <c r="A509" s="302"/>
      <c r="B509" s="314"/>
      <c r="C509" s="314"/>
      <c r="D509" s="314"/>
      <c r="E509" s="314"/>
      <c r="F509" s="314"/>
      <c r="G509" s="314"/>
      <c r="H509" s="314"/>
      <c r="I509" s="314"/>
      <c r="J509" s="314"/>
      <c r="K509" s="314"/>
      <c r="L509" s="314"/>
      <c r="M509" s="314"/>
      <c r="N509" s="314"/>
      <c r="O509" s="314"/>
      <c r="P509" s="314"/>
      <c r="Q509" s="314"/>
      <c r="R509" s="314"/>
      <c r="S509" s="314"/>
    </row>
    <row r="510" spans="1:19">
      <c r="A510" s="314"/>
      <c r="B510" s="314"/>
      <c r="C510" s="314"/>
      <c r="D510" s="314"/>
      <c r="E510" s="314"/>
      <c r="F510" s="314"/>
      <c r="G510" s="314"/>
      <c r="H510" s="314"/>
      <c r="I510" s="314"/>
      <c r="J510" s="314"/>
      <c r="K510" s="314"/>
      <c r="L510" s="314"/>
      <c r="M510" s="314"/>
      <c r="N510" s="314"/>
      <c r="O510" s="314"/>
      <c r="P510" s="314"/>
      <c r="Q510" s="314"/>
      <c r="R510" s="314"/>
      <c r="S510" s="314"/>
    </row>
    <row r="511" spans="1:19">
      <c r="A511" s="314"/>
      <c r="B511" s="314"/>
      <c r="C511" s="314"/>
      <c r="D511" s="314"/>
      <c r="E511" s="314"/>
      <c r="F511" s="314"/>
      <c r="G511" s="314"/>
      <c r="H511" s="314"/>
      <c r="I511" s="314"/>
      <c r="J511" s="314"/>
      <c r="K511" s="314"/>
      <c r="L511" s="314"/>
      <c r="M511" s="314"/>
      <c r="N511" s="314"/>
      <c r="O511" s="314"/>
      <c r="P511" s="314"/>
      <c r="Q511" s="314"/>
      <c r="R511" s="314"/>
      <c r="S511" s="314"/>
    </row>
    <row r="512" spans="1:19">
      <c r="A512" s="315" t="s">
        <v>42</v>
      </c>
      <c r="B512" s="315"/>
      <c r="C512" s="315"/>
      <c r="D512" s="315"/>
      <c r="E512" s="315"/>
      <c r="F512" s="315"/>
      <c r="G512" s="315"/>
      <c r="H512" s="315"/>
      <c r="I512" s="315"/>
      <c r="J512" s="315"/>
      <c r="K512" s="315"/>
      <c r="L512" s="315"/>
      <c r="M512" s="315"/>
      <c r="N512" s="315"/>
      <c r="O512" s="315"/>
      <c r="P512" s="315"/>
      <c r="Q512" s="315"/>
      <c r="R512" s="315"/>
      <c r="S512" s="315"/>
    </row>
    <row r="513" spans="1:19">
      <c r="A513" s="315"/>
      <c r="B513" s="315"/>
      <c r="C513" s="315"/>
      <c r="D513" s="315"/>
      <c r="E513" s="315"/>
      <c r="F513" s="315"/>
      <c r="G513" s="315"/>
      <c r="H513" s="315"/>
      <c r="I513" s="315"/>
      <c r="J513" s="315"/>
      <c r="K513" s="315"/>
      <c r="L513" s="315"/>
      <c r="M513" s="315"/>
      <c r="N513" s="315"/>
      <c r="O513" s="315"/>
      <c r="P513" s="315"/>
      <c r="Q513" s="315"/>
      <c r="R513" s="315"/>
      <c r="S513" s="315"/>
    </row>
    <row r="514" spans="1:19">
      <c r="A514" s="315"/>
      <c r="B514" s="315"/>
      <c r="C514" s="315"/>
      <c r="D514" s="315"/>
      <c r="E514" s="315"/>
      <c r="F514" s="315"/>
      <c r="G514" s="315"/>
      <c r="H514" s="315"/>
      <c r="I514" s="315"/>
      <c r="J514" s="315"/>
      <c r="K514" s="315"/>
      <c r="L514" s="315"/>
      <c r="M514" s="315"/>
      <c r="N514" s="315"/>
      <c r="O514" s="315"/>
      <c r="P514" s="315"/>
      <c r="Q514" s="315"/>
      <c r="R514" s="315"/>
      <c r="S514" s="315"/>
    </row>
    <row r="527" spans="1:19" s="208" customFormat="1">
      <c r="A527" s="161"/>
      <c r="B527" s="184"/>
      <c r="C527" s="184"/>
      <c r="D527" s="184"/>
      <c r="E527" s="184"/>
      <c r="F527" s="184"/>
      <c r="G527" s="184"/>
      <c r="H527" s="184"/>
      <c r="I527" s="184"/>
      <c r="J527" s="184"/>
      <c r="K527" s="184"/>
      <c r="L527" s="184"/>
      <c r="M527" s="184"/>
      <c r="N527" s="184"/>
      <c r="O527" s="184"/>
      <c r="P527" s="184"/>
      <c r="Q527" s="184"/>
      <c r="R527" s="184"/>
      <c r="S527" s="184"/>
    </row>
    <row r="534" spans="1:19" ht="11.25" customHeight="1">
      <c r="A534" s="316" t="s">
        <v>273</v>
      </c>
      <c r="B534" s="316"/>
      <c r="C534" s="311"/>
      <c r="D534" s="311"/>
      <c r="E534" s="311"/>
      <c r="F534" s="311"/>
      <c r="G534" s="311"/>
      <c r="H534" s="311"/>
      <c r="I534" s="311"/>
      <c r="J534" s="311"/>
      <c r="K534" s="311"/>
      <c r="L534" s="311"/>
      <c r="M534" s="311"/>
      <c r="N534" s="311"/>
      <c r="O534" s="311"/>
      <c r="P534" s="311"/>
      <c r="Q534" s="311"/>
      <c r="R534" s="311"/>
      <c r="S534" s="311"/>
    </row>
    <row r="535" spans="1:19" ht="11.25" customHeight="1">
      <c r="A535" s="109" t="s">
        <v>27</v>
      </c>
      <c r="B535" s="110" t="s">
        <v>37</v>
      </c>
      <c r="C535" s="110" t="s">
        <v>28</v>
      </c>
      <c r="D535" s="110" t="s">
        <v>29</v>
      </c>
      <c r="E535" s="110" t="s">
        <v>30</v>
      </c>
      <c r="F535" s="110" t="s">
        <v>31</v>
      </c>
      <c r="G535" s="110" t="s">
        <v>32</v>
      </c>
      <c r="H535" s="110" t="s">
        <v>33</v>
      </c>
      <c r="I535" s="110" t="s">
        <v>34</v>
      </c>
      <c r="J535" s="110" t="s">
        <v>38</v>
      </c>
      <c r="K535" s="110" t="s">
        <v>75</v>
      </c>
      <c r="L535" s="110" t="s">
        <v>22</v>
      </c>
      <c r="M535" s="110"/>
      <c r="N535" s="110" t="s">
        <v>30</v>
      </c>
      <c r="O535" s="110" t="s">
        <v>31</v>
      </c>
      <c r="P535" s="110" t="s">
        <v>32</v>
      </c>
      <c r="Q535" s="110" t="s">
        <v>33</v>
      </c>
      <c r="R535" s="110" t="s">
        <v>34</v>
      </c>
      <c r="S535" s="110" t="s">
        <v>22</v>
      </c>
    </row>
    <row r="536" spans="1:19" ht="11.25" customHeight="1">
      <c r="B536" s="308" t="s">
        <v>61</v>
      </c>
      <c r="C536" s="308"/>
      <c r="D536" s="308"/>
      <c r="E536" s="308"/>
      <c r="F536" s="308"/>
      <c r="G536" s="308"/>
      <c r="H536" s="308"/>
      <c r="I536" s="308"/>
      <c r="J536" s="308"/>
      <c r="K536" s="308"/>
      <c r="L536" s="308"/>
      <c r="N536" s="308" t="s">
        <v>62</v>
      </c>
      <c r="O536" s="308"/>
      <c r="P536" s="308"/>
      <c r="Q536" s="308"/>
      <c r="R536" s="308"/>
      <c r="S536" s="308"/>
    </row>
    <row r="537" spans="1:19">
      <c r="A537" s="88" t="s">
        <v>102</v>
      </c>
      <c r="B537" s="142"/>
    </row>
    <row r="538" spans="1:19" ht="11.25" customHeight="1">
      <c r="A538" s="99" t="s">
        <v>24</v>
      </c>
      <c r="B538" s="142" t="s">
        <v>23</v>
      </c>
      <c r="C538" s="142" t="s">
        <v>23</v>
      </c>
      <c r="D538" s="142">
        <f t="shared" ref="D538:L538" si="178">AVERAGE(D34:D38)</f>
        <v>4738.2</v>
      </c>
      <c r="E538" s="142">
        <f t="shared" si="178"/>
        <v>0</v>
      </c>
      <c r="F538" s="142">
        <f t="shared" si="178"/>
        <v>498.8</v>
      </c>
      <c r="G538" s="142">
        <f t="shared" si="178"/>
        <v>293.2</v>
      </c>
      <c r="H538" s="142">
        <f t="shared" si="178"/>
        <v>23.2</v>
      </c>
      <c r="I538" s="142">
        <f t="shared" si="178"/>
        <v>2.4</v>
      </c>
      <c r="J538" s="142" t="s">
        <v>23</v>
      </c>
      <c r="K538" s="142" t="s">
        <v>23</v>
      </c>
      <c r="L538" s="142">
        <f t="shared" si="178"/>
        <v>5555.8</v>
      </c>
      <c r="N538" s="142" t="s">
        <v>23</v>
      </c>
      <c r="O538" s="142">
        <f>AVERAGE(O34:O38)</f>
        <v>18828.333333333332</v>
      </c>
      <c r="P538" s="142">
        <f>AVERAGE(P34:P38)</f>
        <v>11874.25</v>
      </c>
      <c r="Q538" s="142">
        <f>AVERAGE(Q34:Q38)</f>
        <v>2543</v>
      </c>
      <c r="R538" s="139" t="s">
        <v>23</v>
      </c>
      <c r="S538" s="142">
        <f>AVERAGE(S34:S38)</f>
        <v>21305</v>
      </c>
    </row>
    <row r="539" spans="1:19" ht="11.25" customHeight="1">
      <c r="A539" s="99" t="s">
        <v>78</v>
      </c>
      <c r="B539" s="142" t="s">
        <v>23</v>
      </c>
      <c r="C539" s="142" t="s">
        <v>23</v>
      </c>
      <c r="D539" s="142">
        <f t="shared" ref="D539:L539" si="179">AVERAGE(D39:D43)</f>
        <v>1790.8</v>
      </c>
      <c r="E539" s="142">
        <f t="shared" si="179"/>
        <v>363</v>
      </c>
      <c r="F539" s="142">
        <f t="shared" si="179"/>
        <v>2225</v>
      </c>
      <c r="G539" s="142">
        <f t="shared" si="179"/>
        <v>1172.3333333333333</v>
      </c>
      <c r="H539" s="142">
        <f t="shared" si="179"/>
        <v>765</v>
      </c>
      <c r="I539" s="142">
        <f t="shared" si="179"/>
        <v>71</v>
      </c>
      <c r="J539" s="142" t="s">
        <v>23</v>
      </c>
      <c r="K539" s="142" t="s">
        <v>23</v>
      </c>
      <c r="L539" s="142">
        <f t="shared" si="179"/>
        <v>3477.2</v>
      </c>
      <c r="N539" s="142" t="s">
        <v>23</v>
      </c>
      <c r="O539" s="142">
        <f>AVERAGE(O39:O43)</f>
        <v>7390</v>
      </c>
      <c r="P539" s="142">
        <f>AVERAGE(P39:P43)</f>
        <v>21733.333333333332</v>
      </c>
      <c r="Q539" s="142">
        <f>AVERAGE(Q39:Q43)</f>
        <v>6280.5</v>
      </c>
      <c r="R539" s="142">
        <f>AVERAGE(R39:R43)</f>
        <v>304</v>
      </c>
      <c r="S539" s="142">
        <f>AVERAGE(S39:S43)</f>
        <v>21363.75</v>
      </c>
    </row>
    <row r="540" spans="1:19" ht="11.25" customHeight="1">
      <c r="A540" s="99" t="s">
        <v>10</v>
      </c>
      <c r="B540" s="142" t="s">
        <v>23</v>
      </c>
      <c r="C540" s="142" t="s">
        <v>23</v>
      </c>
      <c r="D540" s="142">
        <f>AVERAGE(D44:D48)</f>
        <v>318</v>
      </c>
      <c r="E540" s="142">
        <f>AVERAGE(E44:E48)</f>
        <v>321.66666666666669</v>
      </c>
      <c r="F540" s="142">
        <f>AVERAGE(F44:F48)</f>
        <v>77.5</v>
      </c>
      <c r="G540" s="142">
        <f>AVERAGE(G44:G48)</f>
        <v>187.33333333333334</v>
      </c>
      <c r="H540" s="142">
        <f>AVERAGE(H44:H48)</f>
        <v>88</v>
      </c>
      <c r="I540" s="142" t="s">
        <v>23</v>
      </c>
      <c r="J540" s="142" t="s">
        <v>23</v>
      </c>
      <c r="K540" s="142" t="s">
        <v>23</v>
      </c>
      <c r="L540" s="142">
        <f>AVERAGE(L44:L48)</f>
        <v>937.33333333333337</v>
      </c>
      <c r="N540" s="142" t="s">
        <v>23</v>
      </c>
      <c r="O540" s="142">
        <f>AVERAGE(O44:O48)</f>
        <v>434.5</v>
      </c>
      <c r="P540" s="142">
        <f>AVERAGE(P44:P48)</f>
        <v>7655</v>
      </c>
      <c r="Q540" s="142">
        <f>AVERAGE(Q44:Q48)</f>
        <v>3006.5</v>
      </c>
      <c r="R540" s="142" t="s">
        <v>23</v>
      </c>
      <c r="S540" s="142">
        <f>AVERAGE(S44:S48)</f>
        <v>9949</v>
      </c>
    </row>
    <row r="541" spans="1:19" ht="11.25" customHeight="1">
      <c r="A541" s="99" t="s">
        <v>144</v>
      </c>
      <c r="B541" s="142" t="s">
        <v>23</v>
      </c>
      <c r="C541" s="142" t="s">
        <v>23</v>
      </c>
      <c r="D541" s="142">
        <f>AVERAGE(D49:D53)</f>
        <v>8.5</v>
      </c>
      <c r="E541" s="142">
        <f>AVERAGE(E49:E53)</f>
        <v>63.5</v>
      </c>
      <c r="F541" s="142" t="s">
        <v>23</v>
      </c>
      <c r="G541" s="142">
        <f>AVERAGE(G49:G53)</f>
        <v>1951</v>
      </c>
      <c r="H541" s="142">
        <f>AVERAGE(H49:H53)</f>
        <v>49</v>
      </c>
      <c r="I541" s="142" t="s">
        <v>23</v>
      </c>
      <c r="J541" s="142" t="s">
        <v>23</v>
      </c>
      <c r="K541" s="142" t="s">
        <v>23</v>
      </c>
      <c r="L541" s="142">
        <f>AVERAGE(L49:L53)</f>
        <v>572</v>
      </c>
      <c r="N541" s="142" t="s">
        <v>23</v>
      </c>
      <c r="O541" s="142" t="s">
        <v>23</v>
      </c>
      <c r="P541" s="142">
        <f>AVERAGE(P49:P53)</f>
        <v>11600</v>
      </c>
      <c r="Q541" s="142">
        <f>AVERAGE(Q49:Q53)</f>
        <v>658</v>
      </c>
      <c r="R541" s="142" t="s">
        <v>23</v>
      </c>
      <c r="S541" s="142">
        <f>AVERAGE(S49:S53)</f>
        <v>12258</v>
      </c>
    </row>
    <row r="542" spans="1:19" ht="11.25" customHeight="1">
      <c r="A542" s="95" t="s">
        <v>166</v>
      </c>
      <c r="B542" s="142" t="s">
        <v>23</v>
      </c>
      <c r="C542" s="142" t="s">
        <v>23</v>
      </c>
      <c r="D542" s="142">
        <f>AVERAGE(D54:D58)</f>
        <v>2633</v>
      </c>
      <c r="E542" s="142">
        <f t="shared" ref="E542:S542" si="180">AVERAGE(E54:E58)</f>
        <v>1401.6</v>
      </c>
      <c r="F542" s="142">
        <f t="shared" si="180"/>
        <v>1444.8</v>
      </c>
      <c r="G542" s="142">
        <f t="shared" si="180"/>
        <v>2329</v>
      </c>
      <c r="H542" s="142">
        <f t="shared" si="180"/>
        <v>477.66666666666669</v>
      </c>
      <c r="I542" s="142" t="s">
        <v>23</v>
      </c>
      <c r="J542" s="142" t="s">
        <v>23</v>
      </c>
      <c r="K542" s="142" t="s">
        <v>23</v>
      </c>
      <c r="L542" s="142">
        <f t="shared" si="180"/>
        <v>8095</v>
      </c>
      <c r="M542" s="142"/>
      <c r="N542" s="142" t="s">
        <v>23</v>
      </c>
      <c r="O542" s="142">
        <f t="shared" si="180"/>
        <v>1524</v>
      </c>
      <c r="P542" s="142">
        <f t="shared" si="180"/>
        <v>2472.1999999999998</v>
      </c>
      <c r="Q542" s="142">
        <f t="shared" si="180"/>
        <v>3429.6666666666665</v>
      </c>
      <c r="R542" s="142" t="s">
        <v>23</v>
      </c>
      <c r="S542" s="142">
        <f t="shared" si="180"/>
        <v>5749.2</v>
      </c>
    </row>
    <row r="543" spans="1:19" ht="11.25" customHeight="1">
      <c r="A543" s="95" t="s">
        <v>315</v>
      </c>
      <c r="B543" s="142" t="str">
        <f>B59</f>
        <v>-</v>
      </c>
      <c r="C543" s="142" t="str">
        <f>C59</f>
        <v>-</v>
      </c>
      <c r="D543" s="142">
        <f>AVERAGE(D59:D63)</f>
        <v>2251.8000000000002</v>
      </c>
      <c r="E543" s="142">
        <f t="shared" ref="E543:H543" si="181">AVERAGE(E59:E63)</f>
        <v>2586.8000000000002</v>
      </c>
      <c r="F543" s="142">
        <f t="shared" si="181"/>
        <v>521.20000000000005</v>
      </c>
      <c r="G543" s="142">
        <f t="shared" si="181"/>
        <v>431.8</v>
      </c>
      <c r="H543" s="142">
        <f t="shared" si="181"/>
        <v>48</v>
      </c>
      <c r="I543" s="142" t="str">
        <f t="shared" ref="I543:K543" si="182">I59</f>
        <v>-</v>
      </c>
      <c r="J543" s="142" t="str">
        <f t="shared" si="182"/>
        <v>-</v>
      </c>
      <c r="K543" s="142" t="str">
        <f t="shared" si="182"/>
        <v>-</v>
      </c>
      <c r="L543" s="142">
        <f t="shared" ref="L543" si="183">AVERAGE(L59:L63)</f>
        <v>5839.6</v>
      </c>
      <c r="M543" s="142"/>
      <c r="N543" s="142" t="str">
        <f t="shared" ref="N543" si="184">N59</f>
        <v>-</v>
      </c>
      <c r="O543" s="142">
        <f t="shared" ref="O543:S543" si="185">AVERAGE(O59:O63)</f>
        <v>2163.8000000000002</v>
      </c>
      <c r="P543" s="142">
        <f t="shared" si="185"/>
        <v>3086.4</v>
      </c>
      <c r="Q543" s="142">
        <f t="shared" si="185"/>
        <v>175</v>
      </c>
      <c r="R543" s="142" t="str">
        <f t="shared" ref="R543" si="186">R59</f>
        <v>-</v>
      </c>
      <c r="S543" s="142">
        <f t="shared" si="185"/>
        <v>5425.2</v>
      </c>
    </row>
    <row r="544" spans="1:19" ht="11.25" customHeight="1">
      <c r="A544" s="95">
        <v>2011</v>
      </c>
      <c r="B544" s="142" t="str">
        <f t="shared" ref="B544:L544" si="187">B64</f>
        <v>-</v>
      </c>
      <c r="C544" s="142" t="str">
        <f t="shared" si="187"/>
        <v>-</v>
      </c>
      <c r="D544" s="142">
        <f t="shared" si="187"/>
        <v>1057</v>
      </c>
      <c r="E544" s="142">
        <f t="shared" si="187"/>
        <v>1400</v>
      </c>
      <c r="F544" s="142">
        <f t="shared" si="187"/>
        <v>114</v>
      </c>
      <c r="G544" s="142">
        <f t="shared" si="187"/>
        <v>239</v>
      </c>
      <c r="H544" s="142">
        <f t="shared" si="187"/>
        <v>26</v>
      </c>
      <c r="I544" s="142" t="str">
        <f t="shared" si="187"/>
        <v>-</v>
      </c>
      <c r="J544" s="142" t="str">
        <f t="shared" si="187"/>
        <v>-</v>
      </c>
      <c r="K544" s="142" t="str">
        <f t="shared" si="187"/>
        <v>-</v>
      </c>
      <c r="L544" s="142">
        <f t="shared" si="187"/>
        <v>2836</v>
      </c>
      <c r="N544" s="142" t="str">
        <f t="shared" ref="N544:S552" si="188">N64</f>
        <v>-</v>
      </c>
      <c r="O544" s="142">
        <f t="shared" si="188"/>
        <v>234</v>
      </c>
      <c r="P544" s="142">
        <f t="shared" si="188"/>
        <v>147</v>
      </c>
      <c r="Q544" s="142">
        <f t="shared" si="188"/>
        <v>83</v>
      </c>
      <c r="R544" s="142" t="str">
        <f t="shared" si="188"/>
        <v>-</v>
      </c>
      <c r="S544" s="142">
        <f t="shared" si="188"/>
        <v>464</v>
      </c>
    </row>
    <row r="545" spans="1:19" ht="11.25" customHeight="1">
      <c r="A545" s="95">
        <v>2012</v>
      </c>
      <c r="B545" s="142" t="str">
        <f t="shared" ref="B545:L545" si="189">B65</f>
        <v>-</v>
      </c>
      <c r="C545" s="142" t="str">
        <f t="shared" si="189"/>
        <v>-</v>
      </c>
      <c r="D545" s="142">
        <f t="shared" si="189"/>
        <v>1034</v>
      </c>
      <c r="E545" s="142">
        <f t="shared" si="189"/>
        <v>5366</v>
      </c>
      <c r="F545" s="142">
        <f t="shared" si="189"/>
        <v>210</v>
      </c>
      <c r="G545" s="142">
        <f t="shared" si="189"/>
        <v>149</v>
      </c>
      <c r="H545" s="142">
        <f t="shared" si="189"/>
        <v>1685</v>
      </c>
      <c r="I545" s="142" t="str">
        <f t="shared" si="189"/>
        <v>-</v>
      </c>
      <c r="J545" s="142" t="str">
        <f t="shared" si="189"/>
        <v>-</v>
      </c>
      <c r="K545" s="142" t="str">
        <f t="shared" si="189"/>
        <v>-</v>
      </c>
      <c r="L545" s="142">
        <f t="shared" si="189"/>
        <v>8444</v>
      </c>
      <c r="N545" s="142" t="str">
        <f t="shared" si="188"/>
        <v>-</v>
      </c>
      <c r="O545" s="142">
        <f t="shared" si="188"/>
        <v>38</v>
      </c>
      <c r="P545" s="142">
        <f t="shared" si="188"/>
        <v>35</v>
      </c>
      <c r="Q545" s="142">
        <f t="shared" si="188"/>
        <v>551</v>
      </c>
      <c r="R545" s="142" t="str">
        <f t="shared" si="188"/>
        <v>-</v>
      </c>
      <c r="S545" s="142">
        <f t="shared" si="188"/>
        <v>624</v>
      </c>
    </row>
    <row r="546" spans="1:19" ht="11.25" customHeight="1">
      <c r="A546" s="95">
        <v>2013</v>
      </c>
      <c r="B546" s="142" t="str">
        <f t="shared" ref="B546:L546" si="190">B66</f>
        <v>-</v>
      </c>
      <c r="C546" s="142" t="str">
        <f t="shared" si="190"/>
        <v>-</v>
      </c>
      <c r="D546" s="142">
        <f t="shared" si="190"/>
        <v>432</v>
      </c>
      <c r="E546" s="142">
        <f t="shared" si="190"/>
        <v>704</v>
      </c>
      <c r="F546" s="142">
        <f t="shared" si="190"/>
        <v>136</v>
      </c>
      <c r="G546" s="142">
        <f t="shared" si="190"/>
        <v>279</v>
      </c>
      <c r="H546" s="142">
        <f t="shared" si="190"/>
        <v>394</v>
      </c>
      <c r="I546" s="142" t="str">
        <f t="shared" si="190"/>
        <v>-</v>
      </c>
      <c r="J546" s="142" t="str">
        <f t="shared" si="190"/>
        <v>-</v>
      </c>
      <c r="K546" s="142" t="str">
        <f t="shared" si="190"/>
        <v>-</v>
      </c>
      <c r="L546" s="142">
        <f t="shared" si="190"/>
        <v>1945</v>
      </c>
      <c r="N546" s="142" t="str">
        <f t="shared" si="188"/>
        <v>-</v>
      </c>
      <c r="O546" s="142">
        <f t="shared" si="188"/>
        <v>39</v>
      </c>
      <c r="P546" s="142">
        <f t="shared" si="188"/>
        <v>295</v>
      </c>
      <c r="Q546" s="142">
        <f t="shared" si="188"/>
        <v>118</v>
      </c>
      <c r="R546" s="142" t="str">
        <f t="shared" si="188"/>
        <v>-</v>
      </c>
      <c r="S546" s="142">
        <f t="shared" si="188"/>
        <v>452</v>
      </c>
    </row>
    <row r="547" spans="1:19" ht="11.25" customHeight="1">
      <c r="A547" s="95">
        <v>2014</v>
      </c>
      <c r="B547" s="142" t="str">
        <f t="shared" ref="B547:L547" si="191">B67</f>
        <v>-</v>
      </c>
      <c r="C547" s="142" t="str">
        <f t="shared" si="191"/>
        <v>-</v>
      </c>
      <c r="D547" s="142">
        <f t="shared" si="191"/>
        <v>12804</v>
      </c>
      <c r="E547" s="142">
        <f t="shared" si="191"/>
        <v>725</v>
      </c>
      <c r="F547" s="142">
        <f t="shared" si="191"/>
        <v>2282</v>
      </c>
      <c r="G547" s="142">
        <f t="shared" si="191"/>
        <v>175</v>
      </c>
      <c r="H547" s="142">
        <f t="shared" si="191"/>
        <v>196</v>
      </c>
      <c r="I547" s="142" t="str">
        <f t="shared" si="191"/>
        <v>-</v>
      </c>
      <c r="J547" s="142" t="str">
        <f t="shared" si="191"/>
        <v>-</v>
      </c>
      <c r="K547" s="142" t="str">
        <f t="shared" si="191"/>
        <v>-</v>
      </c>
      <c r="L547" s="142">
        <f t="shared" si="191"/>
        <v>16182</v>
      </c>
      <c r="N547" s="142" t="str">
        <f t="shared" si="188"/>
        <v>-</v>
      </c>
      <c r="O547" s="142">
        <f t="shared" si="188"/>
        <v>2428</v>
      </c>
      <c r="P547" s="142">
        <f t="shared" si="188"/>
        <v>1570</v>
      </c>
      <c r="Q547" s="142">
        <f t="shared" si="188"/>
        <v>3704</v>
      </c>
      <c r="R547" s="142" t="str">
        <f t="shared" si="188"/>
        <v>-</v>
      </c>
      <c r="S547" s="142">
        <f t="shared" si="188"/>
        <v>7702</v>
      </c>
    </row>
    <row r="548" spans="1:19" ht="11.25" customHeight="1">
      <c r="A548" s="95">
        <v>2015</v>
      </c>
      <c r="B548" s="142" t="str">
        <f t="shared" ref="B548:L548" si="192">B68</f>
        <v>-</v>
      </c>
      <c r="C548" s="142" t="str">
        <f t="shared" si="192"/>
        <v>-</v>
      </c>
      <c r="D548" s="142">
        <f t="shared" si="192"/>
        <v>6806</v>
      </c>
      <c r="E548" s="142">
        <f t="shared" si="192"/>
        <v>1527</v>
      </c>
      <c r="F548" s="142">
        <f t="shared" si="192"/>
        <v>1293</v>
      </c>
      <c r="G548" s="142">
        <f t="shared" si="192"/>
        <v>700</v>
      </c>
      <c r="H548" s="142">
        <f t="shared" si="192"/>
        <v>556</v>
      </c>
      <c r="I548" s="142" t="str">
        <f t="shared" si="192"/>
        <v>-</v>
      </c>
      <c r="J548" s="142" t="str">
        <f t="shared" si="192"/>
        <v>-</v>
      </c>
      <c r="K548" s="142" t="str">
        <f t="shared" si="192"/>
        <v>-</v>
      </c>
      <c r="L548" s="142">
        <f t="shared" si="192"/>
        <v>10882</v>
      </c>
      <c r="N548" s="142" t="str">
        <f t="shared" si="188"/>
        <v>-</v>
      </c>
      <c r="O548" s="142">
        <f t="shared" si="188"/>
        <v>328</v>
      </c>
      <c r="P548" s="142">
        <f t="shared" si="188"/>
        <v>411</v>
      </c>
      <c r="Q548" s="142">
        <f t="shared" si="188"/>
        <v>1474</v>
      </c>
      <c r="R548" s="142" t="str">
        <f t="shared" si="188"/>
        <v>-</v>
      </c>
      <c r="S548" s="142">
        <f t="shared" si="188"/>
        <v>2213</v>
      </c>
    </row>
    <row r="549" spans="1:19" ht="11.25" customHeight="1">
      <c r="A549" s="95">
        <v>2016</v>
      </c>
      <c r="B549" s="142" t="str">
        <f t="shared" ref="B549:L549" si="193">B69</f>
        <v>-</v>
      </c>
      <c r="C549" s="142" t="str">
        <f t="shared" si="193"/>
        <v>-</v>
      </c>
      <c r="D549" s="142">
        <f t="shared" si="193"/>
        <v>519</v>
      </c>
      <c r="E549" s="142">
        <f t="shared" si="193"/>
        <v>743</v>
      </c>
      <c r="F549" s="142">
        <f t="shared" si="193"/>
        <v>169</v>
      </c>
      <c r="G549" s="142">
        <f t="shared" si="193"/>
        <v>627</v>
      </c>
      <c r="H549" s="142" t="str">
        <f t="shared" si="193"/>
        <v>-</v>
      </c>
      <c r="I549" s="142" t="str">
        <f t="shared" si="193"/>
        <v>-</v>
      </c>
      <c r="J549" s="142" t="str">
        <f t="shared" si="193"/>
        <v>-</v>
      </c>
      <c r="K549" s="142" t="str">
        <f t="shared" si="193"/>
        <v>-</v>
      </c>
      <c r="L549" s="142">
        <f t="shared" si="193"/>
        <v>2058</v>
      </c>
      <c r="N549" s="142" t="str">
        <f t="shared" si="188"/>
        <v>-</v>
      </c>
      <c r="O549" s="142" t="str">
        <f t="shared" si="188"/>
        <v>-</v>
      </c>
      <c r="P549" s="142" t="str">
        <f t="shared" si="188"/>
        <v>-</v>
      </c>
      <c r="Q549" s="142" t="str">
        <f t="shared" si="188"/>
        <v>-</v>
      </c>
      <c r="R549" s="142" t="str">
        <f t="shared" si="188"/>
        <v>-</v>
      </c>
      <c r="S549" s="142" t="str">
        <f t="shared" si="188"/>
        <v>-</v>
      </c>
    </row>
    <row r="550" spans="1:19" ht="11.25" customHeight="1">
      <c r="A550" s="95">
        <v>2017</v>
      </c>
      <c r="B550" s="142" t="str">
        <f t="shared" ref="B550:L550" si="194">B70</f>
        <v>-</v>
      </c>
      <c r="C550" s="142" t="str">
        <f t="shared" si="194"/>
        <v>-</v>
      </c>
      <c r="D550" s="142">
        <f t="shared" si="194"/>
        <v>1080</v>
      </c>
      <c r="E550" s="142">
        <f t="shared" si="194"/>
        <v>652</v>
      </c>
      <c r="F550" s="142">
        <f t="shared" si="194"/>
        <v>50</v>
      </c>
      <c r="G550" s="142">
        <f t="shared" si="194"/>
        <v>611</v>
      </c>
      <c r="H550" s="142">
        <f t="shared" si="194"/>
        <v>234</v>
      </c>
      <c r="I550" s="142" t="str">
        <f t="shared" si="194"/>
        <v>-</v>
      </c>
      <c r="J550" s="142" t="str">
        <f t="shared" si="194"/>
        <v>-</v>
      </c>
      <c r="K550" s="142" t="str">
        <f t="shared" si="194"/>
        <v>-</v>
      </c>
      <c r="L550" s="142">
        <f t="shared" si="194"/>
        <v>2627</v>
      </c>
      <c r="N550" s="142" t="str">
        <f t="shared" si="188"/>
        <v>-</v>
      </c>
      <c r="O550" s="142">
        <f t="shared" si="188"/>
        <v>16</v>
      </c>
      <c r="P550" s="142">
        <f t="shared" si="188"/>
        <v>305</v>
      </c>
      <c r="Q550" s="142">
        <f t="shared" si="188"/>
        <v>149</v>
      </c>
      <c r="R550" s="142" t="str">
        <f t="shared" si="188"/>
        <v>-</v>
      </c>
      <c r="S550" s="142">
        <f t="shared" si="188"/>
        <v>470</v>
      </c>
    </row>
    <row r="551" spans="1:19" ht="11.25" customHeight="1">
      <c r="A551" s="95">
        <v>2018</v>
      </c>
      <c r="B551" s="142" t="str">
        <f t="shared" ref="B551:L551" si="195">B71</f>
        <v>-</v>
      </c>
      <c r="C551" s="142" t="str">
        <f t="shared" si="195"/>
        <v>-</v>
      </c>
      <c r="D551" s="142">
        <f t="shared" si="195"/>
        <v>16</v>
      </c>
      <c r="E551" s="142">
        <f t="shared" si="195"/>
        <v>269</v>
      </c>
      <c r="F551" s="142">
        <f t="shared" si="195"/>
        <v>10</v>
      </c>
      <c r="G551" s="142">
        <f t="shared" si="195"/>
        <v>38</v>
      </c>
      <c r="H551" s="142">
        <f t="shared" si="195"/>
        <v>0</v>
      </c>
      <c r="I551" s="142" t="str">
        <f t="shared" si="195"/>
        <v>-</v>
      </c>
      <c r="J551" s="142" t="str">
        <f t="shared" si="195"/>
        <v>-</v>
      </c>
      <c r="K551" s="142" t="str">
        <f t="shared" si="195"/>
        <v>-</v>
      </c>
      <c r="L551" s="142">
        <f t="shared" si="195"/>
        <v>333</v>
      </c>
      <c r="N551" s="142" t="str">
        <f t="shared" si="188"/>
        <v>-</v>
      </c>
      <c r="O551" s="142">
        <f t="shared" si="188"/>
        <v>8</v>
      </c>
      <c r="P551" s="142">
        <f t="shared" si="188"/>
        <v>84</v>
      </c>
      <c r="Q551" s="142" t="str">
        <f t="shared" si="188"/>
        <v>-</v>
      </c>
      <c r="R551" s="142" t="str">
        <f t="shared" si="188"/>
        <v>-</v>
      </c>
      <c r="S551" s="142">
        <f t="shared" si="188"/>
        <v>92</v>
      </c>
    </row>
    <row r="552" spans="1:19" ht="11.25" customHeight="1">
      <c r="A552" s="95">
        <v>2019</v>
      </c>
      <c r="B552" s="142" t="str">
        <f t="shared" ref="B552:L552" si="196">B72</f>
        <v>-</v>
      </c>
      <c r="C552" s="142" t="str">
        <f t="shared" si="196"/>
        <v>-</v>
      </c>
      <c r="D552" s="142">
        <f t="shared" si="196"/>
        <v>17</v>
      </c>
      <c r="E552" s="142">
        <f t="shared" si="196"/>
        <v>36</v>
      </c>
      <c r="F552" s="142">
        <f t="shared" si="196"/>
        <v>334</v>
      </c>
      <c r="G552" s="142">
        <f t="shared" si="196"/>
        <v>93</v>
      </c>
      <c r="H552" s="142">
        <f t="shared" si="196"/>
        <v>28</v>
      </c>
      <c r="I552" s="142" t="str">
        <f t="shared" si="196"/>
        <v>-</v>
      </c>
      <c r="J552" s="142" t="str">
        <f t="shared" si="196"/>
        <v>-</v>
      </c>
      <c r="K552" s="142" t="str">
        <f t="shared" si="196"/>
        <v>-</v>
      </c>
      <c r="L552" s="142">
        <f t="shared" si="196"/>
        <v>508</v>
      </c>
      <c r="N552" s="142" t="str">
        <f t="shared" si="188"/>
        <v>-</v>
      </c>
      <c r="O552" s="142">
        <f t="shared" si="188"/>
        <v>1029</v>
      </c>
      <c r="P552" s="142">
        <f t="shared" si="188"/>
        <v>302</v>
      </c>
      <c r="Q552" s="142">
        <f t="shared" si="188"/>
        <v>81</v>
      </c>
      <c r="R552" s="142" t="str">
        <f t="shared" si="188"/>
        <v>-</v>
      </c>
      <c r="S552" s="142">
        <f t="shared" si="188"/>
        <v>1412</v>
      </c>
    </row>
    <row r="553" spans="1:19" ht="11.25" customHeight="1">
      <c r="A553" s="95">
        <v>2020</v>
      </c>
      <c r="B553" s="142" t="str">
        <f t="shared" ref="B553:L554" si="197">B73</f>
        <v>-</v>
      </c>
      <c r="C553" s="142" t="str">
        <f t="shared" si="197"/>
        <v>-</v>
      </c>
      <c r="D553" s="142">
        <f t="shared" si="197"/>
        <v>84</v>
      </c>
      <c r="E553" s="142">
        <f t="shared" si="197"/>
        <v>36</v>
      </c>
      <c r="F553" s="142">
        <f t="shared" si="197"/>
        <v>57</v>
      </c>
      <c r="G553" s="142">
        <f t="shared" si="197"/>
        <v>13</v>
      </c>
      <c r="H553" s="142">
        <f t="shared" si="197"/>
        <v>0</v>
      </c>
      <c r="I553" s="142" t="str">
        <f t="shared" si="197"/>
        <v>-</v>
      </c>
      <c r="J553" s="142" t="str">
        <f t="shared" si="197"/>
        <v>-</v>
      </c>
      <c r="K553" s="142" t="str">
        <f t="shared" si="197"/>
        <v>-</v>
      </c>
      <c r="L553" s="142">
        <f t="shared" si="197"/>
        <v>190</v>
      </c>
      <c r="N553" s="142" t="str">
        <f t="shared" ref="N553:S554" si="198">N73</f>
        <v>-</v>
      </c>
      <c r="O553" s="142">
        <f t="shared" si="198"/>
        <v>63</v>
      </c>
      <c r="P553" s="142">
        <f t="shared" si="198"/>
        <v>64</v>
      </c>
      <c r="Q553" s="142">
        <f t="shared" si="198"/>
        <v>2</v>
      </c>
      <c r="R553" s="142" t="str">
        <f t="shared" si="198"/>
        <v>-</v>
      </c>
      <c r="S553" s="142">
        <f t="shared" si="198"/>
        <v>129</v>
      </c>
    </row>
    <row r="554" spans="1:19" ht="11.25" customHeight="1">
      <c r="A554" s="95" t="s">
        <v>317</v>
      </c>
      <c r="B554" s="142" t="str">
        <f t="shared" si="197"/>
        <v>-</v>
      </c>
      <c r="C554" s="142" t="str">
        <f t="shared" si="197"/>
        <v>-</v>
      </c>
      <c r="D554" s="142">
        <f t="shared" si="197"/>
        <v>15</v>
      </c>
      <c r="E554" s="142">
        <f t="shared" si="197"/>
        <v>8</v>
      </c>
      <c r="F554" s="142">
        <f t="shared" si="197"/>
        <v>126</v>
      </c>
      <c r="G554" s="142">
        <f t="shared" si="197"/>
        <v>24</v>
      </c>
      <c r="H554" s="142">
        <f t="shared" si="197"/>
        <v>5</v>
      </c>
      <c r="I554" s="142" t="str">
        <f t="shared" si="197"/>
        <v>-</v>
      </c>
      <c r="J554" s="142" t="str">
        <f t="shared" si="197"/>
        <v>-</v>
      </c>
      <c r="K554" s="142" t="str">
        <f t="shared" si="197"/>
        <v>-</v>
      </c>
      <c r="L554" s="142">
        <f t="shared" si="197"/>
        <v>178</v>
      </c>
      <c r="N554" s="142" t="str">
        <f t="shared" si="198"/>
        <v>-</v>
      </c>
      <c r="O554" s="142">
        <f t="shared" si="198"/>
        <v>75</v>
      </c>
      <c r="P554" s="142">
        <f t="shared" si="198"/>
        <v>25</v>
      </c>
      <c r="Q554" s="142">
        <f t="shared" si="198"/>
        <v>41</v>
      </c>
      <c r="R554" s="142" t="str">
        <f t="shared" si="198"/>
        <v>-</v>
      </c>
      <c r="S554" s="142">
        <f t="shared" si="198"/>
        <v>141</v>
      </c>
    </row>
    <row r="555" spans="1:19" ht="11.25" customHeight="1">
      <c r="A555" s="99"/>
      <c r="B555" s="142"/>
      <c r="C555" s="142"/>
      <c r="D555" s="142"/>
      <c r="E555" s="142"/>
      <c r="F555" s="142"/>
      <c r="G555" s="142"/>
      <c r="H555" s="142"/>
      <c r="I555" s="142"/>
      <c r="J555" s="142"/>
      <c r="K555" s="142"/>
      <c r="L555" s="142"/>
      <c r="N555" s="142"/>
      <c r="O555" s="142"/>
      <c r="P555" s="142"/>
      <c r="Q555" s="142"/>
      <c r="R555" s="142"/>
      <c r="S555" s="142"/>
    </row>
    <row r="556" spans="1:19" ht="11.25" customHeight="1">
      <c r="A556" s="94" t="str">
        <f>A76</f>
        <v>Tillamook</v>
      </c>
      <c r="B556" s="142"/>
      <c r="C556" s="142"/>
      <c r="D556" s="142"/>
      <c r="E556" s="142"/>
      <c r="F556" s="142"/>
      <c r="G556" s="142"/>
      <c r="H556" s="142"/>
      <c r="I556" s="142"/>
      <c r="J556" s="142"/>
      <c r="K556" s="142"/>
      <c r="L556" s="142"/>
      <c r="N556" s="142"/>
      <c r="O556" s="142"/>
      <c r="P556" s="142"/>
      <c r="Q556" s="142"/>
      <c r="R556" s="142"/>
      <c r="S556" s="142"/>
    </row>
    <row r="557" spans="1:19" ht="11.25" customHeight="1">
      <c r="A557" s="99" t="s">
        <v>24</v>
      </c>
      <c r="B557" s="142" t="s">
        <v>23</v>
      </c>
      <c r="C557" s="142" t="s">
        <v>23</v>
      </c>
      <c r="D557" s="142">
        <f t="shared" ref="D557:L557" si="199">AVERAGE(D106:D110)</f>
        <v>1546.6</v>
      </c>
      <c r="E557" s="142">
        <f t="shared" si="199"/>
        <v>282.8</v>
      </c>
      <c r="F557" s="142">
        <f t="shared" si="199"/>
        <v>2379.8000000000002</v>
      </c>
      <c r="G557" s="142">
        <f t="shared" si="199"/>
        <v>1209.5999999999999</v>
      </c>
      <c r="H557" s="142">
        <f t="shared" si="199"/>
        <v>281.2</v>
      </c>
      <c r="I557" s="142">
        <f t="shared" si="199"/>
        <v>198.8</v>
      </c>
      <c r="J557" s="142">
        <f t="shared" si="199"/>
        <v>6.5</v>
      </c>
      <c r="K557" s="142" t="s">
        <v>23</v>
      </c>
      <c r="L557" s="142">
        <f t="shared" si="199"/>
        <v>5901.4</v>
      </c>
      <c r="N557" s="139" t="s">
        <v>23</v>
      </c>
      <c r="O557" s="142">
        <f>AVERAGE(O106:O110)</f>
        <v>68831.5</v>
      </c>
      <c r="P557" s="142">
        <f>AVERAGE(P106:P110)</f>
        <v>20119.666666666668</v>
      </c>
      <c r="Q557" s="142">
        <f>AVERAGE(Q106:Q110)</f>
        <v>1637</v>
      </c>
      <c r="R557" s="139" t="s">
        <v>23</v>
      </c>
      <c r="S557" s="142">
        <f>AVERAGE(S106:S110)</f>
        <v>84330.5</v>
      </c>
    </row>
    <row r="558" spans="1:19" ht="11.25" customHeight="1">
      <c r="A558" s="99" t="s">
        <v>78</v>
      </c>
      <c r="B558" s="142" t="s">
        <v>23</v>
      </c>
      <c r="C558" s="142" t="s">
        <v>23</v>
      </c>
      <c r="D558" s="142">
        <f t="shared" ref="D558:L558" si="200">AVERAGE(D111:D115)</f>
        <v>1745</v>
      </c>
      <c r="E558" s="142">
        <f t="shared" si="200"/>
        <v>3147.2</v>
      </c>
      <c r="F558" s="142">
        <f t="shared" si="200"/>
        <v>8129.4</v>
      </c>
      <c r="G558" s="142">
        <f t="shared" si="200"/>
        <v>6211.8</v>
      </c>
      <c r="H558" s="142">
        <f t="shared" si="200"/>
        <v>4945.8</v>
      </c>
      <c r="I558" s="142">
        <f t="shared" si="200"/>
        <v>2060.1999999999998</v>
      </c>
      <c r="J558" s="142">
        <f t="shared" si="200"/>
        <v>11</v>
      </c>
      <c r="K558" s="142" t="s">
        <v>23</v>
      </c>
      <c r="L558" s="142">
        <f t="shared" si="200"/>
        <v>26241.599999999999</v>
      </c>
      <c r="N558" s="139" t="s">
        <v>23</v>
      </c>
      <c r="O558" s="142">
        <f>AVERAGE(O111:O115)</f>
        <v>82149.8</v>
      </c>
      <c r="P558" s="142">
        <f>AVERAGE(P111:P115)</f>
        <v>29286.5</v>
      </c>
      <c r="Q558" s="142">
        <f>AVERAGE(Q111:Q115)</f>
        <v>5397</v>
      </c>
      <c r="R558" s="139" t="s">
        <v>23</v>
      </c>
      <c r="S558" s="142">
        <f>AVERAGE(S111:S115)</f>
        <v>106658.4</v>
      </c>
    </row>
    <row r="559" spans="1:19" ht="11.25" customHeight="1">
      <c r="A559" s="99" t="s">
        <v>10</v>
      </c>
      <c r="B559" s="142" t="s">
        <v>23</v>
      </c>
      <c r="C559" s="142" t="s">
        <v>23</v>
      </c>
      <c r="D559" s="142">
        <f>AVERAGE(D116:D120)</f>
        <v>306.2</v>
      </c>
      <c r="E559" s="142">
        <f t="shared" ref="E559:J559" si="201">AVERAGE(E116:E120)</f>
        <v>374.5</v>
      </c>
      <c r="F559" s="142">
        <f t="shared" si="201"/>
        <v>1434.6666666666667</v>
      </c>
      <c r="G559" s="142">
        <f t="shared" si="201"/>
        <v>2843</v>
      </c>
      <c r="H559" s="142">
        <f t="shared" si="201"/>
        <v>1922.25</v>
      </c>
      <c r="I559" s="142">
        <f t="shared" si="201"/>
        <v>1606.6</v>
      </c>
      <c r="J559" s="142">
        <f t="shared" si="201"/>
        <v>7</v>
      </c>
      <c r="K559" s="142" t="s">
        <v>23</v>
      </c>
      <c r="L559" s="142">
        <f>AVERAGE(L116:L120)</f>
        <v>6886.8</v>
      </c>
      <c r="N559" s="139" t="s">
        <v>23</v>
      </c>
      <c r="O559" s="142">
        <f>AVERAGE(O116:O120)</f>
        <v>45366.5</v>
      </c>
      <c r="P559" s="142">
        <f>AVERAGE(P116:P120)</f>
        <v>7065</v>
      </c>
      <c r="Q559" s="139" t="s">
        <v>23</v>
      </c>
      <c r="R559" s="139" t="s">
        <v>23</v>
      </c>
      <c r="S559" s="142">
        <f>AVERAGE(S116:S120)</f>
        <v>48905</v>
      </c>
    </row>
    <row r="560" spans="1:19" ht="11.25" customHeight="1">
      <c r="A560" s="99" t="s">
        <v>144</v>
      </c>
      <c r="B560" s="142" t="s">
        <v>23</v>
      </c>
      <c r="C560" s="142" t="s">
        <v>23</v>
      </c>
      <c r="D560" s="142">
        <f>AVERAGE(D121:D125)</f>
        <v>363</v>
      </c>
      <c r="E560" s="142">
        <f t="shared" ref="E560:J560" si="202">AVERAGE(E121:E125)</f>
        <v>2862.6</v>
      </c>
      <c r="F560" s="142">
        <f t="shared" si="202"/>
        <v>370</v>
      </c>
      <c r="G560" s="142">
        <f t="shared" si="202"/>
        <v>2082.1999999999998</v>
      </c>
      <c r="H560" s="142">
        <f t="shared" si="202"/>
        <v>1413.4</v>
      </c>
      <c r="I560" s="142">
        <f t="shared" si="202"/>
        <v>1259.2</v>
      </c>
      <c r="J560" s="142">
        <f t="shared" si="202"/>
        <v>21</v>
      </c>
      <c r="K560" s="142" t="s">
        <v>23</v>
      </c>
      <c r="L560" s="142">
        <f>AVERAGE(L121:L125)</f>
        <v>8191</v>
      </c>
      <c r="N560" s="139" t="s">
        <v>23</v>
      </c>
      <c r="O560" s="142" t="s">
        <v>23</v>
      </c>
      <c r="P560" s="142" t="s">
        <v>23</v>
      </c>
      <c r="Q560" s="139" t="s">
        <v>23</v>
      </c>
      <c r="R560" s="139" t="s">
        <v>23</v>
      </c>
      <c r="S560" s="142" t="s">
        <v>23</v>
      </c>
    </row>
    <row r="561" spans="1:19" ht="11.25" customHeight="1">
      <c r="A561" s="95" t="s">
        <v>166</v>
      </c>
      <c r="B561" s="142">
        <f t="shared" ref="B561:J561" si="203">AVERAGE(B126:B130)</f>
        <v>1881</v>
      </c>
      <c r="C561" s="142">
        <f t="shared" si="203"/>
        <v>887.6</v>
      </c>
      <c r="D561" s="142">
        <f t="shared" si="203"/>
        <v>5198.2</v>
      </c>
      <c r="E561" s="142">
        <f t="shared" si="203"/>
        <v>6483.6</v>
      </c>
      <c r="F561" s="142">
        <f t="shared" si="203"/>
        <v>2709.25</v>
      </c>
      <c r="G561" s="142">
        <f t="shared" si="203"/>
        <v>3511.25</v>
      </c>
      <c r="H561" s="142">
        <f t="shared" si="203"/>
        <v>3416.2</v>
      </c>
      <c r="I561" s="142">
        <f t="shared" si="203"/>
        <v>3074.4</v>
      </c>
      <c r="J561" s="142">
        <f t="shared" si="203"/>
        <v>31</v>
      </c>
      <c r="K561" s="142" t="str">
        <f>K126</f>
        <v>-</v>
      </c>
      <c r="L561" s="142">
        <f>AVERAGE(L126:L130)</f>
        <v>25572.2</v>
      </c>
      <c r="N561" s="142" t="str">
        <f t="shared" ref="N561:S561" si="204">N126</f>
        <v>-</v>
      </c>
      <c r="O561" s="142" t="str">
        <f t="shared" si="204"/>
        <v>-</v>
      </c>
      <c r="P561" s="142" t="str">
        <f t="shared" si="204"/>
        <v>-</v>
      </c>
      <c r="Q561" s="142" t="str">
        <f t="shared" si="204"/>
        <v>-</v>
      </c>
      <c r="R561" s="142" t="str">
        <f t="shared" si="204"/>
        <v>-</v>
      </c>
      <c r="S561" s="142" t="str">
        <f t="shared" si="204"/>
        <v>-</v>
      </c>
    </row>
    <row r="562" spans="1:19" ht="11.25" customHeight="1">
      <c r="A562" s="95" t="s">
        <v>315</v>
      </c>
      <c r="B562" s="142" t="str">
        <f>B131</f>
        <v>-</v>
      </c>
      <c r="C562" s="142">
        <f>AVERAGE(C131:C135)</f>
        <v>14</v>
      </c>
      <c r="D562" s="142">
        <f t="shared" ref="D562:L562" si="205">AVERAGE(D131:D135)</f>
        <v>1432.5</v>
      </c>
      <c r="E562" s="142">
        <f t="shared" si="205"/>
        <v>1513.6666666666667</v>
      </c>
      <c r="F562" s="142">
        <f t="shared" si="205"/>
        <v>332.33333333333331</v>
      </c>
      <c r="G562" s="142">
        <f t="shared" si="205"/>
        <v>56.666666666666664</v>
      </c>
      <c r="H562" s="142">
        <f t="shared" si="205"/>
        <v>162.19999999999999</v>
      </c>
      <c r="I562" s="142">
        <f t="shared" si="205"/>
        <v>252.4</v>
      </c>
      <c r="J562" s="142">
        <f t="shared" si="205"/>
        <v>71</v>
      </c>
      <c r="K562" s="142" t="str">
        <f>K131</f>
        <v>-</v>
      </c>
      <c r="L562" s="142">
        <f t="shared" si="205"/>
        <v>2160.4</v>
      </c>
      <c r="N562" s="142" t="str">
        <f t="shared" ref="N562:O562" si="206">N131</f>
        <v>-</v>
      </c>
      <c r="O562" s="142" t="str">
        <f t="shared" si="206"/>
        <v>-</v>
      </c>
      <c r="P562" s="142">
        <f t="shared" ref="P562:S562" si="207">AVERAGE(P131:P135)</f>
        <v>1195</v>
      </c>
      <c r="Q562" s="142">
        <f t="shared" si="207"/>
        <v>1787</v>
      </c>
      <c r="R562" s="142" t="e">
        <f t="shared" si="207"/>
        <v>#DIV/0!</v>
      </c>
      <c r="S562" s="142">
        <f t="shared" si="207"/>
        <v>2384.5</v>
      </c>
    </row>
    <row r="563" spans="1:19" ht="11.25" customHeight="1">
      <c r="A563" s="95">
        <v>2011</v>
      </c>
      <c r="B563" s="142" t="str">
        <f t="shared" ref="B563:L563" si="208">B136</f>
        <v>-</v>
      </c>
      <c r="C563" s="142">
        <f t="shared" si="208"/>
        <v>1</v>
      </c>
      <c r="D563" s="142">
        <f t="shared" si="208"/>
        <v>130</v>
      </c>
      <c r="E563" s="142">
        <f t="shared" si="208"/>
        <v>615</v>
      </c>
      <c r="F563" s="142">
        <f t="shared" si="208"/>
        <v>174</v>
      </c>
      <c r="G563" s="142">
        <f t="shared" si="208"/>
        <v>52</v>
      </c>
      <c r="H563" s="142">
        <f t="shared" si="208"/>
        <v>114</v>
      </c>
      <c r="I563" s="142">
        <f t="shared" si="208"/>
        <v>20</v>
      </c>
      <c r="J563" s="142" t="str">
        <f t="shared" si="208"/>
        <v>-</v>
      </c>
      <c r="K563" s="142" t="str">
        <f t="shared" si="208"/>
        <v>-</v>
      </c>
      <c r="L563" s="142">
        <f t="shared" si="208"/>
        <v>1106</v>
      </c>
      <c r="N563" s="142" t="str">
        <f t="shared" ref="N563:S571" si="209">N136</f>
        <v>-</v>
      </c>
      <c r="O563" s="142" t="str">
        <f t="shared" si="209"/>
        <v>-</v>
      </c>
      <c r="P563" s="142" t="str">
        <f t="shared" si="209"/>
        <v>-</v>
      </c>
      <c r="Q563" s="142" t="str">
        <f t="shared" si="209"/>
        <v>-</v>
      </c>
      <c r="R563" s="142" t="str">
        <f t="shared" si="209"/>
        <v>-</v>
      </c>
      <c r="S563" s="142" t="str">
        <f t="shared" si="209"/>
        <v>-</v>
      </c>
    </row>
    <row r="564" spans="1:19" ht="11.25" customHeight="1">
      <c r="A564" s="95">
        <v>2012</v>
      </c>
      <c r="B564" s="142" t="str">
        <f t="shared" ref="B564:L564" si="210">B137</f>
        <v>-</v>
      </c>
      <c r="C564" s="142">
        <f t="shared" si="210"/>
        <v>440</v>
      </c>
      <c r="D564" s="142">
        <f t="shared" si="210"/>
        <v>1492</v>
      </c>
      <c r="E564" s="142">
        <f t="shared" si="210"/>
        <v>441</v>
      </c>
      <c r="F564" s="142">
        <f t="shared" si="210"/>
        <v>178</v>
      </c>
      <c r="G564" s="142">
        <f t="shared" si="210"/>
        <v>55</v>
      </c>
      <c r="H564" s="142">
        <f t="shared" si="210"/>
        <v>1146</v>
      </c>
      <c r="I564" s="142">
        <f t="shared" si="210"/>
        <v>3645</v>
      </c>
      <c r="J564" s="142" t="str">
        <f t="shared" si="210"/>
        <v>-</v>
      </c>
      <c r="K564" s="142" t="str">
        <f t="shared" si="210"/>
        <v>-</v>
      </c>
      <c r="L564" s="142">
        <f t="shared" si="210"/>
        <v>7397</v>
      </c>
      <c r="N564" s="142" t="str">
        <f t="shared" si="209"/>
        <v>-</v>
      </c>
      <c r="O564" s="142" t="str">
        <f t="shared" si="209"/>
        <v>-</v>
      </c>
      <c r="P564" s="142" t="str">
        <f t="shared" si="209"/>
        <v>-</v>
      </c>
      <c r="Q564" s="142" t="str">
        <f t="shared" si="209"/>
        <v>-</v>
      </c>
      <c r="R564" s="142" t="str">
        <f t="shared" si="209"/>
        <v>-</v>
      </c>
      <c r="S564" s="142" t="str">
        <f t="shared" si="209"/>
        <v>-</v>
      </c>
    </row>
    <row r="565" spans="1:19" ht="11.25" customHeight="1">
      <c r="A565" s="95">
        <v>2013</v>
      </c>
      <c r="B565" s="142" t="str">
        <f t="shared" ref="B565:L565" si="211">B138</f>
        <v>-</v>
      </c>
      <c r="C565" s="142">
        <f t="shared" si="211"/>
        <v>1391</v>
      </c>
      <c r="D565" s="142">
        <f t="shared" si="211"/>
        <v>349</v>
      </c>
      <c r="E565" s="142">
        <f t="shared" si="211"/>
        <v>144</v>
      </c>
      <c r="F565" s="142">
        <f t="shared" si="211"/>
        <v>380</v>
      </c>
      <c r="G565" s="142">
        <f t="shared" si="211"/>
        <v>2869</v>
      </c>
      <c r="H565" s="142">
        <f t="shared" si="211"/>
        <v>3461</v>
      </c>
      <c r="I565" s="142">
        <f t="shared" si="211"/>
        <v>286</v>
      </c>
      <c r="J565" s="142" t="str">
        <f t="shared" si="211"/>
        <v>-</v>
      </c>
      <c r="K565" s="142" t="str">
        <f t="shared" si="211"/>
        <v>-</v>
      </c>
      <c r="L565" s="142">
        <f t="shared" si="211"/>
        <v>8880</v>
      </c>
      <c r="N565" s="142" t="str">
        <f t="shared" si="209"/>
        <v>-</v>
      </c>
      <c r="O565" s="142" t="str">
        <f t="shared" si="209"/>
        <v>-</v>
      </c>
      <c r="P565" s="142" t="str">
        <f t="shared" si="209"/>
        <v>-</v>
      </c>
      <c r="Q565" s="142" t="str">
        <f t="shared" si="209"/>
        <v>-</v>
      </c>
      <c r="R565" s="142" t="str">
        <f t="shared" si="209"/>
        <v>-</v>
      </c>
      <c r="S565" s="142" t="str">
        <f t="shared" si="209"/>
        <v>-</v>
      </c>
    </row>
    <row r="566" spans="1:19" ht="11.25" customHeight="1">
      <c r="A566" s="95">
        <v>2014</v>
      </c>
      <c r="B566" s="142" t="str">
        <f t="shared" ref="B566:L566" si="212">B139</f>
        <v>-</v>
      </c>
      <c r="C566" s="142">
        <f t="shared" si="212"/>
        <v>20</v>
      </c>
      <c r="D566" s="142">
        <f t="shared" si="212"/>
        <v>1133</v>
      </c>
      <c r="E566" s="142">
        <f t="shared" si="212"/>
        <v>2640</v>
      </c>
      <c r="F566" s="142">
        <f t="shared" si="212"/>
        <v>593</v>
      </c>
      <c r="G566" s="142">
        <f t="shared" si="212"/>
        <v>246</v>
      </c>
      <c r="H566" s="142">
        <f t="shared" si="212"/>
        <v>2355</v>
      </c>
      <c r="I566" s="142">
        <f t="shared" si="212"/>
        <v>22</v>
      </c>
      <c r="J566" s="142" t="str">
        <f t="shared" si="212"/>
        <v>-</v>
      </c>
      <c r="K566" s="142" t="str">
        <f t="shared" si="212"/>
        <v>-</v>
      </c>
      <c r="L566" s="142">
        <f t="shared" si="212"/>
        <v>7009</v>
      </c>
      <c r="N566" s="142" t="str">
        <f t="shared" si="209"/>
        <v>-</v>
      </c>
      <c r="O566" s="142" t="str">
        <f t="shared" si="209"/>
        <v>-</v>
      </c>
      <c r="P566" s="142" t="str">
        <f t="shared" si="209"/>
        <v>-</v>
      </c>
      <c r="Q566" s="142">
        <f t="shared" si="209"/>
        <v>1104</v>
      </c>
      <c r="R566" s="142" t="str">
        <f t="shared" si="209"/>
        <v>-</v>
      </c>
      <c r="S566" s="142">
        <f t="shared" si="209"/>
        <v>1104</v>
      </c>
    </row>
    <row r="567" spans="1:19" ht="11.25" customHeight="1">
      <c r="A567" s="95">
        <v>2015</v>
      </c>
      <c r="B567" s="142" t="str">
        <f t="shared" ref="B567:L567" si="213">B140</f>
        <v>-</v>
      </c>
      <c r="C567" s="142">
        <f t="shared" si="213"/>
        <v>205</v>
      </c>
      <c r="D567" s="142">
        <f t="shared" si="213"/>
        <v>4114</v>
      </c>
      <c r="E567" s="142">
        <f t="shared" si="213"/>
        <v>3118</v>
      </c>
      <c r="F567" s="142">
        <f t="shared" si="213"/>
        <v>96</v>
      </c>
      <c r="G567" s="142">
        <f t="shared" si="213"/>
        <v>186</v>
      </c>
      <c r="H567" s="142">
        <f t="shared" si="213"/>
        <v>807</v>
      </c>
      <c r="I567" s="142">
        <f t="shared" si="213"/>
        <v>319</v>
      </c>
      <c r="J567" s="142" t="str">
        <f t="shared" si="213"/>
        <v>-</v>
      </c>
      <c r="K567" s="142" t="str">
        <f t="shared" si="213"/>
        <v>-</v>
      </c>
      <c r="L567" s="142">
        <f t="shared" si="213"/>
        <v>8845</v>
      </c>
      <c r="N567" s="142" t="str">
        <f t="shared" si="209"/>
        <v>-</v>
      </c>
      <c r="O567" s="142" t="str">
        <f t="shared" si="209"/>
        <v>-</v>
      </c>
      <c r="P567" s="142" t="str">
        <f t="shared" si="209"/>
        <v>-</v>
      </c>
      <c r="Q567" s="142" t="str">
        <f t="shared" si="209"/>
        <v>-</v>
      </c>
      <c r="R567" s="142" t="str">
        <f t="shared" si="209"/>
        <v>-</v>
      </c>
      <c r="S567" s="142" t="str">
        <f t="shared" si="209"/>
        <v>-</v>
      </c>
    </row>
    <row r="568" spans="1:19" ht="11.25" customHeight="1">
      <c r="A568" s="95">
        <v>2016</v>
      </c>
      <c r="B568" s="142" t="str">
        <f t="shared" ref="B568:L568" si="214">B141</f>
        <v>-</v>
      </c>
      <c r="C568" s="142">
        <f t="shared" si="214"/>
        <v>167</v>
      </c>
      <c r="D568" s="142">
        <f t="shared" si="214"/>
        <v>185</v>
      </c>
      <c r="E568" s="142">
        <f t="shared" si="214"/>
        <v>515</v>
      </c>
      <c r="F568" s="142">
        <f t="shared" si="214"/>
        <v>16</v>
      </c>
      <c r="G568" s="142">
        <f t="shared" si="214"/>
        <v>23</v>
      </c>
      <c r="H568" s="142">
        <f t="shared" si="214"/>
        <v>135</v>
      </c>
      <c r="I568" s="142">
        <f t="shared" si="214"/>
        <v>26</v>
      </c>
      <c r="J568" s="142" t="str">
        <f t="shared" si="214"/>
        <v>-</v>
      </c>
      <c r="K568" s="142" t="str">
        <f t="shared" si="214"/>
        <v>-</v>
      </c>
      <c r="L568" s="142">
        <f t="shared" si="214"/>
        <v>1067</v>
      </c>
      <c r="N568" s="142" t="str">
        <f t="shared" si="209"/>
        <v>-</v>
      </c>
      <c r="O568" s="142" t="str">
        <f t="shared" si="209"/>
        <v>-</v>
      </c>
      <c r="P568" s="142" t="str">
        <f t="shared" si="209"/>
        <v>-</v>
      </c>
      <c r="Q568" s="142" t="str">
        <f t="shared" si="209"/>
        <v>-</v>
      </c>
      <c r="R568" s="142" t="str">
        <f t="shared" si="209"/>
        <v>-</v>
      </c>
      <c r="S568" s="142" t="str">
        <f t="shared" si="209"/>
        <v>-</v>
      </c>
    </row>
    <row r="569" spans="1:19" ht="11.25" customHeight="1">
      <c r="A569" s="95">
        <v>2017</v>
      </c>
      <c r="B569" s="142" t="str">
        <f t="shared" ref="B569:L569" si="215">B142</f>
        <v>-</v>
      </c>
      <c r="C569" s="142">
        <f t="shared" si="215"/>
        <v>6</v>
      </c>
      <c r="D569" s="142">
        <f t="shared" si="215"/>
        <v>325</v>
      </c>
      <c r="E569" s="142">
        <f t="shared" si="215"/>
        <v>224</v>
      </c>
      <c r="F569" s="142">
        <f t="shared" si="215"/>
        <v>17</v>
      </c>
      <c r="G569" s="142" t="str">
        <f t="shared" si="215"/>
        <v>-</v>
      </c>
      <c r="H569" s="142">
        <f t="shared" si="215"/>
        <v>112</v>
      </c>
      <c r="I569" s="142">
        <f t="shared" si="215"/>
        <v>33</v>
      </c>
      <c r="J569" s="142" t="str">
        <f t="shared" si="215"/>
        <v>-</v>
      </c>
      <c r="K569" s="142" t="str">
        <f t="shared" si="215"/>
        <v>-</v>
      </c>
      <c r="L569" s="142">
        <f t="shared" si="215"/>
        <v>717</v>
      </c>
      <c r="N569" s="142" t="str">
        <f t="shared" si="209"/>
        <v>-</v>
      </c>
      <c r="O569" s="142" t="str">
        <f t="shared" si="209"/>
        <v>-</v>
      </c>
      <c r="P569" s="142" t="str">
        <f t="shared" si="209"/>
        <v>-</v>
      </c>
      <c r="Q569" s="142" t="str">
        <f t="shared" si="209"/>
        <v>-</v>
      </c>
      <c r="R569" s="142" t="str">
        <f t="shared" si="209"/>
        <v>-</v>
      </c>
      <c r="S569" s="142" t="str">
        <f t="shared" si="209"/>
        <v>-</v>
      </c>
    </row>
    <row r="570" spans="1:19" ht="11.25" customHeight="1">
      <c r="A570" s="95">
        <v>2018</v>
      </c>
      <c r="B570" s="142" t="str">
        <f t="shared" ref="B570:L570" si="216">B143</f>
        <v>-</v>
      </c>
      <c r="C570" s="142" t="str">
        <f t="shared" si="216"/>
        <v>-</v>
      </c>
      <c r="D570" s="142">
        <f t="shared" si="216"/>
        <v>180</v>
      </c>
      <c r="E570" s="142">
        <f t="shared" si="216"/>
        <v>168</v>
      </c>
      <c r="F570" s="142">
        <f t="shared" si="216"/>
        <v>19</v>
      </c>
      <c r="G570" s="142">
        <f t="shared" si="216"/>
        <v>58</v>
      </c>
      <c r="H570" s="142">
        <f t="shared" si="216"/>
        <v>26</v>
      </c>
      <c r="I570" s="142">
        <f t="shared" si="216"/>
        <v>14</v>
      </c>
      <c r="J570" s="142" t="str">
        <f t="shared" si="216"/>
        <v>-</v>
      </c>
      <c r="K570" s="142" t="str">
        <f t="shared" si="216"/>
        <v>-</v>
      </c>
      <c r="L570" s="142">
        <f t="shared" si="216"/>
        <v>465</v>
      </c>
      <c r="N570" s="142" t="str">
        <f t="shared" si="209"/>
        <v>-</v>
      </c>
      <c r="O570" s="142" t="str">
        <f t="shared" si="209"/>
        <v>-</v>
      </c>
      <c r="P570" s="142" t="str">
        <f t="shared" si="209"/>
        <v>-</v>
      </c>
      <c r="Q570" s="142" t="str">
        <f t="shared" si="209"/>
        <v>-</v>
      </c>
      <c r="R570" s="142" t="str">
        <f t="shared" si="209"/>
        <v>-</v>
      </c>
      <c r="S570" s="142" t="str">
        <f t="shared" si="209"/>
        <v>-</v>
      </c>
    </row>
    <row r="571" spans="1:19" ht="11.25" customHeight="1">
      <c r="A571" s="95">
        <v>2019</v>
      </c>
      <c r="B571" s="142" t="str">
        <f t="shared" ref="B571:L571" si="217">B144</f>
        <v>-</v>
      </c>
      <c r="C571" s="142">
        <f t="shared" si="217"/>
        <v>3</v>
      </c>
      <c r="D571" s="142">
        <f t="shared" si="217"/>
        <v>144</v>
      </c>
      <c r="E571" s="142">
        <f t="shared" si="217"/>
        <v>68</v>
      </c>
      <c r="F571" s="142">
        <f t="shared" si="217"/>
        <v>234</v>
      </c>
      <c r="G571" s="142">
        <f t="shared" si="217"/>
        <v>42</v>
      </c>
      <c r="H571" s="142">
        <f t="shared" si="217"/>
        <v>33</v>
      </c>
      <c r="I571" s="142">
        <f t="shared" si="217"/>
        <v>43</v>
      </c>
      <c r="J571" s="142" t="str">
        <f t="shared" si="217"/>
        <v>-</v>
      </c>
      <c r="K571" s="142" t="str">
        <f t="shared" si="217"/>
        <v>-</v>
      </c>
      <c r="L571" s="142">
        <f t="shared" si="217"/>
        <v>567</v>
      </c>
      <c r="N571" s="142" t="str">
        <f t="shared" si="209"/>
        <v>-</v>
      </c>
      <c r="O571" s="142" t="str">
        <f t="shared" si="209"/>
        <v>-</v>
      </c>
      <c r="P571" s="142" t="str">
        <f t="shared" si="209"/>
        <v>-</v>
      </c>
      <c r="Q571" s="142" t="str">
        <f t="shared" si="209"/>
        <v>-</v>
      </c>
      <c r="R571" s="142" t="str">
        <f t="shared" si="209"/>
        <v>-</v>
      </c>
      <c r="S571" s="142" t="str">
        <f t="shared" si="209"/>
        <v>-</v>
      </c>
    </row>
    <row r="572" spans="1:19" ht="11.25" customHeight="1">
      <c r="A572" s="95">
        <v>2020</v>
      </c>
      <c r="B572" s="142" t="str">
        <f t="shared" ref="B572:L573" si="218">B145</f>
        <v>-</v>
      </c>
      <c r="C572" s="142">
        <f t="shared" si="218"/>
        <v>15</v>
      </c>
      <c r="D572" s="142">
        <f t="shared" si="218"/>
        <v>9</v>
      </c>
      <c r="E572" s="142">
        <f t="shared" si="218"/>
        <v>481</v>
      </c>
      <c r="F572" s="142">
        <f t="shared" si="218"/>
        <v>38</v>
      </c>
      <c r="G572" s="142">
        <f t="shared" si="218"/>
        <v>19</v>
      </c>
      <c r="H572" s="142">
        <f t="shared" si="218"/>
        <v>73</v>
      </c>
      <c r="I572" s="142">
        <f t="shared" si="218"/>
        <v>43</v>
      </c>
      <c r="J572" s="142" t="str">
        <f t="shared" si="218"/>
        <v>-</v>
      </c>
      <c r="K572" s="142" t="str">
        <f t="shared" si="218"/>
        <v>-</v>
      </c>
      <c r="L572" s="142">
        <f t="shared" si="218"/>
        <v>678</v>
      </c>
      <c r="N572" s="142" t="str">
        <f>N145</f>
        <v>-</v>
      </c>
      <c r="O572" s="142" t="str">
        <f t="shared" ref="O572:S573" si="219">O145</f>
        <v>-</v>
      </c>
      <c r="P572" s="142" t="str">
        <f t="shared" si="219"/>
        <v>-</v>
      </c>
      <c r="Q572" s="142" t="str">
        <f t="shared" si="219"/>
        <v>-</v>
      </c>
      <c r="R572" s="142" t="str">
        <f t="shared" si="219"/>
        <v>-</v>
      </c>
      <c r="S572" s="142" t="str">
        <f t="shared" si="219"/>
        <v>-</v>
      </c>
    </row>
    <row r="573" spans="1:19" ht="11.25" customHeight="1">
      <c r="A573" s="95" t="s">
        <v>317</v>
      </c>
      <c r="B573" s="142" t="str">
        <f t="shared" si="218"/>
        <v>-</v>
      </c>
      <c r="C573" s="142">
        <f t="shared" si="218"/>
        <v>413</v>
      </c>
      <c r="D573" s="142">
        <f t="shared" si="218"/>
        <v>355</v>
      </c>
      <c r="E573" s="142">
        <f t="shared" si="218"/>
        <v>238</v>
      </c>
      <c r="F573" s="142">
        <f t="shared" si="218"/>
        <v>105</v>
      </c>
      <c r="G573" s="142">
        <f t="shared" si="218"/>
        <v>146</v>
      </c>
      <c r="H573" s="142">
        <f t="shared" si="218"/>
        <v>47</v>
      </c>
      <c r="I573" s="142">
        <f t="shared" si="218"/>
        <v>4</v>
      </c>
      <c r="J573" s="142" t="str">
        <f t="shared" si="218"/>
        <v>-</v>
      </c>
      <c r="K573" s="142" t="str">
        <f t="shared" si="218"/>
        <v>-</v>
      </c>
      <c r="L573" s="142">
        <f t="shared" si="218"/>
        <v>1308</v>
      </c>
      <c r="N573" s="142" t="str">
        <f>N146</f>
        <v>-</v>
      </c>
      <c r="O573" s="142">
        <f t="shared" si="219"/>
        <v>61</v>
      </c>
      <c r="P573" s="142">
        <f t="shared" si="219"/>
        <v>56</v>
      </c>
      <c r="Q573" s="142" t="str">
        <f t="shared" si="219"/>
        <v>-</v>
      </c>
      <c r="R573" s="142" t="str">
        <f t="shared" si="219"/>
        <v>-</v>
      </c>
      <c r="S573" s="142">
        <f t="shared" si="219"/>
        <v>117</v>
      </c>
    </row>
    <row r="574" spans="1:19" ht="11.25" customHeight="1">
      <c r="B574" s="142"/>
      <c r="C574" s="142"/>
      <c r="D574" s="142"/>
      <c r="E574" s="142"/>
      <c r="F574" s="142"/>
      <c r="G574" s="142"/>
      <c r="H574" s="142"/>
      <c r="I574" s="142"/>
      <c r="J574" s="142"/>
      <c r="K574" s="142"/>
      <c r="L574" s="142"/>
      <c r="N574" s="142"/>
      <c r="O574" s="142"/>
      <c r="P574" s="142"/>
      <c r="Q574" s="142"/>
      <c r="R574" s="142"/>
      <c r="S574" s="142"/>
    </row>
    <row r="575" spans="1:19" ht="11.25" customHeight="1">
      <c r="A575" s="309" t="s">
        <v>274</v>
      </c>
      <c r="B575" s="309"/>
      <c r="C575" s="310"/>
      <c r="D575" s="310"/>
      <c r="E575" s="310"/>
      <c r="F575" s="310"/>
      <c r="G575" s="310"/>
      <c r="H575" s="310"/>
      <c r="I575" s="310"/>
      <c r="J575" s="310"/>
      <c r="K575" s="310"/>
      <c r="L575" s="310"/>
      <c r="M575" s="310"/>
      <c r="N575" s="310"/>
      <c r="O575" s="310"/>
      <c r="P575" s="310"/>
      <c r="Q575" s="310"/>
      <c r="R575" s="310"/>
      <c r="S575" s="310"/>
    </row>
    <row r="576" spans="1:19" ht="11.25" customHeight="1">
      <c r="A576" s="100" t="s">
        <v>27</v>
      </c>
      <c r="B576" s="185" t="s">
        <v>37</v>
      </c>
      <c r="C576" s="185" t="s">
        <v>28</v>
      </c>
      <c r="D576" s="185" t="s">
        <v>29</v>
      </c>
      <c r="E576" s="185" t="s">
        <v>30</v>
      </c>
      <c r="F576" s="185" t="s">
        <v>31</v>
      </c>
      <c r="G576" s="185" t="s">
        <v>32</v>
      </c>
      <c r="H576" s="185" t="s">
        <v>33</v>
      </c>
      <c r="I576" s="185" t="s">
        <v>34</v>
      </c>
      <c r="J576" s="185" t="s">
        <v>38</v>
      </c>
      <c r="K576" s="185" t="s">
        <v>75</v>
      </c>
      <c r="L576" s="185" t="s">
        <v>22</v>
      </c>
      <c r="M576" s="185"/>
      <c r="N576" s="185" t="s">
        <v>30</v>
      </c>
      <c r="O576" s="185" t="s">
        <v>31</v>
      </c>
      <c r="P576" s="185" t="s">
        <v>32</v>
      </c>
      <c r="Q576" s="185" t="s">
        <v>33</v>
      </c>
      <c r="R576" s="185" t="s">
        <v>34</v>
      </c>
      <c r="S576" s="185" t="s">
        <v>22</v>
      </c>
    </row>
    <row r="577" spans="1:19" ht="11.25" customHeight="1">
      <c r="B577" s="308" t="s">
        <v>61</v>
      </c>
      <c r="C577" s="308"/>
      <c r="D577" s="308"/>
      <c r="E577" s="308"/>
      <c r="F577" s="308"/>
      <c r="G577" s="308"/>
      <c r="H577" s="308"/>
      <c r="I577" s="308"/>
      <c r="J577" s="308"/>
      <c r="K577" s="308"/>
      <c r="L577" s="308"/>
      <c r="N577" s="308" t="s">
        <v>62</v>
      </c>
      <c r="O577" s="308"/>
      <c r="P577" s="308"/>
      <c r="Q577" s="308"/>
      <c r="R577" s="308"/>
      <c r="S577" s="308"/>
    </row>
    <row r="578" spans="1:19" ht="11.25" customHeight="1">
      <c r="A578" s="247" t="str">
        <f>A148</f>
        <v>Newport</v>
      </c>
      <c r="B578" s="142"/>
      <c r="C578" s="142"/>
      <c r="D578" s="142"/>
      <c r="E578" s="142"/>
      <c r="F578" s="142"/>
      <c r="G578" s="142"/>
      <c r="H578" s="142"/>
      <c r="I578" s="142"/>
      <c r="J578" s="142"/>
      <c r="K578" s="142"/>
      <c r="L578" s="142"/>
      <c r="N578" s="142"/>
      <c r="O578" s="142"/>
      <c r="P578" s="142"/>
      <c r="Q578" s="142"/>
      <c r="R578" s="142"/>
      <c r="S578" s="142"/>
    </row>
    <row r="579" spans="1:19" ht="11.25" customHeight="1">
      <c r="A579" s="99" t="s">
        <v>24</v>
      </c>
      <c r="B579" s="142" t="s">
        <v>23</v>
      </c>
      <c r="C579" s="142" t="s">
        <v>23</v>
      </c>
      <c r="D579" s="142">
        <f t="shared" ref="D579:L579" si="220">AVERAGE(D178:D182)</f>
        <v>6292</v>
      </c>
      <c r="E579" s="142">
        <f t="shared" si="220"/>
        <v>2255.6</v>
      </c>
      <c r="F579" s="142">
        <f t="shared" si="220"/>
        <v>11737</v>
      </c>
      <c r="G579" s="142">
        <f t="shared" si="220"/>
        <v>5174.3999999999996</v>
      </c>
      <c r="H579" s="142">
        <f t="shared" si="220"/>
        <v>959.4</v>
      </c>
      <c r="I579" s="142">
        <f t="shared" si="220"/>
        <v>1476</v>
      </c>
      <c r="J579" s="142">
        <f t="shared" si="220"/>
        <v>111</v>
      </c>
      <c r="K579" s="142" t="s">
        <v>23</v>
      </c>
      <c r="L579" s="142">
        <f t="shared" si="220"/>
        <v>27916.6</v>
      </c>
      <c r="N579" s="139" t="s">
        <v>23</v>
      </c>
      <c r="O579" s="142">
        <f>AVERAGE(O178:O182)</f>
        <v>75337.25</v>
      </c>
      <c r="P579" s="142">
        <f>AVERAGE(P178:P182)</f>
        <v>66674</v>
      </c>
      <c r="Q579" s="142">
        <f>AVERAGE(Q178:Q182)</f>
        <v>4161</v>
      </c>
      <c r="R579" s="139" t="s">
        <v>23</v>
      </c>
      <c r="S579" s="142">
        <f>AVERAGE(S178:S182)</f>
        <v>109714.5</v>
      </c>
    </row>
    <row r="580" spans="1:19" ht="11.25" customHeight="1">
      <c r="A580" s="99" t="s">
        <v>78</v>
      </c>
      <c r="B580" s="142" t="s">
        <v>23</v>
      </c>
      <c r="C580" s="142" t="s">
        <v>23</v>
      </c>
      <c r="D580" s="142">
        <f t="shared" ref="D580:L580" si="221">AVERAGE(D183:D187)</f>
        <v>8800</v>
      </c>
      <c r="E580" s="142">
        <f t="shared" si="221"/>
        <v>14067.4</v>
      </c>
      <c r="F580" s="142">
        <f t="shared" si="221"/>
        <v>27794.799999999999</v>
      </c>
      <c r="G580" s="142">
        <f t="shared" si="221"/>
        <v>14835.4</v>
      </c>
      <c r="H580" s="142">
        <f t="shared" si="221"/>
        <v>6926</v>
      </c>
      <c r="I580" s="142">
        <f t="shared" si="221"/>
        <v>10533.2</v>
      </c>
      <c r="J580" s="139" t="s">
        <v>23</v>
      </c>
      <c r="K580" s="142" t="s">
        <v>23</v>
      </c>
      <c r="L580" s="142">
        <f t="shared" si="221"/>
        <v>82956.800000000003</v>
      </c>
      <c r="N580" s="142">
        <f>AVERAGE(N183:N187)</f>
        <v>56</v>
      </c>
      <c r="O580" s="142">
        <f>AVERAGE(O183:O187)</f>
        <v>108283.2</v>
      </c>
      <c r="P580" s="142">
        <f>AVERAGE(P183:P187)</f>
        <v>44241</v>
      </c>
      <c r="Q580" s="142">
        <f>AVERAGE(Q183:Q187)</f>
        <v>5166</v>
      </c>
      <c r="R580" s="139" t="s">
        <v>23</v>
      </c>
      <c r="S580" s="142">
        <f>AVERAGE(S183:S187)</f>
        <v>135872.20000000001</v>
      </c>
    </row>
    <row r="581" spans="1:19" ht="11.25" customHeight="1">
      <c r="A581" s="99" t="s">
        <v>10</v>
      </c>
      <c r="B581" s="142" t="s">
        <v>23</v>
      </c>
      <c r="C581" s="142" t="s">
        <v>23</v>
      </c>
      <c r="D581" s="142">
        <f t="shared" ref="D581:I581" si="222">AVERAGE(D188:D192)</f>
        <v>11090.8</v>
      </c>
      <c r="E581" s="142">
        <f t="shared" si="222"/>
        <v>13999.5</v>
      </c>
      <c r="F581" s="142">
        <f t="shared" si="222"/>
        <v>14613.333333333334</v>
      </c>
      <c r="G581" s="142">
        <f t="shared" si="222"/>
        <v>29112.25</v>
      </c>
      <c r="H581" s="142">
        <f t="shared" si="222"/>
        <v>11701.8</v>
      </c>
      <c r="I581" s="142">
        <f t="shared" si="222"/>
        <v>10884.2</v>
      </c>
      <c r="J581" s="139" t="s">
        <v>23</v>
      </c>
      <c r="K581" s="142" t="s">
        <v>23</v>
      </c>
      <c r="L581" s="142">
        <f>AVERAGE(L188:L192)</f>
        <v>76934.2</v>
      </c>
      <c r="N581" s="142">
        <f>AVERAGE(N188:N192)</f>
        <v>58218</v>
      </c>
      <c r="O581" s="142">
        <f>AVERAGE(O188:O192)</f>
        <v>24703.5</v>
      </c>
      <c r="P581" s="142">
        <f>AVERAGE(P188:P192)</f>
        <v>7972</v>
      </c>
      <c r="Q581" s="139" t="s">
        <v>23</v>
      </c>
      <c r="R581" s="139" t="s">
        <v>23</v>
      </c>
      <c r="S581" s="142">
        <f>AVERAGE(S188:S192)</f>
        <v>41189.666666666664</v>
      </c>
    </row>
    <row r="582" spans="1:19" ht="11.25" customHeight="1">
      <c r="A582" s="99" t="s">
        <v>144</v>
      </c>
      <c r="B582" s="142" t="s">
        <v>23</v>
      </c>
      <c r="C582" s="142" t="s">
        <v>23</v>
      </c>
      <c r="D582" s="142">
        <f t="shared" ref="D582:I582" si="223">AVERAGE(D193:D197)</f>
        <v>17947</v>
      </c>
      <c r="E582" s="142">
        <f t="shared" si="223"/>
        <v>16800.400000000001</v>
      </c>
      <c r="F582" s="142">
        <f t="shared" si="223"/>
        <v>3786</v>
      </c>
      <c r="G582" s="142">
        <f t="shared" si="223"/>
        <v>24728.799999999999</v>
      </c>
      <c r="H582" s="142">
        <f t="shared" si="223"/>
        <v>12137.8</v>
      </c>
      <c r="I582" s="142">
        <f t="shared" si="223"/>
        <v>4149.6000000000004</v>
      </c>
      <c r="J582" s="139" t="s">
        <v>23</v>
      </c>
      <c r="K582" s="142" t="s">
        <v>23</v>
      </c>
      <c r="L582" s="142">
        <f>AVERAGE(L193:L197)</f>
        <v>81290.399999999994</v>
      </c>
      <c r="N582" s="142" t="s">
        <v>23</v>
      </c>
      <c r="O582" s="142" t="s">
        <v>23</v>
      </c>
      <c r="P582" s="142" t="s">
        <v>23</v>
      </c>
      <c r="Q582" s="139" t="s">
        <v>23</v>
      </c>
      <c r="R582" s="139" t="s">
        <v>23</v>
      </c>
      <c r="S582" s="142" t="s">
        <v>23</v>
      </c>
    </row>
    <row r="583" spans="1:19" ht="11.25" customHeight="1">
      <c r="A583" s="95" t="s">
        <v>166</v>
      </c>
      <c r="B583" s="142">
        <f>AVERAGE(B198:B202)</f>
        <v>5438.25</v>
      </c>
      <c r="C583" s="142">
        <f>AVERAGE(C198:C202)</f>
        <v>7253.4</v>
      </c>
      <c r="D583" s="142">
        <f t="shared" ref="D583:I583" si="224">AVERAGE(D198:D202)</f>
        <v>23240.6</v>
      </c>
      <c r="E583" s="142">
        <f t="shared" si="224"/>
        <v>18831.599999999999</v>
      </c>
      <c r="F583" s="142">
        <f t="shared" si="224"/>
        <v>10414.5</v>
      </c>
      <c r="G583" s="142">
        <f t="shared" si="224"/>
        <v>20541</v>
      </c>
      <c r="H583" s="142">
        <f t="shared" si="224"/>
        <v>26687.4</v>
      </c>
      <c r="I583" s="142">
        <f t="shared" si="224"/>
        <v>20998</v>
      </c>
      <c r="J583" s="142" t="str">
        <f>J198</f>
        <v>-</v>
      </c>
      <c r="K583" s="139" t="s">
        <v>23</v>
      </c>
      <c r="L583" s="142">
        <f>AVERAGE(L198:L202)</f>
        <v>126126</v>
      </c>
      <c r="N583" s="142" t="str">
        <f t="shared" ref="N583:S583" si="225">N198</f>
        <v>-</v>
      </c>
      <c r="O583" s="142" t="str">
        <f t="shared" si="225"/>
        <v>-</v>
      </c>
      <c r="P583" s="142" t="str">
        <f t="shared" si="225"/>
        <v>-</v>
      </c>
      <c r="Q583" s="142" t="str">
        <f t="shared" si="225"/>
        <v>-</v>
      </c>
      <c r="R583" s="142" t="str">
        <f t="shared" si="225"/>
        <v>-</v>
      </c>
      <c r="S583" s="142" t="str">
        <f t="shared" si="225"/>
        <v>-</v>
      </c>
    </row>
    <row r="584" spans="1:19" ht="11.25" customHeight="1">
      <c r="A584" s="95" t="s">
        <v>315</v>
      </c>
      <c r="B584" s="142" t="str">
        <f>B203</f>
        <v>-</v>
      </c>
      <c r="C584" s="142">
        <f>AVERAGE(C203:C207)</f>
        <v>279</v>
      </c>
      <c r="D584" s="142">
        <f t="shared" ref="D584:L584" si="226">AVERAGE(D203:D207)</f>
        <v>2751.5</v>
      </c>
      <c r="E584" s="142">
        <f t="shared" si="226"/>
        <v>4445.666666666667</v>
      </c>
      <c r="F584" s="142">
        <f t="shared" si="226"/>
        <v>2128</v>
      </c>
      <c r="G584" s="142">
        <f t="shared" si="226"/>
        <v>1223.3333333333333</v>
      </c>
      <c r="H584" s="142">
        <f t="shared" si="226"/>
        <v>1970</v>
      </c>
      <c r="I584" s="142">
        <f t="shared" si="226"/>
        <v>791</v>
      </c>
      <c r="J584" s="142">
        <f t="shared" si="226"/>
        <v>320.5</v>
      </c>
      <c r="K584" s="142" t="str">
        <f>K203</f>
        <v>-</v>
      </c>
      <c r="L584" s="142">
        <f t="shared" si="226"/>
        <v>11778.666666666666</v>
      </c>
      <c r="N584" s="142" t="str">
        <f t="shared" ref="N584:O584" si="227">N203</f>
        <v>-</v>
      </c>
      <c r="O584" s="142" t="str">
        <f t="shared" si="227"/>
        <v>-</v>
      </c>
      <c r="P584" s="142">
        <f t="shared" ref="P584:S584" si="228">AVERAGE(P203:P207)</f>
        <v>1607</v>
      </c>
      <c r="Q584" s="142">
        <f t="shared" si="228"/>
        <v>2690.5</v>
      </c>
      <c r="R584" s="142" t="str">
        <f t="shared" ref="R584" si="229">R203</f>
        <v>-</v>
      </c>
      <c r="S584" s="142">
        <f t="shared" si="228"/>
        <v>3494</v>
      </c>
    </row>
    <row r="585" spans="1:19" ht="11.25" customHeight="1">
      <c r="A585" s="95">
        <v>2011</v>
      </c>
      <c r="B585" s="142" t="str">
        <f t="shared" ref="B585:J585" si="230">B208</f>
        <v>-</v>
      </c>
      <c r="C585" s="142">
        <f t="shared" si="230"/>
        <v>378</v>
      </c>
      <c r="D585" s="142">
        <f t="shared" si="230"/>
        <v>2357</v>
      </c>
      <c r="E585" s="142">
        <f t="shared" si="230"/>
        <v>1477</v>
      </c>
      <c r="F585" s="142">
        <f t="shared" si="230"/>
        <v>192</v>
      </c>
      <c r="G585" s="142">
        <f t="shared" si="230"/>
        <v>561</v>
      </c>
      <c r="H585" s="142" t="str">
        <f t="shared" si="230"/>
        <v>-</v>
      </c>
      <c r="I585" s="142">
        <f t="shared" si="230"/>
        <v>15</v>
      </c>
      <c r="J585" s="142" t="str">
        <f t="shared" si="230"/>
        <v>-</v>
      </c>
      <c r="K585" s="139" t="s">
        <v>23</v>
      </c>
      <c r="L585" s="142">
        <f t="shared" ref="L585:L593" si="231">L208</f>
        <v>4980</v>
      </c>
      <c r="N585" s="142" t="str">
        <f t="shared" ref="N585:S593" si="232">N208</f>
        <v>-</v>
      </c>
      <c r="O585" s="142" t="str">
        <f t="shared" si="232"/>
        <v>-</v>
      </c>
      <c r="P585" s="142" t="str">
        <f t="shared" si="232"/>
        <v>-</v>
      </c>
      <c r="Q585" s="142" t="str">
        <f t="shared" si="232"/>
        <v>-</v>
      </c>
      <c r="R585" s="142" t="str">
        <f t="shared" si="232"/>
        <v>-</v>
      </c>
      <c r="S585" s="142" t="str">
        <f t="shared" si="232"/>
        <v>-</v>
      </c>
    </row>
    <row r="586" spans="1:19" ht="11.25" customHeight="1">
      <c r="A586" s="95">
        <v>2012</v>
      </c>
      <c r="B586" s="142" t="str">
        <f t="shared" ref="B586:J586" si="233">B209</f>
        <v>-</v>
      </c>
      <c r="C586" s="142">
        <f t="shared" si="233"/>
        <v>1090</v>
      </c>
      <c r="D586" s="142">
        <f t="shared" si="233"/>
        <v>4408</v>
      </c>
      <c r="E586" s="142">
        <f t="shared" si="233"/>
        <v>2578</v>
      </c>
      <c r="F586" s="142">
        <f t="shared" si="233"/>
        <v>998</v>
      </c>
      <c r="G586" s="142">
        <f t="shared" si="233"/>
        <v>5819</v>
      </c>
      <c r="H586" s="142">
        <f t="shared" si="233"/>
        <v>8550</v>
      </c>
      <c r="I586" s="142">
        <f t="shared" si="233"/>
        <v>3169</v>
      </c>
      <c r="J586" s="142" t="str">
        <f t="shared" si="233"/>
        <v>-</v>
      </c>
      <c r="K586" s="139" t="s">
        <v>23</v>
      </c>
      <c r="L586" s="142">
        <f t="shared" si="231"/>
        <v>26612</v>
      </c>
      <c r="N586" s="142" t="str">
        <f t="shared" si="232"/>
        <v>-</v>
      </c>
      <c r="O586" s="142" t="str">
        <f t="shared" si="232"/>
        <v>-</v>
      </c>
      <c r="P586" s="142" t="str">
        <f t="shared" si="232"/>
        <v>-</v>
      </c>
      <c r="Q586" s="142" t="str">
        <f t="shared" si="232"/>
        <v>-</v>
      </c>
      <c r="R586" s="142" t="str">
        <f t="shared" si="232"/>
        <v>-</v>
      </c>
      <c r="S586" s="142" t="str">
        <f t="shared" si="232"/>
        <v>-</v>
      </c>
    </row>
    <row r="587" spans="1:19" ht="11.25" customHeight="1">
      <c r="A587" s="95">
        <v>2013</v>
      </c>
      <c r="B587" s="142" t="str">
        <f t="shared" ref="B587:J587" si="234">B210</f>
        <v>-</v>
      </c>
      <c r="C587" s="142">
        <f t="shared" si="234"/>
        <v>2186</v>
      </c>
      <c r="D587" s="142">
        <f t="shared" si="234"/>
        <v>3436</v>
      </c>
      <c r="E587" s="142">
        <f t="shared" si="234"/>
        <v>1740</v>
      </c>
      <c r="F587" s="142">
        <f t="shared" si="234"/>
        <v>1443</v>
      </c>
      <c r="G587" s="142">
        <f t="shared" si="234"/>
        <v>5569</v>
      </c>
      <c r="H587" s="142">
        <f t="shared" si="234"/>
        <v>865</v>
      </c>
      <c r="I587" s="142">
        <f t="shared" si="234"/>
        <v>461</v>
      </c>
      <c r="J587" s="142" t="str">
        <f t="shared" si="234"/>
        <v>-</v>
      </c>
      <c r="K587" s="139" t="s">
        <v>23</v>
      </c>
      <c r="L587" s="142">
        <f t="shared" si="231"/>
        <v>15700</v>
      </c>
      <c r="N587" s="142" t="str">
        <f t="shared" si="232"/>
        <v>-</v>
      </c>
      <c r="O587" s="142" t="str">
        <f t="shared" si="232"/>
        <v>-</v>
      </c>
      <c r="P587" s="142" t="str">
        <f t="shared" si="232"/>
        <v>-</v>
      </c>
      <c r="Q587" s="142" t="str">
        <f t="shared" si="232"/>
        <v>-</v>
      </c>
      <c r="R587" s="142" t="str">
        <f t="shared" si="232"/>
        <v>-</v>
      </c>
      <c r="S587" s="142" t="str">
        <f t="shared" si="232"/>
        <v>-</v>
      </c>
    </row>
    <row r="588" spans="1:19" ht="11.25" customHeight="1">
      <c r="A588" s="95">
        <v>2014</v>
      </c>
      <c r="B588" s="142" t="str">
        <f t="shared" ref="B588:J588" si="235">B211</f>
        <v>-</v>
      </c>
      <c r="C588" s="142">
        <f t="shared" si="235"/>
        <v>9078</v>
      </c>
      <c r="D588" s="142">
        <f t="shared" si="235"/>
        <v>18829</v>
      </c>
      <c r="E588" s="142">
        <f t="shared" si="235"/>
        <v>8108</v>
      </c>
      <c r="F588" s="142">
        <f t="shared" si="235"/>
        <v>6348</v>
      </c>
      <c r="G588" s="142">
        <f t="shared" si="235"/>
        <v>36167</v>
      </c>
      <c r="H588" s="142">
        <f t="shared" si="235"/>
        <v>3658</v>
      </c>
      <c r="I588" s="142">
        <f t="shared" si="235"/>
        <v>934</v>
      </c>
      <c r="J588" s="142" t="str">
        <f t="shared" si="235"/>
        <v>-</v>
      </c>
      <c r="K588" s="139" t="s">
        <v>23</v>
      </c>
      <c r="L588" s="142">
        <f t="shared" si="231"/>
        <v>83122</v>
      </c>
      <c r="N588" s="142" t="str">
        <f t="shared" si="232"/>
        <v>-</v>
      </c>
      <c r="O588" s="142" t="str">
        <f t="shared" si="232"/>
        <v>-</v>
      </c>
      <c r="P588" s="142" t="str">
        <f t="shared" si="232"/>
        <v>-</v>
      </c>
      <c r="Q588" s="142">
        <f t="shared" si="232"/>
        <v>1222</v>
      </c>
      <c r="R588" s="142" t="str">
        <f t="shared" si="232"/>
        <v>-</v>
      </c>
      <c r="S588" s="142">
        <f t="shared" si="232"/>
        <v>1222</v>
      </c>
    </row>
    <row r="589" spans="1:19" ht="11.25" customHeight="1">
      <c r="A589" s="95">
        <v>2015</v>
      </c>
      <c r="B589" s="142" t="str">
        <f t="shared" ref="B589:J589" si="236">B212</f>
        <v>-</v>
      </c>
      <c r="C589" s="142">
        <f t="shared" si="236"/>
        <v>7286</v>
      </c>
      <c r="D589" s="142">
        <f t="shared" si="236"/>
        <v>2240</v>
      </c>
      <c r="E589" s="142">
        <f t="shared" si="236"/>
        <v>2503</v>
      </c>
      <c r="F589" s="142">
        <f t="shared" si="236"/>
        <v>18472</v>
      </c>
      <c r="G589" s="142">
        <f t="shared" si="236"/>
        <v>5544</v>
      </c>
      <c r="H589" s="142">
        <f t="shared" si="236"/>
        <v>813</v>
      </c>
      <c r="I589" s="142" t="str">
        <f t="shared" si="236"/>
        <v>-</v>
      </c>
      <c r="J589" s="142" t="str">
        <f t="shared" si="236"/>
        <v>-</v>
      </c>
      <c r="K589" s="139" t="s">
        <v>23</v>
      </c>
      <c r="L589" s="142">
        <f t="shared" si="231"/>
        <v>36858</v>
      </c>
      <c r="N589" s="142" t="str">
        <f t="shared" si="232"/>
        <v>-</v>
      </c>
      <c r="O589" s="142" t="str">
        <f t="shared" si="232"/>
        <v>-</v>
      </c>
      <c r="P589" s="142" t="str">
        <f t="shared" si="232"/>
        <v>-</v>
      </c>
      <c r="Q589" s="142" t="str">
        <f t="shared" si="232"/>
        <v>-</v>
      </c>
      <c r="R589" s="142" t="str">
        <f t="shared" si="232"/>
        <v>-</v>
      </c>
      <c r="S589" s="142" t="str">
        <f t="shared" si="232"/>
        <v>-</v>
      </c>
    </row>
    <row r="590" spans="1:19" ht="11.25" customHeight="1">
      <c r="A590" s="95">
        <v>2016</v>
      </c>
      <c r="B590" s="142" t="str">
        <f t="shared" ref="B590:J590" si="237">B213</f>
        <v>-</v>
      </c>
      <c r="C590" s="142">
        <f t="shared" si="237"/>
        <v>5610</v>
      </c>
      <c r="D590" s="142">
        <f t="shared" si="237"/>
        <v>5044</v>
      </c>
      <c r="E590" s="142">
        <f t="shared" si="237"/>
        <v>1948</v>
      </c>
      <c r="F590" s="142">
        <f t="shared" si="237"/>
        <v>9188</v>
      </c>
      <c r="G590" s="142">
        <f t="shared" si="237"/>
        <v>8063</v>
      </c>
      <c r="H590" s="142">
        <f t="shared" si="237"/>
        <v>1426</v>
      </c>
      <c r="I590" s="142">
        <f t="shared" si="237"/>
        <v>2</v>
      </c>
      <c r="J590" s="142" t="str">
        <f t="shared" si="237"/>
        <v>-</v>
      </c>
      <c r="K590" s="139" t="s">
        <v>23</v>
      </c>
      <c r="L590" s="142">
        <f t="shared" si="231"/>
        <v>31281</v>
      </c>
      <c r="N590" s="142" t="str">
        <f t="shared" si="232"/>
        <v>-</v>
      </c>
      <c r="O590" s="142" t="str">
        <f t="shared" si="232"/>
        <v>-</v>
      </c>
      <c r="P590" s="142" t="str">
        <f t="shared" si="232"/>
        <v>-</v>
      </c>
      <c r="Q590" s="142" t="str">
        <f t="shared" si="232"/>
        <v>-</v>
      </c>
      <c r="R590" s="142" t="str">
        <f t="shared" si="232"/>
        <v>-</v>
      </c>
      <c r="S590" s="142" t="str">
        <f t="shared" si="232"/>
        <v>-</v>
      </c>
    </row>
    <row r="591" spans="1:19" ht="11.25" customHeight="1">
      <c r="A591" s="95">
        <v>2017</v>
      </c>
      <c r="B591" s="142" t="str">
        <f t="shared" ref="B591:J591" si="238">B214</f>
        <v>-</v>
      </c>
      <c r="C591" s="142">
        <f t="shared" si="238"/>
        <v>547</v>
      </c>
      <c r="D591" s="142">
        <f t="shared" si="238"/>
        <v>904</v>
      </c>
      <c r="E591" s="142">
        <f t="shared" si="238"/>
        <v>2950</v>
      </c>
      <c r="F591" s="142">
        <f t="shared" si="238"/>
        <v>13002</v>
      </c>
      <c r="G591" s="142" t="str">
        <f t="shared" si="238"/>
        <v>-</v>
      </c>
      <c r="H591" s="142">
        <f t="shared" si="238"/>
        <v>25</v>
      </c>
      <c r="I591" s="142">
        <f t="shared" si="238"/>
        <v>10</v>
      </c>
      <c r="J591" s="142" t="str">
        <f t="shared" si="238"/>
        <v>-</v>
      </c>
      <c r="K591" s="139" t="s">
        <v>23</v>
      </c>
      <c r="L591" s="142">
        <f t="shared" si="231"/>
        <v>17438</v>
      </c>
      <c r="N591" s="142" t="str">
        <f t="shared" si="232"/>
        <v>-</v>
      </c>
      <c r="O591" s="142" t="str">
        <f t="shared" si="232"/>
        <v>-</v>
      </c>
      <c r="P591" s="142" t="str">
        <f t="shared" si="232"/>
        <v>-</v>
      </c>
      <c r="Q591" s="142" t="str">
        <f t="shared" si="232"/>
        <v>-</v>
      </c>
      <c r="R591" s="142" t="str">
        <f t="shared" si="232"/>
        <v>-</v>
      </c>
      <c r="S591" s="142" t="str">
        <f t="shared" si="232"/>
        <v>-</v>
      </c>
    </row>
    <row r="592" spans="1:19" ht="11.25" customHeight="1">
      <c r="A592" s="95">
        <v>2018</v>
      </c>
      <c r="B592" s="142" t="str">
        <f t="shared" ref="B592:J592" si="239">B215</f>
        <v>-</v>
      </c>
      <c r="C592" s="142" t="str">
        <f t="shared" si="239"/>
        <v>-</v>
      </c>
      <c r="D592" s="142">
        <f t="shared" si="239"/>
        <v>491</v>
      </c>
      <c r="E592" s="142">
        <f t="shared" si="239"/>
        <v>709</v>
      </c>
      <c r="F592" s="142">
        <f t="shared" si="239"/>
        <v>2101</v>
      </c>
      <c r="G592" s="142">
        <f t="shared" si="239"/>
        <v>11031</v>
      </c>
      <c r="H592" s="142">
        <f t="shared" si="239"/>
        <v>151</v>
      </c>
      <c r="I592" s="142">
        <f t="shared" si="239"/>
        <v>4</v>
      </c>
      <c r="J592" s="142" t="str">
        <f t="shared" si="239"/>
        <v>-</v>
      </c>
      <c r="K592" s="139" t="s">
        <v>23</v>
      </c>
      <c r="L592" s="142">
        <f t="shared" si="231"/>
        <v>14487</v>
      </c>
      <c r="N592" s="142" t="str">
        <f t="shared" si="232"/>
        <v>-</v>
      </c>
      <c r="O592" s="142" t="str">
        <f t="shared" si="232"/>
        <v>-</v>
      </c>
      <c r="P592" s="142" t="str">
        <f t="shared" si="232"/>
        <v>-</v>
      </c>
      <c r="Q592" s="142" t="str">
        <f t="shared" si="232"/>
        <v>-</v>
      </c>
      <c r="R592" s="142" t="str">
        <f t="shared" si="232"/>
        <v>-</v>
      </c>
      <c r="S592" s="142" t="str">
        <f t="shared" si="232"/>
        <v>-</v>
      </c>
    </row>
    <row r="593" spans="1:19" ht="11.25" customHeight="1">
      <c r="A593" s="95">
        <v>2019</v>
      </c>
      <c r="B593" s="142" t="str">
        <f t="shared" ref="B593:J593" si="240">B216</f>
        <v>-</v>
      </c>
      <c r="C593" s="142">
        <f t="shared" si="240"/>
        <v>68</v>
      </c>
      <c r="D593" s="142">
        <f t="shared" si="240"/>
        <v>351</v>
      </c>
      <c r="E593" s="142">
        <f t="shared" si="240"/>
        <v>2602</v>
      </c>
      <c r="F593" s="142">
        <f t="shared" si="240"/>
        <v>14763</v>
      </c>
      <c r="G593" s="142">
        <f t="shared" si="240"/>
        <v>4436</v>
      </c>
      <c r="H593" s="142">
        <f t="shared" si="240"/>
        <v>537</v>
      </c>
      <c r="I593" s="142">
        <f t="shared" si="240"/>
        <v>14</v>
      </c>
      <c r="J593" s="142" t="str">
        <f t="shared" si="240"/>
        <v>-</v>
      </c>
      <c r="K593" s="139" t="s">
        <v>23</v>
      </c>
      <c r="L593" s="142">
        <f t="shared" si="231"/>
        <v>22771</v>
      </c>
      <c r="N593" s="142" t="str">
        <f t="shared" si="232"/>
        <v>-</v>
      </c>
      <c r="O593" s="142" t="str">
        <f t="shared" si="232"/>
        <v>-</v>
      </c>
      <c r="P593" s="142" t="str">
        <f t="shared" si="232"/>
        <v>-</v>
      </c>
      <c r="Q593" s="142" t="str">
        <f t="shared" si="232"/>
        <v>-</v>
      </c>
      <c r="R593" s="142" t="str">
        <f t="shared" si="232"/>
        <v>-</v>
      </c>
      <c r="S593" s="142" t="str">
        <f t="shared" si="232"/>
        <v>-</v>
      </c>
    </row>
    <row r="594" spans="1:19" ht="11.25" customHeight="1">
      <c r="A594" s="95">
        <v>2020</v>
      </c>
      <c r="B594" s="142" t="str">
        <f t="shared" ref="B594:J595" si="241">B217</f>
        <v>-</v>
      </c>
      <c r="C594" s="142">
        <f t="shared" si="241"/>
        <v>532</v>
      </c>
      <c r="D594" s="142">
        <f t="shared" si="241"/>
        <v>709</v>
      </c>
      <c r="E594" s="142">
        <f t="shared" si="241"/>
        <v>1786</v>
      </c>
      <c r="F594" s="142">
        <f t="shared" si="241"/>
        <v>3790</v>
      </c>
      <c r="G594" s="142">
        <f t="shared" si="241"/>
        <v>1672</v>
      </c>
      <c r="H594" s="142">
        <f t="shared" si="241"/>
        <v>428</v>
      </c>
      <c r="I594" s="142">
        <f t="shared" si="241"/>
        <v>17</v>
      </c>
      <c r="J594" s="142" t="str">
        <f t="shared" si="241"/>
        <v>-</v>
      </c>
      <c r="K594" s="139" t="s">
        <v>23</v>
      </c>
      <c r="L594" s="142">
        <f t="shared" ref="L594:L595" si="242">L217</f>
        <v>8934</v>
      </c>
      <c r="N594" s="142" t="str">
        <f t="shared" ref="N594:S595" si="243">N217</f>
        <v>-</v>
      </c>
      <c r="O594" s="142" t="str">
        <f t="shared" si="243"/>
        <v>-</v>
      </c>
      <c r="P594" s="142" t="str">
        <f t="shared" si="243"/>
        <v>-</v>
      </c>
      <c r="Q594" s="142" t="str">
        <f t="shared" si="243"/>
        <v>-</v>
      </c>
      <c r="R594" s="142" t="str">
        <f t="shared" si="243"/>
        <v>-</v>
      </c>
      <c r="S594" s="142" t="str">
        <f t="shared" si="243"/>
        <v>-</v>
      </c>
    </row>
    <row r="595" spans="1:19" ht="11.25" customHeight="1">
      <c r="A595" s="95" t="s">
        <v>317</v>
      </c>
      <c r="B595" s="142">
        <f t="shared" si="241"/>
        <v>229</v>
      </c>
      <c r="C595" s="142">
        <f t="shared" si="241"/>
        <v>1970</v>
      </c>
      <c r="D595" s="142">
        <f t="shared" si="241"/>
        <v>785</v>
      </c>
      <c r="E595" s="142">
        <f t="shared" si="241"/>
        <v>264</v>
      </c>
      <c r="F595" s="142">
        <f t="shared" si="241"/>
        <v>4444</v>
      </c>
      <c r="G595" s="142">
        <f t="shared" si="241"/>
        <v>4942</v>
      </c>
      <c r="H595" s="142">
        <f t="shared" si="241"/>
        <v>26</v>
      </c>
      <c r="I595" s="142">
        <f t="shared" si="241"/>
        <v>7</v>
      </c>
      <c r="J595" s="142" t="str">
        <f t="shared" si="241"/>
        <v>-</v>
      </c>
      <c r="K595" s="139" t="s">
        <v>23</v>
      </c>
      <c r="L595" s="142">
        <f t="shared" si="242"/>
        <v>12667</v>
      </c>
      <c r="N595" s="142" t="str">
        <f t="shared" si="243"/>
        <v>-</v>
      </c>
      <c r="O595" s="142">
        <f t="shared" si="243"/>
        <v>856</v>
      </c>
      <c r="P595" s="142">
        <f t="shared" si="243"/>
        <v>1089</v>
      </c>
      <c r="Q595" s="142" t="str">
        <f t="shared" si="243"/>
        <v>-</v>
      </c>
      <c r="R595" s="142" t="str">
        <f t="shared" si="243"/>
        <v>-</v>
      </c>
      <c r="S595" s="142">
        <f t="shared" si="243"/>
        <v>1945</v>
      </c>
    </row>
    <row r="596" spans="1:19" ht="11.25" customHeight="1">
      <c r="A596" s="99"/>
      <c r="B596" s="142"/>
      <c r="C596" s="142"/>
      <c r="D596" s="142"/>
      <c r="E596" s="142"/>
      <c r="F596" s="142"/>
      <c r="G596" s="142"/>
      <c r="H596" s="142"/>
      <c r="I596" s="142"/>
      <c r="J596" s="142"/>
      <c r="K596" s="142"/>
      <c r="L596" s="142"/>
      <c r="N596" s="142"/>
      <c r="O596" s="142"/>
      <c r="P596" s="142"/>
      <c r="Q596" s="142"/>
      <c r="R596" s="142"/>
      <c r="S596" s="142"/>
    </row>
    <row r="597" spans="1:19">
      <c r="A597" s="247" t="str">
        <f>A220</f>
        <v>Coos Bay</v>
      </c>
      <c r="B597" s="142"/>
      <c r="C597" s="142"/>
      <c r="D597" s="142"/>
      <c r="E597" s="142"/>
      <c r="F597" s="142"/>
      <c r="G597" s="142"/>
      <c r="H597" s="142"/>
      <c r="I597" s="142"/>
      <c r="J597" s="142"/>
      <c r="K597" s="142"/>
      <c r="L597" s="142"/>
      <c r="N597" s="142"/>
      <c r="O597" s="142"/>
      <c r="P597" s="142"/>
      <c r="Q597" s="142"/>
      <c r="R597" s="142"/>
      <c r="S597" s="142"/>
    </row>
    <row r="598" spans="1:19" ht="11.25" customHeight="1">
      <c r="A598" s="99" t="s">
        <v>24</v>
      </c>
      <c r="B598" s="142" t="s">
        <v>23</v>
      </c>
      <c r="C598" s="142" t="s">
        <v>23</v>
      </c>
      <c r="D598" s="142">
        <f t="shared" ref="D598:L598" si="244">AVERAGE(D250:D254)</f>
        <v>5514.6</v>
      </c>
      <c r="E598" s="142">
        <f t="shared" si="244"/>
        <v>4301</v>
      </c>
      <c r="F598" s="142">
        <f t="shared" si="244"/>
        <v>29871.4</v>
      </c>
      <c r="G598" s="142">
        <f t="shared" si="244"/>
        <v>17260.2</v>
      </c>
      <c r="H598" s="142">
        <f t="shared" si="244"/>
        <v>5419</v>
      </c>
      <c r="I598" s="142">
        <f t="shared" si="244"/>
        <v>1129.4000000000001</v>
      </c>
      <c r="J598" s="142">
        <f t="shared" si="244"/>
        <v>11</v>
      </c>
      <c r="K598" s="142" t="s">
        <v>23</v>
      </c>
      <c r="L598" s="142">
        <f t="shared" si="244"/>
        <v>63506.6</v>
      </c>
      <c r="N598" s="139" t="s">
        <v>23</v>
      </c>
      <c r="O598" s="142">
        <f>AVERAGE(O250:O254)</f>
        <v>115958</v>
      </c>
      <c r="P598" s="142">
        <f>AVERAGE(P250:P254)</f>
        <v>31020.5</v>
      </c>
      <c r="Q598" s="142">
        <f>AVERAGE(Q250:Q254)</f>
        <v>5</v>
      </c>
      <c r="R598" s="139" t="s">
        <v>23</v>
      </c>
      <c r="S598" s="142">
        <f>AVERAGE(S250:S254)</f>
        <v>131469.5</v>
      </c>
    </row>
    <row r="599" spans="1:19" ht="11.25" customHeight="1">
      <c r="A599" s="99" t="s">
        <v>78</v>
      </c>
      <c r="B599" s="142" t="s">
        <v>23</v>
      </c>
      <c r="C599" s="142" t="s">
        <v>23</v>
      </c>
      <c r="D599" s="142">
        <f t="shared" ref="D599:L599" si="245">AVERAGE(D255:D259)</f>
        <v>30467.200000000001</v>
      </c>
      <c r="E599" s="142">
        <f t="shared" si="245"/>
        <v>28161.8</v>
      </c>
      <c r="F599" s="142">
        <f t="shared" si="245"/>
        <v>103530.4</v>
      </c>
      <c r="G599" s="142">
        <f t="shared" si="245"/>
        <v>64284.4</v>
      </c>
      <c r="H599" s="142">
        <f t="shared" si="245"/>
        <v>18029</v>
      </c>
      <c r="I599" s="142">
        <f t="shared" si="245"/>
        <v>8518</v>
      </c>
      <c r="J599" s="142">
        <f t="shared" si="245"/>
        <v>2178</v>
      </c>
      <c r="K599" s="142" t="s">
        <v>23</v>
      </c>
      <c r="L599" s="142">
        <f t="shared" si="245"/>
        <v>253426.4</v>
      </c>
      <c r="N599" s="142">
        <f t="shared" ref="N599:S599" si="246">AVERAGE(N255:N259)</f>
        <v>21.666666666666668</v>
      </c>
      <c r="O599" s="142">
        <f t="shared" si="246"/>
        <v>103641.4</v>
      </c>
      <c r="P599" s="142">
        <f t="shared" si="246"/>
        <v>44708.333333333336</v>
      </c>
      <c r="Q599" s="142">
        <f t="shared" si="246"/>
        <v>10213</v>
      </c>
      <c r="R599" s="139" t="s">
        <v>23</v>
      </c>
      <c r="S599" s="142">
        <f t="shared" si="246"/>
        <v>132522</v>
      </c>
    </row>
    <row r="600" spans="1:19" ht="11.25" customHeight="1">
      <c r="A600" s="99" t="s">
        <v>10</v>
      </c>
      <c r="B600" s="142" t="s">
        <v>23</v>
      </c>
      <c r="C600" s="142" t="s">
        <v>23</v>
      </c>
      <c r="D600" s="142">
        <f>AVERAGE(D260:D264)</f>
        <v>1101.8</v>
      </c>
      <c r="E600" s="142">
        <f t="shared" ref="E600:J600" si="247">AVERAGE(E260:E264)</f>
        <v>3642.25</v>
      </c>
      <c r="F600" s="142">
        <f t="shared" si="247"/>
        <v>3908</v>
      </c>
      <c r="G600" s="142">
        <f t="shared" si="247"/>
        <v>4543.75</v>
      </c>
      <c r="H600" s="142">
        <f t="shared" si="247"/>
        <v>3587.4</v>
      </c>
      <c r="I600" s="142">
        <f t="shared" si="247"/>
        <v>1700.6</v>
      </c>
      <c r="J600" s="142">
        <f t="shared" si="247"/>
        <v>451</v>
      </c>
      <c r="K600" s="142" t="s">
        <v>23</v>
      </c>
      <c r="L600" s="142">
        <f>AVERAGE(L260:L264)</f>
        <v>15554</v>
      </c>
      <c r="N600" s="142">
        <f>AVERAGE(N260:N264)</f>
        <v>33031</v>
      </c>
      <c r="O600" s="142">
        <f>AVERAGE(O260:O264)</f>
        <v>35840.5</v>
      </c>
      <c r="P600" s="142">
        <f>AVERAGE(P260:P264)</f>
        <v>1068.5</v>
      </c>
      <c r="Q600" s="139" t="s">
        <v>23</v>
      </c>
      <c r="R600" s="139" t="s">
        <v>23</v>
      </c>
      <c r="S600" s="142">
        <f>AVERAGE(S260:S264)</f>
        <v>35624.666666666664</v>
      </c>
    </row>
    <row r="601" spans="1:19" ht="11.25" customHeight="1">
      <c r="A601" s="99" t="s">
        <v>144</v>
      </c>
      <c r="B601" s="142" t="s">
        <v>23</v>
      </c>
      <c r="C601" s="142" t="s">
        <v>23</v>
      </c>
      <c r="D601" s="142">
        <f>AVERAGE(D265:D269)</f>
        <v>3377</v>
      </c>
      <c r="E601" s="142">
        <f t="shared" ref="E601:J601" si="248">AVERAGE(E265:E269)</f>
        <v>8994</v>
      </c>
      <c r="F601" s="142">
        <f t="shared" si="248"/>
        <v>9723.5</v>
      </c>
      <c r="G601" s="142">
        <f t="shared" si="248"/>
        <v>11353.4</v>
      </c>
      <c r="H601" s="142">
        <f t="shared" si="248"/>
        <v>4217.6000000000004</v>
      </c>
      <c r="I601" s="142">
        <f t="shared" si="248"/>
        <v>1930.2</v>
      </c>
      <c r="J601" s="142">
        <f t="shared" si="248"/>
        <v>981.2</v>
      </c>
      <c r="K601" s="142" t="s">
        <v>23</v>
      </c>
      <c r="L601" s="142">
        <f>AVERAGE(L265:L269)</f>
        <v>36042.400000000001</v>
      </c>
      <c r="N601" s="142">
        <f>AVERAGE(N265:N269)</f>
        <v>8</v>
      </c>
      <c r="O601" s="142" t="s">
        <v>23</v>
      </c>
      <c r="P601" s="142" t="s">
        <v>23</v>
      </c>
      <c r="Q601" s="139" t="s">
        <v>23</v>
      </c>
      <c r="R601" s="139" t="s">
        <v>23</v>
      </c>
      <c r="S601" s="142">
        <f>AVERAGE(S265:S269)</f>
        <v>8</v>
      </c>
    </row>
    <row r="602" spans="1:19" ht="11.25" customHeight="1">
      <c r="A602" s="95" t="s">
        <v>166</v>
      </c>
      <c r="B602" s="142">
        <f>AVERAGE(B270:B274)</f>
        <v>7479.25</v>
      </c>
      <c r="C602" s="142">
        <f>AVERAGE(C270:C274)</f>
        <v>17217.400000000001</v>
      </c>
      <c r="D602" s="142">
        <f>AVERAGE(D270:D274)</f>
        <v>21668.6</v>
      </c>
      <c r="E602" s="142">
        <f t="shared" ref="E602:K602" si="249">AVERAGE(E270:E274)</f>
        <v>20216.5</v>
      </c>
      <c r="F602" s="142">
        <f t="shared" si="249"/>
        <v>7753</v>
      </c>
      <c r="G602" s="142">
        <f t="shared" si="249"/>
        <v>26693</v>
      </c>
      <c r="H602" s="142">
        <f t="shared" si="249"/>
        <v>18998.400000000001</v>
      </c>
      <c r="I602" s="142">
        <f t="shared" si="249"/>
        <v>8507.2000000000007</v>
      </c>
      <c r="J602" s="142">
        <f t="shared" si="249"/>
        <v>1275.8</v>
      </c>
      <c r="K602" s="142">
        <f t="shared" si="249"/>
        <v>148</v>
      </c>
      <c r="L602" s="142">
        <f>AVERAGE(L270:L274)</f>
        <v>117528.8</v>
      </c>
      <c r="N602" s="142" t="str">
        <f t="shared" ref="N602:S602" si="250">N270</f>
        <v>-</v>
      </c>
      <c r="O602" s="142" t="str">
        <f t="shared" si="250"/>
        <v>-</v>
      </c>
      <c r="P602" s="142" t="str">
        <f t="shared" si="250"/>
        <v>-</v>
      </c>
      <c r="Q602" s="142" t="str">
        <f t="shared" si="250"/>
        <v>-</v>
      </c>
      <c r="R602" s="142" t="str">
        <f t="shared" si="250"/>
        <v>-</v>
      </c>
      <c r="S602" s="142" t="str">
        <f t="shared" si="250"/>
        <v>-</v>
      </c>
    </row>
    <row r="603" spans="1:19" ht="11.25" customHeight="1">
      <c r="A603" s="95" t="s">
        <v>315</v>
      </c>
      <c r="B603" s="142" t="str">
        <f>B275</f>
        <v>-</v>
      </c>
      <c r="C603" s="142">
        <f>AVERAGE(C275:C279)</f>
        <v>1563</v>
      </c>
      <c r="D603" s="142">
        <f t="shared" ref="D603:L603" si="251">AVERAGE(D275:D279)</f>
        <v>3989.5</v>
      </c>
      <c r="E603" s="142">
        <f t="shared" si="251"/>
        <v>2550.5</v>
      </c>
      <c r="F603" s="142">
        <f t="shared" si="251"/>
        <v>1135</v>
      </c>
      <c r="G603" s="142">
        <f t="shared" si="251"/>
        <v>6639.5</v>
      </c>
      <c r="H603" s="142">
        <f t="shared" si="251"/>
        <v>277</v>
      </c>
      <c r="I603" s="142">
        <f t="shared" si="251"/>
        <v>768.5</v>
      </c>
      <c r="J603" s="142">
        <f t="shared" si="251"/>
        <v>550</v>
      </c>
      <c r="K603" s="142">
        <f t="shared" si="251"/>
        <v>67</v>
      </c>
      <c r="L603" s="142">
        <f t="shared" si="251"/>
        <v>7120.8</v>
      </c>
      <c r="N603" s="142" t="str">
        <f t="shared" ref="N603:O603" si="252">N275</f>
        <v>-</v>
      </c>
      <c r="O603" s="142" t="str">
        <f t="shared" si="252"/>
        <v>-</v>
      </c>
      <c r="P603" s="142">
        <f t="shared" ref="P603:S603" si="253">AVERAGE(P275:P279)</f>
        <v>2234</v>
      </c>
      <c r="Q603" s="142">
        <f t="shared" si="253"/>
        <v>421</v>
      </c>
      <c r="R603" s="142" t="str">
        <f t="shared" ref="R603" si="254">R275</f>
        <v>-</v>
      </c>
      <c r="S603" s="142">
        <f t="shared" si="253"/>
        <v>1538</v>
      </c>
    </row>
    <row r="604" spans="1:19" ht="11.25" customHeight="1">
      <c r="A604" s="95">
        <v>2011</v>
      </c>
      <c r="B604" s="142" t="str">
        <f t="shared" ref="B604:L604" si="255">B280</f>
        <v>-</v>
      </c>
      <c r="C604" s="142">
        <f t="shared" si="255"/>
        <v>4102</v>
      </c>
      <c r="D604" s="142">
        <f t="shared" si="255"/>
        <v>5414</v>
      </c>
      <c r="E604" s="142">
        <f t="shared" si="255"/>
        <v>8309</v>
      </c>
      <c r="F604" s="142">
        <f t="shared" si="255"/>
        <v>333</v>
      </c>
      <c r="G604" s="142">
        <f t="shared" si="255"/>
        <v>399</v>
      </c>
      <c r="H604" s="142">
        <f t="shared" si="255"/>
        <v>223</v>
      </c>
      <c r="I604" s="142">
        <f t="shared" si="255"/>
        <v>1058</v>
      </c>
      <c r="J604" s="142">
        <f t="shared" si="255"/>
        <v>1995</v>
      </c>
      <c r="K604" s="142" t="str">
        <f t="shared" si="255"/>
        <v>-</v>
      </c>
      <c r="L604" s="142">
        <f t="shared" si="255"/>
        <v>21833</v>
      </c>
      <c r="N604" s="142" t="str">
        <f t="shared" ref="N604:S612" si="256">N280</f>
        <v>-</v>
      </c>
      <c r="O604" s="142" t="str">
        <f t="shared" si="256"/>
        <v>-</v>
      </c>
      <c r="P604" s="142" t="str">
        <f t="shared" si="256"/>
        <v>-</v>
      </c>
      <c r="Q604" s="142" t="str">
        <f t="shared" si="256"/>
        <v>-</v>
      </c>
      <c r="R604" s="142" t="str">
        <f t="shared" si="256"/>
        <v>-</v>
      </c>
      <c r="S604" s="142" t="str">
        <f t="shared" si="256"/>
        <v>-</v>
      </c>
    </row>
    <row r="605" spans="1:19" ht="11.25" customHeight="1">
      <c r="A605" s="95">
        <v>2012</v>
      </c>
      <c r="B605" s="142" t="str">
        <f t="shared" ref="B605:L605" si="257">B281</f>
        <v>-</v>
      </c>
      <c r="C605" s="142">
        <f t="shared" si="257"/>
        <v>2103</v>
      </c>
      <c r="D605" s="142">
        <f t="shared" si="257"/>
        <v>8633</v>
      </c>
      <c r="E605" s="142">
        <f t="shared" si="257"/>
        <v>4338</v>
      </c>
      <c r="F605" s="142">
        <f t="shared" si="257"/>
        <v>609</v>
      </c>
      <c r="G605" s="142">
        <f t="shared" si="257"/>
        <v>2897</v>
      </c>
      <c r="H605" s="142">
        <f t="shared" si="257"/>
        <v>3981</v>
      </c>
      <c r="I605" s="142">
        <f t="shared" si="257"/>
        <v>1942</v>
      </c>
      <c r="J605" s="142">
        <f t="shared" si="257"/>
        <v>701</v>
      </c>
      <c r="K605" s="142" t="str">
        <f t="shared" si="257"/>
        <v>-</v>
      </c>
      <c r="L605" s="142">
        <f t="shared" si="257"/>
        <v>25204</v>
      </c>
      <c r="N605" s="142" t="str">
        <f t="shared" si="256"/>
        <v>-</v>
      </c>
      <c r="O605" s="142" t="str">
        <f t="shared" si="256"/>
        <v>-</v>
      </c>
      <c r="P605" s="142" t="str">
        <f t="shared" si="256"/>
        <v>-</v>
      </c>
      <c r="Q605" s="142" t="str">
        <f t="shared" si="256"/>
        <v>-</v>
      </c>
      <c r="R605" s="142" t="str">
        <f t="shared" si="256"/>
        <v>-</v>
      </c>
      <c r="S605" s="142" t="str">
        <f t="shared" si="256"/>
        <v>-</v>
      </c>
    </row>
    <row r="606" spans="1:19" ht="11.25" customHeight="1">
      <c r="A606" s="95">
        <v>2013</v>
      </c>
      <c r="B606" s="142" t="str">
        <f t="shared" ref="B606:L606" si="258">B282</f>
        <v>-</v>
      </c>
      <c r="C606" s="142">
        <f t="shared" si="258"/>
        <v>3796</v>
      </c>
      <c r="D606" s="142">
        <f t="shared" si="258"/>
        <v>5308</v>
      </c>
      <c r="E606" s="142">
        <f t="shared" si="258"/>
        <v>4103</v>
      </c>
      <c r="F606" s="142">
        <f t="shared" si="258"/>
        <v>3508</v>
      </c>
      <c r="G606" s="142">
        <f t="shared" si="258"/>
        <v>30097</v>
      </c>
      <c r="H606" s="142">
        <f t="shared" si="258"/>
        <v>23925</v>
      </c>
      <c r="I606" s="142">
        <f t="shared" si="258"/>
        <v>7677</v>
      </c>
      <c r="J606" s="142">
        <f t="shared" si="258"/>
        <v>1002</v>
      </c>
      <c r="K606" s="142" t="str">
        <f t="shared" si="258"/>
        <v>-</v>
      </c>
      <c r="L606" s="142">
        <f t="shared" si="258"/>
        <v>79416</v>
      </c>
      <c r="N606" s="142" t="str">
        <f t="shared" si="256"/>
        <v>-</v>
      </c>
      <c r="O606" s="142" t="str">
        <f t="shared" si="256"/>
        <v>-</v>
      </c>
      <c r="P606" s="142" t="str">
        <f t="shared" si="256"/>
        <v>-</v>
      </c>
      <c r="Q606" s="142" t="str">
        <f t="shared" si="256"/>
        <v>-</v>
      </c>
      <c r="R606" s="142" t="str">
        <f t="shared" si="256"/>
        <v>-</v>
      </c>
      <c r="S606" s="142" t="str">
        <f t="shared" si="256"/>
        <v>-</v>
      </c>
    </row>
    <row r="607" spans="1:19" ht="11.25" customHeight="1">
      <c r="A607" s="95">
        <v>2014</v>
      </c>
      <c r="B607" s="142" t="str">
        <f t="shared" ref="B607:L607" si="259">B283</f>
        <v>-</v>
      </c>
      <c r="C607" s="142">
        <f t="shared" si="259"/>
        <v>6403</v>
      </c>
      <c r="D607" s="142">
        <f t="shared" si="259"/>
        <v>15427</v>
      </c>
      <c r="E607" s="142">
        <f t="shared" si="259"/>
        <v>17812</v>
      </c>
      <c r="F607" s="142">
        <f t="shared" si="259"/>
        <v>11385</v>
      </c>
      <c r="G607" s="142">
        <f t="shared" si="259"/>
        <v>30187</v>
      </c>
      <c r="H607" s="142">
        <f t="shared" si="259"/>
        <v>2838</v>
      </c>
      <c r="I607" s="142">
        <f t="shared" si="259"/>
        <v>1116</v>
      </c>
      <c r="J607" s="142">
        <f t="shared" si="259"/>
        <v>469</v>
      </c>
      <c r="K607" s="142" t="str">
        <f t="shared" si="259"/>
        <v>-</v>
      </c>
      <c r="L607" s="142">
        <f t="shared" si="259"/>
        <v>85637</v>
      </c>
      <c r="N607" s="142" t="str">
        <f t="shared" si="256"/>
        <v>-</v>
      </c>
      <c r="O607" s="142" t="str">
        <f t="shared" si="256"/>
        <v>-</v>
      </c>
      <c r="P607" s="142" t="str">
        <f t="shared" si="256"/>
        <v>-</v>
      </c>
      <c r="Q607" s="142">
        <f t="shared" si="256"/>
        <v>970</v>
      </c>
      <c r="R607" s="142" t="str">
        <f t="shared" si="256"/>
        <v>-</v>
      </c>
      <c r="S607" s="142">
        <f t="shared" si="256"/>
        <v>970</v>
      </c>
    </row>
    <row r="608" spans="1:19" ht="11.25" customHeight="1">
      <c r="A608" s="95">
        <v>2015</v>
      </c>
      <c r="B608" s="142" t="str">
        <f t="shared" ref="B608:L608" si="260">B284</f>
        <v>-</v>
      </c>
      <c r="C608" s="142">
        <f t="shared" si="260"/>
        <v>8890</v>
      </c>
      <c r="D608" s="142">
        <f t="shared" si="260"/>
        <v>6786</v>
      </c>
      <c r="E608" s="142">
        <f t="shared" si="260"/>
        <v>14182</v>
      </c>
      <c r="F608" s="142">
        <f t="shared" si="260"/>
        <v>8682</v>
      </c>
      <c r="G608" s="142">
        <f t="shared" si="260"/>
        <v>1727</v>
      </c>
      <c r="H608" s="142">
        <f t="shared" si="260"/>
        <v>386</v>
      </c>
      <c r="I608" s="142">
        <f t="shared" si="260"/>
        <v>1635</v>
      </c>
      <c r="J608" s="142">
        <f t="shared" si="260"/>
        <v>1163</v>
      </c>
      <c r="K608" s="142" t="str">
        <f t="shared" si="260"/>
        <v>-</v>
      </c>
      <c r="L608" s="142">
        <f t="shared" si="260"/>
        <v>43451</v>
      </c>
      <c r="N608" s="142" t="str">
        <f t="shared" si="256"/>
        <v>-</v>
      </c>
      <c r="O608" s="142" t="str">
        <f t="shared" si="256"/>
        <v>-</v>
      </c>
      <c r="P608" s="142" t="str">
        <f t="shared" si="256"/>
        <v>-</v>
      </c>
      <c r="Q608" s="142" t="str">
        <f t="shared" si="256"/>
        <v>-</v>
      </c>
      <c r="R608" s="142" t="str">
        <f t="shared" si="256"/>
        <v>-</v>
      </c>
      <c r="S608" s="142" t="str">
        <f t="shared" si="256"/>
        <v>-</v>
      </c>
    </row>
    <row r="609" spans="1:19" ht="11.25" customHeight="1">
      <c r="A609" s="95">
        <v>2016</v>
      </c>
      <c r="B609" s="142" t="str">
        <f t="shared" ref="B609:L609" si="261">B285</f>
        <v>-</v>
      </c>
      <c r="C609" s="142">
        <f t="shared" si="261"/>
        <v>808</v>
      </c>
      <c r="D609" s="142">
        <f t="shared" si="261"/>
        <v>760</v>
      </c>
      <c r="E609" s="142">
        <f t="shared" si="261"/>
        <v>2273</v>
      </c>
      <c r="F609" s="142">
        <f t="shared" si="261"/>
        <v>2039</v>
      </c>
      <c r="G609" s="142">
        <f t="shared" si="261"/>
        <v>541</v>
      </c>
      <c r="H609" s="142">
        <f t="shared" si="261"/>
        <v>251</v>
      </c>
      <c r="I609" s="142">
        <f t="shared" si="261"/>
        <v>689</v>
      </c>
      <c r="J609" s="142">
        <f t="shared" si="261"/>
        <v>182</v>
      </c>
      <c r="K609" s="142" t="str">
        <f t="shared" si="261"/>
        <v>-</v>
      </c>
      <c r="L609" s="142">
        <f t="shared" si="261"/>
        <v>7543</v>
      </c>
      <c r="N609" s="142" t="str">
        <f t="shared" si="256"/>
        <v>-</v>
      </c>
      <c r="O609" s="142" t="str">
        <f t="shared" si="256"/>
        <v>-</v>
      </c>
      <c r="P609" s="142" t="str">
        <f t="shared" si="256"/>
        <v>-</v>
      </c>
      <c r="Q609" s="142" t="str">
        <f t="shared" si="256"/>
        <v>-</v>
      </c>
      <c r="R609" s="142" t="str">
        <f t="shared" si="256"/>
        <v>-</v>
      </c>
      <c r="S609" s="142" t="str">
        <f t="shared" si="256"/>
        <v>-</v>
      </c>
    </row>
    <row r="610" spans="1:19" ht="11.25" customHeight="1">
      <c r="A610" s="95">
        <v>2017</v>
      </c>
      <c r="B610" s="142" t="str">
        <f t="shared" ref="B610:L610" si="262">B286</f>
        <v>-</v>
      </c>
      <c r="C610" s="142" t="str">
        <f t="shared" si="262"/>
        <v>-</v>
      </c>
      <c r="D610" s="142" t="str">
        <f t="shared" si="262"/>
        <v>-</v>
      </c>
      <c r="E610" s="142" t="str">
        <f t="shared" si="262"/>
        <v>-</v>
      </c>
      <c r="F610" s="142" t="str">
        <f t="shared" si="262"/>
        <v>-</v>
      </c>
      <c r="G610" s="142" t="str">
        <f t="shared" si="262"/>
        <v>-</v>
      </c>
      <c r="H610" s="142" t="str">
        <f t="shared" si="262"/>
        <v>-</v>
      </c>
      <c r="I610" s="142">
        <f t="shared" si="262"/>
        <v>638</v>
      </c>
      <c r="J610" s="142">
        <f t="shared" si="262"/>
        <v>96</v>
      </c>
      <c r="K610" s="142" t="str">
        <f t="shared" si="262"/>
        <v>-</v>
      </c>
      <c r="L610" s="142">
        <f t="shared" si="262"/>
        <v>734</v>
      </c>
      <c r="N610" s="142" t="str">
        <f t="shared" si="256"/>
        <v>-</v>
      </c>
      <c r="O610" s="142" t="str">
        <f t="shared" si="256"/>
        <v>-</v>
      </c>
      <c r="P610" s="142" t="str">
        <f t="shared" si="256"/>
        <v>-</v>
      </c>
      <c r="Q610" s="142" t="str">
        <f t="shared" si="256"/>
        <v>-</v>
      </c>
      <c r="R610" s="142" t="str">
        <f t="shared" si="256"/>
        <v>-</v>
      </c>
      <c r="S610" s="142" t="str">
        <f t="shared" si="256"/>
        <v>-</v>
      </c>
    </row>
    <row r="611" spans="1:19" ht="11.25" customHeight="1">
      <c r="A611" s="95">
        <v>2018</v>
      </c>
      <c r="B611" s="142" t="str">
        <f t="shared" ref="B611:L611" si="263">B287</f>
        <v>-</v>
      </c>
      <c r="C611" s="142" t="str">
        <f t="shared" si="263"/>
        <v>-</v>
      </c>
      <c r="D611" s="142">
        <f t="shared" si="263"/>
        <v>300</v>
      </c>
      <c r="E611" s="142">
        <f t="shared" si="263"/>
        <v>2001</v>
      </c>
      <c r="F611" s="142">
        <f t="shared" si="263"/>
        <v>810</v>
      </c>
      <c r="G611" s="142">
        <f t="shared" si="263"/>
        <v>1215</v>
      </c>
      <c r="H611" s="142">
        <f t="shared" si="263"/>
        <v>48</v>
      </c>
      <c r="I611" s="142">
        <f t="shared" si="263"/>
        <v>472</v>
      </c>
      <c r="J611" s="142">
        <f t="shared" si="263"/>
        <v>431</v>
      </c>
      <c r="K611" s="142" t="str">
        <f t="shared" si="263"/>
        <v>-</v>
      </c>
      <c r="L611" s="142">
        <f t="shared" si="263"/>
        <v>5277</v>
      </c>
      <c r="N611" s="142" t="str">
        <f t="shared" si="256"/>
        <v>-</v>
      </c>
      <c r="O611" s="142" t="str">
        <f t="shared" si="256"/>
        <v>-</v>
      </c>
      <c r="P611" s="142" t="str">
        <f t="shared" si="256"/>
        <v>-</v>
      </c>
      <c r="Q611" s="142" t="str">
        <f t="shared" si="256"/>
        <v>-</v>
      </c>
      <c r="R611" s="142" t="str">
        <f t="shared" si="256"/>
        <v>-</v>
      </c>
      <c r="S611" s="142" t="str">
        <f t="shared" si="256"/>
        <v>-</v>
      </c>
    </row>
    <row r="612" spans="1:19" ht="11.25" customHeight="1">
      <c r="A612" s="95">
        <v>2019</v>
      </c>
      <c r="B612" s="142" t="str">
        <f t="shared" ref="B612:L612" si="264">B288</f>
        <v>-</v>
      </c>
      <c r="C612" s="142">
        <f t="shared" si="264"/>
        <v>79</v>
      </c>
      <c r="D612" s="142">
        <f t="shared" si="264"/>
        <v>170</v>
      </c>
      <c r="E612" s="142">
        <f t="shared" si="264"/>
        <v>632</v>
      </c>
      <c r="F612" s="142">
        <f t="shared" si="264"/>
        <v>1245</v>
      </c>
      <c r="G612" s="142">
        <f t="shared" si="264"/>
        <v>170</v>
      </c>
      <c r="H612" s="142">
        <f t="shared" si="264"/>
        <v>62</v>
      </c>
      <c r="I612" s="142">
        <f t="shared" si="264"/>
        <v>813</v>
      </c>
      <c r="J612" s="142" t="str">
        <f t="shared" si="264"/>
        <v>-</v>
      </c>
      <c r="K612" s="142" t="str">
        <f t="shared" si="264"/>
        <v>-</v>
      </c>
      <c r="L612" s="142">
        <f t="shared" si="264"/>
        <v>3171</v>
      </c>
      <c r="N612" s="142" t="str">
        <f t="shared" si="256"/>
        <v>-</v>
      </c>
      <c r="O612" s="142" t="str">
        <f t="shared" si="256"/>
        <v>-</v>
      </c>
      <c r="P612" s="142" t="str">
        <f t="shared" si="256"/>
        <v>-</v>
      </c>
      <c r="Q612" s="142" t="str">
        <f t="shared" si="256"/>
        <v>-</v>
      </c>
      <c r="R612" s="142" t="str">
        <f t="shared" si="256"/>
        <v>-</v>
      </c>
      <c r="S612" s="142" t="str">
        <f t="shared" si="256"/>
        <v>-</v>
      </c>
    </row>
    <row r="613" spans="1:19" ht="11.25" customHeight="1">
      <c r="A613" s="95">
        <v>2020</v>
      </c>
      <c r="B613" s="142" t="str">
        <f t="shared" ref="B613:L614" si="265">B289</f>
        <v>-</v>
      </c>
      <c r="C613" s="142">
        <f t="shared" si="265"/>
        <v>252</v>
      </c>
      <c r="D613" s="142">
        <f t="shared" si="265"/>
        <v>55</v>
      </c>
      <c r="E613" s="142">
        <f t="shared" si="265"/>
        <v>147</v>
      </c>
      <c r="F613" s="142">
        <f t="shared" si="265"/>
        <v>557</v>
      </c>
      <c r="G613" s="142">
        <f t="shared" si="265"/>
        <v>170</v>
      </c>
      <c r="H613" s="142">
        <f t="shared" si="265"/>
        <v>59</v>
      </c>
      <c r="I613" s="142">
        <f t="shared" si="265"/>
        <v>943</v>
      </c>
      <c r="J613" s="142" t="str">
        <f t="shared" si="265"/>
        <v>-</v>
      </c>
      <c r="K613" s="142" t="str">
        <f t="shared" si="265"/>
        <v>-</v>
      </c>
      <c r="L613" s="142">
        <f t="shared" si="265"/>
        <v>2183</v>
      </c>
      <c r="N613" s="142" t="str">
        <f t="shared" ref="N613:S614" si="266">N289</f>
        <v>-</v>
      </c>
      <c r="O613" s="142" t="str">
        <f t="shared" si="266"/>
        <v>-</v>
      </c>
      <c r="P613" s="142" t="str">
        <f t="shared" si="266"/>
        <v>-</v>
      </c>
      <c r="Q613" s="142" t="str">
        <f t="shared" si="266"/>
        <v>-</v>
      </c>
      <c r="R613" s="142" t="str">
        <f t="shared" si="266"/>
        <v>-</v>
      </c>
      <c r="S613" s="142" t="str">
        <f t="shared" si="266"/>
        <v>-</v>
      </c>
    </row>
    <row r="614" spans="1:19" ht="11.25" customHeight="1">
      <c r="A614" s="95" t="s">
        <v>317</v>
      </c>
      <c r="B614" s="142" t="str">
        <f t="shared" si="265"/>
        <v>-</v>
      </c>
      <c r="C614" s="142" t="str">
        <f t="shared" si="265"/>
        <v>-</v>
      </c>
      <c r="D614" s="142">
        <f t="shared" si="265"/>
        <v>965</v>
      </c>
      <c r="E614" s="142">
        <f t="shared" si="265"/>
        <v>339</v>
      </c>
      <c r="F614" s="142">
        <f t="shared" si="265"/>
        <v>107</v>
      </c>
      <c r="G614" s="142">
        <f t="shared" si="265"/>
        <v>23</v>
      </c>
      <c r="H614" s="142">
        <f t="shared" si="265"/>
        <v>294</v>
      </c>
      <c r="I614" s="142">
        <f t="shared" si="265"/>
        <v>1232</v>
      </c>
      <c r="J614" s="142" t="str">
        <f t="shared" si="265"/>
        <v>-</v>
      </c>
      <c r="K614" s="142" t="str">
        <f t="shared" si="265"/>
        <v>-</v>
      </c>
      <c r="L614" s="142">
        <f t="shared" si="265"/>
        <v>2960</v>
      </c>
      <c r="N614" s="142" t="str">
        <f t="shared" si="266"/>
        <v>-</v>
      </c>
      <c r="O614" s="142">
        <f t="shared" si="266"/>
        <v>17</v>
      </c>
      <c r="P614" s="142">
        <f t="shared" si="266"/>
        <v>9</v>
      </c>
      <c r="Q614" s="142" t="str">
        <f t="shared" si="266"/>
        <v>-</v>
      </c>
      <c r="R614" s="142" t="str">
        <f t="shared" si="266"/>
        <v>-</v>
      </c>
      <c r="S614" s="142">
        <f t="shared" si="266"/>
        <v>26</v>
      </c>
    </row>
    <row r="615" spans="1:19" ht="11.25" customHeight="1">
      <c r="B615" s="142"/>
      <c r="C615" s="142"/>
      <c r="D615" s="142"/>
      <c r="E615" s="142"/>
      <c r="F615" s="142"/>
      <c r="G615" s="142"/>
      <c r="H615" s="142"/>
      <c r="I615" s="142"/>
      <c r="J615" s="142"/>
      <c r="K615" s="142"/>
      <c r="L615" s="142"/>
      <c r="N615" s="142"/>
      <c r="O615" s="142"/>
      <c r="P615" s="142"/>
      <c r="Q615" s="142"/>
      <c r="R615" s="142"/>
      <c r="S615" s="142"/>
    </row>
    <row r="616" spans="1:19" ht="11.25" customHeight="1">
      <c r="A616" s="309" t="s">
        <v>275</v>
      </c>
      <c r="B616" s="309"/>
      <c r="C616" s="310"/>
      <c r="D616" s="310"/>
      <c r="E616" s="310"/>
      <c r="F616" s="310"/>
      <c r="G616" s="310"/>
      <c r="H616" s="310"/>
      <c r="I616" s="310"/>
      <c r="J616" s="310"/>
      <c r="K616" s="310"/>
      <c r="L616" s="310"/>
      <c r="M616" s="310"/>
      <c r="N616" s="310"/>
      <c r="O616" s="310"/>
      <c r="P616" s="310"/>
      <c r="Q616" s="310"/>
      <c r="R616" s="310"/>
      <c r="S616" s="310"/>
    </row>
    <row r="617" spans="1:19" ht="11.25" customHeight="1">
      <c r="A617" s="100" t="s">
        <v>27</v>
      </c>
      <c r="B617" s="185" t="s">
        <v>37</v>
      </c>
      <c r="C617" s="185" t="s">
        <v>28</v>
      </c>
      <c r="D617" s="185" t="s">
        <v>29</v>
      </c>
      <c r="E617" s="185" t="s">
        <v>30</v>
      </c>
      <c r="F617" s="185" t="s">
        <v>31</v>
      </c>
      <c r="G617" s="185" t="s">
        <v>32</v>
      </c>
      <c r="H617" s="185" t="s">
        <v>33</v>
      </c>
      <c r="I617" s="185" t="s">
        <v>34</v>
      </c>
      <c r="J617" s="185" t="s">
        <v>38</v>
      </c>
      <c r="K617" s="185" t="s">
        <v>75</v>
      </c>
      <c r="L617" s="185" t="s">
        <v>22</v>
      </c>
      <c r="M617" s="185"/>
      <c r="N617" s="185" t="s">
        <v>30</v>
      </c>
      <c r="O617" s="185" t="s">
        <v>31</v>
      </c>
      <c r="P617" s="185" t="s">
        <v>32</v>
      </c>
      <c r="Q617" s="185" t="s">
        <v>33</v>
      </c>
      <c r="R617" s="185" t="s">
        <v>34</v>
      </c>
      <c r="S617" s="185" t="s">
        <v>22</v>
      </c>
    </row>
    <row r="618" spans="1:19" ht="11.25" customHeight="1">
      <c r="B618" s="308" t="s">
        <v>61</v>
      </c>
      <c r="C618" s="308"/>
      <c r="D618" s="308"/>
      <c r="E618" s="308"/>
      <c r="F618" s="308"/>
      <c r="G618" s="308"/>
      <c r="H618" s="308"/>
      <c r="I618" s="308"/>
      <c r="J618" s="308"/>
      <c r="K618" s="308"/>
      <c r="L618" s="308"/>
      <c r="N618" s="308" t="s">
        <v>62</v>
      </c>
      <c r="O618" s="308"/>
      <c r="P618" s="308"/>
      <c r="Q618" s="308"/>
      <c r="R618" s="308"/>
      <c r="S618" s="308"/>
    </row>
    <row r="619" spans="1:19" ht="11.25" customHeight="1">
      <c r="A619" s="247" t="str">
        <f>A292</f>
        <v>Brookings</v>
      </c>
      <c r="B619" s="142"/>
      <c r="C619" s="142"/>
      <c r="D619" s="142"/>
      <c r="E619" s="142"/>
      <c r="F619" s="142"/>
      <c r="G619" s="142"/>
      <c r="H619" s="142"/>
      <c r="I619" s="142"/>
      <c r="J619" s="142"/>
      <c r="K619" s="142"/>
      <c r="L619" s="142"/>
      <c r="N619" s="142"/>
      <c r="O619" s="142"/>
      <c r="P619" s="142"/>
      <c r="Q619" s="142"/>
      <c r="R619" s="142"/>
      <c r="S619" s="142"/>
    </row>
    <row r="620" spans="1:19" ht="11.25" customHeight="1">
      <c r="A620" s="99" t="s">
        <v>24</v>
      </c>
      <c r="B620" s="142" t="s">
        <v>23</v>
      </c>
      <c r="C620" s="142" t="s">
        <v>23</v>
      </c>
      <c r="D620" s="142">
        <f t="shared" ref="D620:L620" si="267">AVERAGE(D322:D326)</f>
        <v>1782</v>
      </c>
      <c r="E620" s="142">
        <f t="shared" si="267"/>
        <v>1844.8</v>
      </c>
      <c r="F620" s="142">
        <f t="shared" si="267"/>
        <v>10356.6</v>
      </c>
      <c r="G620" s="142">
        <f t="shared" si="267"/>
        <v>20079.400000000001</v>
      </c>
      <c r="H620" s="142">
        <f t="shared" si="267"/>
        <v>3952</v>
      </c>
      <c r="I620" s="142">
        <f t="shared" si="267"/>
        <v>3494.6</v>
      </c>
      <c r="J620" s="142">
        <f t="shared" si="267"/>
        <v>1113.2</v>
      </c>
      <c r="K620" s="142" t="s">
        <v>23</v>
      </c>
      <c r="L620" s="142">
        <f t="shared" si="267"/>
        <v>42622.6</v>
      </c>
      <c r="N620" s="139" t="s">
        <v>23</v>
      </c>
      <c r="O620" s="142">
        <f>AVERAGE(O322:O326)</f>
        <v>15829.75</v>
      </c>
      <c r="P620" s="142">
        <f>AVERAGE(P322:P326)</f>
        <v>35594</v>
      </c>
      <c r="Q620" s="139" t="s">
        <v>23</v>
      </c>
      <c r="R620" s="139" t="s">
        <v>23</v>
      </c>
      <c r="S620" s="142">
        <f>AVERAGE(S322:S326)</f>
        <v>24728.25</v>
      </c>
    </row>
    <row r="621" spans="1:19" ht="11.25" customHeight="1">
      <c r="A621" s="99" t="s">
        <v>78</v>
      </c>
      <c r="B621" s="142" t="s">
        <v>23</v>
      </c>
      <c r="C621" s="142" t="s">
        <v>23</v>
      </c>
      <c r="D621" s="142">
        <f t="shared" ref="D621:L621" si="268">AVERAGE(D327:D331)</f>
        <v>5087</v>
      </c>
      <c r="E621" s="142">
        <f t="shared" si="268"/>
        <v>16801.5</v>
      </c>
      <c r="F621" s="142">
        <f t="shared" si="268"/>
        <v>9562</v>
      </c>
      <c r="G621" s="142">
        <f t="shared" si="268"/>
        <v>8706.3333333333339</v>
      </c>
      <c r="H621" s="142">
        <f t="shared" si="268"/>
        <v>2844</v>
      </c>
      <c r="I621" s="142">
        <f t="shared" si="268"/>
        <v>963</v>
      </c>
      <c r="J621" s="142">
        <f t="shared" si="268"/>
        <v>1460</v>
      </c>
      <c r="K621" s="142" t="s">
        <v>23</v>
      </c>
      <c r="L621" s="142">
        <f t="shared" si="268"/>
        <v>28824.6</v>
      </c>
      <c r="N621" s="142">
        <f t="shared" ref="N621:S621" si="269">AVERAGE(N327:N331)</f>
        <v>4594.25</v>
      </c>
      <c r="O621" s="142">
        <f t="shared" si="269"/>
        <v>7121</v>
      </c>
      <c r="P621" s="139" t="s">
        <v>23</v>
      </c>
      <c r="Q621" s="139" t="s">
        <v>23</v>
      </c>
      <c r="R621" s="139" t="s">
        <v>23</v>
      </c>
      <c r="S621" s="142">
        <f t="shared" si="269"/>
        <v>6374.5</v>
      </c>
    </row>
    <row r="622" spans="1:19" ht="11.25" customHeight="1">
      <c r="A622" s="99" t="s">
        <v>10</v>
      </c>
      <c r="B622" s="142" t="s">
        <v>23</v>
      </c>
      <c r="C622" s="142" t="s">
        <v>23</v>
      </c>
      <c r="D622" s="142">
        <f>AVERAGE(D332:D336)</f>
        <v>264.5</v>
      </c>
      <c r="E622" s="139" t="s">
        <v>23</v>
      </c>
      <c r="F622" s="142">
        <f>AVERAGE(F332:F336)</f>
        <v>1682</v>
      </c>
      <c r="G622" s="142">
        <f>AVERAGE(G332:G336)</f>
        <v>234</v>
      </c>
      <c r="H622" s="142">
        <f>AVERAGE(H332:H336)</f>
        <v>210</v>
      </c>
      <c r="I622" s="142">
        <f>AVERAGE(I332:I336)</f>
        <v>1190.5</v>
      </c>
      <c r="J622" s="139" t="s">
        <v>23</v>
      </c>
      <c r="K622" s="142" t="s">
        <v>23</v>
      </c>
      <c r="L622" s="142">
        <f>AVERAGE(L332:L336)</f>
        <v>1678.6666666666667</v>
      </c>
      <c r="N622" s="139" t="s">
        <v>23</v>
      </c>
      <c r="O622" s="139" t="s">
        <v>23</v>
      </c>
      <c r="P622" s="139" t="s">
        <v>23</v>
      </c>
      <c r="Q622" s="139" t="s">
        <v>23</v>
      </c>
      <c r="R622" s="139" t="s">
        <v>23</v>
      </c>
      <c r="S622" s="139" t="s">
        <v>23</v>
      </c>
    </row>
    <row r="623" spans="1:19" ht="11.25" customHeight="1">
      <c r="A623" s="99" t="s">
        <v>144</v>
      </c>
      <c r="B623" s="142" t="s">
        <v>23</v>
      </c>
      <c r="C623" s="142" t="s">
        <v>23</v>
      </c>
      <c r="D623" s="142">
        <f>AVERAGE(D337:D341)</f>
        <v>1063.5999999999999</v>
      </c>
      <c r="E623" s="139" t="s">
        <v>23</v>
      </c>
      <c r="F623" s="142" t="s">
        <v>23</v>
      </c>
      <c r="G623" s="142">
        <f>AVERAGE(G337:G341)</f>
        <v>1049.2</v>
      </c>
      <c r="H623" s="142">
        <f>AVERAGE(H337:H341)</f>
        <v>664.5</v>
      </c>
      <c r="I623" s="142">
        <f>AVERAGE(I337:I341)</f>
        <v>696.2</v>
      </c>
      <c r="J623" s="139" t="s">
        <v>23</v>
      </c>
      <c r="K623" s="142" t="s">
        <v>23</v>
      </c>
      <c r="L623" s="142">
        <f>AVERAGE(L337:L341)</f>
        <v>3541.6</v>
      </c>
      <c r="N623" s="139" t="s">
        <v>23</v>
      </c>
      <c r="O623" s="139" t="s">
        <v>23</v>
      </c>
      <c r="P623" s="139" t="s">
        <v>23</v>
      </c>
      <c r="Q623" s="139" t="s">
        <v>23</v>
      </c>
      <c r="R623" s="139" t="s">
        <v>23</v>
      </c>
      <c r="S623" s="139" t="s">
        <v>23</v>
      </c>
    </row>
    <row r="624" spans="1:19" ht="11.25" customHeight="1">
      <c r="A624" s="95" t="s">
        <v>166</v>
      </c>
      <c r="B624" s="142">
        <f>AVERAGE(B342:B346)</f>
        <v>24.5</v>
      </c>
      <c r="C624" s="142">
        <f>AVERAGE(C342:C346)</f>
        <v>62.75</v>
      </c>
      <c r="D624" s="142">
        <f>AVERAGE(D342:D346)</f>
        <v>425</v>
      </c>
      <c r="E624" s="142">
        <f t="shared" ref="E624:J624" si="270">AVERAGE(E342:E346)</f>
        <v>1155.75</v>
      </c>
      <c r="F624" s="142">
        <f t="shared" si="270"/>
        <v>1614.6666666666667</v>
      </c>
      <c r="G624" s="142">
        <f t="shared" si="270"/>
        <v>1433.75</v>
      </c>
      <c r="H624" s="142">
        <f t="shared" si="270"/>
        <v>1211.4000000000001</v>
      </c>
      <c r="I624" s="142">
        <f t="shared" si="270"/>
        <v>543.4</v>
      </c>
      <c r="J624" s="142">
        <f t="shared" si="270"/>
        <v>66.333333333333329</v>
      </c>
      <c r="K624" s="142" t="str">
        <f>K342</f>
        <v>-</v>
      </c>
      <c r="L624" s="142">
        <f>AVERAGE(L342:L346)</f>
        <v>5244.8</v>
      </c>
      <c r="N624" s="142" t="str">
        <f t="shared" ref="N624:S624" si="271">N342</f>
        <v>-</v>
      </c>
      <c r="O624" s="142" t="str">
        <f t="shared" si="271"/>
        <v>-</v>
      </c>
      <c r="P624" s="142" t="str">
        <f t="shared" si="271"/>
        <v>-</v>
      </c>
      <c r="Q624" s="142" t="str">
        <f t="shared" si="271"/>
        <v>-</v>
      </c>
      <c r="R624" s="142" t="str">
        <f t="shared" si="271"/>
        <v>-</v>
      </c>
      <c r="S624" s="142" t="str">
        <f t="shared" si="271"/>
        <v>-</v>
      </c>
    </row>
    <row r="625" spans="1:19" ht="11.25" customHeight="1">
      <c r="A625" s="95" t="s">
        <v>315</v>
      </c>
      <c r="B625" s="142" t="str">
        <f>B347</f>
        <v>-</v>
      </c>
      <c r="C625" s="142">
        <f>AVERAGE(C347:C351)</f>
        <v>15</v>
      </c>
      <c r="D625" s="142">
        <f t="shared" ref="D625:L625" si="272">AVERAGE(D347:D351)</f>
        <v>94.5</v>
      </c>
      <c r="E625" s="142">
        <f t="shared" si="272"/>
        <v>727</v>
      </c>
      <c r="F625" s="142">
        <f t="shared" si="272"/>
        <v>600.5</v>
      </c>
      <c r="G625" s="142">
        <f t="shared" si="272"/>
        <v>824.5</v>
      </c>
      <c r="H625" s="142">
        <f t="shared" si="272"/>
        <v>206</v>
      </c>
      <c r="I625" s="142">
        <f t="shared" si="272"/>
        <v>391</v>
      </c>
      <c r="J625" s="142">
        <f t="shared" si="272"/>
        <v>91.5</v>
      </c>
      <c r="K625" s="142" t="str">
        <f>K347</f>
        <v>-</v>
      </c>
      <c r="L625" s="142">
        <f t="shared" si="272"/>
        <v>1485</v>
      </c>
      <c r="N625" s="142" t="str">
        <f t="shared" ref="N625:S625" si="273">N347</f>
        <v>-</v>
      </c>
      <c r="O625" s="142" t="str">
        <f t="shared" si="273"/>
        <v>-</v>
      </c>
      <c r="P625" s="142" t="str">
        <f t="shared" si="273"/>
        <v>-</v>
      </c>
      <c r="Q625" s="142" t="str">
        <f t="shared" si="273"/>
        <v>-</v>
      </c>
      <c r="R625" s="142" t="str">
        <f t="shared" si="273"/>
        <v>-</v>
      </c>
      <c r="S625" s="142" t="str">
        <f t="shared" si="273"/>
        <v>-</v>
      </c>
    </row>
    <row r="626" spans="1:19" ht="11.25" customHeight="1">
      <c r="A626" s="95">
        <v>2011</v>
      </c>
      <c r="B626" s="142" t="str">
        <f t="shared" ref="B626:L626" si="274">B352</f>
        <v>-</v>
      </c>
      <c r="C626" s="142" t="str">
        <f t="shared" si="274"/>
        <v>-</v>
      </c>
      <c r="D626" s="142">
        <f t="shared" si="274"/>
        <v>601</v>
      </c>
      <c r="E626" s="142">
        <f t="shared" si="274"/>
        <v>254</v>
      </c>
      <c r="F626" s="142">
        <f t="shared" si="274"/>
        <v>27</v>
      </c>
      <c r="G626" s="142">
        <f t="shared" si="274"/>
        <v>337</v>
      </c>
      <c r="H626" s="142" t="str">
        <f t="shared" si="274"/>
        <v>-</v>
      </c>
      <c r="I626" s="142">
        <f t="shared" si="274"/>
        <v>107</v>
      </c>
      <c r="J626" s="142" t="str">
        <f t="shared" si="274"/>
        <v>-</v>
      </c>
      <c r="K626" s="142" t="str">
        <f t="shared" si="274"/>
        <v>-</v>
      </c>
      <c r="L626" s="142">
        <f t="shared" si="274"/>
        <v>1326</v>
      </c>
      <c r="N626" s="142" t="str">
        <f t="shared" ref="N626:S634" si="275">N352</f>
        <v>-</v>
      </c>
      <c r="O626" s="142" t="str">
        <f t="shared" si="275"/>
        <v>-</v>
      </c>
      <c r="P626" s="142" t="str">
        <f t="shared" si="275"/>
        <v>-</v>
      </c>
      <c r="Q626" s="142" t="str">
        <f t="shared" si="275"/>
        <v>-</v>
      </c>
      <c r="R626" s="142" t="str">
        <f t="shared" si="275"/>
        <v>-</v>
      </c>
      <c r="S626" s="142" t="str">
        <f t="shared" si="275"/>
        <v>-</v>
      </c>
    </row>
    <row r="627" spans="1:19" ht="11.25" customHeight="1">
      <c r="A627" s="95">
        <v>2012</v>
      </c>
      <c r="B627" s="142" t="str">
        <f t="shared" ref="B627:L627" si="276">B353</f>
        <v>-</v>
      </c>
      <c r="C627" s="142" t="str">
        <f t="shared" si="276"/>
        <v xml:space="preserve">- </v>
      </c>
      <c r="D627" s="142">
        <f t="shared" si="276"/>
        <v>371</v>
      </c>
      <c r="E627" s="142">
        <f t="shared" si="276"/>
        <v>1287</v>
      </c>
      <c r="F627" s="142">
        <f t="shared" si="276"/>
        <v>1456</v>
      </c>
      <c r="G627" s="142">
        <f t="shared" si="276"/>
        <v>1328</v>
      </c>
      <c r="H627" s="142">
        <f t="shared" si="276"/>
        <v>884</v>
      </c>
      <c r="I627" s="142">
        <f t="shared" si="276"/>
        <v>118</v>
      </c>
      <c r="J627" s="142" t="str">
        <f t="shared" si="276"/>
        <v>-</v>
      </c>
      <c r="K627" s="142" t="str">
        <f t="shared" si="276"/>
        <v>-</v>
      </c>
      <c r="L627" s="142">
        <f t="shared" si="276"/>
        <v>5444</v>
      </c>
      <c r="N627" s="142" t="str">
        <f t="shared" si="275"/>
        <v>-</v>
      </c>
      <c r="O627" s="142" t="str">
        <f t="shared" si="275"/>
        <v>-</v>
      </c>
      <c r="P627" s="142" t="str">
        <f t="shared" si="275"/>
        <v>-</v>
      </c>
      <c r="Q627" s="142" t="str">
        <f t="shared" si="275"/>
        <v>-</v>
      </c>
      <c r="R627" s="142" t="str">
        <f t="shared" si="275"/>
        <v>-</v>
      </c>
      <c r="S627" s="142" t="str">
        <f t="shared" si="275"/>
        <v>-</v>
      </c>
    </row>
    <row r="628" spans="1:19" ht="11.25" customHeight="1">
      <c r="A628" s="95">
        <v>2013</v>
      </c>
      <c r="B628" s="142" t="str">
        <f t="shared" ref="B628:L628" si="277">B354</f>
        <v>-</v>
      </c>
      <c r="C628" s="142">
        <f t="shared" si="277"/>
        <v>50</v>
      </c>
      <c r="D628" s="142">
        <f t="shared" si="277"/>
        <v>7</v>
      </c>
      <c r="E628" s="142">
        <f t="shared" si="277"/>
        <v>1450</v>
      </c>
      <c r="F628" s="142">
        <f t="shared" si="277"/>
        <v>3171</v>
      </c>
      <c r="G628" s="142">
        <f t="shared" si="277"/>
        <v>1848</v>
      </c>
      <c r="H628" s="142">
        <f t="shared" si="277"/>
        <v>135</v>
      </c>
      <c r="I628" s="142">
        <f t="shared" si="277"/>
        <v>155</v>
      </c>
      <c r="J628" s="142" t="str">
        <f t="shared" si="277"/>
        <v>-</v>
      </c>
      <c r="K628" s="142" t="str">
        <f t="shared" si="277"/>
        <v>-</v>
      </c>
      <c r="L628" s="142">
        <f t="shared" si="277"/>
        <v>6816</v>
      </c>
      <c r="N628" s="142" t="str">
        <f t="shared" si="275"/>
        <v>-</v>
      </c>
      <c r="O628" s="142" t="str">
        <f t="shared" si="275"/>
        <v>-</v>
      </c>
      <c r="P628" s="142" t="str">
        <f t="shared" si="275"/>
        <v>-</v>
      </c>
      <c r="Q628" s="142" t="str">
        <f t="shared" si="275"/>
        <v>-</v>
      </c>
      <c r="R628" s="142" t="str">
        <f t="shared" si="275"/>
        <v>-</v>
      </c>
      <c r="S628" s="142" t="str">
        <f t="shared" si="275"/>
        <v>-</v>
      </c>
    </row>
    <row r="629" spans="1:19" ht="11.25" customHeight="1">
      <c r="A629" s="95">
        <v>2014</v>
      </c>
      <c r="B629" s="142" t="str">
        <f t="shared" ref="B629:L629" si="278">B355</f>
        <v>-</v>
      </c>
      <c r="C629" s="142">
        <f t="shared" si="278"/>
        <v>53</v>
      </c>
      <c r="D629" s="142">
        <f t="shared" si="278"/>
        <v>13352</v>
      </c>
      <c r="E629" s="142">
        <f t="shared" si="278"/>
        <v>1349</v>
      </c>
      <c r="F629" s="142">
        <f t="shared" si="278"/>
        <v>492</v>
      </c>
      <c r="G629" s="142">
        <f t="shared" si="278"/>
        <v>403</v>
      </c>
      <c r="H629" s="142">
        <f t="shared" si="278"/>
        <v>54</v>
      </c>
      <c r="I629" s="142">
        <f t="shared" si="278"/>
        <v>443</v>
      </c>
      <c r="J629" s="142" t="str">
        <f t="shared" si="278"/>
        <v>-</v>
      </c>
      <c r="K629" s="142" t="str">
        <f t="shared" si="278"/>
        <v>-</v>
      </c>
      <c r="L629" s="142">
        <f t="shared" si="278"/>
        <v>16146</v>
      </c>
      <c r="N629" s="142" t="str">
        <f t="shared" si="275"/>
        <v>-</v>
      </c>
      <c r="O629" s="142" t="str">
        <f t="shared" si="275"/>
        <v>-</v>
      </c>
      <c r="P629" s="142" t="str">
        <f t="shared" si="275"/>
        <v>-</v>
      </c>
      <c r="Q629" s="142" t="str">
        <f t="shared" si="275"/>
        <v>-</v>
      </c>
      <c r="R629" s="142" t="str">
        <f t="shared" si="275"/>
        <v>-</v>
      </c>
      <c r="S629" s="142" t="str">
        <f t="shared" si="275"/>
        <v>-</v>
      </c>
    </row>
    <row r="630" spans="1:19" ht="11.25" customHeight="1">
      <c r="A630" s="95">
        <v>2015</v>
      </c>
      <c r="B630" s="142" t="str">
        <f t="shared" ref="B630:L630" si="279">B356</f>
        <v>-</v>
      </c>
      <c r="C630" s="142">
        <f t="shared" si="279"/>
        <v>39</v>
      </c>
      <c r="D630" s="142">
        <f t="shared" si="279"/>
        <v>1146</v>
      </c>
      <c r="E630" s="142">
        <f t="shared" si="279"/>
        <v>1528</v>
      </c>
      <c r="F630" s="142">
        <f t="shared" si="279"/>
        <v>779</v>
      </c>
      <c r="G630" s="142">
        <f t="shared" si="279"/>
        <v>92</v>
      </c>
      <c r="H630" s="142" t="str">
        <f t="shared" si="279"/>
        <v>-</v>
      </c>
      <c r="I630" s="142">
        <f t="shared" si="279"/>
        <v>639</v>
      </c>
      <c r="J630" s="142" t="str">
        <f t="shared" si="279"/>
        <v>-</v>
      </c>
      <c r="K630" s="142" t="str">
        <f t="shared" si="279"/>
        <v>-</v>
      </c>
      <c r="L630" s="142">
        <f t="shared" si="279"/>
        <v>4223</v>
      </c>
      <c r="N630" s="142" t="str">
        <f t="shared" si="275"/>
        <v>-</v>
      </c>
      <c r="O630" s="142" t="str">
        <f t="shared" si="275"/>
        <v>-</v>
      </c>
      <c r="P630" s="142" t="str">
        <f t="shared" si="275"/>
        <v>-</v>
      </c>
      <c r="Q630" s="142" t="str">
        <f t="shared" si="275"/>
        <v>-</v>
      </c>
      <c r="R630" s="142" t="str">
        <f t="shared" si="275"/>
        <v>-</v>
      </c>
      <c r="S630" s="142" t="str">
        <f t="shared" si="275"/>
        <v>-</v>
      </c>
    </row>
    <row r="631" spans="1:19" ht="11.25" customHeight="1">
      <c r="A631" s="95">
        <v>2016</v>
      </c>
      <c r="B631" s="142" t="str">
        <f t="shared" ref="B631:L631" si="280">B357</f>
        <v>-</v>
      </c>
      <c r="C631" s="142">
        <f t="shared" si="280"/>
        <v>12</v>
      </c>
      <c r="D631" s="142">
        <f t="shared" si="280"/>
        <v>34</v>
      </c>
      <c r="E631" s="142">
        <f t="shared" si="280"/>
        <v>179</v>
      </c>
      <c r="F631" s="142">
        <f t="shared" si="280"/>
        <v>21</v>
      </c>
      <c r="G631" s="142" t="str">
        <f t="shared" si="280"/>
        <v>-</v>
      </c>
      <c r="H631" s="142" t="str">
        <f t="shared" si="280"/>
        <v>-</v>
      </c>
      <c r="I631" s="142">
        <f t="shared" si="280"/>
        <v>152</v>
      </c>
      <c r="J631" s="142" t="str">
        <f t="shared" si="280"/>
        <v>-</v>
      </c>
      <c r="K631" s="142" t="str">
        <f t="shared" si="280"/>
        <v>-</v>
      </c>
      <c r="L631" s="142">
        <f t="shared" si="280"/>
        <v>398</v>
      </c>
      <c r="N631" s="142" t="str">
        <f t="shared" si="275"/>
        <v>-</v>
      </c>
      <c r="O631" s="142" t="str">
        <f t="shared" si="275"/>
        <v>-</v>
      </c>
      <c r="P631" s="142" t="str">
        <f t="shared" si="275"/>
        <v>-</v>
      </c>
      <c r="Q631" s="142" t="str">
        <f t="shared" si="275"/>
        <v>-</v>
      </c>
      <c r="R631" s="142" t="str">
        <f t="shared" si="275"/>
        <v>-</v>
      </c>
      <c r="S631" s="142" t="str">
        <f t="shared" si="275"/>
        <v>-</v>
      </c>
    </row>
    <row r="632" spans="1:19" ht="11.25" customHeight="1">
      <c r="A632" s="95">
        <v>2017</v>
      </c>
      <c r="B632" s="142" t="str">
        <f t="shared" ref="B632:L632" si="281">B358</f>
        <v>-</v>
      </c>
      <c r="C632" s="142" t="str">
        <f t="shared" si="281"/>
        <v>-</v>
      </c>
      <c r="D632" s="142" t="str">
        <f t="shared" si="281"/>
        <v>-</v>
      </c>
      <c r="E632" s="142" t="str">
        <f t="shared" si="281"/>
        <v>-</v>
      </c>
      <c r="F632" s="142" t="str">
        <f t="shared" si="281"/>
        <v>-</v>
      </c>
      <c r="G632" s="142" t="str">
        <f t="shared" si="281"/>
        <v>-</v>
      </c>
      <c r="H632" s="142" t="str">
        <f t="shared" si="281"/>
        <v>-</v>
      </c>
      <c r="I632" s="142">
        <f t="shared" si="281"/>
        <v>329</v>
      </c>
      <c r="J632" s="142" t="str">
        <f t="shared" si="281"/>
        <v>-</v>
      </c>
      <c r="K632" s="142" t="str">
        <f t="shared" si="281"/>
        <v>-</v>
      </c>
      <c r="L632" s="142">
        <f t="shared" si="281"/>
        <v>329</v>
      </c>
      <c r="N632" s="142" t="str">
        <f t="shared" si="275"/>
        <v>-</v>
      </c>
      <c r="O632" s="142" t="str">
        <f t="shared" si="275"/>
        <v>-</v>
      </c>
      <c r="P632" s="142" t="str">
        <f t="shared" si="275"/>
        <v>-</v>
      </c>
      <c r="Q632" s="142" t="str">
        <f t="shared" si="275"/>
        <v>-</v>
      </c>
      <c r="R632" s="142" t="str">
        <f t="shared" si="275"/>
        <v>-</v>
      </c>
      <c r="S632" s="142" t="str">
        <f t="shared" si="275"/>
        <v>-</v>
      </c>
    </row>
    <row r="633" spans="1:19" ht="11.25" customHeight="1">
      <c r="A633" s="95">
        <v>2018</v>
      </c>
      <c r="B633" s="142" t="str">
        <f t="shared" ref="B633:L633" si="282">B359</f>
        <v>-</v>
      </c>
      <c r="C633" s="142" t="str">
        <f t="shared" si="282"/>
        <v>-</v>
      </c>
      <c r="D633" s="142">
        <f t="shared" si="282"/>
        <v>272</v>
      </c>
      <c r="E633" s="142">
        <f t="shared" si="282"/>
        <v>1529</v>
      </c>
      <c r="F633" s="142">
        <f t="shared" si="282"/>
        <v>1168</v>
      </c>
      <c r="G633" s="142">
        <f t="shared" si="282"/>
        <v>614</v>
      </c>
      <c r="H633" s="142" t="str">
        <f t="shared" si="282"/>
        <v>-</v>
      </c>
      <c r="I633" s="142">
        <f t="shared" si="282"/>
        <v>316</v>
      </c>
      <c r="J633" s="142" t="str">
        <f t="shared" si="282"/>
        <v>-</v>
      </c>
      <c r="K633" s="142" t="str">
        <f t="shared" si="282"/>
        <v>-</v>
      </c>
      <c r="L633" s="142">
        <f t="shared" si="282"/>
        <v>3899</v>
      </c>
      <c r="N633" s="142" t="str">
        <f t="shared" si="275"/>
        <v>-</v>
      </c>
      <c r="O633" s="142" t="str">
        <f t="shared" si="275"/>
        <v>-</v>
      </c>
      <c r="P633" s="142" t="str">
        <f t="shared" si="275"/>
        <v>-</v>
      </c>
      <c r="Q633" s="142" t="str">
        <f t="shared" si="275"/>
        <v>-</v>
      </c>
      <c r="R633" s="142" t="str">
        <f t="shared" si="275"/>
        <v>-</v>
      </c>
      <c r="S633" s="142" t="str">
        <f t="shared" si="275"/>
        <v>-</v>
      </c>
    </row>
    <row r="634" spans="1:19" ht="11.25" customHeight="1">
      <c r="A634" s="95">
        <v>2019</v>
      </c>
      <c r="B634" s="142" t="str">
        <f t="shared" ref="B634:L634" si="283">B360</f>
        <v>-</v>
      </c>
      <c r="C634" s="142">
        <f t="shared" si="283"/>
        <v>12</v>
      </c>
      <c r="D634" s="142">
        <f t="shared" si="283"/>
        <v>16</v>
      </c>
      <c r="E634" s="142">
        <f t="shared" si="283"/>
        <v>62</v>
      </c>
      <c r="F634" s="142">
        <f t="shared" si="283"/>
        <v>470</v>
      </c>
      <c r="G634" s="142">
        <f t="shared" si="283"/>
        <v>1312</v>
      </c>
      <c r="H634" s="142" t="str">
        <f t="shared" si="283"/>
        <v>-</v>
      </c>
      <c r="I634" s="142" t="str">
        <f t="shared" si="283"/>
        <v>-</v>
      </c>
      <c r="J634" s="142" t="str">
        <f t="shared" si="283"/>
        <v>-</v>
      </c>
      <c r="K634" s="142" t="str">
        <f t="shared" si="283"/>
        <v>-</v>
      </c>
      <c r="L634" s="142">
        <f t="shared" si="283"/>
        <v>1872</v>
      </c>
      <c r="N634" s="142" t="str">
        <f t="shared" si="275"/>
        <v>-</v>
      </c>
      <c r="O634" s="142" t="str">
        <f t="shared" si="275"/>
        <v>-</v>
      </c>
      <c r="P634" s="142" t="str">
        <f t="shared" si="275"/>
        <v>-</v>
      </c>
      <c r="Q634" s="142" t="str">
        <f t="shared" si="275"/>
        <v>-</v>
      </c>
      <c r="R634" s="142" t="str">
        <f t="shared" si="275"/>
        <v>-</v>
      </c>
      <c r="S634" s="142" t="str">
        <f t="shared" si="275"/>
        <v>-</v>
      </c>
    </row>
    <row r="635" spans="1:19" ht="11.25" customHeight="1">
      <c r="A635" s="95">
        <v>2020</v>
      </c>
      <c r="B635" s="142" t="str">
        <f t="shared" ref="B635:L636" si="284">B361</f>
        <v>-</v>
      </c>
      <c r="C635" s="142">
        <f t="shared" si="284"/>
        <v>1</v>
      </c>
      <c r="D635" s="142">
        <f t="shared" si="284"/>
        <v>5</v>
      </c>
      <c r="E635" s="142">
        <f t="shared" si="284"/>
        <v>168</v>
      </c>
      <c r="F635" s="142">
        <f t="shared" si="284"/>
        <v>651</v>
      </c>
      <c r="G635" s="142" t="str">
        <f t="shared" si="284"/>
        <v>-</v>
      </c>
      <c r="H635" s="142" t="str">
        <f t="shared" si="284"/>
        <v>-</v>
      </c>
      <c r="I635" s="142" t="str">
        <f t="shared" si="284"/>
        <v>-</v>
      </c>
      <c r="J635" s="142" t="str">
        <f t="shared" si="284"/>
        <v>-</v>
      </c>
      <c r="K635" s="142" t="str">
        <f t="shared" si="284"/>
        <v>-</v>
      </c>
      <c r="L635" s="142">
        <f t="shared" si="284"/>
        <v>825</v>
      </c>
      <c r="N635" s="142" t="str">
        <f t="shared" ref="N635:S636" si="285">N361</f>
        <v>-</v>
      </c>
      <c r="O635" s="142" t="str">
        <f t="shared" si="285"/>
        <v>-</v>
      </c>
      <c r="P635" s="142" t="str">
        <f t="shared" si="285"/>
        <v>-</v>
      </c>
      <c r="Q635" s="142" t="str">
        <f t="shared" si="285"/>
        <v>-</v>
      </c>
      <c r="R635" s="142" t="str">
        <f t="shared" si="285"/>
        <v>-</v>
      </c>
      <c r="S635" s="142" t="str">
        <f t="shared" si="285"/>
        <v>-</v>
      </c>
    </row>
    <row r="636" spans="1:19" ht="11.25" customHeight="1">
      <c r="A636" s="95" t="s">
        <v>317</v>
      </c>
      <c r="B636" s="142">
        <f t="shared" si="284"/>
        <v>2</v>
      </c>
      <c r="C636" s="142">
        <f t="shared" si="284"/>
        <v>2</v>
      </c>
      <c r="D636" s="142">
        <f t="shared" si="284"/>
        <v>13</v>
      </c>
      <c r="E636" s="142">
        <f t="shared" si="284"/>
        <v>275</v>
      </c>
      <c r="F636" s="142">
        <f t="shared" si="284"/>
        <v>132</v>
      </c>
      <c r="G636" s="142" t="str">
        <f t="shared" si="284"/>
        <v>-</v>
      </c>
      <c r="H636" s="142" t="str">
        <f t="shared" si="284"/>
        <v>-</v>
      </c>
      <c r="I636" s="142" t="str">
        <f t="shared" si="284"/>
        <v>-</v>
      </c>
      <c r="J636" s="142" t="str">
        <f t="shared" si="284"/>
        <v>-</v>
      </c>
      <c r="K636" s="142" t="str">
        <f t="shared" si="284"/>
        <v>-</v>
      </c>
      <c r="L636" s="142">
        <f t="shared" si="284"/>
        <v>424</v>
      </c>
      <c r="N636" s="142" t="str">
        <f t="shared" si="285"/>
        <v>-</v>
      </c>
      <c r="O636" s="142" t="str">
        <f t="shared" si="285"/>
        <v>-</v>
      </c>
      <c r="P636" s="142" t="str">
        <f t="shared" si="285"/>
        <v>-</v>
      </c>
      <c r="Q636" s="142" t="str">
        <f t="shared" si="285"/>
        <v>-</v>
      </c>
      <c r="R636" s="142" t="str">
        <f t="shared" si="285"/>
        <v>-</v>
      </c>
      <c r="S636" s="142" t="str">
        <f t="shared" si="285"/>
        <v>-</v>
      </c>
    </row>
    <row r="637" spans="1:19" ht="11.25" customHeight="1">
      <c r="A637" s="99"/>
      <c r="B637" s="142"/>
      <c r="C637" s="142"/>
      <c r="D637" s="142"/>
      <c r="E637" s="142"/>
      <c r="F637" s="142"/>
      <c r="G637" s="142"/>
      <c r="H637" s="142"/>
      <c r="I637" s="142"/>
      <c r="J637" s="142"/>
      <c r="K637" s="142"/>
      <c r="L637" s="142"/>
      <c r="N637" s="142"/>
      <c r="O637" s="142"/>
      <c r="P637" s="142"/>
      <c r="Q637" s="142"/>
      <c r="R637" s="142"/>
      <c r="S637" s="142"/>
    </row>
    <row r="638" spans="1:19" ht="11.25" customHeight="1">
      <c r="A638" s="248" t="str">
        <f>A364</f>
        <v>South of Cape Falcon</v>
      </c>
      <c r="B638" s="142"/>
      <c r="C638" s="142"/>
      <c r="D638" s="142"/>
      <c r="E638" s="142"/>
      <c r="F638" s="142"/>
      <c r="G638" s="142"/>
      <c r="H638" s="142"/>
      <c r="I638" s="142"/>
      <c r="J638" s="142"/>
      <c r="K638" s="142"/>
      <c r="L638" s="142"/>
      <c r="N638" s="142"/>
      <c r="O638" s="142"/>
      <c r="P638" s="142"/>
      <c r="Q638" s="142"/>
      <c r="R638" s="142"/>
      <c r="S638" s="142"/>
    </row>
    <row r="639" spans="1:19" ht="11.25" customHeight="1">
      <c r="A639" s="99" t="s">
        <v>24</v>
      </c>
      <c r="B639" s="142" t="s">
        <v>23</v>
      </c>
      <c r="C639" s="142" t="s">
        <v>23</v>
      </c>
      <c r="D639" s="142">
        <f t="shared" ref="D639:L639" si="286">AVERAGE(D394:D398)</f>
        <v>15135.2</v>
      </c>
      <c r="E639" s="142">
        <f t="shared" si="286"/>
        <v>8684.2000000000007</v>
      </c>
      <c r="F639" s="142">
        <f t="shared" si="286"/>
        <v>54344.800000000003</v>
      </c>
      <c r="G639" s="142">
        <f t="shared" si="286"/>
        <v>43723.6</v>
      </c>
      <c r="H639" s="142">
        <f t="shared" si="286"/>
        <v>10611.6</v>
      </c>
      <c r="I639" s="142">
        <f t="shared" si="286"/>
        <v>6298.8</v>
      </c>
      <c r="J639" s="142">
        <f t="shared" si="286"/>
        <v>1149</v>
      </c>
      <c r="K639" s="142" t="s">
        <v>23</v>
      </c>
      <c r="L639" s="142">
        <f t="shared" si="286"/>
        <v>139947.20000000001</v>
      </c>
      <c r="N639" s="139" t="s">
        <v>23</v>
      </c>
      <c r="O639" s="142">
        <f>AVERAGE(O394:O398)</f>
        <v>275956.5</v>
      </c>
      <c r="P639" s="142">
        <f>AVERAGE(P394:P398)</f>
        <v>97114</v>
      </c>
      <c r="Q639" s="142">
        <f>AVERAGE(Q394:Q398)</f>
        <v>5803</v>
      </c>
      <c r="R639" s="139" t="s">
        <v>23</v>
      </c>
      <c r="S639" s="142">
        <f>AVERAGE(S394:S398)</f>
        <v>350242.75</v>
      </c>
    </row>
    <row r="640" spans="1:19" ht="11.25" customHeight="1">
      <c r="A640" s="99" t="s">
        <v>78</v>
      </c>
      <c r="B640" s="142" t="s">
        <v>23</v>
      </c>
      <c r="C640" s="142" t="s">
        <v>23</v>
      </c>
      <c r="D640" s="142">
        <f t="shared" ref="D640:L640" si="287">AVERAGE(D399:D403)</f>
        <v>46099.199999999997</v>
      </c>
      <c r="E640" s="142">
        <f t="shared" si="287"/>
        <v>58817.599999999999</v>
      </c>
      <c r="F640" s="142">
        <f t="shared" si="287"/>
        <v>141367</v>
      </c>
      <c r="G640" s="142">
        <f t="shared" si="287"/>
        <v>90555.4</v>
      </c>
      <c r="H640" s="142">
        <f t="shared" si="287"/>
        <v>31607.200000000001</v>
      </c>
      <c r="I640" s="142">
        <f t="shared" si="287"/>
        <v>21689.200000000001</v>
      </c>
      <c r="J640" s="142">
        <f t="shared" si="287"/>
        <v>1642.25</v>
      </c>
      <c r="K640" s="142" t="s">
        <v>23</v>
      </c>
      <c r="L640" s="142">
        <f t="shared" si="287"/>
        <v>391449.4</v>
      </c>
      <c r="N640" s="142">
        <f t="shared" ref="N640:S640" si="288">AVERAGE(N399:N403)</f>
        <v>3699.6</v>
      </c>
      <c r="O640" s="142">
        <f t="shared" si="288"/>
        <v>295498.59999999998</v>
      </c>
      <c r="P640" s="142">
        <f t="shared" si="288"/>
        <v>95998.5</v>
      </c>
      <c r="Q640" s="142">
        <f t="shared" si="288"/>
        <v>20776</v>
      </c>
      <c r="R640" s="139" t="s">
        <v>23</v>
      </c>
      <c r="S640" s="142">
        <f t="shared" si="288"/>
        <v>380152.2</v>
      </c>
    </row>
    <row r="641" spans="1:19" ht="11.25" customHeight="1">
      <c r="A641" s="99" t="s">
        <v>10</v>
      </c>
      <c r="B641" s="142" t="s">
        <v>23</v>
      </c>
      <c r="C641" s="142" t="s">
        <v>23</v>
      </c>
      <c r="D641" s="142">
        <f>AVERAGE(D404:D408)</f>
        <v>12604.6</v>
      </c>
      <c r="E641" s="142">
        <f t="shared" ref="E641:J641" si="289">AVERAGE(E404:E408)</f>
        <v>18016.25</v>
      </c>
      <c r="F641" s="142">
        <f t="shared" si="289"/>
        <v>15387.5</v>
      </c>
      <c r="G641" s="142">
        <f t="shared" si="289"/>
        <v>29246</v>
      </c>
      <c r="H641" s="142">
        <f t="shared" si="289"/>
        <v>16869</v>
      </c>
      <c r="I641" s="142">
        <f t="shared" si="289"/>
        <v>14667.6</v>
      </c>
      <c r="J641" s="142">
        <f t="shared" si="289"/>
        <v>453.33333333333331</v>
      </c>
      <c r="K641" s="142" t="s">
        <v>23</v>
      </c>
      <c r="L641" s="142">
        <f>AVERAGE(L404:L408)</f>
        <v>100382.2</v>
      </c>
      <c r="N641" s="142">
        <f>AVERAGE(N404:N408)</f>
        <v>91249</v>
      </c>
      <c r="O641" s="142">
        <f>AVERAGE(O404:O408)</f>
        <v>105910.5</v>
      </c>
      <c r="P641" s="142">
        <f>AVERAGE(P404:P408)</f>
        <v>8382</v>
      </c>
      <c r="Q641" s="139" t="s">
        <v>23</v>
      </c>
      <c r="R641" s="139" t="s">
        <v>23</v>
      </c>
      <c r="S641" s="142">
        <f>AVERAGE(S404:S408)</f>
        <v>109417.66666666667</v>
      </c>
    </row>
    <row r="642" spans="1:19" ht="11.25" customHeight="1">
      <c r="A642" s="99" t="s">
        <v>144</v>
      </c>
      <c r="B642" s="142" t="s">
        <v>23</v>
      </c>
      <c r="C642" s="142" t="s">
        <v>23</v>
      </c>
      <c r="D642" s="142">
        <f>AVERAGE(D409:D413)</f>
        <v>22750.6</v>
      </c>
      <c r="E642" s="142">
        <f t="shared" ref="E642:J642" si="290">AVERAGE(E409:E413)</f>
        <v>29103.599999999999</v>
      </c>
      <c r="F642" s="142">
        <f t="shared" si="290"/>
        <v>13879.5</v>
      </c>
      <c r="G642" s="142">
        <f t="shared" si="290"/>
        <v>39213.599999999999</v>
      </c>
      <c r="H642" s="142">
        <f t="shared" si="290"/>
        <v>18034.599999999999</v>
      </c>
      <c r="I642" s="142">
        <f t="shared" si="290"/>
        <v>8035.2</v>
      </c>
      <c r="J642" s="142">
        <f t="shared" si="290"/>
        <v>1002.2</v>
      </c>
      <c r="K642" s="142" t="s">
        <v>23</v>
      </c>
      <c r="L642" s="142">
        <f>AVERAGE(L409:L413)</f>
        <v>129065.4</v>
      </c>
      <c r="N642" s="142">
        <f>AVERAGE(N409:N413)</f>
        <v>8</v>
      </c>
      <c r="O642" s="142" t="s">
        <v>23</v>
      </c>
      <c r="P642" s="142" t="s">
        <v>23</v>
      </c>
      <c r="Q642" s="139" t="s">
        <v>23</v>
      </c>
      <c r="R642" s="139" t="s">
        <v>23</v>
      </c>
      <c r="S642" s="142">
        <f>AVERAGE(S409:S413)</f>
        <v>8</v>
      </c>
    </row>
    <row r="643" spans="1:19" ht="11.25" customHeight="1">
      <c r="A643" s="95" t="s">
        <v>166</v>
      </c>
      <c r="B643" s="142">
        <f>AVERAGE(B414:B418)</f>
        <v>14823</v>
      </c>
      <c r="C643" s="142">
        <f>AVERAGE(C414:C418)</f>
        <v>25408.6</v>
      </c>
      <c r="D643" s="142">
        <f>AVERAGE(D414:D418)</f>
        <v>50447.4</v>
      </c>
      <c r="E643" s="142">
        <f t="shared" ref="E643:L643" si="291">AVERAGE(E414:E418)</f>
        <v>42413</v>
      </c>
      <c r="F643" s="142">
        <f t="shared" si="291"/>
        <v>22087.75</v>
      </c>
      <c r="G643" s="142">
        <f t="shared" si="291"/>
        <v>52179</v>
      </c>
      <c r="H643" s="142">
        <f t="shared" si="291"/>
        <v>50313.4</v>
      </c>
      <c r="I643" s="142">
        <f t="shared" si="291"/>
        <v>33123</v>
      </c>
      <c r="J643" s="142">
        <f t="shared" si="291"/>
        <v>1346.6</v>
      </c>
      <c r="K643" s="142">
        <f t="shared" si="291"/>
        <v>148</v>
      </c>
      <c r="L643" s="142">
        <f t="shared" si="291"/>
        <v>274471.8</v>
      </c>
      <c r="N643" s="142" t="str">
        <f t="shared" ref="N643:S643" si="292">N414</f>
        <v>-</v>
      </c>
      <c r="O643" s="142" t="str">
        <f t="shared" si="292"/>
        <v>-</v>
      </c>
      <c r="P643" s="142" t="str">
        <f t="shared" si="292"/>
        <v>-</v>
      </c>
      <c r="Q643" s="142" t="str">
        <f t="shared" si="292"/>
        <v>-</v>
      </c>
      <c r="R643" s="142" t="str">
        <f t="shared" si="292"/>
        <v>-</v>
      </c>
      <c r="S643" s="142" t="str">
        <f t="shared" si="292"/>
        <v>-</v>
      </c>
    </row>
    <row r="644" spans="1:19" ht="11.25" customHeight="1">
      <c r="A644" s="95" t="s">
        <v>315</v>
      </c>
      <c r="B644" s="142" t="str">
        <f>B419</f>
        <v>-</v>
      </c>
      <c r="C644" s="142">
        <f>AVERAGE(C419:C423)</f>
        <v>1871</v>
      </c>
      <c r="D644" s="142">
        <f t="shared" ref="D644:L644" si="293">AVERAGE(D419:D423)</f>
        <v>8268</v>
      </c>
      <c r="E644" s="142">
        <f t="shared" si="293"/>
        <v>7902</v>
      </c>
      <c r="F644" s="142">
        <f t="shared" si="293"/>
        <v>3617.3333333333335</v>
      </c>
      <c r="G644" s="142">
        <f t="shared" si="293"/>
        <v>6256</v>
      </c>
      <c r="H644" s="142">
        <f t="shared" si="293"/>
        <v>1143.4000000000001</v>
      </c>
      <c r="I644" s="142">
        <f t="shared" si="293"/>
        <v>1496.4</v>
      </c>
      <c r="J644" s="142">
        <f t="shared" si="293"/>
        <v>872</v>
      </c>
      <c r="K644" s="142">
        <f t="shared" si="293"/>
        <v>67</v>
      </c>
      <c r="L644" s="142">
        <f t="shared" si="293"/>
        <v>17536.400000000001</v>
      </c>
      <c r="N644" s="142" t="str">
        <f t="shared" ref="N644:O644" si="294">N419</f>
        <v>-</v>
      </c>
      <c r="O644" s="142" t="str">
        <f t="shared" si="294"/>
        <v>-</v>
      </c>
      <c r="P644" s="142">
        <f t="shared" ref="P644:S644" si="295">AVERAGE(P419:P423)</f>
        <v>5036</v>
      </c>
      <c r="Q644" s="142">
        <f t="shared" si="295"/>
        <v>4898.5</v>
      </c>
      <c r="R644" s="142" t="str">
        <f t="shared" ref="R644" si="296">R419</f>
        <v>-</v>
      </c>
      <c r="S644" s="142">
        <f t="shared" si="295"/>
        <v>7416.5</v>
      </c>
    </row>
    <row r="645" spans="1:19" ht="11.25" customHeight="1">
      <c r="A645" s="95">
        <v>2011</v>
      </c>
      <c r="B645" s="142" t="str">
        <f t="shared" ref="B645:L645" si="297">B424</f>
        <v>-</v>
      </c>
      <c r="C645" s="142">
        <f t="shared" si="297"/>
        <v>4481</v>
      </c>
      <c r="D645" s="142">
        <f t="shared" si="297"/>
        <v>8502</v>
      </c>
      <c r="E645" s="142">
        <f t="shared" si="297"/>
        <v>10655</v>
      </c>
      <c r="F645" s="142">
        <f t="shared" si="297"/>
        <v>726</v>
      </c>
      <c r="G645" s="142">
        <f t="shared" si="297"/>
        <v>1349</v>
      </c>
      <c r="H645" s="142">
        <f t="shared" si="297"/>
        <v>337</v>
      </c>
      <c r="I645" s="142">
        <f t="shared" si="297"/>
        <v>1200</v>
      </c>
      <c r="J645" s="142">
        <f t="shared" si="297"/>
        <v>1995</v>
      </c>
      <c r="K645" s="142" t="str">
        <f t="shared" si="297"/>
        <v>-</v>
      </c>
      <c r="L645" s="142">
        <f t="shared" si="297"/>
        <v>29245</v>
      </c>
      <c r="N645" s="142" t="str">
        <f t="shared" ref="N645:S653" si="298">N424</f>
        <v>-</v>
      </c>
      <c r="O645" s="142" t="str">
        <f t="shared" si="298"/>
        <v>-</v>
      </c>
      <c r="P645" s="142" t="str">
        <f t="shared" si="298"/>
        <v>-</v>
      </c>
      <c r="Q645" s="142" t="str">
        <f t="shared" si="298"/>
        <v>-</v>
      </c>
      <c r="R645" s="142" t="str">
        <f t="shared" si="298"/>
        <v>-</v>
      </c>
      <c r="S645" s="142" t="str">
        <f t="shared" si="298"/>
        <v>-</v>
      </c>
    </row>
    <row r="646" spans="1:19" ht="11.25" customHeight="1">
      <c r="A646" s="95">
        <v>2012</v>
      </c>
      <c r="B646" s="142" t="str">
        <f t="shared" ref="B646:L646" si="299">B425</f>
        <v>-</v>
      </c>
      <c r="C646" s="142">
        <f t="shared" si="299"/>
        <v>3633</v>
      </c>
      <c r="D646" s="142">
        <f t="shared" si="299"/>
        <v>14904</v>
      </c>
      <c r="E646" s="142">
        <f t="shared" si="299"/>
        <v>8644</v>
      </c>
      <c r="F646" s="142">
        <f t="shared" si="299"/>
        <v>3241</v>
      </c>
      <c r="G646" s="142">
        <f t="shared" si="299"/>
        <v>10099</v>
      </c>
      <c r="H646" s="142">
        <f t="shared" si="299"/>
        <v>14561</v>
      </c>
      <c r="I646" s="142">
        <f t="shared" si="299"/>
        <v>8874</v>
      </c>
      <c r="J646" s="142">
        <f t="shared" si="299"/>
        <v>701</v>
      </c>
      <c r="K646" s="142" t="str">
        <f t="shared" si="299"/>
        <v>-</v>
      </c>
      <c r="L646" s="142">
        <f t="shared" si="299"/>
        <v>64657</v>
      </c>
      <c r="N646" s="142" t="str">
        <f t="shared" si="298"/>
        <v>-</v>
      </c>
      <c r="O646" s="142" t="str">
        <f t="shared" si="298"/>
        <v>-</v>
      </c>
      <c r="P646" s="142" t="str">
        <f t="shared" si="298"/>
        <v>-</v>
      </c>
      <c r="Q646" s="142" t="str">
        <f t="shared" si="298"/>
        <v>-</v>
      </c>
      <c r="R646" s="142" t="str">
        <f t="shared" si="298"/>
        <v>-</v>
      </c>
      <c r="S646" s="142" t="str">
        <f t="shared" si="298"/>
        <v>-</v>
      </c>
    </row>
    <row r="647" spans="1:19" ht="11.25" customHeight="1">
      <c r="A647" s="95">
        <v>2013</v>
      </c>
      <c r="B647" s="142" t="str">
        <f t="shared" ref="B647:L647" si="300">B426</f>
        <v>-</v>
      </c>
      <c r="C647" s="142">
        <f t="shared" si="300"/>
        <v>7423</v>
      </c>
      <c r="D647" s="142">
        <f t="shared" si="300"/>
        <v>9100</v>
      </c>
      <c r="E647" s="142">
        <f t="shared" si="300"/>
        <v>7437</v>
      </c>
      <c r="F647" s="142">
        <f t="shared" si="300"/>
        <v>8502</v>
      </c>
      <c r="G647" s="142">
        <f t="shared" si="300"/>
        <v>40383</v>
      </c>
      <c r="H647" s="142">
        <f t="shared" si="300"/>
        <v>28386</v>
      </c>
      <c r="I647" s="142">
        <f t="shared" si="300"/>
        <v>8579</v>
      </c>
      <c r="J647" s="142">
        <f t="shared" si="300"/>
        <v>1002</v>
      </c>
      <c r="K647" s="142" t="str">
        <f t="shared" si="300"/>
        <v>-</v>
      </c>
      <c r="L647" s="142">
        <f t="shared" si="300"/>
        <v>110812</v>
      </c>
      <c r="N647" s="142" t="str">
        <f t="shared" si="298"/>
        <v>-</v>
      </c>
      <c r="O647" s="142" t="str">
        <f t="shared" si="298"/>
        <v>-</v>
      </c>
      <c r="P647" s="142" t="str">
        <f t="shared" si="298"/>
        <v>-</v>
      </c>
      <c r="Q647" s="142" t="str">
        <f t="shared" si="298"/>
        <v>-</v>
      </c>
      <c r="R647" s="142" t="str">
        <f t="shared" si="298"/>
        <v>-</v>
      </c>
      <c r="S647" s="142" t="str">
        <f t="shared" si="298"/>
        <v>-</v>
      </c>
    </row>
    <row r="648" spans="1:19" ht="11.25" customHeight="1">
      <c r="A648" s="95">
        <v>2014</v>
      </c>
      <c r="B648" s="142" t="str">
        <f t="shared" ref="B648:L648" si="301">B427</f>
        <v>-</v>
      </c>
      <c r="C648" s="142">
        <f t="shared" si="301"/>
        <v>15554</v>
      </c>
      <c r="D648" s="142">
        <f t="shared" si="301"/>
        <v>48741</v>
      </c>
      <c r="E648" s="142">
        <f t="shared" si="301"/>
        <v>29909</v>
      </c>
      <c r="F648" s="142">
        <f t="shared" si="301"/>
        <v>18818</v>
      </c>
      <c r="G648" s="142">
        <f t="shared" si="301"/>
        <v>67003</v>
      </c>
      <c r="H648" s="142">
        <f t="shared" si="301"/>
        <v>8905</v>
      </c>
      <c r="I648" s="142">
        <f t="shared" si="301"/>
        <v>2515</v>
      </c>
      <c r="J648" s="142">
        <f t="shared" si="301"/>
        <v>469</v>
      </c>
      <c r="K648" s="142" t="str">
        <f t="shared" si="301"/>
        <v>-</v>
      </c>
      <c r="L648" s="142">
        <f t="shared" si="301"/>
        <v>191914</v>
      </c>
      <c r="N648" s="142" t="str">
        <f t="shared" si="298"/>
        <v>-</v>
      </c>
      <c r="O648" s="142" t="str">
        <f t="shared" si="298"/>
        <v>-</v>
      </c>
      <c r="P648" s="142" t="str">
        <f t="shared" si="298"/>
        <v>-</v>
      </c>
      <c r="Q648" s="142">
        <f t="shared" si="298"/>
        <v>3296</v>
      </c>
      <c r="R648" s="142" t="str">
        <f t="shared" si="298"/>
        <v>-</v>
      </c>
      <c r="S648" s="142">
        <f t="shared" si="298"/>
        <v>3296</v>
      </c>
    </row>
    <row r="649" spans="1:19" ht="11.25" customHeight="1">
      <c r="A649" s="95">
        <v>2015</v>
      </c>
      <c r="B649" s="142" t="str">
        <f t="shared" ref="B649:L649" si="302">B428</f>
        <v>-</v>
      </c>
      <c r="C649" s="142">
        <f t="shared" si="302"/>
        <v>16420</v>
      </c>
      <c r="D649" s="142">
        <f t="shared" si="302"/>
        <v>14286</v>
      </c>
      <c r="E649" s="142">
        <f t="shared" si="302"/>
        <v>21331</v>
      </c>
      <c r="F649" s="142">
        <f t="shared" si="302"/>
        <v>28029</v>
      </c>
      <c r="G649" s="142">
        <f t="shared" si="302"/>
        <v>7549</v>
      </c>
      <c r="H649" s="142">
        <f t="shared" si="302"/>
        <v>2006</v>
      </c>
      <c r="I649" s="142">
        <f t="shared" si="302"/>
        <v>2593</v>
      </c>
      <c r="J649" s="142">
        <f t="shared" si="302"/>
        <v>1163</v>
      </c>
      <c r="K649" s="142" t="str">
        <f t="shared" si="302"/>
        <v>-</v>
      </c>
      <c r="L649" s="142">
        <f t="shared" si="302"/>
        <v>93377</v>
      </c>
      <c r="N649" s="142" t="str">
        <f t="shared" si="298"/>
        <v>-</v>
      </c>
      <c r="O649" s="142" t="str">
        <f t="shared" si="298"/>
        <v>-</v>
      </c>
      <c r="P649" s="142" t="str">
        <f t="shared" si="298"/>
        <v>-</v>
      </c>
      <c r="Q649" s="142" t="str">
        <f t="shared" si="298"/>
        <v>-</v>
      </c>
      <c r="R649" s="142" t="str">
        <f t="shared" si="298"/>
        <v>-</v>
      </c>
      <c r="S649" s="142" t="str">
        <f t="shared" si="298"/>
        <v>-</v>
      </c>
    </row>
    <row r="650" spans="1:19" ht="11.25" customHeight="1">
      <c r="A650" s="95">
        <v>2016</v>
      </c>
      <c r="B650" s="142" t="str">
        <f t="shared" ref="B650:L650" si="303">B429</f>
        <v>-</v>
      </c>
      <c r="C650" s="142">
        <f t="shared" si="303"/>
        <v>6597</v>
      </c>
      <c r="D650" s="142">
        <f t="shared" si="303"/>
        <v>6023</v>
      </c>
      <c r="E650" s="142">
        <f t="shared" si="303"/>
        <v>4915</v>
      </c>
      <c r="F650" s="142">
        <f t="shared" si="303"/>
        <v>11264</v>
      </c>
      <c r="G650" s="142">
        <f t="shared" si="303"/>
        <v>8627</v>
      </c>
      <c r="H650" s="142">
        <f t="shared" si="303"/>
        <v>1812</v>
      </c>
      <c r="I650" s="142">
        <f t="shared" si="303"/>
        <v>869</v>
      </c>
      <c r="J650" s="142">
        <f t="shared" si="303"/>
        <v>182</v>
      </c>
      <c r="K650" s="142" t="str">
        <f t="shared" si="303"/>
        <v>-</v>
      </c>
      <c r="L650" s="142">
        <f t="shared" si="303"/>
        <v>40289</v>
      </c>
      <c r="N650" s="142" t="str">
        <f t="shared" si="298"/>
        <v>-</v>
      </c>
      <c r="O650" s="142" t="str">
        <f t="shared" si="298"/>
        <v>-</v>
      </c>
      <c r="P650" s="142" t="str">
        <f t="shared" si="298"/>
        <v>-</v>
      </c>
      <c r="Q650" s="142" t="str">
        <f t="shared" si="298"/>
        <v>-</v>
      </c>
      <c r="R650" s="142" t="str">
        <f t="shared" si="298"/>
        <v>-</v>
      </c>
      <c r="S650" s="142" t="str">
        <f t="shared" si="298"/>
        <v>-</v>
      </c>
    </row>
    <row r="651" spans="1:19" ht="11.25" customHeight="1">
      <c r="A651" s="95">
        <v>2017</v>
      </c>
      <c r="B651" s="142" t="str">
        <f t="shared" ref="B651:L651" si="304">B430</f>
        <v>-</v>
      </c>
      <c r="C651" s="142">
        <f t="shared" si="304"/>
        <v>553</v>
      </c>
      <c r="D651" s="142">
        <f t="shared" si="304"/>
        <v>1229</v>
      </c>
      <c r="E651" s="142">
        <f t="shared" si="304"/>
        <v>3174</v>
      </c>
      <c r="F651" s="142">
        <f t="shared" si="304"/>
        <v>13019</v>
      </c>
      <c r="G651" s="142" t="str">
        <f t="shared" si="304"/>
        <v>-</v>
      </c>
      <c r="H651" s="142">
        <f t="shared" si="304"/>
        <v>137</v>
      </c>
      <c r="I651" s="142">
        <f t="shared" si="304"/>
        <v>1010</v>
      </c>
      <c r="J651" s="142">
        <f t="shared" si="304"/>
        <v>96</v>
      </c>
      <c r="K651" s="142" t="str">
        <f t="shared" si="304"/>
        <v>-</v>
      </c>
      <c r="L651" s="142">
        <f t="shared" si="304"/>
        <v>19218</v>
      </c>
      <c r="N651" s="142" t="str">
        <f t="shared" si="298"/>
        <v>-</v>
      </c>
      <c r="O651" s="142" t="str">
        <f t="shared" si="298"/>
        <v>-</v>
      </c>
      <c r="P651" s="142" t="str">
        <f t="shared" si="298"/>
        <v>-</v>
      </c>
      <c r="Q651" s="142" t="str">
        <f t="shared" si="298"/>
        <v>-</v>
      </c>
      <c r="R651" s="142" t="str">
        <f t="shared" si="298"/>
        <v>-</v>
      </c>
      <c r="S651" s="142" t="str">
        <f t="shared" si="298"/>
        <v>-</v>
      </c>
    </row>
    <row r="652" spans="1:19" ht="11.25" customHeight="1">
      <c r="A652" s="95">
        <v>2018</v>
      </c>
      <c r="B652" s="142" t="str">
        <f t="shared" ref="B652:L652" si="305">B431</f>
        <v>-</v>
      </c>
      <c r="C652" s="142" t="str">
        <f t="shared" si="305"/>
        <v>-</v>
      </c>
      <c r="D652" s="142">
        <f t="shared" si="305"/>
        <v>1243</v>
      </c>
      <c r="E652" s="142">
        <f t="shared" si="305"/>
        <v>4407</v>
      </c>
      <c r="F652" s="142">
        <f t="shared" si="305"/>
        <v>4098</v>
      </c>
      <c r="G652" s="142">
        <f t="shared" si="305"/>
        <v>12918</v>
      </c>
      <c r="H652" s="142">
        <f t="shared" si="305"/>
        <v>225</v>
      </c>
      <c r="I652" s="142">
        <f t="shared" si="305"/>
        <v>806</v>
      </c>
      <c r="J652" s="142">
        <f t="shared" si="305"/>
        <v>431</v>
      </c>
      <c r="K652" s="142" t="str">
        <f t="shared" si="305"/>
        <v>-</v>
      </c>
      <c r="L652" s="142">
        <f t="shared" si="305"/>
        <v>24128</v>
      </c>
      <c r="N652" s="142" t="str">
        <f t="shared" si="298"/>
        <v>-</v>
      </c>
      <c r="O652" s="142" t="str">
        <f t="shared" si="298"/>
        <v>-</v>
      </c>
      <c r="P652" s="142" t="str">
        <f t="shared" si="298"/>
        <v>-</v>
      </c>
      <c r="Q652" s="142" t="str">
        <f t="shared" si="298"/>
        <v>-</v>
      </c>
      <c r="R652" s="142" t="str">
        <f t="shared" si="298"/>
        <v>-</v>
      </c>
      <c r="S652" s="142" t="str">
        <f t="shared" si="298"/>
        <v>-</v>
      </c>
    </row>
    <row r="653" spans="1:19" ht="11.25" customHeight="1">
      <c r="A653" s="95">
        <v>2019</v>
      </c>
      <c r="B653" s="142" t="str">
        <f t="shared" ref="B653:L653" si="306">B432</f>
        <v>-</v>
      </c>
      <c r="C653" s="142">
        <f t="shared" si="306"/>
        <v>162</v>
      </c>
      <c r="D653" s="142">
        <f t="shared" si="306"/>
        <v>681</v>
      </c>
      <c r="E653" s="142">
        <f t="shared" si="306"/>
        <v>3364</v>
      </c>
      <c r="F653" s="142">
        <f t="shared" si="306"/>
        <v>16712</v>
      </c>
      <c r="G653" s="142">
        <f t="shared" si="306"/>
        <v>5960</v>
      </c>
      <c r="H653" s="142">
        <f t="shared" si="306"/>
        <v>632</v>
      </c>
      <c r="I653" s="142">
        <f t="shared" si="306"/>
        <v>870</v>
      </c>
      <c r="J653" s="142" t="str">
        <f t="shared" si="306"/>
        <v>-</v>
      </c>
      <c r="K653" s="142" t="str">
        <f t="shared" si="306"/>
        <v>-</v>
      </c>
      <c r="L653" s="142">
        <f t="shared" si="306"/>
        <v>28381</v>
      </c>
      <c r="N653" s="142" t="str">
        <f t="shared" si="298"/>
        <v>-</v>
      </c>
      <c r="O653" s="142" t="str">
        <f t="shared" si="298"/>
        <v>-</v>
      </c>
      <c r="P653" s="142" t="str">
        <f t="shared" si="298"/>
        <v>-</v>
      </c>
      <c r="Q653" s="142" t="str">
        <f t="shared" si="298"/>
        <v>-</v>
      </c>
      <c r="R653" s="142" t="str">
        <f t="shared" si="298"/>
        <v>-</v>
      </c>
      <c r="S653" s="142" t="str">
        <f t="shared" si="298"/>
        <v>-</v>
      </c>
    </row>
    <row r="654" spans="1:19" ht="11.25" customHeight="1">
      <c r="A654" s="95">
        <v>2020</v>
      </c>
      <c r="B654" s="142" t="str">
        <f t="shared" ref="B654:L655" si="307">B433</f>
        <v>-</v>
      </c>
      <c r="C654" s="142">
        <f t="shared" si="307"/>
        <v>800</v>
      </c>
      <c r="D654" s="142">
        <f t="shared" si="307"/>
        <v>778</v>
      </c>
      <c r="E654" s="142">
        <f t="shared" si="307"/>
        <v>2582</v>
      </c>
      <c r="F654" s="142">
        <f t="shared" si="307"/>
        <v>5036</v>
      </c>
      <c r="G654" s="142">
        <f t="shared" si="307"/>
        <v>1861</v>
      </c>
      <c r="H654" s="142">
        <f t="shared" si="307"/>
        <v>560</v>
      </c>
      <c r="I654" s="142">
        <f t="shared" si="307"/>
        <v>1003</v>
      </c>
      <c r="J654" s="142" t="str">
        <f t="shared" si="307"/>
        <v>-</v>
      </c>
      <c r="K654" s="142" t="str">
        <f t="shared" si="307"/>
        <v>-</v>
      </c>
      <c r="L654" s="142">
        <f t="shared" si="307"/>
        <v>12620</v>
      </c>
      <c r="N654" s="142" t="str">
        <f t="shared" ref="N654:S655" si="308">N433</f>
        <v>-</v>
      </c>
      <c r="O654" s="142" t="str">
        <f t="shared" si="308"/>
        <v>-</v>
      </c>
      <c r="P654" s="142" t="str">
        <f t="shared" si="308"/>
        <v>-</v>
      </c>
      <c r="Q654" s="142" t="str">
        <f t="shared" si="308"/>
        <v>-</v>
      </c>
      <c r="R654" s="142" t="str">
        <f t="shared" si="308"/>
        <v>-</v>
      </c>
      <c r="S654" s="142" t="str">
        <f t="shared" si="308"/>
        <v>-</v>
      </c>
    </row>
    <row r="655" spans="1:19" ht="11.25" customHeight="1">
      <c r="A655" s="95" t="s">
        <v>317</v>
      </c>
      <c r="B655" s="142">
        <f t="shared" si="307"/>
        <v>231</v>
      </c>
      <c r="C655" s="142">
        <f t="shared" si="307"/>
        <v>2385</v>
      </c>
      <c r="D655" s="142">
        <f t="shared" si="307"/>
        <v>2118</v>
      </c>
      <c r="E655" s="142">
        <f t="shared" si="307"/>
        <v>1116</v>
      </c>
      <c r="F655" s="142">
        <f t="shared" si="307"/>
        <v>4788</v>
      </c>
      <c r="G655" s="142">
        <f t="shared" si="307"/>
        <v>5111</v>
      </c>
      <c r="H655" s="142">
        <f t="shared" si="307"/>
        <v>367</v>
      </c>
      <c r="I655" s="142">
        <f t="shared" si="307"/>
        <v>1243</v>
      </c>
      <c r="J655" s="142" t="str">
        <f t="shared" si="307"/>
        <v>-</v>
      </c>
      <c r="K655" s="142" t="str">
        <f t="shared" si="307"/>
        <v>-</v>
      </c>
      <c r="L655" s="142">
        <f t="shared" si="307"/>
        <v>17359</v>
      </c>
      <c r="N655" s="142" t="str">
        <f t="shared" si="308"/>
        <v>-</v>
      </c>
      <c r="O655" s="142">
        <f t="shared" si="308"/>
        <v>934</v>
      </c>
      <c r="P655" s="142">
        <f t="shared" si="308"/>
        <v>1154</v>
      </c>
      <c r="Q655" s="142" t="str">
        <f t="shared" si="308"/>
        <v>-</v>
      </c>
      <c r="R655" s="142" t="str">
        <f t="shared" si="308"/>
        <v>-</v>
      </c>
      <c r="S655" s="142">
        <f t="shared" si="308"/>
        <v>2088</v>
      </c>
    </row>
    <row r="656" spans="1:19" ht="11.25" customHeight="1">
      <c r="B656" s="142"/>
      <c r="C656" s="142"/>
      <c r="D656" s="142"/>
      <c r="E656" s="142"/>
      <c r="F656" s="142"/>
      <c r="G656" s="142"/>
      <c r="H656" s="142"/>
      <c r="I656" s="142"/>
      <c r="J656" s="142"/>
      <c r="K656" s="142"/>
      <c r="L656" s="142"/>
      <c r="N656" s="142"/>
      <c r="O656" s="142"/>
      <c r="P656" s="142"/>
      <c r="Q656" s="142"/>
      <c r="R656" s="142"/>
      <c r="S656" s="142"/>
    </row>
    <row r="657" spans="1:19" ht="11.25" customHeight="1">
      <c r="A657" s="309" t="s">
        <v>276</v>
      </c>
      <c r="B657" s="309"/>
      <c r="C657" s="310"/>
      <c r="D657" s="310"/>
      <c r="E657" s="310"/>
      <c r="F657" s="310"/>
      <c r="G657" s="310"/>
      <c r="H657" s="310"/>
      <c r="I657" s="310"/>
      <c r="J657" s="310"/>
      <c r="K657" s="310"/>
      <c r="L657" s="310"/>
      <c r="M657" s="310"/>
      <c r="N657" s="310"/>
      <c r="O657" s="310"/>
      <c r="P657" s="310"/>
      <c r="Q657" s="310"/>
      <c r="R657" s="310"/>
      <c r="S657" s="310"/>
    </row>
    <row r="658" spans="1:19" ht="11.25" customHeight="1">
      <c r="A658" s="100" t="s">
        <v>27</v>
      </c>
      <c r="B658" s="185" t="s">
        <v>37</v>
      </c>
      <c r="C658" s="185" t="s">
        <v>28</v>
      </c>
      <c r="D658" s="185" t="s">
        <v>29</v>
      </c>
      <c r="E658" s="185" t="s">
        <v>30</v>
      </c>
      <c r="F658" s="185" t="s">
        <v>31</v>
      </c>
      <c r="G658" s="185" t="s">
        <v>32</v>
      </c>
      <c r="H658" s="185" t="s">
        <v>33</v>
      </c>
      <c r="I658" s="185" t="s">
        <v>34</v>
      </c>
      <c r="J658" s="185" t="s">
        <v>38</v>
      </c>
      <c r="K658" s="185" t="s">
        <v>75</v>
      </c>
      <c r="L658" s="185" t="s">
        <v>22</v>
      </c>
      <c r="M658" s="185"/>
      <c r="N658" s="185" t="s">
        <v>30</v>
      </c>
      <c r="O658" s="185" t="s">
        <v>31</v>
      </c>
      <c r="P658" s="185" t="s">
        <v>32</v>
      </c>
      <c r="Q658" s="185" t="s">
        <v>33</v>
      </c>
      <c r="R658" s="185" t="s">
        <v>34</v>
      </c>
      <c r="S658" s="185" t="s">
        <v>22</v>
      </c>
    </row>
    <row r="659" spans="1:19" ht="11.25" customHeight="1">
      <c r="B659" s="308" t="s">
        <v>61</v>
      </c>
      <c r="C659" s="308"/>
      <c r="D659" s="308"/>
      <c r="E659" s="308"/>
      <c r="F659" s="308"/>
      <c r="G659" s="308"/>
      <c r="H659" s="308"/>
      <c r="I659" s="308"/>
      <c r="J659" s="308"/>
      <c r="K659" s="308"/>
      <c r="L659" s="308"/>
      <c r="N659" s="308" t="s">
        <v>62</v>
      </c>
      <c r="O659" s="308"/>
      <c r="P659" s="308"/>
      <c r="Q659" s="308"/>
      <c r="R659" s="308"/>
      <c r="S659" s="308"/>
    </row>
    <row r="660" spans="1:19" ht="11.25" customHeight="1">
      <c r="A660" s="248" t="str">
        <f>A436</f>
        <v>Statewide Total</v>
      </c>
      <c r="B660" s="142"/>
      <c r="C660" s="142"/>
      <c r="D660" s="142"/>
      <c r="E660" s="142"/>
      <c r="F660" s="142"/>
      <c r="G660" s="142"/>
      <c r="H660" s="142"/>
      <c r="I660" s="142"/>
      <c r="J660" s="142"/>
      <c r="K660" s="142"/>
      <c r="L660" s="142"/>
      <c r="N660" s="142"/>
      <c r="O660" s="142"/>
      <c r="P660" s="142"/>
      <c r="Q660" s="142"/>
      <c r="R660" s="142"/>
      <c r="S660" s="142"/>
    </row>
    <row r="661" spans="1:19" ht="11.25" customHeight="1">
      <c r="A661" s="99" t="s">
        <v>24</v>
      </c>
      <c r="B661" s="142" t="s">
        <v>23</v>
      </c>
      <c r="C661" s="142" t="s">
        <v>23</v>
      </c>
      <c r="D661" s="142">
        <f t="shared" ref="D661:L661" si="309">AVERAGE(D466:D470)</f>
        <v>19873.400000000001</v>
      </c>
      <c r="E661" s="142">
        <f t="shared" si="309"/>
        <v>8684.2000000000007</v>
      </c>
      <c r="F661" s="142">
        <f t="shared" si="309"/>
        <v>54843.6</v>
      </c>
      <c r="G661" s="142">
        <f t="shared" si="309"/>
        <v>44016.800000000003</v>
      </c>
      <c r="H661" s="142">
        <f t="shared" si="309"/>
        <v>10634.8</v>
      </c>
      <c r="I661" s="142">
        <f t="shared" si="309"/>
        <v>6301.2</v>
      </c>
      <c r="J661" s="142">
        <f t="shared" si="309"/>
        <v>1149</v>
      </c>
      <c r="K661" s="142" t="s">
        <v>23</v>
      </c>
      <c r="L661" s="142">
        <f t="shared" si="309"/>
        <v>145503</v>
      </c>
      <c r="N661" s="139" t="s">
        <v>23</v>
      </c>
      <c r="O661" s="142">
        <f>AVERAGE(O466:O470)</f>
        <v>290077.75</v>
      </c>
      <c r="P661" s="142">
        <f>AVERAGE(P466:P470)</f>
        <v>84709.75</v>
      </c>
      <c r="Q661" s="142">
        <f>AVERAGE(Q466:Q470)</f>
        <v>8346</v>
      </c>
      <c r="R661" s="139" t="s">
        <v>23</v>
      </c>
      <c r="S661" s="142">
        <f>AVERAGE(S466:S470)</f>
        <v>301499.2</v>
      </c>
    </row>
    <row r="662" spans="1:19" ht="11.25" customHeight="1">
      <c r="A662" s="99" t="s">
        <v>78</v>
      </c>
      <c r="B662" s="142" t="s">
        <v>23</v>
      </c>
      <c r="C662" s="142" t="s">
        <v>23</v>
      </c>
      <c r="D662" s="142">
        <f t="shared" ref="D662:L662" si="310">AVERAGE(D471:D475)</f>
        <v>47890</v>
      </c>
      <c r="E662" s="142">
        <f t="shared" si="310"/>
        <v>59035.4</v>
      </c>
      <c r="F662" s="142">
        <f t="shared" si="310"/>
        <v>141812</v>
      </c>
      <c r="G662" s="142">
        <f t="shared" si="310"/>
        <v>91258.8</v>
      </c>
      <c r="H662" s="142">
        <f t="shared" si="310"/>
        <v>31913.200000000001</v>
      </c>
      <c r="I662" s="142">
        <f t="shared" si="310"/>
        <v>21703.4</v>
      </c>
      <c r="J662" s="142">
        <f t="shared" si="310"/>
        <v>1642.25</v>
      </c>
      <c r="K662" s="142" t="s">
        <v>23</v>
      </c>
      <c r="L662" s="142">
        <f t="shared" si="310"/>
        <v>394926.6</v>
      </c>
      <c r="N662" s="142">
        <f t="shared" ref="N662:S662" si="311">AVERAGE(N471:N475)</f>
        <v>3699.6</v>
      </c>
      <c r="O662" s="142">
        <f t="shared" si="311"/>
        <v>296976.59999999998</v>
      </c>
      <c r="P662" s="142">
        <f t="shared" si="311"/>
        <v>89838.8</v>
      </c>
      <c r="Q662" s="142">
        <f t="shared" si="311"/>
        <v>11112.333333333334</v>
      </c>
      <c r="R662" s="142">
        <f t="shared" si="311"/>
        <v>304</v>
      </c>
      <c r="S662" s="142">
        <f t="shared" si="311"/>
        <v>397243.2</v>
      </c>
    </row>
    <row r="663" spans="1:19" ht="11.25" customHeight="1">
      <c r="A663" s="99" t="s">
        <v>10</v>
      </c>
      <c r="B663" s="142" t="s">
        <v>23</v>
      </c>
      <c r="C663" s="142" t="s">
        <v>23</v>
      </c>
      <c r="D663" s="142">
        <f>AVERAGE(D476:D480)</f>
        <v>12795.4</v>
      </c>
      <c r="E663" s="142">
        <f t="shared" ref="E663:J663" si="312">AVERAGE(E476:E480)</f>
        <v>14606</v>
      </c>
      <c r="F663" s="142">
        <f t="shared" si="312"/>
        <v>15426.25</v>
      </c>
      <c r="G663" s="142">
        <f t="shared" si="312"/>
        <v>29358.400000000001</v>
      </c>
      <c r="H663" s="142">
        <f t="shared" si="312"/>
        <v>16904.2</v>
      </c>
      <c r="I663" s="142">
        <f t="shared" si="312"/>
        <v>14667.6</v>
      </c>
      <c r="J663" s="142">
        <f t="shared" si="312"/>
        <v>453.33333333333331</v>
      </c>
      <c r="K663" s="142" t="s">
        <v>23</v>
      </c>
      <c r="L663" s="142">
        <f>AVERAGE(L476:L480)</f>
        <v>100944.6</v>
      </c>
      <c r="N663" s="142">
        <f t="shared" ref="N663:S663" si="313">AVERAGE(N476:N480)</f>
        <v>91249</v>
      </c>
      <c r="O663" s="142">
        <f t="shared" si="313"/>
        <v>70896.666666666672</v>
      </c>
      <c r="P663" s="142">
        <f t="shared" si="313"/>
        <v>16037</v>
      </c>
      <c r="Q663" s="142">
        <f t="shared" si="313"/>
        <v>3006.5</v>
      </c>
      <c r="R663" s="142">
        <f t="shared" si="313"/>
        <v>18.5</v>
      </c>
      <c r="S663" s="142">
        <f t="shared" si="313"/>
        <v>119366.66666666667</v>
      </c>
    </row>
    <row r="664" spans="1:19" ht="11.25" customHeight="1">
      <c r="A664" s="99" t="s">
        <v>144</v>
      </c>
      <c r="B664" s="142" t="s">
        <v>23</v>
      </c>
      <c r="C664" s="142" t="s">
        <v>23</v>
      </c>
      <c r="D664" s="142">
        <f>AVERAGE(D481:D485)</f>
        <v>22757.4</v>
      </c>
      <c r="E664" s="142">
        <f t="shared" ref="E664:J664" si="314">AVERAGE(E481:E485)</f>
        <v>29154.400000000001</v>
      </c>
      <c r="F664" s="142">
        <f t="shared" si="314"/>
        <v>13879.5</v>
      </c>
      <c r="G664" s="142">
        <f t="shared" si="314"/>
        <v>39603.800000000003</v>
      </c>
      <c r="H664" s="142">
        <f t="shared" si="314"/>
        <v>18044.400000000001</v>
      </c>
      <c r="I664" s="142">
        <f t="shared" si="314"/>
        <v>8035.2</v>
      </c>
      <c r="J664" s="142">
        <f t="shared" si="314"/>
        <v>1002.2</v>
      </c>
      <c r="K664" s="142" t="s">
        <v>23</v>
      </c>
      <c r="L664" s="142">
        <f>AVERAGE(L481:L485)</f>
        <v>129523</v>
      </c>
      <c r="N664" s="142">
        <f t="shared" ref="N664:S664" si="315">AVERAGE(N481:N485)</f>
        <v>8</v>
      </c>
      <c r="O664" s="142" t="s">
        <v>23</v>
      </c>
      <c r="P664" s="142">
        <f t="shared" si="315"/>
        <v>11600</v>
      </c>
      <c r="Q664" s="142">
        <f t="shared" si="315"/>
        <v>658</v>
      </c>
      <c r="R664" s="142" t="s">
        <v>23</v>
      </c>
      <c r="S664" s="142">
        <f t="shared" si="315"/>
        <v>6133</v>
      </c>
    </row>
    <row r="665" spans="1:19" ht="11.25" customHeight="1">
      <c r="A665" s="95" t="s">
        <v>166</v>
      </c>
      <c r="B665" s="142">
        <f>AVERAGE(B486:B490)</f>
        <v>14823</v>
      </c>
      <c r="C665" s="142">
        <f>AVERAGE(C486:C490)</f>
        <v>25408.6</v>
      </c>
      <c r="D665" s="142">
        <f>AVERAGE(D486:D490)</f>
        <v>53080.4</v>
      </c>
      <c r="E665" s="142">
        <f t="shared" ref="E665:L665" si="316">AVERAGE(E486:E490)</f>
        <v>43814.6</v>
      </c>
      <c r="F665" s="142">
        <f t="shared" si="316"/>
        <v>19115</v>
      </c>
      <c r="G665" s="142">
        <f t="shared" si="316"/>
        <v>44072.2</v>
      </c>
      <c r="H665" s="142">
        <f t="shared" si="316"/>
        <v>50600</v>
      </c>
      <c r="I665" s="142">
        <f t="shared" si="316"/>
        <v>33123</v>
      </c>
      <c r="J665" s="142">
        <f t="shared" si="316"/>
        <v>1346.6</v>
      </c>
      <c r="K665" s="142">
        <f t="shared" si="316"/>
        <v>148</v>
      </c>
      <c r="L665" s="142">
        <f t="shared" si="316"/>
        <v>282566.8</v>
      </c>
      <c r="N665" s="142" t="str">
        <f>N486</f>
        <v>-</v>
      </c>
      <c r="O665" s="142">
        <f>AVERAGE(O486:O490)</f>
        <v>1524</v>
      </c>
      <c r="P665" s="142">
        <f>AVERAGE(P486:P490)</f>
        <v>2472.1999999999998</v>
      </c>
      <c r="Q665" s="142">
        <f>AVERAGE(Q486:Q490)</f>
        <v>3429.6666666666665</v>
      </c>
      <c r="R665" s="142" t="str">
        <f>R486</f>
        <v>-</v>
      </c>
      <c r="S665" s="142">
        <f>AVERAGE(S486:S490)</f>
        <v>5749.2</v>
      </c>
    </row>
    <row r="666" spans="1:19" ht="11.25" customHeight="1">
      <c r="A666" s="95" t="s">
        <v>315</v>
      </c>
      <c r="B666" s="142" t="str">
        <f>B491</f>
        <v>-</v>
      </c>
      <c r="C666" s="142">
        <f>AVERAGE(C491:C495)</f>
        <v>1871</v>
      </c>
      <c r="D666" s="142">
        <f t="shared" ref="D666:L666" si="317">AVERAGE(D491:D495)</f>
        <v>5559</v>
      </c>
      <c r="E666" s="142">
        <f t="shared" si="317"/>
        <v>7328</v>
      </c>
      <c r="F666" s="142">
        <f t="shared" si="317"/>
        <v>2691.6</v>
      </c>
      <c r="G666" s="142">
        <f t="shared" si="317"/>
        <v>4185.3999999999996</v>
      </c>
      <c r="H666" s="142">
        <f t="shared" si="317"/>
        <v>1191.4000000000001</v>
      </c>
      <c r="I666" s="142">
        <f t="shared" si="317"/>
        <v>1496.4</v>
      </c>
      <c r="J666" s="142">
        <f t="shared" si="317"/>
        <v>872</v>
      </c>
      <c r="K666" s="142">
        <f t="shared" si="317"/>
        <v>67</v>
      </c>
      <c r="L666" s="142">
        <f t="shared" si="317"/>
        <v>23376</v>
      </c>
      <c r="N666" s="142" t="str">
        <f>N491</f>
        <v>-</v>
      </c>
      <c r="O666" s="142">
        <f t="shared" ref="O666:S666" si="318">AVERAGE(O491:O495)</f>
        <v>2163.8000000000002</v>
      </c>
      <c r="P666" s="142">
        <f t="shared" si="318"/>
        <v>4093.6</v>
      </c>
      <c r="Q666" s="142">
        <f t="shared" si="318"/>
        <v>2134.4</v>
      </c>
      <c r="R666" s="142" t="str">
        <f>R491</f>
        <v>-</v>
      </c>
      <c r="S666" s="142">
        <f t="shared" si="318"/>
        <v>8391.7999999999993</v>
      </c>
    </row>
    <row r="667" spans="1:19" ht="11.25" customHeight="1">
      <c r="A667" s="95">
        <v>2011</v>
      </c>
      <c r="B667" s="142" t="str">
        <f t="shared" ref="B667:L667" si="319">B496</f>
        <v>-</v>
      </c>
      <c r="C667" s="142">
        <f t="shared" si="319"/>
        <v>4481</v>
      </c>
      <c r="D667" s="142">
        <f t="shared" si="319"/>
        <v>9559</v>
      </c>
      <c r="E667" s="142">
        <f t="shared" si="319"/>
        <v>12055</v>
      </c>
      <c r="F667" s="142">
        <f t="shared" si="319"/>
        <v>840</v>
      </c>
      <c r="G667" s="142">
        <f t="shared" si="319"/>
        <v>1588</v>
      </c>
      <c r="H667" s="142">
        <f t="shared" si="319"/>
        <v>363</v>
      </c>
      <c r="I667" s="142">
        <f t="shared" si="319"/>
        <v>1200</v>
      </c>
      <c r="J667" s="142">
        <f t="shared" si="319"/>
        <v>1995</v>
      </c>
      <c r="K667" s="142" t="str">
        <f t="shared" si="319"/>
        <v>-</v>
      </c>
      <c r="L667" s="142">
        <f t="shared" si="319"/>
        <v>32081</v>
      </c>
      <c r="N667" s="142" t="str">
        <f t="shared" ref="N667:S675" si="320">N496</f>
        <v>-</v>
      </c>
      <c r="O667" s="142">
        <f t="shared" si="320"/>
        <v>234</v>
      </c>
      <c r="P667" s="142">
        <f t="shared" si="320"/>
        <v>147</v>
      </c>
      <c r="Q667" s="142">
        <f t="shared" si="320"/>
        <v>83</v>
      </c>
      <c r="R667" s="142" t="str">
        <f t="shared" si="320"/>
        <v>-</v>
      </c>
      <c r="S667" s="142">
        <f t="shared" si="320"/>
        <v>464</v>
      </c>
    </row>
    <row r="668" spans="1:19" ht="11.25" customHeight="1">
      <c r="A668" s="95">
        <v>2012</v>
      </c>
      <c r="B668" s="142" t="str">
        <f t="shared" ref="B668:L668" si="321">B497</f>
        <v>-</v>
      </c>
      <c r="C668" s="142">
        <f t="shared" si="321"/>
        <v>3633</v>
      </c>
      <c r="D668" s="142">
        <f t="shared" si="321"/>
        <v>15938</v>
      </c>
      <c r="E668" s="142">
        <f t="shared" si="321"/>
        <v>14010</v>
      </c>
      <c r="F668" s="142">
        <f t="shared" si="321"/>
        <v>3451</v>
      </c>
      <c r="G668" s="142">
        <f t="shared" si="321"/>
        <v>10248</v>
      </c>
      <c r="H668" s="142">
        <f t="shared" si="321"/>
        <v>16246</v>
      </c>
      <c r="I668" s="142">
        <f t="shared" si="321"/>
        <v>8874</v>
      </c>
      <c r="J668" s="142">
        <f t="shared" si="321"/>
        <v>701</v>
      </c>
      <c r="K668" s="142" t="str">
        <f t="shared" si="321"/>
        <v>-</v>
      </c>
      <c r="L668" s="142">
        <f t="shared" si="321"/>
        <v>73101</v>
      </c>
      <c r="N668" s="142" t="str">
        <f t="shared" si="320"/>
        <v>-</v>
      </c>
      <c r="O668" s="142">
        <f t="shared" si="320"/>
        <v>38</v>
      </c>
      <c r="P668" s="142">
        <f t="shared" si="320"/>
        <v>35</v>
      </c>
      <c r="Q668" s="142">
        <f t="shared" si="320"/>
        <v>551</v>
      </c>
      <c r="R668" s="142" t="str">
        <f t="shared" si="320"/>
        <v>-</v>
      </c>
      <c r="S668" s="142">
        <f t="shared" si="320"/>
        <v>624</v>
      </c>
    </row>
    <row r="669" spans="1:19" ht="11.25" customHeight="1">
      <c r="A669" s="95">
        <v>2013</v>
      </c>
      <c r="B669" s="142" t="str">
        <f t="shared" ref="B669:L669" si="322">B498</f>
        <v>-</v>
      </c>
      <c r="C669" s="142">
        <f t="shared" si="322"/>
        <v>7423</v>
      </c>
      <c r="D669" s="142">
        <f t="shared" si="322"/>
        <v>9532</v>
      </c>
      <c r="E669" s="142">
        <f t="shared" si="322"/>
        <v>8141</v>
      </c>
      <c r="F669" s="142">
        <f t="shared" si="322"/>
        <v>8638</v>
      </c>
      <c r="G669" s="142">
        <f t="shared" si="322"/>
        <v>40662</v>
      </c>
      <c r="H669" s="142">
        <f t="shared" si="322"/>
        <v>28780</v>
      </c>
      <c r="I669" s="142">
        <f t="shared" si="322"/>
        <v>8579</v>
      </c>
      <c r="J669" s="142">
        <f t="shared" si="322"/>
        <v>1002</v>
      </c>
      <c r="K669" s="142" t="str">
        <f t="shared" si="322"/>
        <v>-</v>
      </c>
      <c r="L669" s="142">
        <f t="shared" si="322"/>
        <v>112757</v>
      </c>
      <c r="N669" s="142" t="str">
        <f t="shared" si="320"/>
        <v>-</v>
      </c>
      <c r="O669" s="142">
        <f t="shared" si="320"/>
        <v>39</v>
      </c>
      <c r="P669" s="142">
        <f t="shared" si="320"/>
        <v>295</v>
      </c>
      <c r="Q669" s="142">
        <f t="shared" si="320"/>
        <v>118</v>
      </c>
      <c r="R669" s="142" t="str">
        <f t="shared" si="320"/>
        <v>-</v>
      </c>
      <c r="S669" s="142">
        <f t="shared" si="320"/>
        <v>452</v>
      </c>
    </row>
    <row r="670" spans="1:19" ht="11.25" customHeight="1">
      <c r="A670" s="95">
        <v>2014</v>
      </c>
      <c r="B670" s="142" t="str">
        <f t="shared" ref="B670:L670" si="323">B499</f>
        <v>-</v>
      </c>
      <c r="C670" s="142">
        <f t="shared" si="323"/>
        <v>15554</v>
      </c>
      <c r="D670" s="142">
        <f t="shared" si="323"/>
        <v>61545</v>
      </c>
      <c r="E670" s="142">
        <f t="shared" si="323"/>
        <v>30634</v>
      </c>
      <c r="F670" s="142">
        <f t="shared" si="323"/>
        <v>21100</v>
      </c>
      <c r="G670" s="142">
        <f t="shared" si="323"/>
        <v>67178</v>
      </c>
      <c r="H670" s="142">
        <f t="shared" si="323"/>
        <v>9101</v>
      </c>
      <c r="I670" s="142">
        <f t="shared" si="323"/>
        <v>2515</v>
      </c>
      <c r="J670" s="142">
        <f t="shared" si="323"/>
        <v>469</v>
      </c>
      <c r="K670" s="142" t="str">
        <f t="shared" si="323"/>
        <v>-</v>
      </c>
      <c r="L670" s="142">
        <f t="shared" si="323"/>
        <v>208096</v>
      </c>
      <c r="N670" s="142" t="str">
        <f t="shared" si="320"/>
        <v>-</v>
      </c>
      <c r="O670" s="142">
        <f t="shared" si="320"/>
        <v>2428</v>
      </c>
      <c r="P670" s="142">
        <f t="shared" si="320"/>
        <v>1570</v>
      </c>
      <c r="Q670" s="142">
        <f t="shared" si="320"/>
        <v>7000</v>
      </c>
      <c r="R670" s="142" t="str">
        <f t="shared" si="320"/>
        <v>-</v>
      </c>
      <c r="S670" s="142">
        <f t="shared" si="320"/>
        <v>10998</v>
      </c>
    </row>
    <row r="671" spans="1:19" ht="11.25" customHeight="1">
      <c r="A671" s="95">
        <v>2015</v>
      </c>
      <c r="B671" s="142" t="str">
        <f t="shared" ref="B671:L671" si="324">B500</f>
        <v>-</v>
      </c>
      <c r="C671" s="142">
        <f t="shared" si="324"/>
        <v>16420</v>
      </c>
      <c r="D671" s="142">
        <f t="shared" si="324"/>
        <v>21092</v>
      </c>
      <c r="E671" s="142">
        <f t="shared" si="324"/>
        <v>22858</v>
      </c>
      <c r="F671" s="142">
        <f t="shared" si="324"/>
        <v>29322</v>
      </c>
      <c r="G671" s="142">
        <f t="shared" si="324"/>
        <v>8249</v>
      </c>
      <c r="H671" s="142">
        <f t="shared" si="324"/>
        <v>2562</v>
      </c>
      <c r="I671" s="142">
        <f t="shared" si="324"/>
        <v>2593</v>
      </c>
      <c r="J671" s="142">
        <f t="shared" si="324"/>
        <v>1163</v>
      </c>
      <c r="K671" s="142" t="str">
        <f t="shared" si="324"/>
        <v>-</v>
      </c>
      <c r="L671" s="142">
        <f t="shared" si="324"/>
        <v>104259</v>
      </c>
      <c r="N671" s="142" t="str">
        <f t="shared" si="320"/>
        <v>-</v>
      </c>
      <c r="O671" s="142">
        <f t="shared" si="320"/>
        <v>328</v>
      </c>
      <c r="P671" s="142">
        <f t="shared" si="320"/>
        <v>411</v>
      </c>
      <c r="Q671" s="142">
        <f t="shared" si="320"/>
        <v>1474</v>
      </c>
      <c r="R671" s="142" t="str">
        <f t="shared" si="320"/>
        <v>-</v>
      </c>
      <c r="S671" s="142">
        <f t="shared" si="320"/>
        <v>2213</v>
      </c>
    </row>
    <row r="672" spans="1:19" ht="11.25" customHeight="1">
      <c r="A672" s="95">
        <v>2016</v>
      </c>
      <c r="B672" s="142" t="str">
        <f t="shared" ref="B672:L672" si="325">B501</f>
        <v>-</v>
      </c>
      <c r="C672" s="142">
        <f t="shared" si="325"/>
        <v>6597</v>
      </c>
      <c r="D672" s="142">
        <f t="shared" si="325"/>
        <v>6542</v>
      </c>
      <c r="E672" s="142">
        <f t="shared" si="325"/>
        <v>5658</v>
      </c>
      <c r="F672" s="142">
        <f t="shared" si="325"/>
        <v>11433</v>
      </c>
      <c r="G672" s="142">
        <f t="shared" si="325"/>
        <v>9254</v>
      </c>
      <c r="H672" s="142">
        <f t="shared" si="325"/>
        <v>1812</v>
      </c>
      <c r="I672" s="142">
        <f t="shared" si="325"/>
        <v>869</v>
      </c>
      <c r="J672" s="142">
        <f t="shared" si="325"/>
        <v>182</v>
      </c>
      <c r="K672" s="142" t="str">
        <f t="shared" si="325"/>
        <v>-</v>
      </c>
      <c r="L672" s="142">
        <f t="shared" si="325"/>
        <v>42347</v>
      </c>
      <c r="N672" s="142" t="str">
        <f t="shared" si="320"/>
        <v>-</v>
      </c>
      <c r="O672" s="142" t="str">
        <f t="shared" si="320"/>
        <v>-</v>
      </c>
      <c r="P672" s="142" t="str">
        <f t="shared" si="320"/>
        <v>-</v>
      </c>
      <c r="Q672" s="142" t="str">
        <f t="shared" si="320"/>
        <v>-</v>
      </c>
      <c r="R672" s="142" t="str">
        <f t="shared" si="320"/>
        <v>-</v>
      </c>
      <c r="S672" s="142" t="str">
        <f t="shared" si="320"/>
        <v>-</v>
      </c>
    </row>
    <row r="673" spans="1:19" ht="11.25" customHeight="1">
      <c r="A673" s="95">
        <v>2017</v>
      </c>
      <c r="B673" s="142" t="str">
        <f t="shared" ref="B673:L673" si="326">B502</f>
        <v>-</v>
      </c>
      <c r="C673" s="142">
        <f t="shared" si="326"/>
        <v>553</v>
      </c>
      <c r="D673" s="142">
        <f t="shared" si="326"/>
        <v>2309</v>
      </c>
      <c r="E673" s="142">
        <f t="shared" si="326"/>
        <v>3826</v>
      </c>
      <c r="F673" s="142">
        <f t="shared" si="326"/>
        <v>13069</v>
      </c>
      <c r="G673" s="142">
        <f t="shared" si="326"/>
        <v>611</v>
      </c>
      <c r="H673" s="142">
        <f t="shared" si="326"/>
        <v>371</v>
      </c>
      <c r="I673" s="142">
        <f t="shared" si="326"/>
        <v>1010</v>
      </c>
      <c r="J673" s="142">
        <f t="shared" si="326"/>
        <v>96</v>
      </c>
      <c r="K673" s="142" t="str">
        <f t="shared" si="326"/>
        <v>-</v>
      </c>
      <c r="L673" s="142">
        <f t="shared" si="326"/>
        <v>21845</v>
      </c>
      <c r="N673" s="142" t="str">
        <f t="shared" si="320"/>
        <v>-</v>
      </c>
      <c r="O673" s="142">
        <f t="shared" si="320"/>
        <v>16</v>
      </c>
      <c r="P673" s="142">
        <f t="shared" si="320"/>
        <v>305</v>
      </c>
      <c r="Q673" s="142">
        <f t="shared" si="320"/>
        <v>149</v>
      </c>
      <c r="R673" s="142" t="str">
        <f t="shared" si="320"/>
        <v>-</v>
      </c>
      <c r="S673" s="142">
        <f t="shared" si="320"/>
        <v>470</v>
      </c>
    </row>
    <row r="674" spans="1:19" ht="11.25" customHeight="1">
      <c r="A674" s="95">
        <v>2018</v>
      </c>
      <c r="B674" s="142" t="str">
        <f t="shared" ref="B674:L674" si="327">B503</f>
        <v>-</v>
      </c>
      <c r="C674" s="142" t="str">
        <f t="shared" si="327"/>
        <v>-</v>
      </c>
      <c r="D674" s="142">
        <f t="shared" si="327"/>
        <v>1259</v>
      </c>
      <c r="E674" s="142">
        <f t="shared" si="327"/>
        <v>4676</v>
      </c>
      <c r="F674" s="142">
        <f t="shared" si="327"/>
        <v>4108</v>
      </c>
      <c r="G674" s="142">
        <f t="shared" si="327"/>
        <v>12956</v>
      </c>
      <c r="H674" s="142">
        <f t="shared" si="327"/>
        <v>225</v>
      </c>
      <c r="I674" s="142">
        <f t="shared" si="327"/>
        <v>806</v>
      </c>
      <c r="J674" s="142">
        <f t="shared" si="327"/>
        <v>431</v>
      </c>
      <c r="K674" s="142" t="str">
        <f t="shared" si="327"/>
        <v>-</v>
      </c>
      <c r="L674" s="142">
        <f t="shared" si="327"/>
        <v>24461</v>
      </c>
      <c r="N674" s="142" t="str">
        <f t="shared" si="320"/>
        <v>-</v>
      </c>
      <c r="O674" s="142">
        <f t="shared" si="320"/>
        <v>8</v>
      </c>
      <c r="P674" s="142">
        <f t="shared" si="320"/>
        <v>84</v>
      </c>
      <c r="Q674" s="142" t="str">
        <f t="shared" si="320"/>
        <v>-</v>
      </c>
      <c r="R674" s="142" t="str">
        <f t="shared" si="320"/>
        <v>-</v>
      </c>
      <c r="S674" s="142">
        <f t="shared" si="320"/>
        <v>92</v>
      </c>
    </row>
    <row r="675" spans="1:19" ht="11.25" customHeight="1">
      <c r="A675" s="95">
        <v>2019</v>
      </c>
      <c r="B675" s="142" t="str">
        <f t="shared" ref="B675:L675" si="328">B504</f>
        <v>-</v>
      </c>
      <c r="C675" s="142">
        <f t="shared" si="328"/>
        <v>162</v>
      </c>
      <c r="D675" s="142">
        <f t="shared" si="328"/>
        <v>698</v>
      </c>
      <c r="E675" s="142">
        <f t="shared" si="328"/>
        <v>3400</v>
      </c>
      <c r="F675" s="142">
        <f t="shared" si="328"/>
        <v>17046</v>
      </c>
      <c r="G675" s="142">
        <f t="shared" si="328"/>
        <v>6053</v>
      </c>
      <c r="H675" s="142">
        <f t="shared" si="328"/>
        <v>660</v>
      </c>
      <c r="I675" s="142">
        <f t="shared" si="328"/>
        <v>870</v>
      </c>
      <c r="J675" s="142" t="str">
        <f t="shared" si="328"/>
        <v>-</v>
      </c>
      <c r="K675" s="142" t="str">
        <f t="shared" si="328"/>
        <v>-</v>
      </c>
      <c r="L675" s="142">
        <f t="shared" si="328"/>
        <v>28889</v>
      </c>
      <c r="N675" s="142" t="str">
        <f t="shared" si="320"/>
        <v>-</v>
      </c>
      <c r="O675" s="142">
        <f t="shared" si="320"/>
        <v>1029</v>
      </c>
      <c r="P675" s="142">
        <f t="shared" si="320"/>
        <v>302</v>
      </c>
      <c r="Q675" s="142">
        <f t="shared" si="320"/>
        <v>81</v>
      </c>
      <c r="R675" s="142" t="str">
        <f t="shared" si="320"/>
        <v>-</v>
      </c>
      <c r="S675" s="142">
        <f t="shared" si="320"/>
        <v>1412</v>
      </c>
    </row>
    <row r="676" spans="1:19" ht="11.25" customHeight="1">
      <c r="A676" s="95">
        <v>2020</v>
      </c>
      <c r="B676" s="142" t="str">
        <f t="shared" ref="B676:L677" si="329">B505</f>
        <v>-</v>
      </c>
      <c r="C676" s="142">
        <f t="shared" si="329"/>
        <v>800</v>
      </c>
      <c r="D676" s="142">
        <f t="shared" si="329"/>
        <v>862</v>
      </c>
      <c r="E676" s="142">
        <f t="shared" si="329"/>
        <v>2618</v>
      </c>
      <c r="F676" s="142">
        <f t="shared" si="329"/>
        <v>5093</v>
      </c>
      <c r="G676" s="142">
        <f t="shared" si="329"/>
        <v>1874</v>
      </c>
      <c r="H676" s="142">
        <f t="shared" si="329"/>
        <v>560</v>
      </c>
      <c r="I676" s="142">
        <f t="shared" si="329"/>
        <v>1003</v>
      </c>
      <c r="J676" s="142" t="str">
        <f t="shared" si="329"/>
        <v>-</v>
      </c>
      <c r="K676" s="142" t="str">
        <f t="shared" si="329"/>
        <v>-</v>
      </c>
      <c r="L676" s="142">
        <f t="shared" si="329"/>
        <v>12810</v>
      </c>
      <c r="N676" s="142" t="str">
        <f t="shared" ref="N676:S677" si="330">N505</f>
        <v>-</v>
      </c>
      <c r="O676" s="142">
        <f t="shared" si="330"/>
        <v>63</v>
      </c>
      <c r="P676" s="142">
        <f t="shared" si="330"/>
        <v>64</v>
      </c>
      <c r="Q676" s="142">
        <f t="shared" si="330"/>
        <v>2</v>
      </c>
      <c r="R676" s="142" t="str">
        <f t="shared" si="330"/>
        <v>-</v>
      </c>
      <c r="S676" s="142">
        <f t="shared" si="330"/>
        <v>129</v>
      </c>
    </row>
    <row r="677" spans="1:19" ht="11.25" customHeight="1">
      <c r="A677" s="95" t="s">
        <v>317</v>
      </c>
      <c r="B677" s="142">
        <f t="shared" si="329"/>
        <v>231</v>
      </c>
      <c r="C677" s="142">
        <f t="shared" si="329"/>
        <v>2385</v>
      </c>
      <c r="D677" s="142">
        <f t="shared" si="329"/>
        <v>2133</v>
      </c>
      <c r="E677" s="142">
        <f t="shared" si="329"/>
        <v>1124</v>
      </c>
      <c r="F677" s="142">
        <f t="shared" si="329"/>
        <v>4914</v>
      </c>
      <c r="G677" s="142">
        <f t="shared" si="329"/>
        <v>5135</v>
      </c>
      <c r="H677" s="142">
        <f t="shared" si="329"/>
        <v>372</v>
      </c>
      <c r="I677" s="142">
        <f t="shared" si="329"/>
        <v>1243</v>
      </c>
      <c r="J677" s="142" t="str">
        <f t="shared" si="329"/>
        <v>-</v>
      </c>
      <c r="K677" s="142" t="str">
        <f t="shared" si="329"/>
        <v>-</v>
      </c>
      <c r="L677" s="142">
        <f t="shared" si="329"/>
        <v>17537</v>
      </c>
      <c r="N677" s="142" t="str">
        <f t="shared" si="330"/>
        <v>-</v>
      </c>
      <c r="O677" s="142">
        <f t="shared" si="330"/>
        <v>1009</v>
      </c>
      <c r="P677" s="142">
        <f t="shared" si="330"/>
        <v>1179</v>
      </c>
      <c r="Q677" s="142">
        <f t="shared" si="330"/>
        <v>41</v>
      </c>
      <c r="R677" s="142" t="str">
        <f t="shared" si="330"/>
        <v>-</v>
      </c>
      <c r="S677" s="142">
        <f t="shared" si="330"/>
        <v>2229</v>
      </c>
    </row>
    <row r="678" spans="1:19" ht="11.25" customHeight="1">
      <c r="A678" s="312" t="str">
        <f>A507</f>
        <v>a/ Monthly totals are the sum of statistical weeks with closest fit to the calendar month.  Excludes harvests off Alaska, Washington (north of Leadbetter Point), and California that were landed in Oregon.  Landings are reported by area of catch beginning in 1979.  Catch and landing areas include the following port areas:  Astoria area includes Oregon ports from Astoria through Cannon Beach; Tillamook area includes Nehalem through Pacific City; Newport area includes Depoe Bay through Waldport; Coos Bay area prior to 1988 includes Florence through Bandon and after 1987 includes Florence through Port Orford; Brookings area prior to 1988 includes Port Orford through Brookings and after 1987 includes Gold Beach through Brookings.   Values include state-waters only terminal area fisheries.</v>
      </c>
      <c r="B678" s="313"/>
      <c r="C678" s="313"/>
      <c r="D678" s="313"/>
      <c r="E678" s="313"/>
      <c r="F678" s="313"/>
      <c r="G678" s="313"/>
      <c r="H678" s="313"/>
      <c r="I678" s="313"/>
      <c r="J678" s="313"/>
      <c r="K678" s="313"/>
      <c r="L678" s="313"/>
      <c r="M678" s="313"/>
      <c r="N678" s="313"/>
      <c r="O678" s="313"/>
      <c r="P678" s="313"/>
      <c r="Q678" s="313"/>
      <c r="R678" s="313"/>
      <c r="S678" s="313"/>
    </row>
    <row r="679" spans="1:19" ht="11.25" customHeight="1">
      <c r="A679" s="302"/>
      <c r="B679" s="314"/>
      <c r="C679" s="314"/>
      <c r="D679" s="314"/>
      <c r="E679" s="314"/>
      <c r="F679" s="314"/>
      <c r="G679" s="314"/>
      <c r="H679" s="314"/>
      <c r="I679" s="314"/>
      <c r="J679" s="314"/>
      <c r="K679" s="314"/>
      <c r="L679" s="314"/>
      <c r="M679" s="314"/>
      <c r="N679" s="314"/>
      <c r="O679" s="314"/>
      <c r="P679" s="314"/>
      <c r="Q679" s="314"/>
      <c r="R679" s="314"/>
      <c r="S679" s="314"/>
    </row>
    <row r="680" spans="1:19" ht="11.25" customHeight="1">
      <c r="A680" s="314"/>
      <c r="B680" s="314"/>
      <c r="C680" s="314"/>
      <c r="D680" s="314"/>
      <c r="E680" s="314"/>
      <c r="F680" s="314"/>
      <c r="G680" s="314"/>
      <c r="H680" s="314"/>
      <c r="I680" s="314"/>
      <c r="J680" s="314"/>
      <c r="K680" s="314"/>
      <c r="L680" s="314"/>
      <c r="M680" s="314"/>
      <c r="N680" s="314"/>
      <c r="O680" s="314"/>
      <c r="P680" s="314"/>
      <c r="Q680" s="314"/>
      <c r="R680" s="314"/>
      <c r="S680" s="314"/>
    </row>
    <row r="681" spans="1:19" ht="11.25" customHeight="1">
      <c r="A681" s="314"/>
      <c r="B681" s="314"/>
      <c r="C681" s="314"/>
      <c r="D681" s="314"/>
      <c r="E681" s="314"/>
      <c r="F681" s="314"/>
      <c r="G681" s="314"/>
      <c r="H681" s="314"/>
      <c r="I681" s="314"/>
      <c r="J681" s="314"/>
      <c r="K681" s="314"/>
      <c r="L681" s="314"/>
      <c r="M681" s="314"/>
      <c r="N681" s="314"/>
      <c r="O681" s="314"/>
      <c r="P681" s="314"/>
      <c r="Q681" s="314"/>
      <c r="R681" s="314"/>
      <c r="S681" s="314"/>
    </row>
    <row r="682" spans="1:19" ht="9" customHeight="1">
      <c r="A682" s="314"/>
      <c r="B682" s="314"/>
      <c r="C682" s="314"/>
      <c r="D682" s="314"/>
      <c r="E682" s="314"/>
      <c r="F682" s="314"/>
      <c r="G682" s="314"/>
      <c r="H682" s="314"/>
      <c r="I682" s="314"/>
      <c r="J682" s="314"/>
      <c r="K682" s="314"/>
      <c r="L682" s="314"/>
      <c r="M682" s="314"/>
      <c r="N682" s="314"/>
      <c r="O682" s="314"/>
      <c r="P682" s="314"/>
      <c r="Q682" s="314"/>
      <c r="R682" s="314"/>
      <c r="S682" s="314"/>
    </row>
    <row r="683" spans="1:19" ht="11.25" customHeight="1">
      <c r="A683" s="315" t="str">
        <f>A512</f>
        <v>b/  Preliminary.</v>
      </c>
      <c r="B683" s="315"/>
      <c r="C683" s="315"/>
      <c r="D683" s="315"/>
      <c r="E683" s="315"/>
      <c r="F683" s="315"/>
      <c r="G683" s="315"/>
      <c r="H683" s="315"/>
      <c r="I683" s="315"/>
      <c r="J683" s="315"/>
      <c r="K683" s="315"/>
      <c r="L683" s="315"/>
      <c r="M683" s="315"/>
      <c r="N683" s="315"/>
      <c r="O683" s="315"/>
      <c r="P683" s="315"/>
      <c r="Q683" s="315"/>
      <c r="R683" s="315"/>
      <c r="S683" s="315"/>
    </row>
    <row r="684" spans="1:19" ht="11.25" customHeight="1">
      <c r="A684" s="315"/>
      <c r="B684" s="315"/>
      <c r="C684" s="315"/>
      <c r="D684" s="315"/>
      <c r="E684" s="315"/>
      <c r="F684" s="315"/>
      <c r="G684" s="315"/>
      <c r="H684" s="315"/>
      <c r="I684" s="315"/>
      <c r="J684" s="315"/>
      <c r="K684" s="315"/>
      <c r="L684" s="315"/>
      <c r="M684" s="315"/>
      <c r="N684" s="315"/>
      <c r="O684" s="315"/>
      <c r="P684" s="315"/>
      <c r="Q684" s="315"/>
      <c r="R684" s="315"/>
      <c r="S684" s="315"/>
    </row>
    <row r="685" spans="1:19" ht="11.25" customHeight="1">
      <c r="A685" s="315"/>
      <c r="B685" s="315"/>
      <c r="C685" s="315"/>
      <c r="D685" s="315"/>
      <c r="E685" s="315"/>
      <c r="F685" s="315"/>
      <c r="G685" s="315"/>
      <c r="H685" s="315"/>
      <c r="I685" s="315"/>
      <c r="J685" s="315"/>
      <c r="K685" s="315"/>
      <c r="L685" s="315"/>
      <c r="M685" s="315"/>
      <c r="N685" s="315"/>
      <c r="O685" s="315"/>
      <c r="P685" s="315"/>
      <c r="Q685" s="315"/>
      <c r="R685" s="315"/>
      <c r="S685" s="315"/>
    </row>
    <row r="686" spans="1:19" ht="11.25" customHeight="1"/>
    <row r="687" spans="1:19" ht="11.25" customHeight="1"/>
    <row r="688" spans="1:19" ht="11.25" customHeight="1"/>
    <row r="689" ht="11.25" customHeight="1"/>
    <row r="690" ht="11.25" customHeight="1"/>
    <row r="691" ht="11.25" customHeight="1"/>
    <row r="692" ht="11.25" customHeight="1"/>
    <row r="693" ht="11.25" customHeight="1"/>
    <row r="694" ht="11.25" customHeight="1"/>
    <row r="695" ht="11.25" customHeight="1"/>
    <row r="696" ht="11.25" customHeight="1"/>
    <row r="697" ht="11.25" customHeight="1"/>
    <row r="698" ht="11.25" customHeight="1"/>
    <row r="699" ht="11.25" customHeight="1"/>
    <row r="700" ht="11.25" customHeight="1"/>
    <row r="701" ht="11.25" customHeight="1"/>
    <row r="702" ht="11.25" customHeight="1"/>
    <row r="703" ht="11.25" customHeight="1"/>
    <row r="704" ht="11.25" customHeight="1"/>
    <row r="705" ht="11.25" customHeight="1"/>
    <row r="706" ht="11.25" customHeight="1"/>
    <row r="707" ht="11.25" customHeight="1"/>
    <row r="708" ht="11.25" customHeight="1"/>
    <row r="709" ht="11.25" customHeight="1"/>
    <row r="710" ht="11.25" customHeight="1"/>
    <row r="711" ht="11.25" customHeight="1"/>
    <row r="712" ht="11.25" customHeight="1"/>
    <row r="713" ht="11.25" customHeight="1"/>
    <row r="714" ht="11.25" customHeight="1"/>
    <row r="715" ht="11.25" customHeight="1"/>
    <row r="716" ht="11.25" customHeight="1"/>
    <row r="717" ht="11.25" customHeight="1"/>
    <row r="718" ht="11.25" customHeight="1"/>
    <row r="719" ht="11.25" customHeight="1"/>
    <row r="720" ht="11.25" customHeight="1"/>
    <row r="721" ht="11.25" customHeight="1"/>
    <row r="722" ht="11.25" customHeight="1"/>
    <row r="723" ht="11.25" customHeight="1"/>
    <row r="724" ht="11.25" customHeight="1"/>
    <row r="725" ht="11.25" customHeight="1"/>
    <row r="726" ht="11.25" customHeight="1"/>
    <row r="727" ht="11.25" customHeight="1"/>
    <row r="728" ht="11.25" customHeight="1"/>
    <row r="729" ht="11.25" customHeight="1"/>
    <row r="730" ht="11.25" customHeight="1"/>
    <row r="731" ht="11.25" customHeight="1"/>
    <row r="732" ht="11.25" customHeight="1"/>
    <row r="733" ht="11.25" customHeight="1"/>
    <row r="734" ht="11.25" customHeight="1"/>
    <row r="735" ht="11.25" customHeight="1"/>
    <row r="736" ht="11.25" customHeight="1"/>
    <row r="737" ht="11.25" customHeight="1"/>
    <row r="738" ht="11.25" customHeight="1"/>
    <row r="739" ht="11.25" customHeight="1"/>
    <row r="740" ht="11.25" customHeight="1"/>
    <row r="741" ht="11.25" customHeight="1"/>
    <row r="742" ht="11.25" customHeight="1"/>
    <row r="743" ht="11.25" customHeight="1"/>
    <row r="744" ht="11.25" customHeight="1"/>
    <row r="745" ht="11.25" customHeight="1"/>
    <row r="746" ht="11.25" customHeight="1"/>
    <row r="747" ht="11.25" customHeight="1"/>
    <row r="748" ht="11.25" customHeight="1"/>
    <row r="749" ht="11.25" customHeight="1"/>
    <row r="750" ht="11.25" customHeight="1"/>
    <row r="751" ht="11.25" customHeight="1"/>
    <row r="752" ht="11.25" customHeight="1"/>
    <row r="753" ht="11.25" customHeight="1"/>
    <row r="754" ht="11.25" customHeight="1"/>
    <row r="755" ht="11.25" customHeight="1"/>
    <row r="756" ht="11.25" customHeight="1"/>
    <row r="757" ht="11.25" customHeight="1"/>
    <row r="758" ht="11.25" customHeight="1"/>
    <row r="759" ht="11.25" customHeight="1"/>
    <row r="760" ht="11.25" customHeight="1"/>
    <row r="761" ht="11.25" customHeight="1"/>
    <row r="762" ht="11.25" customHeight="1"/>
    <row r="763" ht="11.25" customHeight="1"/>
    <row r="764" ht="11.25" customHeight="1"/>
    <row r="765" ht="11.25" customHeight="1"/>
    <row r="766" ht="11.25" customHeight="1"/>
    <row r="767" ht="11.25" customHeight="1"/>
    <row r="768" ht="11.25" customHeight="1"/>
    <row r="769" ht="11.25" customHeight="1"/>
    <row r="770" ht="11.25" customHeight="1"/>
    <row r="771" ht="11.25" customHeight="1"/>
  </sheetData>
  <mergeCells count="23">
    <mergeCell ref="A678:S682"/>
    <mergeCell ref="A683:S683"/>
    <mergeCell ref="A684:S684"/>
    <mergeCell ref="A685:S685"/>
    <mergeCell ref="A616:S616"/>
    <mergeCell ref="B618:L618"/>
    <mergeCell ref="N618:S618"/>
    <mergeCell ref="A657:S657"/>
    <mergeCell ref="B659:L659"/>
    <mergeCell ref="N659:S659"/>
    <mergeCell ref="B577:L577"/>
    <mergeCell ref="N577:S577"/>
    <mergeCell ref="A1:S1"/>
    <mergeCell ref="B3:L3"/>
    <mergeCell ref="N3:S3"/>
    <mergeCell ref="A507:S511"/>
    <mergeCell ref="A512:S512"/>
    <mergeCell ref="A513:S513"/>
    <mergeCell ref="A514:S514"/>
    <mergeCell ref="A534:S534"/>
    <mergeCell ref="B536:L536"/>
    <mergeCell ref="N536:S536"/>
    <mergeCell ref="A575:S575"/>
  </mergeCells>
  <pageMargins left="0.7" right="0.7" top="0.75" bottom="0.75" header="0.3" footer="0.3"/>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2"/>
  <dimension ref="A1:R529"/>
  <sheetViews>
    <sheetView showGridLines="0" zoomScale="90" zoomScaleNormal="90" workbookViewId="0">
      <selection activeCell="N421" sqref="N421"/>
    </sheetView>
  </sheetViews>
  <sheetFormatPr baseColWidth="10" defaultColWidth="8" defaultRowHeight="11"/>
  <cols>
    <col min="1" max="1" width="11.1640625" style="95" customWidth="1"/>
    <col min="2" max="11" width="9.6640625" style="60" customWidth="1"/>
    <col min="12" max="16384" width="8" style="182"/>
  </cols>
  <sheetData>
    <row r="1" spans="1:11" ht="13">
      <c r="A1" s="318" t="s">
        <v>216</v>
      </c>
      <c r="B1" s="318"/>
      <c r="C1" s="318"/>
      <c r="D1" s="318"/>
      <c r="E1" s="318"/>
      <c r="F1" s="318"/>
      <c r="G1" s="318"/>
      <c r="H1" s="318"/>
      <c r="I1" s="318"/>
      <c r="J1" s="318"/>
      <c r="K1" s="318"/>
    </row>
    <row r="2" spans="1:11" s="209" customFormat="1">
      <c r="A2" s="109" t="s">
        <v>43</v>
      </c>
      <c r="B2" s="110" t="s">
        <v>37</v>
      </c>
      <c r="C2" s="110" t="s">
        <v>28</v>
      </c>
      <c r="D2" s="110" t="s">
        <v>29</v>
      </c>
      <c r="E2" s="110" t="s">
        <v>30</v>
      </c>
      <c r="F2" s="110" t="s">
        <v>31</v>
      </c>
      <c r="G2" s="110" t="s">
        <v>32</v>
      </c>
      <c r="H2" s="110" t="s">
        <v>33</v>
      </c>
      <c r="I2" s="111" t="s">
        <v>34</v>
      </c>
      <c r="J2" s="111" t="s">
        <v>38</v>
      </c>
      <c r="K2" s="111" t="s">
        <v>22</v>
      </c>
    </row>
    <row r="5" spans="1:11">
      <c r="A5" s="88" t="s">
        <v>102</v>
      </c>
    </row>
    <row r="6" spans="1:11">
      <c r="A6" s="99">
        <v>1976</v>
      </c>
      <c r="B6" s="60" t="s">
        <v>23</v>
      </c>
      <c r="C6" s="60">
        <v>0</v>
      </c>
      <c r="D6" s="60">
        <v>785</v>
      </c>
      <c r="E6" s="60">
        <v>9916</v>
      </c>
      <c r="F6" s="60">
        <v>22017</v>
      </c>
      <c r="G6" s="60">
        <v>44997</v>
      </c>
      <c r="H6" s="60">
        <v>22282</v>
      </c>
      <c r="I6" s="60">
        <v>528</v>
      </c>
      <c r="J6" s="60">
        <v>22</v>
      </c>
      <c r="K6" s="60">
        <f t="shared" ref="K6:K51" si="0">SUM(B6:J6)</f>
        <v>100547</v>
      </c>
    </row>
    <row r="7" spans="1:11">
      <c r="A7" s="99">
        <v>1977</v>
      </c>
      <c r="B7" s="60" t="s">
        <v>23</v>
      </c>
      <c r="C7" s="60">
        <v>0</v>
      </c>
      <c r="D7" s="60">
        <v>702</v>
      </c>
      <c r="E7" s="60">
        <v>7064</v>
      </c>
      <c r="F7" s="60">
        <v>18484</v>
      </c>
      <c r="G7" s="60">
        <v>21570</v>
      </c>
      <c r="H7" s="60">
        <v>2493</v>
      </c>
      <c r="I7" s="60">
        <v>203</v>
      </c>
      <c r="J7" s="60" t="s">
        <v>23</v>
      </c>
      <c r="K7" s="60">
        <f t="shared" si="0"/>
        <v>50516</v>
      </c>
    </row>
    <row r="8" spans="1:11">
      <c r="A8" s="99">
        <v>1978</v>
      </c>
      <c r="B8" s="60" t="s">
        <v>23</v>
      </c>
      <c r="C8" s="60">
        <v>0</v>
      </c>
      <c r="D8" s="60">
        <v>867</v>
      </c>
      <c r="E8" s="60">
        <v>13099</v>
      </c>
      <c r="F8" s="60">
        <v>18162</v>
      </c>
      <c r="G8" s="60">
        <v>20450</v>
      </c>
      <c r="H8" s="60">
        <v>10107</v>
      </c>
      <c r="I8" s="60">
        <v>390</v>
      </c>
      <c r="J8" s="60" t="s">
        <v>23</v>
      </c>
      <c r="K8" s="60">
        <f t="shared" si="0"/>
        <v>63075</v>
      </c>
    </row>
    <row r="9" spans="1:11">
      <c r="A9" s="99">
        <v>1979</v>
      </c>
      <c r="B9" s="60" t="s">
        <v>23</v>
      </c>
      <c r="C9" s="60" t="s">
        <v>23</v>
      </c>
      <c r="D9" s="60">
        <v>835</v>
      </c>
      <c r="E9" s="60">
        <v>5032</v>
      </c>
      <c r="F9" s="60">
        <v>14813</v>
      </c>
      <c r="G9" s="60">
        <v>19699</v>
      </c>
      <c r="H9" s="60">
        <v>2898</v>
      </c>
      <c r="I9" s="60" t="s">
        <v>23</v>
      </c>
      <c r="J9" s="60" t="s">
        <v>23</v>
      </c>
      <c r="K9" s="60">
        <f t="shared" si="0"/>
        <v>43277</v>
      </c>
    </row>
    <row r="10" spans="1:11">
      <c r="A10" s="99">
        <v>1980</v>
      </c>
      <c r="B10" s="60" t="s">
        <v>23</v>
      </c>
      <c r="C10" s="60" t="s">
        <v>23</v>
      </c>
      <c r="D10" s="60">
        <v>1262</v>
      </c>
      <c r="E10" s="60">
        <v>7798</v>
      </c>
      <c r="F10" s="60">
        <v>13704</v>
      </c>
      <c r="G10" s="60">
        <v>19706</v>
      </c>
      <c r="H10" s="60">
        <v>3845</v>
      </c>
      <c r="I10" s="60" t="s">
        <v>23</v>
      </c>
      <c r="J10" s="60" t="s">
        <v>23</v>
      </c>
      <c r="K10" s="60">
        <f t="shared" si="0"/>
        <v>46315</v>
      </c>
    </row>
    <row r="11" spans="1:11">
      <c r="A11" s="99">
        <v>1981</v>
      </c>
      <c r="B11" s="60" t="s">
        <v>23</v>
      </c>
      <c r="C11" s="60" t="s">
        <v>23</v>
      </c>
      <c r="D11" s="60">
        <v>977</v>
      </c>
      <c r="E11" s="60">
        <v>4886</v>
      </c>
      <c r="F11" s="60">
        <v>14119</v>
      </c>
      <c r="G11" s="60">
        <v>20088</v>
      </c>
      <c r="H11" s="60">
        <v>4625</v>
      </c>
      <c r="I11" s="60" t="s">
        <v>23</v>
      </c>
      <c r="J11" s="60" t="s">
        <v>23</v>
      </c>
      <c r="K11" s="60">
        <f t="shared" si="0"/>
        <v>44695</v>
      </c>
    </row>
    <row r="12" spans="1:11">
      <c r="A12" s="99">
        <v>1982</v>
      </c>
      <c r="B12" s="60" t="s">
        <v>23</v>
      </c>
      <c r="C12" s="60" t="s">
        <v>23</v>
      </c>
      <c r="D12" s="60" t="s">
        <v>23</v>
      </c>
      <c r="E12" s="60">
        <v>4906</v>
      </c>
      <c r="F12" s="60">
        <v>22330</v>
      </c>
      <c r="G12" s="60">
        <v>0</v>
      </c>
      <c r="H12" s="60" t="s">
        <v>23</v>
      </c>
      <c r="I12" s="60" t="s">
        <v>23</v>
      </c>
      <c r="J12" s="60" t="s">
        <v>23</v>
      </c>
      <c r="K12" s="60">
        <f t="shared" si="0"/>
        <v>27236</v>
      </c>
    </row>
    <row r="13" spans="1:11">
      <c r="A13" s="99">
        <v>1983</v>
      </c>
      <c r="B13" s="60" t="s">
        <v>23</v>
      </c>
      <c r="C13" s="60" t="s">
        <v>23</v>
      </c>
      <c r="D13" s="60" t="s">
        <v>23</v>
      </c>
      <c r="E13" s="60">
        <v>2678</v>
      </c>
      <c r="F13" s="60">
        <v>12878</v>
      </c>
      <c r="G13" s="60">
        <v>11536</v>
      </c>
      <c r="H13" s="60">
        <v>3759</v>
      </c>
      <c r="I13" s="60" t="s">
        <v>23</v>
      </c>
      <c r="J13" s="60" t="s">
        <v>23</v>
      </c>
      <c r="K13" s="60">
        <f t="shared" si="0"/>
        <v>30851</v>
      </c>
    </row>
    <row r="14" spans="1:11">
      <c r="A14" s="99">
        <v>1984</v>
      </c>
      <c r="B14" s="60" t="s">
        <v>23</v>
      </c>
      <c r="C14" s="60" t="s">
        <v>23</v>
      </c>
      <c r="D14" s="60" t="s">
        <v>23</v>
      </c>
      <c r="E14" s="60" t="s">
        <v>23</v>
      </c>
      <c r="F14" s="60">
        <v>2018</v>
      </c>
      <c r="G14" s="60">
        <v>6285</v>
      </c>
      <c r="H14" s="60" t="s">
        <v>23</v>
      </c>
      <c r="I14" s="60" t="s">
        <v>23</v>
      </c>
      <c r="J14" s="60" t="s">
        <v>23</v>
      </c>
      <c r="K14" s="60">
        <f t="shared" si="0"/>
        <v>8303</v>
      </c>
    </row>
    <row r="15" spans="1:11">
      <c r="A15" s="99">
        <v>1985</v>
      </c>
      <c r="B15" s="60" t="s">
        <v>23</v>
      </c>
      <c r="C15" s="60" t="s">
        <v>23</v>
      </c>
      <c r="D15" s="60" t="s">
        <v>23</v>
      </c>
      <c r="E15" s="60">
        <v>605</v>
      </c>
      <c r="F15" s="60">
        <v>7838</v>
      </c>
      <c r="G15" s="60">
        <v>11578</v>
      </c>
      <c r="H15" s="60" t="s">
        <v>23</v>
      </c>
      <c r="I15" s="60" t="s">
        <v>23</v>
      </c>
      <c r="J15" s="60" t="s">
        <v>23</v>
      </c>
      <c r="K15" s="60">
        <f t="shared" si="0"/>
        <v>20021</v>
      </c>
    </row>
    <row r="16" spans="1:11">
      <c r="A16" s="95">
        <v>1986</v>
      </c>
      <c r="B16" s="60" t="s">
        <v>23</v>
      </c>
      <c r="C16" s="60" t="s">
        <v>23</v>
      </c>
      <c r="D16" s="60" t="s">
        <v>23</v>
      </c>
      <c r="E16" s="60">
        <v>707</v>
      </c>
      <c r="F16" s="60">
        <v>12115</v>
      </c>
      <c r="G16" s="60">
        <v>7721</v>
      </c>
      <c r="H16" s="60" t="s">
        <v>23</v>
      </c>
      <c r="I16" s="60" t="s">
        <v>23</v>
      </c>
      <c r="J16" s="60" t="s">
        <v>23</v>
      </c>
      <c r="K16" s="60">
        <f t="shared" si="0"/>
        <v>20543</v>
      </c>
    </row>
    <row r="17" spans="1:11">
      <c r="A17" s="95">
        <v>1987</v>
      </c>
      <c r="B17" s="60" t="s">
        <v>23</v>
      </c>
      <c r="C17" s="60" t="s">
        <v>23</v>
      </c>
      <c r="D17" s="60" t="s">
        <v>23</v>
      </c>
      <c r="E17" s="60">
        <v>578</v>
      </c>
      <c r="F17" s="60">
        <v>8508</v>
      </c>
      <c r="G17" s="60">
        <v>8044</v>
      </c>
      <c r="H17" s="60" t="s">
        <v>23</v>
      </c>
      <c r="I17" s="60" t="s">
        <v>23</v>
      </c>
      <c r="J17" s="60" t="s">
        <v>23</v>
      </c>
      <c r="K17" s="60">
        <f t="shared" si="0"/>
        <v>17130</v>
      </c>
    </row>
    <row r="18" spans="1:11">
      <c r="A18" s="95">
        <v>1988</v>
      </c>
      <c r="B18" s="60" t="s">
        <v>23</v>
      </c>
      <c r="C18" s="60" t="s">
        <v>23</v>
      </c>
      <c r="D18" s="60" t="s">
        <v>23</v>
      </c>
      <c r="E18" s="60" t="s">
        <v>23</v>
      </c>
      <c r="F18" s="60">
        <v>5668</v>
      </c>
      <c r="G18" s="60" t="s">
        <v>23</v>
      </c>
      <c r="H18" s="60" t="s">
        <v>23</v>
      </c>
      <c r="I18" s="60" t="s">
        <v>23</v>
      </c>
      <c r="J18" s="60" t="s">
        <v>23</v>
      </c>
      <c r="K18" s="60">
        <f t="shared" si="0"/>
        <v>5668</v>
      </c>
    </row>
    <row r="19" spans="1:11">
      <c r="A19" s="95">
        <v>1989</v>
      </c>
      <c r="B19" s="60" t="s">
        <v>23</v>
      </c>
      <c r="C19" s="60" t="s">
        <v>23</v>
      </c>
      <c r="D19" s="60">
        <v>146</v>
      </c>
      <c r="E19" s="60">
        <v>1223</v>
      </c>
      <c r="F19" s="60">
        <v>9225</v>
      </c>
      <c r="G19" s="60">
        <v>9243</v>
      </c>
      <c r="H19" s="60" t="s">
        <v>23</v>
      </c>
      <c r="I19" s="60" t="s">
        <v>23</v>
      </c>
      <c r="J19" s="60" t="s">
        <v>23</v>
      </c>
      <c r="K19" s="60">
        <f t="shared" si="0"/>
        <v>19837</v>
      </c>
    </row>
    <row r="20" spans="1:11">
      <c r="A20" s="95">
        <v>1990</v>
      </c>
      <c r="B20" s="60" t="s">
        <v>23</v>
      </c>
      <c r="C20" s="60" t="s">
        <v>23</v>
      </c>
      <c r="D20" s="60" t="s">
        <v>23</v>
      </c>
      <c r="E20" s="60">
        <v>1933</v>
      </c>
      <c r="F20" s="60">
        <v>8936</v>
      </c>
      <c r="G20" s="60">
        <v>13229</v>
      </c>
      <c r="H20" s="60">
        <v>1423</v>
      </c>
      <c r="I20" s="60" t="s">
        <v>23</v>
      </c>
      <c r="J20" s="60" t="s">
        <v>23</v>
      </c>
      <c r="K20" s="60">
        <f t="shared" si="0"/>
        <v>25521</v>
      </c>
    </row>
    <row r="21" spans="1:11">
      <c r="A21" s="95">
        <v>1991</v>
      </c>
      <c r="B21" s="60" t="s">
        <v>23</v>
      </c>
      <c r="C21" s="60" t="s">
        <v>23</v>
      </c>
      <c r="D21" s="60" t="s">
        <v>23</v>
      </c>
      <c r="E21" s="60">
        <v>1496</v>
      </c>
      <c r="F21" s="60">
        <v>8959</v>
      </c>
      <c r="G21" s="60">
        <v>9422</v>
      </c>
      <c r="H21" s="60">
        <v>1777</v>
      </c>
      <c r="I21" s="60" t="s">
        <v>23</v>
      </c>
      <c r="J21" s="60" t="s">
        <v>23</v>
      </c>
      <c r="K21" s="60">
        <f t="shared" si="0"/>
        <v>21654</v>
      </c>
    </row>
    <row r="22" spans="1:11">
      <c r="A22" s="95">
        <v>1992</v>
      </c>
      <c r="B22" s="60" t="s">
        <v>23</v>
      </c>
      <c r="C22" s="60" t="s">
        <v>23</v>
      </c>
      <c r="D22" s="60" t="s">
        <v>23</v>
      </c>
      <c r="E22" s="60" t="s">
        <v>23</v>
      </c>
      <c r="F22" s="60">
        <v>9812</v>
      </c>
      <c r="G22" s="60">
        <v>1842</v>
      </c>
      <c r="H22" s="60">
        <v>1271</v>
      </c>
      <c r="I22" s="60" t="s">
        <v>23</v>
      </c>
      <c r="J22" s="60" t="s">
        <v>23</v>
      </c>
      <c r="K22" s="60">
        <f t="shared" si="0"/>
        <v>12925</v>
      </c>
    </row>
    <row r="23" spans="1:11">
      <c r="A23" s="95">
        <v>1993</v>
      </c>
      <c r="B23" s="60" t="s">
        <v>23</v>
      </c>
      <c r="C23" s="60" t="s">
        <v>23</v>
      </c>
      <c r="D23" s="60" t="s">
        <v>23</v>
      </c>
      <c r="E23" s="60" t="s">
        <v>23</v>
      </c>
      <c r="F23" s="60">
        <v>5676</v>
      </c>
      <c r="G23" s="60">
        <v>7861</v>
      </c>
      <c r="H23" s="60">
        <v>4279</v>
      </c>
      <c r="I23" s="60" t="s">
        <v>23</v>
      </c>
      <c r="J23" s="60" t="s">
        <v>23</v>
      </c>
      <c r="K23" s="60">
        <f t="shared" si="0"/>
        <v>17816</v>
      </c>
    </row>
    <row r="24" spans="1:11">
      <c r="A24" s="95">
        <v>1994</v>
      </c>
      <c r="B24" s="60" t="s">
        <v>23</v>
      </c>
      <c r="C24" s="60" t="s">
        <v>23</v>
      </c>
      <c r="D24" s="60" t="s">
        <v>23</v>
      </c>
      <c r="E24" s="60" t="s">
        <v>23</v>
      </c>
      <c r="F24" s="60" t="s">
        <v>23</v>
      </c>
      <c r="G24" s="60" t="s">
        <v>23</v>
      </c>
      <c r="H24" s="60" t="s">
        <v>23</v>
      </c>
      <c r="I24" s="60" t="s">
        <v>23</v>
      </c>
      <c r="J24" s="60" t="s">
        <v>23</v>
      </c>
      <c r="K24" s="60" t="s">
        <v>23</v>
      </c>
    </row>
    <row r="25" spans="1:11">
      <c r="A25" s="95">
        <v>1995</v>
      </c>
      <c r="B25" s="60" t="s">
        <v>23</v>
      </c>
      <c r="C25" s="60" t="s">
        <v>23</v>
      </c>
      <c r="D25" s="60" t="s">
        <v>23</v>
      </c>
      <c r="E25" s="60" t="s">
        <v>23</v>
      </c>
      <c r="F25" s="60">
        <v>2275</v>
      </c>
      <c r="G25" s="60">
        <v>7656</v>
      </c>
      <c r="H25" s="60">
        <v>1007</v>
      </c>
      <c r="I25" s="60" t="s">
        <v>23</v>
      </c>
      <c r="J25" s="60" t="s">
        <v>23</v>
      </c>
      <c r="K25" s="60">
        <f t="shared" si="0"/>
        <v>10938</v>
      </c>
    </row>
    <row r="26" spans="1:11">
      <c r="A26" s="95">
        <v>1996</v>
      </c>
      <c r="B26" s="60" t="s">
        <v>23</v>
      </c>
      <c r="C26" s="60" t="s">
        <v>23</v>
      </c>
      <c r="D26" s="60" t="s">
        <v>23</v>
      </c>
      <c r="E26" s="60" t="s">
        <v>23</v>
      </c>
      <c r="F26" s="60">
        <v>963</v>
      </c>
      <c r="G26" s="60">
        <v>3782</v>
      </c>
      <c r="H26" s="60">
        <v>889</v>
      </c>
      <c r="I26" s="60" t="s">
        <v>23</v>
      </c>
      <c r="J26" s="60" t="s">
        <v>23</v>
      </c>
      <c r="K26" s="60">
        <f t="shared" si="0"/>
        <v>5634</v>
      </c>
    </row>
    <row r="27" spans="1:11">
      <c r="A27" s="95">
        <v>1997</v>
      </c>
      <c r="B27" s="60" t="s">
        <v>23</v>
      </c>
      <c r="C27" s="60" t="s">
        <v>23</v>
      </c>
      <c r="D27" s="60" t="s">
        <v>23</v>
      </c>
      <c r="E27" s="60" t="s">
        <v>23</v>
      </c>
      <c r="F27" s="60">
        <v>2772</v>
      </c>
      <c r="G27" s="60">
        <v>830</v>
      </c>
      <c r="H27" s="60" t="s">
        <v>23</v>
      </c>
      <c r="I27" s="60" t="s">
        <v>23</v>
      </c>
      <c r="J27" s="60" t="s">
        <v>23</v>
      </c>
      <c r="K27" s="60">
        <f t="shared" si="0"/>
        <v>3602</v>
      </c>
    </row>
    <row r="28" spans="1:11">
      <c r="A28" s="95">
        <v>1998</v>
      </c>
      <c r="B28" s="60" t="s">
        <v>23</v>
      </c>
      <c r="C28" s="60" t="s">
        <v>23</v>
      </c>
      <c r="D28" s="60" t="s">
        <v>23</v>
      </c>
      <c r="E28" s="60" t="s">
        <v>23</v>
      </c>
      <c r="F28" s="60" t="s">
        <v>23</v>
      </c>
      <c r="G28" s="60">
        <v>1830</v>
      </c>
      <c r="H28" s="60">
        <v>284</v>
      </c>
      <c r="I28" s="60" t="s">
        <v>23</v>
      </c>
      <c r="J28" s="60" t="s">
        <v>23</v>
      </c>
      <c r="K28" s="60">
        <f t="shared" si="0"/>
        <v>2114</v>
      </c>
    </row>
    <row r="29" spans="1:11">
      <c r="A29" s="95">
        <v>1999</v>
      </c>
      <c r="B29" s="60" t="s">
        <v>23</v>
      </c>
      <c r="C29" s="60" t="s">
        <v>23</v>
      </c>
      <c r="D29" s="60" t="s">
        <v>23</v>
      </c>
      <c r="E29" s="60" t="s">
        <v>23</v>
      </c>
      <c r="F29" s="60">
        <v>2098</v>
      </c>
      <c r="G29" s="60">
        <v>3653</v>
      </c>
      <c r="H29" s="60">
        <v>1666</v>
      </c>
      <c r="I29" s="60" t="s">
        <v>23</v>
      </c>
      <c r="J29" s="60" t="s">
        <v>23</v>
      </c>
      <c r="K29" s="60">
        <f t="shared" si="0"/>
        <v>7417</v>
      </c>
    </row>
    <row r="30" spans="1:11">
      <c r="A30" s="95">
        <v>2000</v>
      </c>
      <c r="B30" s="60" t="s">
        <v>23</v>
      </c>
      <c r="C30" s="60" t="s">
        <v>23</v>
      </c>
      <c r="D30" s="60" t="s">
        <v>23</v>
      </c>
      <c r="E30" s="60" t="s">
        <v>23</v>
      </c>
      <c r="F30" s="60">
        <v>3994</v>
      </c>
      <c r="G30" s="60">
        <v>4449</v>
      </c>
      <c r="H30" s="60" t="s">
        <v>23</v>
      </c>
      <c r="I30" s="60" t="s">
        <v>23</v>
      </c>
      <c r="J30" s="60" t="s">
        <v>23</v>
      </c>
      <c r="K30" s="60">
        <f t="shared" si="0"/>
        <v>8443</v>
      </c>
    </row>
    <row r="31" spans="1:11">
      <c r="A31" s="95">
        <v>2001</v>
      </c>
      <c r="B31" s="60" t="s">
        <v>23</v>
      </c>
      <c r="C31" s="60" t="s">
        <v>23</v>
      </c>
      <c r="D31" s="60" t="s">
        <v>23</v>
      </c>
      <c r="E31" s="60" t="s">
        <v>23</v>
      </c>
      <c r="F31" s="60">
        <v>7990</v>
      </c>
      <c r="G31" s="60">
        <v>12960</v>
      </c>
      <c r="H31" s="60">
        <v>2291</v>
      </c>
      <c r="I31" s="60" t="s">
        <v>23</v>
      </c>
      <c r="J31" s="60" t="s">
        <v>23</v>
      </c>
      <c r="K31" s="60">
        <f t="shared" si="0"/>
        <v>23241</v>
      </c>
    </row>
    <row r="32" spans="1:11">
      <c r="A32" s="95">
        <v>2002</v>
      </c>
      <c r="B32" s="60" t="s">
        <v>23</v>
      </c>
      <c r="C32" s="60" t="s">
        <v>23</v>
      </c>
      <c r="D32" s="60">
        <v>155</v>
      </c>
      <c r="E32" s="60">
        <v>372</v>
      </c>
      <c r="F32" s="60">
        <v>3989</v>
      </c>
      <c r="G32" s="60">
        <v>6373</v>
      </c>
      <c r="H32" s="60">
        <v>1156</v>
      </c>
      <c r="I32" s="60">
        <v>6</v>
      </c>
      <c r="J32" s="60" t="s">
        <v>23</v>
      </c>
      <c r="K32" s="60">
        <f t="shared" si="0"/>
        <v>12051</v>
      </c>
    </row>
    <row r="33" spans="1:13">
      <c r="A33" s="95">
        <v>2003</v>
      </c>
      <c r="B33" s="60" t="s">
        <v>23</v>
      </c>
      <c r="C33" s="60" t="s">
        <v>23</v>
      </c>
      <c r="D33" s="60" t="s">
        <v>23</v>
      </c>
      <c r="E33" s="60">
        <v>151</v>
      </c>
      <c r="F33" s="60">
        <v>5275</v>
      </c>
      <c r="G33" s="60">
        <v>12550</v>
      </c>
      <c r="H33" s="60">
        <v>1250</v>
      </c>
      <c r="I33" s="60" t="s">
        <v>23</v>
      </c>
      <c r="J33" s="60" t="s">
        <v>23</v>
      </c>
      <c r="K33" s="60">
        <f t="shared" si="0"/>
        <v>19226</v>
      </c>
    </row>
    <row r="34" spans="1:13">
      <c r="A34" s="95">
        <v>2004</v>
      </c>
      <c r="B34" s="60" t="s">
        <v>23</v>
      </c>
      <c r="C34" s="60" t="s">
        <v>23</v>
      </c>
      <c r="D34" s="60" t="s">
        <v>23</v>
      </c>
      <c r="E34" s="60">
        <v>256</v>
      </c>
      <c r="F34" s="60">
        <v>4439</v>
      </c>
      <c r="G34" s="60">
        <v>11290</v>
      </c>
      <c r="H34" s="60">
        <v>2608</v>
      </c>
      <c r="I34" s="60" t="s">
        <v>23</v>
      </c>
      <c r="J34" s="60" t="s">
        <v>23</v>
      </c>
      <c r="K34" s="60">
        <f t="shared" si="0"/>
        <v>18593</v>
      </c>
    </row>
    <row r="35" spans="1:13">
      <c r="A35" s="95">
        <v>2005</v>
      </c>
      <c r="B35" s="60" t="s">
        <v>23</v>
      </c>
      <c r="C35" s="60" t="s">
        <v>23</v>
      </c>
      <c r="D35" s="60" t="s">
        <v>23</v>
      </c>
      <c r="E35" s="60" t="s">
        <v>23</v>
      </c>
      <c r="F35" s="60">
        <v>2246</v>
      </c>
      <c r="G35" s="60">
        <v>8116</v>
      </c>
      <c r="H35" s="60">
        <v>2900</v>
      </c>
      <c r="I35" s="60" t="s">
        <v>23</v>
      </c>
      <c r="J35" s="60" t="s">
        <v>23</v>
      </c>
      <c r="K35" s="60">
        <f t="shared" si="0"/>
        <v>13262</v>
      </c>
    </row>
    <row r="36" spans="1:13">
      <c r="A36" s="95">
        <v>2006</v>
      </c>
      <c r="B36" s="60" t="s">
        <v>23</v>
      </c>
      <c r="C36" s="60" t="s">
        <v>23</v>
      </c>
      <c r="D36" s="60" t="s">
        <v>23</v>
      </c>
      <c r="E36" s="60" t="s">
        <v>23</v>
      </c>
      <c r="F36" s="60">
        <v>1711</v>
      </c>
      <c r="G36" s="60">
        <v>5769</v>
      </c>
      <c r="H36" s="60">
        <v>762</v>
      </c>
      <c r="I36" s="60" t="s">
        <v>23</v>
      </c>
      <c r="J36" s="60" t="s">
        <v>23</v>
      </c>
      <c r="K36" s="60">
        <f t="shared" si="0"/>
        <v>8242</v>
      </c>
    </row>
    <row r="37" spans="1:13">
      <c r="A37" s="95">
        <v>2007</v>
      </c>
      <c r="B37" s="60" t="s">
        <v>23</v>
      </c>
      <c r="C37" s="60" t="s">
        <v>23</v>
      </c>
      <c r="D37" s="60" t="s">
        <v>23</v>
      </c>
      <c r="E37" s="60" t="s">
        <v>23</v>
      </c>
      <c r="F37" s="60">
        <v>2548</v>
      </c>
      <c r="G37" s="60">
        <v>8849</v>
      </c>
      <c r="H37" s="60">
        <v>989</v>
      </c>
      <c r="I37" s="60" t="s">
        <v>23</v>
      </c>
      <c r="J37" s="60" t="s">
        <v>23</v>
      </c>
      <c r="K37" s="60">
        <f t="shared" si="0"/>
        <v>12386</v>
      </c>
    </row>
    <row r="38" spans="1:13">
      <c r="A38" s="95">
        <v>2008</v>
      </c>
      <c r="B38" s="60" t="s">
        <v>23</v>
      </c>
      <c r="C38" s="60" t="s">
        <v>23</v>
      </c>
      <c r="D38" s="60">
        <v>66</v>
      </c>
      <c r="E38" s="60">
        <v>498</v>
      </c>
      <c r="F38" s="60">
        <v>1875</v>
      </c>
      <c r="G38" s="60">
        <v>1215</v>
      </c>
      <c r="H38" s="60" t="s">
        <v>23</v>
      </c>
      <c r="I38" s="60" t="s">
        <v>23</v>
      </c>
      <c r="J38" s="60" t="s">
        <v>23</v>
      </c>
      <c r="K38" s="60">
        <f t="shared" si="0"/>
        <v>3654</v>
      </c>
    </row>
    <row r="39" spans="1:13">
      <c r="A39" s="95">
        <v>2009</v>
      </c>
      <c r="B39" s="60" t="s">
        <v>23</v>
      </c>
      <c r="C39" s="60" t="s">
        <v>23</v>
      </c>
      <c r="D39" s="60" t="s">
        <v>23</v>
      </c>
      <c r="E39" s="60">
        <v>85</v>
      </c>
      <c r="F39" s="60">
        <v>5698</v>
      </c>
      <c r="G39" s="60">
        <v>6097</v>
      </c>
      <c r="H39" s="60">
        <v>370</v>
      </c>
      <c r="I39" s="60" t="s">
        <v>23</v>
      </c>
      <c r="J39" s="60" t="s">
        <v>23</v>
      </c>
      <c r="K39" s="60">
        <f t="shared" si="0"/>
        <v>12250</v>
      </c>
    </row>
    <row r="40" spans="1:13">
      <c r="A40" s="95">
        <v>2010</v>
      </c>
      <c r="B40" s="60" t="s">
        <v>23</v>
      </c>
      <c r="C40" s="60" t="s">
        <v>23</v>
      </c>
      <c r="D40" s="60" t="s">
        <v>23</v>
      </c>
      <c r="E40" s="60">
        <v>306</v>
      </c>
      <c r="F40" s="60">
        <v>2211</v>
      </c>
      <c r="G40" s="60">
        <v>6996</v>
      </c>
      <c r="H40" s="60">
        <v>741</v>
      </c>
      <c r="I40" s="60" t="s">
        <v>23</v>
      </c>
      <c r="J40" s="60" t="s">
        <v>23</v>
      </c>
      <c r="K40" s="60">
        <f t="shared" si="0"/>
        <v>10254</v>
      </c>
    </row>
    <row r="41" spans="1:13">
      <c r="A41" s="95">
        <v>2011</v>
      </c>
      <c r="B41" s="60" t="s">
        <v>23</v>
      </c>
      <c r="C41" s="60" t="s">
        <v>23</v>
      </c>
      <c r="D41" s="60" t="s">
        <v>23</v>
      </c>
      <c r="E41" s="60">
        <v>459</v>
      </c>
      <c r="F41" s="60">
        <v>1402</v>
      </c>
      <c r="G41" s="60">
        <v>4645</v>
      </c>
      <c r="H41" s="60">
        <v>877</v>
      </c>
      <c r="I41" s="60" t="s">
        <v>23</v>
      </c>
      <c r="J41" s="60" t="s">
        <v>23</v>
      </c>
      <c r="K41" s="60">
        <f t="shared" si="0"/>
        <v>7383</v>
      </c>
    </row>
    <row r="42" spans="1:13">
      <c r="A42" s="95">
        <v>2012</v>
      </c>
      <c r="B42" s="60" t="s">
        <v>23</v>
      </c>
      <c r="C42" s="60" t="s">
        <v>23</v>
      </c>
      <c r="D42" s="60" t="s">
        <v>23</v>
      </c>
      <c r="E42" s="60">
        <v>681</v>
      </c>
      <c r="F42" s="60">
        <v>1792</v>
      </c>
      <c r="G42" s="60">
        <v>1954</v>
      </c>
      <c r="H42" s="60">
        <v>411</v>
      </c>
      <c r="I42" s="60" t="s">
        <v>23</v>
      </c>
      <c r="J42" s="60" t="s">
        <v>23</v>
      </c>
      <c r="K42" s="60">
        <f t="shared" si="0"/>
        <v>4838</v>
      </c>
    </row>
    <row r="43" spans="1:13">
      <c r="A43" s="95">
        <v>2013</v>
      </c>
      <c r="B43" s="60" t="s">
        <v>23</v>
      </c>
      <c r="C43" s="60" t="s">
        <v>23</v>
      </c>
      <c r="D43" s="60" t="s">
        <v>23</v>
      </c>
      <c r="E43" s="60">
        <v>1593</v>
      </c>
      <c r="F43" s="60">
        <v>1329</v>
      </c>
      <c r="G43" s="60">
        <v>2912</v>
      </c>
      <c r="H43" s="60">
        <v>302</v>
      </c>
      <c r="I43" s="60" t="s">
        <v>23</v>
      </c>
      <c r="J43" s="60" t="s">
        <v>23</v>
      </c>
      <c r="K43" s="60">
        <f t="shared" si="0"/>
        <v>6136</v>
      </c>
    </row>
    <row r="44" spans="1:13">
      <c r="A44" s="95">
        <v>2014</v>
      </c>
      <c r="B44" s="60" t="s">
        <v>23</v>
      </c>
      <c r="C44" s="60" t="s">
        <v>23</v>
      </c>
      <c r="D44" s="60">
        <v>42</v>
      </c>
      <c r="E44" s="60">
        <v>708</v>
      </c>
      <c r="F44" s="60">
        <v>3579</v>
      </c>
      <c r="G44" s="60">
        <v>6279</v>
      </c>
      <c r="H44" s="60">
        <v>1647</v>
      </c>
      <c r="I44" s="60" t="s">
        <v>23</v>
      </c>
      <c r="J44" s="60" t="s">
        <v>23</v>
      </c>
      <c r="K44" s="60">
        <f t="shared" si="0"/>
        <v>12255</v>
      </c>
      <c r="M44" s="144"/>
    </row>
    <row r="45" spans="1:13">
      <c r="A45" s="95">
        <v>2015</v>
      </c>
      <c r="B45" s="60" t="s">
        <v>23</v>
      </c>
      <c r="C45" s="60" t="s">
        <v>23</v>
      </c>
      <c r="D45" s="60">
        <v>62</v>
      </c>
      <c r="E45" s="60">
        <v>699</v>
      </c>
      <c r="F45" s="60">
        <v>2723</v>
      </c>
      <c r="G45" s="60">
        <v>3092</v>
      </c>
      <c r="H45" s="60">
        <v>2053</v>
      </c>
      <c r="I45" s="60" t="s">
        <v>23</v>
      </c>
      <c r="J45" s="60" t="s">
        <v>23</v>
      </c>
      <c r="K45" s="60">
        <f t="shared" si="0"/>
        <v>8629</v>
      </c>
      <c r="M45" s="144"/>
    </row>
    <row r="46" spans="1:13">
      <c r="A46" s="95">
        <v>2016</v>
      </c>
      <c r="B46" s="60" t="s">
        <v>23</v>
      </c>
      <c r="C46" s="60" t="s">
        <v>23</v>
      </c>
      <c r="D46" s="60" t="s">
        <v>23</v>
      </c>
      <c r="E46" s="60" t="s">
        <v>23</v>
      </c>
      <c r="F46" s="60">
        <v>1920</v>
      </c>
      <c r="G46" s="60">
        <v>2412</v>
      </c>
      <c r="H46" s="60" t="s">
        <v>23</v>
      </c>
      <c r="I46" s="60" t="s">
        <v>23</v>
      </c>
      <c r="J46" s="60" t="s">
        <v>23</v>
      </c>
      <c r="K46" s="60">
        <f t="shared" si="0"/>
        <v>4332</v>
      </c>
      <c r="M46" s="144"/>
    </row>
    <row r="47" spans="1:13">
      <c r="A47" s="95">
        <v>2017</v>
      </c>
      <c r="B47" s="60" t="s">
        <v>23</v>
      </c>
      <c r="C47" s="60" t="s">
        <v>23</v>
      </c>
      <c r="D47" s="60" t="s">
        <v>23</v>
      </c>
      <c r="E47" s="60">
        <v>587</v>
      </c>
      <c r="F47" s="60">
        <v>2697</v>
      </c>
      <c r="G47" s="60">
        <v>5284</v>
      </c>
      <c r="H47" s="60" t="s">
        <v>23</v>
      </c>
      <c r="I47" s="60" t="s">
        <v>23</v>
      </c>
      <c r="J47" s="60" t="s">
        <v>23</v>
      </c>
      <c r="K47" s="60">
        <f t="shared" si="0"/>
        <v>8568</v>
      </c>
      <c r="M47" s="144"/>
    </row>
    <row r="48" spans="1:13">
      <c r="A48" s="95">
        <v>2018</v>
      </c>
      <c r="B48" s="60" t="s">
        <v>23</v>
      </c>
      <c r="C48" s="60" t="s">
        <v>23</v>
      </c>
      <c r="D48" s="60" t="s">
        <v>23</v>
      </c>
      <c r="E48" s="60">
        <v>380</v>
      </c>
      <c r="F48" s="60">
        <v>1839</v>
      </c>
      <c r="G48" s="60">
        <v>5332</v>
      </c>
      <c r="H48" s="60">
        <v>148</v>
      </c>
      <c r="I48" s="60" t="s">
        <v>23</v>
      </c>
      <c r="J48" s="60" t="s">
        <v>23</v>
      </c>
      <c r="K48" s="60">
        <f>SUM(B48:J48)</f>
        <v>7699</v>
      </c>
      <c r="M48" s="144"/>
    </row>
    <row r="49" spans="1:13">
      <c r="A49" s="95">
        <v>2019</v>
      </c>
      <c r="B49" s="60" t="s">
        <v>23</v>
      </c>
      <c r="C49" s="60" t="s">
        <v>23</v>
      </c>
      <c r="D49" s="60" t="s">
        <v>23</v>
      </c>
      <c r="E49" s="60">
        <v>1334</v>
      </c>
      <c r="F49" s="60">
        <v>5066</v>
      </c>
      <c r="G49" s="60">
        <v>7930</v>
      </c>
      <c r="H49" s="60">
        <v>365</v>
      </c>
      <c r="I49" s="60" t="s">
        <v>23</v>
      </c>
      <c r="J49" s="60" t="s">
        <v>23</v>
      </c>
      <c r="K49" s="60">
        <f t="shared" ref="K49:K50" si="1">SUM(B49:J49)</f>
        <v>14695</v>
      </c>
      <c r="M49" s="144"/>
    </row>
    <row r="50" spans="1:13">
      <c r="A50" s="95">
        <v>2020</v>
      </c>
      <c r="B50" s="60" t="s">
        <v>23</v>
      </c>
      <c r="C50" s="60" t="s">
        <v>23</v>
      </c>
      <c r="D50" s="60" t="s">
        <v>23</v>
      </c>
      <c r="E50" s="60">
        <v>86</v>
      </c>
      <c r="F50" s="60">
        <v>3367</v>
      </c>
      <c r="G50" s="60" t="s">
        <v>23</v>
      </c>
      <c r="H50" s="60" t="s">
        <v>23</v>
      </c>
      <c r="I50" s="60" t="s">
        <v>23</v>
      </c>
      <c r="J50" s="60" t="s">
        <v>23</v>
      </c>
      <c r="K50" s="60">
        <f t="shared" si="1"/>
        <v>3453</v>
      </c>
      <c r="M50" s="144"/>
    </row>
    <row r="51" spans="1:13" ht="13">
      <c r="A51" s="95" t="s">
        <v>317</v>
      </c>
      <c r="B51" s="60" t="s">
        <v>23</v>
      </c>
      <c r="C51" s="60" t="s">
        <v>23</v>
      </c>
      <c r="D51" s="60" t="s">
        <v>23</v>
      </c>
      <c r="E51" s="60">
        <v>336</v>
      </c>
      <c r="F51" s="60">
        <v>4676</v>
      </c>
      <c r="G51" s="60">
        <v>7873</v>
      </c>
      <c r="H51" s="60" t="s">
        <v>23</v>
      </c>
      <c r="I51" s="60" t="s">
        <v>23</v>
      </c>
      <c r="J51" s="60" t="s">
        <v>23</v>
      </c>
      <c r="K51" s="60">
        <f t="shared" si="0"/>
        <v>12885</v>
      </c>
      <c r="M51" s="144"/>
    </row>
    <row r="53" spans="1:13">
      <c r="A53" s="88" t="s">
        <v>47</v>
      </c>
    </row>
    <row r="54" spans="1:13">
      <c r="A54" s="99">
        <v>1976</v>
      </c>
      <c r="B54" s="60" t="s">
        <v>23</v>
      </c>
      <c r="C54" s="60">
        <v>0</v>
      </c>
      <c r="D54" s="60">
        <v>922</v>
      </c>
      <c r="E54" s="60">
        <v>4962</v>
      </c>
      <c r="F54" s="60">
        <v>14642</v>
      </c>
      <c r="G54" s="60">
        <v>26531</v>
      </c>
      <c r="H54" s="60">
        <v>8557</v>
      </c>
      <c r="I54" s="60">
        <v>659</v>
      </c>
      <c r="J54" s="60">
        <v>61</v>
      </c>
      <c r="K54" s="60">
        <f t="shared" ref="K54:K99" si="2">SUM(B54:J54)</f>
        <v>56334</v>
      </c>
    </row>
    <row r="55" spans="1:13">
      <c r="A55" s="99">
        <v>1977</v>
      </c>
      <c r="B55" s="60" t="s">
        <v>23</v>
      </c>
      <c r="C55" s="60">
        <v>0</v>
      </c>
      <c r="D55" s="60">
        <v>1638</v>
      </c>
      <c r="E55" s="60">
        <v>6055</v>
      </c>
      <c r="F55" s="60">
        <v>19520</v>
      </c>
      <c r="G55" s="60">
        <v>21593</v>
      </c>
      <c r="H55" s="60">
        <v>3407</v>
      </c>
      <c r="I55" s="60">
        <v>42</v>
      </c>
      <c r="J55" s="60" t="s">
        <v>23</v>
      </c>
      <c r="K55" s="60">
        <f t="shared" si="2"/>
        <v>52255</v>
      </c>
    </row>
    <row r="56" spans="1:13">
      <c r="A56" s="99">
        <v>1978</v>
      </c>
      <c r="B56" s="60" t="s">
        <v>23</v>
      </c>
      <c r="C56" s="60">
        <v>0</v>
      </c>
      <c r="D56" s="60">
        <v>1337</v>
      </c>
      <c r="E56" s="60">
        <v>4609</v>
      </c>
      <c r="F56" s="60">
        <v>10525</v>
      </c>
      <c r="G56" s="60">
        <v>11936</v>
      </c>
      <c r="H56" s="60">
        <v>2855</v>
      </c>
      <c r="I56" s="60">
        <v>478</v>
      </c>
      <c r="J56" s="60" t="s">
        <v>23</v>
      </c>
      <c r="K56" s="60">
        <f t="shared" si="2"/>
        <v>31740</v>
      </c>
    </row>
    <row r="57" spans="1:13">
      <c r="A57" s="99">
        <v>1979</v>
      </c>
      <c r="B57" s="60" t="s">
        <v>23</v>
      </c>
      <c r="C57" s="60" t="s">
        <v>23</v>
      </c>
      <c r="D57" s="60">
        <v>937</v>
      </c>
      <c r="E57" s="60">
        <v>3246</v>
      </c>
      <c r="F57" s="60">
        <v>11822</v>
      </c>
      <c r="G57" s="60">
        <v>14461</v>
      </c>
      <c r="H57" s="60">
        <v>557</v>
      </c>
      <c r="I57" s="60" t="s">
        <v>23</v>
      </c>
      <c r="J57" s="60" t="s">
        <v>23</v>
      </c>
      <c r="K57" s="60">
        <f t="shared" si="2"/>
        <v>31023</v>
      </c>
    </row>
    <row r="58" spans="1:13">
      <c r="A58" s="99">
        <v>1980</v>
      </c>
      <c r="B58" s="60" t="s">
        <v>23</v>
      </c>
      <c r="C58" s="60" t="s">
        <v>23</v>
      </c>
      <c r="D58" s="60">
        <v>381</v>
      </c>
      <c r="E58" s="60">
        <v>8509</v>
      </c>
      <c r="F58" s="60">
        <v>17257</v>
      </c>
      <c r="G58" s="60">
        <v>18105</v>
      </c>
      <c r="H58" s="60">
        <v>3585</v>
      </c>
      <c r="I58" s="60" t="s">
        <v>23</v>
      </c>
      <c r="J58" s="60" t="s">
        <v>23</v>
      </c>
      <c r="K58" s="60">
        <f t="shared" si="2"/>
        <v>47837</v>
      </c>
    </row>
    <row r="59" spans="1:13">
      <c r="A59" s="99">
        <v>1981</v>
      </c>
      <c r="B59" s="60" t="s">
        <v>23</v>
      </c>
      <c r="C59" s="60" t="s">
        <v>23</v>
      </c>
      <c r="D59" s="60">
        <v>1275</v>
      </c>
      <c r="E59" s="60">
        <v>2189</v>
      </c>
      <c r="F59" s="60">
        <v>11501</v>
      </c>
      <c r="G59" s="60">
        <v>16480</v>
      </c>
      <c r="H59" s="60">
        <v>6566</v>
      </c>
      <c r="I59" s="60" t="s">
        <v>23</v>
      </c>
      <c r="J59" s="60" t="s">
        <v>23</v>
      </c>
      <c r="K59" s="60">
        <f t="shared" si="2"/>
        <v>38011</v>
      </c>
    </row>
    <row r="60" spans="1:13">
      <c r="A60" s="99">
        <v>1982</v>
      </c>
      <c r="B60" s="60" t="s">
        <v>23</v>
      </c>
      <c r="C60" s="60" t="s">
        <v>23</v>
      </c>
      <c r="D60" s="60">
        <v>80</v>
      </c>
      <c r="E60" s="60">
        <v>2744</v>
      </c>
      <c r="F60" s="60">
        <v>21780</v>
      </c>
      <c r="G60" s="60" t="s">
        <v>23</v>
      </c>
      <c r="H60" s="60" t="s">
        <v>23</v>
      </c>
      <c r="I60" s="60" t="s">
        <v>23</v>
      </c>
      <c r="J60" s="60" t="s">
        <v>23</v>
      </c>
      <c r="K60" s="60">
        <f t="shared" si="2"/>
        <v>24604</v>
      </c>
    </row>
    <row r="61" spans="1:13">
      <c r="A61" s="99">
        <v>1983</v>
      </c>
      <c r="B61" s="60" t="s">
        <v>23</v>
      </c>
      <c r="C61" s="60" t="s">
        <v>23</v>
      </c>
      <c r="D61" s="60" t="s">
        <v>23</v>
      </c>
      <c r="E61" s="60">
        <v>1188</v>
      </c>
      <c r="F61" s="60">
        <v>12649</v>
      </c>
      <c r="G61" s="60">
        <v>7810</v>
      </c>
      <c r="H61" s="60">
        <v>3660</v>
      </c>
      <c r="I61" s="60" t="s">
        <v>23</v>
      </c>
      <c r="J61" s="60" t="s">
        <v>23</v>
      </c>
      <c r="K61" s="60">
        <f t="shared" si="2"/>
        <v>25307</v>
      </c>
    </row>
    <row r="62" spans="1:13">
      <c r="A62" s="99">
        <v>1984</v>
      </c>
      <c r="B62" s="60" t="s">
        <v>23</v>
      </c>
      <c r="C62" s="60" t="s">
        <v>23</v>
      </c>
      <c r="D62" s="60" t="s">
        <v>23</v>
      </c>
      <c r="E62" s="60" t="s">
        <v>23</v>
      </c>
      <c r="F62" s="60">
        <v>11794</v>
      </c>
      <c r="G62" s="60">
        <v>12001</v>
      </c>
      <c r="H62" s="60">
        <v>1215</v>
      </c>
      <c r="I62" s="60" t="s">
        <v>23</v>
      </c>
      <c r="J62" s="60" t="s">
        <v>23</v>
      </c>
      <c r="K62" s="60">
        <f t="shared" si="2"/>
        <v>25010</v>
      </c>
    </row>
    <row r="63" spans="1:13">
      <c r="A63" s="99">
        <v>1985</v>
      </c>
      <c r="B63" s="60" t="s">
        <v>23</v>
      </c>
      <c r="C63" s="60" t="s">
        <v>23</v>
      </c>
      <c r="D63" s="60" t="s">
        <v>23</v>
      </c>
      <c r="E63" s="60" t="s">
        <v>23</v>
      </c>
      <c r="F63" s="60">
        <v>13027</v>
      </c>
      <c r="G63" s="60">
        <v>21716</v>
      </c>
      <c r="H63" s="60">
        <v>2210</v>
      </c>
      <c r="I63" s="60">
        <v>1603</v>
      </c>
      <c r="J63" s="60" t="s">
        <v>23</v>
      </c>
      <c r="K63" s="60">
        <f t="shared" si="2"/>
        <v>38556</v>
      </c>
    </row>
    <row r="64" spans="1:13">
      <c r="A64" s="95">
        <v>1986</v>
      </c>
      <c r="B64" s="60" t="s">
        <v>23</v>
      </c>
      <c r="C64" s="60" t="s">
        <v>23</v>
      </c>
      <c r="D64" s="60" t="s">
        <v>23</v>
      </c>
      <c r="E64" s="60">
        <v>1874</v>
      </c>
      <c r="F64" s="60">
        <v>12965</v>
      </c>
      <c r="G64" s="60">
        <v>3092</v>
      </c>
      <c r="H64" s="128" t="s">
        <v>106</v>
      </c>
      <c r="I64" s="60" t="s">
        <v>106</v>
      </c>
      <c r="J64" s="128" t="s">
        <v>106</v>
      </c>
      <c r="K64" s="60">
        <f t="shared" si="2"/>
        <v>17931</v>
      </c>
    </row>
    <row r="65" spans="1:11">
      <c r="A65" s="95">
        <v>1987</v>
      </c>
      <c r="B65" s="60" t="s">
        <v>23</v>
      </c>
      <c r="C65" s="60" t="s">
        <v>23</v>
      </c>
      <c r="D65" s="60" t="s">
        <v>23</v>
      </c>
      <c r="E65" s="60">
        <v>1834</v>
      </c>
      <c r="F65" s="60">
        <v>12430</v>
      </c>
      <c r="G65" s="60">
        <v>10946</v>
      </c>
      <c r="H65" s="60">
        <v>3841</v>
      </c>
      <c r="I65" s="60" t="s">
        <v>106</v>
      </c>
      <c r="J65" s="60" t="s">
        <v>23</v>
      </c>
      <c r="K65" s="60">
        <f t="shared" si="2"/>
        <v>29051</v>
      </c>
    </row>
    <row r="66" spans="1:11">
      <c r="A66" s="95">
        <v>1988</v>
      </c>
      <c r="B66" s="60" t="s">
        <v>23</v>
      </c>
      <c r="C66" s="60" t="s">
        <v>23</v>
      </c>
      <c r="D66" s="60">
        <v>278</v>
      </c>
      <c r="E66" s="60">
        <v>2107</v>
      </c>
      <c r="F66" s="60">
        <v>9605</v>
      </c>
      <c r="G66" s="60">
        <v>13839</v>
      </c>
      <c r="H66" s="60">
        <v>7429</v>
      </c>
      <c r="I66" s="60" t="s">
        <v>106</v>
      </c>
      <c r="J66" s="60" t="s">
        <v>23</v>
      </c>
      <c r="K66" s="60">
        <f t="shared" si="2"/>
        <v>33258</v>
      </c>
    </row>
    <row r="67" spans="1:11">
      <c r="A67" s="95">
        <v>1989</v>
      </c>
      <c r="B67" s="60" t="s">
        <v>23</v>
      </c>
      <c r="C67" s="60" t="s">
        <v>23</v>
      </c>
      <c r="D67" s="60">
        <v>295</v>
      </c>
      <c r="E67" s="60">
        <v>3026</v>
      </c>
      <c r="F67" s="60">
        <v>15406</v>
      </c>
      <c r="G67" s="60">
        <v>12253</v>
      </c>
      <c r="H67" s="60">
        <v>317</v>
      </c>
      <c r="I67" s="60" t="s">
        <v>106</v>
      </c>
      <c r="J67" s="60" t="s">
        <v>23</v>
      </c>
      <c r="K67" s="60">
        <f t="shared" si="2"/>
        <v>31297</v>
      </c>
    </row>
    <row r="68" spans="1:11">
      <c r="A68" s="95">
        <v>1990</v>
      </c>
      <c r="B68" s="60" t="s">
        <v>23</v>
      </c>
      <c r="C68" s="60" t="s">
        <v>23</v>
      </c>
      <c r="D68" s="60">
        <v>94</v>
      </c>
      <c r="E68" s="60">
        <v>1186</v>
      </c>
      <c r="F68" s="60">
        <v>9908</v>
      </c>
      <c r="G68" s="60">
        <v>16327</v>
      </c>
      <c r="H68" s="60">
        <v>5981</v>
      </c>
      <c r="I68" s="60" t="s">
        <v>106</v>
      </c>
      <c r="J68" s="60" t="s">
        <v>23</v>
      </c>
      <c r="K68" s="60">
        <f t="shared" si="2"/>
        <v>33496</v>
      </c>
    </row>
    <row r="69" spans="1:11">
      <c r="A69" s="95">
        <v>1991</v>
      </c>
      <c r="B69" s="60" t="s">
        <v>23</v>
      </c>
      <c r="C69" s="60" t="s">
        <v>23</v>
      </c>
      <c r="D69" s="60">
        <v>426</v>
      </c>
      <c r="E69" s="60">
        <v>3990</v>
      </c>
      <c r="F69" s="60">
        <v>16608</v>
      </c>
      <c r="G69" s="60" t="s">
        <v>23</v>
      </c>
      <c r="H69" s="60" t="s">
        <v>23</v>
      </c>
      <c r="I69" s="60" t="s">
        <v>106</v>
      </c>
      <c r="J69" s="60" t="s">
        <v>23</v>
      </c>
      <c r="K69" s="60">
        <f t="shared" si="2"/>
        <v>21024</v>
      </c>
    </row>
    <row r="70" spans="1:11">
      <c r="A70" s="95">
        <v>1992</v>
      </c>
      <c r="B70" s="60" t="s">
        <v>23</v>
      </c>
      <c r="C70" s="60" t="s">
        <v>23</v>
      </c>
      <c r="D70" s="60">
        <v>1172</v>
      </c>
      <c r="E70" s="60">
        <v>3418</v>
      </c>
      <c r="F70" s="60">
        <v>11657</v>
      </c>
      <c r="G70" s="60">
        <v>7053</v>
      </c>
      <c r="H70" s="60">
        <v>2835</v>
      </c>
      <c r="I70" s="60" t="s">
        <v>106</v>
      </c>
      <c r="J70" s="60" t="s">
        <v>23</v>
      </c>
      <c r="K70" s="60">
        <f t="shared" si="2"/>
        <v>26135</v>
      </c>
    </row>
    <row r="71" spans="1:11">
      <c r="A71" s="95">
        <v>1993</v>
      </c>
      <c r="B71" s="60" t="s">
        <v>23</v>
      </c>
      <c r="C71" s="60" t="s">
        <v>23</v>
      </c>
      <c r="D71" s="60">
        <v>797</v>
      </c>
      <c r="E71" s="60">
        <v>195</v>
      </c>
      <c r="F71" s="60">
        <v>3091</v>
      </c>
      <c r="G71" s="60">
        <v>1488</v>
      </c>
      <c r="H71" s="60" t="s">
        <v>106</v>
      </c>
      <c r="I71" s="60" t="s">
        <v>106</v>
      </c>
      <c r="J71" s="60" t="s">
        <v>23</v>
      </c>
      <c r="K71" s="60">
        <f t="shared" si="2"/>
        <v>5571</v>
      </c>
    </row>
    <row r="72" spans="1:11">
      <c r="A72" s="95">
        <v>1994</v>
      </c>
      <c r="B72" s="60" t="s">
        <v>23</v>
      </c>
      <c r="C72" s="60" t="s">
        <v>23</v>
      </c>
      <c r="D72" s="60">
        <v>603</v>
      </c>
      <c r="E72" s="60">
        <v>931</v>
      </c>
      <c r="F72" s="60" t="s">
        <v>23</v>
      </c>
      <c r="G72" s="60" t="s">
        <v>23</v>
      </c>
      <c r="H72" s="60" t="s">
        <v>23</v>
      </c>
      <c r="I72" s="60">
        <v>8749</v>
      </c>
      <c r="J72" s="60">
        <v>3</v>
      </c>
      <c r="K72" s="60">
        <f t="shared" si="2"/>
        <v>10286</v>
      </c>
    </row>
    <row r="73" spans="1:11">
      <c r="A73" s="95">
        <v>1995</v>
      </c>
      <c r="B73" s="60" t="s">
        <v>23</v>
      </c>
      <c r="C73" s="60" t="s">
        <v>23</v>
      </c>
      <c r="D73" s="60">
        <v>644</v>
      </c>
      <c r="E73" s="60">
        <v>76</v>
      </c>
      <c r="F73" s="60" t="s">
        <v>23</v>
      </c>
      <c r="G73" s="60" t="s">
        <v>23</v>
      </c>
      <c r="H73" s="60">
        <v>1314</v>
      </c>
      <c r="I73" s="60">
        <v>1008</v>
      </c>
      <c r="J73" s="60">
        <v>788</v>
      </c>
      <c r="K73" s="60">
        <f t="shared" si="2"/>
        <v>3830</v>
      </c>
    </row>
    <row r="74" spans="1:11">
      <c r="A74" s="95">
        <v>1996</v>
      </c>
      <c r="B74" s="60" t="s">
        <v>23</v>
      </c>
      <c r="C74" s="60" t="s">
        <v>23</v>
      </c>
      <c r="D74" s="60">
        <v>762</v>
      </c>
      <c r="E74" s="60">
        <v>118</v>
      </c>
      <c r="F74" s="60">
        <v>44</v>
      </c>
      <c r="G74" s="60">
        <v>464</v>
      </c>
      <c r="H74" s="60">
        <v>3655</v>
      </c>
      <c r="I74" s="60">
        <v>3255</v>
      </c>
      <c r="J74" s="60" t="s">
        <v>23</v>
      </c>
      <c r="K74" s="60">
        <f t="shared" si="2"/>
        <v>8298</v>
      </c>
    </row>
    <row r="75" spans="1:11">
      <c r="A75" s="95">
        <v>1997</v>
      </c>
      <c r="B75" s="60" t="s">
        <v>23</v>
      </c>
      <c r="C75" s="60">
        <v>0</v>
      </c>
      <c r="D75" s="60">
        <v>36</v>
      </c>
      <c r="E75" s="60">
        <v>94</v>
      </c>
      <c r="F75" s="60">
        <v>8</v>
      </c>
      <c r="G75" s="60">
        <v>366</v>
      </c>
      <c r="H75" s="60">
        <v>1418</v>
      </c>
      <c r="I75" s="60">
        <v>1673</v>
      </c>
      <c r="J75" s="60" t="s">
        <v>106</v>
      </c>
      <c r="K75" s="60">
        <f t="shared" si="2"/>
        <v>3595</v>
      </c>
    </row>
    <row r="76" spans="1:11">
      <c r="A76" s="95">
        <v>1998</v>
      </c>
      <c r="B76" s="60" t="s">
        <v>23</v>
      </c>
      <c r="C76" s="60">
        <v>0</v>
      </c>
      <c r="D76" s="60">
        <v>609</v>
      </c>
      <c r="E76" s="60">
        <v>59</v>
      </c>
      <c r="F76" s="60">
        <v>11</v>
      </c>
      <c r="G76" s="60">
        <v>258</v>
      </c>
      <c r="H76" s="60">
        <v>2256</v>
      </c>
      <c r="I76" s="60">
        <v>2900</v>
      </c>
      <c r="J76" s="60" t="s">
        <v>106</v>
      </c>
      <c r="K76" s="60">
        <f t="shared" si="2"/>
        <v>6093</v>
      </c>
    </row>
    <row r="77" spans="1:11">
      <c r="A77" s="95">
        <v>1999</v>
      </c>
      <c r="B77" s="60" t="s">
        <v>23</v>
      </c>
      <c r="C77" s="60">
        <v>6</v>
      </c>
      <c r="D77" s="60">
        <v>643</v>
      </c>
      <c r="E77" s="60">
        <v>129</v>
      </c>
      <c r="F77" s="60">
        <v>3427</v>
      </c>
      <c r="G77" s="60">
        <v>253</v>
      </c>
      <c r="H77" s="60">
        <v>3126</v>
      </c>
      <c r="I77" s="60">
        <v>3469</v>
      </c>
      <c r="J77" s="60">
        <v>104</v>
      </c>
      <c r="K77" s="60">
        <f t="shared" si="2"/>
        <v>11157</v>
      </c>
    </row>
    <row r="78" spans="1:11">
      <c r="A78" s="95">
        <v>2000</v>
      </c>
      <c r="B78" s="60" t="s">
        <v>23</v>
      </c>
      <c r="C78" s="60">
        <v>14</v>
      </c>
      <c r="D78" s="60">
        <v>397</v>
      </c>
      <c r="E78" s="60">
        <v>108</v>
      </c>
      <c r="F78" s="60">
        <v>3763</v>
      </c>
      <c r="G78" s="60">
        <v>388</v>
      </c>
      <c r="H78" s="60">
        <v>3405</v>
      </c>
      <c r="I78" s="60">
        <v>3176</v>
      </c>
      <c r="J78" s="60">
        <v>235</v>
      </c>
      <c r="K78" s="60">
        <f t="shared" si="2"/>
        <v>11486</v>
      </c>
    </row>
    <row r="79" spans="1:11">
      <c r="A79" s="95">
        <v>2001</v>
      </c>
      <c r="B79" s="60" t="s">
        <v>23</v>
      </c>
      <c r="C79" s="60">
        <v>0</v>
      </c>
      <c r="D79" s="60">
        <v>526</v>
      </c>
      <c r="E79" s="60">
        <v>2827</v>
      </c>
      <c r="F79" s="60">
        <v>7278</v>
      </c>
      <c r="G79" s="60">
        <v>895</v>
      </c>
      <c r="H79" s="60">
        <v>2747</v>
      </c>
      <c r="I79" s="60">
        <v>2051</v>
      </c>
      <c r="J79" s="60">
        <v>162</v>
      </c>
      <c r="K79" s="60">
        <f t="shared" si="2"/>
        <v>16486</v>
      </c>
    </row>
    <row r="80" spans="1:11">
      <c r="A80" s="95">
        <v>2002</v>
      </c>
      <c r="B80" s="60" t="s">
        <v>23</v>
      </c>
      <c r="C80" s="60">
        <v>11</v>
      </c>
      <c r="D80" s="60">
        <v>386</v>
      </c>
      <c r="E80" s="60">
        <v>360</v>
      </c>
      <c r="F80" s="60">
        <v>7005</v>
      </c>
      <c r="G80" s="60">
        <v>4787</v>
      </c>
      <c r="H80" s="60">
        <v>5041</v>
      </c>
      <c r="I80" s="60">
        <v>6767</v>
      </c>
      <c r="J80" s="60">
        <v>50</v>
      </c>
      <c r="K80" s="60">
        <f t="shared" si="2"/>
        <v>24407</v>
      </c>
    </row>
    <row r="81" spans="1:11">
      <c r="A81" s="95">
        <v>2003</v>
      </c>
      <c r="B81" s="60">
        <v>21</v>
      </c>
      <c r="C81" s="60">
        <v>5</v>
      </c>
      <c r="D81" s="60">
        <v>435</v>
      </c>
      <c r="E81" s="60">
        <v>1860</v>
      </c>
      <c r="F81" s="60">
        <v>11990</v>
      </c>
      <c r="G81" s="60">
        <v>5450</v>
      </c>
      <c r="H81" s="60">
        <v>4819</v>
      </c>
      <c r="I81" s="60">
        <v>3019</v>
      </c>
      <c r="J81" s="60">
        <v>395</v>
      </c>
      <c r="K81" s="60">
        <f t="shared" si="2"/>
        <v>27994</v>
      </c>
    </row>
    <row r="82" spans="1:11">
      <c r="A82" s="95">
        <v>2004</v>
      </c>
      <c r="B82" s="60">
        <v>8</v>
      </c>
      <c r="C82" s="60">
        <v>94</v>
      </c>
      <c r="D82" s="60">
        <v>397</v>
      </c>
      <c r="E82" s="60">
        <v>2849</v>
      </c>
      <c r="F82" s="60">
        <v>11855</v>
      </c>
      <c r="G82" s="60">
        <v>6729</v>
      </c>
      <c r="H82" s="60">
        <v>4442</v>
      </c>
      <c r="I82" s="60">
        <v>2647</v>
      </c>
      <c r="J82" s="60">
        <v>291</v>
      </c>
      <c r="K82" s="60">
        <f t="shared" si="2"/>
        <v>29312</v>
      </c>
    </row>
    <row r="83" spans="1:11">
      <c r="A83" s="95">
        <v>2005</v>
      </c>
      <c r="B83" s="60">
        <v>28</v>
      </c>
      <c r="C83" s="60">
        <v>66</v>
      </c>
      <c r="D83" s="60">
        <v>463</v>
      </c>
      <c r="E83" s="60">
        <v>2318</v>
      </c>
      <c r="F83" s="60">
        <v>3216</v>
      </c>
      <c r="G83" s="60">
        <v>1622</v>
      </c>
      <c r="H83" s="60">
        <v>3799</v>
      </c>
      <c r="I83" s="60">
        <v>599</v>
      </c>
      <c r="J83" s="60">
        <v>12</v>
      </c>
      <c r="K83" s="60">
        <f t="shared" si="2"/>
        <v>12123</v>
      </c>
    </row>
    <row r="84" spans="1:11">
      <c r="A84" s="95">
        <v>2006</v>
      </c>
      <c r="B84" s="60">
        <v>2</v>
      </c>
      <c r="C84" s="60">
        <v>16</v>
      </c>
      <c r="D84" s="60">
        <v>385</v>
      </c>
      <c r="E84" s="60">
        <v>1334</v>
      </c>
      <c r="F84" s="60">
        <v>3299</v>
      </c>
      <c r="G84" s="60">
        <v>497</v>
      </c>
      <c r="H84" s="60">
        <v>5292</v>
      </c>
      <c r="I84" s="60">
        <v>4988</v>
      </c>
      <c r="J84" s="60">
        <v>98</v>
      </c>
      <c r="K84" s="60">
        <f t="shared" si="2"/>
        <v>15911</v>
      </c>
    </row>
    <row r="85" spans="1:11">
      <c r="A85" s="95">
        <v>2007</v>
      </c>
      <c r="B85" s="60" t="s">
        <v>23</v>
      </c>
      <c r="C85" s="60">
        <v>16</v>
      </c>
      <c r="D85" s="60">
        <v>828</v>
      </c>
      <c r="E85" s="60">
        <v>1753</v>
      </c>
      <c r="F85" s="60">
        <v>4612</v>
      </c>
      <c r="G85" s="60">
        <v>8074</v>
      </c>
      <c r="H85" s="60">
        <v>3459</v>
      </c>
      <c r="I85" s="60">
        <v>2286</v>
      </c>
      <c r="J85" s="128" t="s">
        <v>106</v>
      </c>
      <c r="K85" s="60">
        <f t="shared" si="2"/>
        <v>21028</v>
      </c>
    </row>
    <row r="86" spans="1:11">
      <c r="A86" s="95">
        <v>2008</v>
      </c>
      <c r="B86" s="60" t="s">
        <v>23</v>
      </c>
      <c r="C86" s="60" t="s">
        <v>23</v>
      </c>
      <c r="D86" s="60" t="s">
        <v>23</v>
      </c>
      <c r="E86" s="60">
        <v>643</v>
      </c>
      <c r="F86" s="60">
        <v>1269</v>
      </c>
      <c r="G86" s="60">
        <v>1226</v>
      </c>
      <c r="H86" s="60">
        <v>3635</v>
      </c>
      <c r="I86" s="60">
        <v>2348</v>
      </c>
      <c r="J86" s="128" t="s">
        <v>106</v>
      </c>
      <c r="K86" s="60">
        <f t="shared" si="2"/>
        <v>9121</v>
      </c>
    </row>
    <row r="87" spans="1:11">
      <c r="A87" s="95">
        <v>2009</v>
      </c>
      <c r="B87" s="60" t="s">
        <v>23</v>
      </c>
      <c r="C87" s="60" t="s">
        <v>23</v>
      </c>
      <c r="D87" s="60" t="s">
        <v>23</v>
      </c>
      <c r="E87" s="60">
        <f>176+798</f>
        <v>974</v>
      </c>
      <c r="F87" s="60">
        <v>10482</v>
      </c>
      <c r="G87" s="60">
        <v>7131</v>
      </c>
      <c r="H87" s="60">
        <v>1772</v>
      </c>
      <c r="I87" s="60">
        <v>2009</v>
      </c>
      <c r="J87" s="60" t="s">
        <v>23</v>
      </c>
      <c r="K87" s="60">
        <f t="shared" si="2"/>
        <v>22368</v>
      </c>
    </row>
    <row r="88" spans="1:11">
      <c r="A88" s="95">
        <v>2010</v>
      </c>
      <c r="B88" s="60" t="s">
        <v>23</v>
      </c>
      <c r="C88" s="60" t="s">
        <v>23</v>
      </c>
      <c r="D88" s="60">
        <v>126</v>
      </c>
      <c r="E88" s="60">
        <v>1158</v>
      </c>
      <c r="F88" s="60">
        <v>3833</v>
      </c>
      <c r="G88" s="60">
        <v>3620</v>
      </c>
      <c r="H88" s="60">
        <v>3718</v>
      </c>
      <c r="I88" s="60">
        <v>1048</v>
      </c>
      <c r="J88" s="60" t="s">
        <v>23</v>
      </c>
      <c r="K88" s="60">
        <f t="shared" si="2"/>
        <v>13503</v>
      </c>
    </row>
    <row r="89" spans="1:11">
      <c r="A89" s="95">
        <v>2011</v>
      </c>
      <c r="B89" s="60">
        <v>0</v>
      </c>
      <c r="C89" s="60">
        <v>50</v>
      </c>
      <c r="D89" s="60">
        <v>143</v>
      </c>
      <c r="E89" s="60">
        <v>936</v>
      </c>
      <c r="F89" s="60">
        <v>3771</v>
      </c>
      <c r="G89" s="60">
        <v>2968</v>
      </c>
      <c r="H89" s="60">
        <v>3730</v>
      </c>
      <c r="I89" s="60">
        <v>1240</v>
      </c>
      <c r="J89" s="60" t="s">
        <v>23</v>
      </c>
      <c r="K89" s="60">
        <f t="shared" si="2"/>
        <v>12838</v>
      </c>
    </row>
    <row r="90" spans="1:11">
      <c r="A90" s="95">
        <v>2012</v>
      </c>
      <c r="B90" s="60">
        <v>0</v>
      </c>
      <c r="C90" s="60">
        <v>38</v>
      </c>
      <c r="D90" s="60">
        <v>567</v>
      </c>
      <c r="E90" s="60">
        <v>830</v>
      </c>
      <c r="F90" s="60">
        <v>2372</v>
      </c>
      <c r="G90" s="60">
        <v>2933</v>
      </c>
      <c r="H90" s="60">
        <v>4126</v>
      </c>
      <c r="I90" s="60">
        <v>1521</v>
      </c>
      <c r="J90" s="60" t="s">
        <v>23</v>
      </c>
      <c r="K90" s="60">
        <f t="shared" si="2"/>
        <v>12387</v>
      </c>
    </row>
    <row r="91" spans="1:11">
      <c r="A91" s="95">
        <v>2013</v>
      </c>
      <c r="B91" s="60">
        <v>2</v>
      </c>
      <c r="C91" s="60">
        <v>78</v>
      </c>
      <c r="D91" s="60">
        <v>369</v>
      </c>
      <c r="E91" s="60">
        <v>647</v>
      </c>
      <c r="F91" s="60">
        <v>3166</v>
      </c>
      <c r="G91" s="60">
        <v>2605</v>
      </c>
      <c r="H91" s="60">
        <v>3326</v>
      </c>
      <c r="I91" s="60">
        <v>3942</v>
      </c>
      <c r="J91" s="60" t="s">
        <v>23</v>
      </c>
      <c r="K91" s="60">
        <f t="shared" si="2"/>
        <v>14135</v>
      </c>
    </row>
    <row r="92" spans="1:11">
      <c r="A92" s="95">
        <v>2014</v>
      </c>
      <c r="B92" s="60">
        <v>0</v>
      </c>
      <c r="C92" s="60">
        <v>7</v>
      </c>
      <c r="D92" s="60">
        <v>1052</v>
      </c>
      <c r="E92" s="60">
        <v>1110</v>
      </c>
      <c r="F92" s="60">
        <v>9027</v>
      </c>
      <c r="G92" s="60">
        <v>4657</v>
      </c>
      <c r="H92" s="60">
        <v>8066</v>
      </c>
      <c r="I92" s="60">
        <v>1305</v>
      </c>
      <c r="J92" s="60" t="s">
        <v>23</v>
      </c>
      <c r="K92" s="60">
        <f t="shared" si="2"/>
        <v>25224</v>
      </c>
    </row>
    <row r="93" spans="1:11">
      <c r="A93" s="95">
        <v>2015</v>
      </c>
      <c r="B93" s="60">
        <v>0</v>
      </c>
      <c r="C93" s="60">
        <v>42</v>
      </c>
      <c r="D93" s="60">
        <v>919</v>
      </c>
      <c r="E93" s="60">
        <v>485</v>
      </c>
      <c r="F93" s="60">
        <v>3259</v>
      </c>
      <c r="G93" s="60">
        <v>2097</v>
      </c>
      <c r="H93" s="60">
        <v>6463</v>
      </c>
      <c r="I93" s="60">
        <v>2217</v>
      </c>
      <c r="J93" s="60" t="s">
        <v>23</v>
      </c>
      <c r="K93" s="60">
        <f t="shared" si="2"/>
        <v>15482</v>
      </c>
    </row>
    <row r="94" spans="1:11">
      <c r="A94" s="95">
        <v>2016</v>
      </c>
      <c r="B94" s="60">
        <v>14</v>
      </c>
      <c r="C94" s="60">
        <v>4</v>
      </c>
      <c r="D94" s="60">
        <v>838</v>
      </c>
      <c r="E94" s="60">
        <v>1578</v>
      </c>
      <c r="F94" s="60">
        <v>1657</v>
      </c>
      <c r="G94" s="60">
        <v>855</v>
      </c>
      <c r="H94" s="60">
        <v>5505</v>
      </c>
      <c r="I94" s="60">
        <v>530</v>
      </c>
      <c r="J94" s="60" t="s">
        <v>23</v>
      </c>
      <c r="K94" s="60">
        <f t="shared" si="2"/>
        <v>10981</v>
      </c>
    </row>
    <row r="95" spans="1:11">
      <c r="A95" s="95">
        <v>2017</v>
      </c>
      <c r="B95" s="60">
        <v>0</v>
      </c>
      <c r="C95" s="60">
        <v>12</v>
      </c>
      <c r="D95" s="60">
        <v>335</v>
      </c>
      <c r="E95" s="60">
        <v>692</v>
      </c>
      <c r="F95" s="60">
        <v>2161</v>
      </c>
      <c r="G95" s="60">
        <v>2039</v>
      </c>
      <c r="H95" s="60">
        <v>3100</v>
      </c>
      <c r="I95" s="60">
        <v>292</v>
      </c>
      <c r="J95" s="60" t="s">
        <v>23</v>
      </c>
      <c r="K95" s="60">
        <f t="shared" si="2"/>
        <v>8631</v>
      </c>
    </row>
    <row r="96" spans="1:11">
      <c r="A96" s="95">
        <v>2018</v>
      </c>
      <c r="B96" s="60">
        <v>0</v>
      </c>
      <c r="C96" s="60">
        <v>0</v>
      </c>
      <c r="D96" s="60">
        <v>354</v>
      </c>
      <c r="E96" s="60">
        <v>332</v>
      </c>
      <c r="F96" s="60">
        <v>1533</v>
      </c>
      <c r="G96" s="60">
        <v>4541</v>
      </c>
      <c r="H96" s="60">
        <v>3670</v>
      </c>
      <c r="I96" s="60">
        <v>829</v>
      </c>
      <c r="J96" s="60" t="s">
        <v>23</v>
      </c>
      <c r="K96" s="60">
        <f>SUM(B96:J96)</f>
        <v>11259</v>
      </c>
    </row>
    <row r="97" spans="1:11">
      <c r="A97" s="95">
        <v>2019</v>
      </c>
      <c r="B97" s="60">
        <v>0</v>
      </c>
      <c r="C97" s="60">
        <v>0</v>
      </c>
      <c r="D97" s="60">
        <v>293</v>
      </c>
      <c r="E97" s="60">
        <v>2061</v>
      </c>
      <c r="F97" s="60">
        <v>8113</v>
      </c>
      <c r="G97" s="60">
        <v>6440</v>
      </c>
      <c r="H97" s="60">
        <v>2725</v>
      </c>
      <c r="I97" s="60">
        <v>1470</v>
      </c>
      <c r="J97" s="60" t="s">
        <v>23</v>
      </c>
      <c r="K97" s="60">
        <f t="shared" ref="K97:K98" si="3">SUM(B97:J97)</f>
        <v>21102</v>
      </c>
    </row>
    <row r="98" spans="1:11">
      <c r="A98" s="95">
        <v>2020</v>
      </c>
      <c r="B98" s="60">
        <v>8</v>
      </c>
      <c r="C98" s="60">
        <v>0</v>
      </c>
      <c r="D98" s="60">
        <v>111</v>
      </c>
      <c r="E98" s="60">
        <v>234</v>
      </c>
      <c r="F98" s="60">
        <v>4133</v>
      </c>
      <c r="G98" s="60">
        <v>3072</v>
      </c>
      <c r="H98" s="60">
        <v>4243</v>
      </c>
      <c r="I98" s="60">
        <v>1404</v>
      </c>
      <c r="J98" s="60" t="s">
        <v>23</v>
      </c>
      <c r="K98" s="60">
        <f t="shared" si="3"/>
        <v>13205</v>
      </c>
    </row>
    <row r="99" spans="1:11" ht="13">
      <c r="A99" s="95" t="s">
        <v>317</v>
      </c>
      <c r="B99" s="60">
        <v>0</v>
      </c>
      <c r="C99" s="60">
        <v>25</v>
      </c>
      <c r="D99" s="60">
        <v>567</v>
      </c>
      <c r="E99" s="60">
        <v>942</v>
      </c>
      <c r="F99" s="60">
        <v>8109</v>
      </c>
      <c r="G99" s="60">
        <v>4893</v>
      </c>
      <c r="H99" s="60">
        <v>3945</v>
      </c>
      <c r="I99" s="60">
        <v>172</v>
      </c>
      <c r="J99" s="60" t="s">
        <v>23</v>
      </c>
      <c r="K99" s="60">
        <f t="shared" si="2"/>
        <v>18653</v>
      </c>
    </row>
    <row r="101" spans="1:11">
      <c r="A101" s="88" t="s">
        <v>48</v>
      </c>
    </row>
    <row r="102" spans="1:11">
      <c r="A102" s="99">
        <v>1976</v>
      </c>
      <c r="B102" s="60" t="s">
        <v>23</v>
      </c>
      <c r="C102" s="60">
        <v>0</v>
      </c>
      <c r="D102" s="60">
        <v>3673</v>
      </c>
      <c r="E102" s="60">
        <v>22309</v>
      </c>
      <c r="F102" s="60">
        <v>34620</v>
      </c>
      <c r="G102" s="60">
        <v>56329</v>
      </c>
      <c r="H102" s="60">
        <v>14172</v>
      </c>
      <c r="I102" s="60">
        <v>633</v>
      </c>
      <c r="J102" s="60">
        <v>46</v>
      </c>
      <c r="K102" s="60">
        <f t="shared" ref="K102:K147" si="4">SUM(B102:J102)</f>
        <v>131782</v>
      </c>
    </row>
    <row r="103" spans="1:11">
      <c r="A103" s="99">
        <v>1977</v>
      </c>
      <c r="B103" s="60" t="s">
        <v>23</v>
      </c>
      <c r="C103" s="60">
        <v>0</v>
      </c>
      <c r="D103" s="60">
        <v>1809</v>
      </c>
      <c r="E103" s="60">
        <v>9270</v>
      </c>
      <c r="F103" s="60">
        <v>35513</v>
      </c>
      <c r="G103" s="60">
        <v>29909</v>
      </c>
      <c r="H103" s="60">
        <v>7903</v>
      </c>
      <c r="I103" s="60">
        <v>339</v>
      </c>
      <c r="J103" s="60" t="s">
        <v>23</v>
      </c>
      <c r="K103" s="60">
        <f t="shared" si="4"/>
        <v>84743</v>
      </c>
    </row>
    <row r="104" spans="1:11">
      <c r="A104" s="99">
        <v>1978</v>
      </c>
      <c r="B104" s="60" t="s">
        <v>23</v>
      </c>
      <c r="C104" s="60">
        <v>0</v>
      </c>
      <c r="D104" s="60">
        <v>4142</v>
      </c>
      <c r="E104" s="60">
        <v>17391</v>
      </c>
      <c r="F104" s="60">
        <v>46868</v>
      </c>
      <c r="G104" s="60">
        <v>36531</v>
      </c>
      <c r="H104" s="60">
        <v>7980</v>
      </c>
      <c r="I104" s="60">
        <v>2644</v>
      </c>
      <c r="J104" s="60" t="s">
        <v>23</v>
      </c>
      <c r="K104" s="60">
        <f t="shared" si="4"/>
        <v>115556</v>
      </c>
    </row>
    <row r="105" spans="1:11">
      <c r="A105" s="99">
        <v>1979</v>
      </c>
      <c r="B105" s="60" t="s">
        <v>23</v>
      </c>
      <c r="C105" s="60" t="s">
        <v>23</v>
      </c>
      <c r="D105" s="60">
        <v>2042</v>
      </c>
      <c r="E105" s="60">
        <v>8170</v>
      </c>
      <c r="F105" s="60">
        <v>33235</v>
      </c>
      <c r="G105" s="60">
        <v>28746</v>
      </c>
      <c r="H105" s="60">
        <v>238</v>
      </c>
      <c r="I105" s="60" t="s">
        <v>23</v>
      </c>
      <c r="J105" s="60" t="s">
        <v>23</v>
      </c>
      <c r="K105" s="60">
        <f t="shared" si="4"/>
        <v>72431</v>
      </c>
    </row>
    <row r="106" spans="1:11">
      <c r="A106" s="99">
        <v>1980</v>
      </c>
      <c r="B106" s="60" t="s">
        <v>23</v>
      </c>
      <c r="C106" s="60" t="s">
        <v>23</v>
      </c>
      <c r="D106" s="60">
        <v>1763</v>
      </c>
      <c r="E106" s="60">
        <v>16743</v>
      </c>
      <c r="F106" s="60">
        <v>38971</v>
      </c>
      <c r="G106" s="60">
        <v>22614</v>
      </c>
      <c r="H106" s="60">
        <v>3774</v>
      </c>
      <c r="I106" s="60" t="s">
        <v>106</v>
      </c>
      <c r="J106" s="60" t="s">
        <v>23</v>
      </c>
      <c r="K106" s="60">
        <f t="shared" si="4"/>
        <v>83865</v>
      </c>
    </row>
    <row r="107" spans="1:11">
      <c r="A107" s="99">
        <v>1981</v>
      </c>
      <c r="B107" s="60" t="s">
        <v>23</v>
      </c>
      <c r="C107" s="60" t="s">
        <v>23</v>
      </c>
      <c r="D107" s="60">
        <v>2282</v>
      </c>
      <c r="E107" s="60">
        <v>8244</v>
      </c>
      <c r="F107" s="60">
        <v>27630</v>
      </c>
      <c r="G107" s="60">
        <v>31722</v>
      </c>
      <c r="H107" s="60">
        <v>7464</v>
      </c>
      <c r="I107" s="60" t="s">
        <v>106</v>
      </c>
      <c r="J107" s="60" t="s">
        <v>23</v>
      </c>
      <c r="K107" s="60">
        <f t="shared" si="4"/>
        <v>77342</v>
      </c>
    </row>
    <row r="108" spans="1:11">
      <c r="A108" s="99">
        <v>1982</v>
      </c>
      <c r="B108" s="60" t="s">
        <v>23</v>
      </c>
      <c r="C108" s="60" t="s">
        <v>23</v>
      </c>
      <c r="D108" s="60">
        <v>191</v>
      </c>
      <c r="E108" s="60">
        <v>7310</v>
      </c>
      <c r="F108" s="60">
        <v>45979</v>
      </c>
      <c r="G108" s="60" t="s">
        <v>23</v>
      </c>
      <c r="H108" s="60" t="s">
        <v>23</v>
      </c>
      <c r="I108" s="60" t="s">
        <v>23</v>
      </c>
      <c r="J108" s="60" t="s">
        <v>23</v>
      </c>
      <c r="K108" s="60">
        <f t="shared" si="4"/>
        <v>53480</v>
      </c>
    </row>
    <row r="109" spans="1:11">
      <c r="A109" s="99">
        <v>1983</v>
      </c>
      <c r="B109" s="60" t="s">
        <v>23</v>
      </c>
      <c r="C109" s="60" t="s">
        <v>23</v>
      </c>
      <c r="D109" s="60" t="s">
        <v>23</v>
      </c>
      <c r="E109" s="60">
        <v>3594</v>
      </c>
      <c r="F109" s="60">
        <v>22844</v>
      </c>
      <c r="G109" s="60">
        <v>10934</v>
      </c>
      <c r="H109" s="60">
        <v>5187</v>
      </c>
      <c r="I109" s="60" t="s">
        <v>23</v>
      </c>
      <c r="J109" s="60" t="s">
        <v>23</v>
      </c>
      <c r="K109" s="60">
        <f t="shared" si="4"/>
        <v>42559</v>
      </c>
    </row>
    <row r="110" spans="1:11">
      <c r="A110" s="99">
        <v>1984</v>
      </c>
      <c r="B110" s="60" t="s">
        <v>23</v>
      </c>
      <c r="C110" s="60" t="s">
        <v>23</v>
      </c>
      <c r="D110" s="60" t="s">
        <v>23</v>
      </c>
      <c r="E110" s="60" t="s">
        <v>23</v>
      </c>
      <c r="F110" s="60">
        <v>23994</v>
      </c>
      <c r="G110" s="60">
        <v>16767</v>
      </c>
      <c r="H110" s="60">
        <v>775</v>
      </c>
      <c r="I110" s="60" t="s">
        <v>23</v>
      </c>
      <c r="J110" s="60" t="s">
        <v>23</v>
      </c>
      <c r="K110" s="60">
        <f t="shared" si="4"/>
        <v>41536</v>
      </c>
    </row>
    <row r="111" spans="1:11">
      <c r="A111" s="99">
        <v>1985</v>
      </c>
      <c r="B111" s="60" t="s">
        <v>23</v>
      </c>
      <c r="C111" s="60" t="s">
        <v>23</v>
      </c>
      <c r="D111" s="60" t="s">
        <v>23</v>
      </c>
      <c r="E111" s="60" t="s">
        <v>23</v>
      </c>
      <c r="F111" s="60">
        <v>24310</v>
      </c>
      <c r="G111" s="60">
        <v>44421</v>
      </c>
      <c r="H111" s="60">
        <v>1823</v>
      </c>
      <c r="I111" s="60" t="s">
        <v>23</v>
      </c>
      <c r="J111" s="60" t="s">
        <v>23</v>
      </c>
      <c r="K111" s="60">
        <f t="shared" si="4"/>
        <v>70554</v>
      </c>
    </row>
    <row r="112" spans="1:11">
      <c r="A112" s="95">
        <v>1986</v>
      </c>
      <c r="B112" s="60" t="s">
        <v>23</v>
      </c>
      <c r="C112" s="60" t="s">
        <v>23</v>
      </c>
      <c r="D112" s="60">
        <v>1388</v>
      </c>
      <c r="E112" s="60">
        <v>3936</v>
      </c>
      <c r="F112" s="60">
        <v>38854</v>
      </c>
      <c r="G112" s="60">
        <v>7972</v>
      </c>
      <c r="H112" s="60" t="s">
        <v>23</v>
      </c>
      <c r="I112" s="60" t="s">
        <v>23</v>
      </c>
      <c r="J112" s="60" t="s">
        <v>23</v>
      </c>
      <c r="K112" s="60">
        <f t="shared" si="4"/>
        <v>52150</v>
      </c>
    </row>
    <row r="113" spans="1:11">
      <c r="A113" s="95">
        <v>1987</v>
      </c>
      <c r="B113" s="60" t="s">
        <v>23</v>
      </c>
      <c r="C113" s="60" t="s">
        <v>23</v>
      </c>
      <c r="D113" s="60" t="s">
        <v>23</v>
      </c>
      <c r="E113" s="60">
        <v>5155</v>
      </c>
      <c r="F113" s="60">
        <v>39988</v>
      </c>
      <c r="G113" s="60">
        <v>23219</v>
      </c>
      <c r="H113" s="60">
        <v>8590</v>
      </c>
      <c r="I113" s="60" t="s">
        <v>23</v>
      </c>
      <c r="J113" s="60" t="s">
        <v>23</v>
      </c>
      <c r="K113" s="60">
        <f t="shared" si="4"/>
        <v>76952</v>
      </c>
    </row>
    <row r="114" spans="1:11">
      <c r="A114" s="95">
        <v>1988</v>
      </c>
      <c r="B114" s="60" t="s">
        <v>23</v>
      </c>
      <c r="C114" s="60" t="s">
        <v>23</v>
      </c>
      <c r="D114" s="60">
        <v>972</v>
      </c>
      <c r="E114" s="60">
        <v>7134</v>
      </c>
      <c r="F114" s="60">
        <v>37919</v>
      </c>
      <c r="G114" s="60">
        <v>34166</v>
      </c>
      <c r="H114" s="60">
        <v>9412</v>
      </c>
      <c r="I114" s="60" t="s">
        <v>23</v>
      </c>
      <c r="J114" s="60" t="s">
        <v>23</v>
      </c>
      <c r="K114" s="60">
        <f t="shared" si="4"/>
        <v>89603</v>
      </c>
    </row>
    <row r="115" spans="1:11">
      <c r="A115" s="95">
        <v>1989</v>
      </c>
      <c r="B115" s="60" t="s">
        <v>23</v>
      </c>
      <c r="C115" s="60" t="s">
        <v>23</v>
      </c>
      <c r="D115" s="60">
        <v>945</v>
      </c>
      <c r="E115" s="60">
        <v>17235</v>
      </c>
      <c r="F115" s="60">
        <v>37469</v>
      </c>
      <c r="G115" s="60">
        <v>26306</v>
      </c>
      <c r="H115" s="60">
        <v>814</v>
      </c>
      <c r="I115" s="60" t="s">
        <v>23</v>
      </c>
      <c r="J115" s="60" t="s">
        <v>23</v>
      </c>
      <c r="K115" s="60">
        <f t="shared" si="4"/>
        <v>82769</v>
      </c>
    </row>
    <row r="116" spans="1:11">
      <c r="A116" s="95">
        <v>1990</v>
      </c>
      <c r="B116" s="60" t="s">
        <v>23</v>
      </c>
      <c r="C116" s="60" t="s">
        <v>23</v>
      </c>
      <c r="D116" s="60">
        <v>683</v>
      </c>
      <c r="E116" s="60">
        <v>5484</v>
      </c>
      <c r="F116" s="60">
        <v>32790</v>
      </c>
      <c r="G116" s="60">
        <v>28335</v>
      </c>
      <c r="H116" s="60">
        <v>4105</v>
      </c>
      <c r="I116" s="60" t="s">
        <v>23</v>
      </c>
      <c r="J116" s="60" t="s">
        <v>23</v>
      </c>
      <c r="K116" s="60">
        <f t="shared" si="4"/>
        <v>71397</v>
      </c>
    </row>
    <row r="117" spans="1:11">
      <c r="A117" s="95">
        <v>1991</v>
      </c>
      <c r="B117" s="60" t="s">
        <v>23</v>
      </c>
      <c r="C117" s="60" t="s">
        <v>23</v>
      </c>
      <c r="D117" s="60">
        <v>848</v>
      </c>
      <c r="E117" s="60">
        <v>11837</v>
      </c>
      <c r="F117" s="60">
        <v>40566</v>
      </c>
      <c r="G117" s="60" t="s">
        <v>23</v>
      </c>
      <c r="H117" s="60" t="s">
        <v>23</v>
      </c>
      <c r="I117" s="60" t="s">
        <v>23</v>
      </c>
      <c r="J117" s="60" t="s">
        <v>23</v>
      </c>
      <c r="K117" s="60">
        <f t="shared" si="4"/>
        <v>53251</v>
      </c>
    </row>
    <row r="118" spans="1:11">
      <c r="A118" s="95">
        <v>1992</v>
      </c>
      <c r="B118" s="60" t="s">
        <v>23</v>
      </c>
      <c r="C118" s="60" t="s">
        <v>23</v>
      </c>
      <c r="D118" s="60">
        <v>1124</v>
      </c>
      <c r="E118" s="60">
        <v>7072</v>
      </c>
      <c r="F118" s="60">
        <v>27891</v>
      </c>
      <c r="G118" s="60">
        <v>14611</v>
      </c>
      <c r="H118" s="60">
        <v>2351</v>
      </c>
      <c r="I118" s="60" t="s">
        <v>23</v>
      </c>
      <c r="J118" s="60" t="s">
        <v>23</v>
      </c>
      <c r="K118" s="60">
        <f t="shared" si="4"/>
        <v>53049</v>
      </c>
    </row>
    <row r="119" spans="1:11">
      <c r="A119" s="95">
        <v>1993</v>
      </c>
      <c r="B119" s="60" t="s">
        <v>23</v>
      </c>
      <c r="C119" s="60" t="s">
        <v>23</v>
      </c>
      <c r="D119" s="60">
        <v>233</v>
      </c>
      <c r="E119" s="60">
        <v>229</v>
      </c>
      <c r="F119" s="60">
        <v>11588</v>
      </c>
      <c r="G119" s="60">
        <v>5062</v>
      </c>
      <c r="H119" s="60" t="s">
        <v>23</v>
      </c>
      <c r="I119" s="60" t="s">
        <v>23</v>
      </c>
      <c r="J119" s="60" t="s">
        <v>23</v>
      </c>
      <c r="K119" s="60">
        <f t="shared" si="4"/>
        <v>17112</v>
      </c>
    </row>
    <row r="120" spans="1:11">
      <c r="A120" s="95">
        <v>1994</v>
      </c>
      <c r="B120" s="60" t="s">
        <v>23</v>
      </c>
      <c r="C120" s="60" t="s">
        <v>23</v>
      </c>
      <c r="D120" s="60">
        <v>77</v>
      </c>
      <c r="E120" s="60">
        <v>9</v>
      </c>
      <c r="F120" s="60" t="s">
        <v>23</v>
      </c>
      <c r="G120" s="60" t="s">
        <v>23</v>
      </c>
      <c r="H120" s="60" t="s">
        <v>23</v>
      </c>
      <c r="I120" s="60" t="s">
        <v>23</v>
      </c>
      <c r="J120" s="60" t="s">
        <v>23</v>
      </c>
      <c r="K120" s="60">
        <f t="shared" si="4"/>
        <v>86</v>
      </c>
    </row>
    <row r="121" spans="1:11">
      <c r="A121" s="95">
        <v>1995</v>
      </c>
      <c r="B121" s="60" t="s">
        <v>23</v>
      </c>
      <c r="C121" s="60" t="s">
        <v>23</v>
      </c>
      <c r="D121" s="60">
        <v>139</v>
      </c>
      <c r="E121" s="60">
        <v>260</v>
      </c>
      <c r="F121" s="60" t="s">
        <v>23</v>
      </c>
      <c r="G121" s="60" t="s">
        <v>23</v>
      </c>
      <c r="H121" s="60">
        <v>427</v>
      </c>
      <c r="I121" s="60">
        <v>117</v>
      </c>
      <c r="J121" s="60" t="s">
        <v>23</v>
      </c>
      <c r="K121" s="60">
        <f t="shared" si="4"/>
        <v>943</v>
      </c>
    </row>
    <row r="122" spans="1:11">
      <c r="A122" s="95">
        <v>1996</v>
      </c>
      <c r="B122" s="60" t="s">
        <v>23</v>
      </c>
      <c r="C122" s="60" t="s">
        <v>23</v>
      </c>
      <c r="D122" s="60">
        <v>312</v>
      </c>
      <c r="E122" s="60">
        <v>188</v>
      </c>
      <c r="F122" s="60">
        <v>22</v>
      </c>
      <c r="G122" s="60">
        <v>1789</v>
      </c>
      <c r="H122" s="60">
        <v>460</v>
      </c>
      <c r="I122" s="60" t="s">
        <v>23</v>
      </c>
      <c r="J122" s="60" t="s">
        <v>23</v>
      </c>
      <c r="K122" s="60">
        <f t="shared" si="4"/>
        <v>2771</v>
      </c>
    </row>
    <row r="123" spans="1:11">
      <c r="A123" s="95">
        <v>1997</v>
      </c>
      <c r="B123" s="60" t="s">
        <v>23</v>
      </c>
      <c r="C123" s="60">
        <v>25</v>
      </c>
      <c r="D123" s="60">
        <v>130</v>
      </c>
      <c r="E123" s="60">
        <v>169</v>
      </c>
      <c r="F123" s="60">
        <v>112</v>
      </c>
      <c r="G123" s="60">
        <v>1686</v>
      </c>
      <c r="H123" s="60">
        <v>313</v>
      </c>
      <c r="I123" s="60" t="s">
        <v>23</v>
      </c>
      <c r="J123" s="60" t="s">
        <v>23</v>
      </c>
      <c r="K123" s="60">
        <f t="shared" si="4"/>
        <v>2435</v>
      </c>
    </row>
    <row r="124" spans="1:11">
      <c r="A124" s="95">
        <v>1998</v>
      </c>
      <c r="B124" s="60" t="s">
        <v>23</v>
      </c>
      <c r="C124" s="60">
        <v>0</v>
      </c>
      <c r="D124" s="60">
        <v>32</v>
      </c>
      <c r="E124" s="60">
        <v>88</v>
      </c>
      <c r="F124" s="60">
        <v>109</v>
      </c>
      <c r="G124" s="60">
        <v>922</v>
      </c>
      <c r="H124" s="60">
        <v>152</v>
      </c>
      <c r="I124" s="60">
        <v>12</v>
      </c>
      <c r="J124" s="60" t="s">
        <v>23</v>
      </c>
      <c r="K124" s="60">
        <f t="shared" si="4"/>
        <v>1315</v>
      </c>
    </row>
    <row r="125" spans="1:11">
      <c r="A125" s="95">
        <v>1999</v>
      </c>
      <c r="B125" s="60" t="s">
        <v>23</v>
      </c>
      <c r="C125" s="60">
        <v>6</v>
      </c>
      <c r="D125" s="60">
        <v>16</v>
      </c>
      <c r="E125" s="60">
        <v>67</v>
      </c>
      <c r="F125" s="60">
        <v>7127</v>
      </c>
      <c r="G125" s="60">
        <v>139</v>
      </c>
      <c r="H125" s="60">
        <v>46</v>
      </c>
      <c r="I125" s="60">
        <v>26</v>
      </c>
      <c r="J125" s="60" t="s">
        <v>23</v>
      </c>
      <c r="K125" s="60">
        <f t="shared" si="4"/>
        <v>7427</v>
      </c>
    </row>
    <row r="126" spans="1:11">
      <c r="A126" s="95">
        <v>2000</v>
      </c>
      <c r="B126" s="60" t="s">
        <v>23</v>
      </c>
      <c r="C126" s="60">
        <v>4</v>
      </c>
      <c r="D126" s="60">
        <v>15</v>
      </c>
      <c r="E126" s="60">
        <v>56</v>
      </c>
      <c r="F126" s="60">
        <v>11723</v>
      </c>
      <c r="G126" s="60">
        <v>913</v>
      </c>
      <c r="H126" s="60">
        <v>272</v>
      </c>
      <c r="I126" s="60">
        <v>50</v>
      </c>
      <c r="J126" s="60" t="s">
        <v>23</v>
      </c>
      <c r="K126" s="60">
        <f t="shared" si="4"/>
        <v>13033</v>
      </c>
    </row>
    <row r="127" spans="1:11">
      <c r="A127" s="95">
        <v>2001</v>
      </c>
      <c r="B127" s="60" t="s">
        <v>23</v>
      </c>
      <c r="C127" s="60">
        <v>0</v>
      </c>
      <c r="D127" s="60">
        <v>175</v>
      </c>
      <c r="E127" s="60">
        <v>6648</v>
      </c>
      <c r="F127" s="60">
        <v>13301</v>
      </c>
      <c r="G127" s="60">
        <v>2432</v>
      </c>
      <c r="H127" s="60">
        <v>872</v>
      </c>
      <c r="I127" s="60">
        <v>143</v>
      </c>
      <c r="J127" s="60" t="s">
        <v>23</v>
      </c>
      <c r="K127" s="60">
        <f t="shared" si="4"/>
        <v>23571</v>
      </c>
    </row>
    <row r="128" spans="1:11">
      <c r="A128" s="95">
        <v>2002</v>
      </c>
      <c r="B128" s="60" t="s">
        <v>23</v>
      </c>
      <c r="C128" s="60">
        <v>34</v>
      </c>
      <c r="D128" s="60">
        <v>123</v>
      </c>
      <c r="E128" s="60">
        <v>502</v>
      </c>
      <c r="F128" s="60">
        <v>12360</v>
      </c>
      <c r="G128" s="60">
        <v>2837</v>
      </c>
      <c r="H128" s="60">
        <v>1469</v>
      </c>
      <c r="I128" s="60">
        <v>738</v>
      </c>
      <c r="J128" s="60" t="s">
        <v>23</v>
      </c>
      <c r="K128" s="60">
        <f t="shared" si="4"/>
        <v>18063</v>
      </c>
    </row>
    <row r="129" spans="1:11">
      <c r="A129" s="95">
        <v>2003</v>
      </c>
      <c r="B129" s="60">
        <v>24</v>
      </c>
      <c r="C129" s="60">
        <v>28</v>
      </c>
      <c r="D129" s="60">
        <v>310</v>
      </c>
      <c r="E129" s="60">
        <v>3761</v>
      </c>
      <c r="F129" s="60">
        <v>20799</v>
      </c>
      <c r="G129" s="60">
        <v>12739</v>
      </c>
      <c r="H129" s="60">
        <v>1371</v>
      </c>
      <c r="I129" s="60">
        <v>526</v>
      </c>
      <c r="J129" s="60" t="s">
        <v>23</v>
      </c>
      <c r="K129" s="60">
        <f t="shared" si="4"/>
        <v>39558</v>
      </c>
    </row>
    <row r="130" spans="1:11">
      <c r="A130" s="95">
        <v>2004</v>
      </c>
      <c r="B130" s="60">
        <v>36</v>
      </c>
      <c r="C130" s="60">
        <v>57</v>
      </c>
      <c r="D130" s="60">
        <v>139</v>
      </c>
      <c r="E130" s="60">
        <v>4642</v>
      </c>
      <c r="F130" s="60">
        <v>17640</v>
      </c>
      <c r="G130" s="60">
        <v>12676</v>
      </c>
      <c r="H130" s="60">
        <v>3423</v>
      </c>
      <c r="I130" s="60">
        <v>413</v>
      </c>
      <c r="J130" s="60" t="s">
        <v>23</v>
      </c>
      <c r="K130" s="60">
        <f t="shared" si="4"/>
        <v>39026</v>
      </c>
    </row>
    <row r="131" spans="1:11">
      <c r="A131" s="95">
        <v>2005</v>
      </c>
      <c r="B131" s="60">
        <v>0</v>
      </c>
      <c r="C131" s="60">
        <v>264</v>
      </c>
      <c r="D131" s="60">
        <v>429</v>
      </c>
      <c r="E131" s="60">
        <v>3927</v>
      </c>
      <c r="F131" s="60">
        <v>3562</v>
      </c>
      <c r="G131" s="60">
        <v>1863</v>
      </c>
      <c r="H131" s="60">
        <v>3187</v>
      </c>
      <c r="I131" s="60">
        <v>167</v>
      </c>
      <c r="J131" s="60" t="s">
        <v>23</v>
      </c>
      <c r="K131" s="60">
        <f t="shared" si="4"/>
        <v>13399</v>
      </c>
    </row>
    <row r="132" spans="1:11">
      <c r="A132" s="95">
        <v>2006</v>
      </c>
      <c r="B132" s="60">
        <v>8</v>
      </c>
      <c r="C132" s="60">
        <v>43</v>
      </c>
      <c r="D132" s="60">
        <v>139</v>
      </c>
      <c r="E132" s="60">
        <v>1593</v>
      </c>
      <c r="F132" s="60">
        <v>5785</v>
      </c>
      <c r="G132" s="60">
        <v>584</v>
      </c>
      <c r="H132" s="60">
        <v>1919</v>
      </c>
      <c r="I132" s="60">
        <v>299</v>
      </c>
      <c r="J132" s="60" t="s">
        <v>23</v>
      </c>
      <c r="K132" s="60">
        <f t="shared" si="4"/>
        <v>10370</v>
      </c>
    </row>
    <row r="133" spans="1:11">
      <c r="A133" s="95">
        <v>2007</v>
      </c>
      <c r="B133" s="60">
        <v>19</v>
      </c>
      <c r="C133" s="60">
        <v>26</v>
      </c>
      <c r="D133" s="60">
        <v>87</v>
      </c>
      <c r="E133" s="60">
        <v>3472</v>
      </c>
      <c r="F133" s="60">
        <v>8013</v>
      </c>
      <c r="G133" s="60">
        <v>8284</v>
      </c>
      <c r="H133" s="60">
        <v>778</v>
      </c>
      <c r="I133" s="60">
        <v>46</v>
      </c>
      <c r="J133" s="60">
        <v>40</v>
      </c>
      <c r="K133" s="60">
        <f t="shared" si="4"/>
        <v>20765</v>
      </c>
    </row>
    <row r="134" spans="1:11">
      <c r="A134" s="95">
        <v>2008</v>
      </c>
      <c r="B134" s="60" t="s">
        <v>23</v>
      </c>
      <c r="C134" s="60" t="s">
        <v>23</v>
      </c>
      <c r="D134" s="60" t="s">
        <v>23</v>
      </c>
      <c r="E134" s="60">
        <v>1128</v>
      </c>
      <c r="F134" s="60">
        <v>2301</v>
      </c>
      <c r="G134" s="60">
        <v>2020</v>
      </c>
      <c r="H134" s="60" t="s">
        <v>23</v>
      </c>
      <c r="I134" s="60" t="s">
        <v>23</v>
      </c>
      <c r="J134" s="60" t="s">
        <v>23</v>
      </c>
      <c r="K134" s="60">
        <f t="shared" si="4"/>
        <v>5449</v>
      </c>
    </row>
    <row r="135" spans="1:11">
      <c r="A135" s="95">
        <v>2009</v>
      </c>
      <c r="B135" s="60" t="s">
        <v>23</v>
      </c>
      <c r="C135" s="60" t="s">
        <v>23</v>
      </c>
      <c r="D135" s="60" t="s">
        <v>23</v>
      </c>
      <c r="E135" s="60">
        <v>2126</v>
      </c>
      <c r="F135" s="60">
        <v>13786</v>
      </c>
      <c r="G135" s="60">
        <v>12307</v>
      </c>
      <c r="H135" s="60">
        <v>1388</v>
      </c>
      <c r="I135" s="60" t="s">
        <v>23</v>
      </c>
      <c r="J135" s="60" t="s">
        <v>23</v>
      </c>
      <c r="K135" s="60">
        <f t="shared" si="4"/>
        <v>29607</v>
      </c>
    </row>
    <row r="136" spans="1:11">
      <c r="A136" s="95">
        <v>2010</v>
      </c>
      <c r="B136" s="60" t="s">
        <v>23</v>
      </c>
      <c r="C136" s="60" t="s">
        <v>23</v>
      </c>
      <c r="D136" s="60">
        <v>349</v>
      </c>
      <c r="E136" s="60">
        <v>1093</v>
      </c>
      <c r="F136" s="60">
        <v>2933</v>
      </c>
      <c r="G136" s="60">
        <v>8491</v>
      </c>
      <c r="H136" s="60">
        <v>2127</v>
      </c>
      <c r="I136" s="60" t="s">
        <v>23</v>
      </c>
      <c r="J136" s="60" t="s">
        <v>23</v>
      </c>
      <c r="K136" s="60">
        <f t="shared" si="4"/>
        <v>14993</v>
      </c>
    </row>
    <row r="137" spans="1:11">
      <c r="A137" s="95">
        <v>2011</v>
      </c>
      <c r="B137" s="60">
        <v>20</v>
      </c>
      <c r="C137" s="60">
        <v>2</v>
      </c>
      <c r="D137" s="60">
        <v>103</v>
      </c>
      <c r="E137" s="60">
        <v>847</v>
      </c>
      <c r="F137" s="60">
        <v>4550</v>
      </c>
      <c r="G137" s="60">
        <v>2518</v>
      </c>
      <c r="H137" s="60">
        <v>3913</v>
      </c>
      <c r="I137" s="60" t="s">
        <v>23</v>
      </c>
      <c r="J137" s="60" t="s">
        <v>23</v>
      </c>
      <c r="K137" s="60">
        <f t="shared" si="4"/>
        <v>11953</v>
      </c>
    </row>
    <row r="138" spans="1:11">
      <c r="A138" s="95">
        <v>2012</v>
      </c>
      <c r="B138" s="60">
        <v>23</v>
      </c>
      <c r="C138" s="60">
        <v>290</v>
      </c>
      <c r="D138" s="60">
        <v>325</v>
      </c>
      <c r="E138" s="60">
        <v>658</v>
      </c>
      <c r="F138" s="60">
        <v>3425</v>
      </c>
      <c r="G138" s="60">
        <v>4030</v>
      </c>
      <c r="H138" s="60">
        <v>5947</v>
      </c>
      <c r="I138" s="60">
        <v>107</v>
      </c>
      <c r="J138" s="60" t="s">
        <v>23</v>
      </c>
      <c r="K138" s="60">
        <f t="shared" si="4"/>
        <v>14805</v>
      </c>
    </row>
    <row r="139" spans="1:11">
      <c r="A139" s="95">
        <v>2013</v>
      </c>
      <c r="B139" s="60">
        <v>354</v>
      </c>
      <c r="C139" s="60">
        <v>441</v>
      </c>
      <c r="D139" s="60">
        <v>204</v>
      </c>
      <c r="E139" s="60">
        <v>425</v>
      </c>
      <c r="F139" s="60">
        <v>5037</v>
      </c>
      <c r="G139" s="60">
        <v>4073</v>
      </c>
      <c r="H139" s="60">
        <v>4606</v>
      </c>
      <c r="I139" s="60">
        <v>188</v>
      </c>
      <c r="J139" s="60" t="s">
        <v>23</v>
      </c>
      <c r="K139" s="60">
        <f t="shared" si="4"/>
        <v>15328</v>
      </c>
    </row>
    <row r="140" spans="1:11">
      <c r="A140" s="95">
        <v>2014</v>
      </c>
      <c r="B140" s="60">
        <v>87</v>
      </c>
      <c r="C140" s="60">
        <v>83</v>
      </c>
      <c r="D140" s="60">
        <v>492</v>
      </c>
      <c r="E140" s="60">
        <v>2235</v>
      </c>
      <c r="F140" s="60">
        <v>15116</v>
      </c>
      <c r="G140" s="60">
        <v>9307</v>
      </c>
      <c r="H140" s="60">
        <v>9804</v>
      </c>
      <c r="I140" s="60">
        <v>63</v>
      </c>
      <c r="J140" s="60" t="s">
        <v>23</v>
      </c>
      <c r="K140" s="60">
        <f t="shared" si="4"/>
        <v>37187</v>
      </c>
    </row>
    <row r="141" spans="1:11">
      <c r="A141" s="95">
        <v>2015</v>
      </c>
      <c r="B141" s="60">
        <v>48</v>
      </c>
      <c r="C141" s="60">
        <v>76</v>
      </c>
      <c r="D141" s="60">
        <v>136</v>
      </c>
      <c r="E141" s="60">
        <v>716</v>
      </c>
      <c r="F141" s="60">
        <v>9102</v>
      </c>
      <c r="G141" s="60">
        <v>2369</v>
      </c>
      <c r="H141" s="60">
        <v>5680</v>
      </c>
      <c r="I141" s="60">
        <v>75</v>
      </c>
      <c r="J141" s="60" t="s">
        <v>23</v>
      </c>
      <c r="K141" s="60">
        <f t="shared" si="4"/>
        <v>18202</v>
      </c>
    </row>
    <row r="142" spans="1:11">
      <c r="A142" s="95">
        <v>2016</v>
      </c>
      <c r="B142" s="60">
        <v>50</v>
      </c>
      <c r="C142" s="60">
        <v>9</v>
      </c>
      <c r="D142" s="60">
        <v>41</v>
      </c>
      <c r="E142" s="60">
        <v>647</v>
      </c>
      <c r="F142" s="60">
        <v>2448</v>
      </c>
      <c r="G142" s="60">
        <v>1037</v>
      </c>
      <c r="H142" s="60">
        <v>3886</v>
      </c>
      <c r="I142" s="60">
        <v>75</v>
      </c>
      <c r="J142" s="60" t="s">
        <v>23</v>
      </c>
      <c r="K142" s="60">
        <f t="shared" si="4"/>
        <v>8193</v>
      </c>
    </row>
    <row r="143" spans="1:11">
      <c r="A143" s="95">
        <v>2017</v>
      </c>
      <c r="B143" s="60">
        <v>0</v>
      </c>
      <c r="C143" s="60">
        <v>0</v>
      </c>
      <c r="D143" s="60">
        <v>12</v>
      </c>
      <c r="E143" s="60">
        <v>299</v>
      </c>
      <c r="F143" s="60">
        <v>4528</v>
      </c>
      <c r="G143" s="60">
        <v>2751</v>
      </c>
      <c r="H143" s="60">
        <v>2603</v>
      </c>
      <c r="I143" s="60">
        <v>89</v>
      </c>
      <c r="J143" s="60" t="s">
        <v>23</v>
      </c>
      <c r="K143" s="60">
        <f t="shared" si="4"/>
        <v>10282</v>
      </c>
    </row>
    <row r="144" spans="1:11">
      <c r="A144" s="95">
        <v>2018</v>
      </c>
      <c r="B144" s="60">
        <v>39</v>
      </c>
      <c r="C144" s="60">
        <v>0</v>
      </c>
      <c r="D144" s="60">
        <v>125</v>
      </c>
      <c r="E144" s="60">
        <v>538</v>
      </c>
      <c r="F144" s="60">
        <v>5623</v>
      </c>
      <c r="G144" s="60">
        <v>11666</v>
      </c>
      <c r="H144" s="60">
        <v>5502</v>
      </c>
      <c r="I144" s="60">
        <v>70</v>
      </c>
      <c r="J144" s="60" t="s">
        <v>23</v>
      </c>
      <c r="K144" s="60">
        <f>SUM(B144:J144)</f>
        <v>23563</v>
      </c>
    </row>
    <row r="145" spans="1:11">
      <c r="A145" s="95">
        <v>2019</v>
      </c>
      <c r="B145" s="60">
        <v>37</v>
      </c>
      <c r="C145" s="60">
        <v>0</v>
      </c>
      <c r="D145" s="60">
        <v>65</v>
      </c>
      <c r="E145" s="60">
        <v>2864</v>
      </c>
      <c r="F145" s="60">
        <v>16935</v>
      </c>
      <c r="G145" s="60">
        <v>11609</v>
      </c>
      <c r="H145" s="60">
        <v>3507</v>
      </c>
      <c r="I145" s="60">
        <v>96</v>
      </c>
      <c r="J145" s="60" t="s">
        <v>23</v>
      </c>
      <c r="K145" s="60">
        <f t="shared" ref="K145:K146" si="5">SUM(B145:J145)</f>
        <v>35113</v>
      </c>
    </row>
    <row r="146" spans="1:11">
      <c r="A146" s="95">
        <v>2020</v>
      </c>
      <c r="B146" s="60">
        <v>0</v>
      </c>
      <c r="C146" s="60">
        <v>47</v>
      </c>
      <c r="D146" s="60">
        <v>93</v>
      </c>
      <c r="E146" s="60">
        <v>251</v>
      </c>
      <c r="F146" s="60">
        <v>9735</v>
      </c>
      <c r="G146" s="60">
        <v>4938</v>
      </c>
      <c r="H146" s="60">
        <v>3368</v>
      </c>
      <c r="I146" s="60">
        <v>176</v>
      </c>
      <c r="J146" s="60" t="s">
        <v>23</v>
      </c>
      <c r="K146" s="60">
        <f t="shared" si="5"/>
        <v>18608</v>
      </c>
    </row>
    <row r="147" spans="1:11" ht="13">
      <c r="A147" s="95" t="s">
        <v>317</v>
      </c>
      <c r="B147" s="60">
        <v>23</v>
      </c>
      <c r="C147" s="60">
        <v>276</v>
      </c>
      <c r="D147" s="60">
        <v>92</v>
      </c>
      <c r="E147" s="60">
        <v>2418</v>
      </c>
      <c r="F147" s="60">
        <v>18560</v>
      </c>
      <c r="G147" s="60">
        <v>14883</v>
      </c>
      <c r="H147" s="60">
        <v>5588</v>
      </c>
      <c r="I147" s="60">
        <v>21</v>
      </c>
      <c r="J147" s="60" t="s">
        <v>23</v>
      </c>
      <c r="K147" s="60">
        <f t="shared" si="4"/>
        <v>41861</v>
      </c>
    </row>
    <row r="149" spans="1:11">
      <c r="A149" s="88" t="s">
        <v>49</v>
      </c>
    </row>
    <row r="150" spans="1:11">
      <c r="A150" s="99">
        <v>1976</v>
      </c>
      <c r="B150" s="60" t="s">
        <v>23</v>
      </c>
      <c r="C150" s="60">
        <v>0</v>
      </c>
      <c r="D150" s="60">
        <v>5605</v>
      </c>
      <c r="E150" s="60">
        <v>25857</v>
      </c>
      <c r="F150" s="60">
        <v>55125</v>
      </c>
      <c r="G150" s="60">
        <v>54107</v>
      </c>
      <c r="H150" s="60">
        <v>12866</v>
      </c>
      <c r="I150" s="60">
        <v>395</v>
      </c>
      <c r="J150" s="60">
        <v>63</v>
      </c>
      <c r="K150" s="60">
        <f t="shared" ref="K150:K195" si="6">SUM(B150:J150)</f>
        <v>154018</v>
      </c>
    </row>
    <row r="151" spans="1:11">
      <c r="A151" s="99">
        <v>1977</v>
      </c>
      <c r="B151" s="60" t="s">
        <v>23</v>
      </c>
      <c r="C151" s="60">
        <v>0</v>
      </c>
      <c r="D151" s="60">
        <v>9927</v>
      </c>
      <c r="E151" s="60">
        <v>16612</v>
      </c>
      <c r="F151" s="60">
        <v>38995</v>
      </c>
      <c r="G151" s="60">
        <v>27856</v>
      </c>
      <c r="H151" s="60">
        <v>10854</v>
      </c>
      <c r="I151" s="60">
        <v>391</v>
      </c>
      <c r="J151" s="60">
        <v>132</v>
      </c>
      <c r="K151" s="60">
        <f t="shared" si="6"/>
        <v>104767</v>
      </c>
    </row>
    <row r="152" spans="1:11">
      <c r="A152" s="99">
        <v>1978</v>
      </c>
      <c r="B152" s="60" t="s">
        <v>23</v>
      </c>
      <c r="C152" s="60">
        <v>0</v>
      </c>
      <c r="D152" s="60">
        <v>3958</v>
      </c>
      <c r="E152" s="60">
        <v>24509</v>
      </c>
      <c r="F152" s="60">
        <v>39967</v>
      </c>
      <c r="G152" s="60">
        <v>26859</v>
      </c>
      <c r="H152" s="60">
        <v>8261</v>
      </c>
      <c r="I152" s="60">
        <v>1169</v>
      </c>
      <c r="J152" s="60" t="s">
        <v>106</v>
      </c>
      <c r="K152" s="60">
        <f t="shared" si="6"/>
        <v>104723</v>
      </c>
    </row>
    <row r="153" spans="1:11">
      <c r="A153" s="99">
        <v>1979</v>
      </c>
      <c r="B153" s="60" t="s">
        <v>23</v>
      </c>
      <c r="C153" s="60" t="s">
        <v>23</v>
      </c>
      <c r="D153" s="60">
        <v>4776</v>
      </c>
      <c r="E153" s="60">
        <v>21465</v>
      </c>
      <c r="F153" s="60">
        <v>42883</v>
      </c>
      <c r="G153" s="60">
        <v>25240</v>
      </c>
      <c r="H153" s="60">
        <v>301</v>
      </c>
      <c r="I153" s="60" t="s">
        <v>23</v>
      </c>
      <c r="J153" s="60" t="s">
        <v>106</v>
      </c>
      <c r="K153" s="60">
        <f t="shared" si="6"/>
        <v>94665</v>
      </c>
    </row>
    <row r="154" spans="1:11">
      <c r="A154" s="99">
        <v>1980</v>
      </c>
      <c r="B154" s="60" t="s">
        <v>23</v>
      </c>
      <c r="C154" s="60" t="s">
        <v>23</v>
      </c>
      <c r="D154" s="60">
        <v>2214</v>
      </c>
      <c r="E154" s="60">
        <v>32083</v>
      </c>
      <c r="F154" s="60">
        <v>46195</v>
      </c>
      <c r="G154" s="60">
        <v>14325</v>
      </c>
      <c r="H154" s="60">
        <v>2588</v>
      </c>
      <c r="I154" s="60" t="s">
        <v>106</v>
      </c>
      <c r="J154" s="60" t="s">
        <v>106</v>
      </c>
      <c r="K154" s="60">
        <f t="shared" si="6"/>
        <v>97405</v>
      </c>
    </row>
    <row r="155" spans="1:11">
      <c r="A155" s="99">
        <v>1981</v>
      </c>
      <c r="B155" s="60" t="s">
        <v>23</v>
      </c>
      <c r="C155" s="60" t="s">
        <v>23</v>
      </c>
      <c r="D155" s="60">
        <v>6638</v>
      </c>
      <c r="E155" s="60">
        <v>13894</v>
      </c>
      <c r="F155" s="60">
        <v>35213</v>
      </c>
      <c r="G155" s="60">
        <v>22698</v>
      </c>
      <c r="H155" s="60">
        <v>5457</v>
      </c>
      <c r="I155" s="60" t="s">
        <v>106</v>
      </c>
      <c r="J155" s="60" t="s">
        <v>106</v>
      </c>
      <c r="K155" s="60">
        <f t="shared" si="6"/>
        <v>83900</v>
      </c>
    </row>
    <row r="156" spans="1:11">
      <c r="A156" s="99">
        <v>1982</v>
      </c>
      <c r="B156" s="60" t="s">
        <v>23</v>
      </c>
      <c r="C156" s="60" t="s">
        <v>23</v>
      </c>
      <c r="D156" s="60">
        <v>92</v>
      </c>
      <c r="E156" s="60">
        <v>11983</v>
      </c>
      <c r="F156" s="60">
        <v>47280</v>
      </c>
      <c r="G156" s="60" t="s">
        <v>23</v>
      </c>
      <c r="H156" s="60" t="s">
        <v>23</v>
      </c>
      <c r="I156" s="60" t="s">
        <v>106</v>
      </c>
      <c r="J156" s="60" t="s">
        <v>106</v>
      </c>
      <c r="K156" s="60">
        <f t="shared" si="6"/>
        <v>59355</v>
      </c>
    </row>
    <row r="157" spans="1:11">
      <c r="A157" s="99">
        <v>1983</v>
      </c>
      <c r="B157" s="60" t="s">
        <v>23</v>
      </c>
      <c r="C157" s="60" t="s">
        <v>23</v>
      </c>
      <c r="D157" s="60" t="s">
        <v>23</v>
      </c>
      <c r="E157" s="60">
        <v>14223</v>
      </c>
      <c r="F157" s="60">
        <v>36921</v>
      </c>
      <c r="G157" s="60">
        <v>13634</v>
      </c>
      <c r="H157" s="60">
        <v>6850</v>
      </c>
      <c r="I157" s="60" t="s">
        <v>106</v>
      </c>
      <c r="J157" s="60" t="s">
        <v>106</v>
      </c>
      <c r="K157" s="60">
        <f t="shared" si="6"/>
        <v>71628</v>
      </c>
    </row>
    <row r="158" spans="1:11">
      <c r="A158" s="99">
        <v>1984</v>
      </c>
      <c r="B158" s="60" t="s">
        <v>23</v>
      </c>
      <c r="C158" s="60" t="s">
        <v>23</v>
      </c>
      <c r="D158" s="60" t="s">
        <v>23</v>
      </c>
      <c r="E158" s="60" t="s">
        <v>23</v>
      </c>
      <c r="F158" s="60">
        <v>22036</v>
      </c>
      <c r="G158" s="60">
        <v>17872</v>
      </c>
      <c r="H158" s="60">
        <v>328</v>
      </c>
      <c r="I158" s="60" t="s">
        <v>106</v>
      </c>
      <c r="J158" s="60" t="s">
        <v>106</v>
      </c>
      <c r="K158" s="60">
        <f t="shared" si="6"/>
        <v>40236</v>
      </c>
    </row>
    <row r="159" spans="1:11">
      <c r="A159" s="99">
        <v>1985</v>
      </c>
      <c r="B159" s="60" t="s">
        <v>23</v>
      </c>
      <c r="C159" s="60" t="s">
        <v>23</v>
      </c>
      <c r="D159" s="60" t="s">
        <v>23</v>
      </c>
      <c r="E159" s="60" t="s">
        <v>23</v>
      </c>
      <c r="F159" s="60">
        <v>33136</v>
      </c>
      <c r="G159" s="60">
        <v>29192</v>
      </c>
      <c r="H159" s="60">
        <v>1173</v>
      </c>
      <c r="I159" s="60" t="s">
        <v>106</v>
      </c>
      <c r="J159" s="60" t="s">
        <v>106</v>
      </c>
      <c r="K159" s="60">
        <f t="shared" si="6"/>
        <v>63501</v>
      </c>
    </row>
    <row r="160" spans="1:11">
      <c r="A160" s="95">
        <v>1986</v>
      </c>
      <c r="B160" s="60" t="s">
        <v>23</v>
      </c>
      <c r="C160" s="60" t="s">
        <v>23</v>
      </c>
      <c r="D160" s="60">
        <v>780</v>
      </c>
      <c r="E160" s="60">
        <v>4931</v>
      </c>
      <c r="F160" s="60">
        <v>33625</v>
      </c>
      <c r="G160" s="60">
        <v>4269</v>
      </c>
      <c r="H160" s="60" t="s">
        <v>23</v>
      </c>
      <c r="I160" s="60" t="s">
        <v>106</v>
      </c>
      <c r="J160" s="60" t="s">
        <v>106</v>
      </c>
      <c r="K160" s="60">
        <f t="shared" si="6"/>
        <v>43605</v>
      </c>
    </row>
    <row r="161" spans="1:11">
      <c r="A161" s="95">
        <v>1987</v>
      </c>
      <c r="B161" s="60" t="s">
        <v>23</v>
      </c>
      <c r="C161" s="60" t="s">
        <v>23</v>
      </c>
      <c r="D161" s="60" t="s">
        <v>23</v>
      </c>
      <c r="E161" s="60">
        <v>3936</v>
      </c>
      <c r="F161" s="60">
        <v>40589</v>
      </c>
      <c r="G161" s="60">
        <v>12812</v>
      </c>
      <c r="H161" s="60">
        <v>5190</v>
      </c>
      <c r="I161" s="60" t="s">
        <v>106</v>
      </c>
      <c r="J161" s="60" t="s">
        <v>106</v>
      </c>
      <c r="K161" s="60">
        <f t="shared" si="6"/>
        <v>62527</v>
      </c>
    </row>
    <row r="162" spans="1:11">
      <c r="A162" s="95">
        <v>1988</v>
      </c>
      <c r="B162" s="60" t="s">
        <v>23</v>
      </c>
      <c r="C162" s="60" t="s">
        <v>23</v>
      </c>
      <c r="D162" s="60">
        <v>1390</v>
      </c>
      <c r="E162" s="60">
        <v>9792</v>
      </c>
      <c r="F162" s="60">
        <v>33103</v>
      </c>
      <c r="G162" s="60">
        <v>21035</v>
      </c>
      <c r="H162" s="60">
        <v>3651</v>
      </c>
      <c r="I162" s="60" t="s">
        <v>106</v>
      </c>
      <c r="J162" s="60" t="s">
        <v>106</v>
      </c>
      <c r="K162" s="60">
        <f t="shared" si="6"/>
        <v>68971</v>
      </c>
    </row>
    <row r="163" spans="1:11">
      <c r="A163" s="95">
        <v>1989</v>
      </c>
      <c r="B163" s="60" t="s">
        <v>23</v>
      </c>
      <c r="C163" s="60" t="s">
        <v>23</v>
      </c>
      <c r="D163" s="60">
        <v>807</v>
      </c>
      <c r="E163" s="60">
        <v>16238</v>
      </c>
      <c r="F163" s="60">
        <v>33882</v>
      </c>
      <c r="G163" s="60">
        <v>15605</v>
      </c>
      <c r="H163" s="60">
        <v>80</v>
      </c>
      <c r="I163" s="60" t="s">
        <v>106</v>
      </c>
      <c r="J163" s="60" t="s">
        <v>106</v>
      </c>
      <c r="K163" s="60">
        <f t="shared" si="6"/>
        <v>66612</v>
      </c>
    </row>
    <row r="164" spans="1:11">
      <c r="A164" s="95">
        <v>1990</v>
      </c>
      <c r="B164" s="60" t="s">
        <v>23</v>
      </c>
      <c r="C164" s="60" t="s">
        <v>23</v>
      </c>
      <c r="D164" s="60">
        <v>585</v>
      </c>
      <c r="E164" s="60">
        <v>8823</v>
      </c>
      <c r="F164" s="60">
        <v>24288</v>
      </c>
      <c r="G164" s="60">
        <v>24886</v>
      </c>
      <c r="H164" s="60">
        <v>6447</v>
      </c>
      <c r="I164" s="60" t="s">
        <v>23</v>
      </c>
      <c r="J164" s="60" t="s">
        <v>23</v>
      </c>
      <c r="K164" s="60">
        <f t="shared" si="6"/>
        <v>65029</v>
      </c>
    </row>
    <row r="165" spans="1:11">
      <c r="A165" s="95">
        <v>1991</v>
      </c>
      <c r="B165" s="60" t="s">
        <v>23</v>
      </c>
      <c r="C165" s="60" t="s">
        <v>23</v>
      </c>
      <c r="D165" s="60">
        <v>1014</v>
      </c>
      <c r="E165" s="60">
        <v>17280</v>
      </c>
      <c r="F165" s="60">
        <v>39388</v>
      </c>
      <c r="G165" s="60" t="s">
        <v>23</v>
      </c>
      <c r="H165" s="60" t="s">
        <v>23</v>
      </c>
      <c r="I165" s="60" t="s">
        <v>23</v>
      </c>
      <c r="J165" s="60" t="s">
        <v>23</v>
      </c>
      <c r="K165" s="60">
        <f t="shared" si="6"/>
        <v>57682</v>
      </c>
    </row>
    <row r="166" spans="1:11">
      <c r="A166" s="95">
        <v>1992</v>
      </c>
      <c r="B166" s="60" t="s">
        <v>23</v>
      </c>
      <c r="C166" s="60" t="s">
        <v>23</v>
      </c>
      <c r="D166" s="60">
        <v>1396</v>
      </c>
      <c r="E166" s="60">
        <v>9431</v>
      </c>
      <c r="F166" s="60">
        <v>28632</v>
      </c>
      <c r="G166" s="60">
        <v>12782</v>
      </c>
      <c r="H166" s="60">
        <v>3317</v>
      </c>
      <c r="I166" s="60" t="s">
        <v>106</v>
      </c>
      <c r="J166" s="60" t="s">
        <v>23</v>
      </c>
      <c r="K166" s="60">
        <f t="shared" si="6"/>
        <v>55558</v>
      </c>
    </row>
    <row r="167" spans="1:11">
      <c r="A167" s="95">
        <v>1993</v>
      </c>
      <c r="B167" s="60" t="s">
        <v>23</v>
      </c>
      <c r="C167" s="60" t="s">
        <v>23</v>
      </c>
      <c r="D167" s="60">
        <v>339</v>
      </c>
      <c r="E167" s="60">
        <v>867</v>
      </c>
      <c r="F167" s="60">
        <v>10066</v>
      </c>
      <c r="G167" s="60">
        <v>4050</v>
      </c>
      <c r="H167" s="60" t="s">
        <v>23</v>
      </c>
      <c r="I167" s="60" t="s">
        <v>106</v>
      </c>
      <c r="J167" s="60" t="s">
        <v>106</v>
      </c>
      <c r="K167" s="60">
        <f t="shared" si="6"/>
        <v>15322</v>
      </c>
    </row>
    <row r="168" spans="1:11">
      <c r="A168" s="95">
        <v>1994</v>
      </c>
      <c r="B168" s="60" t="s">
        <v>23</v>
      </c>
      <c r="C168" s="60" t="s">
        <v>23</v>
      </c>
      <c r="D168" s="60">
        <v>211</v>
      </c>
      <c r="E168" s="60">
        <v>156</v>
      </c>
      <c r="F168" s="60" t="s">
        <v>23</v>
      </c>
      <c r="G168" s="60" t="s">
        <v>23</v>
      </c>
      <c r="H168" s="60" t="s">
        <v>23</v>
      </c>
      <c r="I168" s="60" t="s">
        <v>106</v>
      </c>
      <c r="J168" s="60" t="s">
        <v>106</v>
      </c>
      <c r="K168" s="60">
        <f t="shared" si="6"/>
        <v>367</v>
      </c>
    </row>
    <row r="169" spans="1:11">
      <c r="A169" s="95">
        <v>1995</v>
      </c>
      <c r="B169" s="60" t="s">
        <v>23</v>
      </c>
      <c r="C169" s="60" t="s">
        <v>23</v>
      </c>
      <c r="D169" s="60">
        <v>64</v>
      </c>
      <c r="E169" s="60">
        <v>494</v>
      </c>
      <c r="F169" s="60" t="s">
        <v>23</v>
      </c>
      <c r="G169" s="60" t="s">
        <v>23</v>
      </c>
      <c r="H169" s="60">
        <v>138</v>
      </c>
      <c r="I169" s="60">
        <v>21</v>
      </c>
      <c r="J169" s="60" t="s">
        <v>106</v>
      </c>
      <c r="K169" s="60">
        <f t="shared" si="6"/>
        <v>717</v>
      </c>
    </row>
    <row r="170" spans="1:11">
      <c r="A170" s="95">
        <v>1996</v>
      </c>
      <c r="B170" s="60" t="s">
        <v>23</v>
      </c>
      <c r="C170" s="60" t="s">
        <v>23</v>
      </c>
      <c r="D170" s="60">
        <v>197</v>
      </c>
      <c r="E170" s="60">
        <v>611</v>
      </c>
      <c r="F170" s="60">
        <v>577</v>
      </c>
      <c r="G170" s="60">
        <v>1881</v>
      </c>
      <c r="H170" s="60">
        <v>651</v>
      </c>
      <c r="I170" s="60" t="s">
        <v>106</v>
      </c>
      <c r="J170" s="60" t="s">
        <v>106</v>
      </c>
      <c r="K170" s="60">
        <f t="shared" si="6"/>
        <v>3917</v>
      </c>
    </row>
    <row r="171" spans="1:11">
      <c r="A171" s="95">
        <v>1997</v>
      </c>
      <c r="B171" s="60" t="s">
        <v>23</v>
      </c>
      <c r="C171" s="60">
        <v>4</v>
      </c>
      <c r="D171" s="60">
        <v>273</v>
      </c>
      <c r="E171" s="60">
        <v>499</v>
      </c>
      <c r="F171" s="60">
        <v>753</v>
      </c>
      <c r="G171" s="60">
        <v>1992</v>
      </c>
      <c r="H171" s="60">
        <v>411</v>
      </c>
      <c r="I171" s="60" t="s">
        <v>106</v>
      </c>
      <c r="J171" s="60" t="s">
        <v>106</v>
      </c>
      <c r="K171" s="60">
        <f t="shared" si="6"/>
        <v>3932</v>
      </c>
    </row>
    <row r="172" spans="1:11">
      <c r="A172" s="95">
        <v>1998</v>
      </c>
      <c r="B172" s="60" t="s">
        <v>23</v>
      </c>
      <c r="C172" s="60">
        <v>0</v>
      </c>
      <c r="D172" s="60">
        <v>36</v>
      </c>
      <c r="E172" s="60">
        <v>19</v>
      </c>
      <c r="F172" s="60">
        <v>255</v>
      </c>
      <c r="G172" s="60">
        <v>1902</v>
      </c>
      <c r="H172" s="60">
        <v>123</v>
      </c>
      <c r="I172" s="60" t="s">
        <v>106</v>
      </c>
      <c r="J172" s="60" t="s">
        <v>106</v>
      </c>
      <c r="K172" s="60">
        <f t="shared" si="6"/>
        <v>2335</v>
      </c>
    </row>
    <row r="173" spans="1:11">
      <c r="A173" s="95">
        <v>1999</v>
      </c>
      <c r="B173" s="60" t="s">
        <v>23</v>
      </c>
      <c r="C173" s="60">
        <v>0</v>
      </c>
      <c r="D173" s="60">
        <v>4</v>
      </c>
      <c r="E173" s="60">
        <v>612</v>
      </c>
      <c r="F173" s="60">
        <v>5034</v>
      </c>
      <c r="G173" s="60">
        <v>1775</v>
      </c>
      <c r="H173" s="60">
        <v>208</v>
      </c>
      <c r="I173" s="60">
        <v>0</v>
      </c>
      <c r="J173" s="60" t="s">
        <v>106</v>
      </c>
      <c r="K173" s="60">
        <f t="shared" si="6"/>
        <v>7633</v>
      </c>
    </row>
    <row r="174" spans="1:11">
      <c r="A174" s="95">
        <v>2000</v>
      </c>
      <c r="B174" s="60" t="s">
        <v>23</v>
      </c>
      <c r="C174" s="60">
        <v>8</v>
      </c>
      <c r="D174" s="60">
        <v>78</v>
      </c>
      <c r="E174" s="60">
        <v>164</v>
      </c>
      <c r="F174" s="60">
        <v>14885</v>
      </c>
      <c r="G174" s="60">
        <v>7213</v>
      </c>
      <c r="H174" s="60">
        <v>1140</v>
      </c>
      <c r="I174" s="60">
        <v>106</v>
      </c>
      <c r="J174" s="60" t="s">
        <v>106</v>
      </c>
      <c r="K174" s="60">
        <f t="shared" si="6"/>
        <v>23594</v>
      </c>
    </row>
    <row r="175" spans="1:11">
      <c r="A175" s="95">
        <v>2001</v>
      </c>
      <c r="B175" s="60" t="s">
        <v>23</v>
      </c>
      <c r="C175" s="60">
        <v>0</v>
      </c>
      <c r="D175" s="60">
        <v>648</v>
      </c>
      <c r="E175" s="60">
        <v>8073</v>
      </c>
      <c r="F175" s="60">
        <v>15394</v>
      </c>
      <c r="G175" s="60">
        <v>6122</v>
      </c>
      <c r="H175" s="60">
        <v>765</v>
      </c>
      <c r="I175" s="60">
        <v>60</v>
      </c>
      <c r="J175" s="60" t="s">
        <v>106</v>
      </c>
      <c r="K175" s="60">
        <f t="shared" si="6"/>
        <v>31062</v>
      </c>
    </row>
    <row r="176" spans="1:11">
      <c r="A176" s="95">
        <v>2002</v>
      </c>
      <c r="B176" s="60" t="s">
        <v>23</v>
      </c>
      <c r="C176" s="60">
        <v>230</v>
      </c>
      <c r="D176" s="60">
        <v>786</v>
      </c>
      <c r="E176" s="60">
        <v>5319</v>
      </c>
      <c r="F176" s="60">
        <v>17293</v>
      </c>
      <c r="G176" s="60">
        <v>6570</v>
      </c>
      <c r="H176" s="60">
        <v>2812</v>
      </c>
      <c r="I176" s="60">
        <v>388</v>
      </c>
      <c r="J176" s="60" t="s">
        <v>106</v>
      </c>
      <c r="K176" s="60">
        <f t="shared" si="6"/>
        <v>33398</v>
      </c>
    </row>
    <row r="177" spans="1:11">
      <c r="A177" s="95">
        <v>2003</v>
      </c>
      <c r="B177" s="60">
        <v>36</v>
      </c>
      <c r="C177" s="60">
        <v>106</v>
      </c>
      <c r="D177" s="60">
        <v>950</v>
      </c>
      <c r="E177" s="60">
        <v>5263</v>
      </c>
      <c r="F177" s="60">
        <v>21326</v>
      </c>
      <c r="G177" s="60">
        <v>12880</v>
      </c>
      <c r="H177" s="60">
        <v>2247</v>
      </c>
      <c r="I177" s="60">
        <v>90</v>
      </c>
      <c r="J177" s="128" t="s">
        <v>106</v>
      </c>
      <c r="K177" s="60">
        <f t="shared" si="6"/>
        <v>42898</v>
      </c>
    </row>
    <row r="178" spans="1:11">
      <c r="A178" s="95">
        <v>2004</v>
      </c>
      <c r="B178" s="60">
        <v>34</v>
      </c>
      <c r="C178" s="60">
        <v>87</v>
      </c>
      <c r="D178" s="60">
        <v>954</v>
      </c>
      <c r="E178" s="60">
        <v>7376</v>
      </c>
      <c r="F178" s="60">
        <v>19875</v>
      </c>
      <c r="G178" s="60">
        <v>9368</v>
      </c>
      <c r="H178" s="60">
        <v>2734</v>
      </c>
      <c r="I178" s="60">
        <v>34</v>
      </c>
      <c r="J178" s="128" t="s">
        <v>106</v>
      </c>
      <c r="K178" s="60">
        <f t="shared" si="6"/>
        <v>40462</v>
      </c>
    </row>
    <row r="179" spans="1:11">
      <c r="A179" s="95">
        <v>2005</v>
      </c>
      <c r="B179" s="60">
        <v>2</v>
      </c>
      <c r="C179" s="60">
        <v>76</v>
      </c>
      <c r="D179" s="60">
        <v>578</v>
      </c>
      <c r="E179" s="60">
        <v>6353</v>
      </c>
      <c r="F179" s="60">
        <v>7042</v>
      </c>
      <c r="G179" s="60">
        <v>6312</v>
      </c>
      <c r="H179" s="60">
        <v>4262</v>
      </c>
      <c r="I179" s="60">
        <v>12</v>
      </c>
      <c r="J179" s="128" t="s">
        <v>106</v>
      </c>
      <c r="K179" s="60">
        <f t="shared" si="6"/>
        <v>24637</v>
      </c>
    </row>
    <row r="180" spans="1:11">
      <c r="A180" s="95">
        <v>2006</v>
      </c>
      <c r="B180" s="60">
        <v>14</v>
      </c>
      <c r="C180" s="60">
        <v>33</v>
      </c>
      <c r="D180" s="60">
        <v>279</v>
      </c>
      <c r="E180" s="60">
        <v>1991</v>
      </c>
      <c r="F180" s="60">
        <v>9250</v>
      </c>
      <c r="G180" s="60">
        <v>2736</v>
      </c>
      <c r="H180" s="60">
        <v>2784</v>
      </c>
      <c r="I180" s="60">
        <v>81</v>
      </c>
      <c r="J180" s="128" t="s">
        <v>106</v>
      </c>
      <c r="K180" s="60">
        <f t="shared" si="6"/>
        <v>17168</v>
      </c>
    </row>
    <row r="181" spans="1:11">
      <c r="A181" s="95">
        <v>2007</v>
      </c>
      <c r="B181" s="60">
        <v>17</v>
      </c>
      <c r="C181" s="60">
        <v>33</v>
      </c>
      <c r="D181" s="60">
        <v>329</v>
      </c>
      <c r="E181" s="60">
        <v>2603</v>
      </c>
      <c r="F181" s="60">
        <v>9442</v>
      </c>
      <c r="G181" s="60">
        <v>9550</v>
      </c>
      <c r="H181" s="60">
        <v>990</v>
      </c>
      <c r="I181" s="60">
        <v>9</v>
      </c>
      <c r="J181" s="128" t="s">
        <v>106</v>
      </c>
      <c r="K181" s="60">
        <f t="shared" si="6"/>
        <v>22973</v>
      </c>
    </row>
    <row r="182" spans="1:11">
      <c r="A182" s="95">
        <v>2008</v>
      </c>
      <c r="B182" s="60" t="s">
        <v>23</v>
      </c>
      <c r="C182" s="60" t="s">
        <v>23</v>
      </c>
      <c r="D182" s="60" t="s">
        <v>23</v>
      </c>
      <c r="E182" s="60">
        <v>1482</v>
      </c>
      <c r="F182" s="60">
        <v>4111</v>
      </c>
      <c r="G182" s="60">
        <v>1806</v>
      </c>
      <c r="H182" s="60" t="s">
        <v>23</v>
      </c>
      <c r="I182" s="60" t="s">
        <v>23</v>
      </c>
      <c r="J182" s="128" t="s">
        <v>106</v>
      </c>
      <c r="K182" s="60">
        <f t="shared" si="6"/>
        <v>7399</v>
      </c>
    </row>
    <row r="183" spans="1:11">
      <c r="A183" s="95">
        <v>2009</v>
      </c>
      <c r="B183" s="60" t="s">
        <v>23</v>
      </c>
      <c r="C183" s="60" t="s">
        <v>23</v>
      </c>
      <c r="D183" s="60" t="s">
        <v>23</v>
      </c>
      <c r="E183" s="60">
        <v>1044</v>
      </c>
      <c r="F183" s="60">
        <v>8744</v>
      </c>
      <c r="G183" s="60">
        <v>3991</v>
      </c>
      <c r="H183" s="60">
        <v>583</v>
      </c>
      <c r="I183" s="128" t="s">
        <v>106</v>
      </c>
      <c r="J183" s="128" t="s">
        <v>106</v>
      </c>
      <c r="K183" s="60">
        <f t="shared" si="6"/>
        <v>14362</v>
      </c>
    </row>
    <row r="184" spans="1:11">
      <c r="A184" s="95">
        <v>2010</v>
      </c>
      <c r="B184" s="60" t="s">
        <v>23</v>
      </c>
      <c r="C184" s="60" t="s">
        <v>23</v>
      </c>
      <c r="D184" s="60">
        <v>388</v>
      </c>
      <c r="E184" s="60">
        <v>709</v>
      </c>
      <c r="F184" s="60">
        <v>2350</v>
      </c>
      <c r="G184" s="60">
        <v>4683</v>
      </c>
      <c r="H184" s="60">
        <v>489</v>
      </c>
      <c r="I184" s="128" t="s">
        <v>106</v>
      </c>
      <c r="J184" s="128" t="s">
        <v>106</v>
      </c>
      <c r="K184" s="60">
        <f t="shared" si="6"/>
        <v>8619</v>
      </c>
    </row>
    <row r="185" spans="1:11">
      <c r="A185" s="95">
        <v>2011</v>
      </c>
      <c r="B185" s="60">
        <v>2</v>
      </c>
      <c r="C185" s="60">
        <v>23</v>
      </c>
      <c r="D185" s="60">
        <v>187</v>
      </c>
      <c r="E185" s="60">
        <v>1182</v>
      </c>
      <c r="F185" s="60">
        <v>2514</v>
      </c>
      <c r="G185" s="60">
        <v>4687</v>
      </c>
      <c r="H185" s="60">
        <v>1711</v>
      </c>
      <c r="I185" s="60" t="s">
        <v>23</v>
      </c>
      <c r="J185" s="128">
        <v>16</v>
      </c>
      <c r="K185" s="60">
        <f t="shared" si="6"/>
        <v>10322</v>
      </c>
    </row>
    <row r="186" spans="1:11">
      <c r="A186" s="95">
        <v>2012</v>
      </c>
      <c r="B186" s="60">
        <v>0</v>
      </c>
      <c r="C186" s="60">
        <v>52</v>
      </c>
      <c r="D186" s="60">
        <v>730</v>
      </c>
      <c r="E186" s="60">
        <v>2290</v>
      </c>
      <c r="F186" s="60">
        <v>4075</v>
      </c>
      <c r="G186" s="60">
        <v>5568</v>
      </c>
      <c r="H186" s="60">
        <v>3647</v>
      </c>
      <c r="I186" s="60">
        <v>77</v>
      </c>
      <c r="J186" s="128">
        <v>18</v>
      </c>
      <c r="K186" s="60">
        <f t="shared" si="6"/>
        <v>16457</v>
      </c>
    </row>
    <row r="187" spans="1:11">
      <c r="A187" s="95">
        <v>2013</v>
      </c>
      <c r="B187" s="60">
        <v>123</v>
      </c>
      <c r="C187" s="60">
        <v>174</v>
      </c>
      <c r="D187" s="60">
        <v>338</v>
      </c>
      <c r="E187" s="60">
        <v>2898</v>
      </c>
      <c r="F187" s="60">
        <v>3011</v>
      </c>
      <c r="G187" s="60">
        <v>19299</v>
      </c>
      <c r="H187" s="60">
        <v>3901</v>
      </c>
      <c r="I187" s="60">
        <v>84</v>
      </c>
      <c r="J187" s="128" t="s">
        <v>106</v>
      </c>
      <c r="K187" s="60">
        <f t="shared" si="6"/>
        <v>29828</v>
      </c>
    </row>
    <row r="188" spans="1:11">
      <c r="A188" s="95">
        <v>2014</v>
      </c>
      <c r="B188" s="60">
        <v>0</v>
      </c>
      <c r="C188" s="60">
        <v>46</v>
      </c>
      <c r="D188" s="60">
        <v>691</v>
      </c>
      <c r="E188" s="60">
        <v>1906</v>
      </c>
      <c r="F188" s="60">
        <v>8659</v>
      </c>
      <c r="G188" s="60">
        <v>11899</v>
      </c>
      <c r="H188" s="60">
        <v>6518</v>
      </c>
      <c r="I188" s="60">
        <v>53</v>
      </c>
      <c r="J188" s="128" t="s">
        <v>106</v>
      </c>
      <c r="K188" s="60">
        <f t="shared" si="6"/>
        <v>29772</v>
      </c>
    </row>
    <row r="189" spans="1:11">
      <c r="A189" s="95">
        <v>2015</v>
      </c>
      <c r="B189" s="60">
        <v>12</v>
      </c>
      <c r="C189" s="60">
        <v>34</v>
      </c>
      <c r="D189" s="60">
        <v>327</v>
      </c>
      <c r="E189" s="60">
        <v>1149</v>
      </c>
      <c r="F189" s="60">
        <v>5664</v>
      </c>
      <c r="G189" s="60">
        <v>3060</v>
      </c>
      <c r="H189" s="60">
        <v>4443</v>
      </c>
      <c r="I189" s="60">
        <v>82</v>
      </c>
      <c r="J189" s="128" t="s">
        <v>106</v>
      </c>
      <c r="K189" s="60">
        <f t="shared" si="6"/>
        <v>14771</v>
      </c>
    </row>
    <row r="190" spans="1:11">
      <c r="A190" s="95">
        <v>2016</v>
      </c>
      <c r="B190" s="60">
        <v>18</v>
      </c>
      <c r="C190" s="60">
        <v>5</v>
      </c>
      <c r="D190" s="60">
        <v>158</v>
      </c>
      <c r="E190" s="60">
        <v>574</v>
      </c>
      <c r="F190" s="60">
        <v>2277</v>
      </c>
      <c r="G190" s="60">
        <v>2943</v>
      </c>
      <c r="H190" s="60">
        <v>5188</v>
      </c>
      <c r="I190" s="60">
        <v>7</v>
      </c>
      <c r="J190" s="128" t="s">
        <v>106</v>
      </c>
      <c r="K190" s="60">
        <f t="shared" si="6"/>
        <v>11170</v>
      </c>
    </row>
    <row r="191" spans="1:11">
      <c r="A191" s="95">
        <v>2017</v>
      </c>
      <c r="B191" s="60">
        <v>17</v>
      </c>
      <c r="C191" s="60">
        <v>48</v>
      </c>
      <c r="D191" s="60">
        <v>153</v>
      </c>
      <c r="E191" s="60">
        <v>925</v>
      </c>
      <c r="F191" s="60">
        <v>3368</v>
      </c>
      <c r="G191" s="60">
        <v>4593</v>
      </c>
      <c r="H191" s="60">
        <v>3640</v>
      </c>
      <c r="I191" s="60">
        <v>72</v>
      </c>
      <c r="J191" s="128" t="s">
        <v>106</v>
      </c>
      <c r="K191" s="60">
        <f t="shared" si="6"/>
        <v>12816</v>
      </c>
    </row>
    <row r="192" spans="1:11">
      <c r="A192" s="95">
        <v>2018</v>
      </c>
      <c r="B192" s="60">
        <v>15</v>
      </c>
      <c r="C192" s="60">
        <v>19</v>
      </c>
      <c r="D192" s="60">
        <v>178</v>
      </c>
      <c r="E192" s="60">
        <v>252</v>
      </c>
      <c r="F192" s="60">
        <v>2410</v>
      </c>
      <c r="G192" s="60">
        <v>6012</v>
      </c>
      <c r="H192" s="60">
        <v>5424</v>
      </c>
      <c r="I192" s="60">
        <v>0</v>
      </c>
      <c r="J192" s="128" t="s">
        <v>106</v>
      </c>
      <c r="K192" s="60">
        <f>SUM(B192:J192)</f>
        <v>14310</v>
      </c>
    </row>
    <row r="193" spans="1:11">
      <c r="A193" s="95">
        <v>2019</v>
      </c>
      <c r="B193" s="60">
        <v>6</v>
      </c>
      <c r="C193" s="60">
        <v>8</v>
      </c>
      <c r="D193" s="60">
        <v>52</v>
      </c>
      <c r="E193" s="60">
        <v>1348</v>
      </c>
      <c r="F193" s="60">
        <v>7337</v>
      </c>
      <c r="G193" s="60">
        <v>6775</v>
      </c>
      <c r="H193" s="60">
        <v>3428</v>
      </c>
      <c r="I193" s="60">
        <v>15</v>
      </c>
      <c r="J193" s="60" t="s">
        <v>23</v>
      </c>
      <c r="K193" s="60">
        <f t="shared" ref="K193:K194" si="7">SUM(B193:J193)</f>
        <v>18969</v>
      </c>
    </row>
    <row r="194" spans="1:11">
      <c r="A194" s="95">
        <v>2020</v>
      </c>
      <c r="B194" s="60">
        <v>3</v>
      </c>
      <c r="C194" s="60">
        <v>65</v>
      </c>
      <c r="D194" s="60">
        <v>88</v>
      </c>
      <c r="E194" s="60">
        <v>164</v>
      </c>
      <c r="F194" s="60">
        <v>7339</v>
      </c>
      <c r="G194" s="60">
        <v>3959</v>
      </c>
      <c r="H194" s="60">
        <v>3735</v>
      </c>
      <c r="I194" s="60">
        <v>134</v>
      </c>
      <c r="J194" s="60" t="s">
        <v>23</v>
      </c>
      <c r="K194" s="60">
        <f t="shared" si="7"/>
        <v>15487</v>
      </c>
    </row>
    <row r="195" spans="1:11" ht="13">
      <c r="A195" s="95" t="s">
        <v>317</v>
      </c>
      <c r="B195" s="60">
        <v>0</v>
      </c>
      <c r="C195" s="60">
        <v>270</v>
      </c>
      <c r="D195" s="60">
        <v>186</v>
      </c>
      <c r="E195" s="60">
        <v>1337</v>
      </c>
      <c r="F195" s="60">
        <v>7494</v>
      </c>
      <c r="G195" s="60">
        <v>6181</v>
      </c>
      <c r="H195" s="60">
        <v>3941</v>
      </c>
      <c r="I195" s="60">
        <v>9</v>
      </c>
      <c r="J195" s="60" t="s">
        <v>23</v>
      </c>
      <c r="K195" s="60">
        <f t="shared" si="6"/>
        <v>19418</v>
      </c>
    </row>
    <row r="197" spans="1:11">
      <c r="A197" s="88" t="s">
        <v>50</v>
      </c>
    </row>
    <row r="198" spans="1:11">
      <c r="A198" s="99">
        <v>1976</v>
      </c>
      <c r="B198" s="60" t="s">
        <v>23</v>
      </c>
      <c r="C198" s="60">
        <v>0</v>
      </c>
      <c r="D198" s="60">
        <v>2087</v>
      </c>
      <c r="E198" s="60">
        <v>12478</v>
      </c>
      <c r="F198" s="60">
        <v>35298</v>
      </c>
      <c r="G198" s="60">
        <v>31980</v>
      </c>
      <c r="H198" s="60">
        <v>7810</v>
      </c>
      <c r="I198" s="60">
        <v>3519</v>
      </c>
      <c r="J198" s="60">
        <v>694</v>
      </c>
      <c r="K198" s="60">
        <f t="shared" ref="K198:K243" si="8">SUM(B198:J198)</f>
        <v>93866</v>
      </c>
    </row>
    <row r="199" spans="1:11">
      <c r="A199" s="99">
        <v>1977</v>
      </c>
      <c r="B199" s="60" t="s">
        <v>23</v>
      </c>
      <c r="C199" s="60">
        <v>0</v>
      </c>
      <c r="D199" s="60">
        <v>1680</v>
      </c>
      <c r="E199" s="60">
        <v>9542</v>
      </c>
      <c r="F199" s="60">
        <v>24046</v>
      </c>
      <c r="G199" s="60">
        <v>20356</v>
      </c>
      <c r="H199" s="60">
        <v>9108</v>
      </c>
      <c r="I199" s="60">
        <v>7965</v>
      </c>
      <c r="J199" s="60">
        <v>997</v>
      </c>
      <c r="K199" s="60">
        <f t="shared" si="8"/>
        <v>73694</v>
      </c>
    </row>
    <row r="200" spans="1:11">
      <c r="A200" s="99">
        <v>1978</v>
      </c>
      <c r="B200" s="60" t="s">
        <v>23</v>
      </c>
      <c r="C200" s="60">
        <v>0</v>
      </c>
      <c r="D200" s="60">
        <v>1947</v>
      </c>
      <c r="E200" s="60">
        <v>19010</v>
      </c>
      <c r="F200" s="60">
        <v>28908</v>
      </c>
      <c r="G200" s="60">
        <v>19937</v>
      </c>
      <c r="H200" s="60">
        <v>8369</v>
      </c>
      <c r="I200" s="60">
        <v>8613</v>
      </c>
      <c r="J200" s="60">
        <v>1528</v>
      </c>
      <c r="K200" s="60">
        <f t="shared" si="8"/>
        <v>88312</v>
      </c>
    </row>
    <row r="201" spans="1:11">
      <c r="A201" s="99">
        <v>1979</v>
      </c>
      <c r="B201" s="60" t="s">
        <v>23</v>
      </c>
      <c r="C201" s="60" t="s">
        <v>23</v>
      </c>
      <c r="D201" s="60">
        <v>301</v>
      </c>
      <c r="E201" s="60">
        <v>4877</v>
      </c>
      <c r="F201" s="60">
        <v>26977</v>
      </c>
      <c r="G201" s="60">
        <v>18542</v>
      </c>
      <c r="H201" s="60">
        <v>3290</v>
      </c>
      <c r="I201" s="60">
        <v>5025</v>
      </c>
      <c r="J201" s="60">
        <v>935</v>
      </c>
      <c r="K201" s="60">
        <f t="shared" si="8"/>
        <v>59947</v>
      </c>
    </row>
    <row r="202" spans="1:11">
      <c r="A202" s="99">
        <v>1980</v>
      </c>
      <c r="B202" s="60" t="s">
        <v>23</v>
      </c>
      <c r="C202" s="60" t="s">
        <v>23</v>
      </c>
      <c r="D202" s="60">
        <v>237</v>
      </c>
      <c r="E202" s="60">
        <v>13299</v>
      </c>
      <c r="F202" s="60">
        <v>23913</v>
      </c>
      <c r="G202" s="60">
        <v>9996</v>
      </c>
      <c r="H202" s="60">
        <v>5264</v>
      </c>
      <c r="I202" s="60">
        <v>2900</v>
      </c>
      <c r="J202" s="60">
        <v>412</v>
      </c>
      <c r="K202" s="60">
        <f t="shared" si="8"/>
        <v>56021</v>
      </c>
    </row>
    <row r="203" spans="1:11">
      <c r="A203" s="99">
        <v>1981</v>
      </c>
      <c r="B203" s="60" t="s">
        <v>23</v>
      </c>
      <c r="C203" s="60" t="s">
        <v>23</v>
      </c>
      <c r="D203" s="60">
        <v>2675</v>
      </c>
      <c r="E203" s="60">
        <v>16457</v>
      </c>
      <c r="F203" s="60">
        <v>23727</v>
      </c>
      <c r="G203" s="60">
        <v>19330</v>
      </c>
      <c r="H203" s="60">
        <v>2253</v>
      </c>
      <c r="I203" s="60">
        <v>2324</v>
      </c>
      <c r="J203" s="60">
        <v>313</v>
      </c>
      <c r="K203" s="60">
        <f t="shared" si="8"/>
        <v>67079</v>
      </c>
    </row>
    <row r="204" spans="1:11">
      <c r="A204" s="99">
        <v>1982</v>
      </c>
      <c r="B204" s="60" t="s">
        <v>23</v>
      </c>
      <c r="C204" s="60" t="s">
        <v>23</v>
      </c>
      <c r="D204" s="60">
        <v>370</v>
      </c>
      <c r="E204" s="60">
        <v>5175</v>
      </c>
      <c r="F204" s="60">
        <v>39710</v>
      </c>
      <c r="G204" s="60">
        <v>10239</v>
      </c>
      <c r="H204" s="60">
        <v>2976</v>
      </c>
      <c r="I204" s="60">
        <v>2606</v>
      </c>
      <c r="J204" s="60">
        <v>278</v>
      </c>
      <c r="K204" s="60">
        <f t="shared" si="8"/>
        <v>61354</v>
      </c>
    </row>
    <row r="205" spans="1:11">
      <c r="A205" s="99">
        <v>1983</v>
      </c>
      <c r="B205" s="60" t="s">
        <v>23</v>
      </c>
      <c r="C205" s="60" t="s">
        <v>23</v>
      </c>
      <c r="D205" s="60">
        <v>835</v>
      </c>
      <c r="E205" s="60">
        <v>9801</v>
      </c>
      <c r="F205" s="60">
        <v>22670</v>
      </c>
      <c r="G205" s="60">
        <v>11198</v>
      </c>
      <c r="H205" s="60">
        <v>6051</v>
      </c>
      <c r="I205" s="60">
        <v>5024</v>
      </c>
      <c r="J205" s="60">
        <v>98</v>
      </c>
      <c r="K205" s="60">
        <f t="shared" si="8"/>
        <v>55677</v>
      </c>
    </row>
    <row r="206" spans="1:11">
      <c r="A206" s="99">
        <v>1984</v>
      </c>
      <c r="B206" s="60" t="s">
        <v>23</v>
      </c>
      <c r="C206" s="60" t="s">
        <v>23</v>
      </c>
      <c r="D206" s="60" t="s">
        <v>23</v>
      </c>
      <c r="E206" s="60" t="s">
        <v>23</v>
      </c>
      <c r="F206" s="60">
        <v>15101</v>
      </c>
      <c r="G206" s="60">
        <v>16834</v>
      </c>
      <c r="H206" s="60">
        <v>2948</v>
      </c>
      <c r="I206" s="60">
        <v>3089</v>
      </c>
      <c r="J206" s="60" t="s">
        <v>23</v>
      </c>
      <c r="K206" s="60">
        <f t="shared" si="8"/>
        <v>37972</v>
      </c>
    </row>
    <row r="207" spans="1:11">
      <c r="A207" s="99">
        <v>1985</v>
      </c>
      <c r="B207" s="60" t="s">
        <v>23</v>
      </c>
      <c r="C207" s="60" t="s">
        <v>23</v>
      </c>
      <c r="D207" s="60">
        <v>4556</v>
      </c>
      <c r="E207" s="60" t="s">
        <v>23</v>
      </c>
      <c r="F207" s="60">
        <v>28538</v>
      </c>
      <c r="G207" s="60">
        <v>19333</v>
      </c>
      <c r="H207" s="60">
        <v>2557</v>
      </c>
      <c r="I207" s="60">
        <v>3967</v>
      </c>
      <c r="J207" s="60" t="s">
        <v>23</v>
      </c>
      <c r="K207" s="60">
        <f t="shared" si="8"/>
        <v>58951</v>
      </c>
    </row>
    <row r="208" spans="1:11">
      <c r="A208" s="95">
        <v>1986</v>
      </c>
      <c r="B208" s="60" t="s">
        <v>23</v>
      </c>
      <c r="C208" s="60" t="s">
        <v>23</v>
      </c>
      <c r="D208" s="60">
        <v>3556</v>
      </c>
      <c r="E208" s="60">
        <v>10440</v>
      </c>
      <c r="F208" s="60">
        <v>20138</v>
      </c>
      <c r="G208" s="60">
        <v>12991</v>
      </c>
      <c r="H208" s="60">
        <v>597</v>
      </c>
      <c r="I208" s="60">
        <v>5020</v>
      </c>
      <c r="J208" s="60" t="s">
        <v>23</v>
      </c>
      <c r="K208" s="60">
        <f t="shared" si="8"/>
        <v>52742</v>
      </c>
    </row>
    <row r="209" spans="1:11">
      <c r="A209" s="95">
        <v>1987</v>
      </c>
      <c r="B209" s="60" t="s">
        <v>23</v>
      </c>
      <c r="C209" s="60" t="s">
        <v>23</v>
      </c>
      <c r="D209" s="60">
        <v>2318</v>
      </c>
      <c r="E209" s="60">
        <v>9967</v>
      </c>
      <c r="F209" s="60">
        <v>28967</v>
      </c>
      <c r="G209" s="60">
        <v>15162</v>
      </c>
      <c r="H209" s="60">
        <v>7963</v>
      </c>
      <c r="I209" s="60">
        <v>5040</v>
      </c>
      <c r="J209" s="60" t="s">
        <v>23</v>
      </c>
      <c r="K209" s="60">
        <f t="shared" si="8"/>
        <v>69417</v>
      </c>
    </row>
    <row r="210" spans="1:11">
      <c r="A210" s="95">
        <v>1988</v>
      </c>
      <c r="B210" s="60" t="s">
        <v>23</v>
      </c>
      <c r="C210" s="60" t="s">
        <v>23</v>
      </c>
      <c r="D210" s="60">
        <v>799</v>
      </c>
      <c r="E210" s="60">
        <v>14154</v>
      </c>
      <c r="F210" s="60">
        <v>25162</v>
      </c>
      <c r="G210" s="60">
        <v>11334</v>
      </c>
      <c r="H210" s="60">
        <v>1626</v>
      </c>
      <c r="I210" s="60" t="s">
        <v>23</v>
      </c>
      <c r="J210" s="60" t="s">
        <v>23</v>
      </c>
      <c r="K210" s="60">
        <f t="shared" si="8"/>
        <v>53075</v>
      </c>
    </row>
    <row r="211" spans="1:11">
      <c r="A211" s="95">
        <v>1989</v>
      </c>
      <c r="B211" s="60" t="s">
        <v>23</v>
      </c>
      <c r="C211" s="60" t="s">
        <v>23</v>
      </c>
      <c r="D211" s="60">
        <v>3065</v>
      </c>
      <c r="E211" s="60">
        <v>15733</v>
      </c>
      <c r="F211" s="60">
        <v>26568</v>
      </c>
      <c r="G211" s="60">
        <v>16285</v>
      </c>
      <c r="H211" s="60">
        <v>4461</v>
      </c>
      <c r="I211" s="60" t="s">
        <v>23</v>
      </c>
      <c r="J211" s="60" t="s">
        <v>23</v>
      </c>
      <c r="K211" s="60">
        <f t="shared" si="8"/>
        <v>66112</v>
      </c>
    </row>
    <row r="212" spans="1:11">
      <c r="A212" s="95">
        <v>1990</v>
      </c>
      <c r="B212" s="60" t="s">
        <v>23</v>
      </c>
      <c r="C212" s="60" t="s">
        <v>23</v>
      </c>
      <c r="D212" s="60">
        <v>1391</v>
      </c>
      <c r="E212" s="60">
        <v>14533</v>
      </c>
      <c r="F212" s="60">
        <v>22802</v>
      </c>
      <c r="G212" s="60">
        <v>11541</v>
      </c>
      <c r="H212" s="60">
        <v>845</v>
      </c>
      <c r="I212" s="60" t="s">
        <v>23</v>
      </c>
      <c r="J212" s="60" t="s">
        <v>23</v>
      </c>
      <c r="K212" s="60">
        <f t="shared" si="8"/>
        <v>51112</v>
      </c>
    </row>
    <row r="213" spans="1:11">
      <c r="A213" s="95">
        <v>1991</v>
      </c>
      <c r="B213" s="60" t="s">
        <v>23</v>
      </c>
      <c r="C213" s="60" t="s">
        <v>23</v>
      </c>
      <c r="D213" s="60">
        <v>1110</v>
      </c>
      <c r="E213" s="60">
        <v>11581</v>
      </c>
      <c r="F213" s="60">
        <v>17848</v>
      </c>
      <c r="G213" s="60">
        <v>1911</v>
      </c>
      <c r="H213" s="60">
        <v>3997</v>
      </c>
      <c r="I213" s="60" t="s">
        <v>23</v>
      </c>
      <c r="J213" s="60" t="s">
        <v>23</v>
      </c>
      <c r="K213" s="60">
        <f t="shared" si="8"/>
        <v>36447</v>
      </c>
    </row>
    <row r="214" spans="1:11">
      <c r="A214" s="95">
        <v>1992</v>
      </c>
      <c r="B214" s="60" t="s">
        <v>23</v>
      </c>
      <c r="C214" s="60" t="s">
        <v>23</v>
      </c>
      <c r="D214" s="60" t="s">
        <v>23</v>
      </c>
      <c r="E214" s="60" t="s">
        <v>23</v>
      </c>
      <c r="F214" s="60">
        <v>8888</v>
      </c>
      <c r="G214" s="60" t="s">
        <v>23</v>
      </c>
      <c r="H214" s="60">
        <v>4900</v>
      </c>
      <c r="I214" s="60">
        <v>3862</v>
      </c>
      <c r="J214" s="60" t="s">
        <v>23</v>
      </c>
      <c r="K214" s="60">
        <f t="shared" si="8"/>
        <v>17650</v>
      </c>
    </row>
    <row r="215" spans="1:11">
      <c r="A215" s="95">
        <v>1993</v>
      </c>
      <c r="B215" s="60" t="s">
        <v>23</v>
      </c>
      <c r="C215" s="60" t="s">
        <v>23</v>
      </c>
      <c r="D215" s="60">
        <v>1670</v>
      </c>
      <c r="E215" s="60">
        <v>4730</v>
      </c>
      <c r="F215" s="60">
        <v>6544</v>
      </c>
      <c r="G215" s="60">
        <v>8061</v>
      </c>
      <c r="H215" s="60">
        <v>2786</v>
      </c>
      <c r="I215" s="60" t="s">
        <v>23</v>
      </c>
      <c r="J215" s="60" t="s">
        <v>23</v>
      </c>
      <c r="K215" s="60">
        <f t="shared" si="8"/>
        <v>23791</v>
      </c>
    </row>
    <row r="216" spans="1:11">
      <c r="A216" s="95">
        <v>1994</v>
      </c>
      <c r="B216" s="60" t="s">
        <v>23</v>
      </c>
      <c r="C216" s="60" t="s">
        <v>23</v>
      </c>
      <c r="D216" s="60">
        <v>6347</v>
      </c>
      <c r="E216" s="60">
        <v>1296</v>
      </c>
      <c r="F216" s="60" t="s">
        <v>23</v>
      </c>
      <c r="G216" s="60">
        <v>1383</v>
      </c>
      <c r="H216" s="60">
        <v>2910</v>
      </c>
      <c r="I216" s="60">
        <v>4222</v>
      </c>
      <c r="J216" s="60" t="s">
        <v>23</v>
      </c>
      <c r="K216" s="60">
        <f t="shared" si="8"/>
        <v>16158</v>
      </c>
    </row>
    <row r="217" spans="1:11">
      <c r="A217" s="95">
        <v>1995</v>
      </c>
      <c r="B217" s="60" t="s">
        <v>23</v>
      </c>
      <c r="C217" s="60" t="s">
        <v>23</v>
      </c>
      <c r="D217" s="60">
        <v>2336</v>
      </c>
      <c r="E217" s="60">
        <v>6221</v>
      </c>
      <c r="F217" s="60" t="s">
        <v>23</v>
      </c>
      <c r="G217" s="60">
        <v>1977</v>
      </c>
      <c r="H217" s="60">
        <v>5478</v>
      </c>
      <c r="I217" s="60">
        <v>3410</v>
      </c>
      <c r="J217" s="60" t="s">
        <v>23</v>
      </c>
      <c r="K217" s="60">
        <f t="shared" si="8"/>
        <v>19422</v>
      </c>
    </row>
    <row r="218" spans="1:11">
      <c r="A218" s="95">
        <v>1996</v>
      </c>
      <c r="B218" s="60" t="s">
        <v>23</v>
      </c>
      <c r="C218" s="60" t="s">
        <v>23</v>
      </c>
      <c r="D218" s="60">
        <v>1687</v>
      </c>
      <c r="E218" s="60">
        <v>5922</v>
      </c>
      <c r="F218" s="60">
        <v>2205</v>
      </c>
      <c r="G218" s="60">
        <v>6020</v>
      </c>
      <c r="H218" s="60">
        <v>3226</v>
      </c>
      <c r="I218" s="60">
        <v>4282</v>
      </c>
      <c r="J218" s="60" t="s">
        <v>23</v>
      </c>
      <c r="K218" s="60">
        <f t="shared" si="8"/>
        <v>23342</v>
      </c>
    </row>
    <row r="219" spans="1:11">
      <c r="A219" s="95">
        <v>1997</v>
      </c>
      <c r="B219" s="60" t="s">
        <v>23</v>
      </c>
      <c r="C219" s="60" t="s">
        <v>23</v>
      </c>
      <c r="D219" s="60">
        <v>2477</v>
      </c>
      <c r="E219" s="60">
        <v>3466</v>
      </c>
      <c r="F219" s="60">
        <v>2892</v>
      </c>
      <c r="G219" s="60">
        <v>5461</v>
      </c>
      <c r="H219" s="60">
        <v>1019</v>
      </c>
      <c r="I219" s="60">
        <v>1269</v>
      </c>
      <c r="J219" s="60" t="s">
        <v>23</v>
      </c>
      <c r="K219" s="60">
        <f t="shared" si="8"/>
        <v>16584</v>
      </c>
    </row>
    <row r="220" spans="1:11">
      <c r="A220" s="95">
        <v>1998</v>
      </c>
      <c r="B220" s="60" t="s">
        <v>23</v>
      </c>
      <c r="C220" s="60" t="s">
        <v>23</v>
      </c>
      <c r="D220" s="60">
        <v>1384</v>
      </c>
      <c r="E220" s="60">
        <v>2221</v>
      </c>
      <c r="F220" s="60">
        <v>1546</v>
      </c>
      <c r="G220" s="60">
        <v>4178</v>
      </c>
      <c r="H220" s="60">
        <v>2013</v>
      </c>
      <c r="I220" s="60">
        <v>2755</v>
      </c>
      <c r="J220" s="60" t="s">
        <v>23</v>
      </c>
      <c r="K220" s="60">
        <f t="shared" si="8"/>
        <v>14097</v>
      </c>
    </row>
    <row r="221" spans="1:11">
      <c r="A221" s="95">
        <v>1999</v>
      </c>
      <c r="B221" s="60" t="s">
        <v>23</v>
      </c>
      <c r="C221" s="60" t="s">
        <v>23</v>
      </c>
      <c r="D221" s="60">
        <v>151</v>
      </c>
      <c r="E221" s="60">
        <v>911</v>
      </c>
      <c r="F221" s="60">
        <v>2485</v>
      </c>
      <c r="G221" s="60">
        <v>6595</v>
      </c>
      <c r="H221" s="60">
        <v>3325</v>
      </c>
      <c r="I221" s="60">
        <v>2318</v>
      </c>
      <c r="J221" s="60" t="s">
        <v>23</v>
      </c>
      <c r="K221" s="60">
        <f t="shared" si="8"/>
        <v>15785</v>
      </c>
    </row>
    <row r="222" spans="1:11">
      <c r="A222" s="95">
        <v>2000</v>
      </c>
      <c r="B222" s="60" t="s">
        <v>23</v>
      </c>
      <c r="C222" s="60" t="s">
        <v>23</v>
      </c>
      <c r="D222" s="60">
        <v>186</v>
      </c>
      <c r="E222" s="60">
        <v>2589</v>
      </c>
      <c r="F222" s="60">
        <v>2637</v>
      </c>
      <c r="G222" s="60">
        <v>11912</v>
      </c>
      <c r="H222" s="60">
        <v>1478</v>
      </c>
      <c r="I222" s="60">
        <v>3205</v>
      </c>
      <c r="J222" s="60" t="s">
        <v>23</v>
      </c>
      <c r="K222" s="60">
        <f t="shared" si="8"/>
        <v>22007</v>
      </c>
    </row>
    <row r="223" spans="1:11">
      <c r="A223" s="95">
        <v>2001</v>
      </c>
      <c r="B223" s="60" t="s">
        <v>23</v>
      </c>
      <c r="C223" s="60" t="s">
        <v>23</v>
      </c>
      <c r="D223" s="60">
        <v>3667</v>
      </c>
      <c r="E223" s="60">
        <v>4123</v>
      </c>
      <c r="F223" s="60">
        <v>4409</v>
      </c>
      <c r="G223" s="60">
        <v>9200</v>
      </c>
      <c r="H223" s="60">
        <v>362</v>
      </c>
      <c r="I223" s="60">
        <v>4340</v>
      </c>
      <c r="J223" s="60" t="s">
        <v>23</v>
      </c>
      <c r="K223" s="60">
        <f t="shared" si="8"/>
        <v>26101</v>
      </c>
    </row>
    <row r="224" spans="1:11">
      <c r="A224" s="95">
        <v>2002</v>
      </c>
      <c r="B224" s="60" t="s">
        <v>23</v>
      </c>
      <c r="C224" s="60" t="s">
        <v>23</v>
      </c>
      <c r="D224" s="60">
        <v>1767</v>
      </c>
      <c r="E224" s="60">
        <v>4048</v>
      </c>
      <c r="F224" s="60">
        <v>528</v>
      </c>
      <c r="G224" s="60">
        <v>5651</v>
      </c>
      <c r="H224" s="60">
        <v>3755</v>
      </c>
      <c r="I224" s="60">
        <v>3973</v>
      </c>
      <c r="J224" s="60" t="s">
        <v>23</v>
      </c>
      <c r="K224" s="60">
        <f t="shared" si="8"/>
        <v>19722</v>
      </c>
    </row>
    <row r="225" spans="1:11">
      <c r="A225" s="95">
        <v>2003</v>
      </c>
      <c r="B225" s="60" t="s">
        <v>23</v>
      </c>
      <c r="C225" s="60" t="s">
        <v>23</v>
      </c>
      <c r="D225" s="60">
        <v>1124</v>
      </c>
      <c r="E225" s="60">
        <v>1480</v>
      </c>
      <c r="F225" s="60">
        <v>3910</v>
      </c>
      <c r="G225" s="60">
        <v>4081</v>
      </c>
      <c r="H225" s="60">
        <v>1522</v>
      </c>
      <c r="I225" s="60">
        <v>2630</v>
      </c>
      <c r="J225" s="60" t="s">
        <v>23</v>
      </c>
      <c r="K225" s="60">
        <f t="shared" si="8"/>
        <v>14747</v>
      </c>
    </row>
    <row r="226" spans="1:11">
      <c r="A226" s="95">
        <v>2004</v>
      </c>
      <c r="B226" s="60" t="s">
        <v>23</v>
      </c>
      <c r="C226" s="60" t="s">
        <v>23</v>
      </c>
      <c r="D226" s="60">
        <v>1232</v>
      </c>
      <c r="E226" s="60">
        <v>3448</v>
      </c>
      <c r="F226" s="60">
        <v>3813</v>
      </c>
      <c r="G226" s="60">
        <v>4396</v>
      </c>
      <c r="H226" s="60">
        <v>3845</v>
      </c>
      <c r="I226" s="60">
        <v>1575</v>
      </c>
      <c r="J226" s="60" t="s">
        <v>23</v>
      </c>
      <c r="K226" s="60">
        <f t="shared" si="8"/>
        <v>18309</v>
      </c>
    </row>
    <row r="227" spans="1:11">
      <c r="A227" s="95">
        <v>2005</v>
      </c>
      <c r="B227" s="60" t="s">
        <v>23</v>
      </c>
      <c r="C227" s="60" t="s">
        <v>23</v>
      </c>
      <c r="D227" s="60">
        <v>525</v>
      </c>
      <c r="E227" s="60">
        <v>3510</v>
      </c>
      <c r="F227" s="60">
        <v>280</v>
      </c>
      <c r="G227" s="60">
        <v>2802</v>
      </c>
      <c r="H227" s="60">
        <v>3063</v>
      </c>
      <c r="I227" s="60">
        <v>2398</v>
      </c>
      <c r="J227" s="60" t="s">
        <v>23</v>
      </c>
      <c r="K227" s="60">
        <f t="shared" si="8"/>
        <v>12578</v>
      </c>
    </row>
    <row r="228" spans="1:11">
      <c r="A228" s="95">
        <v>2006</v>
      </c>
      <c r="B228" s="60" t="s">
        <v>23</v>
      </c>
      <c r="C228" s="60" t="s">
        <v>23</v>
      </c>
      <c r="D228" s="60">
        <v>611</v>
      </c>
      <c r="E228" s="60">
        <v>2657</v>
      </c>
      <c r="F228" s="60">
        <v>716</v>
      </c>
      <c r="G228" s="60" t="s">
        <v>23</v>
      </c>
      <c r="H228" s="60">
        <v>3565</v>
      </c>
      <c r="I228" s="60">
        <v>3081</v>
      </c>
      <c r="J228" s="60" t="s">
        <v>23</v>
      </c>
      <c r="K228" s="60">
        <f t="shared" si="8"/>
        <v>10630</v>
      </c>
    </row>
    <row r="229" spans="1:11">
      <c r="A229" s="95">
        <v>2007</v>
      </c>
      <c r="B229" s="60" t="s">
        <v>23</v>
      </c>
      <c r="C229" s="60" t="s">
        <v>23</v>
      </c>
      <c r="D229" s="60">
        <v>332</v>
      </c>
      <c r="E229" s="60">
        <v>752</v>
      </c>
      <c r="F229" s="60">
        <v>1600</v>
      </c>
      <c r="G229" s="60">
        <v>4741</v>
      </c>
      <c r="H229" s="60">
        <v>424</v>
      </c>
      <c r="I229" s="60">
        <v>3263</v>
      </c>
      <c r="J229" s="60" t="s">
        <v>23</v>
      </c>
      <c r="K229" s="60">
        <f t="shared" si="8"/>
        <v>11112</v>
      </c>
    </row>
    <row r="230" spans="1:11">
      <c r="A230" s="95">
        <v>2008</v>
      </c>
      <c r="B230" s="60" t="s">
        <v>23</v>
      </c>
      <c r="C230" s="60" t="s">
        <v>23</v>
      </c>
      <c r="D230" s="60" t="s">
        <v>23</v>
      </c>
      <c r="E230" s="60">
        <v>712</v>
      </c>
      <c r="F230" s="60">
        <v>2317</v>
      </c>
      <c r="G230" s="60">
        <v>701</v>
      </c>
      <c r="H230" s="60" t="s">
        <v>23</v>
      </c>
      <c r="I230" s="60">
        <v>1065</v>
      </c>
      <c r="J230" s="60" t="s">
        <v>23</v>
      </c>
      <c r="K230" s="60">
        <f t="shared" si="8"/>
        <v>4795</v>
      </c>
    </row>
    <row r="231" spans="1:11">
      <c r="A231" s="95">
        <v>2009</v>
      </c>
      <c r="B231" s="60" t="s">
        <v>23</v>
      </c>
      <c r="C231" s="60" t="s">
        <v>23</v>
      </c>
      <c r="D231" s="60" t="s">
        <v>23</v>
      </c>
      <c r="E231" s="60">
        <v>268</v>
      </c>
      <c r="F231" s="60">
        <v>2329</v>
      </c>
      <c r="G231" s="60">
        <v>754</v>
      </c>
      <c r="H231" s="60">
        <v>2580</v>
      </c>
      <c r="I231" s="60" t="s">
        <v>23</v>
      </c>
      <c r="J231" s="60" t="s">
        <v>23</v>
      </c>
      <c r="K231" s="60">
        <f t="shared" si="8"/>
        <v>5931</v>
      </c>
    </row>
    <row r="232" spans="1:11">
      <c r="A232" s="95">
        <v>2010</v>
      </c>
      <c r="B232" s="60" t="s">
        <v>23</v>
      </c>
      <c r="C232" s="60" t="s">
        <v>23</v>
      </c>
      <c r="D232" s="60">
        <v>129</v>
      </c>
      <c r="E232" s="60">
        <v>95</v>
      </c>
      <c r="F232" s="60">
        <v>335</v>
      </c>
      <c r="G232" s="60">
        <v>619</v>
      </c>
      <c r="H232" s="60">
        <v>2502</v>
      </c>
      <c r="I232" s="60">
        <v>2270</v>
      </c>
      <c r="J232" s="60" t="s">
        <v>23</v>
      </c>
      <c r="K232" s="60">
        <f t="shared" si="8"/>
        <v>5950</v>
      </c>
    </row>
    <row r="233" spans="1:11">
      <c r="A233" s="95">
        <v>2011</v>
      </c>
      <c r="B233" s="60" t="s">
        <v>23</v>
      </c>
      <c r="C233" s="60" t="s">
        <v>23</v>
      </c>
      <c r="D233" s="60">
        <v>393</v>
      </c>
      <c r="E233" s="60">
        <v>296</v>
      </c>
      <c r="F233" s="60">
        <v>189</v>
      </c>
      <c r="G233" s="60">
        <v>1772</v>
      </c>
      <c r="H233" s="60">
        <v>1853</v>
      </c>
      <c r="I233" s="60">
        <v>1757</v>
      </c>
      <c r="J233" s="60" t="s">
        <v>23</v>
      </c>
      <c r="K233" s="60">
        <f t="shared" si="8"/>
        <v>6260</v>
      </c>
    </row>
    <row r="234" spans="1:11">
      <c r="A234" s="95">
        <v>2012</v>
      </c>
      <c r="B234" s="60" t="s">
        <v>23</v>
      </c>
      <c r="C234" s="60" t="s">
        <v>23</v>
      </c>
      <c r="D234" s="60">
        <v>484</v>
      </c>
      <c r="E234" s="60">
        <v>1982</v>
      </c>
      <c r="F234" s="60">
        <v>4678</v>
      </c>
      <c r="G234" s="60">
        <v>6810</v>
      </c>
      <c r="H234" s="60">
        <v>1201</v>
      </c>
      <c r="I234" s="60">
        <v>3666</v>
      </c>
      <c r="J234" s="60" t="s">
        <v>23</v>
      </c>
      <c r="K234" s="60">
        <f t="shared" si="8"/>
        <v>18821</v>
      </c>
    </row>
    <row r="235" spans="1:11">
      <c r="A235" s="95">
        <v>2013</v>
      </c>
      <c r="B235" s="60" t="s">
        <v>23</v>
      </c>
      <c r="C235" s="60" t="s">
        <v>23</v>
      </c>
      <c r="D235" s="60">
        <v>289</v>
      </c>
      <c r="E235" s="60">
        <v>2259</v>
      </c>
      <c r="F235" s="60">
        <v>6658</v>
      </c>
      <c r="G235" s="60">
        <v>7147</v>
      </c>
      <c r="H235" s="60">
        <v>208</v>
      </c>
      <c r="I235" s="60">
        <v>3547</v>
      </c>
      <c r="J235" s="60" t="s">
        <v>23</v>
      </c>
      <c r="K235" s="60">
        <f t="shared" si="8"/>
        <v>20108</v>
      </c>
    </row>
    <row r="236" spans="1:11">
      <c r="A236" s="95">
        <v>2014</v>
      </c>
      <c r="B236" s="60" t="s">
        <v>23</v>
      </c>
      <c r="C236" s="60" t="s">
        <v>23</v>
      </c>
      <c r="D236" s="60">
        <v>1437</v>
      </c>
      <c r="E236" s="60">
        <v>1466</v>
      </c>
      <c r="F236" s="60">
        <v>5557</v>
      </c>
      <c r="G236" s="60">
        <v>3723</v>
      </c>
      <c r="H236" s="60">
        <v>246</v>
      </c>
      <c r="I236" s="60">
        <v>4639</v>
      </c>
      <c r="J236" s="60" t="s">
        <v>23</v>
      </c>
      <c r="K236" s="60">
        <f t="shared" si="8"/>
        <v>17068</v>
      </c>
    </row>
    <row r="237" spans="1:11">
      <c r="A237" s="95">
        <v>2015</v>
      </c>
      <c r="B237" s="60" t="s">
        <v>23</v>
      </c>
      <c r="C237" s="60" t="s">
        <v>23</v>
      </c>
      <c r="D237" s="60">
        <v>305</v>
      </c>
      <c r="E237" s="60">
        <v>424</v>
      </c>
      <c r="F237" s="60">
        <v>1492</v>
      </c>
      <c r="G237" s="60">
        <v>574</v>
      </c>
      <c r="H237" s="60">
        <v>1120</v>
      </c>
      <c r="I237" s="60">
        <v>5040</v>
      </c>
      <c r="J237" s="60" t="s">
        <v>23</v>
      </c>
      <c r="K237" s="60">
        <f t="shared" si="8"/>
        <v>8955</v>
      </c>
    </row>
    <row r="238" spans="1:11">
      <c r="A238" s="95">
        <v>2016</v>
      </c>
      <c r="B238" s="60" t="s">
        <v>23</v>
      </c>
      <c r="C238" s="60" t="s">
        <v>23</v>
      </c>
      <c r="D238" s="60">
        <v>44</v>
      </c>
      <c r="E238" s="60">
        <v>467</v>
      </c>
      <c r="F238" s="60">
        <v>717</v>
      </c>
      <c r="G238" s="60">
        <v>190</v>
      </c>
      <c r="H238" s="60">
        <v>898</v>
      </c>
      <c r="I238" s="60">
        <v>1872</v>
      </c>
      <c r="J238" s="60" t="s">
        <v>23</v>
      </c>
      <c r="K238" s="60">
        <f t="shared" si="8"/>
        <v>4188</v>
      </c>
    </row>
    <row r="239" spans="1:11">
      <c r="A239" s="95">
        <v>2017</v>
      </c>
      <c r="B239" s="60" t="s">
        <v>23</v>
      </c>
      <c r="C239" s="60" t="s">
        <v>23</v>
      </c>
      <c r="D239" s="60" t="s">
        <v>23</v>
      </c>
      <c r="E239" s="60" t="s">
        <v>23</v>
      </c>
      <c r="F239" s="60" t="s">
        <v>23</v>
      </c>
      <c r="G239" s="60" t="s">
        <v>23</v>
      </c>
      <c r="H239" s="60" t="s">
        <v>23</v>
      </c>
      <c r="I239" s="60">
        <v>2012</v>
      </c>
      <c r="J239" s="60" t="s">
        <v>23</v>
      </c>
      <c r="K239" s="60">
        <f t="shared" si="8"/>
        <v>2012</v>
      </c>
    </row>
    <row r="240" spans="1:11">
      <c r="A240" s="95">
        <v>2018</v>
      </c>
      <c r="B240" s="60" t="s">
        <v>23</v>
      </c>
      <c r="C240" s="60" t="s">
        <v>23</v>
      </c>
      <c r="D240" s="60">
        <v>508</v>
      </c>
      <c r="E240" s="60">
        <v>1058</v>
      </c>
      <c r="F240" s="60">
        <v>1398</v>
      </c>
      <c r="G240" s="60">
        <v>1934</v>
      </c>
      <c r="H240" s="60" t="s">
        <v>23</v>
      </c>
      <c r="I240" s="60">
        <v>2102</v>
      </c>
      <c r="J240" s="60" t="s">
        <v>23</v>
      </c>
      <c r="K240" s="60">
        <f>SUM(B240:J240)</f>
        <v>7000</v>
      </c>
    </row>
    <row r="241" spans="1:11">
      <c r="A241" s="95">
        <v>2019</v>
      </c>
      <c r="B241" s="60" t="s">
        <v>23</v>
      </c>
      <c r="C241" s="60" t="s">
        <v>23</v>
      </c>
      <c r="D241" s="60">
        <v>132</v>
      </c>
      <c r="E241" s="60">
        <v>769</v>
      </c>
      <c r="F241" s="60">
        <v>1797</v>
      </c>
      <c r="G241" s="60">
        <v>1635</v>
      </c>
      <c r="H241" s="60">
        <v>24</v>
      </c>
      <c r="I241" s="60" t="s">
        <v>23</v>
      </c>
      <c r="J241" s="60" t="s">
        <v>23</v>
      </c>
      <c r="K241" s="60">
        <f t="shared" ref="K241:K242" si="9">SUM(B241:J241)</f>
        <v>4357</v>
      </c>
    </row>
    <row r="242" spans="1:11">
      <c r="A242" s="95">
        <v>2020</v>
      </c>
      <c r="B242" s="60" t="s">
        <v>23</v>
      </c>
      <c r="C242" s="60" t="s">
        <v>23</v>
      </c>
      <c r="D242" s="60" t="s">
        <v>23</v>
      </c>
      <c r="E242" s="60">
        <v>1624</v>
      </c>
      <c r="F242" s="60">
        <v>4046</v>
      </c>
      <c r="G242" s="60">
        <v>587</v>
      </c>
      <c r="H242" s="60" t="s">
        <v>23</v>
      </c>
      <c r="I242" s="60" t="s">
        <v>23</v>
      </c>
      <c r="J242" s="60" t="s">
        <v>23</v>
      </c>
      <c r="K242" s="60">
        <f t="shared" si="9"/>
        <v>6257</v>
      </c>
    </row>
    <row r="243" spans="1:11" ht="13">
      <c r="A243" s="95" t="s">
        <v>317</v>
      </c>
      <c r="B243" s="60" t="s">
        <v>23</v>
      </c>
      <c r="C243" s="60" t="s">
        <v>23</v>
      </c>
      <c r="D243" s="60" t="s">
        <v>23</v>
      </c>
      <c r="E243" s="60">
        <v>1965</v>
      </c>
      <c r="F243" s="60">
        <v>2734</v>
      </c>
      <c r="G243" s="60">
        <v>1154</v>
      </c>
      <c r="H243" s="60" t="s">
        <v>23</v>
      </c>
      <c r="I243" s="60" t="s">
        <v>23</v>
      </c>
      <c r="J243" s="60" t="s">
        <v>23</v>
      </c>
      <c r="K243" s="60">
        <f t="shared" si="8"/>
        <v>5853</v>
      </c>
    </row>
    <row r="245" spans="1:11">
      <c r="A245" s="92" t="s">
        <v>44</v>
      </c>
    </row>
    <row r="246" spans="1:11">
      <c r="A246" s="99">
        <v>1976</v>
      </c>
      <c r="B246" s="60" t="str">
        <f t="shared" ref="B246:K246" si="10">IF(AND(B198="-",B150="-",B102="-",B54="-"),"-",SUM(B198,B150,B102,B54))</f>
        <v>-</v>
      </c>
      <c r="C246" s="60">
        <f t="shared" si="10"/>
        <v>0</v>
      </c>
      <c r="D246" s="60">
        <f t="shared" si="10"/>
        <v>12287</v>
      </c>
      <c r="E246" s="60">
        <f t="shared" si="10"/>
        <v>65606</v>
      </c>
      <c r="F246" s="60">
        <f t="shared" si="10"/>
        <v>139685</v>
      </c>
      <c r="G246" s="60">
        <f t="shared" si="10"/>
        <v>168947</v>
      </c>
      <c r="H246" s="60">
        <f t="shared" si="10"/>
        <v>43405</v>
      </c>
      <c r="I246" s="60">
        <f t="shared" si="10"/>
        <v>5206</v>
      </c>
      <c r="J246" s="60">
        <f t="shared" si="10"/>
        <v>864</v>
      </c>
      <c r="K246" s="60">
        <f t="shared" si="10"/>
        <v>436000</v>
      </c>
    </row>
    <row r="247" spans="1:11">
      <c r="A247" s="99">
        <v>1977</v>
      </c>
      <c r="B247" s="60" t="str">
        <f t="shared" ref="B247:K247" si="11">IF(AND(B199="-",B151="-",B103="-",B55="-"),"-",SUM(B199,B151,B103,B55))</f>
        <v>-</v>
      </c>
      <c r="C247" s="60">
        <f t="shared" si="11"/>
        <v>0</v>
      </c>
      <c r="D247" s="60">
        <f t="shared" si="11"/>
        <v>15054</v>
      </c>
      <c r="E247" s="60">
        <f t="shared" si="11"/>
        <v>41479</v>
      </c>
      <c r="F247" s="60">
        <f t="shared" si="11"/>
        <v>118074</v>
      </c>
      <c r="G247" s="60">
        <f t="shared" si="11"/>
        <v>99714</v>
      </c>
      <c r="H247" s="60">
        <f t="shared" si="11"/>
        <v>31272</v>
      </c>
      <c r="I247" s="60">
        <f t="shared" si="11"/>
        <v>8737</v>
      </c>
      <c r="J247" s="60">
        <f t="shared" si="11"/>
        <v>1129</v>
      </c>
      <c r="K247" s="60">
        <f t="shared" si="11"/>
        <v>315459</v>
      </c>
    </row>
    <row r="248" spans="1:11">
      <c r="A248" s="99">
        <v>1978</v>
      </c>
      <c r="B248" s="60" t="str">
        <f t="shared" ref="B248:K248" si="12">IF(AND(B200="-",B152="-",B104="-",B56="-"),"-",SUM(B200,B152,B104,B56))</f>
        <v>-</v>
      </c>
      <c r="C248" s="60">
        <f t="shared" si="12"/>
        <v>0</v>
      </c>
      <c r="D248" s="60">
        <f t="shared" si="12"/>
        <v>11384</v>
      </c>
      <c r="E248" s="60">
        <f t="shared" si="12"/>
        <v>65519</v>
      </c>
      <c r="F248" s="60">
        <f t="shared" si="12"/>
        <v>126268</v>
      </c>
      <c r="G248" s="60">
        <f t="shared" si="12"/>
        <v>95263</v>
      </c>
      <c r="H248" s="60">
        <f t="shared" si="12"/>
        <v>27465</v>
      </c>
      <c r="I248" s="60">
        <f t="shared" si="12"/>
        <v>12904</v>
      </c>
      <c r="J248" s="60">
        <f t="shared" si="12"/>
        <v>1528</v>
      </c>
      <c r="K248" s="60">
        <f t="shared" si="12"/>
        <v>340331</v>
      </c>
    </row>
    <row r="249" spans="1:11">
      <c r="A249" s="99">
        <v>1979</v>
      </c>
      <c r="B249" s="60" t="str">
        <f t="shared" ref="B249:K249" si="13">IF(AND(B201="-",B153="-",B105="-",B57="-"),"-",SUM(B201,B153,B105,B57))</f>
        <v>-</v>
      </c>
      <c r="C249" s="60" t="str">
        <f t="shared" si="13"/>
        <v>-</v>
      </c>
      <c r="D249" s="60">
        <f t="shared" si="13"/>
        <v>8056</v>
      </c>
      <c r="E249" s="60">
        <f t="shared" si="13"/>
        <v>37758</v>
      </c>
      <c r="F249" s="60">
        <f t="shared" si="13"/>
        <v>114917</v>
      </c>
      <c r="G249" s="60">
        <f t="shared" si="13"/>
        <v>86989</v>
      </c>
      <c r="H249" s="60">
        <f t="shared" si="13"/>
        <v>4386</v>
      </c>
      <c r="I249" s="60">
        <f t="shared" si="13"/>
        <v>5025</v>
      </c>
      <c r="J249" s="60">
        <f t="shared" si="13"/>
        <v>935</v>
      </c>
      <c r="K249" s="60">
        <f t="shared" si="13"/>
        <v>258066</v>
      </c>
    </row>
    <row r="250" spans="1:11">
      <c r="A250" s="99">
        <v>1980</v>
      </c>
      <c r="B250" s="60" t="str">
        <f t="shared" ref="B250:K250" si="14">IF(AND(B202="-",B154="-",B106="-",B58="-"),"-",SUM(B202,B154,B106,B58))</f>
        <v>-</v>
      </c>
      <c r="C250" s="60" t="str">
        <f t="shared" si="14"/>
        <v>-</v>
      </c>
      <c r="D250" s="60">
        <f t="shared" si="14"/>
        <v>4595</v>
      </c>
      <c r="E250" s="60">
        <f t="shared" si="14"/>
        <v>70634</v>
      </c>
      <c r="F250" s="60">
        <f t="shared" si="14"/>
        <v>126336</v>
      </c>
      <c r="G250" s="60">
        <f t="shared" si="14"/>
        <v>65040</v>
      </c>
      <c r="H250" s="60">
        <f t="shared" si="14"/>
        <v>15211</v>
      </c>
      <c r="I250" s="60">
        <f t="shared" si="14"/>
        <v>2900</v>
      </c>
      <c r="J250" s="60">
        <f t="shared" si="14"/>
        <v>412</v>
      </c>
      <c r="K250" s="60">
        <f t="shared" si="14"/>
        <v>285128</v>
      </c>
    </row>
    <row r="251" spans="1:11">
      <c r="A251" s="99">
        <v>1981</v>
      </c>
      <c r="B251" s="60" t="str">
        <f t="shared" ref="B251:K251" si="15">IF(AND(B203="-",B155="-",B107="-",B59="-"),"-",SUM(B203,B155,B107,B59))</f>
        <v>-</v>
      </c>
      <c r="C251" s="60" t="str">
        <f t="shared" si="15"/>
        <v>-</v>
      </c>
      <c r="D251" s="60">
        <f t="shared" si="15"/>
        <v>12870</v>
      </c>
      <c r="E251" s="60">
        <f t="shared" si="15"/>
        <v>40784</v>
      </c>
      <c r="F251" s="60">
        <f t="shared" si="15"/>
        <v>98071</v>
      </c>
      <c r="G251" s="60">
        <f t="shared" si="15"/>
        <v>90230</v>
      </c>
      <c r="H251" s="60">
        <f t="shared" si="15"/>
        <v>21740</v>
      </c>
      <c r="I251" s="60">
        <f t="shared" si="15"/>
        <v>2324</v>
      </c>
      <c r="J251" s="60">
        <f t="shared" si="15"/>
        <v>313</v>
      </c>
      <c r="K251" s="60">
        <f t="shared" si="15"/>
        <v>266332</v>
      </c>
    </row>
    <row r="252" spans="1:11">
      <c r="A252" s="99">
        <v>1982</v>
      </c>
      <c r="B252" s="60" t="str">
        <f t="shared" ref="B252:K252" si="16">IF(AND(B204="-",B156="-",B108="-",B60="-"),"-",SUM(B204,B156,B108,B60))</f>
        <v>-</v>
      </c>
      <c r="C252" s="60" t="str">
        <f t="shared" si="16"/>
        <v>-</v>
      </c>
      <c r="D252" s="60">
        <f t="shared" si="16"/>
        <v>733</v>
      </c>
      <c r="E252" s="60">
        <f t="shared" si="16"/>
        <v>27212</v>
      </c>
      <c r="F252" s="60">
        <f t="shared" si="16"/>
        <v>154749</v>
      </c>
      <c r="G252" s="60">
        <f t="shared" si="16"/>
        <v>10239</v>
      </c>
      <c r="H252" s="60">
        <f t="shared" si="16"/>
        <v>2976</v>
      </c>
      <c r="I252" s="60">
        <f t="shared" si="16"/>
        <v>2606</v>
      </c>
      <c r="J252" s="60">
        <f t="shared" si="16"/>
        <v>278</v>
      </c>
      <c r="K252" s="60">
        <f t="shared" si="16"/>
        <v>198793</v>
      </c>
    </row>
    <row r="253" spans="1:11">
      <c r="A253" s="99">
        <v>1983</v>
      </c>
      <c r="B253" s="60" t="str">
        <f t="shared" ref="B253:K253" si="17">IF(AND(B205="-",B157="-",B109="-",B61="-"),"-",SUM(B205,B157,B109,B61))</f>
        <v>-</v>
      </c>
      <c r="C253" s="60" t="str">
        <f t="shared" si="17"/>
        <v>-</v>
      </c>
      <c r="D253" s="60">
        <f t="shared" si="17"/>
        <v>835</v>
      </c>
      <c r="E253" s="60">
        <f t="shared" si="17"/>
        <v>28806</v>
      </c>
      <c r="F253" s="60">
        <f t="shared" si="17"/>
        <v>95084</v>
      </c>
      <c r="G253" s="60">
        <f t="shared" si="17"/>
        <v>43576</v>
      </c>
      <c r="H253" s="60">
        <f t="shared" si="17"/>
        <v>21748</v>
      </c>
      <c r="I253" s="60">
        <f t="shared" si="17"/>
        <v>5024</v>
      </c>
      <c r="J253" s="60">
        <f t="shared" si="17"/>
        <v>98</v>
      </c>
      <c r="K253" s="60">
        <f t="shared" si="17"/>
        <v>195171</v>
      </c>
    </row>
    <row r="254" spans="1:11">
      <c r="A254" s="99">
        <v>1984</v>
      </c>
      <c r="B254" s="60" t="str">
        <f t="shared" ref="B254:I257" si="18">IF(AND(B206="-",B158="-",B110="-",B62="-"),"-",SUM(B206,B158,B110,B62))</f>
        <v>-</v>
      </c>
      <c r="C254" s="60" t="str">
        <f t="shared" si="18"/>
        <v>-</v>
      </c>
      <c r="D254" s="60" t="str">
        <f t="shared" si="18"/>
        <v>-</v>
      </c>
      <c r="E254" s="60" t="str">
        <f t="shared" si="18"/>
        <v>-</v>
      </c>
      <c r="F254" s="60">
        <f t="shared" si="18"/>
        <v>72925</v>
      </c>
      <c r="G254" s="60">
        <f t="shared" si="18"/>
        <v>63474</v>
      </c>
      <c r="H254" s="60">
        <f t="shared" si="18"/>
        <v>5266</v>
      </c>
      <c r="I254" s="60">
        <f t="shared" si="18"/>
        <v>3089</v>
      </c>
      <c r="J254" s="60" t="s">
        <v>106</v>
      </c>
      <c r="K254" s="60">
        <f t="shared" ref="K254:K289" si="19">IF(AND(K206="-",K158="-",K110="-",K62="-"),"-",SUM(K206,K158,K110,K62))</f>
        <v>144754</v>
      </c>
    </row>
    <row r="255" spans="1:11">
      <c r="A255" s="99">
        <v>1985</v>
      </c>
      <c r="B255" s="60" t="str">
        <f t="shared" si="18"/>
        <v>-</v>
      </c>
      <c r="C255" s="60" t="str">
        <f t="shared" si="18"/>
        <v>-</v>
      </c>
      <c r="D255" s="60">
        <f t="shared" si="18"/>
        <v>4556</v>
      </c>
      <c r="E255" s="60" t="str">
        <f t="shared" si="18"/>
        <v>-</v>
      </c>
      <c r="F255" s="60">
        <f t="shared" si="18"/>
        <v>99011</v>
      </c>
      <c r="G255" s="60">
        <f t="shared" si="18"/>
        <v>114662</v>
      </c>
      <c r="H255" s="60">
        <f t="shared" si="18"/>
        <v>7763</v>
      </c>
      <c r="I255" s="60">
        <f t="shared" si="18"/>
        <v>5570</v>
      </c>
      <c r="J255" s="60" t="s">
        <v>106</v>
      </c>
      <c r="K255" s="60">
        <f t="shared" si="19"/>
        <v>231562</v>
      </c>
    </row>
    <row r="256" spans="1:11">
      <c r="A256" s="95">
        <v>1986</v>
      </c>
      <c r="B256" s="60" t="str">
        <f t="shared" si="18"/>
        <v>-</v>
      </c>
      <c r="C256" s="60" t="str">
        <f t="shared" si="18"/>
        <v>-</v>
      </c>
      <c r="D256" s="60">
        <f t="shared" si="18"/>
        <v>5724</v>
      </c>
      <c r="E256" s="60">
        <f t="shared" si="18"/>
        <v>21181</v>
      </c>
      <c r="F256" s="60">
        <f t="shared" si="18"/>
        <v>105582</v>
      </c>
      <c r="G256" s="60">
        <f t="shared" si="18"/>
        <v>28324</v>
      </c>
      <c r="H256" s="60">
        <f t="shared" si="18"/>
        <v>597</v>
      </c>
      <c r="I256" s="60">
        <f t="shared" si="18"/>
        <v>5020</v>
      </c>
      <c r="J256" s="60" t="s">
        <v>106</v>
      </c>
      <c r="K256" s="60">
        <f t="shared" si="19"/>
        <v>166428</v>
      </c>
    </row>
    <row r="257" spans="1:11">
      <c r="A257" s="95">
        <v>1987</v>
      </c>
      <c r="B257" s="60" t="str">
        <f t="shared" si="18"/>
        <v>-</v>
      </c>
      <c r="C257" s="60" t="str">
        <f t="shared" si="18"/>
        <v>-</v>
      </c>
      <c r="D257" s="60">
        <f t="shared" si="18"/>
        <v>2318</v>
      </c>
      <c r="E257" s="60">
        <f t="shared" si="18"/>
        <v>20892</v>
      </c>
      <c r="F257" s="60">
        <f t="shared" si="18"/>
        <v>121974</v>
      </c>
      <c r="G257" s="60">
        <f t="shared" si="18"/>
        <v>62139</v>
      </c>
      <c r="H257" s="60">
        <f t="shared" si="18"/>
        <v>25584</v>
      </c>
      <c r="I257" s="60">
        <f t="shared" si="18"/>
        <v>5040</v>
      </c>
      <c r="J257" s="60" t="s">
        <v>106</v>
      </c>
      <c r="K257" s="60">
        <f t="shared" si="19"/>
        <v>237947</v>
      </c>
    </row>
    <row r="258" spans="1:11">
      <c r="A258" s="95">
        <v>1988</v>
      </c>
      <c r="B258" s="60" t="str">
        <f t="shared" ref="B258:H267" si="20">IF(AND(B210="-",B162="-",B114="-",B66="-"),"-",SUM(B210,B162,B114,B66))</f>
        <v>-</v>
      </c>
      <c r="C258" s="60" t="str">
        <f t="shared" si="20"/>
        <v>-</v>
      </c>
      <c r="D258" s="60">
        <f t="shared" si="20"/>
        <v>3439</v>
      </c>
      <c r="E258" s="60">
        <f t="shared" si="20"/>
        <v>33187</v>
      </c>
      <c r="F258" s="60">
        <f t="shared" si="20"/>
        <v>105789</v>
      </c>
      <c r="G258" s="60">
        <f t="shared" si="20"/>
        <v>80374</v>
      </c>
      <c r="H258" s="60">
        <f t="shared" si="20"/>
        <v>22118</v>
      </c>
      <c r="I258" s="60" t="s">
        <v>106</v>
      </c>
      <c r="J258" s="60" t="s">
        <v>106</v>
      </c>
      <c r="K258" s="60">
        <f t="shared" si="19"/>
        <v>244907</v>
      </c>
    </row>
    <row r="259" spans="1:11">
      <c r="A259" s="95">
        <v>1989</v>
      </c>
      <c r="B259" s="60" t="str">
        <f t="shared" si="20"/>
        <v>-</v>
      </c>
      <c r="C259" s="60" t="str">
        <f t="shared" si="20"/>
        <v>-</v>
      </c>
      <c r="D259" s="60">
        <f t="shared" si="20"/>
        <v>5112</v>
      </c>
      <c r="E259" s="60">
        <f t="shared" si="20"/>
        <v>52232</v>
      </c>
      <c r="F259" s="60">
        <f t="shared" si="20"/>
        <v>113325</v>
      </c>
      <c r="G259" s="60">
        <f t="shared" si="20"/>
        <v>70449</v>
      </c>
      <c r="H259" s="60">
        <f t="shared" si="20"/>
        <v>5672</v>
      </c>
      <c r="I259" s="60" t="s">
        <v>106</v>
      </c>
      <c r="J259" s="60" t="s">
        <v>106</v>
      </c>
      <c r="K259" s="60">
        <f t="shared" si="19"/>
        <v>246790</v>
      </c>
    </row>
    <row r="260" spans="1:11">
      <c r="A260" s="95">
        <v>1990</v>
      </c>
      <c r="B260" s="60" t="str">
        <f t="shared" si="20"/>
        <v>-</v>
      </c>
      <c r="C260" s="60" t="str">
        <f t="shared" si="20"/>
        <v>-</v>
      </c>
      <c r="D260" s="60">
        <f t="shared" si="20"/>
        <v>2753</v>
      </c>
      <c r="E260" s="60">
        <f t="shared" si="20"/>
        <v>30026</v>
      </c>
      <c r="F260" s="60">
        <f t="shared" si="20"/>
        <v>89788</v>
      </c>
      <c r="G260" s="60">
        <f t="shared" si="20"/>
        <v>81089</v>
      </c>
      <c r="H260" s="60">
        <f t="shared" si="20"/>
        <v>17378</v>
      </c>
      <c r="I260" s="60" t="s">
        <v>106</v>
      </c>
      <c r="J260" s="60" t="str">
        <f>IF(AND(J212="-",J164="-",J116="-",J68="-"),"-",SUM(J212,J164,J116,J68))</f>
        <v>-</v>
      </c>
      <c r="K260" s="60">
        <f t="shared" si="19"/>
        <v>221034</v>
      </c>
    </row>
    <row r="261" spans="1:11">
      <c r="A261" s="95">
        <v>1991</v>
      </c>
      <c r="B261" s="60" t="str">
        <f t="shared" si="20"/>
        <v>-</v>
      </c>
      <c r="C261" s="60" t="str">
        <f t="shared" si="20"/>
        <v>-</v>
      </c>
      <c r="D261" s="60">
        <f t="shared" si="20"/>
        <v>3398</v>
      </c>
      <c r="E261" s="60">
        <f t="shared" si="20"/>
        <v>44688</v>
      </c>
      <c r="F261" s="60">
        <f t="shared" si="20"/>
        <v>114410</v>
      </c>
      <c r="G261" s="60">
        <f t="shared" si="20"/>
        <v>1911</v>
      </c>
      <c r="H261" s="60">
        <f t="shared" si="20"/>
        <v>3997</v>
      </c>
      <c r="I261" s="60" t="s">
        <v>106</v>
      </c>
      <c r="J261" s="60" t="str">
        <f>IF(AND(J213="-",J165="-",J117="-",J69="-"),"-",SUM(J213,J165,J117,J69))</f>
        <v>-</v>
      </c>
      <c r="K261" s="60">
        <f t="shared" si="19"/>
        <v>168404</v>
      </c>
    </row>
    <row r="262" spans="1:11">
      <c r="A262" s="95">
        <v>1992</v>
      </c>
      <c r="B262" s="60" t="str">
        <f t="shared" si="20"/>
        <v>-</v>
      </c>
      <c r="C262" s="60" t="str">
        <f t="shared" si="20"/>
        <v>-</v>
      </c>
      <c r="D262" s="60">
        <f t="shared" si="20"/>
        <v>3692</v>
      </c>
      <c r="E262" s="60">
        <f t="shared" si="20"/>
        <v>19921</v>
      </c>
      <c r="F262" s="60">
        <f t="shared" si="20"/>
        <v>77068</v>
      </c>
      <c r="G262" s="60">
        <f t="shared" si="20"/>
        <v>34446</v>
      </c>
      <c r="H262" s="60">
        <f t="shared" si="20"/>
        <v>13403</v>
      </c>
      <c r="I262" s="60">
        <f>IF(AND(I214="-",I166="-",I118="-",I70="-"),"-",SUM(I214,I166,I118,I70))</f>
        <v>3862</v>
      </c>
      <c r="J262" s="60" t="str">
        <f>IF(AND(J214="-",J166="-",J118="-",J70="-"),"-",SUM(J214,J166,J118,J70))</f>
        <v>-</v>
      </c>
      <c r="K262" s="60">
        <f t="shared" si="19"/>
        <v>152392</v>
      </c>
    </row>
    <row r="263" spans="1:11">
      <c r="A263" s="95">
        <v>1993</v>
      </c>
      <c r="B263" s="60" t="str">
        <f t="shared" si="20"/>
        <v>-</v>
      </c>
      <c r="C263" s="60" t="str">
        <f t="shared" si="20"/>
        <v>-</v>
      </c>
      <c r="D263" s="60">
        <f t="shared" si="20"/>
        <v>3039</v>
      </c>
      <c r="E263" s="60">
        <f t="shared" si="20"/>
        <v>6021</v>
      </c>
      <c r="F263" s="60">
        <f t="shared" si="20"/>
        <v>31289</v>
      </c>
      <c r="G263" s="60">
        <f t="shared" si="20"/>
        <v>18661</v>
      </c>
      <c r="H263" s="60">
        <f t="shared" si="20"/>
        <v>2786</v>
      </c>
      <c r="I263" s="60" t="s">
        <v>106</v>
      </c>
      <c r="J263" s="60" t="s">
        <v>106</v>
      </c>
      <c r="K263" s="60">
        <f t="shared" si="19"/>
        <v>61796</v>
      </c>
    </row>
    <row r="264" spans="1:11">
      <c r="A264" s="95">
        <v>1994</v>
      </c>
      <c r="B264" s="60" t="str">
        <f t="shared" si="20"/>
        <v>-</v>
      </c>
      <c r="C264" s="60" t="str">
        <f t="shared" si="20"/>
        <v>-</v>
      </c>
      <c r="D264" s="60">
        <f t="shared" si="20"/>
        <v>7238</v>
      </c>
      <c r="E264" s="60">
        <f t="shared" si="20"/>
        <v>2392</v>
      </c>
      <c r="F264" s="60" t="str">
        <f t="shared" si="20"/>
        <v>-</v>
      </c>
      <c r="G264" s="60">
        <f t="shared" si="20"/>
        <v>1383</v>
      </c>
      <c r="H264" s="60">
        <f t="shared" si="20"/>
        <v>2910</v>
      </c>
      <c r="I264" s="60">
        <f>IF(AND(I216="-",I168="-",I120="-",I72="-"),"-",SUM(I216,I168,I120,I72))</f>
        <v>12971</v>
      </c>
      <c r="J264" s="60">
        <f>IF(AND(J216="-",J168="-",J120="-",J72="-"),"-",SUM(J216,J168,J120,J72))</f>
        <v>3</v>
      </c>
      <c r="K264" s="60">
        <f t="shared" si="19"/>
        <v>26897</v>
      </c>
    </row>
    <row r="265" spans="1:11">
      <c r="A265" s="95">
        <v>1995</v>
      </c>
      <c r="B265" s="60" t="str">
        <f t="shared" si="20"/>
        <v>-</v>
      </c>
      <c r="C265" s="60" t="str">
        <f t="shared" si="20"/>
        <v>-</v>
      </c>
      <c r="D265" s="60">
        <f t="shared" si="20"/>
        <v>3183</v>
      </c>
      <c r="E265" s="60">
        <f t="shared" si="20"/>
        <v>7051</v>
      </c>
      <c r="F265" s="60" t="str">
        <f t="shared" si="20"/>
        <v>-</v>
      </c>
      <c r="G265" s="60">
        <f t="shared" si="20"/>
        <v>1977</v>
      </c>
      <c r="H265" s="60">
        <f t="shared" si="20"/>
        <v>7357</v>
      </c>
      <c r="I265" s="60">
        <f>IF(AND(I217="-",I169="-",I121="-",I73="-"),"-",SUM(I217,I169,I121,I73))</f>
        <v>4556</v>
      </c>
      <c r="J265" s="60">
        <f>IF(AND(J217="-",J169="-",J121="-",J73="-"),"-",SUM(J217,J169,J121,J73))</f>
        <v>788</v>
      </c>
      <c r="K265" s="60">
        <f t="shared" si="19"/>
        <v>24912</v>
      </c>
    </row>
    <row r="266" spans="1:11">
      <c r="A266" s="95">
        <v>1996</v>
      </c>
      <c r="B266" s="60" t="str">
        <f t="shared" si="20"/>
        <v>-</v>
      </c>
      <c r="C266" s="60" t="str">
        <f t="shared" si="20"/>
        <v>-</v>
      </c>
      <c r="D266" s="60">
        <f t="shared" si="20"/>
        <v>2958</v>
      </c>
      <c r="E266" s="60">
        <f t="shared" si="20"/>
        <v>6839</v>
      </c>
      <c r="F266" s="60">
        <f t="shared" si="20"/>
        <v>2848</v>
      </c>
      <c r="G266" s="60">
        <f t="shared" si="20"/>
        <v>10154</v>
      </c>
      <c r="H266" s="60">
        <f t="shared" si="20"/>
        <v>7992</v>
      </c>
      <c r="I266" s="60">
        <f t="shared" ref="I266:I289" si="21">IF(AND(I218="-",I170="-",I122="-",I74="-"),"-",SUM(I218,I170,I122,I74))</f>
        <v>7537</v>
      </c>
      <c r="J266" s="60" t="s">
        <v>106</v>
      </c>
      <c r="K266" s="60">
        <f t="shared" si="19"/>
        <v>38328</v>
      </c>
    </row>
    <row r="267" spans="1:11">
      <c r="A267" s="95">
        <v>1997</v>
      </c>
      <c r="B267" s="60" t="str">
        <f t="shared" si="20"/>
        <v>-</v>
      </c>
      <c r="C267" s="60">
        <f t="shared" si="20"/>
        <v>29</v>
      </c>
      <c r="D267" s="60">
        <f t="shared" si="20"/>
        <v>2916</v>
      </c>
      <c r="E267" s="60">
        <f t="shared" si="20"/>
        <v>4228</v>
      </c>
      <c r="F267" s="60">
        <f t="shared" si="20"/>
        <v>3765</v>
      </c>
      <c r="G267" s="60">
        <f t="shared" si="20"/>
        <v>9505</v>
      </c>
      <c r="H267" s="60">
        <f t="shared" si="20"/>
        <v>3161</v>
      </c>
      <c r="I267" s="60">
        <f t="shared" si="21"/>
        <v>2942</v>
      </c>
      <c r="J267" s="60" t="s">
        <v>106</v>
      </c>
      <c r="K267" s="60">
        <f t="shared" si="19"/>
        <v>26546</v>
      </c>
    </row>
    <row r="268" spans="1:11">
      <c r="A268" s="95">
        <v>1998</v>
      </c>
      <c r="B268" s="60" t="str">
        <f t="shared" ref="B268:H277" si="22">IF(AND(B220="-",B172="-",B124="-",B76="-"),"-",SUM(B220,B172,B124,B76))</f>
        <v>-</v>
      </c>
      <c r="C268" s="60">
        <f t="shared" si="22"/>
        <v>0</v>
      </c>
      <c r="D268" s="60">
        <f t="shared" si="22"/>
        <v>2061</v>
      </c>
      <c r="E268" s="60">
        <f t="shared" si="22"/>
        <v>2387</v>
      </c>
      <c r="F268" s="60">
        <f t="shared" si="22"/>
        <v>1921</v>
      </c>
      <c r="G268" s="60">
        <f t="shared" si="22"/>
        <v>7260</v>
      </c>
      <c r="H268" s="60">
        <f t="shared" si="22"/>
        <v>4544</v>
      </c>
      <c r="I268" s="60">
        <f t="shared" si="21"/>
        <v>5667</v>
      </c>
      <c r="J268" s="60" t="s">
        <v>106</v>
      </c>
      <c r="K268" s="60">
        <f t="shared" si="19"/>
        <v>23840</v>
      </c>
    </row>
    <row r="269" spans="1:11">
      <c r="A269" s="95">
        <v>1999</v>
      </c>
      <c r="B269" s="60" t="str">
        <f t="shared" si="22"/>
        <v>-</v>
      </c>
      <c r="C269" s="60">
        <f t="shared" si="22"/>
        <v>12</v>
      </c>
      <c r="D269" s="60">
        <f t="shared" si="22"/>
        <v>814</v>
      </c>
      <c r="E269" s="60">
        <f t="shared" si="22"/>
        <v>1719</v>
      </c>
      <c r="F269" s="60">
        <f t="shared" si="22"/>
        <v>18073</v>
      </c>
      <c r="G269" s="60">
        <f t="shared" si="22"/>
        <v>8762</v>
      </c>
      <c r="H269" s="60">
        <f t="shared" si="22"/>
        <v>6705</v>
      </c>
      <c r="I269" s="60">
        <f t="shared" si="21"/>
        <v>5813</v>
      </c>
      <c r="J269" s="60">
        <f t="shared" ref="J269:J277" si="23">IF(AND(J221="-",J173="-",J125="-",J77="-"),"-",SUM(J221,J173,J125,J77))</f>
        <v>104</v>
      </c>
      <c r="K269" s="60">
        <f t="shared" si="19"/>
        <v>42002</v>
      </c>
    </row>
    <row r="270" spans="1:11">
      <c r="A270" s="95">
        <v>2000</v>
      </c>
      <c r="B270" s="60" t="str">
        <f t="shared" si="22"/>
        <v>-</v>
      </c>
      <c r="C270" s="60">
        <f t="shared" si="22"/>
        <v>26</v>
      </c>
      <c r="D270" s="60">
        <f t="shared" si="22"/>
        <v>676</v>
      </c>
      <c r="E270" s="60">
        <f t="shared" si="22"/>
        <v>2917</v>
      </c>
      <c r="F270" s="60">
        <f t="shared" si="22"/>
        <v>33008</v>
      </c>
      <c r="G270" s="60">
        <f t="shared" si="22"/>
        <v>20426</v>
      </c>
      <c r="H270" s="60">
        <f t="shared" si="22"/>
        <v>6295</v>
      </c>
      <c r="I270" s="60">
        <f t="shared" si="21"/>
        <v>6537</v>
      </c>
      <c r="J270" s="60">
        <f t="shared" si="23"/>
        <v>235</v>
      </c>
      <c r="K270" s="60">
        <f t="shared" si="19"/>
        <v>70120</v>
      </c>
    </row>
    <row r="271" spans="1:11">
      <c r="A271" s="95">
        <v>2001</v>
      </c>
      <c r="B271" s="60" t="str">
        <f t="shared" si="22"/>
        <v>-</v>
      </c>
      <c r="C271" s="60">
        <f t="shared" si="22"/>
        <v>0</v>
      </c>
      <c r="D271" s="60">
        <f t="shared" si="22"/>
        <v>5016</v>
      </c>
      <c r="E271" s="60">
        <f t="shared" si="22"/>
        <v>21671</v>
      </c>
      <c r="F271" s="60">
        <f t="shared" si="22"/>
        <v>40382</v>
      </c>
      <c r="G271" s="60">
        <f t="shared" si="22"/>
        <v>18649</v>
      </c>
      <c r="H271" s="60">
        <f t="shared" si="22"/>
        <v>4746</v>
      </c>
      <c r="I271" s="60">
        <f t="shared" si="21"/>
        <v>6594</v>
      </c>
      <c r="J271" s="60">
        <f t="shared" si="23"/>
        <v>162</v>
      </c>
      <c r="K271" s="60">
        <f t="shared" si="19"/>
        <v>97220</v>
      </c>
    </row>
    <row r="272" spans="1:11">
      <c r="A272" s="95">
        <v>2002</v>
      </c>
      <c r="B272" s="60" t="str">
        <f t="shared" si="22"/>
        <v>-</v>
      </c>
      <c r="C272" s="60">
        <f t="shared" si="22"/>
        <v>275</v>
      </c>
      <c r="D272" s="60">
        <f t="shared" si="22"/>
        <v>3062</v>
      </c>
      <c r="E272" s="60">
        <f t="shared" si="22"/>
        <v>10229</v>
      </c>
      <c r="F272" s="60">
        <f t="shared" si="22"/>
        <v>37186</v>
      </c>
      <c r="G272" s="60">
        <f t="shared" si="22"/>
        <v>19845</v>
      </c>
      <c r="H272" s="60">
        <f t="shared" si="22"/>
        <v>13077</v>
      </c>
      <c r="I272" s="60">
        <f t="shared" si="21"/>
        <v>11866</v>
      </c>
      <c r="J272" s="60">
        <f t="shared" si="23"/>
        <v>50</v>
      </c>
      <c r="K272" s="60">
        <f t="shared" si="19"/>
        <v>95590</v>
      </c>
    </row>
    <row r="273" spans="1:11">
      <c r="A273" s="95">
        <v>2003</v>
      </c>
      <c r="B273" s="60">
        <f t="shared" si="22"/>
        <v>81</v>
      </c>
      <c r="C273" s="60">
        <f t="shared" si="22"/>
        <v>139</v>
      </c>
      <c r="D273" s="60">
        <f t="shared" si="22"/>
        <v>2819</v>
      </c>
      <c r="E273" s="60">
        <f t="shared" si="22"/>
        <v>12364</v>
      </c>
      <c r="F273" s="60">
        <f t="shared" si="22"/>
        <v>58025</v>
      </c>
      <c r="G273" s="60">
        <f t="shared" si="22"/>
        <v>35150</v>
      </c>
      <c r="H273" s="60">
        <f t="shared" si="22"/>
        <v>9959</v>
      </c>
      <c r="I273" s="60">
        <f t="shared" si="21"/>
        <v>6265</v>
      </c>
      <c r="J273" s="60">
        <f t="shared" si="23"/>
        <v>395</v>
      </c>
      <c r="K273" s="60">
        <f t="shared" si="19"/>
        <v>125197</v>
      </c>
    </row>
    <row r="274" spans="1:11">
      <c r="A274" s="95">
        <v>2004</v>
      </c>
      <c r="B274" s="60">
        <f t="shared" si="22"/>
        <v>78</v>
      </c>
      <c r="C274" s="60">
        <f t="shared" si="22"/>
        <v>238</v>
      </c>
      <c r="D274" s="60">
        <f t="shared" si="22"/>
        <v>2722</v>
      </c>
      <c r="E274" s="60">
        <f t="shared" si="22"/>
        <v>18315</v>
      </c>
      <c r="F274" s="60">
        <f t="shared" si="22"/>
        <v>53183</v>
      </c>
      <c r="G274" s="60">
        <f t="shared" si="22"/>
        <v>33169</v>
      </c>
      <c r="H274" s="60">
        <f t="shared" si="22"/>
        <v>14444</v>
      </c>
      <c r="I274" s="60">
        <f t="shared" si="21"/>
        <v>4669</v>
      </c>
      <c r="J274" s="60">
        <f t="shared" si="23"/>
        <v>291</v>
      </c>
      <c r="K274" s="60">
        <f t="shared" si="19"/>
        <v>127109</v>
      </c>
    </row>
    <row r="275" spans="1:11">
      <c r="A275" s="95">
        <v>2005</v>
      </c>
      <c r="B275" s="60">
        <f t="shared" si="22"/>
        <v>30</v>
      </c>
      <c r="C275" s="60">
        <f t="shared" si="22"/>
        <v>406</v>
      </c>
      <c r="D275" s="60">
        <f t="shared" si="22"/>
        <v>1995</v>
      </c>
      <c r="E275" s="60">
        <f t="shared" si="22"/>
        <v>16108</v>
      </c>
      <c r="F275" s="60">
        <f t="shared" si="22"/>
        <v>14100</v>
      </c>
      <c r="G275" s="60">
        <f t="shared" si="22"/>
        <v>12599</v>
      </c>
      <c r="H275" s="60">
        <f t="shared" si="22"/>
        <v>14311</v>
      </c>
      <c r="I275" s="60">
        <f t="shared" si="21"/>
        <v>3176</v>
      </c>
      <c r="J275" s="60">
        <f t="shared" si="23"/>
        <v>12</v>
      </c>
      <c r="K275" s="60">
        <f t="shared" si="19"/>
        <v>62737</v>
      </c>
    </row>
    <row r="276" spans="1:11">
      <c r="A276" s="95">
        <v>2006</v>
      </c>
      <c r="B276" s="60">
        <f t="shared" si="22"/>
        <v>24</v>
      </c>
      <c r="C276" s="60">
        <f t="shared" si="22"/>
        <v>92</v>
      </c>
      <c r="D276" s="60">
        <f t="shared" si="22"/>
        <v>1414</v>
      </c>
      <c r="E276" s="60">
        <f t="shared" si="22"/>
        <v>7575</v>
      </c>
      <c r="F276" s="60">
        <f t="shared" si="22"/>
        <v>19050</v>
      </c>
      <c r="G276" s="60">
        <f t="shared" si="22"/>
        <v>3817</v>
      </c>
      <c r="H276" s="60">
        <f t="shared" si="22"/>
        <v>13560</v>
      </c>
      <c r="I276" s="60">
        <f t="shared" si="21"/>
        <v>8449</v>
      </c>
      <c r="J276" s="60">
        <f t="shared" si="23"/>
        <v>98</v>
      </c>
      <c r="K276" s="60">
        <f t="shared" si="19"/>
        <v>54079</v>
      </c>
    </row>
    <row r="277" spans="1:11">
      <c r="A277" s="95">
        <v>2007</v>
      </c>
      <c r="B277" s="60">
        <f t="shared" si="22"/>
        <v>36</v>
      </c>
      <c r="C277" s="60">
        <f t="shared" si="22"/>
        <v>75</v>
      </c>
      <c r="D277" s="60">
        <f t="shared" si="22"/>
        <v>1576</v>
      </c>
      <c r="E277" s="60">
        <f t="shared" si="22"/>
        <v>8580</v>
      </c>
      <c r="F277" s="60">
        <f t="shared" si="22"/>
        <v>23667</v>
      </c>
      <c r="G277" s="60">
        <f t="shared" si="22"/>
        <v>30649</v>
      </c>
      <c r="H277" s="60">
        <f t="shared" si="22"/>
        <v>5651</v>
      </c>
      <c r="I277" s="60">
        <f t="shared" si="21"/>
        <v>5604</v>
      </c>
      <c r="J277" s="60">
        <f t="shared" si="23"/>
        <v>40</v>
      </c>
      <c r="K277" s="60">
        <f t="shared" si="19"/>
        <v>75878</v>
      </c>
    </row>
    <row r="278" spans="1:11">
      <c r="A278" s="95">
        <v>2008</v>
      </c>
      <c r="B278" s="60" t="str">
        <f t="shared" ref="B278:H287" si="24">IF(AND(B230="-",B182="-",B134="-",B86="-"),"-",SUM(B230,B182,B134,B86))</f>
        <v>-</v>
      </c>
      <c r="C278" s="60" t="str">
        <f t="shared" si="24"/>
        <v>-</v>
      </c>
      <c r="D278" s="60" t="str">
        <f t="shared" si="24"/>
        <v>-</v>
      </c>
      <c r="E278" s="60">
        <f t="shared" si="24"/>
        <v>3965</v>
      </c>
      <c r="F278" s="60">
        <f t="shared" si="24"/>
        <v>9998</v>
      </c>
      <c r="G278" s="60">
        <f t="shared" si="24"/>
        <v>5753</v>
      </c>
      <c r="H278" s="60">
        <f t="shared" si="24"/>
        <v>3635</v>
      </c>
      <c r="I278" s="60">
        <f t="shared" si="21"/>
        <v>3413</v>
      </c>
      <c r="J278" s="128" t="s">
        <v>106</v>
      </c>
      <c r="K278" s="60">
        <f t="shared" si="19"/>
        <v>26764</v>
      </c>
    </row>
    <row r="279" spans="1:11">
      <c r="A279" s="95">
        <v>2009</v>
      </c>
      <c r="B279" s="60" t="str">
        <f t="shared" si="24"/>
        <v>-</v>
      </c>
      <c r="C279" s="60" t="str">
        <f t="shared" si="24"/>
        <v>-</v>
      </c>
      <c r="D279" s="60" t="str">
        <f t="shared" si="24"/>
        <v>-</v>
      </c>
      <c r="E279" s="60">
        <f t="shared" si="24"/>
        <v>4412</v>
      </c>
      <c r="F279" s="60">
        <f t="shared" si="24"/>
        <v>35341</v>
      </c>
      <c r="G279" s="60">
        <f t="shared" si="24"/>
        <v>24183</v>
      </c>
      <c r="H279" s="60">
        <f t="shared" si="24"/>
        <v>6323</v>
      </c>
      <c r="I279" s="60">
        <f t="shared" si="21"/>
        <v>2009</v>
      </c>
      <c r="J279" s="128" t="s">
        <v>106</v>
      </c>
      <c r="K279" s="60">
        <f t="shared" si="19"/>
        <v>72268</v>
      </c>
    </row>
    <row r="280" spans="1:11">
      <c r="A280" s="95">
        <v>2010</v>
      </c>
      <c r="B280" s="60" t="str">
        <f t="shared" si="24"/>
        <v>-</v>
      </c>
      <c r="C280" s="60" t="str">
        <f t="shared" si="24"/>
        <v>-</v>
      </c>
      <c r="D280" s="60">
        <f t="shared" si="24"/>
        <v>992</v>
      </c>
      <c r="E280" s="60">
        <f t="shared" si="24"/>
        <v>3055</v>
      </c>
      <c r="F280" s="60">
        <f t="shared" si="24"/>
        <v>9451</v>
      </c>
      <c r="G280" s="60">
        <f t="shared" si="24"/>
        <v>17413</v>
      </c>
      <c r="H280" s="60">
        <f t="shared" si="24"/>
        <v>8836</v>
      </c>
      <c r="I280" s="60">
        <f t="shared" si="21"/>
        <v>3318</v>
      </c>
      <c r="J280" s="128" t="s">
        <v>106</v>
      </c>
      <c r="K280" s="60">
        <f t="shared" si="19"/>
        <v>43065</v>
      </c>
    </row>
    <row r="281" spans="1:11">
      <c r="A281" s="95">
        <v>2011</v>
      </c>
      <c r="B281" s="60">
        <f t="shared" si="24"/>
        <v>22</v>
      </c>
      <c r="C281" s="60">
        <f t="shared" si="24"/>
        <v>75</v>
      </c>
      <c r="D281" s="60">
        <f t="shared" si="24"/>
        <v>826</v>
      </c>
      <c r="E281" s="60">
        <f t="shared" si="24"/>
        <v>3261</v>
      </c>
      <c r="F281" s="60">
        <f t="shared" si="24"/>
        <v>11024</v>
      </c>
      <c r="G281" s="60">
        <f t="shared" si="24"/>
        <v>11945</v>
      </c>
      <c r="H281" s="60">
        <f t="shared" si="24"/>
        <v>11207</v>
      </c>
      <c r="I281" s="60">
        <f t="shared" si="21"/>
        <v>2997</v>
      </c>
      <c r="J281" s="60">
        <f>IF(AND(J233="-",J185="-",J137="-",J89="-"),"-",SUM(J233,J185,J137,J89))</f>
        <v>16</v>
      </c>
      <c r="K281" s="60">
        <f t="shared" si="19"/>
        <v>41373</v>
      </c>
    </row>
    <row r="282" spans="1:11">
      <c r="A282" s="95">
        <v>2012</v>
      </c>
      <c r="B282" s="60">
        <f t="shared" si="24"/>
        <v>23</v>
      </c>
      <c r="C282" s="60">
        <f t="shared" si="24"/>
        <v>380</v>
      </c>
      <c r="D282" s="60">
        <f t="shared" si="24"/>
        <v>2106</v>
      </c>
      <c r="E282" s="60">
        <f t="shared" si="24"/>
        <v>5760</v>
      </c>
      <c r="F282" s="60">
        <f t="shared" si="24"/>
        <v>14550</v>
      </c>
      <c r="G282" s="60">
        <f t="shared" si="24"/>
        <v>19341</v>
      </c>
      <c r="H282" s="60">
        <f t="shared" si="24"/>
        <v>14921</v>
      </c>
      <c r="I282" s="60">
        <f t="shared" si="21"/>
        <v>5371</v>
      </c>
      <c r="J282" s="60">
        <f>IF(AND(J234="-",J186="-",J138="-",J90="-"),"-",SUM(J234,J186,J138,J90))</f>
        <v>18</v>
      </c>
      <c r="K282" s="60">
        <f t="shared" si="19"/>
        <v>62470</v>
      </c>
    </row>
    <row r="283" spans="1:11">
      <c r="A283" s="95">
        <v>2013</v>
      </c>
      <c r="B283" s="60">
        <f t="shared" si="24"/>
        <v>479</v>
      </c>
      <c r="C283" s="60">
        <f t="shared" si="24"/>
        <v>693</v>
      </c>
      <c r="D283" s="60">
        <f t="shared" si="24"/>
        <v>1200</v>
      </c>
      <c r="E283" s="60">
        <f t="shared" si="24"/>
        <v>6229</v>
      </c>
      <c r="F283" s="60">
        <f t="shared" si="24"/>
        <v>17872</v>
      </c>
      <c r="G283" s="60">
        <f t="shared" si="24"/>
        <v>33124</v>
      </c>
      <c r="H283" s="60">
        <f t="shared" si="24"/>
        <v>12041</v>
      </c>
      <c r="I283" s="60">
        <f t="shared" si="21"/>
        <v>7761</v>
      </c>
      <c r="J283" s="128" t="s">
        <v>106</v>
      </c>
      <c r="K283" s="60">
        <f t="shared" si="19"/>
        <v>79399</v>
      </c>
    </row>
    <row r="284" spans="1:11">
      <c r="A284" s="95">
        <v>2014</v>
      </c>
      <c r="B284" s="60">
        <f t="shared" si="24"/>
        <v>87</v>
      </c>
      <c r="C284" s="60">
        <f t="shared" si="24"/>
        <v>136</v>
      </c>
      <c r="D284" s="60">
        <f t="shared" si="24"/>
        <v>3672</v>
      </c>
      <c r="E284" s="60">
        <f t="shared" si="24"/>
        <v>6717</v>
      </c>
      <c r="F284" s="60">
        <f t="shared" si="24"/>
        <v>38359</v>
      </c>
      <c r="G284" s="60">
        <f t="shared" si="24"/>
        <v>29586</v>
      </c>
      <c r="H284" s="60">
        <f t="shared" si="24"/>
        <v>24634</v>
      </c>
      <c r="I284" s="60">
        <f t="shared" si="21"/>
        <v>6060</v>
      </c>
      <c r="J284" s="128" t="s">
        <v>106</v>
      </c>
      <c r="K284" s="60">
        <f t="shared" si="19"/>
        <v>109251</v>
      </c>
    </row>
    <row r="285" spans="1:11">
      <c r="A285" s="95">
        <v>2015</v>
      </c>
      <c r="B285" s="60">
        <f t="shared" si="24"/>
        <v>60</v>
      </c>
      <c r="C285" s="60">
        <f t="shared" si="24"/>
        <v>152</v>
      </c>
      <c r="D285" s="60">
        <f t="shared" si="24"/>
        <v>1687</v>
      </c>
      <c r="E285" s="60">
        <f t="shared" si="24"/>
        <v>2774</v>
      </c>
      <c r="F285" s="60">
        <f t="shared" si="24"/>
        <v>19517</v>
      </c>
      <c r="G285" s="60">
        <f t="shared" si="24"/>
        <v>8100</v>
      </c>
      <c r="H285" s="60">
        <f t="shared" si="24"/>
        <v>17706</v>
      </c>
      <c r="I285" s="60">
        <f t="shared" si="21"/>
        <v>7414</v>
      </c>
      <c r="J285" s="128" t="s">
        <v>106</v>
      </c>
      <c r="K285" s="60">
        <f t="shared" si="19"/>
        <v>57410</v>
      </c>
    </row>
    <row r="286" spans="1:11">
      <c r="A286" s="95">
        <v>2016</v>
      </c>
      <c r="B286" s="60">
        <f t="shared" si="24"/>
        <v>82</v>
      </c>
      <c r="C286" s="60">
        <f t="shared" si="24"/>
        <v>18</v>
      </c>
      <c r="D286" s="60">
        <f t="shared" si="24"/>
        <v>1081</v>
      </c>
      <c r="E286" s="60">
        <f t="shared" si="24"/>
        <v>3266</v>
      </c>
      <c r="F286" s="60">
        <f t="shared" si="24"/>
        <v>7099</v>
      </c>
      <c r="G286" s="60">
        <f t="shared" si="24"/>
        <v>5025</v>
      </c>
      <c r="H286" s="60">
        <f t="shared" si="24"/>
        <v>15477</v>
      </c>
      <c r="I286" s="60">
        <f t="shared" si="21"/>
        <v>2484</v>
      </c>
      <c r="J286" s="128" t="s">
        <v>106</v>
      </c>
      <c r="K286" s="60">
        <f t="shared" si="19"/>
        <v>34532</v>
      </c>
    </row>
    <row r="287" spans="1:11">
      <c r="A287" s="95">
        <v>2017</v>
      </c>
      <c r="B287" s="60">
        <f t="shared" si="24"/>
        <v>17</v>
      </c>
      <c r="C287" s="60">
        <f t="shared" si="24"/>
        <v>60</v>
      </c>
      <c r="D287" s="60">
        <f t="shared" si="24"/>
        <v>500</v>
      </c>
      <c r="E287" s="60">
        <f t="shared" si="24"/>
        <v>1916</v>
      </c>
      <c r="F287" s="60">
        <f t="shared" si="24"/>
        <v>10057</v>
      </c>
      <c r="G287" s="60">
        <f t="shared" si="24"/>
        <v>9383</v>
      </c>
      <c r="H287" s="60">
        <f t="shared" si="24"/>
        <v>9343</v>
      </c>
      <c r="I287" s="60">
        <f t="shared" si="21"/>
        <v>2465</v>
      </c>
      <c r="J287" s="128" t="s">
        <v>106</v>
      </c>
      <c r="K287" s="60">
        <f t="shared" si="19"/>
        <v>33741</v>
      </c>
    </row>
    <row r="288" spans="1:11">
      <c r="A288" s="95">
        <v>2018</v>
      </c>
      <c r="B288" s="60">
        <f t="shared" ref="B288:H288" si="25">IF(AND(B240="-",B192="-",B144="-",B96="-"),"-",SUM(B240,B192,B144,B96))</f>
        <v>54</v>
      </c>
      <c r="C288" s="60">
        <f t="shared" si="25"/>
        <v>19</v>
      </c>
      <c r="D288" s="60">
        <f t="shared" si="25"/>
        <v>1165</v>
      </c>
      <c r="E288" s="60">
        <f t="shared" si="25"/>
        <v>2180</v>
      </c>
      <c r="F288" s="60">
        <f t="shared" si="25"/>
        <v>10964</v>
      </c>
      <c r="G288" s="60">
        <f t="shared" si="25"/>
        <v>24153</v>
      </c>
      <c r="H288" s="60">
        <f t="shared" si="25"/>
        <v>14596</v>
      </c>
      <c r="I288" s="60">
        <f t="shared" si="21"/>
        <v>3001</v>
      </c>
      <c r="J288" s="128" t="s">
        <v>106</v>
      </c>
      <c r="K288" s="60">
        <f t="shared" si="19"/>
        <v>56132</v>
      </c>
    </row>
    <row r="289" spans="1:11">
      <c r="A289" s="95">
        <v>2019</v>
      </c>
      <c r="B289" s="60">
        <f t="shared" ref="B289:H289" si="26">IF(AND(B241="-",B193="-",B145="-",B97="-"),"-",SUM(B241,B193,B145,B97))</f>
        <v>43</v>
      </c>
      <c r="C289" s="60">
        <f t="shared" si="26"/>
        <v>8</v>
      </c>
      <c r="D289" s="60">
        <f t="shared" si="26"/>
        <v>542</v>
      </c>
      <c r="E289" s="60">
        <f t="shared" si="26"/>
        <v>7042</v>
      </c>
      <c r="F289" s="60">
        <f t="shared" si="26"/>
        <v>34182</v>
      </c>
      <c r="G289" s="60">
        <f t="shared" si="26"/>
        <v>26459</v>
      </c>
      <c r="H289" s="60">
        <f t="shared" si="26"/>
        <v>9684</v>
      </c>
      <c r="I289" s="60">
        <f t="shared" si="21"/>
        <v>1581</v>
      </c>
      <c r="J289" s="60" t="s">
        <v>23</v>
      </c>
      <c r="K289" s="60">
        <f t="shared" si="19"/>
        <v>79541</v>
      </c>
    </row>
    <row r="290" spans="1:11">
      <c r="A290" s="95">
        <v>2020</v>
      </c>
      <c r="B290" s="60">
        <f t="shared" ref="B290:I291" si="27">IF(AND(B242="-",B194="-",B146="-",B98="-"),"-",SUM(B242,B194,B146,B98))</f>
        <v>11</v>
      </c>
      <c r="C290" s="60">
        <f t="shared" si="27"/>
        <v>112</v>
      </c>
      <c r="D290" s="60">
        <f t="shared" si="27"/>
        <v>292</v>
      </c>
      <c r="E290" s="60">
        <f t="shared" si="27"/>
        <v>2273</v>
      </c>
      <c r="F290" s="60">
        <f t="shared" si="27"/>
        <v>25253</v>
      </c>
      <c r="G290" s="60">
        <f t="shared" si="27"/>
        <v>12556</v>
      </c>
      <c r="H290" s="60">
        <f t="shared" si="27"/>
        <v>11346</v>
      </c>
      <c r="I290" s="60">
        <f t="shared" si="27"/>
        <v>1714</v>
      </c>
      <c r="J290" s="60" t="s">
        <v>23</v>
      </c>
      <c r="K290" s="60">
        <f t="shared" ref="K290:K291" si="28">IF(AND(K242="-",K194="-",K146="-",K98="-"),"-",SUM(K242,K194,K146,K98))</f>
        <v>53557</v>
      </c>
    </row>
    <row r="291" spans="1:11" ht="13">
      <c r="A291" s="95" t="s">
        <v>317</v>
      </c>
      <c r="B291" s="60">
        <f t="shared" si="27"/>
        <v>23</v>
      </c>
      <c r="C291" s="60">
        <f t="shared" si="27"/>
        <v>571</v>
      </c>
      <c r="D291" s="60">
        <f t="shared" si="27"/>
        <v>845</v>
      </c>
      <c r="E291" s="60">
        <f t="shared" si="27"/>
        <v>6662</v>
      </c>
      <c r="F291" s="60">
        <f t="shared" si="27"/>
        <v>36897</v>
      </c>
      <c r="G291" s="60">
        <f t="shared" si="27"/>
        <v>27111</v>
      </c>
      <c r="H291" s="60">
        <f t="shared" si="27"/>
        <v>13474</v>
      </c>
      <c r="I291" s="60">
        <f t="shared" si="27"/>
        <v>202</v>
      </c>
      <c r="J291" s="60" t="s">
        <v>23</v>
      </c>
      <c r="K291" s="60">
        <f t="shared" si="28"/>
        <v>85785</v>
      </c>
    </row>
    <row r="293" spans="1:11">
      <c r="A293" s="93" t="s">
        <v>45</v>
      </c>
    </row>
    <row r="294" spans="1:11">
      <c r="A294" s="99">
        <v>1976</v>
      </c>
      <c r="B294" s="60" t="str">
        <f t="shared" ref="B294:K294" si="29">IF(AND(B6="-",B246="-"),"-",SUM(B6,B246))</f>
        <v>-</v>
      </c>
      <c r="C294" s="60">
        <f t="shared" si="29"/>
        <v>0</v>
      </c>
      <c r="D294" s="60">
        <f t="shared" si="29"/>
        <v>13072</v>
      </c>
      <c r="E294" s="60">
        <f t="shared" si="29"/>
        <v>75522</v>
      </c>
      <c r="F294" s="60">
        <f t="shared" si="29"/>
        <v>161702</v>
      </c>
      <c r="G294" s="60">
        <f t="shared" si="29"/>
        <v>213944</v>
      </c>
      <c r="H294" s="60">
        <f t="shared" si="29"/>
        <v>65687</v>
      </c>
      <c r="I294" s="60">
        <f t="shared" si="29"/>
        <v>5734</v>
      </c>
      <c r="J294" s="60">
        <f t="shared" si="29"/>
        <v>886</v>
      </c>
      <c r="K294" s="60">
        <f t="shared" si="29"/>
        <v>536547</v>
      </c>
    </row>
    <row r="295" spans="1:11">
      <c r="A295" s="99">
        <v>1977</v>
      </c>
      <c r="B295" s="60" t="str">
        <f t="shared" ref="B295:K295" si="30">IF(AND(B7="-",B247="-"),"-",SUM(B7,B247))</f>
        <v>-</v>
      </c>
      <c r="C295" s="60">
        <f t="shared" si="30"/>
        <v>0</v>
      </c>
      <c r="D295" s="60">
        <f t="shared" si="30"/>
        <v>15756</v>
      </c>
      <c r="E295" s="60">
        <f t="shared" si="30"/>
        <v>48543</v>
      </c>
      <c r="F295" s="60">
        <f t="shared" si="30"/>
        <v>136558</v>
      </c>
      <c r="G295" s="60">
        <f t="shared" si="30"/>
        <v>121284</v>
      </c>
      <c r="H295" s="60">
        <f t="shared" si="30"/>
        <v>33765</v>
      </c>
      <c r="I295" s="60">
        <f t="shared" si="30"/>
        <v>8940</v>
      </c>
      <c r="J295" s="60">
        <f t="shared" si="30"/>
        <v>1129</v>
      </c>
      <c r="K295" s="60">
        <f t="shared" si="30"/>
        <v>365975</v>
      </c>
    </row>
    <row r="296" spans="1:11">
      <c r="A296" s="99">
        <v>1978</v>
      </c>
      <c r="B296" s="60" t="str">
        <f t="shared" ref="B296:K296" si="31">IF(AND(B8="-",B248="-"),"-",SUM(B8,B248))</f>
        <v>-</v>
      </c>
      <c r="C296" s="60">
        <f t="shared" si="31"/>
        <v>0</v>
      </c>
      <c r="D296" s="60">
        <f t="shared" si="31"/>
        <v>12251</v>
      </c>
      <c r="E296" s="60">
        <f t="shared" si="31"/>
        <v>78618</v>
      </c>
      <c r="F296" s="60">
        <f t="shared" si="31"/>
        <v>144430</v>
      </c>
      <c r="G296" s="60">
        <f t="shared" si="31"/>
        <v>115713</v>
      </c>
      <c r="H296" s="60">
        <f t="shared" si="31"/>
        <v>37572</v>
      </c>
      <c r="I296" s="60">
        <f t="shared" si="31"/>
        <v>13294</v>
      </c>
      <c r="J296" s="60">
        <f t="shared" si="31"/>
        <v>1528</v>
      </c>
      <c r="K296" s="60">
        <f t="shared" si="31"/>
        <v>403406</v>
      </c>
    </row>
    <row r="297" spans="1:11">
      <c r="A297" s="99">
        <v>1979</v>
      </c>
      <c r="B297" s="60" t="str">
        <f t="shared" ref="B297:K297" si="32">IF(AND(B9="-",B249="-"),"-",SUM(B9,B249))</f>
        <v>-</v>
      </c>
      <c r="C297" s="60" t="str">
        <f t="shared" si="32"/>
        <v>-</v>
      </c>
      <c r="D297" s="60">
        <f t="shared" si="32"/>
        <v>8891</v>
      </c>
      <c r="E297" s="60">
        <f t="shared" si="32"/>
        <v>42790</v>
      </c>
      <c r="F297" s="60">
        <f t="shared" si="32"/>
        <v>129730</v>
      </c>
      <c r="G297" s="60">
        <f t="shared" si="32"/>
        <v>106688</v>
      </c>
      <c r="H297" s="60">
        <f t="shared" si="32"/>
        <v>7284</v>
      </c>
      <c r="I297" s="60">
        <f t="shared" si="32"/>
        <v>5025</v>
      </c>
      <c r="J297" s="60">
        <f t="shared" si="32"/>
        <v>935</v>
      </c>
      <c r="K297" s="60">
        <f t="shared" si="32"/>
        <v>301343</v>
      </c>
    </row>
    <row r="298" spans="1:11">
      <c r="A298" s="99">
        <v>1980</v>
      </c>
      <c r="B298" s="60" t="str">
        <f t="shared" ref="B298:K298" si="33">IF(AND(B10="-",B250="-"),"-",SUM(B10,B250))</f>
        <v>-</v>
      </c>
      <c r="C298" s="60" t="str">
        <f t="shared" si="33"/>
        <v>-</v>
      </c>
      <c r="D298" s="60">
        <f t="shared" si="33"/>
        <v>5857</v>
      </c>
      <c r="E298" s="60">
        <f t="shared" si="33"/>
        <v>78432</v>
      </c>
      <c r="F298" s="60">
        <f t="shared" si="33"/>
        <v>140040</v>
      </c>
      <c r="G298" s="60">
        <f t="shared" si="33"/>
        <v>84746</v>
      </c>
      <c r="H298" s="60">
        <f t="shared" si="33"/>
        <v>19056</v>
      </c>
      <c r="I298" s="60">
        <f t="shared" si="33"/>
        <v>2900</v>
      </c>
      <c r="J298" s="60">
        <f t="shared" si="33"/>
        <v>412</v>
      </c>
      <c r="K298" s="60">
        <f t="shared" si="33"/>
        <v>331443</v>
      </c>
    </row>
    <row r="299" spans="1:11">
      <c r="A299" s="99">
        <v>1981</v>
      </c>
      <c r="B299" s="60" t="str">
        <f t="shared" ref="B299:K299" si="34">IF(AND(B11="-",B251="-"),"-",SUM(B11,B251))</f>
        <v>-</v>
      </c>
      <c r="C299" s="60" t="str">
        <f t="shared" si="34"/>
        <v>-</v>
      </c>
      <c r="D299" s="60">
        <f t="shared" si="34"/>
        <v>13847</v>
      </c>
      <c r="E299" s="60">
        <f t="shared" si="34"/>
        <v>45670</v>
      </c>
      <c r="F299" s="60">
        <f t="shared" si="34"/>
        <v>112190</v>
      </c>
      <c r="G299" s="60">
        <f t="shared" si="34"/>
        <v>110318</v>
      </c>
      <c r="H299" s="60">
        <f t="shared" si="34"/>
        <v>26365</v>
      </c>
      <c r="I299" s="60">
        <f t="shared" si="34"/>
        <v>2324</v>
      </c>
      <c r="J299" s="60">
        <f t="shared" si="34"/>
        <v>313</v>
      </c>
      <c r="K299" s="60">
        <f t="shared" si="34"/>
        <v>311027</v>
      </c>
    </row>
    <row r="300" spans="1:11">
      <c r="A300" s="99">
        <v>1982</v>
      </c>
      <c r="B300" s="60" t="str">
        <f t="shared" ref="B300:K300" si="35">IF(AND(B12="-",B252="-"),"-",SUM(B12,B252))</f>
        <v>-</v>
      </c>
      <c r="C300" s="60" t="str">
        <f t="shared" si="35"/>
        <v>-</v>
      </c>
      <c r="D300" s="60">
        <f t="shared" si="35"/>
        <v>733</v>
      </c>
      <c r="E300" s="60">
        <f t="shared" si="35"/>
        <v>32118</v>
      </c>
      <c r="F300" s="60">
        <f t="shared" si="35"/>
        <v>177079</v>
      </c>
      <c r="G300" s="60">
        <f t="shared" si="35"/>
        <v>10239</v>
      </c>
      <c r="H300" s="60">
        <f t="shared" si="35"/>
        <v>2976</v>
      </c>
      <c r="I300" s="60">
        <f t="shared" si="35"/>
        <v>2606</v>
      </c>
      <c r="J300" s="60">
        <f t="shared" si="35"/>
        <v>278</v>
      </c>
      <c r="K300" s="60">
        <f t="shared" si="35"/>
        <v>226029</v>
      </c>
    </row>
    <row r="301" spans="1:11">
      <c r="A301" s="99">
        <v>1983</v>
      </c>
      <c r="B301" s="60" t="str">
        <f t="shared" ref="B301:K301" si="36">IF(AND(B13="-",B253="-"),"-",SUM(B13,B253))</f>
        <v>-</v>
      </c>
      <c r="C301" s="60" t="str">
        <f t="shared" si="36"/>
        <v>-</v>
      </c>
      <c r="D301" s="60">
        <f t="shared" si="36"/>
        <v>835</v>
      </c>
      <c r="E301" s="60">
        <f t="shared" si="36"/>
        <v>31484</v>
      </c>
      <c r="F301" s="60">
        <f t="shared" si="36"/>
        <v>107962</v>
      </c>
      <c r="G301" s="60">
        <f t="shared" si="36"/>
        <v>55112</v>
      </c>
      <c r="H301" s="60">
        <f t="shared" si="36"/>
        <v>25507</v>
      </c>
      <c r="I301" s="60">
        <f t="shared" si="36"/>
        <v>5024</v>
      </c>
      <c r="J301" s="60">
        <f t="shared" si="36"/>
        <v>98</v>
      </c>
      <c r="K301" s="60">
        <f t="shared" si="36"/>
        <v>226022</v>
      </c>
    </row>
    <row r="302" spans="1:11">
      <c r="A302" s="99">
        <v>1984</v>
      </c>
      <c r="B302" s="60" t="str">
        <f t="shared" ref="B302:I305" si="37">IF(AND(B14="-",B254="-"),"-",SUM(B14,B254))</f>
        <v>-</v>
      </c>
      <c r="C302" s="60" t="str">
        <f t="shared" si="37"/>
        <v>-</v>
      </c>
      <c r="D302" s="60" t="str">
        <f t="shared" si="37"/>
        <v>-</v>
      </c>
      <c r="E302" s="60" t="str">
        <f t="shared" si="37"/>
        <v>-</v>
      </c>
      <c r="F302" s="60">
        <f t="shared" si="37"/>
        <v>74943</v>
      </c>
      <c r="G302" s="60">
        <f t="shared" si="37"/>
        <v>69759</v>
      </c>
      <c r="H302" s="60">
        <f t="shared" si="37"/>
        <v>5266</v>
      </c>
      <c r="I302" s="60">
        <f t="shared" si="37"/>
        <v>3089</v>
      </c>
      <c r="J302" s="60" t="s">
        <v>106</v>
      </c>
      <c r="K302" s="60">
        <f t="shared" ref="K302:K337" si="38">IF(AND(K14="-",K254="-"),"-",SUM(K14,K254))</f>
        <v>153057</v>
      </c>
    </row>
    <row r="303" spans="1:11">
      <c r="A303" s="99">
        <v>1985</v>
      </c>
      <c r="B303" s="60" t="str">
        <f t="shared" si="37"/>
        <v>-</v>
      </c>
      <c r="C303" s="60" t="str">
        <f t="shared" si="37"/>
        <v>-</v>
      </c>
      <c r="D303" s="60">
        <f t="shared" si="37"/>
        <v>4556</v>
      </c>
      <c r="E303" s="60">
        <f t="shared" si="37"/>
        <v>605</v>
      </c>
      <c r="F303" s="60">
        <f t="shared" si="37"/>
        <v>106849</v>
      </c>
      <c r="G303" s="60">
        <f t="shared" si="37"/>
        <v>126240</v>
      </c>
      <c r="H303" s="60">
        <f t="shared" si="37"/>
        <v>7763</v>
      </c>
      <c r="I303" s="60">
        <f t="shared" si="37"/>
        <v>5570</v>
      </c>
      <c r="J303" s="60" t="s">
        <v>106</v>
      </c>
      <c r="K303" s="60">
        <f t="shared" si="38"/>
        <v>251583</v>
      </c>
    </row>
    <row r="304" spans="1:11">
      <c r="A304" s="95">
        <v>1986</v>
      </c>
      <c r="B304" s="60" t="str">
        <f t="shared" si="37"/>
        <v>-</v>
      </c>
      <c r="C304" s="60" t="str">
        <f t="shared" si="37"/>
        <v>-</v>
      </c>
      <c r="D304" s="60">
        <f t="shared" si="37"/>
        <v>5724</v>
      </c>
      <c r="E304" s="60">
        <f t="shared" si="37"/>
        <v>21888</v>
      </c>
      <c r="F304" s="60">
        <f t="shared" si="37"/>
        <v>117697</v>
      </c>
      <c r="G304" s="60">
        <f t="shared" si="37"/>
        <v>36045</v>
      </c>
      <c r="H304" s="60">
        <f t="shared" si="37"/>
        <v>597</v>
      </c>
      <c r="I304" s="60">
        <f t="shared" si="37"/>
        <v>5020</v>
      </c>
      <c r="J304" s="60" t="s">
        <v>106</v>
      </c>
      <c r="K304" s="60">
        <f t="shared" si="38"/>
        <v>186971</v>
      </c>
    </row>
    <row r="305" spans="1:11">
      <c r="A305" s="95">
        <v>1987</v>
      </c>
      <c r="B305" s="60" t="str">
        <f t="shared" si="37"/>
        <v>-</v>
      </c>
      <c r="C305" s="60" t="str">
        <f t="shared" si="37"/>
        <v>-</v>
      </c>
      <c r="D305" s="60">
        <f t="shared" si="37"/>
        <v>2318</v>
      </c>
      <c r="E305" s="60">
        <f t="shared" si="37"/>
        <v>21470</v>
      </c>
      <c r="F305" s="60">
        <f t="shared" si="37"/>
        <v>130482</v>
      </c>
      <c r="G305" s="60">
        <f t="shared" si="37"/>
        <v>70183</v>
      </c>
      <c r="H305" s="60">
        <f t="shared" si="37"/>
        <v>25584</v>
      </c>
      <c r="I305" s="60">
        <f t="shared" si="37"/>
        <v>5040</v>
      </c>
      <c r="J305" s="60" t="s">
        <v>106</v>
      </c>
      <c r="K305" s="60">
        <f t="shared" si="38"/>
        <v>255077</v>
      </c>
    </row>
    <row r="306" spans="1:11">
      <c r="A306" s="95">
        <v>1988</v>
      </c>
      <c r="B306" s="60" t="str">
        <f t="shared" ref="B306:H315" si="39">IF(AND(B18="-",B258="-"),"-",SUM(B18,B258))</f>
        <v>-</v>
      </c>
      <c r="C306" s="60" t="str">
        <f t="shared" si="39"/>
        <v>-</v>
      </c>
      <c r="D306" s="60">
        <f t="shared" si="39"/>
        <v>3439</v>
      </c>
      <c r="E306" s="60">
        <f t="shared" si="39"/>
        <v>33187</v>
      </c>
      <c r="F306" s="60">
        <f t="shared" si="39"/>
        <v>111457</v>
      </c>
      <c r="G306" s="60">
        <f t="shared" si="39"/>
        <v>80374</v>
      </c>
      <c r="H306" s="60">
        <f t="shared" si="39"/>
        <v>22118</v>
      </c>
      <c r="I306" s="60" t="s">
        <v>106</v>
      </c>
      <c r="J306" s="60" t="s">
        <v>106</v>
      </c>
      <c r="K306" s="60">
        <f t="shared" si="38"/>
        <v>250575</v>
      </c>
    </row>
    <row r="307" spans="1:11">
      <c r="A307" s="95">
        <v>1989</v>
      </c>
      <c r="B307" s="60" t="str">
        <f t="shared" si="39"/>
        <v>-</v>
      </c>
      <c r="C307" s="60" t="str">
        <f t="shared" si="39"/>
        <v>-</v>
      </c>
      <c r="D307" s="60">
        <f t="shared" si="39"/>
        <v>5258</v>
      </c>
      <c r="E307" s="60">
        <f t="shared" si="39"/>
        <v>53455</v>
      </c>
      <c r="F307" s="60">
        <f t="shared" si="39"/>
        <v>122550</v>
      </c>
      <c r="G307" s="60">
        <f t="shared" si="39"/>
        <v>79692</v>
      </c>
      <c r="H307" s="60">
        <f t="shared" si="39"/>
        <v>5672</v>
      </c>
      <c r="I307" s="60" t="s">
        <v>106</v>
      </c>
      <c r="J307" s="60" t="s">
        <v>106</v>
      </c>
      <c r="K307" s="60">
        <f t="shared" si="38"/>
        <v>266627</v>
      </c>
    </row>
    <row r="308" spans="1:11">
      <c r="A308" s="95">
        <v>1990</v>
      </c>
      <c r="B308" s="60" t="str">
        <f t="shared" si="39"/>
        <v>-</v>
      </c>
      <c r="C308" s="60" t="str">
        <f t="shared" si="39"/>
        <v>-</v>
      </c>
      <c r="D308" s="60">
        <f t="shared" si="39"/>
        <v>2753</v>
      </c>
      <c r="E308" s="60">
        <f t="shared" si="39"/>
        <v>31959</v>
      </c>
      <c r="F308" s="60">
        <f t="shared" si="39"/>
        <v>98724</v>
      </c>
      <c r="G308" s="60">
        <f t="shared" si="39"/>
        <v>94318</v>
      </c>
      <c r="H308" s="60">
        <f t="shared" si="39"/>
        <v>18801</v>
      </c>
      <c r="I308" s="60" t="s">
        <v>106</v>
      </c>
      <c r="J308" s="60" t="str">
        <f>IF(AND(J20="-",J260="-"),"-",SUM(J20,J260))</f>
        <v>-</v>
      </c>
      <c r="K308" s="60">
        <f t="shared" si="38"/>
        <v>246555</v>
      </c>
    </row>
    <row r="309" spans="1:11">
      <c r="A309" s="95">
        <v>1991</v>
      </c>
      <c r="B309" s="60" t="str">
        <f t="shared" si="39"/>
        <v>-</v>
      </c>
      <c r="C309" s="60" t="str">
        <f t="shared" si="39"/>
        <v>-</v>
      </c>
      <c r="D309" s="60">
        <f t="shared" si="39"/>
        <v>3398</v>
      </c>
      <c r="E309" s="60">
        <f t="shared" si="39"/>
        <v>46184</v>
      </c>
      <c r="F309" s="60">
        <f t="shared" si="39"/>
        <v>123369</v>
      </c>
      <c r="G309" s="60">
        <f t="shared" si="39"/>
        <v>11333</v>
      </c>
      <c r="H309" s="60">
        <f t="shared" si="39"/>
        <v>5774</v>
      </c>
      <c r="I309" s="60" t="s">
        <v>106</v>
      </c>
      <c r="J309" s="60" t="str">
        <f>IF(AND(J21="-",J261="-"),"-",SUM(J21,J261))</f>
        <v>-</v>
      </c>
      <c r="K309" s="60">
        <f t="shared" si="38"/>
        <v>190058</v>
      </c>
    </row>
    <row r="310" spans="1:11">
      <c r="A310" s="95">
        <v>1992</v>
      </c>
      <c r="B310" s="60" t="str">
        <f t="shared" si="39"/>
        <v>-</v>
      </c>
      <c r="C310" s="60" t="str">
        <f t="shared" si="39"/>
        <v>-</v>
      </c>
      <c r="D310" s="60">
        <f t="shared" si="39"/>
        <v>3692</v>
      </c>
      <c r="E310" s="60">
        <f t="shared" si="39"/>
        <v>19921</v>
      </c>
      <c r="F310" s="60">
        <f t="shared" si="39"/>
        <v>86880</v>
      </c>
      <c r="G310" s="60">
        <f t="shared" si="39"/>
        <v>36288</v>
      </c>
      <c r="H310" s="60">
        <f t="shared" si="39"/>
        <v>14674</v>
      </c>
      <c r="I310" s="60">
        <f>IF(AND(I22="-",I262="-"),"-",SUM(I22,I262))</f>
        <v>3862</v>
      </c>
      <c r="J310" s="60" t="str">
        <f>IF(AND(J22="-",J262="-"),"-",SUM(J22,J262))</f>
        <v>-</v>
      </c>
      <c r="K310" s="60">
        <f t="shared" si="38"/>
        <v>165317</v>
      </c>
    </row>
    <row r="311" spans="1:11">
      <c r="A311" s="95">
        <v>1993</v>
      </c>
      <c r="B311" s="60" t="str">
        <f t="shared" si="39"/>
        <v>-</v>
      </c>
      <c r="C311" s="60" t="str">
        <f t="shared" si="39"/>
        <v>-</v>
      </c>
      <c r="D311" s="60">
        <f t="shared" si="39"/>
        <v>3039</v>
      </c>
      <c r="E311" s="60">
        <f t="shared" si="39"/>
        <v>6021</v>
      </c>
      <c r="F311" s="60">
        <f t="shared" si="39"/>
        <v>36965</v>
      </c>
      <c r="G311" s="60">
        <f t="shared" si="39"/>
        <v>26522</v>
      </c>
      <c r="H311" s="60">
        <f t="shared" si="39"/>
        <v>7065</v>
      </c>
      <c r="I311" s="60" t="s">
        <v>106</v>
      </c>
      <c r="J311" s="60" t="s">
        <v>106</v>
      </c>
      <c r="K311" s="60">
        <f t="shared" si="38"/>
        <v>79612</v>
      </c>
    </row>
    <row r="312" spans="1:11">
      <c r="A312" s="95">
        <v>1994</v>
      </c>
      <c r="B312" s="60" t="str">
        <f t="shared" si="39"/>
        <v>-</v>
      </c>
      <c r="C312" s="60" t="str">
        <f t="shared" si="39"/>
        <v>-</v>
      </c>
      <c r="D312" s="60">
        <f t="shared" si="39"/>
        <v>7238</v>
      </c>
      <c r="E312" s="60">
        <f t="shared" si="39"/>
        <v>2392</v>
      </c>
      <c r="F312" s="60" t="str">
        <f t="shared" si="39"/>
        <v>-</v>
      </c>
      <c r="G312" s="60">
        <f t="shared" si="39"/>
        <v>1383</v>
      </c>
      <c r="H312" s="60">
        <f t="shared" si="39"/>
        <v>2910</v>
      </c>
      <c r="I312" s="60">
        <f>IF(AND(I24="-",I264="-"),"-",SUM(I24,I264))</f>
        <v>12971</v>
      </c>
      <c r="J312" s="60">
        <f>IF(AND(J24="-",J264="-"),"-",SUM(J24,J264))</f>
        <v>3</v>
      </c>
      <c r="K312" s="60">
        <f t="shared" si="38"/>
        <v>26897</v>
      </c>
    </row>
    <row r="313" spans="1:11">
      <c r="A313" s="95">
        <v>1995</v>
      </c>
      <c r="B313" s="60" t="str">
        <f t="shared" si="39"/>
        <v>-</v>
      </c>
      <c r="C313" s="60" t="str">
        <f t="shared" si="39"/>
        <v>-</v>
      </c>
      <c r="D313" s="60">
        <f t="shared" si="39"/>
        <v>3183</v>
      </c>
      <c r="E313" s="60">
        <f t="shared" si="39"/>
        <v>7051</v>
      </c>
      <c r="F313" s="60">
        <f t="shared" si="39"/>
        <v>2275</v>
      </c>
      <c r="G313" s="60">
        <f t="shared" si="39"/>
        <v>9633</v>
      </c>
      <c r="H313" s="60">
        <f t="shared" si="39"/>
        <v>8364</v>
      </c>
      <c r="I313" s="60">
        <f>IF(AND(I25="-",I265="-"),"-",SUM(I25,I265))</f>
        <v>4556</v>
      </c>
      <c r="J313" s="60">
        <f>IF(AND(J25="-",J265="-"),"-",SUM(J25,J265))</f>
        <v>788</v>
      </c>
      <c r="K313" s="60">
        <f t="shared" si="38"/>
        <v>35850</v>
      </c>
    </row>
    <row r="314" spans="1:11">
      <c r="A314" s="95">
        <v>1996</v>
      </c>
      <c r="B314" s="60" t="str">
        <f t="shared" si="39"/>
        <v>-</v>
      </c>
      <c r="C314" s="60" t="str">
        <f t="shared" si="39"/>
        <v>-</v>
      </c>
      <c r="D314" s="60">
        <f t="shared" si="39"/>
        <v>2958</v>
      </c>
      <c r="E314" s="60">
        <f t="shared" si="39"/>
        <v>6839</v>
      </c>
      <c r="F314" s="60">
        <f t="shared" si="39"/>
        <v>3811</v>
      </c>
      <c r="G314" s="60">
        <f t="shared" si="39"/>
        <v>13936</v>
      </c>
      <c r="H314" s="60">
        <f t="shared" si="39"/>
        <v>8881</v>
      </c>
      <c r="I314" s="60">
        <f t="shared" ref="I314:I337" si="40">IF(AND(I26="-",I266="-"),"-",SUM(I26,I266))</f>
        <v>7537</v>
      </c>
      <c r="J314" s="60" t="s">
        <v>106</v>
      </c>
      <c r="K314" s="60">
        <f t="shared" si="38"/>
        <v>43962</v>
      </c>
    </row>
    <row r="315" spans="1:11">
      <c r="A315" s="95">
        <v>1997</v>
      </c>
      <c r="B315" s="60" t="str">
        <f t="shared" si="39"/>
        <v>-</v>
      </c>
      <c r="C315" s="60">
        <f t="shared" si="39"/>
        <v>29</v>
      </c>
      <c r="D315" s="60">
        <f t="shared" si="39"/>
        <v>2916</v>
      </c>
      <c r="E315" s="60">
        <f t="shared" si="39"/>
        <v>4228</v>
      </c>
      <c r="F315" s="60">
        <f t="shared" si="39"/>
        <v>6537</v>
      </c>
      <c r="G315" s="60">
        <f t="shared" si="39"/>
        <v>10335</v>
      </c>
      <c r="H315" s="60">
        <f t="shared" si="39"/>
        <v>3161</v>
      </c>
      <c r="I315" s="60">
        <f t="shared" si="40"/>
        <v>2942</v>
      </c>
      <c r="J315" s="60" t="s">
        <v>106</v>
      </c>
      <c r="K315" s="60">
        <f t="shared" si="38"/>
        <v>30148</v>
      </c>
    </row>
    <row r="316" spans="1:11">
      <c r="A316" s="95">
        <v>1998</v>
      </c>
      <c r="B316" s="60" t="str">
        <f t="shared" ref="B316:H325" si="41">IF(AND(B28="-",B268="-"),"-",SUM(B28,B268))</f>
        <v>-</v>
      </c>
      <c r="C316" s="60">
        <f t="shared" si="41"/>
        <v>0</v>
      </c>
      <c r="D316" s="60">
        <f t="shared" si="41"/>
        <v>2061</v>
      </c>
      <c r="E316" s="60">
        <f t="shared" si="41"/>
        <v>2387</v>
      </c>
      <c r="F316" s="60">
        <f t="shared" si="41"/>
        <v>1921</v>
      </c>
      <c r="G316" s="60">
        <f t="shared" si="41"/>
        <v>9090</v>
      </c>
      <c r="H316" s="60">
        <f t="shared" si="41"/>
        <v>4828</v>
      </c>
      <c r="I316" s="60">
        <f t="shared" si="40"/>
        <v>5667</v>
      </c>
      <c r="J316" s="60" t="s">
        <v>106</v>
      </c>
      <c r="K316" s="60">
        <f t="shared" si="38"/>
        <v>25954</v>
      </c>
    </row>
    <row r="317" spans="1:11">
      <c r="A317" s="95">
        <v>1999</v>
      </c>
      <c r="B317" s="60" t="str">
        <f t="shared" si="41"/>
        <v>-</v>
      </c>
      <c r="C317" s="60">
        <f t="shared" si="41"/>
        <v>12</v>
      </c>
      <c r="D317" s="60">
        <f t="shared" si="41"/>
        <v>814</v>
      </c>
      <c r="E317" s="60">
        <f t="shared" si="41"/>
        <v>1719</v>
      </c>
      <c r="F317" s="60">
        <f t="shared" si="41"/>
        <v>20171</v>
      </c>
      <c r="G317" s="60">
        <f t="shared" si="41"/>
        <v>12415</v>
      </c>
      <c r="H317" s="60">
        <f t="shared" si="41"/>
        <v>8371</v>
      </c>
      <c r="I317" s="60">
        <f t="shared" si="40"/>
        <v>5813</v>
      </c>
      <c r="J317" s="60">
        <f t="shared" ref="J317:J325" si="42">IF(AND(J29="-",J269="-"),"-",SUM(J29,J269))</f>
        <v>104</v>
      </c>
      <c r="K317" s="60">
        <f t="shared" si="38"/>
        <v>49419</v>
      </c>
    </row>
    <row r="318" spans="1:11">
      <c r="A318" s="95">
        <v>2000</v>
      </c>
      <c r="B318" s="60" t="str">
        <f t="shared" si="41"/>
        <v>-</v>
      </c>
      <c r="C318" s="60">
        <f t="shared" si="41"/>
        <v>26</v>
      </c>
      <c r="D318" s="60">
        <f t="shared" si="41"/>
        <v>676</v>
      </c>
      <c r="E318" s="60">
        <f t="shared" si="41"/>
        <v>2917</v>
      </c>
      <c r="F318" s="60">
        <f t="shared" si="41"/>
        <v>37002</v>
      </c>
      <c r="G318" s="60">
        <f t="shared" si="41"/>
        <v>24875</v>
      </c>
      <c r="H318" s="60">
        <f t="shared" si="41"/>
        <v>6295</v>
      </c>
      <c r="I318" s="60">
        <f t="shared" si="40"/>
        <v>6537</v>
      </c>
      <c r="J318" s="60">
        <f t="shared" si="42"/>
        <v>235</v>
      </c>
      <c r="K318" s="60">
        <f t="shared" si="38"/>
        <v>78563</v>
      </c>
    </row>
    <row r="319" spans="1:11">
      <c r="A319" s="95">
        <v>2001</v>
      </c>
      <c r="B319" s="60" t="str">
        <f t="shared" si="41"/>
        <v>-</v>
      </c>
      <c r="C319" s="60">
        <f t="shared" si="41"/>
        <v>0</v>
      </c>
      <c r="D319" s="60">
        <f t="shared" si="41"/>
        <v>5016</v>
      </c>
      <c r="E319" s="60">
        <f t="shared" si="41"/>
        <v>21671</v>
      </c>
      <c r="F319" s="60">
        <f t="shared" si="41"/>
        <v>48372</v>
      </c>
      <c r="G319" s="60">
        <f t="shared" si="41"/>
        <v>31609</v>
      </c>
      <c r="H319" s="60">
        <f t="shared" si="41"/>
        <v>7037</v>
      </c>
      <c r="I319" s="60">
        <f t="shared" si="40"/>
        <v>6594</v>
      </c>
      <c r="J319" s="60">
        <f t="shared" si="42"/>
        <v>162</v>
      </c>
      <c r="K319" s="60">
        <f t="shared" si="38"/>
        <v>120461</v>
      </c>
    </row>
    <row r="320" spans="1:11">
      <c r="A320" s="95">
        <v>2002</v>
      </c>
      <c r="B320" s="60" t="str">
        <f t="shared" si="41"/>
        <v>-</v>
      </c>
      <c r="C320" s="60">
        <f t="shared" si="41"/>
        <v>275</v>
      </c>
      <c r="D320" s="60">
        <f t="shared" si="41"/>
        <v>3217</v>
      </c>
      <c r="E320" s="60">
        <f t="shared" si="41"/>
        <v>10601</v>
      </c>
      <c r="F320" s="60">
        <f t="shared" si="41"/>
        <v>41175</v>
      </c>
      <c r="G320" s="60">
        <f t="shared" si="41"/>
        <v>26218</v>
      </c>
      <c r="H320" s="60">
        <f t="shared" si="41"/>
        <v>14233</v>
      </c>
      <c r="I320" s="60">
        <f t="shared" si="40"/>
        <v>11872</v>
      </c>
      <c r="J320" s="60">
        <f t="shared" si="42"/>
        <v>50</v>
      </c>
      <c r="K320" s="60">
        <f t="shared" si="38"/>
        <v>107641</v>
      </c>
    </row>
    <row r="321" spans="1:11">
      <c r="A321" s="95">
        <v>2003</v>
      </c>
      <c r="B321" s="60">
        <f t="shared" si="41"/>
        <v>81</v>
      </c>
      <c r="C321" s="60">
        <f t="shared" si="41"/>
        <v>139</v>
      </c>
      <c r="D321" s="60">
        <f t="shared" si="41"/>
        <v>2819</v>
      </c>
      <c r="E321" s="60">
        <f t="shared" si="41"/>
        <v>12515</v>
      </c>
      <c r="F321" s="60">
        <f t="shared" si="41"/>
        <v>63300</v>
      </c>
      <c r="G321" s="60">
        <f t="shared" si="41"/>
        <v>47700</v>
      </c>
      <c r="H321" s="60">
        <f t="shared" si="41"/>
        <v>11209</v>
      </c>
      <c r="I321" s="60">
        <f t="shared" si="40"/>
        <v>6265</v>
      </c>
      <c r="J321" s="60">
        <f t="shared" si="42"/>
        <v>395</v>
      </c>
      <c r="K321" s="60">
        <f t="shared" si="38"/>
        <v>144423</v>
      </c>
    </row>
    <row r="322" spans="1:11">
      <c r="A322" s="95">
        <v>2004</v>
      </c>
      <c r="B322" s="60">
        <f t="shared" si="41"/>
        <v>78</v>
      </c>
      <c r="C322" s="60">
        <f t="shared" si="41"/>
        <v>238</v>
      </c>
      <c r="D322" s="60">
        <f t="shared" si="41"/>
        <v>2722</v>
      </c>
      <c r="E322" s="60">
        <f t="shared" si="41"/>
        <v>18571</v>
      </c>
      <c r="F322" s="60">
        <f t="shared" si="41"/>
        <v>57622</v>
      </c>
      <c r="G322" s="60">
        <f t="shared" si="41"/>
        <v>44459</v>
      </c>
      <c r="H322" s="60">
        <f t="shared" si="41"/>
        <v>17052</v>
      </c>
      <c r="I322" s="60">
        <f t="shared" si="40"/>
        <v>4669</v>
      </c>
      <c r="J322" s="60">
        <f t="shared" si="42"/>
        <v>291</v>
      </c>
      <c r="K322" s="60">
        <f t="shared" si="38"/>
        <v>145702</v>
      </c>
    </row>
    <row r="323" spans="1:11">
      <c r="A323" s="95">
        <v>2005</v>
      </c>
      <c r="B323" s="60">
        <f t="shared" si="41"/>
        <v>30</v>
      </c>
      <c r="C323" s="60">
        <f t="shared" si="41"/>
        <v>406</v>
      </c>
      <c r="D323" s="60">
        <f t="shared" si="41"/>
        <v>1995</v>
      </c>
      <c r="E323" s="60">
        <f t="shared" si="41"/>
        <v>16108</v>
      </c>
      <c r="F323" s="60">
        <f t="shared" si="41"/>
        <v>16346</v>
      </c>
      <c r="G323" s="60">
        <f t="shared" si="41"/>
        <v>20715</v>
      </c>
      <c r="H323" s="60">
        <f t="shared" si="41"/>
        <v>17211</v>
      </c>
      <c r="I323" s="60">
        <f t="shared" si="40"/>
        <v>3176</v>
      </c>
      <c r="J323" s="60">
        <f t="shared" si="42"/>
        <v>12</v>
      </c>
      <c r="K323" s="60">
        <f t="shared" si="38"/>
        <v>75999</v>
      </c>
    </row>
    <row r="324" spans="1:11">
      <c r="A324" s="95">
        <v>2006</v>
      </c>
      <c r="B324" s="60">
        <f t="shared" si="41"/>
        <v>24</v>
      </c>
      <c r="C324" s="60">
        <f t="shared" si="41"/>
        <v>92</v>
      </c>
      <c r="D324" s="60">
        <f t="shared" si="41"/>
        <v>1414</v>
      </c>
      <c r="E324" s="60">
        <f t="shared" si="41"/>
        <v>7575</v>
      </c>
      <c r="F324" s="60">
        <f t="shared" si="41"/>
        <v>20761</v>
      </c>
      <c r="G324" s="60">
        <f t="shared" si="41"/>
        <v>9586</v>
      </c>
      <c r="H324" s="60">
        <f t="shared" si="41"/>
        <v>14322</v>
      </c>
      <c r="I324" s="60">
        <f t="shared" si="40"/>
        <v>8449</v>
      </c>
      <c r="J324" s="60">
        <f t="shared" si="42"/>
        <v>98</v>
      </c>
      <c r="K324" s="60">
        <f t="shared" si="38"/>
        <v>62321</v>
      </c>
    </row>
    <row r="325" spans="1:11">
      <c r="A325" s="95">
        <v>2007</v>
      </c>
      <c r="B325" s="60">
        <f t="shared" si="41"/>
        <v>36</v>
      </c>
      <c r="C325" s="60">
        <f t="shared" si="41"/>
        <v>75</v>
      </c>
      <c r="D325" s="60">
        <f t="shared" si="41"/>
        <v>1576</v>
      </c>
      <c r="E325" s="60">
        <f t="shared" si="41"/>
        <v>8580</v>
      </c>
      <c r="F325" s="60">
        <f t="shared" si="41"/>
        <v>26215</v>
      </c>
      <c r="G325" s="60">
        <f t="shared" si="41"/>
        <v>39498</v>
      </c>
      <c r="H325" s="60">
        <f t="shared" si="41"/>
        <v>6640</v>
      </c>
      <c r="I325" s="60">
        <f t="shared" si="40"/>
        <v>5604</v>
      </c>
      <c r="J325" s="60">
        <f t="shared" si="42"/>
        <v>40</v>
      </c>
      <c r="K325" s="60">
        <f t="shared" si="38"/>
        <v>88264</v>
      </c>
    </row>
    <row r="326" spans="1:11">
      <c r="A326" s="95">
        <v>2008</v>
      </c>
      <c r="B326" s="60" t="str">
        <f t="shared" ref="B326:H335" si="43">IF(AND(B38="-",B278="-"),"-",SUM(B38,B278))</f>
        <v>-</v>
      </c>
      <c r="C326" s="60" t="str">
        <f t="shared" si="43"/>
        <v>-</v>
      </c>
      <c r="D326" s="60">
        <f t="shared" si="43"/>
        <v>66</v>
      </c>
      <c r="E326" s="60">
        <f t="shared" si="43"/>
        <v>4463</v>
      </c>
      <c r="F326" s="60">
        <f t="shared" si="43"/>
        <v>11873</v>
      </c>
      <c r="G326" s="60">
        <f t="shared" si="43"/>
        <v>6968</v>
      </c>
      <c r="H326" s="60">
        <f t="shared" si="43"/>
        <v>3635</v>
      </c>
      <c r="I326" s="60">
        <f t="shared" si="40"/>
        <v>3413</v>
      </c>
      <c r="J326" s="128" t="s">
        <v>106</v>
      </c>
      <c r="K326" s="60">
        <f t="shared" si="38"/>
        <v>30418</v>
      </c>
    </row>
    <row r="327" spans="1:11">
      <c r="A327" s="95">
        <v>2009</v>
      </c>
      <c r="B327" s="60" t="str">
        <f t="shared" si="43"/>
        <v>-</v>
      </c>
      <c r="C327" s="60" t="str">
        <f t="shared" si="43"/>
        <v>-</v>
      </c>
      <c r="D327" s="60" t="str">
        <f t="shared" si="43"/>
        <v>-</v>
      </c>
      <c r="E327" s="60">
        <f t="shared" si="43"/>
        <v>4497</v>
      </c>
      <c r="F327" s="60">
        <f t="shared" si="43"/>
        <v>41039</v>
      </c>
      <c r="G327" s="60">
        <f t="shared" si="43"/>
        <v>30280</v>
      </c>
      <c r="H327" s="60">
        <f t="shared" si="43"/>
        <v>6693</v>
      </c>
      <c r="I327" s="60">
        <f t="shared" si="40"/>
        <v>2009</v>
      </c>
      <c r="J327" s="128" t="s">
        <v>106</v>
      </c>
      <c r="K327" s="60">
        <f t="shared" si="38"/>
        <v>84518</v>
      </c>
    </row>
    <row r="328" spans="1:11">
      <c r="A328" s="95">
        <v>2010</v>
      </c>
      <c r="B328" s="60" t="str">
        <f t="shared" si="43"/>
        <v>-</v>
      </c>
      <c r="C328" s="60" t="str">
        <f t="shared" si="43"/>
        <v>-</v>
      </c>
      <c r="D328" s="60">
        <f t="shared" si="43"/>
        <v>992</v>
      </c>
      <c r="E328" s="60">
        <f t="shared" si="43"/>
        <v>3361</v>
      </c>
      <c r="F328" s="60">
        <f t="shared" si="43"/>
        <v>11662</v>
      </c>
      <c r="G328" s="60">
        <f t="shared" si="43"/>
        <v>24409</v>
      </c>
      <c r="H328" s="60">
        <f t="shared" si="43"/>
        <v>9577</v>
      </c>
      <c r="I328" s="60">
        <f t="shared" si="40"/>
        <v>3318</v>
      </c>
      <c r="J328" s="128" t="s">
        <v>106</v>
      </c>
      <c r="K328" s="60">
        <f t="shared" si="38"/>
        <v>53319</v>
      </c>
    </row>
    <row r="329" spans="1:11">
      <c r="A329" s="95">
        <v>2011</v>
      </c>
      <c r="B329" s="60">
        <f t="shared" si="43"/>
        <v>22</v>
      </c>
      <c r="C329" s="60">
        <f t="shared" si="43"/>
        <v>75</v>
      </c>
      <c r="D329" s="60">
        <f t="shared" si="43"/>
        <v>826</v>
      </c>
      <c r="E329" s="60">
        <f t="shared" si="43"/>
        <v>3720</v>
      </c>
      <c r="F329" s="60">
        <f t="shared" si="43"/>
        <v>12426</v>
      </c>
      <c r="G329" s="60">
        <f t="shared" si="43"/>
        <v>16590</v>
      </c>
      <c r="H329" s="60">
        <f t="shared" si="43"/>
        <v>12084</v>
      </c>
      <c r="I329" s="60">
        <f t="shared" si="40"/>
        <v>2997</v>
      </c>
      <c r="J329" s="60">
        <f>IF(AND(J41="-",J281="-"),"-",SUM(J41,J281))</f>
        <v>16</v>
      </c>
      <c r="K329" s="60">
        <f t="shared" si="38"/>
        <v>48756</v>
      </c>
    </row>
    <row r="330" spans="1:11">
      <c r="A330" s="95">
        <v>2012</v>
      </c>
      <c r="B330" s="60">
        <f t="shared" si="43"/>
        <v>23</v>
      </c>
      <c r="C330" s="60">
        <f t="shared" si="43"/>
        <v>380</v>
      </c>
      <c r="D330" s="60">
        <f t="shared" si="43"/>
        <v>2106</v>
      </c>
      <c r="E330" s="60">
        <f t="shared" si="43"/>
        <v>6441</v>
      </c>
      <c r="F330" s="60">
        <f t="shared" si="43"/>
        <v>16342</v>
      </c>
      <c r="G330" s="60">
        <f t="shared" si="43"/>
        <v>21295</v>
      </c>
      <c r="H330" s="60">
        <f t="shared" si="43"/>
        <v>15332</v>
      </c>
      <c r="I330" s="60">
        <f t="shared" si="40"/>
        <v>5371</v>
      </c>
      <c r="J330" s="60">
        <f>IF(AND(J42="-",J282="-"),"-",SUM(J42,J282))</f>
        <v>18</v>
      </c>
      <c r="K330" s="60">
        <f t="shared" si="38"/>
        <v>67308</v>
      </c>
    </row>
    <row r="331" spans="1:11">
      <c r="A331" s="95">
        <v>2013</v>
      </c>
      <c r="B331" s="60">
        <f t="shared" si="43"/>
        <v>479</v>
      </c>
      <c r="C331" s="60">
        <f t="shared" si="43"/>
        <v>693</v>
      </c>
      <c r="D331" s="60">
        <f t="shared" si="43"/>
        <v>1200</v>
      </c>
      <c r="E331" s="60">
        <f t="shared" si="43"/>
        <v>7822</v>
      </c>
      <c r="F331" s="60">
        <f t="shared" si="43"/>
        <v>19201</v>
      </c>
      <c r="G331" s="60">
        <f t="shared" si="43"/>
        <v>36036</v>
      </c>
      <c r="H331" s="60">
        <f t="shared" si="43"/>
        <v>12343</v>
      </c>
      <c r="I331" s="60">
        <f t="shared" si="40"/>
        <v>7761</v>
      </c>
      <c r="J331" s="128" t="s">
        <v>106</v>
      </c>
      <c r="K331" s="60">
        <f t="shared" si="38"/>
        <v>85535</v>
      </c>
    </row>
    <row r="332" spans="1:11">
      <c r="A332" s="95">
        <v>2014</v>
      </c>
      <c r="B332" s="60">
        <f t="shared" si="43"/>
        <v>87</v>
      </c>
      <c r="C332" s="60">
        <f t="shared" si="43"/>
        <v>136</v>
      </c>
      <c r="D332" s="60">
        <f t="shared" si="43"/>
        <v>3714</v>
      </c>
      <c r="E332" s="60">
        <f t="shared" si="43"/>
        <v>7425</v>
      </c>
      <c r="F332" s="60">
        <f t="shared" si="43"/>
        <v>41938</v>
      </c>
      <c r="G332" s="60">
        <f t="shared" si="43"/>
        <v>35865</v>
      </c>
      <c r="H332" s="60">
        <f t="shared" si="43"/>
        <v>26281</v>
      </c>
      <c r="I332" s="60">
        <f t="shared" si="40"/>
        <v>6060</v>
      </c>
      <c r="J332" s="128" t="s">
        <v>106</v>
      </c>
      <c r="K332" s="60">
        <f t="shared" si="38"/>
        <v>121506</v>
      </c>
    </row>
    <row r="333" spans="1:11">
      <c r="A333" s="95">
        <v>2015</v>
      </c>
      <c r="B333" s="60">
        <f t="shared" si="43"/>
        <v>60</v>
      </c>
      <c r="C333" s="60">
        <f t="shared" si="43"/>
        <v>152</v>
      </c>
      <c r="D333" s="60">
        <f t="shared" si="43"/>
        <v>1749</v>
      </c>
      <c r="E333" s="60">
        <f t="shared" si="43"/>
        <v>3473</v>
      </c>
      <c r="F333" s="60">
        <f t="shared" si="43"/>
        <v>22240</v>
      </c>
      <c r="G333" s="60">
        <f t="shared" si="43"/>
        <v>11192</v>
      </c>
      <c r="H333" s="60">
        <f t="shared" si="43"/>
        <v>19759</v>
      </c>
      <c r="I333" s="60">
        <f t="shared" si="40"/>
        <v>7414</v>
      </c>
      <c r="J333" s="128" t="s">
        <v>106</v>
      </c>
      <c r="K333" s="60">
        <f t="shared" si="38"/>
        <v>66039</v>
      </c>
    </row>
    <row r="334" spans="1:11">
      <c r="A334" s="95">
        <v>2016</v>
      </c>
      <c r="B334" s="60">
        <f t="shared" si="43"/>
        <v>82</v>
      </c>
      <c r="C334" s="60">
        <f t="shared" si="43"/>
        <v>18</v>
      </c>
      <c r="D334" s="60">
        <f t="shared" si="43"/>
        <v>1081</v>
      </c>
      <c r="E334" s="60">
        <f t="shared" si="43"/>
        <v>3266</v>
      </c>
      <c r="F334" s="60">
        <f t="shared" si="43"/>
        <v>9019</v>
      </c>
      <c r="G334" s="60">
        <f t="shared" si="43"/>
        <v>7437</v>
      </c>
      <c r="H334" s="60">
        <f t="shared" si="43"/>
        <v>15477</v>
      </c>
      <c r="I334" s="60">
        <f t="shared" si="40"/>
        <v>2484</v>
      </c>
      <c r="J334" s="128" t="s">
        <v>106</v>
      </c>
      <c r="K334" s="60">
        <f t="shared" si="38"/>
        <v>38864</v>
      </c>
    </row>
    <row r="335" spans="1:11">
      <c r="A335" s="95">
        <v>2017</v>
      </c>
      <c r="B335" s="60">
        <f t="shared" si="43"/>
        <v>17</v>
      </c>
      <c r="C335" s="60">
        <f t="shared" si="43"/>
        <v>60</v>
      </c>
      <c r="D335" s="60">
        <f t="shared" si="43"/>
        <v>500</v>
      </c>
      <c r="E335" s="60">
        <f t="shared" si="43"/>
        <v>2503</v>
      </c>
      <c r="F335" s="60">
        <f t="shared" si="43"/>
        <v>12754</v>
      </c>
      <c r="G335" s="60">
        <f t="shared" si="43"/>
        <v>14667</v>
      </c>
      <c r="H335" s="60">
        <f t="shared" si="43"/>
        <v>9343</v>
      </c>
      <c r="I335" s="60">
        <f t="shared" si="40"/>
        <v>2465</v>
      </c>
      <c r="J335" s="128" t="s">
        <v>106</v>
      </c>
      <c r="K335" s="60">
        <f t="shared" si="38"/>
        <v>42309</v>
      </c>
    </row>
    <row r="336" spans="1:11">
      <c r="A336" s="95">
        <v>2018</v>
      </c>
      <c r="B336" s="60">
        <f t="shared" ref="B336:H336" si="44">IF(AND(B48="-",B288="-"),"-",SUM(B48,B288))</f>
        <v>54</v>
      </c>
      <c r="C336" s="60">
        <f t="shared" si="44"/>
        <v>19</v>
      </c>
      <c r="D336" s="60">
        <f t="shared" si="44"/>
        <v>1165</v>
      </c>
      <c r="E336" s="60">
        <f t="shared" si="44"/>
        <v>2560</v>
      </c>
      <c r="F336" s="60">
        <f t="shared" si="44"/>
        <v>12803</v>
      </c>
      <c r="G336" s="60">
        <f t="shared" si="44"/>
        <v>29485</v>
      </c>
      <c r="H336" s="60">
        <f t="shared" si="44"/>
        <v>14744</v>
      </c>
      <c r="I336" s="60">
        <f t="shared" si="40"/>
        <v>3001</v>
      </c>
      <c r="J336" s="128" t="s">
        <v>106</v>
      </c>
      <c r="K336" s="60">
        <f t="shared" si="38"/>
        <v>63831</v>
      </c>
    </row>
    <row r="337" spans="1:11">
      <c r="A337" s="95">
        <v>2019</v>
      </c>
      <c r="B337" s="60">
        <f t="shared" ref="B337:H337" si="45">IF(AND(B49="-",B289="-"),"-",SUM(B49,B289))</f>
        <v>43</v>
      </c>
      <c r="C337" s="60">
        <f t="shared" si="45"/>
        <v>8</v>
      </c>
      <c r="D337" s="60">
        <f t="shared" si="45"/>
        <v>542</v>
      </c>
      <c r="E337" s="60">
        <f t="shared" si="45"/>
        <v>8376</v>
      </c>
      <c r="F337" s="60">
        <f t="shared" si="45"/>
        <v>39248</v>
      </c>
      <c r="G337" s="60">
        <f t="shared" si="45"/>
        <v>34389</v>
      </c>
      <c r="H337" s="60">
        <f t="shared" si="45"/>
        <v>10049</v>
      </c>
      <c r="I337" s="60">
        <f t="shared" si="40"/>
        <v>1581</v>
      </c>
      <c r="J337" s="60" t="s">
        <v>23</v>
      </c>
      <c r="K337" s="60">
        <f t="shared" si="38"/>
        <v>94236</v>
      </c>
    </row>
    <row r="338" spans="1:11">
      <c r="A338" s="95">
        <v>2020</v>
      </c>
      <c r="B338" s="60">
        <f t="shared" ref="B338:I339" si="46">IF(AND(B50="-",B290="-"),"-",SUM(B50,B290))</f>
        <v>11</v>
      </c>
      <c r="C338" s="60">
        <f t="shared" si="46"/>
        <v>112</v>
      </c>
      <c r="D338" s="60">
        <f t="shared" si="46"/>
        <v>292</v>
      </c>
      <c r="E338" s="60">
        <f t="shared" si="46"/>
        <v>2359</v>
      </c>
      <c r="F338" s="60">
        <f t="shared" si="46"/>
        <v>28620</v>
      </c>
      <c r="G338" s="60">
        <f t="shared" si="46"/>
        <v>12556</v>
      </c>
      <c r="H338" s="60">
        <f t="shared" si="46"/>
        <v>11346</v>
      </c>
      <c r="I338" s="60">
        <f t="shared" si="46"/>
        <v>1714</v>
      </c>
      <c r="J338" s="60" t="s">
        <v>23</v>
      </c>
      <c r="K338" s="60">
        <f t="shared" ref="K338:K339" si="47">IF(AND(K50="-",K290="-"),"-",SUM(K50,K290))</f>
        <v>57010</v>
      </c>
    </row>
    <row r="339" spans="1:11" ht="13">
      <c r="A339" s="95" t="s">
        <v>317</v>
      </c>
      <c r="B339" s="60">
        <f t="shared" si="46"/>
        <v>23</v>
      </c>
      <c r="C339" s="60">
        <f t="shared" si="46"/>
        <v>571</v>
      </c>
      <c r="D339" s="60">
        <f t="shared" si="46"/>
        <v>845</v>
      </c>
      <c r="E339" s="60">
        <f t="shared" si="46"/>
        <v>6998</v>
      </c>
      <c r="F339" s="60">
        <f t="shared" si="46"/>
        <v>41573</v>
      </c>
      <c r="G339" s="60">
        <f t="shared" si="46"/>
        <v>34984</v>
      </c>
      <c r="H339" s="60">
        <f t="shared" si="46"/>
        <v>13474</v>
      </c>
      <c r="I339" s="60">
        <f t="shared" si="46"/>
        <v>202</v>
      </c>
      <c r="J339" s="60" t="s">
        <v>23</v>
      </c>
      <c r="K339" s="60">
        <f t="shared" si="47"/>
        <v>98670</v>
      </c>
    </row>
    <row r="340" spans="1:11" ht="37.5" customHeight="1">
      <c r="A340" s="319" t="s">
        <v>175</v>
      </c>
      <c r="B340" s="319"/>
      <c r="C340" s="319"/>
      <c r="D340" s="319"/>
      <c r="E340" s="319"/>
      <c r="F340" s="319"/>
      <c r="G340" s="319"/>
      <c r="H340" s="319"/>
      <c r="I340" s="319"/>
      <c r="J340" s="319"/>
      <c r="K340" s="319"/>
    </row>
    <row r="341" spans="1:11">
      <c r="A341" s="320" t="s">
        <v>42</v>
      </c>
      <c r="B341" s="320"/>
      <c r="C341" s="320"/>
      <c r="D341" s="320"/>
      <c r="E341" s="320"/>
      <c r="F341" s="320"/>
      <c r="G341" s="320"/>
      <c r="H341" s="320"/>
      <c r="I341" s="320"/>
      <c r="J341" s="320"/>
      <c r="K341" s="320"/>
    </row>
    <row r="342" spans="1:11">
      <c r="A342" s="182"/>
      <c r="B342" s="182"/>
      <c r="C342" s="182"/>
      <c r="D342" s="182"/>
      <c r="E342" s="182"/>
      <c r="F342" s="182"/>
      <c r="G342" s="182"/>
      <c r="H342" s="182"/>
      <c r="I342" s="182"/>
      <c r="J342" s="182"/>
      <c r="K342" s="182"/>
    </row>
    <row r="343" spans="1:11">
      <c r="A343" s="11"/>
      <c r="B343" s="11"/>
      <c r="C343" s="11"/>
      <c r="D343" s="11"/>
      <c r="E343" s="11"/>
      <c r="F343" s="11"/>
      <c r="G343" s="11"/>
      <c r="H343" s="11"/>
      <c r="I343" s="11"/>
      <c r="J343" s="11"/>
      <c r="K343" s="11"/>
    </row>
    <row r="344" spans="1:11">
      <c r="A344" s="11"/>
      <c r="B344" s="11"/>
      <c r="C344" s="11"/>
      <c r="D344" s="11"/>
      <c r="E344" s="11"/>
      <c r="F344" s="11"/>
      <c r="G344" s="11"/>
      <c r="H344" s="11"/>
      <c r="I344" s="11"/>
      <c r="J344" s="11"/>
      <c r="K344" s="11"/>
    </row>
    <row r="345" spans="1:11">
      <c r="A345" s="11"/>
      <c r="B345" s="11"/>
      <c r="C345" s="11"/>
      <c r="D345" s="11"/>
      <c r="E345" s="11"/>
      <c r="F345" s="11"/>
      <c r="G345" s="11"/>
      <c r="H345" s="11"/>
      <c r="I345" s="11"/>
      <c r="J345" s="11"/>
      <c r="K345" s="11"/>
    </row>
    <row r="346" spans="1:11">
      <c r="A346" s="11"/>
      <c r="B346" s="11"/>
      <c r="C346" s="11"/>
      <c r="D346" s="11"/>
      <c r="E346" s="11"/>
      <c r="F346" s="11"/>
      <c r="G346" s="11"/>
      <c r="H346" s="11"/>
      <c r="I346" s="11"/>
      <c r="J346" s="11"/>
      <c r="K346" s="11"/>
    </row>
    <row r="347" spans="1:11">
      <c r="A347" s="182"/>
      <c r="B347" s="182"/>
      <c r="C347" s="182"/>
      <c r="D347" s="182"/>
      <c r="E347" s="182"/>
      <c r="F347" s="182"/>
      <c r="G347" s="182"/>
      <c r="H347" s="182"/>
      <c r="I347" s="182"/>
      <c r="J347" s="182"/>
      <c r="K347" s="182"/>
    </row>
    <row r="354" spans="1:11" ht="12.75" customHeight="1"/>
    <row r="355" spans="1:11" ht="12.75" customHeight="1"/>
    <row r="356" spans="1:11" ht="12.75" customHeight="1"/>
    <row r="366" spans="1:11" s="208" customFormat="1">
      <c r="A366" s="161"/>
      <c r="B366" s="163"/>
      <c r="C366" s="163"/>
      <c r="D366" s="163"/>
      <c r="E366" s="163"/>
      <c r="F366" s="163"/>
      <c r="G366" s="163"/>
      <c r="H366" s="163"/>
      <c r="I366" s="163"/>
      <c r="J366" s="163"/>
      <c r="K366" s="163"/>
    </row>
    <row r="378" spans="1:18" ht="11.25" customHeight="1"/>
    <row r="379" spans="1:18" ht="11.25" customHeight="1">
      <c r="L379" s="13"/>
      <c r="M379" s="13"/>
      <c r="N379" s="13"/>
      <c r="O379" s="13"/>
      <c r="P379" s="13"/>
      <c r="Q379" s="13"/>
      <c r="R379" s="13"/>
    </row>
    <row r="380" spans="1:18" ht="11.25" customHeight="1">
      <c r="L380" s="13"/>
      <c r="M380" s="13"/>
      <c r="N380" s="13"/>
      <c r="O380" s="13"/>
      <c r="P380" s="13"/>
      <c r="Q380" s="13"/>
      <c r="R380" s="13"/>
    </row>
    <row r="381" spans="1:18" ht="11.25" customHeight="1">
      <c r="L381" s="13"/>
      <c r="M381" s="13"/>
      <c r="N381" s="13"/>
      <c r="O381" s="13"/>
      <c r="P381" s="13"/>
      <c r="Q381" s="13"/>
      <c r="R381" s="13"/>
    </row>
    <row r="382" spans="1:18" ht="11.25" customHeight="1">
      <c r="A382" s="318" t="s">
        <v>277</v>
      </c>
      <c r="B382" s="318"/>
      <c r="C382" s="318"/>
      <c r="D382" s="318"/>
      <c r="E382" s="318"/>
      <c r="F382" s="318"/>
      <c r="G382" s="318"/>
      <c r="H382" s="318"/>
      <c r="I382" s="318"/>
      <c r="J382" s="318"/>
      <c r="K382" s="318"/>
      <c r="L382" s="13"/>
      <c r="M382" s="13"/>
      <c r="N382" s="13"/>
      <c r="O382" s="13"/>
      <c r="P382" s="13"/>
      <c r="Q382" s="13"/>
      <c r="R382" s="13"/>
    </row>
    <row r="383" spans="1:18" ht="11.25" customHeight="1">
      <c r="A383" s="109" t="s">
        <v>43</v>
      </c>
      <c r="B383" s="111" t="s">
        <v>37</v>
      </c>
      <c r="C383" s="111" t="s">
        <v>28</v>
      </c>
      <c r="D383" s="111" t="s">
        <v>29</v>
      </c>
      <c r="E383" s="111" t="s">
        <v>30</v>
      </c>
      <c r="F383" s="111" t="s">
        <v>31</v>
      </c>
      <c r="G383" s="111" t="s">
        <v>32</v>
      </c>
      <c r="H383" s="111" t="s">
        <v>33</v>
      </c>
      <c r="I383" s="111" t="s">
        <v>34</v>
      </c>
      <c r="J383" s="111" t="s">
        <v>38</v>
      </c>
      <c r="K383" s="111" t="s">
        <v>22</v>
      </c>
      <c r="L383" s="13"/>
      <c r="M383" s="13"/>
      <c r="N383" s="13"/>
      <c r="O383" s="13"/>
      <c r="P383" s="13"/>
      <c r="Q383" s="13"/>
      <c r="R383" s="13"/>
    </row>
    <row r="384" spans="1:18" ht="11.25" customHeight="1">
      <c r="A384" s="88" t="s">
        <v>102</v>
      </c>
      <c r="B384" s="18"/>
      <c r="L384" s="13"/>
      <c r="M384" s="13"/>
      <c r="N384" s="13"/>
      <c r="O384" s="13"/>
      <c r="P384" s="13"/>
      <c r="Q384" s="13"/>
      <c r="R384" s="13"/>
    </row>
    <row r="385" spans="1:18" ht="11.25" customHeight="1">
      <c r="A385" s="99" t="s">
        <v>24</v>
      </c>
      <c r="B385" s="18" t="s">
        <v>23</v>
      </c>
      <c r="C385" s="18" t="s">
        <v>23</v>
      </c>
      <c r="D385" s="18">
        <f t="shared" ref="D385:K385" si="48">AVERAGE(D11:D15)</f>
        <v>977</v>
      </c>
      <c r="E385" s="18">
        <f t="shared" si="48"/>
        <v>3268.75</v>
      </c>
      <c r="F385" s="18">
        <f t="shared" si="48"/>
        <v>11836.6</v>
      </c>
      <c r="G385" s="18">
        <f t="shared" si="48"/>
        <v>9897.4</v>
      </c>
      <c r="H385" s="18">
        <f t="shared" si="48"/>
        <v>4192</v>
      </c>
      <c r="I385" s="18" t="s">
        <v>23</v>
      </c>
      <c r="J385" s="18" t="s">
        <v>23</v>
      </c>
      <c r="K385" s="18">
        <f t="shared" si="48"/>
        <v>26221.200000000001</v>
      </c>
      <c r="L385" s="13"/>
      <c r="M385" s="3"/>
      <c r="N385" s="3"/>
      <c r="O385" s="3"/>
      <c r="P385" s="3"/>
      <c r="Q385" s="3"/>
      <c r="R385" s="3"/>
    </row>
    <row r="386" spans="1:18" ht="11.25" customHeight="1">
      <c r="A386" s="99" t="s">
        <v>78</v>
      </c>
      <c r="B386" s="18" t="s">
        <v>23</v>
      </c>
      <c r="C386" s="18" t="s">
        <v>23</v>
      </c>
      <c r="D386" s="18">
        <f t="shared" ref="D386:K386" si="49">AVERAGE(D16:D20)</f>
        <v>146</v>
      </c>
      <c r="E386" s="18">
        <f t="shared" si="49"/>
        <v>1110.25</v>
      </c>
      <c r="F386" s="18">
        <f t="shared" si="49"/>
        <v>8890.4</v>
      </c>
      <c r="G386" s="18">
        <f t="shared" si="49"/>
        <v>9559.25</v>
      </c>
      <c r="H386" s="18">
        <f t="shared" si="49"/>
        <v>1423</v>
      </c>
      <c r="I386" s="18" t="s">
        <v>23</v>
      </c>
      <c r="J386" s="18" t="s">
        <v>23</v>
      </c>
      <c r="K386" s="18">
        <f t="shared" si="49"/>
        <v>17739.8</v>
      </c>
      <c r="L386" s="13"/>
      <c r="M386" s="3"/>
      <c r="N386" s="3"/>
      <c r="O386" s="3"/>
      <c r="P386" s="3"/>
      <c r="Q386" s="3"/>
      <c r="R386" s="3"/>
    </row>
    <row r="387" spans="1:18" ht="11.25" customHeight="1">
      <c r="A387" s="99" t="s">
        <v>10</v>
      </c>
      <c r="B387" s="18" t="s">
        <v>23</v>
      </c>
      <c r="C387" s="18" t="s">
        <v>23</v>
      </c>
      <c r="D387" s="18" t="s">
        <v>23</v>
      </c>
      <c r="E387" s="18">
        <f>AVERAGE(E21:E25)</f>
        <v>1496</v>
      </c>
      <c r="F387" s="18">
        <f>AVERAGE(F21:F25)</f>
        <v>6680.5</v>
      </c>
      <c r="G387" s="18">
        <f>AVERAGE(G21:G25)</f>
        <v>6695.25</v>
      </c>
      <c r="H387" s="18">
        <f>AVERAGE(H21:H25)</f>
        <v>2083.5</v>
      </c>
      <c r="I387" s="18" t="s">
        <v>23</v>
      </c>
      <c r="J387" s="18" t="s">
        <v>23</v>
      </c>
      <c r="K387" s="18">
        <f>AVERAGE(K21:K25)</f>
        <v>15833.25</v>
      </c>
      <c r="L387" s="13"/>
      <c r="M387" s="3"/>
      <c r="N387" s="3"/>
      <c r="O387" s="3"/>
      <c r="P387" s="3"/>
      <c r="Q387" s="3"/>
      <c r="R387" s="3"/>
    </row>
    <row r="388" spans="1:18" ht="11.25" customHeight="1">
      <c r="A388" s="99" t="s">
        <v>144</v>
      </c>
      <c r="B388" s="18" t="s">
        <v>23</v>
      </c>
      <c r="C388" s="18" t="s">
        <v>23</v>
      </c>
      <c r="D388" s="18" t="s">
        <v>23</v>
      </c>
      <c r="E388" s="18" t="s">
        <v>23</v>
      </c>
      <c r="F388" s="18">
        <f>AVERAGE(F26:F30)</f>
        <v>2456.75</v>
      </c>
      <c r="G388" s="18">
        <f>AVERAGE(G26:G30)</f>
        <v>2908.8</v>
      </c>
      <c r="H388" s="18">
        <f>AVERAGE(H26:H30)</f>
        <v>946.33333333333337</v>
      </c>
      <c r="I388" s="18" t="s">
        <v>23</v>
      </c>
      <c r="J388" s="18" t="s">
        <v>23</v>
      </c>
      <c r="K388" s="18">
        <f>AVERAGE(K26:K30)</f>
        <v>5442</v>
      </c>
      <c r="L388" s="13"/>
      <c r="M388" s="3"/>
      <c r="N388" s="3"/>
      <c r="O388" s="3"/>
      <c r="P388" s="3"/>
      <c r="Q388" s="3"/>
      <c r="R388" s="3"/>
    </row>
    <row r="389" spans="1:18" ht="11.25" customHeight="1">
      <c r="A389" s="95" t="s">
        <v>166</v>
      </c>
      <c r="B389" s="18" t="str">
        <f t="shared" ref="B389:J389" si="50">B31</f>
        <v>-</v>
      </c>
      <c r="C389" s="18" t="str">
        <f t="shared" si="50"/>
        <v>-</v>
      </c>
      <c r="D389" s="18">
        <f>AVERAGE(D31:D35)</f>
        <v>155</v>
      </c>
      <c r="E389" s="18">
        <f>AVERAGE(E31:E35)</f>
        <v>259.66666666666669</v>
      </c>
      <c r="F389" s="18">
        <f>AVERAGE(F31:F35)</f>
        <v>4787.8</v>
      </c>
      <c r="G389" s="18">
        <f>AVERAGE(G31:G35)</f>
        <v>10257.799999999999</v>
      </c>
      <c r="H389" s="18">
        <f>AVERAGE(H31:H35)</f>
        <v>2041</v>
      </c>
      <c r="I389" s="18" t="str">
        <f t="shared" si="50"/>
        <v>-</v>
      </c>
      <c r="J389" s="18" t="str">
        <f t="shared" si="50"/>
        <v>-</v>
      </c>
      <c r="K389" s="18">
        <f>AVERAGE(K31:K35)</f>
        <v>17274.599999999999</v>
      </c>
      <c r="L389" s="13"/>
      <c r="M389" s="3"/>
      <c r="N389" s="3"/>
      <c r="O389" s="3"/>
      <c r="P389" s="3"/>
      <c r="Q389" s="3"/>
      <c r="R389" s="3"/>
    </row>
    <row r="390" spans="1:18" ht="11.25" customHeight="1">
      <c r="A390" s="95" t="s">
        <v>315</v>
      </c>
      <c r="B390" s="18" t="str">
        <f>B36</f>
        <v>-</v>
      </c>
      <c r="C390" s="18" t="str">
        <f>C36</f>
        <v>-</v>
      </c>
      <c r="D390" s="18">
        <f>AVERAGE(D36:D40)</f>
        <v>66</v>
      </c>
      <c r="E390" s="18">
        <f t="shared" ref="E390:H390" si="51">AVERAGE(E36:E40)</f>
        <v>296.33333333333331</v>
      </c>
      <c r="F390" s="18">
        <f t="shared" si="51"/>
        <v>2808.6</v>
      </c>
      <c r="G390" s="18">
        <f t="shared" si="51"/>
        <v>5785.2</v>
      </c>
      <c r="H390" s="18">
        <f t="shared" si="51"/>
        <v>715.5</v>
      </c>
      <c r="I390" s="18" t="str">
        <f t="shared" ref="I390:J390" si="52">I36</f>
        <v>-</v>
      </c>
      <c r="J390" s="18" t="str">
        <f t="shared" si="52"/>
        <v>-</v>
      </c>
      <c r="K390" s="18">
        <f t="shared" ref="K390" si="53">AVERAGE(K36:K40)</f>
        <v>9357.2000000000007</v>
      </c>
      <c r="L390" s="13"/>
      <c r="M390" s="3"/>
      <c r="N390" s="3"/>
      <c r="O390" s="3"/>
      <c r="P390" s="3"/>
      <c r="Q390" s="3"/>
      <c r="R390" s="3"/>
    </row>
    <row r="391" spans="1:18" ht="11.25" customHeight="1">
      <c r="A391" s="95">
        <v>2011</v>
      </c>
      <c r="B391" s="18" t="str">
        <f t="shared" ref="B391:K391" si="54">B41</f>
        <v>-</v>
      </c>
      <c r="C391" s="18" t="str">
        <f t="shared" si="54"/>
        <v>-</v>
      </c>
      <c r="D391" s="18" t="str">
        <f t="shared" si="54"/>
        <v>-</v>
      </c>
      <c r="E391" s="18">
        <f t="shared" si="54"/>
        <v>459</v>
      </c>
      <c r="F391" s="18">
        <f t="shared" si="54"/>
        <v>1402</v>
      </c>
      <c r="G391" s="18">
        <f t="shared" si="54"/>
        <v>4645</v>
      </c>
      <c r="H391" s="18">
        <f t="shared" si="54"/>
        <v>877</v>
      </c>
      <c r="I391" s="18" t="str">
        <f t="shared" si="54"/>
        <v>-</v>
      </c>
      <c r="J391" s="18" t="str">
        <f t="shared" si="54"/>
        <v>-</v>
      </c>
      <c r="K391" s="18">
        <f t="shared" si="54"/>
        <v>7383</v>
      </c>
      <c r="L391" s="13"/>
      <c r="M391" s="3"/>
      <c r="N391" s="3"/>
      <c r="O391" s="3"/>
      <c r="P391" s="3"/>
      <c r="Q391" s="3"/>
      <c r="R391" s="3"/>
    </row>
    <row r="392" spans="1:18" ht="11.25" customHeight="1">
      <c r="A392" s="95">
        <v>2012</v>
      </c>
      <c r="B392" s="18" t="str">
        <f t="shared" ref="B392:K392" si="55">B42</f>
        <v>-</v>
      </c>
      <c r="C392" s="18" t="str">
        <f t="shared" si="55"/>
        <v>-</v>
      </c>
      <c r="D392" s="18" t="str">
        <f t="shared" si="55"/>
        <v>-</v>
      </c>
      <c r="E392" s="18">
        <f t="shared" si="55"/>
        <v>681</v>
      </c>
      <c r="F392" s="18">
        <f t="shared" si="55"/>
        <v>1792</v>
      </c>
      <c r="G392" s="18">
        <f t="shared" si="55"/>
        <v>1954</v>
      </c>
      <c r="H392" s="18">
        <f t="shared" si="55"/>
        <v>411</v>
      </c>
      <c r="I392" s="18" t="str">
        <f t="shared" si="55"/>
        <v>-</v>
      </c>
      <c r="J392" s="18" t="str">
        <f t="shared" si="55"/>
        <v>-</v>
      </c>
      <c r="K392" s="18">
        <f t="shared" si="55"/>
        <v>4838</v>
      </c>
      <c r="L392" s="13"/>
      <c r="M392" s="3"/>
      <c r="N392" s="3"/>
      <c r="O392" s="3"/>
      <c r="P392" s="3"/>
      <c r="Q392" s="3"/>
      <c r="R392" s="3"/>
    </row>
    <row r="393" spans="1:18" ht="11.25" customHeight="1">
      <c r="A393" s="95">
        <v>2013</v>
      </c>
      <c r="B393" s="18" t="str">
        <f t="shared" ref="B393:K393" si="56">B43</f>
        <v>-</v>
      </c>
      <c r="C393" s="18" t="str">
        <f t="shared" si="56"/>
        <v>-</v>
      </c>
      <c r="D393" s="18" t="str">
        <f t="shared" si="56"/>
        <v>-</v>
      </c>
      <c r="E393" s="18">
        <f t="shared" si="56"/>
        <v>1593</v>
      </c>
      <c r="F393" s="18">
        <f t="shared" si="56"/>
        <v>1329</v>
      </c>
      <c r="G393" s="18">
        <f t="shared" si="56"/>
        <v>2912</v>
      </c>
      <c r="H393" s="18">
        <f t="shared" si="56"/>
        <v>302</v>
      </c>
      <c r="I393" s="18" t="str">
        <f t="shared" si="56"/>
        <v>-</v>
      </c>
      <c r="J393" s="18" t="str">
        <f t="shared" si="56"/>
        <v>-</v>
      </c>
      <c r="K393" s="18">
        <f t="shared" si="56"/>
        <v>6136</v>
      </c>
      <c r="L393" s="13"/>
      <c r="M393" s="3"/>
      <c r="N393" s="3"/>
      <c r="O393" s="3"/>
      <c r="P393" s="3"/>
      <c r="Q393" s="3"/>
      <c r="R393" s="3"/>
    </row>
    <row r="394" spans="1:18" ht="11.25" customHeight="1">
      <c r="A394" s="95">
        <v>2014</v>
      </c>
      <c r="B394" s="18" t="str">
        <f t="shared" ref="B394:K394" si="57">B44</f>
        <v>-</v>
      </c>
      <c r="C394" s="18" t="str">
        <f t="shared" si="57"/>
        <v>-</v>
      </c>
      <c r="D394" s="18">
        <f t="shared" si="57"/>
        <v>42</v>
      </c>
      <c r="E394" s="18">
        <f t="shared" si="57"/>
        <v>708</v>
      </c>
      <c r="F394" s="18">
        <f t="shared" si="57"/>
        <v>3579</v>
      </c>
      <c r="G394" s="18">
        <f t="shared" si="57"/>
        <v>6279</v>
      </c>
      <c r="H394" s="18">
        <f t="shared" si="57"/>
        <v>1647</v>
      </c>
      <c r="I394" s="18" t="str">
        <f t="shared" si="57"/>
        <v>-</v>
      </c>
      <c r="J394" s="18" t="str">
        <f t="shared" si="57"/>
        <v>-</v>
      </c>
      <c r="K394" s="18">
        <f t="shared" si="57"/>
        <v>12255</v>
      </c>
      <c r="L394" s="13"/>
      <c r="M394" s="3"/>
      <c r="N394" s="3"/>
      <c r="O394" s="3"/>
      <c r="P394" s="3"/>
      <c r="Q394" s="3"/>
      <c r="R394" s="3"/>
    </row>
    <row r="395" spans="1:18" ht="11.25" customHeight="1">
      <c r="A395" s="95">
        <v>2015</v>
      </c>
      <c r="B395" s="18" t="str">
        <f t="shared" ref="B395:K395" si="58">B45</f>
        <v>-</v>
      </c>
      <c r="C395" s="18" t="str">
        <f t="shared" si="58"/>
        <v>-</v>
      </c>
      <c r="D395" s="18">
        <f t="shared" si="58"/>
        <v>62</v>
      </c>
      <c r="E395" s="18">
        <f t="shared" si="58"/>
        <v>699</v>
      </c>
      <c r="F395" s="18">
        <f t="shared" si="58"/>
        <v>2723</v>
      </c>
      <c r="G395" s="18">
        <f t="shared" si="58"/>
        <v>3092</v>
      </c>
      <c r="H395" s="18">
        <f t="shared" si="58"/>
        <v>2053</v>
      </c>
      <c r="I395" s="18" t="str">
        <f t="shared" si="58"/>
        <v>-</v>
      </c>
      <c r="J395" s="18" t="str">
        <f t="shared" si="58"/>
        <v>-</v>
      </c>
      <c r="K395" s="18">
        <f t="shared" si="58"/>
        <v>8629</v>
      </c>
      <c r="L395" s="13"/>
      <c r="M395" s="3"/>
      <c r="N395" s="3"/>
      <c r="O395" s="3"/>
      <c r="P395" s="3"/>
      <c r="Q395" s="3"/>
      <c r="R395" s="3"/>
    </row>
    <row r="396" spans="1:18" ht="11.25" customHeight="1">
      <c r="A396" s="95">
        <v>2016</v>
      </c>
      <c r="B396" s="18" t="str">
        <f t="shared" ref="B396:K396" si="59">B46</f>
        <v>-</v>
      </c>
      <c r="C396" s="18" t="str">
        <f t="shared" si="59"/>
        <v>-</v>
      </c>
      <c r="D396" s="18" t="str">
        <f t="shared" si="59"/>
        <v>-</v>
      </c>
      <c r="E396" s="18" t="str">
        <f t="shared" si="59"/>
        <v>-</v>
      </c>
      <c r="F396" s="18">
        <f t="shared" si="59"/>
        <v>1920</v>
      </c>
      <c r="G396" s="18">
        <f t="shared" si="59"/>
        <v>2412</v>
      </c>
      <c r="H396" s="18" t="str">
        <f t="shared" si="59"/>
        <v>-</v>
      </c>
      <c r="I396" s="18" t="str">
        <f t="shared" si="59"/>
        <v>-</v>
      </c>
      <c r="J396" s="18" t="str">
        <f t="shared" si="59"/>
        <v>-</v>
      </c>
      <c r="K396" s="18">
        <f t="shared" si="59"/>
        <v>4332</v>
      </c>
      <c r="L396" s="13"/>
      <c r="M396" s="3"/>
      <c r="N396" s="3"/>
      <c r="O396" s="3"/>
      <c r="P396" s="3"/>
      <c r="Q396" s="3"/>
      <c r="R396" s="3"/>
    </row>
    <row r="397" spans="1:18" ht="11.25" customHeight="1">
      <c r="A397" s="95">
        <v>2017</v>
      </c>
      <c r="B397" s="18" t="str">
        <f t="shared" ref="B397:K397" si="60">B47</f>
        <v>-</v>
      </c>
      <c r="C397" s="18" t="str">
        <f t="shared" si="60"/>
        <v>-</v>
      </c>
      <c r="D397" s="18" t="str">
        <f t="shared" si="60"/>
        <v>-</v>
      </c>
      <c r="E397" s="18">
        <f t="shared" si="60"/>
        <v>587</v>
      </c>
      <c r="F397" s="18">
        <f t="shared" si="60"/>
        <v>2697</v>
      </c>
      <c r="G397" s="18">
        <f t="shared" si="60"/>
        <v>5284</v>
      </c>
      <c r="H397" s="18" t="str">
        <f t="shared" si="60"/>
        <v>-</v>
      </c>
      <c r="I397" s="18" t="str">
        <f t="shared" si="60"/>
        <v>-</v>
      </c>
      <c r="J397" s="18" t="str">
        <f t="shared" si="60"/>
        <v>-</v>
      </c>
      <c r="K397" s="18">
        <f t="shared" si="60"/>
        <v>8568</v>
      </c>
      <c r="L397" s="13"/>
      <c r="M397" s="3"/>
      <c r="N397" s="3"/>
      <c r="O397" s="3"/>
      <c r="P397" s="3"/>
      <c r="Q397" s="3"/>
      <c r="R397" s="3"/>
    </row>
    <row r="398" spans="1:18" ht="11.25" customHeight="1">
      <c r="A398" s="95">
        <v>2018</v>
      </c>
      <c r="B398" s="18" t="str">
        <f t="shared" ref="B398:K398" si="61">B48</f>
        <v>-</v>
      </c>
      <c r="C398" s="18" t="str">
        <f t="shared" si="61"/>
        <v>-</v>
      </c>
      <c r="D398" s="18" t="str">
        <f t="shared" si="61"/>
        <v>-</v>
      </c>
      <c r="E398" s="18">
        <f t="shared" si="61"/>
        <v>380</v>
      </c>
      <c r="F398" s="18">
        <f t="shared" si="61"/>
        <v>1839</v>
      </c>
      <c r="G398" s="18">
        <f t="shared" si="61"/>
        <v>5332</v>
      </c>
      <c r="H398" s="18">
        <f t="shared" si="61"/>
        <v>148</v>
      </c>
      <c r="I398" s="18" t="str">
        <f t="shared" si="61"/>
        <v>-</v>
      </c>
      <c r="J398" s="18" t="str">
        <f t="shared" si="61"/>
        <v>-</v>
      </c>
      <c r="K398" s="18">
        <f t="shared" si="61"/>
        <v>7699</v>
      </c>
      <c r="L398" s="13"/>
      <c r="M398" s="3"/>
      <c r="N398" s="3"/>
      <c r="O398" s="3"/>
      <c r="P398" s="3"/>
      <c r="Q398" s="3"/>
      <c r="R398" s="3"/>
    </row>
    <row r="399" spans="1:18" ht="11.25" customHeight="1">
      <c r="A399" s="95">
        <v>2019</v>
      </c>
      <c r="B399" s="18" t="str">
        <f t="shared" ref="B399:K399" si="62">B49</f>
        <v>-</v>
      </c>
      <c r="C399" s="18" t="str">
        <f t="shared" si="62"/>
        <v>-</v>
      </c>
      <c r="D399" s="18" t="str">
        <f t="shared" si="62"/>
        <v>-</v>
      </c>
      <c r="E399" s="18">
        <f t="shared" si="62"/>
        <v>1334</v>
      </c>
      <c r="F399" s="18">
        <f t="shared" si="62"/>
        <v>5066</v>
      </c>
      <c r="G399" s="18">
        <f t="shared" si="62"/>
        <v>7930</v>
      </c>
      <c r="H399" s="18">
        <f t="shared" si="62"/>
        <v>365</v>
      </c>
      <c r="I399" s="18" t="str">
        <f t="shared" si="62"/>
        <v>-</v>
      </c>
      <c r="J399" s="18" t="str">
        <f t="shared" si="62"/>
        <v>-</v>
      </c>
      <c r="K399" s="18">
        <f t="shared" si="62"/>
        <v>14695</v>
      </c>
      <c r="L399" s="13"/>
      <c r="M399" s="3"/>
      <c r="N399" s="3"/>
      <c r="O399" s="3"/>
      <c r="P399" s="3"/>
      <c r="Q399" s="3"/>
      <c r="R399" s="3"/>
    </row>
    <row r="400" spans="1:18" ht="11.25" customHeight="1">
      <c r="A400" s="95">
        <v>2020</v>
      </c>
      <c r="B400" s="18" t="str">
        <f>B50</f>
        <v>-</v>
      </c>
      <c r="C400" s="18" t="str">
        <f t="shared" ref="C400:K401" si="63">C50</f>
        <v>-</v>
      </c>
      <c r="D400" s="18" t="str">
        <f t="shared" si="63"/>
        <v>-</v>
      </c>
      <c r="E400" s="18">
        <f t="shared" si="63"/>
        <v>86</v>
      </c>
      <c r="F400" s="18">
        <f t="shared" si="63"/>
        <v>3367</v>
      </c>
      <c r="G400" s="18" t="str">
        <f t="shared" si="63"/>
        <v>-</v>
      </c>
      <c r="H400" s="18" t="str">
        <f t="shared" si="63"/>
        <v>-</v>
      </c>
      <c r="I400" s="18" t="str">
        <f t="shared" si="63"/>
        <v>-</v>
      </c>
      <c r="J400" s="18" t="str">
        <f t="shared" si="63"/>
        <v>-</v>
      </c>
      <c r="K400" s="18">
        <f t="shared" si="63"/>
        <v>3453</v>
      </c>
      <c r="L400" s="13"/>
      <c r="M400" s="3"/>
      <c r="N400" s="3"/>
      <c r="O400" s="3"/>
      <c r="P400" s="3"/>
      <c r="Q400" s="3"/>
      <c r="R400" s="3"/>
    </row>
    <row r="401" spans="1:18" ht="11.25" customHeight="1">
      <c r="A401" s="95" t="s">
        <v>317</v>
      </c>
      <c r="B401" s="18" t="str">
        <f>B51</f>
        <v>-</v>
      </c>
      <c r="C401" s="18" t="str">
        <f t="shared" si="63"/>
        <v>-</v>
      </c>
      <c r="D401" s="18" t="str">
        <f t="shared" si="63"/>
        <v>-</v>
      </c>
      <c r="E401" s="18">
        <f t="shared" si="63"/>
        <v>336</v>
      </c>
      <c r="F401" s="18">
        <f t="shared" si="63"/>
        <v>4676</v>
      </c>
      <c r="G401" s="18">
        <f t="shared" si="63"/>
        <v>7873</v>
      </c>
      <c r="H401" s="18" t="str">
        <f t="shared" si="63"/>
        <v>-</v>
      </c>
      <c r="I401" s="18" t="str">
        <f t="shared" si="63"/>
        <v>-</v>
      </c>
      <c r="J401" s="18" t="str">
        <f t="shared" si="63"/>
        <v>-</v>
      </c>
      <c r="K401" s="18">
        <f t="shared" si="63"/>
        <v>12885</v>
      </c>
      <c r="L401" s="13"/>
      <c r="M401" s="3"/>
      <c r="N401" s="3"/>
      <c r="O401" s="3"/>
      <c r="P401" s="3"/>
      <c r="Q401" s="3"/>
      <c r="R401" s="3"/>
    </row>
    <row r="402" spans="1:18" ht="11.25" customHeight="1">
      <c r="A402" s="99"/>
      <c r="B402" s="18"/>
      <c r="C402" s="18"/>
      <c r="D402" s="18"/>
      <c r="E402" s="18"/>
      <c r="F402" s="18"/>
      <c r="G402" s="18"/>
      <c r="H402" s="18"/>
      <c r="I402" s="18"/>
      <c r="J402" s="18"/>
      <c r="K402" s="18"/>
      <c r="L402" s="13"/>
      <c r="M402" s="3"/>
      <c r="N402" s="3"/>
      <c r="O402" s="3"/>
      <c r="P402" s="3"/>
      <c r="Q402" s="3"/>
      <c r="R402" s="3"/>
    </row>
    <row r="403" spans="1:18" ht="11.25" customHeight="1">
      <c r="A403" s="94" t="str">
        <f>A53</f>
        <v>Tillamook</v>
      </c>
      <c r="B403" s="18"/>
      <c r="C403" s="18"/>
      <c r="D403" s="18"/>
      <c r="E403" s="18"/>
      <c r="F403" s="18"/>
      <c r="G403" s="18"/>
      <c r="H403" s="18"/>
      <c r="I403" s="18"/>
      <c r="J403" s="18"/>
      <c r="K403" s="18"/>
      <c r="L403" s="13"/>
      <c r="M403" s="3"/>
      <c r="N403" s="3"/>
      <c r="O403" s="3"/>
      <c r="P403" s="3"/>
      <c r="Q403" s="3"/>
      <c r="R403" s="3"/>
    </row>
    <row r="404" spans="1:18" ht="11.25" customHeight="1">
      <c r="A404" s="99" t="s">
        <v>24</v>
      </c>
      <c r="B404" s="18" t="s">
        <v>23</v>
      </c>
      <c r="C404" s="18" t="s">
        <v>23</v>
      </c>
      <c r="D404" s="18">
        <f t="shared" ref="D404:K404" si="64">AVERAGE(D59:D63)</f>
        <v>677.5</v>
      </c>
      <c r="E404" s="18">
        <f t="shared" si="64"/>
        <v>2040.3333333333333</v>
      </c>
      <c r="F404" s="18">
        <f t="shared" si="64"/>
        <v>14150.2</v>
      </c>
      <c r="G404" s="18">
        <f t="shared" si="64"/>
        <v>14501.75</v>
      </c>
      <c r="H404" s="18">
        <f t="shared" si="64"/>
        <v>3412.75</v>
      </c>
      <c r="I404" s="18">
        <f t="shared" si="64"/>
        <v>1603</v>
      </c>
      <c r="J404" s="18" t="s">
        <v>23</v>
      </c>
      <c r="K404" s="18">
        <f t="shared" si="64"/>
        <v>30297.599999999999</v>
      </c>
      <c r="L404" s="13"/>
      <c r="M404" s="3"/>
      <c r="N404" s="3"/>
      <c r="O404" s="3"/>
      <c r="P404" s="3"/>
      <c r="Q404" s="3"/>
      <c r="R404" s="3"/>
    </row>
    <row r="405" spans="1:18" ht="11.25" customHeight="1">
      <c r="A405" s="99" t="s">
        <v>78</v>
      </c>
      <c r="B405" s="18" t="s">
        <v>23</v>
      </c>
      <c r="C405" s="18" t="s">
        <v>23</v>
      </c>
      <c r="D405" s="18">
        <f t="shared" ref="D405:K405" si="65">AVERAGE(D64:D68)</f>
        <v>222.33333333333334</v>
      </c>
      <c r="E405" s="18">
        <f t="shared" si="65"/>
        <v>2005.4</v>
      </c>
      <c r="F405" s="18">
        <f t="shared" si="65"/>
        <v>12062.8</v>
      </c>
      <c r="G405" s="18">
        <f t="shared" si="65"/>
        <v>11291.4</v>
      </c>
      <c r="H405" s="18">
        <f t="shared" si="65"/>
        <v>4392</v>
      </c>
      <c r="I405" s="18" t="s">
        <v>106</v>
      </c>
      <c r="J405" s="134" t="s">
        <v>106</v>
      </c>
      <c r="K405" s="18">
        <f t="shared" si="65"/>
        <v>29006.6</v>
      </c>
      <c r="L405" s="13"/>
      <c r="M405" s="3"/>
      <c r="N405" s="3"/>
      <c r="O405" s="3"/>
      <c r="P405" s="3"/>
      <c r="Q405" s="3"/>
      <c r="R405" s="3"/>
    </row>
    <row r="406" spans="1:18" ht="11.25" customHeight="1">
      <c r="A406" s="99" t="s">
        <v>10</v>
      </c>
      <c r="B406" s="18" t="s">
        <v>23</v>
      </c>
      <c r="C406" s="18" t="s">
        <v>23</v>
      </c>
      <c r="D406" s="18">
        <f>AVERAGE(D69:D73)</f>
        <v>728.4</v>
      </c>
      <c r="E406" s="18">
        <f t="shared" ref="E406:J406" si="66">AVERAGE(E69:E73)</f>
        <v>1722</v>
      </c>
      <c r="F406" s="18">
        <f t="shared" si="66"/>
        <v>10452</v>
      </c>
      <c r="G406" s="18">
        <f t="shared" si="66"/>
        <v>4270.5</v>
      </c>
      <c r="H406" s="18">
        <f t="shared" si="66"/>
        <v>2074.5</v>
      </c>
      <c r="I406" s="18">
        <f t="shared" si="66"/>
        <v>4878.5</v>
      </c>
      <c r="J406" s="18">
        <f t="shared" si="66"/>
        <v>395.5</v>
      </c>
      <c r="K406" s="18">
        <f>AVERAGE(K69:K73)</f>
        <v>13369.2</v>
      </c>
      <c r="L406" s="13"/>
      <c r="M406" s="3"/>
      <c r="N406" s="3"/>
      <c r="O406" s="3"/>
      <c r="P406" s="3"/>
      <c r="Q406" s="3"/>
      <c r="R406" s="3"/>
    </row>
    <row r="407" spans="1:18" ht="11.25" customHeight="1">
      <c r="A407" s="99" t="s">
        <v>144</v>
      </c>
      <c r="B407" s="18" t="s">
        <v>23</v>
      </c>
      <c r="C407" s="18" t="s">
        <v>23</v>
      </c>
      <c r="D407" s="18">
        <f>AVERAGE(D74:D78)</f>
        <v>489.4</v>
      </c>
      <c r="E407" s="18">
        <f t="shared" ref="E407:J407" si="67">AVERAGE(E74:E78)</f>
        <v>101.6</v>
      </c>
      <c r="F407" s="18">
        <f t="shared" si="67"/>
        <v>1450.6</v>
      </c>
      <c r="G407" s="18">
        <f t="shared" si="67"/>
        <v>345.8</v>
      </c>
      <c r="H407" s="18">
        <f t="shared" si="67"/>
        <v>2772</v>
      </c>
      <c r="I407" s="18">
        <f t="shared" si="67"/>
        <v>2894.6</v>
      </c>
      <c r="J407" s="18">
        <f t="shared" si="67"/>
        <v>169.5</v>
      </c>
      <c r="K407" s="18">
        <f>AVERAGE(K74:K78)</f>
        <v>8125.8</v>
      </c>
      <c r="L407" s="13"/>
      <c r="M407" s="3"/>
      <c r="N407" s="3"/>
      <c r="O407" s="3"/>
      <c r="P407" s="3"/>
      <c r="Q407" s="3"/>
      <c r="R407" s="3"/>
    </row>
    <row r="408" spans="1:18" ht="11.25" customHeight="1">
      <c r="A408" s="95" t="s">
        <v>166</v>
      </c>
      <c r="B408" s="18">
        <f>AVERAGE(B79:B83)</f>
        <v>19</v>
      </c>
      <c r="C408" s="18">
        <f>AVERAGE(C79:C83)</f>
        <v>35.200000000000003</v>
      </c>
      <c r="D408" s="18">
        <f>AVERAGE(D79:D83)</f>
        <v>441.4</v>
      </c>
      <c r="E408" s="18">
        <f>AVERAGE(E79:E83)</f>
        <v>2042.8</v>
      </c>
      <c r="F408" s="18">
        <f t="shared" ref="F408:K408" si="68">AVERAGE(F79:F83)</f>
        <v>8268.7999999999993</v>
      </c>
      <c r="G408" s="18">
        <f t="shared" si="68"/>
        <v>3896.6</v>
      </c>
      <c r="H408" s="18">
        <f t="shared" si="68"/>
        <v>4169.6000000000004</v>
      </c>
      <c r="I408" s="18">
        <f t="shared" si="68"/>
        <v>3016.6</v>
      </c>
      <c r="J408" s="18">
        <f t="shared" si="68"/>
        <v>182</v>
      </c>
      <c r="K408" s="18">
        <f t="shared" si="68"/>
        <v>22064.400000000001</v>
      </c>
      <c r="L408" s="13"/>
      <c r="M408" s="3"/>
      <c r="N408" s="3"/>
      <c r="O408" s="3"/>
      <c r="P408" s="3"/>
      <c r="Q408" s="3"/>
      <c r="R408" s="3"/>
    </row>
    <row r="409" spans="1:18" ht="11.25" customHeight="1">
      <c r="A409" s="95" t="s">
        <v>315</v>
      </c>
      <c r="B409" s="18">
        <f>AVERAGE(B84:B88)</f>
        <v>2</v>
      </c>
      <c r="C409" s="18">
        <f t="shared" ref="C409:K409" si="69">AVERAGE(C84:C88)</f>
        <v>16</v>
      </c>
      <c r="D409" s="18">
        <f t="shared" si="69"/>
        <v>446.33333333333331</v>
      </c>
      <c r="E409" s="18">
        <f t="shared" si="69"/>
        <v>1172.4000000000001</v>
      </c>
      <c r="F409" s="18">
        <f t="shared" si="69"/>
        <v>4699</v>
      </c>
      <c r="G409" s="18">
        <f t="shared" si="69"/>
        <v>4109.6000000000004</v>
      </c>
      <c r="H409" s="18">
        <f t="shared" si="69"/>
        <v>3575.2</v>
      </c>
      <c r="I409" s="18">
        <f t="shared" si="69"/>
        <v>2535.8000000000002</v>
      </c>
      <c r="J409" s="18">
        <f t="shared" si="69"/>
        <v>98</v>
      </c>
      <c r="K409" s="18">
        <f t="shared" si="69"/>
        <v>16386.2</v>
      </c>
      <c r="L409" s="13"/>
      <c r="M409" s="3"/>
      <c r="N409" s="3"/>
      <c r="O409" s="3"/>
      <c r="P409" s="3"/>
      <c r="Q409" s="3"/>
      <c r="R409" s="3"/>
    </row>
    <row r="410" spans="1:18" ht="11.25" customHeight="1">
      <c r="A410" s="95">
        <v>2011</v>
      </c>
      <c r="B410" s="18">
        <f t="shared" ref="B410:K410" si="70">B89</f>
        <v>0</v>
      </c>
      <c r="C410" s="18">
        <f t="shared" si="70"/>
        <v>50</v>
      </c>
      <c r="D410" s="18">
        <f t="shared" si="70"/>
        <v>143</v>
      </c>
      <c r="E410" s="18">
        <f t="shared" si="70"/>
        <v>936</v>
      </c>
      <c r="F410" s="18">
        <f t="shared" si="70"/>
        <v>3771</v>
      </c>
      <c r="G410" s="18">
        <f t="shared" si="70"/>
        <v>2968</v>
      </c>
      <c r="H410" s="18">
        <f t="shared" si="70"/>
        <v>3730</v>
      </c>
      <c r="I410" s="18">
        <f t="shared" si="70"/>
        <v>1240</v>
      </c>
      <c r="J410" s="18" t="str">
        <f t="shared" si="70"/>
        <v>-</v>
      </c>
      <c r="K410" s="18">
        <f t="shared" si="70"/>
        <v>12838</v>
      </c>
      <c r="L410" s="13"/>
      <c r="M410" s="3"/>
      <c r="N410" s="3"/>
      <c r="O410" s="3"/>
      <c r="P410" s="3"/>
      <c r="Q410" s="3"/>
      <c r="R410" s="3"/>
    </row>
    <row r="411" spans="1:18" ht="11.25" customHeight="1">
      <c r="A411" s="95">
        <v>2012</v>
      </c>
      <c r="B411" s="18">
        <f t="shared" ref="B411:K411" si="71">B90</f>
        <v>0</v>
      </c>
      <c r="C411" s="18">
        <f t="shared" si="71"/>
        <v>38</v>
      </c>
      <c r="D411" s="18">
        <f t="shared" si="71"/>
        <v>567</v>
      </c>
      <c r="E411" s="18">
        <f t="shared" si="71"/>
        <v>830</v>
      </c>
      <c r="F411" s="18">
        <f t="shared" si="71"/>
        <v>2372</v>
      </c>
      <c r="G411" s="18">
        <f t="shared" si="71"/>
        <v>2933</v>
      </c>
      <c r="H411" s="18">
        <f t="shared" si="71"/>
        <v>4126</v>
      </c>
      <c r="I411" s="18">
        <f t="shared" si="71"/>
        <v>1521</v>
      </c>
      <c r="J411" s="18" t="str">
        <f t="shared" si="71"/>
        <v>-</v>
      </c>
      <c r="K411" s="18">
        <f t="shared" si="71"/>
        <v>12387</v>
      </c>
      <c r="L411" s="13"/>
      <c r="M411" s="3"/>
      <c r="N411" s="3"/>
      <c r="O411" s="3"/>
      <c r="P411" s="3"/>
      <c r="Q411" s="3"/>
      <c r="R411" s="3"/>
    </row>
    <row r="412" spans="1:18" ht="11.25" customHeight="1">
      <c r="A412" s="95">
        <v>2013</v>
      </c>
      <c r="B412" s="18">
        <f t="shared" ref="B412:K412" si="72">B91</f>
        <v>2</v>
      </c>
      <c r="C412" s="18">
        <f t="shared" si="72"/>
        <v>78</v>
      </c>
      <c r="D412" s="18">
        <f t="shared" si="72"/>
        <v>369</v>
      </c>
      <c r="E412" s="18">
        <f t="shared" si="72"/>
        <v>647</v>
      </c>
      <c r="F412" s="18">
        <f t="shared" si="72"/>
        <v>3166</v>
      </c>
      <c r="G412" s="18">
        <f t="shared" si="72"/>
        <v>2605</v>
      </c>
      <c r="H412" s="18">
        <f t="shared" si="72"/>
        <v>3326</v>
      </c>
      <c r="I412" s="18">
        <f t="shared" si="72"/>
        <v>3942</v>
      </c>
      <c r="J412" s="18" t="str">
        <f t="shared" si="72"/>
        <v>-</v>
      </c>
      <c r="K412" s="18">
        <f t="shared" si="72"/>
        <v>14135</v>
      </c>
      <c r="L412" s="13"/>
      <c r="M412" s="3"/>
      <c r="N412" s="3"/>
      <c r="O412" s="3"/>
      <c r="P412" s="3"/>
      <c r="Q412" s="3"/>
      <c r="R412" s="3"/>
    </row>
    <row r="413" spans="1:18" ht="11.25" customHeight="1">
      <c r="A413" s="95">
        <v>2014</v>
      </c>
      <c r="B413" s="18">
        <f t="shared" ref="B413:K413" si="73">B92</f>
        <v>0</v>
      </c>
      <c r="C413" s="18">
        <f t="shared" si="73"/>
        <v>7</v>
      </c>
      <c r="D413" s="18">
        <f t="shared" si="73"/>
        <v>1052</v>
      </c>
      <c r="E413" s="18">
        <f t="shared" si="73"/>
        <v>1110</v>
      </c>
      <c r="F413" s="18">
        <f t="shared" si="73"/>
        <v>9027</v>
      </c>
      <c r="G413" s="18">
        <f t="shared" si="73"/>
        <v>4657</v>
      </c>
      <c r="H413" s="18">
        <f t="shared" si="73"/>
        <v>8066</v>
      </c>
      <c r="I413" s="18">
        <f t="shared" si="73"/>
        <v>1305</v>
      </c>
      <c r="J413" s="18" t="str">
        <f t="shared" si="73"/>
        <v>-</v>
      </c>
      <c r="K413" s="18">
        <f t="shared" si="73"/>
        <v>25224</v>
      </c>
      <c r="L413" s="13"/>
      <c r="M413" s="3"/>
      <c r="N413" s="3"/>
      <c r="O413" s="3"/>
      <c r="P413" s="3"/>
      <c r="Q413" s="3"/>
      <c r="R413" s="3"/>
    </row>
    <row r="414" spans="1:18" ht="11.25" customHeight="1">
      <c r="A414" s="95">
        <v>2015</v>
      </c>
      <c r="B414" s="18">
        <f t="shared" ref="B414:K414" si="74">B93</f>
        <v>0</v>
      </c>
      <c r="C414" s="18">
        <f t="shared" si="74"/>
        <v>42</v>
      </c>
      <c r="D414" s="18">
        <f t="shared" si="74"/>
        <v>919</v>
      </c>
      <c r="E414" s="18">
        <f t="shared" si="74"/>
        <v>485</v>
      </c>
      <c r="F414" s="18">
        <f t="shared" si="74"/>
        <v>3259</v>
      </c>
      <c r="G414" s="18">
        <f t="shared" si="74"/>
        <v>2097</v>
      </c>
      <c r="H414" s="18">
        <f t="shared" si="74"/>
        <v>6463</v>
      </c>
      <c r="I414" s="18">
        <f t="shared" si="74"/>
        <v>2217</v>
      </c>
      <c r="J414" s="18" t="str">
        <f t="shared" si="74"/>
        <v>-</v>
      </c>
      <c r="K414" s="18">
        <f t="shared" si="74"/>
        <v>15482</v>
      </c>
      <c r="L414" s="13"/>
      <c r="M414" s="3"/>
      <c r="N414" s="3"/>
      <c r="O414" s="3"/>
      <c r="P414" s="3"/>
      <c r="Q414" s="3"/>
      <c r="R414" s="3"/>
    </row>
    <row r="415" spans="1:18" ht="11.25" customHeight="1">
      <c r="A415" s="95">
        <v>2016</v>
      </c>
      <c r="B415" s="18">
        <f t="shared" ref="B415:K415" si="75">B94</f>
        <v>14</v>
      </c>
      <c r="C415" s="18">
        <f t="shared" si="75"/>
        <v>4</v>
      </c>
      <c r="D415" s="18">
        <f t="shared" si="75"/>
        <v>838</v>
      </c>
      <c r="E415" s="18">
        <f t="shared" si="75"/>
        <v>1578</v>
      </c>
      <c r="F415" s="18">
        <f t="shared" si="75"/>
        <v>1657</v>
      </c>
      <c r="G415" s="18">
        <f t="shared" si="75"/>
        <v>855</v>
      </c>
      <c r="H415" s="18">
        <f t="shared" si="75"/>
        <v>5505</v>
      </c>
      <c r="I415" s="18">
        <f t="shared" si="75"/>
        <v>530</v>
      </c>
      <c r="J415" s="18" t="str">
        <f t="shared" si="75"/>
        <v>-</v>
      </c>
      <c r="K415" s="18">
        <f t="shared" si="75"/>
        <v>10981</v>
      </c>
      <c r="L415" s="13"/>
      <c r="M415" s="3"/>
      <c r="N415" s="3"/>
      <c r="O415" s="3"/>
      <c r="P415" s="3"/>
      <c r="Q415" s="3"/>
      <c r="R415" s="3"/>
    </row>
    <row r="416" spans="1:18" ht="11.25" customHeight="1">
      <c r="A416" s="95">
        <v>2017</v>
      </c>
      <c r="B416" s="18">
        <f t="shared" ref="B416:K416" si="76">B95</f>
        <v>0</v>
      </c>
      <c r="C416" s="18">
        <f t="shared" si="76"/>
        <v>12</v>
      </c>
      <c r="D416" s="18">
        <f t="shared" si="76"/>
        <v>335</v>
      </c>
      <c r="E416" s="18">
        <f t="shared" si="76"/>
        <v>692</v>
      </c>
      <c r="F416" s="18">
        <f t="shared" si="76"/>
        <v>2161</v>
      </c>
      <c r="G416" s="18">
        <f t="shared" si="76"/>
        <v>2039</v>
      </c>
      <c r="H416" s="18">
        <f t="shared" si="76"/>
        <v>3100</v>
      </c>
      <c r="I416" s="18">
        <f t="shared" si="76"/>
        <v>292</v>
      </c>
      <c r="J416" s="18" t="str">
        <f t="shared" si="76"/>
        <v>-</v>
      </c>
      <c r="K416" s="18">
        <f t="shared" si="76"/>
        <v>8631</v>
      </c>
      <c r="L416" s="13"/>
      <c r="M416" s="3"/>
      <c r="N416" s="3"/>
      <c r="O416" s="3"/>
      <c r="P416" s="3"/>
      <c r="Q416" s="3"/>
      <c r="R416" s="3"/>
    </row>
    <row r="417" spans="1:18" ht="11.25" customHeight="1">
      <c r="A417" s="95">
        <v>2018</v>
      </c>
      <c r="B417" s="18">
        <f t="shared" ref="B417:K417" si="77">B96</f>
        <v>0</v>
      </c>
      <c r="C417" s="18">
        <f t="shared" si="77"/>
        <v>0</v>
      </c>
      <c r="D417" s="18">
        <f t="shared" si="77"/>
        <v>354</v>
      </c>
      <c r="E417" s="18">
        <f t="shared" si="77"/>
        <v>332</v>
      </c>
      <c r="F417" s="18">
        <f t="shared" si="77"/>
        <v>1533</v>
      </c>
      <c r="G417" s="18">
        <f t="shared" si="77"/>
        <v>4541</v>
      </c>
      <c r="H417" s="18">
        <f t="shared" si="77"/>
        <v>3670</v>
      </c>
      <c r="I417" s="18">
        <f t="shared" si="77"/>
        <v>829</v>
      </c>
      <c r="J417" s="18" t="str">
        <f t="shared" si="77"/>
        <v>-</v>
      </c>
      <c r="K417" s="18">
        <f t="shared" si="77"/>
        <v>11259</v>
      </c>
      <c r="L417" s="13"/>
      <c r="M417" s="3"/>
      <c r="N417" s="3"/>
      <c r="O417" s="3"/>
      <c r="P417" s="3"/>
      <c r="Q417" s="3"/>
      <c r="R417" s="3"/>
    </row>
    <row r="418" spans="1:18" ht="11.25" customHeight="1">
      <c r="A418" s="95">
        <v>2019</v>
      </c>
      <c r="B418" s="18">
        <f t="shared" ref="B418:K418" si="78">B97</f>
        <v>0</v>
      </c>
      <c r="C418" s="18">
        <f t="shared" si="78"/>
        <v>0</v>
      </c>
      <c r="D418" s="18">
        <f t="shared" si="78"/>
        <v>293</v>
      </c>
      <c r="E418" s="18">
        <f t="shared" si="78"/>
        <v>2061</v>
      </c>
      <c r="F418" s="18">
        <f t="shared" si="78"/>
        <v>8113</v>
      </c>
      <c r="G418" s="18">
        <f t="shared" si="78"/>
        <v>6440</v>
      </c>
      <c r="H418" s="18">
        <f t="shared" si="78"/>
        <v>2725</v>
      </c>
      <c r="I418" s="18">
        <f t="shared" si="78"/>
        <v>1470</v>
      </c>
      <c r="J418" s="18" t="str">
        <f t="shared" si="78"/>
        <v>-</v>
      </c>
      <c r="K418" s="18">
        <f t="shared" si="78"/>
        <v>21102</v>
      </c>
      <c r="L418" s="13"/>
      <c r="M418" s="3"/>
      <c r="N418" s="3"/>
      <c r="O418" s="3"/>
      <c r="P418" s="3"/>
      <c r="Q418" s="3"/>
      <c r="R418" s="3"/>
    </row>
    <row r="419" spans="1:18" ht="11.25" customHeight="1">
      <c r="A419" s="95">
        <v>2020</v>
      </c>
      <c r="B419" s="18">
        <f t="shared" ref="B419:K420" si="79">B98</f>
        <v>8</v>
      </c>
      <c r="C419" s="18">
        <f t="shared" si="79"/>
        <v>0</v>
      </c>
      <c r="D419" s="18">
        <f t="shared" si="79"/>
        <v>111</v>
      </c>
      <c r="E419" s="18">
        <f t="shared" si="79"/>
        <v>234</v>
      </c>
      <c r="F419" s="18">
        <f t="shared" si="79"/>
        <v>4133</v>
      </c>
      <c r="G419" s="18">
        <f t="shared" si="79"/>
        <v>3072</v>
      </c>
      <c r="H419" s="18">
        <f t="shared" si="79"/>
        <v>4243</v>
      </c>
      <c r="I419" s="18">
        <f t="shared" si="79"/>
        <v>1404</v>
      </c>
      <c r="J419" s="18" t="str">
        <f t="shared" si="79"/>
        <v>-</v>
      </c>
      <c r="K419" s="18">
        <f t="shared" si="79"/>
        <v>13205</v>
      </c>
      <c r="L419" s="13"/>
      <c r="M419" s="3"/>
      <c r="N419" s="3"/>
      <c r="O419" s="3"/>
      <c r="P419" s="3"/>
      <c r="Q419" s="3"/>
      <c r="R419" s="3"/>
    </row>
    <row r="420" spans="1:18" ht="11.25" customHeight="1">
      <c r="A420" s="95" t="s">
        <v>317</v>
      </c>
      <c r="B420" s="18">
        <f t="shared" si="79"/>
        <v>0</v>
      </c>
      <c r="C420" s="18">
        <f t="shared" si="79"/>
        <v>25</v>
      </c>
      <c r="D420" s="18">
        <f t="shared" si="79"/>
        <v>567</v>
      </c>
      <c r="E420" s="18">
        <f t="shared" si="79"/>
        <v>942</v>
      </c>
      <c r="F420" s="18">
        <f t="shared" si="79"/>
        <v>8109</v>
      </c>
      <c r="G420" s="18">
        <f t="shared" si="79"/>
        <v>4893</v>
      </c>
      <c r="H420" s="18">
        <f t="shared" si="79"/>
        <v>3945</v>
      </c>
      <c r="I420" s="18">
        <f t="shared" si="79"/>
        <v>172</v>
      </c>
      <c r="J420" s="18" t="str">
        <f t="shared" si="79"/>
        <v>-</v>
      </c>
      <c r="K420" s="18">
        <f t="shared" si="79"/>
        <v>18653</v>
      </c>
      <c r="L420" s="13"/>
      <c r="M420" s="3"/>
      <c r="N420" s="3"/>
      <c r="O420" s="3"/>
      <c r="P420" s="3"/>
      <c r="Q420" s="3"/>
      <c r="R420" s="3"/>
    </row>
    <row r="421" spans="1:18" ht="11.25" customHeight="1">
      <c r="A421" s="99"/>
      <c r="B421" s="18"/>
      <c r="C421" s="18"/>
      <c r="D421" s="18"/>
      <c r="E421" s="18"/>
      <c r="F421" s="18"/>
      <c r="G421" s="18"/>
      <c r="H421" s="18"/>
      <c r="I421" s="18"/>
      <c r="J421" s="18"/>
      <c r="K421" s="18"/>
      <c r="L421" s="6"/>
      <c r="M421" s="6"/>
      <c r="N421" s="6"/>
      <c r="O421" s="6"/>
      <c r="P421" s="6"/>
      <c r="Q421" s="6"/>
      <c r="R421" s="6"/>
    </row>
    <row r="422" spans="1:18" ht="11.25" customHeight="1">
      <c r="A422" s="317" t="s">
        <v>278</v>
      </c>
      <c r="B422" s="317"/>
      <c r="C422" s="317"/>
      <c r="D422" s="317"/>
      <c r="E422" s="317"/>
      <c r="F422" s="317"/>
      <c r="G422" s="317"/>
      <c r="H422" s="317"/>
      <c r="I422" s="317"/>
      <c r="J422" s="317"/>
      <c r="K422" s="317"/>
      <c r="L422" s="6"/>
      <c r="M422" s="6"/>
      <c r="N422" s="6"/>
      <c r="O422" s="6"/>
      <c r="P422" s="6"/>
      <c r="Q422" s="6"/>
      <c r="R422" s="6"/>
    </row>
    <row r="423" spans="1:18" ht="11.25" customHeight="1">
      <c r="A423" s="100" t="s">
        <v>43</v>
      </c>
      <c r="B423" s="249" t="s">
        <v>37</v>
      </c>
      <c r="C423" s="249" t="s">
        <v>28</v>
      </c>
      <c r="D423" s="249" t="s">
        <v>29</v>
      </c>
      <c r="E423" s="249" t="s">
        <v>30</v>
      </c>
      <c r="F423" s="249" t="s">
        <v>31</v>
      </c>
      <c r="G423" s="249" t="s">
        <v>32</v>
      </c>
      <c r="H423" s="249" t="s">
        <v>33</v>
      </c>
      <c r="I423" s="249" t="s">
        <v>34</v>
      </c>
      <c r="J423" s="249" t="s">
        <v>38</v>
      </c>
      <c r="K423" s="249" t="s">
        <v>22</v>
      </c>
      <c r="L423" s="6"/>
      <c r="M423" s="6"/>
      <c r="N423" s="6"/>
      <c r="O423" s="6"/>
      <c r="P423" s="6"/>
      <c r="Q423" s="6"/>
      <c r="R423" s="6"/>
    </row>
    <row r="424" spans="1:18" ht="11.25" customHeight="1">
      <c r="A424" s="247" t="str">
        <f>A101</f>
        <v>Newport</v>
      </c>
      <c r="B424" s="18"/>
      <c r="C424" s="18"/>
      <c r="D424" s="18"/>
      <c r="E424" s="18"/>
      <c r="F424" s="18"/>
      <c r="G424" s="18"/>
      <c r="H424" s="18"/>
      <c r="I424" s="18"/>
      <c r="J424" s="18"/>
      <c r="K424" s="18"/>
      <c r="L424" s="13"/>
      <c r="M424" s="3"/>
      <c r="N424" s="3"/>
      <c r="O424" s="3"/>
      <c r="P424" s="3"/>
      <c r="Q424" s="3"/>
      <c r="R424" s="3"/>
    </row>
    <row r="425" spans="1:18" ht="11.25" customHeight="1">
      <c r="A425" s="99" t="s">
        <v>24</v>
      </c>
      <c r="B425" s="18" t="s">
        <v>23</v>
      </c>
      <c r="C425" s="18" t="s">
        <v>23</v>
      </c>
      <c r="D425" s="18">
        <f t="shared" ref="D425:K425" si="80">AVERAGE(D107:D111)</f>
        <v>1236.5</v>
      </c>
      <c r="E425" s="18">
        <f t="shared" si="80"/>
        <v>6382.666666666667</v>
      </c>
      <c r="F425" s="18">
        <f t="shared" si="80"/>
        <v>28951.4</v>
      </c>
      <c r="G425" s="18">
        <f t="shared" si="80"/>
        <v>25961</v>
      </c>
      <c r="H425" s="18">
        <f t="shared" si="80"/>
        <v>3812.25</v>
      </c>
      <c r="I425" s="18" t="s">
        <v>106</v>
      </c>
      <c r="J425" s="18" t="s">
        <v>23</v>
      </c>
      <c r="K425" s="18">
        <f t="shared" si="80"/>
        <v>57094.2</v>
      </c>
      <c r="L425" s="13"/>
      <c r="M425" s="3"/>
      <c r="N425" s="3"/>
      <c r="O425" s="3"/>
      <c r="P425" s="3"/>
      <c r="Q425" s="3"/>
      <c r="R425" s="3"/>
    </row>
    <row r="426" spans="1:18" ht="11.25" customHeight="1">
      <c r="A426" s="99" t="s">
        <v>78</v>
      </c>
      <c r="B426" s="18" t="s">
        <v>23</v>
      </c>
      <c r="C426" s="18" t="s">
        <v>23</v>
      </c>
      <c r="D426" s="18">
        <f t="shared" ref="D426:K426" si="81">AVERAGE(D112:D116)</f>
        <v>997</v>
      </c>
      <c r="E426" s="18">
        <f t="shared" si="81"/>
        <v>7788.8</v>
      </c>
      <c r="F426" s="18">
        <f t="shared" si="81"/>
        <v>37404</v>
      </c>
      <c r="G426" s="18">
        <f t="shared" si="81"/>
        <v>23999.599999999999</v>
      </c>
      <c r="H426" s="18">
        <f t="shared" si="81"/>
        <v>5730.25</v>
      </c>
      <c r="I426" s="18" t="s">
        <v>23</v>
      </c>
      <c r="J426" s="18" t="s">
        <v>23</v>
      </c>
      <c r="K426" s="18">
        <f t="shared" si="81"/>
        <v>74574.2</v>
      </c>
      <c r="L426" s="13"/>
      <c r="M426" s="3"/>
      <c r="N426" s="3"/>
      <c r="O426" s="3"/>
      <c r="P426" s="3"/>
      <c r="Q426" s="3"/>
      <c r="R426" s="3"/>
    </row>
    <row r="427" spans="1:18" ht="11.25" customHeight="1">
      <c r="A427" s="99" t="s">
        <v>10</v>
      </c>
      <c r="B427" s="18" t="s">
        <v>23</v>
      </c>
      <c r="C427" s="18" t="s">
        <v>23</v>
      </c>
      <c r="D427" s="18">
        <f t="shared" ref="D427:I427" si="82">AVERAGE(D117:D121)</f>
        <v>484.2</v>
      </c>
      <c r="E427" s="18">
        <f t="shared" si="82"/>
        <v>3881.4</v>
      </c>
      <c r="F427" s="18">
        <f t="shared" si="82"/>
        <v>26681.666666666668</v>
      </c>
      <c r="G427" s="18">
        <f t="shared" si="82"/>
        <v>9836.5</v>
      </c>
      <c r="H427" s="18">
        <f t="shared" si="82"/>
        <v>1389</v>
      </c>
      <c r="I427" s="18">
        <f t="shared" si="82"/>
        <v>117</v>
      </c>
      <c r="J427" s="18" t="s">
        <v>23</v>
      </c>
      <c r="K427" s="18">
        <f>AVERAGE(K117:K121)</f>
        <v>24888.2</v>
      </c>
      <c r="L427" s="13"/>
      <c r="M427" s="3"/>
      <c r="N427" s="3"/>
      <c r="O427" s="3"/>
      <c r="P427" s="3"/>
      <c r="Q427" s="3"/>
      <c r="R427" s="3"/>
    </row>
    <row r="428" spans="1:18" ht="11.25" customHeight="1">
      <c r="A428" s="99" t="s">
        <v>144</v>
      </c>
      <c r="B428" s="18" t="s">
        <v>23</v>
      </c>
      <c r="C428" s="18" t="s">
        <v>23</v>
      </c>
      <c r="D428" s="18">
        <f t="shared" ref="D428:I428" si="83">AVERAGE(D122:D126)</f>
        <v>101</v>
      </c>
      <c r="E428" s="18">
        <f t="shared" si="83"/>
        <v>113.6</v>
      </c>
      <c r="F428" s="18">
        <f t="shared" si="83"/>
        <v>3818.6</v>
      </c>
      <c r="G428" s="18">
        <f t="shared" si="83"/>
        <v>1089.8</v>
      </c>
      <c r="H428" s="18">
        <f t="shared" si="83"/>
        <v>248.6</v>
      </c>
      <c r="I428" s="18">
        <f t="shared" si="83"/>
        <v>29.333333333333332</v>
      </c>
      <c r="J428" s="18" t="s">
        <v>23</v>
      </c>
      <c r="K428" s="18">
        <f>AVERAGE(K122:K126)</f>
        <v>5396.2</v>
      </c>
      <c r="L428" s="13"/>
      <c r="M428" s="3"/>
      <c r="N428" s="3"/>
      <c r="O428" s="3"/>
      <c r="P428" s="3"/>
      <c r="Q428" s="3"/>
      <c r="R428" s="3"/>
    </row>
    <row r="429" spans="1:18" ht="11.25" customHeight="1">
      <c r="A429" s="95" t="s">
        <v>166</v>
      </c>
      <c r="B429" s="18">
        <f t="shared" ref="B429:I429" si="84">AVERAGE(B127:B131)</f>
        <v>20</v>
      </c>
      <c r="C429" s="18">
        <f t="shared" si="84"/>
        <v>76.599999999999994</v>
      </c>
      <c r="D429" s="18">
        <f t="shared" si="84"/>
        <v>235.2</v>
      </c>
      <c r="E429" s="18">
        <f t="shared" si="84"/>
        <v>3896</v>
      </c>
      <c r="F429" s="18">
        <f t="shared" si="84"/>
        <v>13532.4</v>
      </c>
      <c r="G429" s="18">
        <f t="shared" si="84"/>
        <v>6509.4</v>
      </c>
      <c r="H429" s="18">
        <f t="shared" si="84"/>
        <v>2064.4</v>
      </c>
      <c r="I429" s="18">
        <f t="shared" si="84"/>
        <v>397.4</v>
      </c>
      <c r="J429" s="18" t="str">
        <f>J127</f>
        <v>-</v>
      </c>
      <c r="K429" s="18">
        <f>AVERAGE(K127:K131)</f>
        <v>26723.4</v>
      </c>
      <c r="L429" s="13"/>
      <c r="M429" s="3"/>
      <c r="N429" s="3"/>
      <c r="O429" s="3"/>
      <c r="P429" s="3"/>
      <c r="Q429" s="3"/>
      <c r="R429" s="3"/>
    </row>
    <row r="430" spans="1:18" ht="11.25" customHeight="1">
      <c r="A430" s="95" t="s">
        <v>315</v>
      </c>
      <c r="B430" s="18">
        <f>AVERAGE(B32:B136)</f>
        <v>8.5</v>
      </c>
      <c r="C430" s="18">
        <f t="shared" ref="C430:K430" si="85">AVERAGE(C32:C136)</f>
        <v>24.897435897435898</v>
      </c>
      <c r="D430" s="18">
        <f t="shared" si="85"/>
        <v>657.11111111111109</v>
      </c>
      <c r="E430" s="18">
        <f t="shared" si="85"/>
        <v>2881.1075268817203</v>
      </c>
      <c r="F430" s="18">
        <f t="shared" si="85"/>
        <v>11717.154639175258</v>
      </c>
      <c r="G430" s="18">
        <f t="shared" si="85"/>
        <v>9747.6630434782601</v>
      </c>
      <c r="H430" s="18">
        <f t="shared" si="85"/>
        <v>3119.8</v>
      </c>
      <c r="I430" s="18">
        <f t="shared" si="85"/>
        <v>1613.936170212766</v>
      </c>
      <c r="J430" s="18">
        <f t="shared" si="85"/>
        <v>175.76923076923077</v>
      </c>
      <c r="K430" s="18">
        <f t="shared" si="85"/>
        <v>26664.039603960395</v>
      </c>
      <c r="L430" s="13"/>
      <c r="M430" s="3"/>
      <c r="N430" s="3"/>
      <c r="O430" s="3"/>
      <c r="P430" s="3"/>
      <c r="Q430" s="3"/>
      <c r="R430" s="3"/>
    </row>
    <row r="431" spans="1:18" ht="11.25" customHeight="1">
      <c r="A431" s="95">
        <v>2011</v>
      </c>
      <c r="B431" s="18">
        <f t="shared" ref="B431:K431" si="86">B137</f>
        <v>20</v>
      </c>
      <c r="C431" s="18">
        <f t="shared" si="86"/>
        <v>2</v>
      </c>
      <c r="D431" s="18">
        <f t="shared" si="86"/>
        <v>103</v>
      </c>
      <c r="E431" s="18">
        <f t="shared" si="86"/>
        <v>847</v>
      </c>
      <c r="F431" s="18">
        <f t="shared" si="86"/>
        <v>4550</v>
      </c>
      <c r="G431" s="18">
        <f t="shared" si="86"/>
        <v>2518</v>
      </c>
      <c r="H431" s="18">
        <f t="shared" si="86"/>
        <v>3913</v>
      </c>
      <c r="I431" s="18" t="str">
        <f t="shared" si="86"/>
        <v>-</v>
      </c>
      <c r="J431" s="18" t="str">
        <f t="shared" si="86"/>
        <v>-</v>
      </c>
      <c r="K431" s="18">
        <f t="shared" si="86"/>
        <v>11953</v>
      </c>
      <c r="L431" s="13"/>
      <c r="M431" s="3"/>
      <c r="N431" s="3"/>
      <c r="O431" s="3"/>
      <c r="P431" s="3"/>
      <c r="Q431" s="3"/>
      <c r="R431" s="3"/>
    </row>
    <row r="432" spans="1:18" ht="11.25" customHeight="1">
      <c r="A432" s="95">
        <v>2012</v>
      </c>
      <c r="B432" s="18">
        <f t="shared" ref="B432:K432" si="87">B138</f>
        <v>23</v>
      </c>
      <c r="C432" s="18">
        <f t="shared" si="87"/>
        <v>290</v>
      </c>
      <c r="D432" s="18">
        <f t="shared" si="87"/>
        <v>325</v>
      </c>
      <c r="E432" s="18">
        <f t="shared" si="87"/>
        <v>658</v>
      </c>
      <c r="F432" s="18">
        <f t="shared" si="87"/>
        <v>3425</v>
      </c>
      <c r="G432" s="18">
        <f t="shared" si="87"/>
        <v>4030</v>
      </c>
      <c r="H432" s="18">
        <f t="shared" si="87"/>
        <v>5947</v>
      </c>
      <c r="I432" s="18">
        <f t="shared" si="87"/>
        <v>107</v>
      </c>
      <c r="J432" s="18" t="str">
        <f t="shared" si="87"/>
        <v>-</v>
      </c>
      <c r="K432" s="18">
        <f t="shared" si="87"/>
        <v>14805</v>
      </c>
      <c r="L432" s="13"/>
      <c r="M432" s="3"/>
      <c r="N432" s="3"/>
      <c r="O432" s="3"/>
      <c r="P432" s="3"/>
      <c r="Q432" s="3"/>
      <c r="R432" s="3"/>
    </row>
    <row r="433" spans="1:18" ht="11.25" customHeight="1">
      <c r="A433" s="95">
        <v>2013</v>
      </c>
      <c r="B433" s="18">
        <f t="shared" ref="B433:K433" si="88">B139</f>
        <v>354</v>
      </c>
      <c r="C433" s="18">
        <f t="shared" si="88"/>
        <v>441</v>
      </c>
      <c r="D433" s="18">
        <f t="shared" si="88"/>
        <v>204</v>
      </c>
      <c r="E433" s="18">
        <f t="shared" si="88"/>
        <v>425</v>
      </c>
      <c r="F433" s="18">
        <f t="shared" si="88"/>
        <v>5037</v>
      </c>
      <c r="G433" s="18">
        <f t="shared" si="88"/>
        <v>4073</v>
      </c>
      <c r="H433" s="18">
        <f t="shared" si="88"/>
        <v>4606</v>
      </c>
      <c r="I433" s="18">
        <f t="shared" si="88"/>
        <v>188</v>
      </c>
      <c r="J433" s="18" t="str">
        <f t="shared" si="88"/>
        <v>-</v>
      </c>
      <c r="K433" s="18">
        <f t="shared" si="88"/>
        <v>15328</v>
      </c>
      <c r="L433" s="13"/>
      <c r="M433" s="3"/>
      <c r="N433" s="3"/>
      <c r="O433" s="3"/>
      <c r="P433" s="3"/>
      <c r="Q433" s="3"/>
      <c r="R433" s="3"/>
    </row>
    <row r="434" spans="1:18" ht="11.25" customHeight="1">
      <c r="A434" s="95">
        <v>2014</v>
      </c>
      <c r="B434" s="18">
        <f t="shared" ref="B434:K434" si="89">B140</f>
        <v>87</v>
      </c>
      <c r="C434" s="18">
        <f t="shared" si="89"/>
        <v>83</v>
      </c>
      <c r="D434" s="18">
        <f t="shared" si="89"/>
        <v>492</v>
      </c>
      <c r="E434" s="18">
        <f t="shared" si="89"/>
        <v>2235</v>
      </c>
      <c r="F434" s="18">
        <f t="shared" si="89"/>
        <v>15116</v>
      </c>
      <c r="G434" s="18">
        <f t="shared" si="89"/>
        <v>9307</v>
      </c>
      <c r="H434" s="18">
        <f t="shared" si="89"/>
        <v>9804</v>
      </c>
      <c r="I434" s="18">
        <f t="shared" si="89"/>
        <v>63</v>
      </c>
      <c r="J434" s="18" t="str">
        <f t="shared" si="89"/>
        <v>-</v>
      </c>
      <c r="K434" s="18">
        <f t="shared" si="89"/>
        <v>37187</v>
      </c>
      <c r="L434" s="13"/>
      <c r="M434" s="3"/>
      <c r="N434" s="3"/>
      <c r="O434" s="3"/>
      <c r="P434" s="3"/>
      <c r="Q434" s="3"/>
      <c r="R434" s="3"/>
    </row>
    <row r="435" spans="1:18" ht="11.25" customHeight="1">
      <c r="A435" s="95">
        <v>2015</v>
      </c>
      <c r="B435" s="18">
        <f t="shared" ref="B435:K435" si="90">B141</f>
        <v>48</v>
      </c>
      <c r="C435" s="18">
        <f t="shared" si="90"/>
        <v>76</v>
      </c>
      <c r="D435" s="18">
        <f t="shared" si="90"/>
        <v>136</v>
      </c>
      <c r="E435" s="18">
        <f t="shared" si="90"/>
        <v>716</v>
      </c>
      <c r="F435" s="18">
        <f t="shared" si="90"/>
        <v>9102</v>
      </c>
      <c r="G435" s="18">
        <f t="shared" si="90"/>
        <v>2369</v>
      </c>
      <c r="H435" s="18">
        <f t="shared" si="90"/>
        <v>5680</v>
      </c>
      <c r="I435" s="18">
        <f t="shared" si="90"/>
        <v>75</v>
      </c>
      <c r="J435" s="18" t="str">
        <f t="shared" si="90"/>
        <v>-</v>
      </c>
      <c r="K435" s="18">
        <f t="shared" si="90"/>
        <v>18202</v>
      </c>
      <c r="L435" s="13"/>
      <c r="M435" s="3"/>
      <c r="N435" s="3"/>
      <c r="O435" s="3"/>
      <c r="P435" s="3"/>
      <c r="Q435" s="3"/>
      <c r="R435" s="3"/>
    </row>
    <row r="436" spans="1:18" ht="11.25" customHeight="1">
      <c r="A436" s="95">
        <v>2016</v>
      </c>
      <c r="B436" s="18">
        <f t="shared" ref="B436:K436" si="91">B142</f>
        <v>50</v>
      </c>
      <c r="C436" s="18">
        <f t="shared" si="91"/>
        <v>9</v>
      </c>
      <c r="D436" s="18">
        <f t="shared" si="91"/>
        <v>41</v>
      </c>
      <c r="E436" s="18">
        <f t="shared" si="91"/>
        <v>647</v>
      </c>
      <c r="F436" s="18">
        <f t="shared" si="91"/>
        <v>2448</v>
      </c>
      <c r="G436" s="18">
        <f t="shared" si="91"/>
        <v>1037</v>
      </c>
      <c r="H436" s="18">
        <f t="shared" si="91"/>
        <v>3886</v>
      </c>
      <c r="I436" s="18">
        <f t="shared" si="91"/>
        <v>75</v>
      </c>
      <c r="J436" s="18" t="str">
        <f t="shared" si="91"/>
        <v>-</v>
      </c>
      <c r="K436" s="18">
        <f t="shared" si="91"/>
        <v>8193</v>
      </c>
      <c r="L436" s="13"/>
      <c r="M436" s="3"/>
      <c r="N436" s="3"/>
      <c r="O436" s="3"/>
      <c r="P436" s="3"/>
      <c r="Q436" s="3"/>
      <c r="R436" s="3"/>
    </row>
    <row r="437" spans="1:18" ht="11.25" customHeight="1">
      <c r="A437" s="95">
        <v>2017</v>
      </c>
      <c r="B437" s="18">
        <f t="shared" ref="B437:K437" si="92">B143</f>
        <v>0</v>
      </c>
      <c r="C437" s="18">
        <f t="shared" si="92"/>
        <v>0</v>
      </c>
      <c r="D437" s="18">
        <f t="shared" si="92"/>
        <v>12</v>
      </c>
      <c r="E437" s="18">
        <f t="shared" si="92"/>
        <v>299</v>
      </c>
      <c r="F437" s="18">
        <f t="shared" si="92"/>
        <v>4528</v>
      </c>
      <c r="G437" s="18">
        <f t="shared" si="92"/>
        <v>2751</v>
      </c>
      <c r="H437" s="18">
        <f t="shared" si="92"/>
        <v>2603</v>
      </c>
      <c r="I437" s="18">
        <f t="shared" si="92"/>
        <v>89</v>
      </c>
      <c r="J437" s="18" t="str">
        <f t="shared" si="92"/>
        <v>-</v>
      </c>
      <c r="K437" s="18">
        <f t="shared" si="92"/>
        <v>10282</v>
      </c>
      <c r="L437" s="13"/>
      <c r="M437" s="3"/>
      <c r="N437" s="3"/>
      <c r="O437" s="3"/>
      <c r="P437" s="3"/>
      <c r="Q437" s="3"/>
      <c r="R437" s="3"/>
    </row>
    <row r="438" spans="1:18" ht="11.25" customHeight="1">
      <c r="A438" s="95">
        <v>2018</v>
      </c>
      <c r="B438" s="18">
        <f t="shared" ref="B438:K438" si="93">B144</f>
        <v>39</v>
      </c>
      <c r="C438" s="18">
        <f t="shared" si="93"/>
        <v>0</v>
      </c>
      <c r="D438" s="18">
        <f t="shared" si="93"/>
        <v>125</v>
      </c>
      <c r="E438" s="18">
        <f t="shared" si="93"/>
        <v>538</v>
      </c>
      <c r="F438" s="18">
        <f t="shared" si="93"/>
        <v>5623</v>
      </c>
      <c r="G438" s="18">
        <f t="shared" si="93"/>
        <v>11666</v>
      </c>
      <c r="H438" s="18">
        <f t="shared" si="93"/>
        <v>5502</v>
      </c>
      <c r="I438" s="18">
        <f t="shared" si="93"/>
        <v>70</v>
      </c>
      <c r="J438" s="18" t="str">
        <f t="shared" si="93"/>
        <v>-</v>
      </c>
      <c r="K438" s="18">
        <f t="shared" si="93"/>
        <v>23563</v>
      </c>
      <c r="L438" s="13"/>
      <c r="M438" s="3"/>
      <c r="N438" s="3"/>
      <c r="O438" s="3"/>
      <c r="P438" s="3"/>
      <c r="Q438" s="3"/>
      <c r="R438" s="3"/>
    </row>
    <row r="439" spans="1:18" ht="11.25" customHeight="1">
      <c r="A439" s="95">
        <v>2019</v>
      </c>
      <c r="B439" s="18">
        <f t="shared" ref="B439:K439" si="94">B145</f>
        <v>37</v>
      </c>
      <c r="C439" s="18">
        <f t="shared" si="94"/>
        <v>0</v>
      </c>
      <c r="D439" s="18">
        <f t="shared" si="94"/>
        <v>65</v>
      </c>
      <c r="E439" s="18">
        <f t="shared" si="94"/>
        <v>2864</v>
      </c>
      <c r="F439" s="18">
        <f t="shared" si="94"/>
        <v>16935</v>
      </c>
      <c r="G439" s="18">
        <f t="shared" si="94"/>
        <v>11609</v>
      </c>
      <c r="H439" s="18">
        <f t="shared" si="94"/>
        <v>3507</v>
      </c>
      <c r="I439" s="18">
        <f t="shared" si="94"/>
        <v>96</v>
      </c>
      <c r="J439" s="18" t="str">
        <f t="shared" si="94"/>
        <v>-</v>
      </c>
      <c r="K439" s="18">
        <f t="shared" si="94"/>
        <v>35113</v>
      </c>
      <c r="L439" s="13"/>
      <c r="M439" s="3"/>
      <c r="N439" s="3"/>
      <c r="O439" s="3"/>
      <c r="P439" s="3"/>
      <c r="Q439" s="3"/>
      <c r="R439" s="3"/>
    </row>
    <row r="440" spans="1:18" ht="11.25" customHeight="1">
      <c r="A440" s="95">
        <v>2020</v>
      </c>
      <c r="B440" s="18">
        <f t="shared" ref="B440:K441" si="95">B146</f>
        <v>0</v>
      </c>
      <c r="C440" s="18">
        <f t="shared" si="95"/>
        <v>47</v>
      </c>
      <c r="D440" s="18">
        <f t="shared" si="95"/>
        <v>93</v>
      </c>
      <c r="E440" s="18">
        <f t="shared" si="95"/>
        <v>251</v>
      </c>
      <c r="F440" s="18">
        <f t="shared" si="95"/>
        <v>9735</v>
      </c>
      <c r="G440" s="18">
        <f t="shared" si="95"/>
        <v>4938</v>
      </c>
      <c r="H440" s="18">
        <f t="shared" si="95"/>
        <v>3368</v>
      </c>
      <c r="I440" s="18">
        <f t="shared" si="95"/>
        <v>176</v>
      </c>
      <c r="J440" s="18" t="str">
        <f t="shared" si="95"/>
        <v>-</v>
      </c>
      <c r="K440" s="18">
        <f t="shared" si="95"/>
        <v>18608</v>
      </c>
      <c r="L440" s="13"/>
      <c r="M440" s="3"/>
      <c r="N440" s="3"/>
      <c r="O440" s="3"/>
      <c r="P440" s="3"/>
      <c r="Q440" s="3"/>
      <c r="R440" s="3"/>
    </row>
    <row r="441" spans="1:18" ht="11.25" customHeight="1">
      <c r="A441" s="95" t="s">
        <v>317</v>
      </c>
      <c r="B441" s="18">
        <f t="shared" si="95"/>
        <v>23</v>
      </c>
      <c r="C441" s="18">
        <f t="shared" si="95"/>
        <v>276</v>
      </c>
      <c r="D441" s="18">
        <f t="shared" si="95"/>
        <v>92</v>
      </c>
      <c r="E441" s="18">
        <f t="shared" si="95"/>
        <v>2418</v>
      </c>
      <c r="F441" s="18">
        <f t="shared" si="95"/>
        <v>18560</v>
      </c>
      <c r="G441" s="18">
        <f t="shared" si="95"/>
        <v>14883</v>
      </c>
      <c r="H441" s="18">
        <f t="shared" si="95"/>
        <v>5588</v>
      </c>
      <c r="I441" s="18">
        <f t="shared" si="95"/>
        <v>21</v>
      </c>
      <c r="J441" s="18" t="str">
        <f t="shared" si="95"/>
        <v>-</v>
      </c>
      <c r="K441" s="18">
        <f t="shared" si="95"/>
        <v>41861</v>
      </c>
      <c r="L441" s="13"/>
      <c r="M441" s="3"/>
      <c r="N441" s="3"/>
      <c r="O441" s="3"/>
      <c r="P441" s="3"/>
      <c r="Q441" s="3"/>
      <c r="R441" s="3"/>
    </row>
    <row r="442" spans="1:18" ht="6.75" customHeight="1">
      <c r="B442" s="18"/>
      <c r="C442" s="18"/>
      <c r="D442" s="18"/>
      <c r="E442" s="18"/>
      <c r="F442" s="18"/>
      <c r="G442" s="18"/>
      <c r="H442" s="18"/>
      <c r="I442" s="18"/>
      <c r="J442" s="18"/>
      <c r="K442" s="18"/>
      <c r="L442" s="13"/>
      <c r="M442" s="3"/>
      <c r="N442" s="3"/>
      <c r="O442" s="3"/>
      <c r="P442" s="3"/>
      <c r="Q442" s="3"/>
      <c r="R442" s="3"/>
    </row>
    <row r="443" spans="1:18" ht="11.25" customHeight="1">
      <c r="A443" s="247" t="str">
        <f>A149</f>
        <v>Coos Bay</v>
      </c>
      <c r="B443" s="18"/>
      <c r="C443" s="18"/>
      <c r="D443" s="18"/>
      <c r="E443" s="18"/>
      <c r="F443" s="18"/>
      <c r="G443" s="18"/>
      <c r="H443" s="18"/>
      <c r="I443" s="18"/>
      <c r="J443" s="18"/>
      <c r="K443" s="18"/>
      <c r="L443" s="13"/>
      <c r="M443" s="3"/>
      <c r="N443" s="3"/>
      <c r="O443" s="3"/>
      <c r="P443" s="3"/>
      <c r="Q443" s="3"/>
      <c r="R443" s="3"/>
    </row>
    <row r="444" spans="1:18" ht="11.25" customHeight="1">
      <c r="A444" s="99" t="s">
        <v>24</v>
      </c>
      <c r="B444" s="18" t="s">
        <v>23</v>
      </c>
      <c r="C444" s="18" t="s">
        <v>23</v>
      </c>
      <c r="D444" s="18">
        <f t="shared" ref="D444:K444" si="96">AVERAGE(D155:D159)</f>
        <v>3365</v>
      </c>
      <c r="E444" s="18">
        <f t="shared" si="96"/>
        <v>13366.666666666666</v>
      </c>
      <c r="F444" s="18">
        <f t="shared" si="96"/>
        <v>34917.199999999997</v>
      </c>
      <c r="G444" s="18">
        <f t="shared" si="96"/>
        <v>20849</v>
      </c>
      <c r="H444" s="18">
        <f t="shared" si="96"/>
        <v>3452</v>
      </c>
      <c r="I444" s="18" t="s">
        <v>106</v>
      </c>
      <c r="J444" s="18" t="s">
        <v>106</v>
      </c>
      <c r="K444" s="18">
        <f t="shared" si="96"/>
        <v>63724</v>
      </c>
      <c r="L444" s="13"/>
      <c r="M444" s="3"/>
      <c r="N444" s="3"/>
      <c r="O444" s="3"/>
      <c r="P444" s="3"/>
      <c r="Q444" s="3"/>
      <c r="R444" s="3"/>
    </row>
    <row r="445" spans="1:18" ht="11.25" customHeight="1">
      <c r="A445" s="99" t="s">
        <v>78</v>
      </c>
      <c r="B445" s="18" t="s">
        <v>23</v>
      </c>
      <c r="C445" s="18" t="s">
        <v>23</v>
      </c>
      <c r="D445" s="18">
        <f t="shared" ref="D445:K445" si="97">AVERAGE(D160:D164)</f>
        <v>890.5</v>
      </c>
      <c r="E445" s="18">
        <f t="shared" si="97"/>
        <v>8744</v>
      </c>
      <c r="F445" s="18">
        <f t="shared" si="97"/>
        <v>33097.4</v>
      </c>
      <c r="G445" s="18">
        <f t="shared" si="97"/>
        <v>15721.4</v>
      </c>
      <c r="H445" s="18">
        <f t="shared" si="97"/>
        <v>3842</v>
      </c>
      <c r="I445" s="18" t="s">
        <v>106</v>
      </c>
      <c r="J445" s="18" t="s">
        <v>106</v>
      </c>
      <c r="K445" s="18">
        <f t="shared" si="97"/>
        <v>61348.800000000003</v>
      </c>
      <c r="L445" s="13"/>
      <c r="M445" s="3"/>
      <c r="N445" s="3"/>
      <c r="O445" s="3"/>
      <c r="P445" s="3"/>
      <c r="Q445" s="3"/>
      <c r="R445" s="3"/>
    </row>
    <row r="446" spans="1:18" ht="11.25" customHeight="1">
      <c r="A446" s="99" t="s">
        <v>10</v>
      </c>
      <c r="B446" s="18" t="s">
        <v>23</v>
      </c>
      <c r="C446" s="18" t="s">
        <v>23</v>
      </c>
      <c r="D446" s="18">
        <f t="shared" ref="D446:I446" si="98">AVERAGE(D165:D169)</f>
        <v>604.79999999999995</v>
      </c>
      <c r="E446" s="18">
        <f t="shared" si="98"/>
        <v>5645.6</v>
      </c>
      <c r="F446" s="18">
        <f t="shared" si="98"/>
        <v>26028.666666666668</v>
      </c>
      <c r="G446" s="18">
        <f t="shared" si="98"/>
        <v>8416</v>
      </c>
      <c r="H446" s="18">
        <f t="shared" si="98"/>
        <v>1727.5</v>
      </c>
      <c r="I446" s="18">
        <f t="shared" si="98"/>
        <v>21</v>
      </c>
      <c r="J446" s="18" t="s">
        <v>106</v>
      </c>
      <c r="K446" s="18">
        <f>AVERAGE(K165:K169)</f>
        <v>25929.200000000001</v>
      </c>
      <c r="L446" s="13"/>
      <c r="M446" s="3"/>
      <c r="N446" s="3"/>
      <c r="O446" s="3"/>
      <c r="P446" s="3"/>
      <c r="Q446" s="3"/>
      <c r="R446" s="3"/>
    </row>
    <row r="447" spans="1:18" ht="11.25" customHeight="1">
      <c r="A447" s="99" t="s">
        <v>144</v>
      </c>
      <c r="B447" s="18" t="s">
        <v>23</v>
      </c>
      <c r="C447" s="18" t="s">
        <v>23</v>
      </c>
      <c r="D447" s="18">
        <f t="shared" ref="D447:I447" si="99">AVERAGE(D170:D174)</f>
        <v>117.6</v>
      </c>
      <c r="E447" s="18">
        <f t="shared" si="99"/>
        <v>381</v>
      </c>
      <c r="F447" s="18">
        <f t="shared" si="99"/>
        <v>4300.8</v>
      </c>
      <c r="G447" s="18">
        <f t="shared" si="99"/>
        <v>2952.6</v>
      </c>
      <c r="H447" s="18">
        <f t="shared" si="99"/>
        <v>506.6</v>
      </c>
      <c r="I447" s="18">
        <f t="shared" si="99"/>
        <v>53</v>
      </c>
      <c r="J447" s="18" t="s">
        <v>106</v>
      </c>
      <c r="K447" s="18">
        <f>AVERAGE(K170:K174)</f>
        <v>8282.2000000000007</v>
      </c>
      <c r="L447" s="13"/>
      <c r="M447" s="3"/>
      <c r="N447" s="3"/>
      <c r="O447" s="3"/>
      <c r="P447" s="3"/>
      <c r="Q447" s="3"/>
      <c r="R447" s="3"/>
    </row>
    <row r="448" spans="1:18" ht="11.25" customHeight="1">
      <c r="A448" s="95" t="s">
        <v>166</v>
      </c>
      <c r="B448" s="18">
        <f t="shared" ref="B448:I448" si="100">AVERAGE(B175:B179)</f>
        <v>24</v>
      </c>
      <c r="C448" s="18">
        <f t="shared" si="100"/>
        <v>99.8</v>
      </c>
      <c r="D448" s="18">
        <f t="shared" si="100"/>
        <v>783.2</v>
      </c>
      <c r="E448" s="18">
        <f t="shared" si="100"/>
        <v>6476.8</v>
      </c>
      <c r="F448" s="18">
        <f t="shared" si="100"/>
        <v>16186</v>
      </c>
      <c r="G448" s="18">
        <f t="shared" si="100"/>
        <v>8250.4</v>
      </c>
      <c r="H448" s="18">
        <f t="shared" si="100"/>
        <v>2564</v>
      </c>
      <c r="I448" s="18">
        <f t="shared" si="100"/>
        <v>116.8</v>
      </c>
      <c r="J448" s="18" t="str">
        <f>J175</f>
        <v>--</v>
      </c>
      <c r="K448" s="18">
        <f>AVERAGE(K175:K179)</f>
        <v>34491.4</v>
      </c>
      <c r="L448" s="13"/>
      <c r="M448" s="3"/>
      <c r="N448" s="3"/>
      <c r="O448" s="3"/>
      <c r="P448" s="3"/>
      <c r="Q448" s="3"/>
      <c r="R448" s="3"/>
    </row>
    <row r="449" spans="1:18" ht="11.25" customHeight="1">
      <c r="A449" s="95" t="s">
        <v>315</v>
      </c>
      <c r="B449" s="18">
        <f>AVERAGE(B180:B184)</f>
        <v>15.5</v>
      </c>
      <c r="C449" s="18">
        <f t="shared" ref="C449:K449" si="101">AVERAGE(C180:C184)</f>
        <v>33</v>
      </c>
      <c r="D449" s="18">
        <f t="shared" si="101"/>
        <v>332</v>
      </c>
      <c r="E449" s="18">
        <f t="shared" si="101"/>
        <v>1565.8</v>
      </c>
      <c r="F449" s="18">
        <f t="shared" si="101"/>
        <v>6779.4</v>
      </c>
      <c r="G449" s="18">
        <f t="shared" si="101"/>
        <v>4553.2</v>
      </c>
      <c r="H449" s="18">
        <f t="shared" si="101"/>
        <v>1211.5</v>
      </c>
      <c r="I449" s="18">
        <f t="shared" si="101"/>
        <v>45</v>
      </c>
      <c r="J449" s="18" t="str">
        <f>J180</f>
        <v>--</v>
      </c>
      <c r="K449" s="18">
        <f t="shared" si="101"/>
        <v>14104.2</v>
      </c>
      <c r="L449" s="13"/>
      <c r="M449" s="3"/>
      <c r="N449" s="3"/>
      <c r="O449" s="3"/>
      <c r="P449" s="3"/>
      <c r="Q449" s="3"/>
      <c r="R449" s="3"/>
    </row>
    <row r="450" spans="1:18" ht="11.25" customHeight="1">
      <c r="A450" s="95">
        <v>2011</v>
      </c>
      <c r="B450" s="18">
        <f t="shared" ref="B450:K450" si="102">B185</f>
        <v>2</v>
      </c>
      <c r="C450" s="18">
        <f t="shared" si="102"/>
        <v>23</v>
      </c>
      <c r="D450" s="18">
        <f t="shared" si="102"/>
        <v>187</v>
      </c>
      <c r="E450" s="18">
        <f t="shared" si="102"/>
        <v>1182</v>
      </c>
      <c r="F450" s="18">
        <f t="shared" si="102"/>
        <v>2514</v>
      </c>
      <c r="G450" s="18">
        <f t="shared" si="102"/>
        <v>4687</v>
      </c>
      <c r="H450" s="18">
        <f t="shared" si="102"/>
        <v>1711</v>
      </c>
      <c r="I450" s="18" t="str">
        <f t="shared" si="102"/>
        <v>-</v>
      </c>
      <c r="J450" s="18">
        <f t="shared" si="102"/>
        <v>16</v>
      </c>
      <c r="K450" s="18">
        <f t="shared" si="102"/>
        <v>10322</v>
      </c>
      <c r="L450" s="13"/>
      <c r="M450" s="3"/>
      <c r="N450" s="3"/>
      <c r="O450" s="3"/>
      <c r="P450" s="3"/>
      <c r="Q450" s="3"/>
      <c r="R450" s="3"/>
    </row>
    <row r="451" spans="1:18" ht="11.25" customHeight="1">
      <c r="A451" s="95">
        <v>2012</v>
      </c>
      <c r="B451" s="18">
        <f t="shared" ref="B451:K451" si="103">B186</f>
        <v>0</v>
      </c>
      <c r="C451" s="18">
        <f t="shared" si="103"/>
        <v>52</v>
      </c>
      <c r="D451" s="18">
        <f t="shared" si="103"/>
        <v>730</v>
      </c>
      <c r="E451" s="18">
        <f t="shared" si="103"/>
        <v>2290</v>
      </c>
      <c r="F451" s="18">
        <f t="shared" si="103"/>
        <v>4075</v>
      </c>
      <c r="G451" s="18">
        <f t="shared" si="103"/>
        <v>5568</v>
      </c>
      <c r="H451" s="18">
        <f t="shared" si="103"/>
        <v>3647</v>
      </c>
      <c r="I451" s="18">
        <f t="shared" si="103"/>
        <v>77</v>
      </c>
      <c r="J451" s="18">
        <f t="shared" si="103"/>
        <v>18</v>
      </c>
      <c r="K451" s="18">
        <f t="shared" si="103"/>
        <v>16457</v>
      </c>
      <c r="L451" s="13"/>
      <c r="M451" s="3"/>
      <c r="N451" s="3"/>
      <c r="O451" s="3"/>
      <c r="P451" s="3"/>
      <c r="Q451" s="3"/>
      <c r="R451" s="3"/>
    </row>
    <row r="452" spans="1:18" ht="11.25" customHeight="1">
      <c r="A452" s="95">
        <v>2013</v>
      </c>
      <c r="B452" s="18">
        <f t="shared" ref="B452:K452" si="104">B187</f>
        <v>123</v>
      </c>
      <c r="C452" s="18">
        <f t="shared" si="104"/>
        <v>174</v>
      </c>
      <c r="D452" s="18">
        <f t="shared" si="104"/>
        <v>338</v>
      </c>
      <c r="E452" s="18">
        <f t="shared" si="104"/>
        <v>2898</v>
      </c>
      <c r="F452" s="18">
        <f t="shared" si="104"/>
        <v>3011</v>
      </c>
      <c r="G452" s="18">
        <f t="shared" si="104"/>
        <v>19299</v>
      </c>
      <c r="H452" s="18">
        <f t="shared" si="104"/>
        <v>3901</v>
      </c>
      <c r="I452" s="18">
        <f t="shared" si="104"/>
        <v>84</v>
      </c>
      <c r="J452" s="18" t="str">
        <f t="shared" si="104"/>
        <v>--</v>
      </c>
      <c r="K452" s="18">
        <f t="shared" si="104"/>
        <v>29828</v>
      </c>
      <c r="L452" s="13"/>
      <c r="M452" s="3"/>
      <c r="N452" s="3"/>
      <c r="O452" s="3"/>
      <c r="P452" s="3"/>
      <c r="Q452" s="3"/>
      <c r="R452" s="3"/>
    </row>
    <row r="453" spans="1:18" ht="11.25" customHeight="1">
      <c r="A453" s="95">
        <v>2014</v>
      </c>
      <c r="B453" s="18">
        <f t="shared" ref="B453:K453" si="105">B188</f>
        <v>0</v>
      </c>
      <c r="C453" s="18">
        <f t="shared" si="105"/>
        <v>46</v>
      </c>
      <c r="D453" s="18">
        <f t="shared" si="105"/>
        <v>691</v>
      </c>
      <c r="E453" s="18">
        <f t="shared" si="105"/>
        <v>1906</v>
      </c>
      <c r="F453" s="18">
        <f t="shared" si="105"/>
        <v>8659</v>
      </c>
      <c r="G453" s="18">
        <f t="shared" si="105"/>
        <v>11899</v>
      </c>
      <c r="H453" s="18">
        <f t="shared" si="105"/>
        <v>6518</v>
      </c>
      <c r="I453" s="18">
        <f t="shared" si="105"/>
        <v>53</v>
      </c>
      <c r="J453" s="18" t="str">
        <f t="shared" si="105"/>
        <v>--</v>
      </c>
      <c r="K453" s="18">
        <f t="shared" si="105"/>
        <v>29772</v>
      </c>
      <c r="L453" s="13"/>
      <c r="M453" s="3"/>
      <c r="N453" s="3"/>
      <c r="O453" s="3"/>
      <c r="P453" s="3"/>
      <c r="Q453" s="3"/>
      <c r="R453" s="3"/>
    </row>
    <row r="454" spans="1:18" ht="11.25" customHeight="1">
      <c r="A454" s="95">
        <v>2015</v>
      </c>
      <c r="B454" s="18">
        <f t="shared" ref="B454:K454" si="106">B189</f>
        <v>12</v>
      </c>
      <c r="C454" s="18">
        <f t="shared" si="106"/>
        <v>34</v>
      </c>
      <c r="D454" s="18">
        <f t="shared" si="106"/>
        <v>327</v>
      </c>
      <c r="E454" s="18">
        <f t="shared" si="106"/>
        <v>1149</v>
      </c>
      <c r="F454" s="18">
        <f t="shared" si="106"/>
        <v>5664</v>
      </c>
      <c r="G454" s="18">
        <f t="shared" si="106"/>
        <v>3060</v>
      </c>
      <c r="H454" s="18">
        <f t="shared" si="106"/>
        <v>4443</v>
      </c>
      <c r="I454" s="18">
        <f t="shared" si="106"/>
        <v>82</v>
      </c>
      <c r="J454" s="18" t="str">
        <f t="shared" si="106"/>
        <v>--</v>
      </c>
      <c r="K454" s="18">
        <f t="shared" si="106"/>
        <v>14771</v>
      </c>
      <c r="L454" s="13"/>
      <c r="M454" s="3"/>
      <c r="N454" s="3"/>
      <c r="O454" s="3"/>
      <c r="P454" s="3"/>
      <c r="Q454" s="3"/>
      <c r="R454" s="3"/>
    </row>
    <row r="455" spans="1:18" ht="11.25" customHeight="1">
      <c r="A455" s="95">
        <v>2016</v>
      </c>
      <c r="B455" s="18">
        <f t="shared" ref="B455:K455" si="107">B190</f>
        <v>18</v>
      </c>
      <c r="C455" s="18">
        <f t="shared" si="107"/>
        <v>5</v>
      </c>
      <c r="D455" s="18">
        <f t="shared" si="107"/>
        <v>158</v>
      </c>
      <c r="E455" s="18">
        <f t="shared" si="107"/>
        <v>574</v>
      </c>
      <c r="F455" s="18">
        <f t="shared" si="107"/>
        <v>2277</v>
      </c>
      <c r="G455" s="18">
        <f t="shared" si="107"/>
        <v>2943</v>
      </c>
      <c r="H455" s="18">
        <f t="shared" si="107"/>
        <v>5188</v>
      </c>
      <c r="I455" s="18">
        <f t="shared" si="107"/>
        <v>7</v>
      </c>
      <c r="J455" s="18" t="str">
        <f t="shared" si="107"/>
        <v>--</v>
      </c>
      <c r="K455" s="18">
        <f t="shared" si="107"/>
        <v>11170</v>
      </c>
      <c r="L455" s="13"/>
      <c r="M455" s="3"/>
      <c r="N455" s="3"/>
      <c r="O455" s="3"/>
      <c r="P455" s="3"/>
      <c r="Q455" s="3"/>
      <c r="R455" s="3"/>
    </row>
    <row r="456" spans="1:18">
      <c r="A456" s="95">
        <v>2017</v>
      </c>
      <c r="B456" s="18">
        <f t="shared" ref="B456:K456" si="108">B191</f>
        <v>17</v>
      </c>
      <c r="C456" s="18">
        <f t="shared" si="108"/>
        <v>48</v>
      </c>
      <c r="D456" s="18">
        <f t="shared" si="108"/>
        <v>153</v>
      </c>
      <c r="E456" s="18">
        <f t="shared" si="108"/>
        <v>925</v>
      </c>
      <c r="F456" s="18">
        <f t="shared" si="108"/>
        <v>3368</v>
      </c>
      <c r="G456" s="18">
        <f t="shared" si="108"/>
        <v>4593</v>
      </c>
      <c r="H456" s="18">
        <f t="shared" si="108"/>
        <v>3640</v>
      </c>
      <c r="I456" s="18">
        <f t="shared" si="108"/>
        <v>72</v>
      </c>
      <c r="J456" s="18" t="str">
        <f t="shared" si="108"/>
        <v>--</v>
      </c>
      <c r="K456" s="18">
        <f t="shared" si="108"/>
        <v>12816</v>
      </c>
      <c r="L456" s="13"/>
      <c r="M456" s="3"/>
      <c r="N456" s="3"/>
      <c r="O456" s="3"/>
      <c r="P456" s="3"/>
      <c r="Q456" s="3"/>
      <c r="R456" s="3"/>
    </row>
    <row r="457" spans="1:18">
      <c r="A457" s="95">
        <v>2018</v>
      </c>
      <c r="B457" s="18">
        <f t="shared" ref="B457:K457" si="109">B192</f>
        <v>15</v>
      </c>
      <c r="C457" s="18">
        <f t="shared" si="109"/>
        <v>19</v>
      </c>
      <c r="D457" s="18">
        <f t="shared" si="109"/>
        <v>178</v>
      </c>
      <c r="E457" s="18">
        <f t="shared" si="109"/>
        <v>252</v>
      </c>
      <c r="F457" s="18">
        <f t="shared" si="109"/>
        <v>2410</v>
      </c>
      <c r="G457" s="18">
        <f t="shared" si="109"/>
        <v>6012</v>
      </c>
      <c r="H457" s="18">
        <f t="shared" si="109"/>
        <v>5424</v>
      </c>
      <c r="I457" s="18">
        <f t="shared" si="109"/>
        <v>0</v>
      </c>
      <c r="J457" s="18" t="str">
        <f t="shared" si="109"/>
        <v>--</v>
      </c>
      <c r="K457" s="18">
        <f t="shared" si="109"/>
        <v>14310</v>
      </c>
      <c r="L457" s="13"/>
      <c r="M457" s="3"/>
      <c r="N457" s="3"/>
      <c r="O457" s="3"/>
      <c r="P457" s="3"/>
      <c r="Q457" s="3"/>
      <c r="R457" s="3"/>
    </row>
    <row r="458" spans="1:18">
      <c r="A458" s="95">
        <v>2019</v>
      </c>
      <c r="B458" s="18">
        <f t="shared" ref="B458:K458" si="110">B193</f>
        <v>6</v>
      </c>
      <c r="C458" s="18">
        <f t="shared" si="110"/>
        <v>8</v>
      </c>
      <c r="D458" s="18">
        <f t="shared" si="110"/>
        <v>52</v>
      </c>
      <c r="E458" s="18">
        <f t="shared" si="110"/>
        <v>1348</v>
      </c>
      <c r="F458" s="18">
        <f t="shared" si="110"/>
        <v>7337</v>
      </c>
      <c r="G458" s="18">
        <f t="shared" si="110"/>
        <v>6775</v>
      </c>
      <c r="H458" s="18">
        <f t="shared" si="110"/>
        <v>3428</v>
      </c>
      <c r="I458" s="18">
        <f t="shared" si="110"/>
        <v>15</v>
      </c>
      <c r="J458" s="18" t="str">
        <f t="shared" si="110"/>
        <v>-</v>
      </c>
      <c r="K458" s="18">
        <f t="shared" si="110"/>
        <v>18969</v>
      </c>
      <c r="L458" s="13"/>
      <c r="M458" s="3"/>
      <c r="N458" s="3"/>
      <c r="O458" s="3"/>
      <c r="P458" s="3"/>
      <c r="Q458" s="3"/>
      <c r="R458" s="3"/>
    </row>
    <row r="459" spans="1:18">
      <c r="A459" s="95">
        <v>2020</v>
      </c>
      <c r="B459" s="18">
        <f t="shared" ref="B459:K460" si="111">B194</f>
        <v>3</v>
      </c>
      <c r="C459" s="18">
        <f t="shared" si="111"/>
        <v>65</v>
      </c>
      <c r="D459" s="18">
        <f t="shared" si="111"/>
        <v>88</v>
      </c>
      <c r="E459" s="18">
        <f t="shared" si="111"/>
        <v>164</v>
      </c>
      <c r="F459" s="18">
        <f t="shared" si="111"/>
        <v>7339</v>
      </c>
      <c r="G459" s="18">
        <f t="shared" si="111"/>
        <v>3959</v>
      </c>
      <c r="H459" s="18">
        <f t="shared" si="111"/>
        <v>3735</v>
      </c>
      <c r="I459" s="18">
        <f t="shared" si="111"/>
        <v>134</v>
      </c>
      <c r="J459" s="18" t="str">
        <f t="shared" si="111"/>
        <v>-</v>
      </c>
      <c r="K459" s="18">
        <f t="shared" si="111"/>
        <v>15487</v>
      </c>
      <c r="L459" s="13"/>
      <c r="M459" s="3"/>
      <c r="N459" s="3"/>
      <c r="O459" s="3"/>
      <c r="P459" s="3"/>
      <c r="Q459" s="3"/>
      <c r="R459" s="3"/>
    </row>
    <row r="460" spans="1:18" ht="13">
      <c r="A460" s="95" t="s">
        <v>317</v>
      </c>
      <c r="B460" s="18">
        <f t="shared" si="111"/>
        <v>0</v>
      </c>
      <c r="C460" s="18">
        <f t="shared" si="111"/>
        <v>270</v>
      </c>
      <c r="D460" s="18">
        <f t="shared" si="111"/>
        <v>186</v>
      </c>
      <c r="E460" s="18">
        <f t="shared" si="111"/>
        <v>1337</v>
      </c>
      <c r="F460" s="18">
        <f t="shared" si="111"/>
        <v>7494</v>
      </c>
      <c r="G460" s="18">
        <f t="shared" si="111"/>
        <v>6181</v>
      </c>
      <c r="H460" s="18">
        <f t="shared" si="111"/>
        <v>3941</v>
      </c>
      <c r="I460" s="18">
        <f t="shared" si="111"/>
        <v>9</v>
      </c>
      <c r="J460" s="18" t="str">
        <f t="shared" si="111"/>
        <v>-</v>
      </c>
      <c r="K460" s="18">
        <f t="shared" si="111"/>
        <v>19418</v>
      </c>
      <c r="L460" s="13"/>
      <c r="M460" s="3"/>
      <c r="N460" s="3"/>
      <c r="O460" s="3"/>
      <c r="P460" s="3"/>
      <c r="Q460" s="3"/>
      <c r="R460" s="3"/>
    </row>
    <row r="461" spans="1:18" ht="11.25" customHeight="1">
      <c r="B461" s="18"/>
      <c r="C461" s="18"/>
      <c r="D461" s="18"/>
      <c r="E461" s="18"/>
      <c r="F461" s="18"/>
      <c r="G461" s="18"/>
      <c r="H461" s="18"/>
      <c r="I461" s="18"/>
      <c r="J461" s="18"/>
      <c r="K461" s="18"/>
      <c r="L461" s="13"/>
      <c r="M461" s="3"/>
      <c r="N461" s="3"/>
      <c r="O461" s="3"/>
      <c r="P461" s="3"/>
      <c r="Q461" s="3"/>
      <c r="R461" s="3"/>
    </row>
    <row r="462" spans="1:18" ht="11.25" customHeight="1">
      <c r="A462" s="317" t="s">
        <v>279</v>
      </c>
      <c r="B462" s="317"/>
      <c r="C462" s="317"/>
      <c r="D462" s="317"/>
      <c r="E462" s="317"/>
      <c r="F462" s="317"/>
      <c r="G462" s="317"/>
      <c r="H462" s="317"/>
      <c r="I462" s="317"/>
      <c r="J462" s="317"/>
      <c r="K462" s="317"/>
      <c r="L462" s="6"/>
      <c r="M462" s="6"/>
      <c r="N462" s="6"/>
      <c r="O462" s="6"/>
      <c r="P462" s="6"/>
      <c r="Q462" s="6"/>
      <c r="R462" s="6"/>
    </row>
    <row r="463" spans="1:18" ht="11.25" customHeight="1">
      <c r="A463" s="100" t="s">
        <v>43</v>
      </c>
      <c r="B463" s="249" t="s">
        <v>37</v>
      </c>
      <c r="C463" s="249" t="s">
        <v>28</v>
      </c>
      <c r="D463" s="249" t="s">
        <v>29</v>
      </c>
      <c r="E463" s="249" t="s">
        <v>30</v>
      </c>
      <c r="F463" s="249" t="s">
        <v>31</v>
      </c>
      <c r="G463" s="249" t="s">
        <v>32</v>
      </c>
      <c r="H463" s="249" t="s">
        <v>33</v>
      </c>
      <c r="I463" s="249" t="s">
        <v>34</v>
      </c>
      <c r="J463" s="249" t="s">
        <v>38</v>
      </c>
      <c r="K463" s="249" t="s">
        <v>22</v>
      </c>
      <c r="L463" s="6"/>
      <c r="M463" s="6"/>
      <c r="N463" s="6"/>
      <c r="O463" s="6"/>
      <c r="P463" s="6"/>
      <c r="Q463" s="6"/>
      <c r="R463" s="6"/>
    </row>
    <row r="464" spans="1:18" ht="11.25" customHeight="1">
      <c r="A464" s="247" t="str">
        <f>A197</f>
        <v>Brookings</v>
      </c>
      <c r="B464" s="18"/>
      <c r="C464" s="18"/>
      <c r="D464" s="18"/>
      <c r="E464" s="18"/>
      <c r="F464" s="18"/>
      <c r="G464" s="18"/>
      <c r="H464" s="18"/>
      <c r="I464" s="18"/>
      <c r="J464" s="18"/>
      <c r="K464" s="18"/>
      <c r="L464" s="13"/>
      <c r="M464" s="3"/>
      <c r="N464" s="3"/>
      <c r="O464" s="3"/>
      <c r="P464" s="3"/>
      <c r="Q464" s="3"/>
      <c r="R464" s="3"/>
    </row>
    <row r="465" spans="1:18" ht="11.25" customHeight="1">
      <c r="A465" s="99" t="s">
        <v>24</v>
      </c>
      <c r="B465" s="18" t="s">
        <v>23</v>
      </c>
      <c r="C465" s="18" t="s">
        <v>23</v>
      </c>
      <c r="D465" s="18">
        <f t="shared" ref="D465:K465" si="112">AVERAGE(D203:D207)</f>
        <v>2109</v>
      </c>
      <c r="E465" s="18">
        <f t="shared" si="112"/>
        <v>10477.666666666666</v>
      </c>
      <c r="F465" s="18">
        <f t="shared" si="112"/>
        <v>25949.200000000001</v>
      </c>
      <c r="G465" s="18">
        <f t="shared" si="112"/>
        <v>15386.8</v>
      </c>
      <c r="H465" s="18">
        <f t="shared" si="112"/>
        <v>3357</v>
      </c>
      <c r="I465" s="18">
        <f t="shared" si="112"/>
        <v>3402</v>
      </c>
      <c r="J465" s="18">
        <f t="shared" si="112"/>
        <v>229.66666666666666</v>
      </c>
      <c r="K465" s="18">
        <f t="shared" si="112"/>
        <v>56206.6</v>
      </c>
      <c r="L465" s="13"/>
      <c r="M465" s="3"/>
      <c r="N465" s="3"/>
      <c r="O465" s="3"/>
      <c r="P465" s="3"/>
      <c r="Q465" s="3"/>
      <c r="R465" s="3"/>
    </row>
    <row r="466" spans="1:18" ht="11.25" customHeight="1">
      <c r="A466" s="99" t="s">
        <v>78</v>
      </c>
      <c r="B466" s="18" t="s">
        <v>23</v>
      </c>
      <c r="C466" s="18" t="s">
        <v>23</v>
      </c>
      <c r="D466" s="18">
        <f t="shared" ref="D466:K466" si="113">AVERAGE(D208:D212)</f>
        <v>2225.8000000000002</v>
      </c>
      <c r="E466" s="18">
        <f t="shared" si="113"/>
        <v>12965.4</v>
      </c>
      <c r="F466" s="18">
        <f t="shared" si="113"/>
        <v>24727.4</v>
      </c>
      <c r="G466" s="18">
        <f t="shared" si="113"/>
        <v>13462.6</v>
      </c>
      <c r="H466" s="18">
        <f t="shared" si="113"/>
        <v>3098.4</v>
      </c>
      <c r="I466" s="18">
        <f t="shared" si="113"/>
        <v>5030</v>
      </c>
      <c r="J466" s="18" t="s">
        <v>106</v>
      </c>
      <c r="K466" s="18">
        <f t="shared" si="113"/>
        <v>58491.6</v>
      </c>
      <c r="L466" s="13"/>
      <c r="M466" s="3"/>
      <c r="N466" s="3"/>
      <c r="O466" s="3"/>
      <c r="P466" s="3"/>
      <c r="Q466" s="3"/>
      <c r="R466" s="3"/>
    </row>
    <row r="467" spans="1:18" ht="11.25" customHeight="1">
      <c r="A467" s="99" t="s">
        <v>10</v>
      </c>
      <c r="B467" s="18" t="s">
        <v>23</v>
      </c>
      <c r="C467" s="18" t="s">
        <v>23</v>
      </c>
      <c r="D467" s="18">
        <f t="shared" ref="D467:I467" si="114">AVERAGE(D213:D217)</f>
        <v>2865.75</v>
      </c>
      <c r="E467" s="18">
        <f t="shared" si="114"/>
        <v>5957</v>
      </c>
      <c r="F467" s="18">
        <f t="shared" si="114"/>
        <v>11093.333333333334</v>
      </c>
      <c r="G467" s="18">
        <f t="shared" si="114"/>
        <v>3333</v>
      </c>
      <c r="H467" s="18">
        <f t="shared" si="114"/>
        <v>4014.2</v>
      </c>
      <c r="I467" s="18">
        <f t="shared" si="114"/>
        <v>3831.3333333333335</v>
      </c>
      <c r="J467" s="18" t="s">
        <v>23</v>
      </c>
      <c r="K467" s="18">
        <f>AVERAGE(K213:K217)</f>
        <v>22693.599999999999</v>
      </c>
      <c r="L467" s="13"/>
      <c r="M467" s="3"/>
      <c r="N467" s="3"/>
      <c r="O467" s="3"/>
      <c r="P467" s="3"/>
      <c r="Q467" s="3"/>
      <c r="R467" s="3"/>
    </row>
    <row r="468" spans="1:18" ht="11.25" customHeight="1">
      <c r="A468" s="99" t="s">
        <v>144</v>
      </c>
      <c r="B468" s="18" t="s">
        <v>23</v>
      </c>
      <c r="C468" s="18" t="s">
        <v>23</v>
      </c>
      <c r="D468" s="18">
        <f t="shared" ref="D468:I468" si="115">AVERAGE(D218:D222)</f>
        <v>1177</v>
      </c>
      <c r="E468" s="18">
        <f t="shared" si="115"/>
        <v>3021.8</v>
      </c>
      <c r="F468" s="18">
        <f t="shared" si="115"/>
        <v>2353</v>
      </c>
      <c r="G468" s="18">
        <f t="shared" si="115"/>
        <v>6833.2</v>
      </c>
      <c r="H468" s="18">
        <f t="shared" si="115"/>
        <v>2212.1999999999998</v>
      </c>
      <c r="I468" s="18">
        <f t="shared" si="115"/>
        <v>2765.8</v>
      </c>
      <c r="J468" s="18" t="s">
        <v>23</v>
      </c>
      <c r="K468" s="18">
        <f>AVERAGE(K218:K222)</f>
        <v>18363</v>
      </c>
      <c r="L468" s="13"/>
      <c r="M468" s="3"/>
      <c r="N468" s="3"/>
      <c r="O468" s="3"/>
      <c r="P468" s="3"/>
      <c r="Q468" s="3"/>
      <c r="R468" s="3"/>
    </row>
    <row r="469" spans="1:18" ht="11.25" customHeight="1">
      <c r="A469" s="95" t="s">
        <v>166</v>
      </c>
      <c r="B469" s="18" t="str">
        <f>B223</f>
        <v>-</v>
      </c>
      <c r="C469" s="18" t="str">
        <f>C223</f>
        <v>-</v>
      </c>
      <c r="D469" s="18">
        <f>AVERAGE(D223:D227)</f>
        <v>1663</v>
      </c>
      <c r="E469" s="18">
        <f t="shared" ref="E469:K469" si="116">AVERAGE(E223:E227)</f>
        <v>3321.8</v>
      </c>
      <c r="F469" s="18">
        <f t="shared" si="116"/>
        <v>2588</v>
      </c>
      <c r="G469" s="18">
        <f t="shared" si="116"/>
        <v>5226</v>
      </c>
      <c r="H469" s="18">
        <f t="shared" si="116"/>
        <v>2509.4</v>
      </c>
      <c r="I469" s="18">
        <f t="shared" si="116"/>
        <v>2983.2</v>
      </c>
      <c r="J469" s="18" t="str">
        <f>J223</f>
        <v>-</v>
      </c>
      <c r="K469" s="18">
        <f t="shared" si="116"/>
        <v>18291.400000000001</v>
      </c>
      <c r="L469" s="13"/>
      <c r="M469" s="3"/>
      <c r="N469" s="3"/>
      <c r="O469" s="3"/>
      <c r="P469" s="3"/>
      <c r="Q469" s="3"/>
      <c r="R469" s="3"/>
    </row>
    <row r="470" spans="1:18" ht="11.25" customHeight="1">
      <c r="A470" s="95" t="s">
        <v>315</v>
      </c>
      <c r="B470" s="18" t="str">
        <f>B228</f>
        <v>-</v>
      </c>
      <c r="C470" s="18" t="str">
        <f>C228</f>
        <v>-</v>
      </c>
      <c r="D470" s="18">
        <f>AVERAGE(D228:D232)</f>
        <v>357.33333333333331</v>
      </c>
      <c r="E470" s="18">
        <f t="shared" ref="E470:K470" si="117">AVERAGE(E228:E232)</f>
        <v>896.8</v>
      </c>
      <c r="F470" s="18">
        <f t="shared" si="117"/>
        <v>1459.4</v>
      </c>
      <c r="G470" s="18">
        <f t="shared" si="117"/>
        <v>1703.75</v>
      </c>
      <c r="H470" s="18">
        <f t="shared" si="117"/>
        <v>2267.75</v>
      </c>
      <c r="I470" s="18">
        <f t="shared" si="117"/>
        <v>2419.75</v>
      </c>
      <c r="J470" s="18" t="str">
        <f>J228</f>
        <v>-</v>
      </c>
      <c r="K470" s="18">
        <f t="shared" si="117"/>
        <v>7683.6</v>
      </c>
      <c r="L470" s="13"/>
      <c r="M470" s="3"/>
      <c r="N470" s="3"/>
      <c r="O470" s="3"/>
      <c r="P470" s="3"/>
      <c r="Q470" s="3"/>
      <c r="R470" s="3"/>
    </row>
    <row r="471" spans="1:18" ht="11.25" customHeight="1">
      <c r="A471" s="95">
        <v>2011</v>
      </c>
      <c r="B471" s="18" t="str">
        <f t="shared" ref="B471:K471" si="118">B233</f>
        <v>-</v>
      </c>
      <c r="C471" s="18" t="str">
        <f t="shared" si="118"/>
        <v>-</v>
      </c>
      <c r="D471" s="18">
        <f t="shared" si="118"/>
        <v>393</v>
      </c>
      <c r="E471" s="18">
        <f t="shared" si="118"/>
        <v>296</v>
      </c>
      <c r="F471" s="18">
        <f t="shared" si="118"/>
        <v>189</v>
      </c>
      <c r="G471" s="18">
        <f t="shared" si="118"/>
        <v>1772</v>
      </c>
      <c r="H471" s="18">
        <f t="shared" si="118"/>
        <v>1853</v>
      </c>
      <c r="I471" s="18">
        <f t="shared" si="118"/>
        <v>1757</v>
      </c>
      <c r="J471" s="18" t="str">
        <f t="shared" si="118"/>
        <v>-</v>
      </c>
      <c r="K471" s="18">
        <f t="shared" si="118"/>
        <v>6260</v>
      </c>
      <c r="L471" s="13"/>
      <c r="M471" s="3"/>
      <c r="N471" s="3"/>
      <c r="O471" s="3"/>
      <c r="P471" s="3"/>
      <c r="Q471" s="3"/>
      <c r="R471" s="3"/>
    </row>
    <row r="472" spans="1:18" ht="11.25" customHeight="1">
      <c r="A472" s="95">
        <v>2012</v>
      </c>
      <c r="B472" s="18" t="str">
        <f t="shared" ref="B472:K472" si="119">B234</f>
        <v>-</v>
      </c>
      <c r="C472" s="18" t="str">
        <f t="shared" si="119"/>
        <v>-</v>
      </c>
      <c r="D472" s="18">
        <f t="shared" si="119"/>
        <v>484</v>
      </c>
      <c r="E472" s="18">
        <f t="shared" si="119"/>
        <v>1982</v>
      </c>
      <c r="F472" s="18">
        <f t="shared" si="119"/>
        <v>4678</v>
      </c>
      <c r="G472" s="18">
        <f t="shared" si="119"/>
        <v>6810</v>
      </c>
      <c r="H472" s="18">
        <f t="shared" si="119"/>
        <v>1201</v>
      </c>
      <c r="I472" s="18">
        <f t="shared" si="119"/>
        <v>3666</v>
      </c>
      <c r="J472" s="18" t="str">
        <f t="shared" si="119"/>
        <v>-</v>
      </c>
      <c r="K472" s="18">
        <f t="shared" si="119"/>
        <v>18821</v>
      </c>
      <c r="L472" s="13"/>
      <c r="M472" s="3"/>
      <c r="N472" s="3"/>
      <c r="O472" s="3"/>
      <c r="P472" s="3"/>
      <c r="Q472" s="3"/>
      <c r="R472" s="3"/>
    </row>
    <row r="473" spans="1:18" ht="11.25" customHeight="1">
      <c r="A473" s="95">
        <v>2013</v>
      </c>
      <c r="B473" s="18" t="str">
        <f t="shared" ref="B473:K473" si="120">B235</f>
        <v>-</v>
      </c>
      <c r="C473" s="18" t="str">
        <f t="shared" si="120"/>
        <v>-</v>
      </c>
      <c r="D473" s="18">
        <f t="shared" si="120"/>
        <v>289</v>
      </c>
      <c r="E473" s="18">
        <f t="shared" si="120"/>
        <v>2259</v>
      </c>
      <c r="F473" s="18">
        <f t="shared" si="120"/>
        <v>6658</v>
      </c>
      <c r="G473" s="18">
        <f t="shared" si="120"/>
        <v>7147</v>
      </c>
      <c r="H473" s="18">
        <f t="shared" si="120"/>
        <v>208</v>
      </c>
      <c r="I473" s="18">
        <f t="shared" si="120"/>
        <v>3547</v>
      </c>
      <c r="J473" s="18" t="str">
        <f t="shared" si="120"/>
        <v>-</v>
      </c>
      <c r="K473" s="18">
        <f t="shared" si="120"/>
        <v>20108</v>
      </c>
      <c r="L473" s="13"/>
      <c r="M473" s="3"/>
      <c r="N473" s="3"/>
      <c r="O473" s="3"/>
      <c r="P473" s="3"/>
      <c r="Q473" s="3"/>
      <c r="R473" s="3"/>
    </row>
    <row r="474" spans="1:18" ht="11.25" customHeight="1">
      <c r="A474" s="95">
        <v>2014</v>
      </c>
      <c r="B474" s="18" t="str">
        <f t="shared" ref="B474:K474" si="121">B236</f>
        <v>-</v>
      </c>
      <c r="C474" s="18" t="str">
        <f t="shared" si="121"/>
        <v>-</v>
      </c>
      <c r="D474" s="18">
        <f t="shared" si="121"/>
        <v>1437</v>
      </c>
      <c r="E474" s="18">
        <f t="shared" si="121"/>
        <v>1466</v>
      </c>
      <c r="F474" s="18">
        <f t="shared" si="121"/>
        <v>5557</v>
      </c>
      <c r="G474" s="18">
        <f t="shared" si="121"/>
        <v>3723</v>
      </c>
      <c r="H474" s="18">
        <f t="shared" si="121"/>
        <v>246</v>
      </c>
      <c r="I474" s="18">
        <f t="shared" si="121"/>
        <v>4639</v>
      </c>
      <c r="J474" s="18" t="str">
        <f t="shared" si="121"/>
        <v>-</v>
      </c>
      <c r="K474" s="18">
        <f t="shared" si="121"/>
        <v>17068</v>
      </c>
      <c r="L474" s="13"/>
      <c r="M474" s="3"/>
      <c r="N474" s="3"/>
      <c r="O474" s="3"/>
      <c r="P474" s="3"/>
      <c r="Q474" s="3"/>
      <c r="R474" s="3"/>
    </row>
    <row r="475" spans="1:18" ht="11.25" customHeight="1">
      <c r="A475" s="95">
        <v>2015</v>
      </c>
      <c r="B475" s="18" t="str">
        <f t="shared" ref="B475:K475" si="122">B237</f>
        <v>-</v>
      </c>
      <c r="C475" s="18" t="str">
        <f t="shared" si="122"/>
        <v>-</v>
      </c>
      <c r="D475" s="18">
        <f t="shared" si="122"/>
        <v>305</v>
      </c>
      <c r="E475" s="18">
        <f t="shared" si="122"/>
        <v>424</v>
      </c>
      <c r="F475" s="18">
        <f t="shared" si="122"/>
        <v>1492</v>
      </c>
      <c r="G475" s="18">
        <f t="shared" si="122"/>
        <v>574</v>
      </c>
      <c r="H475" s="18">
        <f t="shared" si="122"/>
        <v>1120</v>
      </c>
      <c r="I475" s="18">
        <f t="shared" si="122"/>
        <v>5040</v>
      </c>
      <c r="J475" s="18" t="str">
        <f t="shared" si="122"/>
        <v>-</v>
      </c>
      <c r="K475" s="18">
        <f t="shared" si="122"/>
        <v>8955</v>
      </c>
      <c r="L475" s="13"/>
      <c r="M475" s="3"/>
      <c r="N475" s="3"/>
      <c r="O475" s="3"/>
      <c r="P475" s="3"/>
      <c r="Q475" s="3"/>
      <c r="R475" s="3"/>
    </row>
    <row r="476" spans="1:18" ht="11.25" customHeight="1">
      <c r="A476" s="95">
        <v>2016</v>
      </c>
      <c r="B476" s="18" t="str">
        <f t="shared" ref="B476:K476" si="123">B238</f>
        <v>-</v>
      </c>
      <c r="C476" s="18" t="str">
        <f t="shared" si="123"/>
        <v>-</v>
      </c>
      <c r="D476" s="18">
        <f t="shared" si="123"/>
        <v>44</v>
      </c>
      <c r="E476" s="18">
        <f t="shared" si="123"/>
        <v>467</v>
      </c>
      <c r="F476" s="18">
        <f t="shared" si="123"/>
        <v>717</v>
      </c>
      <c r="G476" s="18">
        <f t="shared" si="123"/>
        <v>190</v>
      </c>
      <c r="H476" s="18">
        <f t="shared" si="123"/>
        <v>898</v>
      </c>
      <c r="I476" s="18">
        <f t="shared" si="123"/>
        <v>1872</v>
      </c>
      <c r="J476" s="18" t="str">
        <f t="shared" si="123"/>
        <v>-</v>
      </c>
      <c r="K476" s="18">
        <f t="shared" si="123"/>
        <v>4188</v>
      </c>
      <c r="L476" s="13"/>
      <c r="M476" s="3"/>
      <c r="N476" s="3"/>
      <c r="O476" s="3"/>
      <c r="P476" s="3"/>
      <c r="Q476" s="3"/>
      <c r="R476" s="3"/>
    </row>
    <row r="477" spans="1:18" ht="11.25" customHeight="1">
      <c r="A477" s="95">
        <v>2017</v>
      </c>
      <c r="B477" s="18" t="str">
        <f t="shared" ref="B477:K477" si="124">B239</f>
        <v>-</v>
      </c>
      <c r="C477" s="18" t="str">
        <f t="shared" si="124"/>
        <v>-</v>
      </c>
      <c r="D477" s="18" t="str">
        <f t="shared" si="124"/>
        <v>-</v>
      </c>
      <c r="E477" s="18" t="str">
        <f t="shared" si="124"/>
        <v>-</v>
      </c>
      <c r="F477" s="18" t="str">
        <f t="shared" si="124"/>
        <v>-</v>
      </c>
      <c r="G477" s="18" t="str">
        <f t="shared" si="124"/>
        <v>-</v>
      </c>
      <c r="H477" s="18" t="str">
        <f t="shared" si="124"/>
        <v>-</v>
      </c>
      <c r="I477" s="18">
        <f t="shared" si="124"/>
        <v>2012</v>
      </c>
      <c r="J477" s="18" t="str">
        <f t="shared" si="124"/>
        <v>-</v>
      </c>
      <c r="K477" s="18">
        <f t="shared" si="124"/>
        <v>2012</v>
      </c>
      <c r="L477" s="13"/>
      <c r="M477" s="3"/>
      <c r="N477" s="3"/>
      <c r="O477" s="3"/>
      <c r="P477" s="3"/>
      <c r="Q477" s="3"/>
      <c r="R477" s="3"/>
    </row>
    <row r="478" spans="1:18" ht="11.25" customHeight="1">
      <c r="A478" s="95">
        <v>2018</v>
      </c>
      <c r="B478" s="18" t="str">
        <f t="shared" ref="B478:K478" si="125">B240</f>
        <v>-</v>
      </c>
      <c r="C478" s="18" t="str">
        <f t="shared" si="125"/>
        <v>-</v>
      </c>
      <c r="D478" s="18">
        <f t="shared" si="125"/>
        <v>508</v>
      </c>
      <c r="E478" s="18">
        <f t="shared" si="125"/>
        <v>1058</v>
      </c>
      <c r="F478" s="18">
        <f t="shared" si="125"/>
        <v>1398</v>
      </c>
      <c r="G478" s="18">
        <f t="shared" si="125"/>
        <v>1934</v>
      </c>
      <c r="H478" s="18" t="str">
        <f t="shared" si="125"/>
        <v>-</v>
      </c>
      <c r="I478" s="18">
        <f t="shared" si="125"/>
        <v>2102</v>
      </c>
      <c r="J478" s="18" t="str">
        <f t="shared" si="125"/>
        <v>-</v>
      </c>
      <c r="K478" s="18">
        <f t="shared" si="125"/>
        <v>7000</v>
      </c>
      <c r="L478" s="13"/>
      <c r="M478" s="3"/>
      <c r="N478" s="3"/>
      <c r="O478" s="3"/>
      <c r="P478" s="3"/>
      <c r="Q478" s="3"/>
      <c r="R478" s="3"/>
    </row>
    <row r="479" spans="1:18" ht="11.25" customHeight="1">
      <c r="A479" s="95">
        <v>2019</v>
      </c>
      <c r="B479" s="18" t="str">
        <f t="shared" ref="B479:K479" si="126">B241</f>
        <v>-</v>
      </c>
      <c r="C479" s="18" t="str">
        <f t="shared" si="126"/>
        <v>-</v>
      </c>
      <c r="D479" s="18">
        <f t="shared" si="126"/>
        <v>132</v>
      </c>
      <c r="E479" s="18">
        <f t="shared" si="126"/>
        <v>769</v>
      </c>
      <c r="F479" s="18">
        <f t="shared" si="126"/>
        <v>1797</v>
      </c>
      <c r="G479" s="18">
        <f t="shared" si="126"/>
        <v>1635</v>
      </c>
      <c r="H479" s="18">
        <f t="shared" si="126"/>
        <v>24</v>
      </c>
      <c r="I479" s="18" t="str">
        <f t="shared" si="126"/>
        <v>-</v>
      </c>
      <c r="J479" s="18" t="str">
        <f t="shared" si="126"/>
        <v>-</v>
      </c>
      <c r="K479" s="18">
        <f t="shared" si="126"/>
        <v>4357</v>
      </c>
      <c r="L479" s="13"/>
      <c r="M479" s="3"/>
      <c r="N479" s="3"/>
      <c r="O479" s="3"/>
      <c r="P479" s="3"/>
      <c r="Q479" s="3"/>
      <c r="R479" s="3"/>
    </row>
    <row r="480" spans="1:18" ht="11.25" customHeight="1">
      <c r="A480" s="95">
        <v>2020</v>
      </c>
      <c r="B480" s="18" t="str">
        <f t="shared" ref="B480:K481" si="127">B242</f>
        <v>-</v>
      </c>
      <c r="C480" s="18" t="str">
        <f t="shared" si="127"/>
        <v>-</v>
      </c>
      <c r="D480" s="18" t="str">
        <f t="shared" si="127"/>
        <v>-</v>
      </c>
      <c r="E480" s="18">
        <f t="shared" si="127"/>
        <v>1624</v>
      </c>
      <c r="F480" s="18">
        <f t="shared" si="127"/>
        <v>4046</v>
      </c>
      <c r="G480" s="18">
        <f t="shared" si="127"/>
        <v>587</v>
      </c>
      <c r="H480" s="18" t="str">
        <f t="shared" si="127"/>
        <v>-</v>
      </c>
      <c r="I480" s="18" t="str">
        <f t="shared" si="127"/>
        <v>-</v>
      </c>
      <c r="J480" s="18" t="str">
        <f t="shared" si="127"/>
        <v>-</v>
      </c>
      <c r="K480" s="18">
        <f t="shared" si="127"/>
        <v>6257</v>
      </c>
      <c r="L480" s="13"/>
      <c r="M480" s="3"/>
      <c r="N480" s="3"/>
      <c r="O480" s="3"/>
      <c r="P480" s="3"/>
      <c r="Q480" s="3"/>
      <c r="R480" s="3"/>
    </row>
    <row r="481" spans="1:18" ht="11.25" customHeight="1">
      <c r="A481" s="95" t="s">
        <v>317</v>
      </c>
      <c r="B481" s="18" t="str">
        <f t="shared" si="127"/>
        <v>-</v>
      </c>
      <c r="C481" s="18" t="str">
        <f t="shared" si="127"/>
        <v>-</v>
      </c>
      <c r="D481" s="18" t="str">
        <f t="shared" si="127"/>
        <v>-</v>
      </c>
      <c r="E481" s="18">
        <f t="shared" si="127"/>
        <v>1965</v>
      </c>
      <c r="F481" s="18">
        <f t="shared" si="127"/>
        <v>2734</v>
      </c>
      <c r="G481" s="18">
        <f t="shared" si="127"/>
        <v>1154</v>
      </c>
      <c r="H481" s="18" t="str">
        <f t="shared" si="127"/>
        <v>-</v>
      </c>
      <c r="I481" s="18" t="str">
        <f t="shared" si="127"/>
        <v>-</v>
      </c>
      <c r="J481" s="18" t="str">
        <f t="shared" si="127"/>
        <v>-</v>
      </c>
      <c r="K481" s="18">
        <f t="shared" si="127"/>
        <v>5853</v>
      </c>
      <c r="L481" s="13"/>
      <c r="M481" s="3"/>
      <c r="N481" s="3"/>
      <c r="O481" s="3"/>
      <c r="P481" s="3"/>
      <c r="Q481" s="3"/>
      <c r="R481" s="3"/>
    </row>
    <row r="482" spans="1:18" ht="11.25" customHeight="1">
      <c r="A482" s="99"/>
      <c r="B482" s="18"/>
      <c r="C482" s="18"/>
      <c r="D482" s="18"/>
      <c r="E482" s="18"/>
      <c r="F482" s="18"/>
      <c r="G482" s="18"/>
      <c r="H482" s="18"/>
      <c r="I482" s="18"/>
      <c r="J482" s="18"/>
      <c r="K482" s="18"/>
      <c r="L482" s="13"/>
      <c r="M482" s="3"/>
      <c r="N482" s="3"/>
      <c r="O482" s="3"/>
      <c r="P482" s="3"/>
      <c r="Q482" s="3"/>
      <c r="R482" s="3"/>
    </row>
    <row r="483" spans="1:18" ht="11.25" customHeight="1">
      <c r="A483" s="248" t="str">
        <f>A245</f>
        <v>South of Cape Falcon</v>
      </c>
      <c r="B483" s="18"/>
      <c r="C483" s="18"/>
      <c r="D483" s="18"/>
      <c r="E483" s="18"/>
      <c r="F483" s="18"/>
      <c r="G483" s="18"/>
      <c r="H483" s="18"/>
      <c r="I483" s="18"/>
      <c r="J483" s="18"/>
      <c r="K483" s="18"/>
      <c r="L483" s="13"/>
      <c r="M483" s="3"/>
      <c r="N483" s="3"/>
      <c r="O483" s="3"/>
      <c r="P483" s="3"/>
      <c r="Q483" s="3"/>
      <c r="R483" s="3"/>
    </row>
    <row r="484" spans="1:18" ht="11.25" customHeight="1">
      <c r="A484" s="99" t="s">
        <v>24</v>
      </c>
      <c r="B484" s="60" t="s">
        <v>23</v>
      </c>
      <c r="C484" s="60" t="s">
        <v>23</v>
      </c>
      <c r="D484" s="18">
        <f t="shared" ref="D484:K484" si="128">AVERAGE(D251:D255)</f>
        <v>4748.5</v>
      </c>
      <c r="E484" s="18">
        <f t="shared" si="128"/>
        <v>32267.333333333332</v>
      </c>
      <c r="F484" s="18">
        <f t="shared" si="128"/>
        <v>103968</v>
      </c>
      <c r="G484" s="18">
        <f t="shared" si="128"/>
        <v>64436.2</v>
      </c>
      <c r="H484" s="18">
        <f t="shared" si="128"/>
        <v>11898.6</v>
      </c>
      <c r="I484" s="18">
        <f t="shared" si="128"/>
        <v>3722.6</v>
      </c>
      <c r="J484" s="18">
        <f t="shared" si="128"/>
        <v>229.66666666666666</v>
      </c>
      <c r="K484" s="18">
        <f t="shared" si="128"/>
        <v>207322.4</v>
      </c>
      <c r="L484" s="13"/>
      <c r="M484" s="3"/>
      <c r="N484" s="3"/>
      <c r="O484" s="3"/>
      <c r="P484" s="3"/>
      <c r="Q484" s="3"/>
      <c r="R484" s="3"/>
    </row>
    <row r="485" spans="1:18" ht="11.25" customHeight="1">
      <c r="A485" s="99" t="s">
        <v>78</v>
      </c>
      <c r="B485" s="60" t="s">
        <v>23</v>
      </c>
      <c r="C485" s="60" t="s">
        <v>23</v>
      </c>
      <c r="D485" s="18">
        <f t="shared" ref="D485:K485" si="129">AVERAGE(D256:D260)</f>
        <v>3869.2</v>
      </c>
      <c r="E485" s="18">
        <f t="shared" si="129"/>
        <v>31503.599999999999</v>
      </c>
      <c r="F485" s="18">
        <f t="shared" si="129"/>
        <v>107291.6</v>
      </c>
      <c r="G485" s="18">
        <f t="shared" si="129"/>
        <v>64475</v>
      </c>
      <c r="H485" s="18">
        <f t="shared" si="129"/>
        <v>14269.8</v>
      </c>
      <c r="I485" s="18">
        <f t="shared" si="129"/>
        <v>5030</v>
      </c>
      <c r="J485" s="18" t="s">
        <v>106</v>
      </c>
      <c r="K485" s="18">
        <f t="shared" si="129"/>
        <v>223421.2</v>
      </c>
      <c r="L485" s="13"/>
      <c r="M485" s="3"/>
      <c r="N485" s="3"/>
      <c r="O485" s="3"/>
      <c r="P485" s="3"/>
      <c r="Q485" s="3"/>
      <c r="R485" s="3"/>
    </row>
    <row r="486" spans="1:18" ht="11.25" customHeight="1">
      <c r="A486" s="99" t="s">
        <v>10</v>
      </c>
      <c r="B486" s="60" t="s">
        <v>23</v>
      </c>
      <c r="C486" s="60" t="s">
        <v>23</v>
      </c>
      <c r="D486" s="18">
        <f>AVERAGE(D261:D265)</f>
        <v>4110</v>
      </c>
      <c r="E486" s="18">
        <f t="shared" ref="E486:K486" si="130">AVERAGE(E261:E265)</f>
        <v>16014.6</v>
      </c>
      <c r="F486" s="18">
        <f t="shared" si="130"/>
        <v>74255.666666666672</v>
      </c>
      <c r="G486" s="18">
        <f t="shared" si="130"/>
        <v>11675.6</v>
      </c>
      <c r="H486" s="18">
        <f t="shared" si="130"/>
        <v>6090.6</v>
      </c>
      <c r="I486" s="18">
        <f t="shared" si="130"/>
        <v>7129.666666666667</v>
      </c>
      <c r="J486" s="18">
        <f t="shared" si="130"/>
        <v>395.5</v>
      </c>
      <c r="K486" s="18">
        <f t="shared" si="130"/>
        <v>86880.2</v>
      </c>
      <c r="L486" s="13"/>
      <c r="M486" s="3"/>
      <c r="N486" s="3"/>
      <c r="O486" s="3"/>
      <c r="P486" s="3"/>
      <c r="Q486" s="3"/>
      <c r="R486" s="3"/>
    </row>
    <row r="487" spans="1:18" ht="11.25" customHeight="1">
      <c r="A487" s="99" t="s">
        <v>144</v>
      </c>
      <c r="B487" s="60" t="s">
        <v>23</v>
      </c>
      <c r="C487" s="60" t="s">
        <v>23</v>
      </c>
      <c r="D487" s="18">
        <f>AVERAGE(D266:D270)</f>
        <v>1885</v>
      </c>
      <c r="E487" s="18">
        <f t="shared" ref="E487:K487" si="131">AVERAGE(E266:E270)</f>
        <v>3618</v>
      </c>
      <c r="F487" s="18">
        <f t="shared" si="131"/>
        <v>11923</v>
      </c>
      <c r="G487" s="18">
        <f t="shared" si="131"/>
        <v>11221.4</v>
      </c>
      <c r="H487" s="18">
        <f t="shared" si="131"/>
        <v>5739.4</v>
      </c>
      <c r="I487" s="18">
        <f t="shared" si="131"/>
        <v>5699.2</v>
      </c>
      <c r="J487" s="18">
        <f t="shared" si="131"/>
        <v>169.5</v>
      </c>
      <c r="K487" s="18">
        <f t="shared" si="131"/>
        <v>40167.199999999997</v>
      </c>
      <c r="L487" s="13"/>
      <c r="M487" s="3"/>
      <c r="N487" s="3"/>
      <c r="O487" s="3"/>
      <c r="P487" s="3"/>
      <c r="Q487" s="3"/>
      <c r="R487" s="3"/>
    </row>
    <row r="488" spans="1:18" ht="11.25" customHeight="1">
      <c r="A488" s="95" t="s">
        <v>166</v>
      </c>
      <c r="B488" s="18">
        <f>AVERAGE(B271:B275)</f>
        <v>63</v>
      </c>
      <c r="C488" s="18">
        <f>AVERAGE(C271:C275)</f>
        <v>211.6</v>
      </c>
      <c r="D488" s="18">
        <f>AVERAGE(D271:D275)</f>
        <v>3122.8</v>
      </c>
      <c r="E488" s="18">
        <f>AVERAGE(E271:E275)</f>
        <v>15737.4</v>
      </c>
      <c r="F488" s="18">
        <f t="shared" ref="F488:K488" si="132">AVERAGE(F271:F275)</f>
        <v>40575.199999999997</v>
      </c>
      <c r="G488" s="18">
        <f t="shared" si="132"/>
        <v>23882.400000000001</v>
      </c>
      <c r="H488" s="18">
        <f t="shared" si="132"/>
        <v>11307.4</v>
      </c>
      <c r="I488" s="18">
        <f t="shared" si="132"/>
        <v>6514</v>
      </c>
      <c r="J488" s="18">
        <f t="shared" si="132"/>
        <v>182</v>
      </c>
      <c r="K488" s="18">
        <f t="shared" si="132"/>
        <v>101570.6</v>
      </c>
      <c r="L488" s="13"/>
      <c r="M488" s="3"/>
      <c r="N488" s="3"/>
      <c r="O488" s="3"/>
      <c r="P488" s="3"/>
      <c r="Q488" s="3"/>
      <c r="R488" s="3"/>
    </row>
    <row r="489" spans="1:18" ht="11.25" customHeight="1">
      <c r="A489" s="95" t="s">
        <v>315</v>
      </c>
      <c r="B489" s="18">
        <f>AVERAGE(B276:B280)</f>
        <v>30</v>
      </c>
      <c r="C489" s="18">
        <f t="shared" ref="C489:K489" si="133">AVERAGE(C276:C280)</f>
        <v>83.5</v>
      </c>
      <c r="D489" s="18">
        <f t="shared" si="133"/>
        <v>1327.3333333333333</v>
      </c>
      <c r="E489" s="18">
        <f t="shared" si="133"/>
        <v>5517.4</v>
      </c>
      <c r="F489" s="18">
        <f t="shared" si="133"/>
        <v>19501.400000000001</v>
      </c>
      <c r="G489" s="18">
        <f t="shared" si="133"/>
        <v>16363</v>
      </c>
      <c r="H489" s="18">
        <f t="shared" si="133"/>
        <v>7601</v>
      </c>
      <c r="I489" s="18">
        <f t="shared" si="133"/>
        <v>4558.6000000000004</v>
      </c>
      <c r="J489" s="18">
        <f t="shared" si="133"/>
        <v>69</v>
      </c>
      <c r="K489" s="18">
        <f t="shared" si="133"/>
        <v>54410.8</v>
      </c>
      <c r="L489" s="13"/>
      <c r="M489" s="3"/>
      <c r="N489" s="3"/>
      <c r="O489" s="3"/>
      <c r="P489" s="3"/>
      <c r="Q489" s="3"/>
      <c r="R489" s="3"/>
    </row>
    <row r="490" spans="1:18" ht="11.25" customHeight="1">
      <c r="A490" s="95">
        <v>2011</v>
      </c>
      <c r="B490" s="18">
        <f t="shared" ref="B490:K490" si="134">B281</f>
        <v>22</v>
      </c>
      <c r="C490" s="18">
        <f t="shared" si="134"/>
        <v>75</v>
      </c>
      <c r="D490" s="18">
        <f t="shared" si="134"/>
        <v>826</v>
      </c>
      <c r="E490" s="18">
        <f t="shared" si="134"/>
        <v>3261</v>
      </c>
      <c r="F490" s="18">
        <f t="shared" si="134"/>
        <v>11024</v>
      </c>
      <c r="G490" s="18">
        <f t="shared" si="134"/>
        <v>11945</v>
      </c>
      <c r="H490" s="18">
        <f t="shared" si="134"/>
        <v>11207</v>
      </c>
      <c r="I490" s="18">
        <f t="shared" si="134"/>
        <v>2997</v>
      </c>
      <c r="J490" s="18">
        <f t="shared" si="134"/>
        <v>16</v>
      </c>
      <c r="K490" s="18">
        <f t="shared" si="134"/>
        <v>41373</v>
      </c>
      <c r="L490" s="13"/>
      <c r="M490" s="3"/>
      <c r="N490" s="3"/>
      <c r="O490" s="3"/>
      <c r="P490" s="3"/>
      <c r="Q490" s="3"/>
      <c r="R490" s="3"/>
    </row>
    <row r="491" spans="1:18" ht="11.25" customHeight="1">
      <c r="A491" s="95">
        <v>2012</v>
      </c>
      <c r="B491" s="18">
        <f t="shared" ref="B491:K491" si="135">B282</f>
        <v>23</v>
      </c>
      <c r="C491" s="18">
        <f t="shared" si="135"/>
        <v>380</v>
      </c>
      <c r="D491" s="18">
        <f t="shared" si="135"/>
        <v>2106</v>
      </c>
      <c r="E491" s="18">
        <f t="shared" si="135"/>
        <v>5760</v>
      </c>
      <c r="F491" s="18">
        <f t="shared" si="135"/>
        <v>14550</v>
      </c>
      <c r="G491" s="18">
        <f t="shared" si="135"/>
        <v>19341</v>
      </c>
      <c r="H491" s="18">
        <f t="shared" si="135"/>
        <v>14921</v>
      </c>
      <c r="I491" s="18">
        <f t="shared" si="135"/>
        <v>5371</v>
      </c>
      <c r="J491" s="18">
        <f t="shared" si="135"/>
        <v>18</v>
      </c>
      <c r="K491" s="18">
        <f t="shared" si="135"/>
        <v>62470</v>
      </c>
      <c r="L491" s="13"/>
      <c r="M491" s="3"/>
      <c r="N491" s="3"/>
      <c r="O491" s="3"/>
      <c r="P491" s="3"/>
      <c r="Q491" s="3"/>
      <c r="R491" s="3"/>
    </row>
    <row r="492" spans="1:18" ht="11.25" customHeight="1">
      <c r="A492" s="95">
        <v>2013</v>
      </c>
      <c r="B492" s="18">
        <f t="shared" ref="B492:K492" si="136">B283</f>
        <v>479</v>
      </c>
      <c r="C492" s="18">
        <f t="shared" si="136"/>
        <v>693</v>
      </c>
      <c r="D492" s="18">
        <f t="shared" si="136"/>
        <v>1200</v>
      </c>
      <c r="E492" s="18">
        <f t="shared" si="136"/>
        <v>6229</v>
      </c>
      <c r="F492" s="18">
        <f t="shared" si="136"/>
        <v>17872</v>
      </c>
      <c r="G492" s="18">
        <f t="shared" si="136"/>
        <v>33124</v>
      </c>
      <c r="H492" s="18">
        <f t="shared" si="136"/>
        <v>12041</v>
      </c>
      <c r="I492" s="18">
        <f t="shared" si="136"/>
        <v>7761</v>
      </c>
      <c r="J492" s="18" t="str">
        <f t="shared" si="136"/>
        <v>--</v>
      </c>
      <c r="K492" s="18">
        <f t="shared" si="136"/>
        <v>79399</v>
      </c>
      <c r="L492" s="13"/>
      <c r="M492" s="3"/>
      <c r="N492" s="3"/>
      <c r="O492" s="3"/>
      <c r="P492" s="3"/>
      <c r="Q492" s="3"/>
      <c r="R492" s="3"/>
    </row>
    <row r="493" spans="1:18" ht="11.25" customHeight="1">
      <c r="A493" s="95">
        <v>2014</v>
      </c>
      <c r="B493" s="18">
        <f t="shared" ref="B493:K493" si="137">B284</f>
        <v>87</v>
      </c>
      <c r="C493" s="18">
        <f t="shared" si="137"/>
        <v>136</v>
      </c>
      <c r="D493" s="18">
        <f t="shared" si="137"/>
        <v>3672</v>
      </c>
      <c r="E493" s="18">
        <f t="shared" si="137"/>
        <v>6717</v>
      </c>
      <c r="F493" s="18">
        <f t="shared" si="137"/>
        <v>38359</v>
      </c>
      <c r="G493" s="18">
        <f t="shared" si="137"/>
        <v>29586</v>
      </c>
      <c r="H493" s="18">
        <f t="shared" si="137"/>
        <v>24634</v>
      </c>
      <c r="I493" s="18">
        <f t="shared" si="137"/>
        <v>6060</v>
      </c>
      <c r="J493" s="18" t="str">
        <f t="shared" si="137"/>
        <v>--</v>
      </c>
      <c r="K493" s="18">
        <f t="shared" si="137"/>
        <v>109251</v>
      </c>
      <c r="L493" s="13"/>
      <c r="M493" s="3"/>
      <c r="N493" s="3"/>
      <c r="O493" s="3"/>
      <c r="P493" s="3"/>
      <c r="Q493" s="3"/>
      <c r="R493" s="3"/>
    </row>
    <row r="494" spans="1:18" ht="11.25" customHeight="1">
      <c r="A494" s="95">
        <v>2015</v>
      </c>
      <c r="B494" s="18">
        <f t="shared" ref="B494:K494" si="138">B285</f>
        <v>60</v>
      </c>
      <c r="C494" s="18">
        <f t="shared" si="138"/>
        <v>152</v>
      </c>
      <c r="D494" s="18">
        <f t="shared" si="138"/>
        <v>1687</v>
      </c>
      <c r="E494" s="18">
        <f t="shared" si="138"/>
        <v>2774</v>
      </c>
      <c r="F494" s="18">
        <f t="shared" si="138"/>
        <v>19517</v>
      </c>
      <c r="G494" s="18">
        <f t="shared" si="138"/>
        <v>8100</v>
      </c>
      <c r="H494" s="18">
        <f t="shared" si="138"/>
        <v>17706</v>
      </c>
      <c r="I494" s="18">
        <f t="shared" si="138"/>
        <v>7414</v>
      </c>
      <c r="J494" s="18" t="str">
        <f t="shared" si="138"/>
        <v>--</v>
      </c>
      <c r="K494" s="18">
        <f t="shared" si="138"/>
        <v>57410</v>
      </c>
      <c r="L494" s="13"/>
      <c r="M494" s="3"/>
      <c r="N494" s="3"/>
      <c r="O494" s="3"/>
      <c r="P494" s="3"/>
      <c r="Q494" s="3"/>
      <c r="R494" s="3"/>
    </row>
    <row r="495" spans="1:18" ht="11.25" customHeight="1">
      <c r="A495" s="95">
        <v>2016</v>
      </c>
      <c r="B495" s="18">
        <f t="shared" ref="B495:K495" si="139">B286</f>
        <v>82</v>
      </c>
      <c r="C495" s="18">
        <f t="shared" si="139"/>
        <v>18</v>
      </c>
      <c r="D495" s="18">
        <f t="shared" si="139"/>
        <v>1081</v>
      </c>
      <c r="E495" s="18">
        <f t="shared" si="139"/>
        <v>3266</v>
      </c>
      <c r="F495" s="18">
        <f t="shared" si="139"/>
        <v>7099</v>
      </c>
      <c r="G495" s="18">
        <f t="shared" si="139"/>
        <v>5025</v>
      </c>
      <c r="H495" s="18">
        <f t="shared" si="139"/>
        <v>15477</v>
      </c>
      <c r="I495" s="18">
        <f t="shared" si="139"/>
        <v>2484</v>
      </c>
      <c r="J495" s="18" t="str">
        <f t="shared" si="139"/>
        <v>--</v>
      </c>
      <c r="K495" s="18">
        <f t="shared" si="139"/>
        <v>34532</v>
      </c>
      <c r="L495" s="13"/>
      <c r="M495" s="3"/>
      <c r="N495" s="3"/>
      <c r="O495" s="3"/>
      <c r="P495" s="3"/>
      <c r="Q495" s="3"/>
      <c r="R495" s="3"/>
    </row>
    <row r="496" spans="1:18" ht="11.25" customHeight="1">
      <c r="A496" s="95">
        <v>2017</v>
      </c>
      <c r="B496" s="18">
        <f t="shared" ref="B496:K496" si="140">B287</f>
        <v>17</v>
      </c>
      <c r="C496" s="18">
        <f t="shared" si="140"/>
        <v>60</v>
      </c>
      <c r="D496" s="18">
        <f t="shared" si="140"/>
        <v>500</v>
      </c>
      <c r="E496" s="18">
        <f t="shared" si="140"/>
        <v>1916</v>
      </c>
      <c r="F496" s="18">
        <f t="shared" si="140"/>
        <v>10057</v>
      </c>
      <c r="G496" s="18">
        <f t="shared" si="140"/>
        <v>9383</v>
      </c>
      <c r="H496" s="18">
        <f t="shared" si="140"/>
        <v>9343</v>
      </c>
      <c r="I496" s="18">
        <f t="shared" si="140"/>
        <v>2465</v>
      </c>
      <c r="J496" s="18" t="str">
        <f t="shared" si="140"/>
        <v>--</v>
      </c>
      <c r="K496" s="18">
        <f t="shared" si="140"/>
        <v>33741</v>
      </c>
      <c r="L496" s="13"/>
      <c r="M496" s="3"/>
      <c r="N496" s="3"/>
      <c r="O496" s="3"/>
      <c r="P496" s="3"/>
      <c r="Q496" s="3"/>
      <c r="R496" s="3"/>
    </row>
    <row r="497" spans="1:18" ht="11.25" customHeight="1">
      <c r="A497" s="95">
        <v>2018</v>
      </c>
      <c r="B497" s="18">
        <f t="shared" ref="B497:K497" si="141">B288</f>
        <v>54</v>
      </c>
      <c r="C497" s="18">
        <f t="shared" si="141"/>
        <v>19</v>
      </c>
      <c r="D497" s="18">
        <f t="shared" si="141"/>
        <v>1165</v>
      </c>
      <c r="E497" s="18">
        <f t="shared" si="141"/>
        <v>2180</v>
      </c>
      <c r="F497" s="18">
        <f t="shared" si="141"/>
        <v>10964</v>
      </c>
      <c r="G497" s="18">
        <f t="shared" si="141"/>
        <v>24153</v>
      </c>
      <c r="H497" s="18">
        <f t="shared" si="141"/>
        <v>14596</v>
      </c>
      <c r="I497" s="18">
        <f t="shared" si="141"/>
        <v>3001</v>
      </c>
      <c r="J497" s="18" t="str">
        <f t="shared" si="141"/>
        <v>--</v>
      </c>
      <c r="K497" s="18">
        <f t="shared" si="141"/>
        <v>56132</v>
      </c>
      <c r="L497" s="13"/>
      <c r="M497" s="3"/>
      <c r="N497" s="3"/>
      <c r="O497" s="3"/>
      <c r="P497" s="3"/>
      <c r="Q497" s="3"/>
      <c r="R497" s="3"/>
    </row>
    <row r="498" spans="1:18" ht="11.25" customHeight="1">
      <c r="A498" s="95">
        <v>2019</v>
      </c>
      <c r="B498" s="18">
        <f t="shared" ref="B498:K498" si="142">B289</f>
        <v>43</v>
      </c>
      <c r="C498" s="18">
        <f t="shared" si="142"/>
        <v>8</v>
      </c>
      <c r="D498" s="18">
        <f t="shared" si="142"/>
        <v>542</v>
      </c>
      <c r="E498" s="18">
        <f t="shared" si="142"/>
        <v>7042</v>
      </c>
      <c r="F498" s="18">
        <f t="shared" si="142"/>
        <v>34182</v>
      </c>
      <c r="G498" s="18">
        <f t="shared" si="142"/>
        <v>26459</v>
      </c>
      <c r="H498" s="18">
        <f t="shared" si="142"/>
        <v>9684</v>
      </c>
      <c r="I498" s="18">
        <f t="shared" si="142"/>
        <v>1581</v>
      </c>
      <c r="J498" s="18" t="str">
        <f t="shared" si="142"/>
        <v>-</v>
      </c>
      <c r="K498" s="18">
        <f t="shared" si="142"/>
        <v>79541</v>
      </c>
      <c r="L498" s="13"/>
      <c r="M498" s="3"/>
      <c r="N498" s="3"/>
      <c r="O498" s="3"/>
      <c r="P498" s="3"/>
      <c r="Q498" s="3"/>
      <c r="R498" s="3"/>
    </row>
    <row r="499" spans="1:18" ht="11.25" customHeight="1">
      <c r="A499" s="95">
        <v>2020</v>
      </c>
      <c r="B499" s="18">
        <f t="shared" ref="B499:K500" si="143">B290</f>
        <v>11</v>
      </c>
      <c r="C499" s="18">
        <f t="shared" si="143"/>
        <v>112</v>
      </c>
      <c r="D499" s="18">
        <f t="shared" si="143"/>
        <v>292</v>
      </c>
      <c r="E499" s="18">
        <f t="shared" si="143"/>
        <v>2273</v>
      </c>
      <c r="F499" s="18">
        <f t="shared" si="143"/>
        <v>25253</v>
      </c>
      <c r="G499" s="18">
        <f t="shared" si="143"/>
        <v>12556</v>
      </c>
      <c r="H499" s="18">
        <f t="shared" si="143"/>
        <v>11346</v>
      </c>
      <c r="I499" s="18">
        <f t="shared" si="143"/>
        <v>1714</v>
      </c>
      <c r="J499" s="18" t="str">
        <f t="shared" si="143"/>
        <v>-</v>
      </c>
      <c r="K499" s="18">
        <f t="shared" si="143"/>
        <v>53557</v>
      </c>
      <c r="L499" s="13"/>
      <c r="M499" s="3"/>
      <c r="N499" s="3"/>
      <c r="O499" s="3"/>
      <c r="P499" s="3"/>
      <c r="Q499" s="3"/>
      <c r="R499" s="3"/>
    </row>
    <row r="500" spans="1:18" ht="11.25" customHeight="1">
      <c r="A500" s="95" t="s">
        <v>317</v>
      </c>
      <c r="B500" s="18">
        <f t="shared" si="143"/>
        <v>23</v>
      </c>
      <c r="C500" s="18">
        <f t="shared" si="143"/>
        <v>571</v>
      </c>
      <c r="D500" s="18">
        <f t="shared" si="143"/>
        <v>845</v>
      </c>
      <c r="E500" s="18">
        <f t="shared" si="143"/>
        <v>6662</v>
      </c>
      <c r="F500" s="18">
        <f t="shared" si="143"/>
        <v>36897</v>
      </c>
      <c r="G500" s="18">
        <f t="shared" si="143"/>
        <v>27111</v>
      </c>
      <c r="H500" s="18">
        <f t="shared" si="143"/>
        <v>13474</v>
      </c>
      <c r="I500" s="18">
        <f t="shared" si="143"/>
        <v>202</v>
      </c>
      <c r="J500" s="18" t="str">
        <f t="shared" si="143"/>
        <v>-</v>
      </c>
      <c r="K500" s="18">
        <f t="shared" si="143"/>
        <v>85785</v>
      </c>
      <c r="L500" s="13"/>
      <c r="M500" s="3"/>
      <c r="N500" s="3"/>
      <c r="O500" s="3"/>
      <c r="P500" s="3"/>
      <c r="Q500" s="3"/>
      <c r="R500" s="3"/>
    </row>
    <row r="501" spans="1:18" ht="11.25" customHeight="1">
      <c r="A501" s="99"/>
      <c r="B501" s="18"/>
      <c r="C501" s="18"/>
      <c r="D501" s="18"/>
      <c r="E501" s="18"/>
      <c r="F501" s="18"/>
      <c r="G501" s="18"/>
      <c r="H501" s="18"/>
      <c r="I501" s="18"/>
      <c r="J501" s="18"/>
      <c r="K501" s="18"/>
      <c r="L501" s="6"/>
      <c r="M501" s="6"/>
      <c r="N501" s="6"/>
      <c r="O501" s="6"/>
      <c r="P501" s="6"/>
      <c r="Q501" s="6"/>
      <c r="R501" s="6"/>
    </row>
    <row r="502" spans="1:18" ht="11.25" customHeight="1">
      <c r="A502" s="317" t="s">
        <v>280</v>
      </c>
      <c r="B502" s="317"/>
      <c r="C502" s="317"/>
      <c r="D502" s="317"/>
      <c r="E502" s="317"/>
      <c r="F502" s="317"/>
      <c r="G502" s="317"/>
      <c r="H502" s="317"/>
      <c r="I502" s="317"/>
      <c r="J502" s="317"/>
      <c r="K502" s="317"/>
      <c r="L502" s="6"/>
      <c r="M502" s="6"/>
      <c r="N502" s="6"/>
      <c r="O502" s="6"/>
      <c r="P502" s="6"/>
      <c r="Q502" s="6"/>
      <c r="R502" s="6"/>
    </row>
    <row r="503" spans="1:18" ht="11.25" customHeight="1">
      <c r="A503" s="100" t="s">
        <v>43</v>
      </c>
      <c r="B503" s="249" t="s">
        <v>37</v>
      </c>
      <c r="C503" s="249" t="s">
        <v>28</v>
      </c>
      <c r="D503" s="249" t="s">
        <v>29</v>
      </c>
      <c r="E503" s="249" t="s">
        <v>30</v>
      </c>
      <c r="F503" s="249" t="s">
        <v>31</v>
      </c>
      <c r="G503" s="249" t="s">
        <v>32</v>
      </c>
      <c r="H503" s="249" t="s">
        <v>33</v>
      </c>
      <c r="I503" s="249" t="s">
        <v>34</v>
      </c>
      <c r="J503" s="249" t="s">
        <v>38</v>
      </c>
      <c r="K503" s="249" t="s">
        <v>22</v>
      </c>
      <c r="L503" s="6"/>
      <c r="M503" s="6"/>
      <c r="N503" s="6"/>
      <c r="O503" s="6"/>
      <c r="P503" s="6"/>
      <c r="Q503" s="6"/>
      <c r="R503" s="6"/>
    </row>
    <row r="504" spans="1:18" ht="11.25" customHeight="1">
      <c r="A504" s="248" t="str">
        <f>A293</f>
        <v>Total All Areas</v>
      </c>
      <c r="B504" s="18"/>
      <c r="C504" s="18"/>
      <c r="D504" s="18"/>
      <c r="E504" s="18"/>
      <c r="F504" s="18"/>
      <c r="G504" s="18"/>
      <c r="H504" s="18"/>
      <c r="I504" s="18"/>
      <c r="J504" s="18"/>
      <c r="K504" s="18"/>
      <c r="L504" s="13"/>
      <c r="M504" s="3"/>
      <c r="N504" s="3"/>
      <c r="O504" s="3"/>
      <c r="P504" s="3"/>
      <c r="Q504" s="3"/>
      <c r="R504" s="3"/>
    </row>
    <row r="505" spans="1:18" ht="11.25" customHeight="1">
      <c r="A505" s="99" t="s">
        <v>24</v>
      </c>
      <c r="B505" s="60" t="s">
        <v>23</v>
      </c>
      <c r="C505" s="60" t="s">
        <v>23</v>
      </c>
      <c r="D505" s="18">
        <f t="shared" ref="D505:K505" si="144">AVERAGE(D299:D303)</f>
        <v>4992.75</v>
      </c>
      <c r="E505" s="18">
        <f t="shared" si="144"/>
        <v>27469.25</v>
      </c>
      <c r="F505" s="18">
        <f t="shared" si="144"/>
        <v>115804.6</v>
      </c>
      <c r="G505" s="18">
        <f t="shared" si="144"/>
        <v>74333.600000000006</v>
      </c>
      <c r="H505" s="18">
        <f t="shared" si="144"/>
        <v>13575.4</v>
      </c>
      <c r="I505" s="18">
        <f t="shared" si="144"/>
        <v>3722.6</v>
      </c>
      <c r="J505" s="18">
        <f t="shared" si="144"/>
        <v>229.66666666666666</v>
      </c>
      <c r="K505" s="18">
        <f t="shared" si="144"/>
        <v>233543.6</v>
      </c>
      <c r="L505" s="13"/>
      <c r="M505" s="3"/>
      <c r="N505" s="3"/>
      <c r="O505" s="3"/>
      <c r="P505" s="3"/>
      <c r="Q505" s="3"/>
      <c r="R505" s="3"/>
    </row>
    <row r="506" spans="1:18" ht="11.25" customHeight="1">
      <c r="A506" s="99" t="s">
        <v>78</v>
      </c>
      <c r="B506" s="60" t="s">
        <v>23</v>
      </c>
      <c r="C506" s="60" t="s">
        <v>23</v>
      </c>
      <c r="D506" s="18">
        <f t="shared" ref="D506:K506" si="145">AVERAGE(D304:D308)</f>
        <v>3898.4</v>
      </c>
      <c r="E506" s="18">
        <f t="shared" si="145"/>
        <v>32391.8</v>
      </c>
      <c r="F506" s="18">
        <f t="shared" si="145"/>
        <v>116182</v>
      </c>
      <c r="G506" s="18">
        <f t="shared" si="145"/>
        <v>72122.399999999994</v>
      </c>
      <c r="H506" s="18">
        <f t="shared" si="145"/>
        <v>14554.4</v>
      </c>
      <c r="I506" s="18">
        <f t="shared" si="145"/>
        <v>5030</v>
      </c>
      <c r="J506" s="18" t="s">
        <v>106</v>
      </c>
      <c r="K506" s="18">
        <f t="shared" si="145"/>
        <v>241161</v>
      </c>
      <c r="L506" s="13"/>
      <c r="M506" s="3"/>
      <c r="N506" s="3"/>
      <c r="O506" s="3"/>
      <c r="P506" s="3"/>
      <c r="Q506" s="3"/>
      <c r="R506" s="3"/>
    </row>
    <row r="507" spans="1:18" ht="11.25" customHeight="1">
      <c r="A507" s="99" t="s">
        <v>10</v>
      </c>
      <c r="B507" s="60" t="s">
        <v>23</v>
      </c>
      <c r="C507" s="60" t="s">
        <v>23</v>
      </c>
      <c r="D507" s="18">
        <f>AVERAGE(D309:D313)</f>
        <v>4110</v>
      </c>
      <c r="E507" s="18">
        <f t="shared" ref="E507:K507" si="146">AVERAGE(E309:E313)</f>
        <v>16313.8</v>
      </c>
      <c r="F507" s="18">
        <f t="shared" si="146"/>
        <v>62372.25</v>
      </c>
      <c r="G507" s="18">
        <f t="shared" si="146"/>
        <v>17031.8</v>
      </c>
      <c r="H507" s="18">
        <f t="shared" si="146"/>
        <v>7757.4</v>
      </c>
      <c r="I507" s="18">
        <f t="shared" si="146"/>
        <v>7129.666666666667</v>
      </c>
      <c r="J507" s="18">
        <f t="shared" si="146"/>
        <v>395.5</v>
      </c>
      <c r="K507" s="18">
        <f t="shared" si="146"/>
        <v>99546.8</v>
      </c>
      <c r="L507" s="13"/>
      <c r="M507" s="3"/>
      <c r="N507" s="3"/>
      <c r="O507" s="3"/>
      <c r="P507" s="3"/>
      <c r="Q507" s="3"/>
      <c r="R507" s="3"/>
    </row>
    <row r="508" spans="1:18" ht="11.25" customHeight="1">
      <c r="A508" s="99" t="s">
        <v>144</v>
      </c>
      <c r="B508" s="60" t="s">
        <v>23</v>
      </c>
      <c r="C508" s="60" t="s">
        <v>23</v>
      </c>
      <c r="D508" s="18">
        <f>AVERAGE(D314:D318)</f>
        <v>1885</v>
      </c>
      <c r="E508" s="18">
        <f t="shared" ref="E508:K508" si="147">AVERAGE(E314:E318)</f>
        <v>3618</v>
      </c>
      <c r="F508" s="18">
        <f t="shared" si="147"/>
        <v>13888.4</v>
      </c>
      <c r="G508" s="18">
        <f t="shared" si="147"/>
        <v>14130.2</v>
      </c>
      <c r="H508" s="18">
        <f t="shared" si="147"/>
        <v>6307.2</v>
      </c>
      <c r="I508" s="18">
        <f t="shared" si="147"/>
        <v>5699.2</v>
      </c>
      <c r="J508" s="18">
        <f t="shared" si="147"/>
        <v>169.5</v>
      </c>
      <c r="K508" s="18">
        <f t="shared" si="147"/>
        <v>45609.2</v>
      </c>
      <c r="L508" s="13"/>
      <c r="M508" s="3"/>
      <c r="N508" s="3"/>
      <c r="O508" s="3"/>
      <c r="P508" s="3"/>
      <c r="Q508" s="3"/>
      <c r="R508" s="3"/>
    </row>
    <row r="509" spans="1:18" ht="11.25" customHeight="1">
      <c r="A509" s="95" t="s">
        <v>166</v>
      </c>
      <c r="B509" s="18">
        <f>AVERAGE(B319:B323)</f>
        <v>63</v>
      </c>
      <c r="C509" s="18">
        <f>AVERAGE(C319:C323)</f>
        <v>211.6</v>
      </c>
      <c r="D509" s="18">
        <f>AVERAGE(D319:D323)</f>
        <v>3153.8</v>
      </c>
      <c r="E509" s="18">
        <f t="shared" ref="E509:K509" si="148">AVERAGE(E319:E323)</f>
        <v>15893.2</v>
      </c>
      <c r="F509" s="18">
        <f t="shared" si="148"/>
        <v>45363</v>
      </c>
      <c r="G509" s="18">
        <f t="shared" si="148"/>
        <v>34140.199999999997</v>
      </c>
      <c r="H509" s="18">
        <f t="shared" si="148"/>
        <v>13348.4</v>
      </c>
      <c r="I509" s="18">
        <f t="shared" si="148"/>
        <v>6515.2</v>
      </c>
      <c r="J509" s="18">
        <f t="shared" si="148"/>
        <v>182</v>
      </c>
      <c r="K509" s="18">
        <f t="shared" si="148"/>
        <v>118845.2</v>
      </c>
      <c r="L509" s="13"/>
      <c r="M509" s="3"/>
      <c r="N509" s="3"/>
      <c r="O509" s="3"/>
      <c r="P509" s="3"/>
      <c r="Q509" s="3"/>
      <c r="R509" s="3"/>
    </row>
    <row r="510" spans="1:18" ht="11.25" customHeight="1">
      <c r="A510" s="95" t="s">
        <v>315</v>
      </c>
      <c r="B510" s="18">
        <f>AVERAGE(B324:B328)</f>
        <v>30</v>
      </c>
      <c r="C510" s="18">
        <f t="shared" ref="C510:K510" si="149">AVERAGE(C324:C328)</f>
        <v>83.5</v>
      </c>
      <c r="D510" s="18">
        <f t="shared" si="149"/>
        <v>1012</v>
      </c>
      <c r="E510" s="18">
        <f t="shared" si="149"/>
        <v>5695.2</v>
      </c>
      <c r="F510" s="18">
        <f t="shared" si="149"/>
        <v>22310</v>
      </c>
      <c r="G510" s="18">
        <f t="shared" si="149"/>
        <v>22148.2</v>
      </c>
      <c r="H510" s="18">
        <f t="shared" si="149"/>
        <v>8173.4</v>
      </c>
      <c r="I510" s="18">
        <f t="shared" si="149"/>
        <v>4558.6000000000004</v>
      </c>
      <c r="J510" s="18">
        <f t="shared" si="149"/>
        <v>69</v>
      </c>
      <c r="K510" s="18">
        <f t="shared" si="149"/>
        <v>63768</v>
      </c>
      <c r="L510" s="13"/>
      <c r="M510" s="3"/>
      <c r="N510" s="3"/>
      <c r="O510" s="3"/>
      <c r="P510" s="3"/>
      <c r="Q510" s="3"/>
      <c r="R510" s="3"/>
    </row>
    <row r="511" spans="1:18" ht="11.25" customHeight="1">
      <c r="A511" s="95">
        <v>2011</v>
      </c>
      <c r="B511" s="18">
        <f t="shared" ref="B511:K511" si="150">B329</f>
        <v>22</v>
      </c>
      <c r="C511" s="18">
        <f t="shared" si="150"/>
        <v>75</v>
      </c>
      <c r="D511" s="18">
        <f t="shared" si="150"/>
        <v>826</v>
      </c>
      <c r="E511" s="18">
        <f t="shared" si="150"/>
        <v>3720</v>
      </c>
      <c r="F511" s="18">
        <f t="shared" si="150"/>
        <v>12426</v>
      </c>
      <c r="G511" s="18">
        <f t="shared" si="150"/>
        <v>16590</v>
      </c>
      <c r="H511" s="18">
        <f t="shared" si="150"/>
        <v>12084</v>
      </c>
      <c r="I511" s="18">
        <f t="shared" si="150"/>
        <v>2997</v>
      </c>
      <c r="J511" s="18">
        <f t="shared" si="150"/>
        <v>16</v>
      </c>
      <c r="K511" s="18">
        <f t="shared" si="150"/>
        <v>48756</v>
      </c>
      <c r="L511" s="13"/>
      <c r="M511" s="3"/>
      <c r="N511" s="3"/>
      <c r="O511" s="3"/>
      <c r="P511" s="3"/>
      <c r="Q511" s="3"/>
      <c r="R511" s="3"/>
    </row>
    <row r="512" spans="1:18" ht="11.25" customHeight="1">
      <c r="A512" s="95">
        <v>2012</v>
      </c>
      <c r="B512" s="18">
        <f t="shared" ref="B512:K512" si="151">B330</f>
        <v>23</v>
      </c>
      <c r="C512" s="18">
        <f t="shared" si="151"/>
        <v>380</v>
      </c>
      <c r="D512" s="18">
        <f t="shared" si="151"/>
        <v>2106</v>
      </c>
      <c r="E512" s="18">
        <f t="shared" si="151"/>
        <v>6441</v>
      </c>
      <c r="F512" s="18">
        <f t="shared" si="151"/>
        <v>16342</v>
      </c>
      <c r="G512" s="18">
        <f t="shared" si="151"/>
        <v>21295</v>
      </c>
      <c r="H512" s="18">
        <f t="shared" si="151"/>
        <v>15332</v>
      </c>
      <c r="I512" s="18">
        <f t="shared" si="151"/>
        <v>5371</v>
      </c>
      <c r="J512" s="18">
        <f t="shared" si="151"/>
        <v>18</v>
      </c>
      <c r="K512" s="18">
        <f t="shared" si="151"/>
        <v>67308</v>
      </c>
      <c r="L512" s="13"/>
      <c r="M512" s="3"/>
      <c r="N512" s="3"/>
      <c r="O512" s="3"/>
      <c r="P512" s="3"/>
      <c r="Q512" s="3"/>
      <c r="R512" s="3"/>
    </row>
    <row r="513" spans="1:18" ht="11.25" customHeight="1">
      <c r="A513" s="95">
        <v>2013</v>
      </c>
      <c r="B513" s="18">
        <f t="shared" ref="B513:K513" si="152">B331</f>
        <v>479</v>
      </c>
      <c r="C513" s="18">
        <f t="shared" si="152"/>
        <v>693</v>
      </c>
      <c r="D513" s="18">
        <f t="shared" si="152"/>
        <v>1200</v>
      </c>
      <c r="E513" s="18">
        <f t="shared" si="152"/>
        <v>7822</v>
      </c>
      <c r="F513" s="18">
        <f t="shared" si="152"/>
        <v>19201</v>
      </c>
      <c r="G513" s="18">
        <f t="shared" si="152"/>
        <v>36036</v>
      </c>
      <c r="H513" s="18">
        <f t="shared" si="152"/>
        <v>12343</v>
      </c>
      <c r="I513" s="18">
        <f t="shared" si="152"/>
        <v>7761</v>
      </c>
      <c r="J513" s="18" t="str">
        <f t="shared" si="152"/>
        <v>--</v>
      </c>
      <c r="K513" s="18">
        <f t="shared" si="152"/>
        <v>85535</v>
      </c>
      <c r="L513" s="13"/>
      <c r="M513" s="3"/>
      <c r="N513" s="3"/>
      <c r="O513" s="3"/>
      <c r="P513" s="3"/>
      <c r="Q513" s="3"/>
      <c r="R513" s="3"/>
    </row>
    <row r="514" spans="1:18" ht="11.25" customHeight="1">
      <c r="A514" s="95">
        <v>2014</v>
      </c>
      <c r="B514" s="18">
        <f t="shared" ref="B514:K514" si="153">B332</f>
        <v>87</v>
      </c>
      <c r="C514" s="18">
        <f t="shared" si="153"/>
        <v>136</v>
      </c>
      <c r="D514" s="18">
        <f t="shared" si="153"/>
        <v>3714</v>
      </c>
      <c r="E514" s="18">
        <f t="shared" si="153"/>
        <v>7425</v>
      </c>
      <c r="F514" s="18">
        <f t="shared" si="153"/>
        <v>41938</v>
      </c>
      <c r="G514" s="18">
        <f t="shared" si="153"/>
        <v>35865</v>
      </c>
      <c r="H514" s="18">
        <f t="shared" si="153"/>
        <v>26281</v>
      </c>
      <c r="I514" s="18">
        <f t="shared" si="153"/>
        <v>6060</v>
      </c>
      <c r="J514" s="18" t="str">
        <f t="shared" si="153"/>
        <v>--</v>
      </c>
      <c r="K514" s="18">
        <f t="shared" si="153"/>
        <v>121506</v>
      </c>
      <c r="L514" s="13"/>
      <c r="M514" s="3"/>
      <c r="N514" s="3"/>
      <c r="O514" s="3"/>
      <c r="P514" s="3"/>
      <c r="Q514" s="3"/>
      <c r="R514" s="3"/>
    </row>
    <row r="515" spans="1:18" ht="11.25" customHeight="1">
      <c r="A515" s="95">
        <v>2015</v>
      </c>
      <c r="B515" s="18">
        <f t="shared" ref="B515:K515" si="154">B333</f>
        <v>60</v>
      </c>
      <c r="C515" s="18">
        <f t="shared" si="154"/>
        <v>152</v>
      </c>
      <c r="D515" s="18">
        <f t="shared" si="154"/>
        <v>1749</v>
      </c>
      <c r="E515" s="18">
        <f t="shared" si="154"/>
        <v>3473</v>
      </c>
      <c r="F515" s="18">
        <f t="shared" si="154"/>
        <v>22240</v>
      </c>
      <c r="G515" s="18">
        <f t="shared" si="154"/>
        <v>11192</v>
      </c>
      <c r="H515" s="18">
        <f t="shared" si="154"/>
        <v>19759</v>
      </c>
      <c r="I515" s="18">
        <f t="shared" si="154"/>
        <v>7414</v>
      </c>
      <c r="J515" s="18" t="str">
        <f t="shared" si="154"/>
        <v>--</v>
      </c>
      <c r="K515" s="18">
        <f t="shared" si="154"/>
        <v>66039</v>
      </c>
      <c r="L515" s="13"/>
      <c r="M515" s="3"/>
      <c r="N515" s="3"/>
      <c r="O515" s="3"/>
      <c r="P515" s="3"/>
      <c r="Q515" s="3"/>
      <c r="R515" s="3"/>
    </row>
    <row r="516" spans="1:18" ht="11.25" customHeight="1">
      <c r="A516" s="95">
        <v>2016</v>
      </c>
      <c r="B516" s="18">
        <f t="shared" ref="B516:K516" si="155">B334</f>
        <v>82</v>
      </c>
      <c r="C516" s="18">
        <f t="shared" si="155"/>
        <v>18</v>
      </c>
      <c r="D516" s="18">
        <f t="shared" si="155"/>
        <v>1081</v>
      </c>
      <c r="E516" s="18">
        <f t="shared" si="155"/>
        <v>3266</v>
      </c>
      <c r="F516" s="18">
        <f t="shared" si="155"/>
        <v>9019</v>
      </c>
      <c r="G516" s="18">
        <f t="shared" si="155"/>
        <v>7437</v>
      </c>
      <c r="H516" s="18">
        <f t="shared" si="155"/>
        <v>15477</v>
      </c>
      <c r="I516" s="18">
        <f t="shared" si="155"/>
        <v>2484</v>
      </c>
      <c r="J516" s="18" t="str">
        <f t="shared" si="155"/>
        <v>--</v>
      </c>
      <c r="K516" s="18">
        <f t="shared" si="155"/>
        <v>38864</v>
      </c>
      <c r="L516" s="13"/>
      <c r="M516" s="3"/>
      <c r="N516" s="3"/>
      <c r="O516" s="3"/>
      <c r="P516" s="3"/>
      <c r="Q516" s="3"/>
      <c r="R516" s="3"/>
    </row>
    <row r="517" spans="1:18" ht="11.25" customHeight="1">
      <c r="A517" s="95">
        <v>2017</v>
      </c>
      <c r="B517" s="18">
        <f t="shared" ref="B517:K517" si="156">B335</f>
        <v>17</v>
      </c>
      <c r="C517" s="18">
        <f t="shared" si="156"/>
        <v>60</v>
      </c>
      <c r="D517" s="18">
        <f t="shared" si="156"/>
        <v>500</v>
      </c>
      <c r="E517" s="18">
        <f t="shared" si="156"/>
        <v>2503</v>
      </c>
      <c r="F517" s="18">
        <f t="shared" si="156"/>
        <v>12754</v>
      </c>
      <c r="G517" s="18">
        <f t="shared" si="156"/>
        <v>14667</v>
      </c>
      <c r="H517" s="18">
        <f t="shared" si="156"/>
        <v>9343</v>
      </c>
      <c r="I517" s="18">
        <f t="shared" si="156"/>
        <v>2465</v>
      </c>
      <c r="J517" s="18" t="str">
        <f t="shared" si="156"/>
        <v>--</v>
      </c>
      <c r="K517" s="18">
        <f t="shared" si="156"/>
        <v>42309</v>
      </c>
      <c r="L517" s="13"/>
      <c r="M517" s="3"/>
      <c r="N517" s="3"/>
      <c r="O517" s="3"/>
      <c r="P517" s="3"/>
      <c r="Q517" s="3"/>
      <c r="R517" s="3"/>
    </row>
    <row r="518" spans="1:18" ht="11.25" customHeight="1">
      <c r="A518" s="95">
        <v>2018</v>
      </c>
      <c r="B518" s="18">
        <f t="shared" ref="B518:K518" si="157">B336</f>
        <v>54</v>
      </c>
      <c r="C518" s="18">
        <f t="shared" si="157"/>
        <v>19</v>
      </c>
      <c r="D518" s="18">
        <f t="shared" si="157"/>
        <v>1165</v>
      </c>
      <c r="E518" s="18">
        <f t="shared" si="157"/>
        <v>2560</v>
      </c>
      <c r="F518" s="18">
        <f t="shared" si="157"/>
        <v>12803</v>
      </c>
      <c r="G518" s="18">
        <f t="shared" si="157"/>
        <v>29485</v>
      </c>
      <c r="H518" s="18">
        <f t="shared" si="157"/>
        <v>14744</v>
      </c>
      <c r="I518" s="18">
        <f t="shared" si="157"/>
        <v>3001</v>
      </c>
      <c r="J518" s="18" t="str">
        <f t="shared" si="157"/>
        <v>--</v>
      </c>
      <c r="K518" s="18">
        <f t="shared" si="157"/>
        <v>63831</v>
      </c>
      <c r="L518" s="13"/>
      <c r="M518" s="3"/>
      <c r="N518" s="3"/>
      <c r="O518" s="3"/>
      <c r="P518" s="3"/>
      <c r="Q518" s="3"/>
      <c r="R518" s="3"/>
    </row>
    <row r="519" spans="1:18" ht="11.25" customHeight="1">
      <c r="A519" s="95">
        <v>2019</v>
      </c>
      <c r="B519" s="18">
        <f t="shared" ref="B519:K519" si="158">B337</f>
        <v>43</v>
      </c>
      <c r="C519" s="18">
        <f t="shared" si="158"/>
        <v>8</v>
      </c>
      <c r="D519" s="18">
        <f t="shared" si="158"/>
        <v>542</v>
      </c>
      <c r="E519" s="18">
        <f t="shared" si="158"/>
        <v>8376</v>
      </c>
      <c r="F519" s="18">
        <f t="shared" si="158"/>
        <v>39248</v>
      </c>
      <c r="G519" s="18">
        <f t="shared" si="158"/>
        <v>34389</v>
      </c>
      <c r="H519" s="18">
        <f t="shared" si="158"/>
        <v>10049</v>
      </c>
      <c r="I519" s="18">
        <f t="shared" si="158"/>
        <v>1581</v>
      </c>
      <c r="J519" s="18" t="str">
        <f t="shared" si="158"/>
        <v>-</v>
      </c>
      <c r="K519" s="18">
        <f t="shared" si="158"/>
        <v>94236</v>
      </c>
      <c r="L519" s="13"/>
      <c r="M519" s="3"/>
      <c r="N519" s="3"/>
      <c r="O519" s="3"/>
      <c r="P519" s="3"/>
      <c r="Q519" s="3"/>
      <c r="R519" s="3"/>
    </row>
    <row r="520" spans="1:18" ht="11.25" customHeight="1">
      <c r="A520" s="95">
        <v>2020</v>
      </c>
      <c r="B520" s="18">
        <f t="shared" ref="B520:K521" si="159">B338</f>
        <v>11</v>
      </c>
      <c r="C520" s="18">
        <f t="shared" si="159"/>
        <v>112</v>
      </c>
      <c r="D520" s="18">
        <f t="shared" si="159"/>
        <v>292</v>
      </c>
      <c r="E520" s="18">
        <f t="shared" si="159"/>
        <v>2359</v>
      </c>
      <c r="F520" s="18">
        <f t="shared" si="159"/>
        <v>28620</v>
      </c>
      <c r="G520" s="18">
        <f t="shared" si="159"/>
        <v>12556</v>
      </c>
      <c r="H520" s="18">
        <f t="shared" si="159"/>
        <v>11346</v>
      </c>
      <c r="I520" s="18">
        <f t="shared" si="159"/>
        <v>1714</v>
      </c>
      <c r="J520" s="18" t="str">
        <f t="shared" si="159"/>
        <v>-</v>
      </c>
      <c r="K520" s="18">
        <f t="shared" si="159"/>
        <v>57010</v>
      </c>
      <c r="L520" s="13"/>
      <c r="M520" s="3"/>
      <c r="N520" s="3"/>
      <c r="O520" s="3"/>
      <c r="P520" s="3"/>
      <c r="Q520" s="3"/>
      <c r="R520" s="3"/>
    </row>
    <row r="521" spans="1:18" ht="11.25" customHeight="1">
      <c r="A521" s="95" t="s">
        <v>317</v>
      </c>
      <c r="B521" s="18">
        <f t="shared" si="159"/>
        <v>23</v>
      </c>
      <c r="C521" s="18">
        <f t="shared" si="159"/>
        <v>571</v>
      </c>
      <c r="D521" s="18">
        <f t="shared" si="159"/>
        <v>845</v>
      </c>
      <c r="E521" s="18">
        <f t="shared" si="159"/>
        <v>6998</v>
      </c>
      <c r="F521" s="18">
        <f t="shared" si="159"/>
        <v>41573</v>
      </c>
      <c r="G521" s="18">
        <f t="shared" si="159"/>
        <v>34984</v>
      </c>
      <c r="H521" s="18">
        <f t="shared" si="159"/>
        <v>13474</v>
      </c>
      <c r="I521" s="18">
        <f t="shared" si="159"/>
        <v>202</v>
      </c>
      <c r="J521" s="18" t="str">
        <f t="shared" si="159"/>
        <v>-</v>
      </c>
      <c r="K521" s="18">
        <f t="shared" si="159"/>
        <v>98670</v>
      </c>
      <c r="L521" s="13"/>
      <c r="M521" s="3"/>
      <c r="N521" s="3"/>
      <c r="O521" s="3"/>
      <c r="P521" s="3"/>
      <c r="Q521" s="3"/>
      <c r="R521" s="3"/>
    </row>
    <row r="522" spans="1:18" ht="33.75" customHeight="1">
      <c r="A522" s="303" t="str">
        <f>A340</f>
        <v>a/  Monthly totals are the sum of statistical weeks with closest fit to the calendar month.  Since 1981, data from sampled ports only.  Effort consists of salmon angler trips only.   Astoria area includes Astoria, Warrenton, and Hammond; Tillamook area includes Garibaldi and Pacific City; Newport area includes Depoe Bay and Newport; Coos Bay area includes Florence, Winchester Bay, and Coos Bay; Brookings area includes Gold Beach and Brookings.  Values include state-waters only terminal area fisheries.</v>
      </c>
      <c r="B522" s="303"/>
      <c r="C522" s="303"/>
      <c r="D522" s="303"/>
      <c r="E522" s="303"/>
      <c r="F522" s="303"/>
      <c r="G522" s="303"/>
      <c r="H522" s="303"/>
      <c r="I522" s="303"/>
      <c r="J522" s="303"/>
      <c r="K522" s="303"/>
      <c r="L522" s="12"/>
      <c r="M522" s="12"/>
      <c r="N522" s="12"/>
      <c r="O522" s="12"/>
      <c r="P522" s="12"/>
      <c r="Q522" s="12"/>
      <c r="R522" s="12"/>
    </row>
    <row r="523" spans="1:18">
      <c r="A523" s="315" t="str">
        <f>A341</f>
        <v>b/  Preliminary.</v>
      </c>
      <c r="B523" s="315"/>
      <c r="C523" s="315"/>
      <c r="D523" s="315"/>
      <c r="E523" s="315"/>
      <c r="F523" s="315"/>
      <c r="G523" s="315"/>
      <c r="H523" s="315"/>
      <c r="I523" s="315"/>
      <c r="J523" s="315"/>
      <c r="K523" s="315"/>
      <c r="L523" s="12"/>
      <c r="M523" s="12"/>
      <c r="N523" s="12"/>
      <c r="O523" s="12"/>
      <c r="P523" s="12"/>
      <c r="Q523" s="12"/>
      <c r="R523" s="12"/>
    </row>
    <row r="524" spans="1:18" ht="11.25" customHeight="1">
      <c r="A524" s="193"/>
      <c r="B524" s="193"/>
      <c r="C524" s="193"/>
      <c r="D524" s="193"/>
      <c r="E524" s="193"/>
      <c r="F524" s="193"/>
      <c r="G524" s="193"/>
      <c r="H524" s="193"/>
      <c r="I524" s="193"/>
      <c r="J524" s="193"/>
      <c r="K524" s="193"/>
      <c r="L524" s="12"/>
      <c r="M524" s="12"/>
      <c r="N524" s="12"/>
      <c r="O524" s="12"/>
      <c r="P524" s="12"/>
      <c r="Q524" s="12"/>
      <c r="R524" s="12"/>
    </row>
    <row r="525" spans="1:18">
      <c r="A525" s="193"/>
      <c r="B525" s="193"/>
      <c r="C525" s="193"/>
      <c r="D525" s="193"/>
      <c r="E525" s="193"/>
      <c r="F525" s="193"/>
      <c r="G525" s="193"/>
      <c r="H525" s="193"/>
      <c r="I525" s="193"/>
      <c r="J525" s="193"/>
      <c r="K525" s="193"/>
      <c r="L525" s="12"/>
      <c r="M525" s="12"/>
      <c r="N525" s="12"/>
      <c r="O525" s="12"/>
      <c r="P525" s="12"/>
      <c r="Q525" s="12"/>
      <c r="R525" s="12"/>
    </row>
    <row r="526" spans="1:18" ht="11.25" customHeight="1">
      <c r="L526" s="11"/>
      <c r="M526" s="11"/>
      <c r="N526" s="11"/>
      <c r="O526" s="11"/>
      <c r="P526" s="11"/>
      <c r="Q526" s="11"/>
      <c r="R526" s="11"/>
    </row>
    <row r="527" spans="1:18" ht="11.25" customHeight="1">
      <c r="A527" s="315"/>
      <c r="B527" s="315"/>
      <c r="C527" s="315"/>
      <c r="D527" s="315"/>
      <c r="E527" s="315"/>
      <c r="F527" s="315"/>
      <c r="G527" s="315"/>
      <c r="H527" s="315"/>
      <c r="I527" s="315"/>
      <c r="J527" s="315"/>
      <c r="K527" s="315"/>
    </row>
    <row r="528" spans="1:18" ht="11.25" customHeight="1">
      <c r="A528" s="315"/>
      <c r="B528" s="315"/>
      <c r="C528" s="315"/>
      <c r="D528" s="315"/>
      <c r="E528" s="315"/>
      <c r="F528" s="315"/>
      <c r="G528" s="315"/>
      <c r="H528" s="315"/>
      <c r="I528" s="315"/>
      <c r="J528" s="315"/>
      <c r="K528" s="315"/>
    </row>
    <row r="529" ht="11.25" customHeight="1"/>
  </sheetData>
  <mergeCells count="11">
    <mergeCell ref="A502:K502"/>
    <mergeCell ref="A522:K522"/>
    <mergeCell ref="A523:K523"/>
    <mergeCell ref="A527:K527"/>
    <mergeCell ref="A528:K528"/>
    <mergeCell ref="A462:K462"/>
    <mergeCell ref="A1:K1"/>
    <mergeCell ref="A340:K340"/>
    <mergeCell ref="A341:K341"/>
    <mergeCell ref="A382:K382"/>
    <mergeCell ref="A422:K422"/>
  </mergeCells>
  <pageMargins left="0.7" right="0.7" top="0.75" bottom="0.75" header="0.3" footer="0.3"/>
  <pageSetup orientation="landscape" r:id="rId1"/>
  <rowBreaks count="3" manualBreakCount="3">
    <brk id="421" max="10" man="1"/>
    <brk id="461" max="10" man="1"/>
    <brk id="501" max="10"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dimension ref="A1:U539"/>
  <sheetViews>
    <sheetView showGridLines="0" zoomScale="90" zoomScaleNormal="90" zoomScaleSheetLayoutView="100" workbookViewId="0">
      <pane xSplit="1" ySplit="3" topLeftCell="B502"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8" defaultRowHeight="11"/>
  <cols>
    <col min="1" max="1" width="11.33203125" style="95" customWidth="1"/>
    <col min="2" max="3" width="4.6640625" style="38" customWidth="1"/>
    <col min="4" max="4" width="6.1640625" style="38" customWidth="1"/>
    <col min="5" max="5" width="7.1640625" style="38" customWidth="1"/>
    <col min="6" max="6" width="6.6640625" style="38" customWidth="1"/>
    <col min="7" max="7" width="6.83203125" style="38" customWidth="1"/>
    <col min="8" max="8" width="7.1640625" style="38" customWidth="1"/>
    <col min="9" max="9" width="6.1640625" style="38" bestFit="1" customWidth="1"/>
    <col min="10" max="10" width="4.5" style="38" customWidth="1"/>
    <col min="11" max="11" width="6.6640625" style="38" customWidth="1"/>
    <col min="12" max="12" width="0.33203125" style="38" customWidth="1"/>
    <col min="13" max="13" width="6.6640625" style="38" customWidth="1"/>
    <col min="14" max="14" width="7.33203125" style="38" bestFit="1" customWidth="1"/>
    <col min="15" max="16" width="7.6640625" style="38" bestFit="1" customWidth="1"/>
    <col min="17" max="17" width="7.1640625" style="38" bestFit="1" customWidth="1"/>
    <col min="18" max="18" width="5.6640625" style="38" customWidth="1"/>
    <col min="19" max="19" width="7.5" style="38" customWidth="1"/>
    <col min="20" max="16384" width="8" style="182"/>
  </cols>
  <sheetData>
    <row r="1" spans="1:19" ht="13">
      <c r="A1" s="318" t="s">
        <v>217</v>
      </c>
      <c r="B1" s="318"/>
      <c r="C1" s="318"/>
      <c r="D1" s="318"/>
      <c r="E1" s="318"/>
      <c r="F1" s="318"/>
      <c r="G1" s="318"/>
      <c r="H1" s="318"/>
      <c r="I1" s="318"/>
      <c r="J1" s="318"/>
      <c r="K1" s="318"/>
      <c r="L1" s="318"/>
      <c r="M1" s="318"/>
      <c r="N1" s="318"/>
      <c r="O1" s="318"/>
      <c r="P1" s="318"/>
      <c r="Q1" s="318"/>
      <c r="R1" s="318"/>
      <c r="S1" s="318"/>
    </row>
    <row r="2" spans="1:19" s="209" customFormat="1" ht="13">
      <c r="A2" s="109" t="s">
        <v>43</v>
      </c>
      <c r="B2" s="186" t="s">
        <v>37</v>
      </c>
      <c r="C2" s="186" t="s">
        <v>28</v>
      </c>
      <c r="D2" s="186" t="s">
        <v>29</v>
      </c>
      <c r="E2" s="186" t="s">
        <v>30</v>
      </c>
      <c r="F2" s="186" t="s">
        <v>31</v>
      </c>
      <c r="G2" s="186" t="s">
        <v>32</v>
      </c>
      <c r="H2" s="186" t="s">
        <v>33</v>
      </c>
      <c r="I2" s="186" t="s">
        <v>34</v>
      </c>
      <c r="J2" s="186" t="s">
        <v>38</v>
      </c>
      <c r="K2" s="186" t="s">
        <v>22</v>
      </c>
      <c r="L2" s="186"/>
      <c r="M2" s="186" t="s">
        <v>29</v>
      </c>
      <c r="N2" s="186" t="s">
        <v>30</v>
      </c>
      <c r="O2" s="186" t="s">
        <v>31</v>
      </c>
      <c r="P2" s="186" t="s">
        <v>32</v>
      </c>
      <c r="Q2" s="186" t="s">
        <v>33</v>
      </c>
      <c r="R2" s="186" t="s">
        <v>218</v>
      </c>
      <c r="S2" s="186" t="s">
        <v>219</v>
      </c>
    </row>
    <row r="3" spans="1:19" ht="15.75" customHeight="1">
      <c r="B3" s="321" t="s">
        <v>61</v>
      </c>
      <c r="C3" s="321"/>
      <c r="D3" s="321"/>
      <c r="E3" s="321"/>
      <c r="F3" s="321"/>
      <c r="G3" s="321"/>
      <c r="H3" s="321"/>
      <c r="I3" s="321"/>
      <c r="J3" s="321"/>
      <c r="K3" s="321"/>
      <c r="L3" s="177"/>
      <c r="M3" s="321" t="s">
        <v>62</v>
      </c>
      <c r="N3" s="321"/>
      <c r="O3" s="321"/>
      <c r="P3" s="321"/>
      <c r="Q3" s="321"/>
      <c r="R3" s="321"/>
      <c r="S3" s="321"/>
    </row>
    <row r="4" spans="1:19" ht="11.25" customHeight="1">
      <c r="B4" s="39"/>
      <c r="C4" s="39"/>
      <c r="D4" s="39"/>
      <c r="E4" s="39"/>
      <c r="F4" s="39"/>
      <c r="G4" s="39"/>
      <c r="H4" s="39"/>
      <c r="I4" s="39"/>
      <c r="J4" s="39"/>
      <c r="K4" s="39"/>
      <c r="M4" s="39"/>
      <c r="N4" s="39"/>
      <c r="O4" s="39"/>
      <c r="P4" s="39"/>
      <c r="Q4" s="39"/>
      <c r="R4" s="39"/>
      <c r="S4" s="39"/>
    </row>
    <row r="5" spans="1:19">
      <c r="A5" s="88" t="s">
        <v>102</v>
      </c>
    </row>
    <row r="6" spans="1:19">
      <c r="A6" s="99">
        <v>1976</v>
      </c>
      <c r="B6" s="38" t="s">
        <v>23</v>
      </c>
      <c r="C6" s="38">
        <v>0</v>
      </c>
      <c r="D6" s="38">
        <v>368</v>
      </c>
      <c r="E6" s="38">
        <v>7938</v>
      </c>
      <c r="F6" s="38">
        <v>11447</v>
      </c>
      <c r="G6" s="38">
        <v>19120</v>
      </c>
      <c r="H6" s="38">
        <v>5666</v>
      </c>
      <c r="I6" s="38">
        <v>35</v>
      </c>
      <c r="J6" s="38">
        <v>4</v>
      </c>
      <c r="K6" s="38">
        <f t="shared" ref="K6:K51" si="0">SUM(B6:J6)</f>
        <v>44578</v>
      </c>
      <c r="M6" s="38">
        <v>810</v>
      </c>
      <c r="N6" s="38">
        <v>14939</v>
      </c>
      <c r="O6" s="38">
        <v>34545</v>
      </c>
      <c r="P6" s="38">
        <v>41427</v>
      </c>
      <c r="Q6" s="38">
        <v>24170</v>
      </c>
      <c r="R6" s="38">
        <v>786</v>
      </c>
      <c r="S6" s="38">
        <f>SUM(M6:R6)</f>
        <v>116677</v>
      </c>
    </row>
    <row r="7" spans="1:19">
      <c r="A7" s="99">
        <v>1977</v>
      </c>
      <c r="B7" s="38" t="s">
        <v>23</v>
      </c>
      <c r="C7" s="38">
        <v>0</v>
      </c>
      <c r="D7" s="38">
        <v>372</v>
      </c>
      <c r="E7" s="38">
        <v>3733</v>
      </c>
      <c r="F7" s="38">
        <v>4124</v>
      </c>
      <c r="G7" s="38">
        <v>10996</v>
      </c>
      <c r="H7" s="38">
        <v>740</v>
      </c>
      <c r="I7" s="38">
        <v>184</v>
      </c>
      <c r="J7" s="38" t="s">
        <v>23</v>
      </c>
      <c r="K7" s="38">
        <f t="shared" si="0"/>
        <v>20149</v>
      </c>
      <c r="M7" s="38">
        <v>569</v>
      </c>
      <c r="N7" s="38">
        <v>5732</v>
      </c>
      <c r="O7" s="38">
        <v>20645</v>
      </c>
      <c r="P7" s="38">
        <v>17901</v>
      </c>
      <c r="Q7" s="38">
        <v>2600</v>
      </c>
      <c r="R7" s="38">
        <v>88</v>
      </c>
      <c r="S7" s="38">
        <f t="shared" ref="S7:S51" si="1">SUM(M7:R7)</f>
        <v>47535</v>
      </c>
    </row>
    <row r="8" spans="1:19">
      <c r="A8" s="99">
        <v>1978</v>
      </c>
      <c r="B8" s="38" t="s">
        <v>23</v>
      </c>
      <c r="C8" s="38">
        <v>0</v>
      </c>
      <c r="D8" s="38">
        <v>209</v>
      </c>
      <c r="E8" s="38">
        <v>1635</v>
      </c>
      <c r="F8" s="38">
        <v>1334</v>
      </c>
      <c r="G8" s="38">
        <v>4153</v>
      </c>
      <c r="H8" s="38">
        <v>524</v>
      </c>
      <c r="I8" s="38">
        <v>35</v>
      </c>
      <c r="J8" s="38" t="s">
        <v>23</v>
      </c>
      <c r="K8" s="38">
        <f t="shared" si="0"/>
        <v>7890</v>
      </c>
      <c r="M8" s="38">
        <v>901</v>
      </c>
      <c r="N8" s="38">
        <v>20175</v>
      </c>
      <c r="O8" s="38">
        <v>15193</v>
      </c>
      <c r="P8" s="38">
        <v>17172</v>
      </c>
      <c r="Q8" s="38">
        <v>6197</v>
      </c>
      <c r="R8" s="38">
        <v>96</v>
      </c>
      <c r="S8" s="38">
        <f t="shared" si="1"/>
        <v>59734</v>
      </c>
    </row>
    <row r="9" spans="1:19">
      <c r="A9" s="99">
        <v>1979</v>
      </c>
      <c r="B9" s="38" t="s">
        <v>23</v>
      </c>
      <c r="C9" s="38" t="s">
        <v>23</v>
      </c>
      <c r="D9" s="38">
        <v>619</v>
      </c>
      <c r="E9" s="38">
        <v>1593</v>
      </c>
      <c r="F9" s="38">
        <v>2084</v>
      </c>
      <c r="G9" s="38">
        <v>3127</v>
      </c>
      <c r="H9" s="38">
        <v>119</v>
      </c>
      <c r="I9" s="38" t="s">
        <v>23</v>
      </c>
      <c r="J9" s="38" t="s">
        <v>23</v>
      </c>
      <c r="K9" s="38">
        <f t="shared" si="0"/>
        <v>7542</v>
      </c>
      <c r="M9" s="38">
        <v>403</v>
      </c>
      <c r="N9" s="38">
        <v>6475</v>
      </c>
      <c r="O9" s="38">
        <v>13275</v>
      </c>
      <c r="P9" s="38">
        <v>16336</v>
      </c>
      <c r="Q9" s="38">
        <v>1545</v>
      </c>
      <c r="R9" s="38" t="s">
        <v>23</v>
      </c>
      <c r="S9" s="38">
        <f t="shared" si="1"/>
        <v>38034</v>
      </c>
    </row>
    <row r="10" spans="1:19">
      <c r="A10" s="99">
        <v>1980</v>
      </c>
      <c r="B10" s="38" t="s">
        <v>23</v>
      </c>
      <c r="C10" s="38" t="s">
        <v>23</v>
      </c>
      <c r="D10" s="38">
        <v>98</v>
      </c>
      <c r="E10" s="38">
        <v>1153</v>
      </c>
      <c r="F10" s="38">
        <v>1374</v>
      </c>
      <c r="G10" s="38">
        <v>2479</v>
      </c>
      <c r="H10" s="38">
        <v>399</v>
      </c>
      <c r="I10" s="38" t="s">
        <v>23</v>
      </c>
      <c r="J10" s="38" t="s">
        <v>23</v>
      </c>
      <c r="K10" s="38">
        <f t="shared" si="0"/>
        <v>5503</v>
      </c>
      <c r="M10" s="38">
        <v>1801</v>
      </c>
      <c r="N10" s="38">
        <v>17259</v>
      </c>
      <c r="O10" s="38">
        <v>19839</v>
      </c>
      <c r="P10" s="38">
        <v>15550</v>
      </c>
      <c r="Q10" s="38">
        <v>1198</v>
      </c>
      <c r="R10" s="38" t="s">
        <v>23</v>
      </c>
      <c r="S10" s="38">
        <f t="shared" si="1"/>
        <v>55647</v>
      </c>
    </row>
    <row r="11" spans="1:19">
      <c r="A11" s="99">
        <v>1981</v>
      </c>
      <c r="B11" s="38" t="s">
        <v>23</v>
      </c>
      <c r="C11" s="38" t="s">
        <v>23</v>
      </c>
      <c r="D11" s="38">
        <v>29</v>
      </c>
      <c r="E11" s="38">
        <v>390</v>
      </c>
      <c r="F11" s="38">
        <v>3161</v>
      </c>
      <c r="G11" s="38">
        <v>6706</v>
      </c>
      <c r="H11" s="38">
        <v>1230</v>
      </c>
      <c r="I11" s="38" t="s">
        <v>23</v>
      </c>
      <c r="J11" s="38" t="s">
        <v>23</v>
      </c>
      <c r="K11" s="38">
        <f t="shared" si="0"/>
        <v>11516</v>
      </c>
      <c r="M11" s="38">
        <v>1699</v>
      </c>
      <c r="N11" s="38">
        <v>8289</v>
      </c>
      <c r="O11" s="38">
        <v>18106</v>
      </c>
      <c r="P11" s="38">
        <v>20239</v>
      </c>
      <c r="Q11" s="38">
        <v>5961</v>
      </c>
      <c r="R11" s="38" t="s">
        <v>23</v>
      </c>
      <c r="S11" s="38">
        <f t="shared" si="1"/>
        <v>54294</v>
      </c>
    </row>
    <row r="12" spans="1:19">
      <c r="A12" s="99">
        <v>1982</v>
      </c>
      <c r="B12" s="38" t="s">
        <v>23</v>
      </c>
      <c r="C12" s="38" t="s">
        <v>23</v>
      </c>
      <c r="D12" s="38" t="s">
        <v>23</v>
      </c>
      <c r="E12" s="38">
        <v>2237</v>
      </c>
      <c r="F12" s="38">
        <v>5998</v>
      </c>
      <c r="G12" s="38">
        <v>0</v>
      </c>
      <c r="H12" s="38" t="s">
        <v>23</v>
      </c>
      <c r="I12" s="38" t="s">
        <v>23</v>
      </c>
      <c r="J12" s="38" t="s">
        <v>23</v>
      </c>
      <c r="K12" s="38">
        <f t="shared" si="0"/>
        <v>8235</v>
      </c>
      <c r="M12" s="38" t="s">
        <v>23</v>
      </c>
      <c r="N12" s="38">
        <v>5307</v>
      </c>
      <c r="O12" s="38">
        <v>30169</v>
      </c>
      <c r="P12" s="38">
        <v>0</v>
      </c>
      <c r="Q12" s="38" t="s">
        <v>23</v>
      </c>
      <c r="R12" s="38" t="s">
        <v>23</v>
      </c>
      <c r="S12" s="38">
        <f t="shared" si="1"/>
        <v>35476</v>
      </c>
    </row>
    <row r="13" spans="1:19">
      <c r="A13" s="99">
        <v>1983</v>
      </c>
      <c r="B13" s="38" t="s">
        <v>23</v>
      </c>
      <c r="C13" s="38" t="s">
        <v>23</v>
      </c>
      <c r="D13" s="38" t="s">
        <v>23</v>
      </c>
      <c r="E13" s="38">
        <v>1034</v>
      </c>
      <c r="F13" s="38">
        <v>1645</v>
      </c>
      <c r="G13" s="38">
        <v>533</v>
      </c>
      <c r="H13" s="38">
        <v>228</v>
      </c>
      <c r="I13" s="38" t="s">
        <v>23</v>
      </c>
      <c r="J13" s="38" t="s">
        <v>23</v>
      </c>
      <c r="K13" s="38">
        <f t="shared" si="0"/>
        <v>3440</v>
      </c>
      <c r="M13" s="38" t="s">
        <v>23</v>
      </c>
      <c r="N13" s="38">
        <v>3569</v>
      </c>
      <c r="O13" s="38">
        <v>18878</v>
      </c>
      <c r="P13" s="38">
        <v>9742</v>
      </c>
      <c r="Q13" s="38">
        <v>5056</v>
      </c>
      <c r="R13" s="38" t="s">
        <v>23</v>
      </c>
      <c r="S13" s="38">
        <f t="shared" si="1"/>
        <v>37245</v>
      </c>
    </row>
    <row r="14" spans="1:19">
      <c r="A14" s="99">
        <v>1984</v>
      </c>
      <c r="B14" s="38" t="s">
        <v>23</v>
      </c>
      <c r="C14" s="38" t="s">
        <v>23</v>
      </c>
      <c r="D14" s="38" t="s">
        <v>23</v>
      </c>
      <c r="E14" s="38" t="s">
        <v>23</v>
      </c>
      <c r="F14" s="38">
        <v>1</v>
      </c>
      <c r="G14" s="38">
        <v>60</v>
      </c>
      <c r="H14" s="38" t="s">
        <v>23</v>
      </c>
      <c r="I14" s="38" t="s">
        <v>23</v>
      </c>
      <c r="J14" s="38" t="s">
        <v>23</v>
      </c>
      <c r="K14" s="38">
        <f t="shared" si="0"/>
        <v>61</v>
      </c>
      <c r="M14" s="38" t="s">
        <v>23</v>
      </c>
      <c r="N14" s="38" t="s">
        <v>23</v>
      </c>
      <c r="O14" s="38">
        <v>3571</v>
      </c>
      <c r="P14" s="38">
        <v>7303</v>
      </c>
      <c r="Q14" s="38" t="s">
        <v>23</v>
      </c>
      <c r="R14" s="38" t="s">
        <v>23</v>
      </c>
      <c r="S14" s="38">
        <f t="shared" si="1"/>
        <v>10874</v>
      </c>
    </row>
    <row r="15" spans="1:19">
      <c r="A15" s="99">
        <v>1985</v>
      </c>
      <c r="B15" s="38" t="s">
        <v>23</v>
      </c>
      <c r="C15" s="38" t="s">
        <v>23</v>
      </c>
      <c r="D15" s="38" t="s">
        <v>23</v>
      </c>
      <c r="E15" s="38">
        <v>27</v>
      </c>
      <c r="F15" s="38">
        <v>1330</v>
      </c>
      <c r="G15" s="38">
        <v>2210</v>
      </c>
      <c r="H15" s="38" t="s">
        <v>23</v>
      </c>
      <c r="I15" s="38" t="s">
        <v>23</v>
      </c>
      <c r="J15" s="38" t="s">
        <v>23</v>
      </c>
      <c r="K15" s="38">
        <f t="shared" si="0"/>
        <v>3567</v>
      </c>
      <c r="M15" s="38" t="s">
        <v>23</v>
      </c>
      <c r="N15" s="38">
        <v>687</v>
      </c>
      <c r="O15" s="38">
        <v>11551</v>
      </c>
      <c r="P15" s="38">
        <v>18771</v>
      </c>
      <c r="Q15" s="38" t="s">
        <v>23</v>
      </c>
      <c r="R15" s="38" t="s">
        <v>23</v>
      </c>
      <c r="S15" s="38">
        <f t="shared" si="1"/>
        <v>31009</v>
      </c>
    </row>
    <row r="16" spans="1:19">
      <c r="A16" s="95">
        <v>1986</v>
      </c>
      <c r="B16" s="38" t="s">
        <v>23</v>
      </c>
      <c r="C16" s="38" t="s">
        <v>23</v>
      </c>
      <c r="D16" s="38" t="s">
        <v>23</v>
      </c>
      <c r="E16" s="38">
        <v>63</v>
      </c>
      <c r="F16" s="38">
        <v>1143</v>
      </c>
      <c r="G16" s="38">
        <v>699</v>
      </c>
      <c r="H16" s="38" t="s">
        <v>23</v>
      </c>
      <c r="I16" s="38" t="s">
        <v>23</v>
      </c>
      <c r="J16" s="38" t="s">
        <v>23</v>
      </c>
      <c r="K16" s="38">
        <f t="shared" si="0"/>
        <v>1905</v>
      </c>
      <c r="M16" s="38" t="s">
        <v>23</v>
      </c>
      <c r="N16" s="38">
        <v>1272</v>
      </c>
      <c r="O16" s="38">
        <v>21595</v>
      </c>
      <c r="P16" s="38">
        <v>13757</v>
      </c>
      <c r="Q16" s="38" t="s">
        <v>23</v>
      </c>
      <c r="R16" s="38" t="s">
        <v>23</v>
      </c>
      <c r="S16" s="38">
        <f t="shared" si="1"/>
        <v>36624</v>
      </c>
    </row>
    <row r="17" spans="1:19">
      <c r="A17" s="95">
        <v>1987</v>
      </c>
      <c r="B17" s="38" t="s">
        <v>23</v>
      </c>
      <c r="C17" s="38" t="s">
        <v>23</v>
      </c>
      <c r="D17" s="38" t="s">
        <v>23</v>
      </c>
      <c r="E17" s="38">
        <v>191</v>
      </c>
      <c r="F17" s="38">
        <v>2008</v>
      </c>
      <c r="G17" s="38">
        <v>1864</v>
      </c>
      <c r="H17" s="38" t="s">
        <v>23</v>
      </c>
      <c r="I17" s="38" t="s">
        <v>23</v>
      </c>
      <c r="J17" s="38" t="s">
        <v>23</v>
      </c>
      <c r="K17" s="38">
        <f t="shared" si="0"/>
        <v>4063</v>
      </c>
      <c r="M17" s="38" t="s">
        <v>23</v>
      </c>
      <c r="N17" s="38">
        <v>866</v>
      </c>
      <c r="O17" s="38">
        <v>12488</v>
      </c>
      <c r="P17" s="38">
        <v>12293</v>
      </c>
      <c r="Q17" s="38" t="s">
        <v>23</v>
      </c>
      <c r="R17" s="38" t="s">
        <v>23</v>
      </c>
      <c r="S17" s="38">
        <f t="shared" si="1"/>
        <v>25647</v>
      </c>
    </row>
    <row r="18" spans="1:19">
      <c r="A18" s="95">
        <v>1988</v>
      </c>
      <c r="B18" s="38" t="s">
        <v>23</v>
      </c>
      <c r="C18" s="38" t="s">
        <v>23</v>
      </c>
      <c r="D18" s="38" t="s">
        <v>23</v>
      </c>
      <c r="E18" s="38" t="s">
        <v>23</v>
      </c>
      <c r="F18" s="38">
        <v>481</v>
      </c>
      <c r="G18" s="38" t="s">
        <v>23</v>
      </c>
      <c r="H18" s="38" t="s">
        <v>23</v>
      </c>
      <c r="I18" s="38" t="s">
        <v>23</v>
      </c>
      <c r="J18" s="38" t="s">
        <v>23</v>
      </c>
      <c r="K18" s="38">
        <f t="shared" si="0"/>
        <v>481</v>
      </c>
      <c r="M18" s="38" t="s">
        <v>23</v>
      </c>
      <c r="N18" s="38" t="s">
        <v>23</v>
      </c>
      <c r="O18" s="38">
        <v>9845</v>
      </c>
      <c r="P18" s="38" t="s">
        <v>23</v>
      </c>
      <c r="Q18" s="38" t="s">
        <v>23</v>
      </c>
      <c r="R18" s="38" t="s">
        <v>23</v>
      </c>
      <c r="S18" s="38">
        <f t="shared" si="1"/>
        <v>9845</v>
      </c>
    </row>
    <row r="19" spans="1:19">
      <c r="A19" s="95">
        <v>1989</v>
      </c>
      <c r="B19" s="38" t="s">
        <v>23</v>
      </c>
      <c r="C19" s="38" t="s">
        <v>23</v>
      </c>
      <c r="D19" s="38">
        <v>29</v>
      </c>
      <c r="E19" s="38">
        <v>155</v>
      </c>
      <c r="F19" s="38">
        <v>206</v>
      </c>
      <c r="G19" s="38">
        <v>1071</v>
      </c>
      <c r="H19" s="38" t="s">
        <v>23</v>
      </c>
      <c r="I19" s="38" t="s">
        <v>23</v>
      </c>
      <c r="J19" s="38" t="s">
        <v>23</v>
      </c>
      <c r="K19" s="38">
        <f t="shared" si="0"/>
        <v>1461</v>
      </c>
      <c r="M19" s="38" t="s">
        <v>23</v>
      </c>
      <c r="N19" s="38">
        <v>1646</v>
      </c>
      <c r="O19" s="38">
        <v>17485</v>
      </c>
      <c r="P19" s="38">
        <v>15173</v>
      </c>
      <c r="Q19" s="38" t="s">
        <v>23</v>
      </c>
      <c r="R19" s="38" t="s">
        <v>23</v>
      </c>
      <c r="S19" s="38">
        <f t="shared" si="1"/>
        <v>34304</v>
      </c>
    </row>
    <row r="20" spans="1:19">
      <c r="A20" s="95">
        <v>1990</v>
      </c>
      <c r="B20" s="38" t="s">
        <v>23</v>
      </c>
      <c r="C20" s="38" t="s">
        <v>23</v>
      </c>
      <c r="D20" s="38" t="s">
        <v>23</v>
      </c>
      <c r="E20" s="38">
        <v>100</v>
      </c>
      <c r="F20" s="38">
        <v>931</v>
      </c>
      <c r="G20" s="38">
        <v>2201</v>
      </c>
      <c r="H20" s="38">
        <v>87</v>
      </c>
      <c r="I20" s="38" t="s">
        <v>23</v>
      </c>
      <c r="J20" s="38" t="s">
        <v>23</v>
      </c>
      <c r="K20" s="38">
        <f t="shared" si="0"/>
        <v>3319</v>
      </c>
      <c r="M20" s="38" t="s">
        <v>23</v>
      </c>
      <c r="N20" s="38">
        <v>3516</v>
      </c>
      <c r="O20" s="38">
        <v>14685</v>
      </c>
      <c r="P20" s="38">
        <v>16602</v>
      </c>
      <c r="Q20" s="38">
        <v>1307</v>
      </c>
      <c r="R20" s="38" t="s">
        <v>23</v>
      </c>
      <c r="S20" s="38">
        <f t="shared" si="1"/>
        <v>36110</v>
      </c>
    </row>
    <row r="21" spans="1:19">
      <c r="A21" s="95">
        <v>1991</v>
      </c>
      <c r="B21" s="38" t="s">
        <v>23</v>
      </c>
      <c r="C21" s="38" t="s">
        <v>23</v>
      </c>
      <c r="D21" s="38" t="s">
        <v>23</v>
      </c>
      <c r="E21" s="38">
        <v>81</v>
      </c>
      <c r="F21" s="38">
        <v>335</v>
      </c>
      <c r="G21" s="38">
        <v>550</v>
      </c>
      <c r="H21" s="38">
        <v>17</v>
      </c>
      <c r="I21" s="38" t="s">
        <v>23</v>
      </c>
      <c r="J21" s="38" t="s">
        <v>23</v>
      </c>
      <c r="K21" s="38">
        <f t="shared" si="0"/>
        <v>983</v>
      </c>
      <c r="M21" s="38" t="s">
        <v>23</v>
      </c>
      <c r="N21" s="38">
        <v>2409</v>
      </c>
      <c r="O21" s="38">
        <v>16368</v>
      </c>
      <c r="P21" s="38">
        <v>17222</v>
      </c>
      <c r="Q21" s="38">
        <v>3397</v>
      </c>
      <c r="R21" s="38" t="s">
        <v>23</v>
      </c>
      <c r="S21" s="38">
        <f t="shared" si="1"/>
        <v>39396</v>
      </c>
    </row>
    <row r="22" spans="1:19">
      <c r="A22" s="95">
        <v>1992</v>
      </c>
      <c r="B22" s="38" t="s">
        <v>23</v>
      </c>
      <c r="C22" s="38" t="s">
        <v>23</v>
      </c>
      <c r="D22" s="38" t="s">
        <v>23</v>
      </c>
      <c r="E22" s="38" t="s">
        <v>23</v>
      </c>
      <c r="F22" s="38">
        <v>307</v>
      </c>
      <c r="G22" s="38">
        <v>161</v>
      </c>
      <c r="H22" s="38">
        <v>40</v>
      </c>
      <c r="I22" s="38" t="s">
        <v>23</v>
      </c>
      <c r="J22" s="38" t="s">
        <v>23</v>
      </c>
      <c r="K22" s="38">
        <f t="shared" si="0"/>
        <v>508</v>
      </c>
      <c r="M22" s="38" t="s">
        <v>23</v>
      </c>
      <c r="N22" s="38" t="s">
        <v>23</v>
      </c>
      <c r="O22" s="38">
        <v>17882</v>
      </c>
      <c r="P22" s="38">
        <v>3005</v>
      </c>
      <c r="Q22" s="38">
        <v>1393</v>
      </c>
      <c r="R22" s="38" t="s">
        <v>23</v>
      </c>
      <c r="S22" s="38">
        <f t="shared" si="1"/>
        <v>22280</v>
      </c>
    </row>
    <row r="23" spans="1:19">
      <c r="A23" s="95">
        <v>1993</v>
      </c>
      <c r="B23" s="38" t="s">
        <v>23</v>
      </c>
      <c r="C23" s="38" t="s">
        <v>23</v>
      </c>
      <c r="D23" s="38" t="s">
        <v>23</v>
      </c>
      <c r="E23" s="38" t="s">
        <v>23</v>
      </c>
      <c r="F23" s="38">
        <v>239</v>
      </c>
      <c r="G23" s="38">
        <v>405</v>
      </c>
      <c r="H23" s="38">
        <v>192</v>
      </c>
      <c r="I23" s="38" t="s">
        <v>23</v>
      </c>
      <c r="J23" s="38" t="s">
        <v>23</v>
      </c>
      <c r="K23" s="38">
        <f t="shared" si="0"/>
        <v>836</v>
      </c>
      <c r="M23" s="38" t="s">
        <v>23</v>
      </c>
      <c r="N23" s="38" t="s">
        <v>23</v>
      </c>
      <c r="O23" s="38">
        <v>7098</v>
      </c>
      <c r="P23" s="38">
        <v>10314</v>
      </c>
      <c r="Q23" s="38">
        <v>3764</v>
      </c>
      <c r="R23" s="38" t="s">
        <v>23</v>
      </c>
      <c r="S23" s="38">
        <f t="shared" si="1"/>
        <v>21176</v>
      </c>
    </row>
    <row r="24" spans="1:19">
      <c r="A24" s="95">
        <v>1994</v>
      </c>
      <c r="B24" s="38" t="s">
        <v>23</v>
      </c>
      <c r="C24" s="38" t="s">
        <v>23</v>
      </c>
      <c r="D24" s="38" t="s">
        <v>23</v>
      </c>
      <c r="E24" s="38" t="s">
        <v>23</v>
      </c>
      <c r="F24" s="38" t="s">
        <v>23</v>
      </c>
      <c r="G24" s="38" t="s">
        <v>23</v>
      </c>
      <c r="H24" s="38" t="s">
        <v>23</v>
      </c>
      <c r="I24" s="38" t="s">
        <v>23</v>
      </c>
      <c r="J24" s="38" t="s">
        <v>23</v>
      </c>
      <c r="K24" s="38" t="s">
        <v>23</v>
      </c>
      <c r="M24" s="38" t="s">
        <v>23</v>
      </c>
      <c r="N24" s="38" t="s">
        <v>23</v>
      </c>
      <c r="O24" s="38" t="s">
        <v>23</v>
      </c>
      <c r="P24" s="38" t="s">
        <v>23</v>
      </c>
      <c r="Q24" s="38" t="s">
        <v>23</v>
      </c>
      <c r="R24" s="38" t="s">
        <v>23</v>
      </c>
      <c r="S24" s="38" t="s">
        <v>23</v>
      </c>
    </row>
    <row r="25" spans="1:19">
      <c r="A25" s="95">
        <v>1995</v>
      </c>
      <c r="B25" s="38" t="s">
        <v>23</v>
      </c>
      <c r="C25" s="38" t="s">
        <v>23</v>
      </c>
      <c r="D25" s="38" t="s">
        <v>23</v>
      </c>
      <c r="E25" s="38" t="s">
        <v>23</v>
      </c>
      <c r="F25" s="38">
        <v>16</v>
      </c>
      <c r="G25" s="38">
        <v>90</v>
      </c>
      <c r="H25" s="38">
        <v>3</v>
      </c>
      <c r="I25" s="38" t="s">
        <v>23</v>
      </c>
      <c r="J25" s="38" t="s">
        <v>23</v>
      </c>
      <c r="K25" s="38">
        <f t="shared" si="0"/>
        <v>109</v>
      </c>
      <c r="M25" s="38" t="s">
        <v>23</v>
      </c>
      <c r="N25" s="38" t="s">
        <v>23</v>
      </c>
      <c r="O25" s="38">
        <v>1976</v>
      </c>
      <c r="P25" s="38">
        <v>9028</v>
      </c>
      <c r="Q25" s="38">
        <v>773</v>
      </c>
      <c r="R25" s="38" t="s">
        <v>23</v>
      </c>
      <c r="S25" s="38">
        <f t="shared" si="1"/>
        <v>11777</v>
      </c>
    </row>
    <row r="26" spans="1:19">
      <c r="A26" s="95">
        <v>1996</v>
      </c>
      <c r="B26" s="38" t="s">
        <v>23</v>
      </c>
      <c r="C26" s="38" t="s">
        <v>23</v>
      </c>
      <c r="D26" s="38" t="s">
        <v>23</v>
      </c>
      <c r="E26" s="38" t="s">
        <v>23</v>
      </c>
      <c r="F26" s="38">
        <v>5</v>
      </c>
      <c r="G26" s="38">
        <v>13</v>
      </c>
      <c r="H26" s="38">
        <v>10</v>
      </c>
      <c r="I26" s="38" t="s">
        <v>23</v>
      </c>
      <c r="J26" s="38" t="s">
        <v>23</v>
      </c>
      <c r="K26" s="38">
        <f t="shared" si="0"/>
        <v>28</v>
      </c>
      <c r="M26" s="38" t="s">
        <v>23</v>
      </c>
      <c r="N26" s="38" t="s">
        <v>23</v>
      </c>
      <c r="O26" s="38">
        <v>1429</v>
      </c>
      <c r="P26" s="38">
        <v>4670</v>
      </c>
      <c r="Q26" s="38">
        <v>936</v>
      </c>
      <c r="R26" s="38" t="s">
        <v>23</v>
      </c>
      <c r="S26" s="38">
        <f t="shared" si="1"/>
        <v>7035</v>
      </c>
    </row>
    <row r="27" spans="1:19">
      <c r="A27" s="95">
        <v>1997</v>
      </c>
      <c r="B27" s="38" t="s">
        <v>23</v>
      </c>
      <c r="C27" s="38" t="s">
        <v>23</v>
      </c>
      <c r="D27" s="38" t="s">
        <v>23</v>
      </c>
      <c r="E27" s="38" t="s">
        <v>23</v>
      </c>
      <c r="F27" s="38">
        <v>128</v>
      </c>
      <c r="G27" s="38">
        <v>55</v>
      </c>
      <c r="H27" s="38" t="s">
        <v>23</v>
      </c>
      <c r="I27" s="38" t="s">
        <v>23</v>
      </c>
      <c r="J27" s="38" t="s">
        <v>23</v>
      </c>
      <c r="K27" s="38">
        <f t="shared" si="0"/>
        <v>183</v>
      </c>
      <c r="M27" s="38" t="s">
        <v>23</v>
      </c>
      <c r="N27" s="38" t="s">
        <v>23</v>
      </c>
      <c r="O27" s="38">
        <v>4455</v>
      </c>
      <c r="P27" s="38">
        <v>1352</v>
      </c>
      <c r="Q27" s="38" t="s">
        <v>23</v>
      </c>
      <c r="R27" s="38" t="s">
        <v>23</v>
      </c>
      <c r="S27" s="38">
        <f t="shared" si="1"/>
        <v>5807</v>
      </c>
    </row>
    <row r="28" spans="1:19">
      <c r="A28" s="95">
        <v>1998</v>
      </c>
      <c r="B28" s="38" t="s">
        <v>23</v>
      </c>
      <c r="C28" s="38" t="s">
        <v>23</v>
      </c>
      <c r="D28" s="38" t="s">
        <v>23</v>
      </c>
      <c r="E28" s="38" t="s">
        <v>23</v>
      </c>
      <c r="F28" s="38" t="s">
        <v>23</v>
      </c>
      <c r="G28" s="38">
        <v>94</v>
      </c>
      <c r="H28" s="38">
        <v>11</v>
      </c>
      <c r="I28" s="38" t="s">
        <v>23</v>
      </c>
      <c r="J28" s="38" t="s">
        <v>23</v>
      </c>
      <c r="K28" s="38">
        <f t="shared" si="0"/>
        <v>105</v>
      </c>
      <c r="M28" s="38" t="s">
        <v>23</v>
      </c>
      <c r="N28" s="38" t="s">
        <v>23</v>
      </c>
      <c r="O28" s="38" t="s">
        <v>23</v>
      </c>
      <c r="P28" s="38">
        <v>2021</v>
      </c>
      <c r="Q28" s="38">
        <v>150</v>
      </c>
      <c r="R28" s="38" t="s">
        <v>23</v>
      </c>
      <c r="S28" s="38">
        <f t="shared" si="1"/>
        <v>2171</v>
      </c>
    </row>
    <row r="29" spans="1:19">
      <c r="A29" s="95">
        <v>1999</v>
      </c>
      <c r="B29" s="38" t="s">
        <v>23</v>
      </c>
      <c r="C29" s="38" t="s">
        <v>23</v>
      </c>
      <c r="D29" s="38" t="s">
        <v>23</v>
      </c>
      <c r="E29" s="38" t="s">
        <v>23</v>
      </c>
      <c r="F29" s="38">
        <v>219</v>
      </c>
      <c r="G29" s="38">
        <v>622</v>
      </c>
      <c r="H29" s="38">
        <v>93</v>
      </c>
      <c r="I29" s="38" t="s">
        <v>23</v>
      </c>
      <c r="J29" s="38" t="s">
        <v>23</v>
      </c>
      <c r="K29" s="38">
        <f t="shared" si="0"/>
        <v>934</v>
      </c>
      <c r="M29" s="38" t="s">
        <v>23</v>
      </c>
      <c r="N29" s="38" t="s">
        <v>23</v>
      </c>
      <c r="O29" s="38">
        <v>2465</v>
      </c>
      <c r="P29" s="38">
        <v>3359</v>
      </c>
      <c r="Q29" s="38">
        <v>1720</v>
      </c>
      <c r="R29" s="38" t="s">
        <v>23</v>
      </c>
      <c r="S29" s="38">
        <f t="shared" si="1"/>
        <v>7544</v>
      </c>
    </row>
    <row r="30" spans="1:19">
      <c r="A30" s="95">
        <v>2000</v>
      </c>
      <c r="B30" s="38" t="s">
        <v>23</v>
      </c>
      <c r="C30" s="38" t="s">
        <v>23</v>
      </c>
      <c r="D30" s="38" t="s">
        <v>23</v>
      </c>
      <c r="E30" s="38" t="s">
        <v>23</v>
      </c>
      <c r="F30" s="38">
        <v>435</v>
      </c>
      <c r="G30" s="38">
        <v>329</v>
      </c>
      <c r="H30" s="38" t="s">
        <v>23</v>
      </c>
      <c r="I30" s="38" t="s">
        <v>23</v>
      </c>
      <c r="J30" s="38" t="s">
        <v>23</v>
      </c>
      <c r="K30" s="38">
        <f t="shared" si="0"/>
        <v>764</v>
      </c>
      <c r="M30" s="38" t="s">
        <v>23</v>
      </c>
      <c r="N30" s="38" t="s">
        <v>23</v>
      </c>
      <c r="O30" s="38">
        <v>6751</v>
      </c>
      <c r="P30" s="38">
        <v>6975</v>
      </c>
      <c r="Q30" s="38" t="s">
        <v>23</v>
      </c>
      <c r="R30" s="38" t="s">
        <v>23</v>
      </c>
      <c r="S30" s="38">
        <f t="shared" si="1"/>
        <v>13726</v>
      </c>
    </row>
    <row r="31" spans="1:19">
      <c r="A31" s="95">
        <v>2001</v>
      </c>
      <c r="B31" s="38" t="s">
        <v>23</v>
      </c>
      <c r="C31" s="38" t="s">
        <v>23</v>
      </c>
      <c r="D31" s="38" t="s">
        <v>23</v>
      </c>
      <c r="E31" s="38" t="s">
        <v>23</v>
      </c>
      <c r="F31" s="38">
        <v>1000</v>
      </c>
      <c r="G31" s="38">
        <v>1478</v>
      </c>
      <c r="H31" s="38">
        <v>140</v>
      </c>
      <c r="I31" s="38" t="s">
        <v>23</v>
      </c>
      <c r="J31" s="38" t="s">
        <v>23</v>
      </c>
      <c r="K31" s="38">
        <f t="shared" si="0"/>
        <v>2618</v>
      </c>
      <c r="M31" s="38" t="s">
        <v>23</v>
      </c>
      <c r="N31" s="38" t="s">
        <v>23</v>
      </c>
      <c r="O31" s="38">
        <v>13537</v>
      </c>
      <c r="P31" s="38">
        <v>21990</v>
      </c>
      <c r="Q31" s="38">
        <v>3662</v>
      </c>
      <c r="R31" s="38" t="s">
        <v>23</v>
      </c>
      <c r="S31" s="38">
        <f t="shared" si="1"/>
        <v>39189</v>
      </c>
    </row>
    <row r="32" spans="1:19">
      <c r="A32" s="95">
        <v>2002</v>
      </c>
      <c r="B32" s="38" t="s">
        <v>23</v>
      </c>
      <c r="C32" s="38" t="s">
        <v>23</v>
      </c>
      <c r="D32" s="38">
        <v>33</v>
      </c>
      <c r="E32" s="38">
        <v>347</v>
      </c>
      <c r="F32" s="38">
        <v>1540</v>
      </c>
      <c r="G32" s="38">
        <v>827</v>
      </c>
      <c r="H32" s="38">
        <v>4</v>
      </c>
      <c r="I32" s="38">
        <v>3</v>
      </c>
      <c r="J32" s="38" t="s">
        <v>23</v>
      </c>
      <c r="K32" s="38">
        <f t="shared" si="0"/>
        <v>2754</v>
      </c>
      <c r="M32" s="38" t="s">
        <v>23</v>
      </c>
      <c r="N32" s="38" t="s">
        <v>23</v>
      </c>
      <c r="O32" s="38">
        <v>4432</v>
      </c>
      <c r="P32" s="38">
        <v>8530</v>
      </c>
      <c r="Q32" s="38">
        <v>1441</v>
      </c>
      <c r="R32" s="38" t="s">
        <v>23</v>
      </c>
      <c r="S32" s="38">
        <f t="shared" si="1"/>
        <v>14403</v>
      </c>
    </row>
    <row r="33" spans="1:19">
      <c r="A33" s="95">
        <v>2003</v>
      </c>
      <c r="B33" s="38" t="s">
        <v>23</v>
      </c>
      <c r="C33" s="38" t="s">
        <v>23</v>
      </c>
      <c r="D33" s="38" t="s">
        <v>23</v>
      </c>
      <c r="E33" s="38">
        <v>8</v>
      </c>
      <c r="F33" s="38">
        <v>546</v>
      </c>
      <c r="G33" s="38">
        <v>1659</v>
      </c>
      <c r="H33" s="38">
        <v>117</v>
      </c>
      <c r="I33" s="38" t="s">
        <v>23</v>
      </c>
      <c r="J33" s="38" t="s">
        <v>23</v>
      </c>
      <c r="K33" s="38">
        <f t="shared" si="0"/>
        <v>2330</v>
      </c>
      <c r="M33" s="38" t="s">
        <v>23</v>
      </c>
      <c r="N33" s="38">
        <v>55</v>
      </c>
      <c r="O33" s="38">
        <v>8237</v>
      </c>
      <c r="P33" s="38">
        <v>19891</v>
      </c>
      <c r="Q33" s="38">
        <v>1588</v>
      </c>
      <c r="R33" s="38" t="s">
        <v>23</v>
      </c>
      <c r="S33" s="38">
        <f t="shared" si="1"/>
        <v>29771</v>
      </c>
    </row>
    <row r="34" spans="1:19">
      <c r="A34" s="95">
        <v>2004</v>
      </c>
      <c r="B34" s="38" t="s">
        <v>23</v>
      </c>
      <c r="C34" s="38" t="s">
        <v>23</v>
      </c>
      <c r="D34" s="38" t="s">
        <v>23</v>
      </c>
      <c r="E34" s="38">
        <v>25</v>
      </c>
      <c r="F34" s="38">
        <v>303</v>
      </c>
      <c r="G34" s="38">
        <v>1426</v>
      </c>
      <c r="H34" s="38">
        <v>429</v>
      </c>
      <c r="I34" s="38" t="s">
        <v>23</v>
      </c>
      <c r="J34" s="38" t="s">
        <v>23</v>
      </c>
      <c r="K34" s="38">
        <f t="shared" si="0"/>
        <v>2183</v>
      </c>
      <c r="M34" s="38" t="s">
        <v>23</v>
      </c>
      <c r="N34" s="38">
        <v>368</v>
      </c>
      <c r="O34" s="38">
        <v>6583</v>
      </c>
      <c r="P34" s="38">
        <v>13601</v>
      </c>
      <c r="Q34" s="38">
        <v>1946</v>
      </c>
      <c r="R34" s="38" t="s">
        <v>23</v>
      </c>
      <c r="S34" s="38">
        <f t="shared" si="1"/>
        <v>22498</v>
      </c>
    </row>
    <row r="35" spans="1:19">
      <c r="A35" s="95">
        <v>2005</v>
      </c>
      <c r="B35" s="38" t="s">
        <v>23</v>
      </c>
      <c r="C35" s="38" t="s">
        <v>23</v>
      </c>
      <c r="D35" s="38" t="s">
        <v>23</v>
      </c>
      <c r="E35" s="187" t="s">
        <v>23</v>
      </c>
      <c r="F35" s="187">
        <v>481</v>
      </c>
      <c r="G35" s="187">
        <v>2637</v>
      </c>
      <c r="H35" s="187">
        <v>517</v>
      </c>
      <c r="I35" s="38" t="s">
        <v>23</v>
      </c>
      <c r="J35" s="38" t="s">
        <v>23</v>
      </c>
      <c r="K35" s="38">
        <f t="shared" si="0"/>
        <v>3635</v>
      </c>
      <c r="M35" s="38" t="s">
        <v>23</v>
      </c>
      <c r="N35" s="187" t="s">
        <v>23</v>
      </c>
      <c r="O35" s="187">
        <v>2165</v>
      </c>
      <c r="P35" s="187">
        <v>6337</v>
      </c>
      <c r="Q35" s="187">
        <v>1464</v>
      </c>
      <c r="R35" s="187" t="s">
        <v>23</v>
      </c>
      <c r="S35" s="187">
        <f t="shared" si="1"/>
        <v>9966</v>
      </c>
    </row>
    <row r="36" spans="1:19">
      <c r="A36" s="95">
        <v>2006</v>
      </c>
      <c r="B36" s="38" t="s">
        <v>23</v>
      </c>
      <c r="C36" s="38" t="s">
        <v>23</v>
      </c>
      <c r="D36" s="38" t="s">
        <v>23</v>
      </c>
      <c r="E36" s="187" t="s">
        <v>23</v>
      </c>
      <c r="F36" s="187">
        <v>81</v>
      </c>
      <c r="G36" s="187">
        <v>370</v>
      </c>
      <c r="H36" s="187">
        <v>58</v>
      </c>
      <c r="I36" s="38" t="s">
        <v>23</v>
      </c>
      <c r="J36" s="38" t="s">
        <v>23</v>
      </c>
      <c r="K36" s="38">
        <f t="shared" si="0"/>
        <v>509</v>
      </c>
      <c r="M36" s="38" t="s">
        <v>23</v>
      </c>
      <c r="N36" s="187" t="s">
        <v>23</v>
      </c>
      <c r="O36" s="187">
        <v>1616</v>
      </c>
      <c r="P36" s="187">
        <v>3560</v>
      </c>
      <c r="Q36" s="187">
        <v>235</v>
      </c>
      <c r="R36" s="187" t="s">
        <v>23</v>
      </c>
      <c r="S36" s="187">
        <f t="shared" si="1"/>
        <v>5411</v>
      </c>
    </row>
    <row r="37" spans="1:19">
      <c r="A37" s="95">
        <v>2007</v>
      </c>
      <c r="B37" s="38" t="s">
        <v>23</v>
      </c>
      <c r="C37" s="38" t="s">
        <v>23</v>
      </c>
      <c r="D37" s="38" t="s">
        <v>23</v>
      </c>
      <c r="E37" s="187" t="s">
        <v>23</v>
      </c>
      <c r="F37" s="187">
        <v>81</v>
      </c>
      <c r="G37" s="187">
        <v>457</v>
      </c>
      <c r="H37" s="187">
        <v>56</v>
      </c>
      <c r="I37" s="38" t="s">
        <v>23</v>
      </c>
      <c r="J37" s="38" t="s">
        <v>23</v>
      </c>
      <c r="K37" s="38">
        <f t="shared" si="0"/>
        <v>594</v>
      </c>
      <c r="M37" s="38" t="s">
        <v>23</v>
      </c>
      <c r="N37" s="187" t="s">
        <v>23</v>
      </c>
      <c r="O37" s="187">
        <v>3812</v>
      </c>
      <c r="P37" s="187">
        <v>13807</v>
      </c>
      <c r="Q37" s="187">
        <v>778</v>
      </c>
      <c r="R37" s="187" t="s">
        <v>23</v>
      </c>
      <c r="S37" s="187">
        <f t="shared" si="1"/>
        <v>18397</v>
      </c>
    </row>
    <row r="38" spans="1:19">
      <c r="A38" s="95">
        <v>2008</v>
      </c>
      <c r="B38" s="38" t="s">
        <v>23</v>
      </c>
      <c r="C38" s="38" t="s">
        <v>23</v>
      </c>
      <c r="D38" s="38">
        <v>17</v>
      </c>
      <c r="E38" s="187">
        <v>152</v>
      </c>
      <c r="F38" s="187">
        <v>343</v>
      </c>
      <c r="G38" s="187">
        <v>305</v>
      </c>
      <c r="H38" s="38" t="s">
        <v>23</v>
      </c>
      <c r="I38" s="38" t="s">
        <v>23</v>
      </c>
      <c r="J38" s="38" t="s">
        <v>23</v>
      </c>
      <c r="K38" s="38">
        <f t="shared" si="0"/>
        <v>817</v>
      </c>
      <c r="M38" s="38" t="s">
        <v>23</v>
      </c>
      <c r="N38" s="187">
        <v>101</v>
      </c>
      <c r="O38" s="187">
        <v>1108</v>
      </c>
      <c r="P38" s="187">
        <v>982</v>
      </c>
      <c r="Q38" s="187" t="s">
        <v>23</v>
      </c>
      <c r="R38" s="187" t="s">
        <v>23</v>
      </c>
      <c r="S38" s="187">
        <f t="shared" si="1"/>
        <v>2191</v>
      </c>
    </row>
    <row r="39" spans="1:19">
      <c r="A39" s="95">
        <v>2009</v>
      </c>
      <c r="B39" s="38" t="s">
        <v>23</v>
      </c>
      <c r="C39" s="38" t="s">
        <v>23</v>
      </c>
      <c r="D39" s="38" t="s">
        <v>23</v>
      </c>
      <c r="E39" s="187">
        <v>4</v>
      </c>
      <c r="F39" s="38">
        <v>422</v>
      </c>
      <c r="G39" s="38">
        <v>543</v>
      </c>
      <c r="H39" s="38">
        <v>11</v>
      </c>
      <c r="I39" s="38" t="s">
        <v>23</v>
      </c>
      <c r="J39" s="38" t="s">
        <v>23</v>
      </c>
      <c r="K39" s="38">
        <f t="shared" si="0"/>
        <v>980</v>
      </c>
      <c r="M39" s="38" t="s">
        <v>23</v>
      </c>
      <c r="N39" s="187">
        <v>138</v>
      </c>
      <c r="O39" s="187">
        <v>9593</v>
      </c>
      <c r="P39" s="187">
        <v>9330</v>
      </c>
      <c r="Q39" s="187">
        <v>358</v>
      </c>
      <c r="R39" s="187" t="s">
        <v>23</v>
      </c>
      <c r="S39" s="187">
        <f t="shared" si="1"/>
        <v>19419</v>
      </c>
    </row>
    <row r="40" spans="1:19">
      <c r="A40" s="95">
        <v>2010</v>
      </c>
      <c r="B40" s="38" t="s">
        <v>23</v>
      </c>
      <c r="C40" s="38" t="s">
        <v>23</v>
      </c>
      <c r="D40" s="38" t="s">
        <v>23</v>
      </c>
      <c r="E40" s="187">
        <v>37</v>
      </c>
      <c r="F40" s="38">
        <v>388</v>
      </c>
      <c r="G40" s="38">
        <v>1321</v>
      </c>
      <c r="H40" s="38">
        <v>66</v>
      </c>
      <c r="I40" s="38" t="s">
        <v>23</v>
      </c>
      <c r="J40" s="38" t="s">
        <v>23</v>
      </c>
      <c r="K40" s="38">
        <f t="shared" si="0"/>
        <v>1812</v>
      </c>
      <c r="M40" s="38" t="s">
        <v>23</v>
      </c>
      <c r="N40" s="187">
        <v>12</v>
      </c>
      <c r="O40" s="187">
        <v>1479</v>
      </c>
      <c r="P40" s="187">
        <v>4404</v>
      </c>
      <c r="Q40" s="187">
        <v>213</v>
      </c>
      <c r="R40" s="187" t="s">
        <v>23</v>
      </c>
      <c r="S40" s="187">
        <f t="shared" si="1"/>
        <v>6108</v>
      </c>
    </row>
    <row r="41" spans="1:19">
      <c r="A41" s="95">
        <v>2011</v>
      </c>
      <c r="B41" s="38" t="s">
        <v>23</v>
      </c>
      <c r="C41" s="38" t="s">
        <v>23</v>
      </c>
      <c r="D41" s="38" t="s">
        <v>23</v>
      </c>
      <c r="E41" s="187">
        <v>129</v>
      </c>
      <c r="F41" s="38">
        <v>147</v>
      </c>
      <c r="G41" s="38">
        <v>1264</v>
      </c>
      <c r="H41" s="38">
        <v>79</v>
      </c>
      <c r="I41" s="38" t="s">
        <v>23</v>
      </c>
      <c r="J41" s="38" t="s">
        <v>23</v>
      </c>
      <c r="K41" s="38">
        <f t="shared" si="0"/>
        <v>1619</v>
      </c>
      <c r="M41" s="38" t="s">
        <v>23</v>
      </c>
      <c r="N41" s="187">
        <v>178</v>
      </c>
      <c r="O41" s="187">
        <v>981</v>
      </c>
      <c r="P41" s="187">
        <v>4132</v>
      </c>
      <c r="Q41" s="187">
        <v>755</v>
      </c>
      <c r="R41" s="187" t="s">
        <v>23</v>
      </c>
      <c r="S41" s="187">
        <f t="shared" si="1"/>
        <v>6046</v>
      </c>
    </row>
    <row r="42" spans="1:19">
      <c r="A42" s="95">
        <v>2012</v>
      </c>
      <c r="B42" s="38" t="s">
        <v>23</v>
      </c>
      <c r="C42" s="38" t="s">
        <v>23</v>
      </c>
      <c r="D42" s="38" t="s">
        <v>23</v>
      </c>
      <c r="E42" s="187">
        <v>578</v>
      </c>
      <c r="F42" s="38">
        <v>650</v>
      </c>
      <c r="G42" s="38">
        <v>431</v>
      </c>
      <c r="H42" s="38">
        <v>45</v>
      </c>
      <c r="I42" s="38" t="s">
        <v>23</v>
      </c>
      <c r="J42" s="38" t="s">
        <v>23</v>
      </c>
      <c r="K42" s="38">
        <f t="shared" si="0"/>
        <v>1704</v>
      </c>
      <c r="M42" s="38" t="s">
        <v>23</v>
      </c>
      <c r="N42" s="187">
        <v>86</v>
      </c>
      <c r="O42" s="187">
        <v>615</v>
      </c>
      <c r="P42" s="187">
        <v>740</v>
      </c>
      <c r="Q42" s="187">
        <v>231</v>
      </c>
      <c r="R42" s="187" t="s">
        <v>23</v>
      </c>
      <c r="S42" s="187">
        <f t="shared" si="1"/>
        <v>1672</v>
      </c>
    </row>
    <row r="43" spans="1:19">
      <c r="A43" s="95">
        <v>2013</v>
      </c>
      <c r="B43" s="38" t="s">
        <v>23</v>
      </c>
      <c r="C43" s="38" t="s">
        <v>23</v>
      </c>
      <c r="D43" s="38" t="s">
        <v>23</v>
      </c>
      <c r="E43" s="187">
        <v>731</v>
      </c>
      <c r="F43" s="38">
        <v>323</v>
      </c>
      <c r="G43" s="38">
        <v>792</v>
      </c>
      <c r="H43" s="38">
        <v>72</v>
      </c>
      <c r="I43" s="38" t="s">
        <v>23</v>
      </c>
      <c r="J43" s="38" t="s">
        <v>23</v>
      </c>
      <c r="K43" s="38">
        <f t="shared" si="0"/>
        <v>1918</v>
      </c>
      <c r="M43" s="38" t="s">
        <v>23</v>
      </c>
      <c r="N43" s="187">
        <v>1143</v>
      </c>
      <c r="O43" s="187">
        <v>991</v>
      </c>
      <c r="P43" s="187">
        <v>1706</v>
      </c>
      <c r="Q43" s="187">
        <v>173</v>
      </c>
      <c r="R43" s="187" t="s">
        <v>23</v>
      </c>
      <c r="S43" s="187">
        <f t="shared" si="1"/>
        <v>4013</v>
      </c>
    </row>
    <row r="44" spans="1:19">
      <c r="A44" s="95">
        <v>2014</v>
      </c>
      <c r="B44" s="38" t="s">
        <v>23</v>
      </c>
      <c r="C44" s="38" t="s">
        <v>23</v>
      </c>
      <c r="D44" s="38">
        <v>21</v>
      </c>
      <c r="E44" s="187">
        <v>150</v>
      </c>
      <c r="F44" s="38">
        <v>628</v>
      </c>
      <c r="G44" s="38">
        <v>1402</v>
      </c>
      <c r="H44" s="38">
        <v>105</v>
      </c>
      <c r="I44" s="38" t="s">
        <v>23</v>
      </c>
      <c r="J44" s="38" t="s">
        <v>23</v>
      </c>
      <c r="K44" s="38">
        <f t="shared" si="0"/>
        <v>2306</v>
      </c>
      <c r="M44" s="38" t="s">
        <v>23</v>
      </c>
      <c r="N44" s="187">
        <v>391</v>
      </c>
      <c r="O44" s="187">
        <v>5030</v>
      </c>
      <c r="P44" s="187">
        <v>8503</v>
      </c>
      <c r="Q44" s="187">
        <v>2816</v>
      </c>
      <c r="R44" s="187" t="s">
        <v>23</v>
      </c>
      <c r="S44" s="187">
        <f t="shared" si="1"/>
        <v>16740</v>
      </c>
    </row>
    <row r="45" spans="1:19">
      <c r="A45" s="95">
        <v>2015</v>
      </c>
      <c r="B45" s="38" t="s">
        <v>23</v>
      </c>
      <c r="C45" s="38" t="s">
        <v>23</v>
      </c>
      <c r="D45" s="38">
        <v>28</v>
      </c>
      <c r="E45" s="187">
        <v>259</v>
      </c>
      <c r="F45" s="38">
        <v>434</v>
      </c>
      <c r="G45" s="38">
        <v>1030</v>
      </c>
      <c r="H45" s="38">
        <v>1006</v>
      </c>
      <c r="I45" s="38" t="s">
        <v>23</v>
      </c>
      <c r="J45" s="38" t="s">
        <v>23</v>
      </c>
      <c r="K45" s="38">
        <f t="shared" si="0"/>
        <v>2757</v>
      </c>
      <c r="M45" s="38" t="s">
        <v>23</v>
      </c>
      <c r="N45" s="187">
        <v>732</v>
      </c>
      <c r="O45" s="187">
        <v>3764</v>
      </c>
      <c r="P45" s="187">
        <v>2872</v>
      </c>
      <c r="Q45" s="187">
        <v>1472</v>
      </c>
      <c r="R45" s="187" t="s">
        <v>23</v>
      </c>
      <c r="S45" s="187">
        <f t="shared" si="1"/>
        <v>8840</v>
      </c>
    </row>
    <row r="46" spans="1:19">
      <c r="A46" s="95">
        <v>2016</v>
      </c>
      <c r="B46" s="38" t="s">
        <v>23</v>
      </c>
      <c r="C46" s="38" t="s">
        <v>23</v>
      </c>
      <c r="D46" s="38" t="s">
        <v>23</v>
      </c>
      <c r="E46" s="187" t="s">
        <v>23</v>
      </c>
      <c r="F46" s="38">
        <v>653</v>
      </c>
      <c r="G46" s="38">
        <v>387</v>
      </c>
      <c r="H46" s="38" t="s">
        <v>23</v>
      </c>
      <c r="I46" s="38" t="s">
        <v>23</v>
      </c>
      <c r="J46" s="38" t="s">
        <v>23</v>
      </c>
      <c r="K46" s="38">
        <f t="shared" si="0"/>
        <v>1040</v>
      </c>
      <c r="M46" s="38" t="s">
        <v>23</v>
      </c>
      <c r="N46" s="187" t="s">
        <v>23</v>
      </c>
      <c r="O46" s="187">
        <v>915</v>
      </c>
      <c r="P46" s="187">
        <v>1739</v>
      </c>
      <c r="Q46" s="187" t="s">
        <v>23</v>
      </c>
      <c r="R46" s="187" t="s">
        <v>23</v>
      </c>
      <c r="S46" s="187">
        <f t="shared" si="1"/>
        <v>2654</v>
      </c>
    </row>
    <row r="47" spans="1:19">
      <c r="A47" s="95">
        <v>2017</v>
      </c>
      <c r="B47" s="38" t="s">
        <v>23</v>
      </c>
      <c r="C47" s="38" t="s">
        <v>23</v>
      </c>
      <c r="D47" s="38" t="s">
        <v>23</v>
      </c>
      <c r="E47" s="187">
        <v>330</v>
      </c>
      <c r="F47" s="38">
        <v>567</v>
      </c>
      <c r="G47" s="38">
        <v>1011</v>
      </c>
      <c r="H47" s="38" t="s">
        <v>23</v>
      </c>
      <c r="I47" s="38" t="s">
        <v>23</v>
      </c>
      <c r="J47" s="38" t="s">
        <v>23</v>
      </c>
      <c r="K47" s="38">
        <f t="shared" si="0"/>
        <v>1908</v>
      </c>
      <c r="M47" s="38" t="s">
        <v>23</v>
      </c>
      <c r="N47" s="187">
        <v>13</v>
      </c>
      <c r="O47" s="187">
        <v>2249</v>
      </c>
      <c r="P47" s="187">
        <v>4308</v>
      </c>
      <c r="Q47" s="187" t="s">
        <v>23</v>
      </c>
      <c r="R47" s="187" t="s">
        <v>23</v>
      </c>
      <c r="S47" s="187">
        <f t="shared" si="1"/>
        <v>6570</v>
      </c>
    </row>
    <row r="48" spans="1:19">
      <c r="A48" s="95">
        <v>2018</v>
      </c>
      <c r="B48" s="38" t="s">
        <v>23</v>
      </c>
      <c r="C48" s="38" t="s">
        <v>23</v>
      </c>
      <c r="D48" s="38" t="s">
        <v>23</v>
      </c>
      <c r="E48" s="187">
        <v>120</v>
      </c>
      <c r="F48" s="38">
        <v>150</v>
      </c>
      <c r="G48" s="38">
        <v>417</v>
      </c>
      <c r="H48" s="38">
        <v>2</v>
      </c>
      <c r="I48" s="38" t="s">
        <v>23</v>
      </c>
      <c r="J48" s="38" t="s">
        <v>23</v>
      </c>
      <c r="K48" s="38">
        <f>SUM(B48:J48)</f>
        <v>689</v>
      </c>
      <c r="M48" s="38" t="s">
        <v>23</v>
      </c>
      <c r="N48" s="187">
        <v>36</v>
      </c>
      <c r="O48" s="187">
        <v>1393</v>
      </c>
      <c r="P48" s="187">
        <v>5694</v>
      </c>
      <c r="Q48" s="187">
        <v>5</v>
      </c>
      <c r="R48" s="187" t="s">
        <v>23</v>
      </c>
      <c r="S48" s="187">
        <f>SUM(M48:R48)</f>
        <v>7128</v>
      </c>
    </row>
    <row r="49" spans="1:19">
      <c r="A49" s="95">
        <v>2019</v>
      </c>
      <c r="B49" s="38" t="s">
        <v>23</v>
      </c>
      <c r="C49" s="38" t="s">
        <v>23</v>
      </c>
      <c r="D49" s="38" t="s">
        <v>23</v>
      </c>
      <c r="E49" s="187">
        <v>104</v>
      </c>
      <c r="F49" s="38">
        <v>668</v>
      </c>
      <c r="G49" s="38">
        <v>485</v>
      </c>
      <c r="H49" s="38">
        <v>38</v>
      </c>
      <c r="I49" s="38" t="s">
        <v>23</v>
      </c>
      <c r="J49" s="38" t="s">
        <v>23</v>
      </c>
      <c r="K49" s="38">
        <f t="shared" ref="K49:K50" si="2">SUM(B49:J49)</f>
        <v>1295</v>
      </c>
      <c r="M49" s="38" t="s">
        <v>23</v>
      </c>
      <c r="N49" s="187">
        <v>1852</v>
      </c>
      <c r="O49" s="187">
        <v>6548</v>
      </c>
      <c r="P49" s="187">
        <v>8543</v>
      </c>
      <c r="Q49" s="187">
        <v>281</v>
      </c>
      <c r="R49" s="187" t="s">
        <v>23</v>
      </c>
      <c r="S49" s="187">
        <f t="shared" ref="S49:S50" si="3">SUM(M49:R49)</f>
        <v>17224</v>
      </c>
    </row>
    <row r="50" spans="1:19">
      <c r="A50" s="95">
        <v>2020</v>
      </c>
      <c r="B50" s="38" t="s">
        <v>23</v>
      </c>
      <c r="C50" s="38" t="s">
        <v>23</v>
      </c>
      <c r="D50" s="38" t="s">
        <v>23</v>
      </c>
      <c r="E50" s="187">
        <v>11</v>
      </c>
      <c r="F50" s="38">
        <v>142</v>
      </c>
      <c r="G50" s="38" t="s">
        <v>23</v>
      </c>
      <c r="H50" s="38" t="s">
        <v>23</v>
      </c>
      <c r="I50" s="38" t="s">
        <v>23</v>
      </c>
      <c r="J50" s="38" t="s">
        <v>23</v>
      </c>
      <c r="K50" s="38">
        <f t="shared" si="2"/>
        <v>153</v>
      </c>
      <c r="M50" s="38" t="s">
        <v>23</v>
      </c>
      <c r="N50" s="187">
        <v>0</v>
      </c>
      <c r="O50" s="187">
        <v>3721</v>
      </c>
      <c r="P50" s="187" t="s">
        <v>23</v>
      </c>
      <c r="Q50" s="187" t="s">
        <v>23</v>
      </c>
      <c r="R50" s="187" t="s">
        <v>23</v>
      </c>
      <c r="S50" s="187">
        <f t="shared" si="3"/>
        <v>3721</v>
      </c>
    </row>
    <row r="51" spans="1:19" ht="13">
      <c r="A51" s="95" t="s">
        <v>317</v>
      </c>
      <c r="B51" s="38" t="s">
        <v>23</v>
      </c>
      <c r="C51" s="38" t="s">
        <v>23</v>
      </c>
      <c r="D51" s="38" t="s">
        <v>23</v>
      </c>
      <c r="E51" s="187">
        <v>62</v>
      </c>
      <c r="F51" s="38">
        <v>349</v>
      </c>
      <c r="G51" s="38">
        <v>1427</v>
      </c>
      <c r="H51" s="38" t="s">
        <v>23</v>
      </c>
      <c r="I51" s="38" t="s">
        <v>23</v>
      </c>
      <c r="J51" s="38" t="s">
        <v>23</v>
      </c>
      <c r="K51" s="38">
        <f t="shared" si="0"/>
        <v>1838</v>
      </c>
      <c r="M51" s="38" t="s">
        <v>23</v>
      </c>
      <c r="N51" s="187">
        <v>112</v>
      </c>
      <c r="O51" s="187">
        <v>4656</v>
      </c>
      <c r="P51" s="187">
        <v>9640</v>
      </c>
      <c r="Q51" s="187" t="s">
        <v>23</v>
      </c>
      <c r="R51" s="187" t="s">
        <v>23</v>
      </c>
      <c r="S51" s="187">
        <f t="shared" si="1"/>
        <v>14408</v>
      </c>
    </row>
    <row r="53" spans="1:19">
      <c r="A53" s="88" t="s">
        <v>47</v>
      </c>
    </row>
    <row r="54" spans="1:19">
      <c r="A54" s="99">
        <v>1976</v>
      </c>
      <c r="B54" s="38" t="s">
        <v>23</v>
      </c>
      <c r="C54" s="38">
        <v>0</v>
      </c>
      <c r="D54" s="38">
        <v>257</v>
      </c>
      <c r="E54" s="38">
        <v>229</v>
      </c>
      <c r="F54" s="38">
        <v>412</v>
      </c>
      <c r="G54" s="38">
        <v>1203</v>
      </c>
      <c r="H54" s="38">
        <v>125</v>
      </c>
      <c r="I54" s="38">
        <v>28</v>
      </c>
      <c r="J54" s="38">
        <v>29</v>
      </c>
      <c r="K54" s="38">
        <f t="shared" ref="K54:K99" si="4">SUM(B54:J54)</f>
        <v>2283</v>
      </c>
      <c r="M54" s="38">
        <v>802</v>
      </c>
      <c r="N54" s="38">
        <v>4963</v>
      </c>
      <c r="O54" s="38">
        <v>10572</v>
      </c>
      <c r="P54" s="38">
        <v>30017</v>
      </c>
      <c r="Q54" s="38">
        <v>2827</v>
      </c>
      <c r="R54" s="38">
        <v>517</v>
      </c>
      <c r="S54" s="38">
        <f t="shared" ref="S54:S99" si="5">SUM(M54:R54)</f>
        <v>49698</v>
      </c>
    </row>
    <row r="55" spans="1:19">
      <c r="A55" s="99">
        <v>1977</v>
      </c>
      <c r="B55" s="38" t="s">
        <v>23</v>
      </c>
      <c r="C55" s="38">
        <v>0</v>
      </c>
      <c r="D55" s="38">
        <v>50</v>
      </c>
      <c r="E55" s="38">
        <v>220</v>
      </c>
      <c r="F55" s="38">
        <v>505</v>
      </c>
      <c r="G55" s="38">
        <v>635</v>
      </c>
      <c r="H55" s="38">
        <v>90</v>
      </c>
      <c r="I55" s="38">
        <v>10</v>
      </c>
      <c r="J55" s="38" t="s">
        <v>23</v>
      </c>
      <c r="K55" s="38">
        <f t="shared" si="4"/>
        <v>1510</v>
      </c>
      <c r="M55" s="38">
        <v>644</v>
      </c>
      <c r="N55" s="38">
        <v>1658</v>
      </c>
      <c r="O55" s="38">
        <v>5553</v>
      </c>
      <c r="P55" s="38">
        <v>5922</v>
      </c>
      <c r="Q55" s="38">
        <v>966</v>
      </c>
      <c r="R55" s="38">
        <v>3</v>
      </c>
      <c r="S55" s="38">
        <f t="shared" si="5"/>
        <v>14746</v>
      </c>
    </row>
    <row r="56" spans="1:19">
      <c r="A56" s="99">
        <v>1978</v>
      </c>
      <c r="B56" s="38" t="s">
        <v>23</v>
      </c>
      <c r="C56" s="38">
        <v>0</v>
      </c>
      <c r="D56" s="38">
        <v>169</v>
      </c>
      <c r="E56" s="38">
        <v>46</v>
      </c>
      <c r="F56" s="38">
        <v>233</v>
      </c>
      <c r="G56" s="38">
        <v>293</v>
      </c>
      <c r="H56" s="38">
        <v>73</v>
      </c>
      <c r="I56" s="38">
        <v>19</v>
      </c>
      <c r="J56" s="38" t="s">
        <v>23</v>
      </c>
      <c r="K56" s="38">
        <f t="shared" si="4"/>
        <v>833</v>
      </c>
      <c r="M56" s="38">
        <v>54</v>
      </c>
      <c r="N56" s="38">
        <v>899</v>
      </c>
      <c r="O56" s="38">
        <v>1898</v>
      </c>
      <c r="P56" s="38">
        <v>5194</v>
      </c>
      <c r="Q56" s="38">
        <v>402</v>
      </c>
      <c r="R56" s="38">
        <v>63</v>
      </c>
      <c r="S56" s="38">
        <f t="shared" si="5"/>
        <v>8510</v>
      </c>
    </row>
    <row r="57" spans="1:19">
      <c r="A57" s="99">
        <v>1979</v>
      </c>
      <c r="B57" s="38" t="s">
        <v>23</v>
      </c>
      <c r="C57" s="38" t="s">
        <v>23</v>
      </c>
      <c r="D57" s="38">
        <v>5</v>
      </c>
      <c r="E57" s="38">
        <v>18</v>
      </c>
      <c r="F57" s="38">
        <v>578</v>
      </c>
      <c r="G57" s="38">
        <v>334</v>
      </c>
      <c r="H57" s="38">
        <v>46</v>
      </c>
      <c r="I57" s="38" t="s">
        <v>23</v>
      </c>
      <c r="J57" s="38" t="s">
        <v>23</v>
      </c>
      <c r="K57" s="38">
        <f t="shared" si="4"/>
        <v>981</v>
      </c>
      <c r="M57" s="38">
        <v>78</v>
      </c>
      <c r="N57" s="38">
        <v>1124</v>
      </c>
      <c r="O57" s="38">
        <v>2606</v>
      </c>
      <c r="P57" s="38">
        <v>5563</v>
      </c>
      <c r="Q57" s="38">
        <v>47</v>
      </c>
      <c r="R57" s="38" t="s">
        <v>23</v>
      </c>
      <c r="S57" s="38">
        <f t="shared" si="5"/>
        <v>9418</v>
      </c>
    </row>
    <row r="58" spans="1:19">
      <c r="A58" s="99">
        <v>1980</v>
      </c>
      <c r="B58" s="38" t="s">
        <v>23</v>
      </c>
      <c r="C58" s="38" t="s">
        <v>23</v>
      </c>
      <c r="D58" s="38">
        <v>39</v>
      </c>
      <c r="E58" s="38">
        <v>247</v>
      </c>
      <c r="F58" s="38">
        <v>318</v>
      </c>
      <c r="G58" s="38">
        <v>811</v>
      </c>
      <c r="H58" s="38">
        <v>159</v>
      </c>
      <c r="I58" s="137" t="s">
        <v>106</v>
      </c>
      <c r="J58" s="38" t="s">
        <v>23</v>
      </c>
      <c r="K58" s="38">
        <f t="shared" si="4"/>
        <v>1574</v>
      </c>
      <c r="M58" s="38">
        <v>131</v>
      </c>
      <c r="N58" s="38">
        <v>7131</v>
      </c>
      <c r="O58" s="38">
        <v>10790</v>
      </c>
      <c r="P58" s="38">
        <v>10314</v>
      </c>
      <c r="Q58" s="38">
        <v>556</v>
      </c>
      <c r="R58" s="38" t="s">
        <v>23</v>
      </c>
      <c r="S58" s="38">
        <f t="shared" si="5"/>
        <v>28922</v>
      </c>
    </row>
    <row r="59" spans="1:19">
      <c r="A59" s="99">
        <v>1981</v>
      </c>
      <c r="B59" s="38" t="s">
        <v>23</v>
      </c>
      <c r="C59" s="38" t="s">
        <v>23</v>
      </c>
      <c r="D59" s="38">
        <v>36</v>
      </c>
      <c r="E59" s="38">
        <v>46</v>
      </c>
      <c r="F59" s="38">
        <v>551</v>
      </c>
      <c r="G59" s="38">
        <v>900</v>
      </c>
      <c r="H59" s="38">
        <v>362</v>
      </c>
      <c r="I59" s="38" t="s">
        <v>23</v>
      </c>
      <c r="J59" s="38" t="s">
        <v>23</v>
      </c>
      <c r="K59" s="38">
        <f t="shared" si="4"/>
        <v>1895</v>
      </c>
      <c r="M59" s="38">
        <v>266</v>
      </c>
      <c r="N59" s="38">
        <v>1015</v>
      </c>
      <c r="O59" s="38">
        <v>5586</v>
      </c>
      <c r="P59" s="38">
        <v>9563</v>
      </c>
      <c r="Q59" s="38">
        <v>1263</v>
      </c>
      <c r="R59" s="38" t="s">
        <v>23</v>
      </c>
      <c r="S59" s="38">
        <f t="shared" si="5"/>
        <v>17693</v>
      </c>
    </row>
    <row r="60" spans="1:19">
      <c r="A60" s="99">
        <v>1982</v>
      </c>
      <c r="B60" s="38" t="s">
        <v>23</v>
      </c>
      <c r="C60" s="38" t="s">
        <v>23</v>
      </c>
      <c r="D60" s="38">
        <v>0</v>
      </c>
      <c r="E60" s="38">
        <v>90</v>
      </c>
      <c r="F60" s="38">
        <v>1270</v>
      </c>
      <c r="G60" s="38">
        <v>0</v>
      </c>
      <c r="H60" s="38">
        <v>0</v>
      </c>
      <c r="I60" s="38" t="s">
        <v>23</v>
      </c>
      <c r="J60" s="38" t="s">
        <v>23</v>
      </c>
      <c r="K60" s="38">
        <f t="shared" si="4"/>
        <v>1360</v>
      </c>
      <c r="M60" s="38">
        <v>0</v>
      </c>
      <c r="N60" s="38">
        <v>1332</v>
      </c>
      <c r="O60" s="38">
        <v>21760</v>
      </c>
      <c r="P60" s="38">
        <v>0</v>
      </c>
      <c r="Q60" s="38" t="s">
        <v>23</v>
      </c>
      <c r="R60" s="38" t="s">
        <v>23</v>
      </c>
      <c r="S60" s="38">
        <f t="shared" si="5"/>
        <v>23092</v>
      </c>
    </row>
    <row r="61" spans="1:19">
      <c r="A61" s="99">
        <v>1983</v>
      </c>
      <c r="B61" s="38" t="s">
        <v>23</v>
      </c>
      <c r="C61" s="38" t="s">
        <v>23</v>
      </c>
      <c r="D61" s="38" t="s">
        <v>23</v>
      </c>
      <c r="E61" s="38">
        <v>6</v>
      </c>
      <c r="F61" s="38">
        <v>403</v>
      </c>
      <c r="G61" s="38">
        <v>194</v>
      </c>
      <c r="H61" s="38">
        <v>89</v>
      </c>
      <c r="I61" s="38" t="s">
        <v>23</v>
      </c>
      <c r="J61" s="38" t="s">
        <v>23</v>
      </c>
      <c r="K61" s="38">
        <f t="shared" si="4"/>
        <v>692</v>
      </c>
      <c r="M61" s="38" t="s">
        <v>23</v>
      </c>
      <c r="N61" s="38">
        <v>218</v>
      </c>
      <c r="O61" s="38">
        <v>6094</v>
      </c>
      <c r="P61" s="38">
        <v>1591</v>
      </c>
      <c r="Q61" s="38">
        <v>905</v>
      </c>
      <c r="R61" s="38" t="s">
        <v>23</v>
      </c>
      <c r="S61" s="38">
        <f t="shared" si="5"/>
        <v>8808</v>
      </c>
    </row>
    <row r="62" spans="1:19">
      <c r="A62" s="99">
        <v>1984</v>
      </c>
      <c r="B62" s="38" t="s">
        <v>23</v>
      </c>
      <c r="C62" s="38" t="s">
        <v>23</v>
      </c>
      <c r="D62" s="38" t="s">
        <v>23</v>
      </c>
      <c r="E62" s="38">
        <v>0</v>
      </c>
      <c r="F62" s="38">
        <v>587</v>
      </c>
      <c r="G62" s="38">
        <v>455</v>
      </c>
      <c r="H62" s="38">
        <v>68</v>
      </c>
      <c r="I62" s="38" t="s">
        <v>23</v>
      </c>
      <c r="J62" s="38" t="s">
        <v>23</v>
      </c>
      <c r="K62" s="38">
        <f t="shared" si="4"/>
        <v>1110</v>
      </c>
      <c r="M62" s="38" t="s">
        <v>23</v>
      </c>
      <c r="N62" s="38" t="s">
        <v>23</v>
      </c>
      <c r="O62" s="38">
        <v>9266</v>
      </c>
      <c r="P62" s="38">
        <v>10552</v>
      </c>
      <c r="Q62" s="38">
        <v>459</v>
      </c>
      <c r="R62" s="38" t="s">
        <v>23</v>
      </c>
      <c r="S62" s="38">
        <f t="shared" si="5"/>
        <v>20277</v>
      </c>
    </row>
    <row r="63" spans="1:19">
      <c r="A63" s="99">
        <v>1985</v>
      </c>
      <c r="B63" s="38" t="s">
        <v>23</v>
      </c>
      <c r="C63" s="38" t="s">
        <v>23</v>
      </c>
      <c r="D63" s="38" t="s">
        <v>23</v>
      </c>
      <c r="E63" s="38">
        <v>0</v>
      </c>
      <c r="F63" s="38">
        <v>1141</v>
      </c>
      <c r="G63" s="38">
        <v>1362</v>
      </c>
      <c r="H63" s="38">
        <v>65</v>
      </c>
      <c r="I63" s="38">
        <v>42</v>
      </c>
      <c r="J63" s="38" t="s">
        <v>23</v>
      </c>
      <c r="K63" s="38">
        <f t="shared" si="4"/>
        <v>2610</v>
      </c>
      <c r="M63" s="38">
        <v>0</v>
      </c>
      <c r="N63" s="38" t="s">
        <v>23</v>
      </c>
      <c r="O63" s="38">
        <v>8900</v>
      </c>
      <c r="P63" s="38">
        <v>21648</v>
      </c>
      <c r="Q63" s="38">
        <v>435</v>
      </c>
      <c r="R63" s="38" t="s">
        <v>23</v>
      </c>
      <c r="S63" s="38">
        <f t="shared" si="5"/>
        <v>30983</v>
      </c>
    </row>
    <row r="64" spans="1:19">
      <c r="A64" s="95">
        <v>1986</v>
      </c>
      <c r="B64" s="38" t="s">
        <v>23</v>
      </c>
      <c r="C64" s="38" t="s">
        <v>23</v>
      </c>
      <c r="D64" s="38">
        <v>0</v>
      </c>
      <c r="E64" s="38">
        <v>46</v>
      </c>
      <c r="F64" s="38">
        <v>245</v>
      </c>
      <c r="G64" s="38">
        <v>177</v>
      </c>
      <c r="H64" s="38" t="s">
        <v>106</v>
      </c>
      <c r="I64" s="38" t="s">
        <v>106</v>
      </c>
      <c r="J64" s="38" t="s">
        <v>106</v>
      </c>
      <c r="K64" s="38">
        <f t="shared" si="4"/>
        <v>468</v>
      </c>
      <c r="M64" s="38">
        <v>0</v>
      </c>
      <c r="N64" s="38">
        <v>3244</v>
      </c>
      <c r="O64" s="38">
        <v>15239</v>
      </c>
      <c r="P64" s="38">
        <v>5062</v>
      </c>
      <c r="Q64" s="38" t="s">
        <v>23</v>
      </c>
      <c r="R64" s="38" t="s">
        <v>23</v>
      </c>
      <c r="S64" s="38">
        <f t="shared" si="5"/>
        <v>23545</v>
      </c>
    </row>
    <row r="65" spans="1:19">
      <c r="A65" s="95">
        <v>1987</v>
      </c>
      <c r="B65" s="38" t="s">
        <v>23</v>
      </c>
      <c r="C65" s="38" t="s">
        <v>23</v>
      </c>
      <c r="D65" s="38" t="s">
        <v>23</v>
      </c>
      <c r="E65" s="38">
        <v>72</v>
      </c>
      <c r="F65" s="38">
        <v>826</v>
      </c>
      <c r="G65" s="38">
        <v>2015</v>
      </c>
      <c r="H65" s="38">
        <v>631</v>
      </c>
      <c r="I65" s="38" t="s">
        <v>106</v>
      </c>
      <c r="J65" s="38" t="s">
        <v>23</v>
      </c>
      <c r="K65" s="38">
        <f t="shared" si="4"/>
        <v>3544</v>
      </c>
      <c r="M65" s="38" t="s">
        <v>23</v>
      </c>
      <c r="N65" s="38">
        <v>577</v>
      </c>
      <c r="O65" s="38">
        <v>10241</v>
      </c>
      <c r="P65" s="38">
        <v>4944</v>
      </c>
      <c r="Q65" s="38">
        <v>666</v>
      </c>
      <c r="R65" s="38" t="s">
        <v>23</v>
      </c>
      <c r="S65" s="38">
        <f t="shared" si="5"/>
        <v>16428</v>
      </c>
    </row>
    <row r="66" spans="1:19">
      <c r="A66" s="95">
        <v>1988</v>
      </c>
      <c r="B66" s="38" t="s">
        <v>23</v>
      </c>
      <c r="C66" s="38" t="s">
        <v>23</v>
      </c>
      <c r="D66" s="38">
        <v>16</v>
      </c>
      <c r="E66" s="38">
        <v>76</v>
      </c>
      <c r="F66" s="38">
        <v>313</v>
      </c>
      <c r="G66" s="38">
        <v>1295</v>
      </c>
      <c r="H66" s="38">
        <v>1019</v>
      </c>
      <c r="I66" s="38" t="s">
        <v>106</v>
      </c>
      <c r="J66" s="38" t="s">
        <v>23</v>
      </c>
      <c r="K66" s="38">
        <f t="shared" si="4"/>
        <v>2719</v>
      </c>
      <c r="M66" s="38">
        <v>51</v>
      </c>
      <c r="N66" s="38">
        <v>1811</v>
      </c>
      <c r="O66" s="38">
        <v>8160</v>
      </c>
      <c r="P66" s="38">
        <v>14172</v>
      </c>
      <c r="Q66" s="38">
        <v>5701</v>
      </c>
      <c r="R66" s="38" t="s">
        <v>23</v>
      </c>
      <c r="S66" s="38">
        <f t="shared" si="5"/>
        <v>29895</v>
      </c>
    </row>
    <row r="67" spans="1:19">
      <c r="A67" s="95">
        <v>1989</v>
      </c>
      <c r="B67" s="38" t="s">
        <v>23</v>
      </c>
      <c r="C67" s="38" t="s">
        <v>23</v>
      </c>
      <c r="D67" s="38">
        <v>13</v>
      </c>
      <c r="E67" s="38">
        <v>85</v>
      </c>
      <c r="F67" s="38">
        <v>327</v>
      </c>
      <c r="G67" s="38">
        <v>431</v>
      </c>
      <c r="H67" s="38">
        <v>14</v>
      </c>
      <c r="I67" s="38" t="s">
        <v>106</v>
      </c>
      <c r="J67" s="38" t="s">
        <v>23</v>
      </c>
      <c r="K67" s="38">
        <f t="shared" si="4"/>
        <v>870</v>
      </c>
      <c r="M67" s="38">
        <v>36</v>
      </c>
      <c r="N67" s="38">
        <v>3443</v>
      </c>
      <c r="O67" s="38">
        <v>19722</v>
      </c>
      <c r="P67" s="38">
        <v>7008</v>
      </c>
      <c r="Q67" s="38">
        <v>114</v>
      </c>
      <c r="R67" s="38" t="s">
        <v>23</v>
      </c>
      <c r="S67" s="38">
        <f t="shared" si="5"/>
        <v>30323</v>
      </c>
    </row>
    <row r="68" spans="1:19">
      <c r="A68" s="95">
        <v>1990</v>
      </c>
      <c r="B68" s="38" t="s">
        <v>23</v>
      </c>
      <c r="C68" s="38" t="s">
        <v>23</v>
      </c>
      <c r="D68" s="38" t="s">
        <v>23</v>
      </c>
      <c r="E68" s="38">
        <v>56</v>
      </c>
      <c r="F68" s="38">
        <v>496</v>
      </c>
      <c r="G68" s="38">
        <v>400</v>
      </c>
      <c r="H68" s="38">
        <v>279</v>
      </c>
      <c r="I68" s="38" t="s">
        <v>106</v>
      </c>
      <c r="J68" s="38" t="s">
        <v>23</v>
      </c>
      <c r="K68" s="38">
        <f t="shared" si="4"/>
        <v>1231</v>
      </c>
      <c r="M68" s="38" t="s">
        <v>23</v>
      </c>
      <c r="N68" s="38">
        <v>890</v>
      </c>
      <c r="O68" s="38">
        <v>8753</v>
      </c>
      <c r="P68" s="38">
        <v>12442</v>
      </c>
      <c r="Q68" s="38">
        <v>827</v>
      </c>
      <c r="R68" s="38" t="s">
        <v>23</v>
      </c>
      <c r="S68" s="38">
        <f t="shared" si="5"/>
        <v>22912</v>
      </c>
    </row>
    <row r="69" spans="1:19">
      <c r="A69" s="95">
        <v>1991</v>
      </c>
      <c r="B69" s="38" t="s">
        <v>23</v>
      </c>
      <c r="C69" s="38" t="s">
        <v>23</v>
      </c>
      <c r="D69" s="38">
        <v>25</v>
      </c>
      <c r="E69" s="38">
        <v>285</v>
      </c>
      <c r="F69" s="38">
        <v>376</v>
      </c>
      <c r="G69" s="38" t="s">
        <v>23</v>
      </c>
      <c r="H69" s="38" t="s">
        <v>23</v>
      </c>
      <c r="I69" s="38" t="s">
        <v>106</v>
      </c>
      <c r="J69" s="38" t="s">
        <v>23</v>
      </c>
      <c r="K69" s="38">
        <f t="shared" si="4"/>
        <v>686</v>
      </c>
      <c r="M69" s="38">
        <v>13</v>
      </c>
      <c r="N69" s="38">
        <v>2521</v>
      </c>
      <c r="O69" s="38">
        <v>23116</v>
      </c>
      <c r="P69" s="38" t="s">
        <v>23</v>
      </c>
      <c r="Q69" s="38" t="s">
        <v>23</v>
      </c>
      <c r="R69" s="38" t="s">
        <v>23</v>
      </c>
      <c r="S69" s="38">
        <f t="shared" si="5"/>
        <v>25650</v>
      </c>
    </row>
    <row r="70" spans="1:19">
      <c r="A70" s="95">
        <v>1992</v>
      </c>
      <c r="B70" s="38" t="s">
        <v>23</v>
      </c>
      <c r="C70" s="38" t="s">
        <v>23</v>
      </c>
      <c r="D70" s="38">
        <v>96</v>
      </c>
      <c r="E70" s="38">
        <v>272</v>
      </c>
      <c r="F70" s="38">
        <v>588</v>
      </c>
      <c r="G70" s="38">
        <v>323</v>
      </c>
      <c r="H70" s="38">
        <v>224</v>
      </c>
      <c r="I70" s="38" t="s">
        <v>106</v>
      </c>
      <c r="J70" s="38" t="s">
        <v>23</v>
      </c>
      <c r="K70" s="38">
        <f t="shared" si="4"/>
        <v>1503</v>
      </c>
      <c r="M70" s="38">
        <v>60</v>
      </c>
      <c r="N70" s="38">
        <v>1848</v>
      </c>
      <c r="O70" s="38">
        <v>11347</v>
      </c>
      <c r="P70" s="38">
        <v>6072</v>
      </c>
      <c r="Q70" s="38">
        <v>1431</v>
      </c>
      <c r="R70" s="38" t="s">
        <v>23</v>
      </c>
      <c r="S70" s="38">
        <f t="shared" si="5"/>
        <v>20758</v>
      </c>
    </row>
    <row r="71" spans="1:19">
      <c r="A71" s="95">
        <v>1993</v>
      </c>
      <c r="B71" s="38" t="s">
        <v>23</v>
      </c>
      <c r="C71" s="38" t="s">
        <v>23</v>
      </c>
      <c r="D71" s="38">
        <v>65</v>
      </c>
      <c r="E71" s="38">
        <v>8</v>
      </c>
      <c r="F71" s="38">
        <v>176</v>
      </c>
      <c r="G71" s="38">
        <v>48</v>
      </c>
      <c r="H71" s="38" t="s">
        <v>23</v>
      </c>
      <c r="I71" s="38" t="s">
        <v>106</v>
      </c>
      <c r="J71" s="38" t="s">
        <v>23</v>
      </c>
      <c r="K71" s="38">
        <f t="shared" si="4"/>
        <v>297</v>
      </c>
      <c r="M71" s="38">
        <v>4</v>
      </c>
      <c r="N71" s="38">
        <v>1</v>
      </c>
      <c r="O71" s="38">
        <v>926</v>
      </c>
      <c r="P71" s="38">
        <v>1392</v>
      </c>
      <c r="Q71" s="38" t="s">
        <v>23</v>
      </c>
      <c r="R71" s="38" t="s">
        <v>23</v>
      </c>
      <c r="S71" s="38">
        <f t="shared" si="5"/>
        <v>2323</v>
      </c>
    </row>
    <row r="72" spans="1:19">
      <c r="A72" s="95">
        <v>1994</v>
      </c>
      <c r="B72" s="38" t="s">
        <v>23</v>
      </c>
      <c r="C72" s="38" t="s">
        <v>23</v>
      </c>
      <c r="D72" s="38">
        <v>59</v>
      </c>
      <c r="E72" s="38">
        <v>135</v>
      </c>
      <c r="F72" s="38" t="s">
        <v>23</v>
      </c>
      <c r="G72" s="38" t="s">
        <v>23</v>
      </c>
      <c r="H72" s="38" t="s">
        <v>23</v>
      </c>
      <c r="I72" s="38">
        <v>2204</v>
      </c>
      <c r="J72" s="38" t="s">
        <v>23</v>
      </c>
      <c r="K72" s="38">
        <f t="shared" si="4"/>
        <v>2398</v>
      </c>
      <c r="M72" s="38" t="s">
        <v>23</v>
      </c>
      <c r="N72" s="38" t="s">
        <v>23</v>
      </c>
      <c r="O72" s="38" t="s">
        <v>23</v>
      </c>
      <c r="P72" s="38" t="s">
        <v>23</v>
      </c>
      <c r="Q72" s="38" t="s">
        <v>23</v>
      </c>
      <c r="R72" s="38" t="s">
        <v>23</v>
      </c>
      <c r="S72" s="38" t="s">
        <v>23</v>
      </c>
    </row>
    <row r="73" spans="1:19">
      <c r="A73" s="95">
        <v>1995</v>
      </c>
      <c r="B73" s="38" t="s">
        <v>23</v>
      </c>
      <c r="C73" s="38" t="s">
        <v>23</v>
      </c>
      <c r="D73" s="38">
        <v>67</v>
      </c>
      <c r="E73" s="38">
        <v>1</v>
      </c>
      <c r="F73" s="38" t="s">
        <v>23</v>
      </c>
      <c r="G73" s="38" t="s">
        <v>23</v>
      </c>
      <c r="H73" s="38">
        <v>114</v>
      </c>
      <c r="I73" s="38">
        <v>269</v>
      </c>
      <c r="J73" s="38">
        <v>84</v>
      </c>
      <c r="K73" s="38">
        <f t="shared" si="4"/>
        <v>535</v>
      </c>
      <c r="M73" s="38" t="s">
        <v>23</v>
      </c>
      <c r="N73" s="38" t="s">
        <v>23</v>
      </c>
      <c r="O73" s="38" t="s">
        <v>23</v>
      </c>
      <c r="P73" s="38" t="s">
        <v>23</v>
      </c>
      <c r="Q73" s="38">
        <v>3</v>
      </c>
      <c r="R73" s="38" t="s">
        <v>23</v>
      </c>
      <c r="S73" s="38">
        <f t="shared" si="5"/>
        <v>3</v>
      </c>
    </row>
    <row r="74" spans="1:19">
      <c r="A74" s="95">
        <v>1996</v>
      </c>
      <c r="B74" s="38" t="s">
        <v>23</v>
      </c>
      <c r="C74" s="38" t="s">
        <v>23</v>
      </c>
      <c r="D74" s="38">
        <v>115</v>
      </c>
      <c r="E74" s="38">
        <v>5</v>
      </c>
      <c r="F74" s="38">
        <v>11</v>
      </c>
      <c r="G74" s="38">
        <v>56</v>
      </c>
      <c r="H74" s="38">
        <v>670</v>
      </c>
      <c r="I74" s="38">
        <v>733</v>
      </c>
      <c r="J74" s="38" t="s">
        <v>23</v>
      </c>
      <c r="K74" s="38">
        <f t="shared" si="4"/>
        <v>1590</v>
      </c>
      <c r="M74" s="38" t="s">
        <v>23</v>
      </c>
      <c r="N74" s="38" t="s">
        <v>23</v>
      </c>
      <c r="O74" s="38" t="s">
        <v>23</v>
      </c>
      <c r="P74" s="38">
        <v>2</v>
      </c>
      <c r="Q74" s="38">
        <v>4</v>
      </c>
      <c r="R74" s="38">
        <v>1</v>
      </c>
      <c r="S74" s="38">
        <f t="shared" si="5"/>
        <v>7</v>
      </c>
    </row>
    <row r="75" spans="1:19">
      <c r="A75" s="95">
        <v>1997</v>
      </c>
      <c r="B75" s="38" t="s">
        <v>23</v>
      </c>
      <c r="C75" s="38">
        <v>0</v>
      </c>
      <c r="D75" s="38">
        <v>0</v>
      </c>
      <c r="E75" s="38">
        <v>4</v>
      </c>
      <c r="F75" s="38">
        <v>2</v>
      </c>
      <c r="G75" s="38">
        <v>15</v>
      </c>
      <c r="H75" s="38">
        <v>154</v>
      </c>
      <c r="I75" s="38">
        <v>287</v>
      </c>
      <c r="J75" s="38" t="s">
        <v>106</v>
      </c>
      <c r="K75" s="38">
        <f t="shared" si="4"/>
        <v>462</v>
      </c>
      <c r="M75" s="38" t="s">
        <v>23</v>
      </c>
      <c r="N75" s="38" t="s">
        <v>23</v>
      </c>
      <c r="O75" s="38">
        <v>1</v>
      </c>
      <c r="P75" s="38" t="s">
        <v>23</v>
      </c>
      <c r="Q75" s="38">
        <v>6</v>
      </c>
      <c r="R75" s="38" t="s">
        <v>23</v>
      </c>
      <c r="S75" s="38">
        <f t="shared" si="5"/>
        <v>7</v>
      </c>
    </row>
    <row r="76" spans="1:19">
      <c r="A76" s="95">
        <v>1998</v>
      </c>
      <c r="B76" s="38" t="s">
        <v>23</v>
      </c>
      <c r="C76" s="38">
        <v>0</v>
      </c>
      <c r="D76" s="38">
        <v>73</v>
      </c>
      <c r="E76" s="38">
        <v>4</v>
      </c>
      <c r="F76" s="38">
        <v>0</v>
      </c>
      <c r="G76" s="38">
        <v>25</v>
      </c>
      <c r="H76" s="38">
        <v>496</v>
      </c>
      <c r="I76" s="38">
        <v>526</v>
      </c>
      <c r="J76" s="38" t="s">
        <v>106</v>
      </c>
      <c r="K76" s="38">
        <f t="shared" si="4"/>
        <v>1124</v>
      </c>
      <c r="M76" s="38" t="s">
        <v>23</v>
      </c>
      <c r="N76" s="38" t="s">
        <v>23</v>
      </c>
      <c r="O76" s="38" t="s">
        <v>23</v>
      </c>
      <c r="P76" s="38">
        <v>19</v>
      </c>
      <c r="Q76" s="38">
        <v>11</v>
      </c>
      <c r="R76" s="38">
        <v>2</v>
      </c>
      <c r="S76" s="38">
        <f t="shared" si="5"/>
        <v>32</v>
      </c>
    </row>
    <row r="77" spans="1:19">
      <c r="A77" s="95">
        <v>1999</v>
      </c>
      <c r="B77" s="38" t="s">
        <v>23</v>
      </c>
      <c r="C77" s="38">
        <v>0</v>
      </c>
      <c r="D77" s="38">
        <v>119</v>
      </c>
      <c r="E77" s="38">
        <v>13</v>
      </c>
      <c r="F77" s="38">
        <v>184</v>
      </c>
      <c r="G77" s="38">
        <v>32</v>
      </c>
      <c r="H77" s="38">
        <v>683</v>
      </c>
      <c r="I77" s="38">
        <v>524</v>
      </c>
      <c r="J77" s="38">
        <v>8</v>
      </c>
      <c r="K77" s="38">
        <f t="shared" si="4"/>
        <v>1563</v>
      </c>
      <c r="M77" s="38" t="s">
        <v>23</v>
      </c>
      <c r="N77" s="38" t="s">
        <v>23</v>
      </c>
      <c r="O77" s="38">
        <v>1007</v>
      </c>
      <c r="P77" s="38">
        <v>2</v>
      </c>
      <c r="Q77" s="38">
        <v>11</v>
      </c>
      <c r="R77" s="38">
        <v>2</v>
      </c>
      <c r="S77" s="38">
        <f t="shared" si="5"/>
        <v>1022</v>
      </c>
    </row>
    <row r="78" spans="1:19">
      <c r="A78" s="95">
        <v>2000</v>
      </c>
      <c r="B78" s="38" t="s">
        <v>23</v>
      </c>
      <c r="C78" s="38">
        <v>2</v>
      </c>
      <c r="D78" s="38">
        <v>45</v>
      </c>
      <c r="E78" s="38">
        <v>23</v>
      </c>
      <c r="F78" s="38">
        <v>130</v>
      </c>
      <c r="G78" s="38">
        <v>29</v>
      </c>
      <c r="H78" s="38">
        <v>506</v>
      </c>
      <c r="I78" s="38">
        <v>402</v>
      </c>
      <c r="J78" s="38">
        <v>63</v>
      </c>
      <c r="K78" s="38">
        <f t="shared" si="4"/>
        <v>1200</v>
      </c>
      <c r="M78" s="38" t="s">
        <v>23</v>
      </c>
      <c r="N78" s="38" t="s">
        <v>23</v>
      </c>
      <c r="O78" s="38">
        <v>1920</v>
      </c>
      <c r="P78" s="38">
        <v>2</v>
      </c>
      <c r="Q78" s="38">
        <v>11</v>
      </c>
      <c r="R78" s="38">
        <v>8</v>
      </c>
      <c r="S78" s="38">
        <f t="shared" si="5"/>
        <v>1941</v>
      </c>
    </row>
    <row r="79" spans="1:19">
      <c r="A79" s="95">
        <v>2001</v>
      </c>
      <c r="B79" s="38" t="s">
        <v>23</v>
      </c>
      <c r="C79" s="38">
        <v>0</v>
      </c>
      <c r="D79" s="38">
        <v>70</v>
      </c>
      <c r="E79" s="38">
        <v>235</v>
      </c>
      <c r="F79" s="38">
        <v>727</v>
      </c>
      <c r="G79" s="38">
        <v>234</v>
      </c>
      <c r="H79" s="38">
        <v>826</v>
      </c>
      <c r="I79" s="38">
        <v>431</v>
      </c>
      <c r="J79" s="38">
        <v>23</v>
      </c>
      <c r="K79" s="38">
        <f t="shared" si="4"/>
        <v>2546</v>
      </c>
      <c r="M79" s="38" t="s">
        <v>23</v>
      </c>
      <c r="N79" s="38">
        <v>3398</v>
      </c>
      <c r="O79" s="38">
        <v>8771</v>
      </c>
      <c r="P79" s="38">
        <v>37</v>
      </c>
      <c r="Q79" s="38">
        <v>69</v>
      </c>
      <c r="R79" s="38">
        <v>22</v>
      </c>
      <c r="S79" s="38">
        <f t="shared" si="5"/>
        <v>12297</v>
      </c>
    </row>
    <row r="80" spans="1:19">
      <c r="A80" s="95">
        <v>2002</v>
      </c>
      <c r="B80" s="38" t="s">
        <v>23</v>
      </c>
      <c r="C80" s="38">
        <v>1</v>
      </c>
      <c r="D80" s="38">
        <v>56</v>
      </c>
      <c r="E80" s="38">
        <v>108</v>
      </c>
      <c r="F80" s="38">
        <v>3170</v>
      </c>
      <c r="G80" s="38">
        <v>2182</v>
      </c>
      <c r="H80" s="38">
        <v>1531</v>
      </c>
      <c r="I80" s="38">
        <v>1735</v>
      </c>
      <c r="J80" s="38">
        <v>0</v>
      </c>
      <c r="K80" s="38">
        <f t="shared" si="4"/>
        <v>8783</v>
      </c>
      <c r="M80" s="38" t="s">
        <v>23</v>
      </c>
      <c r="N80" s="38" t="s">
        <v>23</v>
      </c>
      <c r="O80" s="38">
        <v>4753</v>
      </c>
      <c r="P80" s="38">
        <v>1096</v>
      </c>
      <c r="Q80" s="38">
        <v>41</v>
      </c>
      <c r="R80" s="38">
        <v>22</v>
      </c>
      <c r="S80" s="38">
        <f t="shared" si="5"/>
        <v>5912</v>
      </c>
    </row>
    <row r="81" spans="1:19">
      <c r="A81" s="95">
        <v>2003</v>
      </c>
      <c r="B81" s="137" t="s">
        <v>106</v>
      </c>
      <c r="C81" s="38" t="s">
        <v>23</v>
      </c>
      <c r="D81" s="38">
        <v>54</v>
      </c>
      <c r="E81" s="38">
        <v>439</v>
      </c>
      <c r="F81" s="38">
        <v>1724</v>
      </c>
      <c r="G81" s="38">
        <v>737</v>
      </c>
      <c r="H81" s="38">
        <v>1468</v>
      </c>
      <c r="I81" s="38">
        <v>936</v>
      </c>
      <c r="J81" s="38">
        <v>64</v>
      </c>
      <c r="K81" s="38">
        <f t="shared" si="4"/>
        <v>5422</v>
      </c>
      <c r="M81" s="38">
        <v>2</v>
      </c>
      <c r="N81" s="38">
        <v>1407</v>
      </c>
      <c r="O81" s="38">
        <v>14049</v>
      </c>
      <c r="P81" s="38">
        <v>5705</v>
      </c>
      <c r="Q81" s="38">
        <v>42</v>
      </c>
      <c r="R81" s="38">
        <v>14</v>
      </c>
      <c r="S81" s="38">
        <f t="shared" si="5"/>
        <v>21219</v>
      </c>
    </row>
    <row r="82" spans="1:19">
      <c r="A82" s="95">
        <v>2004</v>
      </c>
      <c r="B82" s="137" t="s">
        <v>106</v>
      </c>
      <c r="C82" s="38">
        <v>5</v>
      </c>
      <c r="D82" s="38">
        <v>40</v>
      </c>
      <c r="E82" s="38">
        <v>501</v>
      </c>
      <c r="F82" s="38">
        <v>3146</v>
      </c>
      <c r="G82" s="38">
        <v>2755</v>
      </c>
      <c r="H82" s="38">
        <v>940</v>
      </c>
      <c r="I82" s="38">
        <v>1409</v>
      </c>
      <c r="J82" s="38">
        <v>69</v>
      </c>
      <c r="K82" s="38">
        <f t="shared" si="4"/>
        <v>8865</v>
      </c>
      <c r="M82" s="38" t="s">
        <v>23</v>
      </c>
      <c r="N82" s="38">
        <v>1305</v>
      </c>
      <c r="O82" s="38">
        <v>8693</v>
      </c>
      <c r="P82" s="38">
        <v>4212</v>
      </c>
      <c r="Q82" s="38">
        <v>175</v>
      </c>
      <c r="R82" s="38">
        <v>23</v>
      </c>
      <c r="S82" s="38">
        <f t="shared" si="5"/>
        <v>14408</v>
      </c>
    </row>
    <row r="83" spans="1:19">
      <c r="A83" s="95">
        <v>2005</v>
      </c>
      <c r="B83" s="137">
        <v>6</v>
      </c>
      <c r="C83" s="38">
        <v>10</v>
      </c>
      <c r="D83" s="38">
        <v>36</v>
      </c>
      <c r="E83" s="38">
        <v>371</v>
      </c>
      <c r="F83" s="38">
        <v>684</v>
      </c>
      <c r="G83" s="38">
        <v>291</v>
      </c>
      <c r="H83" s="38">
        <v>1142</v>
      </c>
      <c r="I83" s="38">
        <v>186</v>
      </c>
      <c r="J83" s="38">
        <v>0</v>
      </c>
      <c r="K83" s="38">
        <f t="shared" si="4"/>
        <v>2726</v>
      </c>
      <c r="M83" s="38" t="s">
        <v>23</v>
      </c>
      <c r="N83" s="38">
        <v>543</v>
      </c>
      <c r="O83" s="38">
        <v>502</v>
      </c>
      <c r="P83" s="38">
        <v>11</v>
      </c>
      <c r="Q83" s="38">
        <v>2</v>
      </c>
      <c r="R83" s="38" t="s">
        <v>23</v>
      </c>
      <c r="S83" s="38">
        <f t="shared" si="5"/>
        <v>1058</v>
      </c>
    </row>
    <row r="84" spans="1:19">
      <c r="A84" s="95">
        <v>2006</v>
      </c>
      <c r="B84" s="187">
        <v>0</v>
      </c>
      <c r="C84" s="187">
        <v>0</v>
      </c>
      <c r="D84" s="187">
        <v>40</v>
      </c>
      <c r="E84" s="187">
        <v>75</v>
      </c>
      <c r="F84" s="187">
        <v>204</v>
      </c>
      <c r="G84" s="187">
        <v>14</v>
      </c>
      <c r="H84" s="187">
        <v>1079</v>
      </c>
      <c r="I84" s="187">
        <v>1944</v>
      </c>
      <c r="J84" s="187">
        <v>49</v>
      </c>
      <c r="K84" s="38">
        <f t="shared" si="4"/>
        <v>3405</v>
      </c>
      <c r="M84" s="187" t="s">
        <v>23</v>
      </c>
      <c r="N84" s="187">
        <v>184</v>
      </c>
      <c r="O84" s="187">
        <v>1055</v>
      </c>
      <c r="P84" s="187" t="s">
        <v>23</v>
      </c>
      <c r="Q84" s="187">
        <v>119</v>
      </c>
      <c r="R84" s="187" t="s">
        <v>23</v>
      </c>
      <c r="S84" s="38">
        <f t="shared" si="5"/>
        <v>1358</v>
      </c>
    </row>
    <row r="85" spans="1:19">
      <c r="A85" s="95">
        <v>2007</v>
      </c>
      <c r="B85" s="187" t="s">
        <v>23</v>
      </c>
      <c r="C85" s="187">
        <v>0</v>
      </c>
      <c r="D85" s="187">
        <v>41</v>
      </c>
      <c r="E85" s="187">
        <v>58</v>
      </c>
      <c r="F85" s="187">
        <v>109</v>
      </c>
      <c r="G85" s="187">
        <v>241</v>
      </c>
      <c r="H85" s="187">
        <v>507</v>
      </c>
      <c r="I85" s="187">
        <v>474</v>
      </c>
      <c r="J85" s="137" t="s">
        <v>106</v>
      </c>
      <c r="K85" s="38">
        <f t="shared" si="4"/>
        <v>1430</v>
      </c>
      <c r="M85" s="187">
        <v>2</v>
      </c>
      <c r="N85" s="187">
        <v>1206</v>
      </c>
      <c r="O85" s="187">
        <v>4305</v>
      </c>
      <c r="P85" s="187">
        <v>6926</v>
      </c>
      <c r="Q85" s="187">
        <v>124</v>
      </c>
      <c r="R85" s="187" t="s">
        <v>23</v>
      </c>
      <c r="S85" s="38">
        <f t="shared" si="5"/>
        <v>12563</v>
      </c>
    </row>
    <row r="86" spans="1:19">
      <c r="A86" s="95">
        <v>2008</v>
      </c>
      <c r="B86" s="38" t="s">
        <v>23</v>
      </c>
      <c r="C86" s="38" t="s">
        <v>23</v>
      </c>
      <c r="D86" s="38" t="s">
        <v>23</v>
      </c>
      <c r="E86" s="187">
        <v>2</v>
      </c>
      <c r="F86" s="38" t="s">
        <v>23</v>
      </c>
      <c r="G86" s="187">
        <v>3</v>
      </c>
      <c r="H86" s="187">
        <v>262</v>
      </c>
      <c r="I86" s="187">
        <v>201</v>
      </c>
      <c r="J86" s="137" t="s">
        <v>106</v>
      </c>
      <c r="K86" s="38">
        <f t="shared" si="4"/>
        <v>468</v>
      </c>
      <c r="M86" s="187" t="s">
        <v>23</v>
      </c>
      <c r="N86" s="187">
        <v>43</v>
      </c>
      <c r="O86" s="187">
        <v>220</v>
      </c>
      <c r="P86" s="187">
        <v>930</v>
      </c>
      <c r="Q86" s="187">
        <v>45</v>
      </c>
      <c r="R86" s="187">
        <v>3</v>
      </c>
      <c r="S86" s="38">
        <f t="shared" si="5"/>
        <v>1241</v>
      </c>
    </row>
    <row r="87" spans="1:19">
      <c r="A87" s="95">
        <v>2009</v>
      </c>
      <c r="B87" s="38" t="s">
        <v>23</v>
      </c>
      <c r="C87" s="38" t="s">
        <v>23</v>
      </c>
      <c r="D87" s="38" t="s">
        <v>23</v>
      </c>
      <c r="E87" s="187">
        <v>4</v>
      </c>
      <c r="F87" s="38">
        <v>23</v>
      </c>
      <c r="G87" s="38">
        <v>20</v>
      </c>
      <c r="H87" s="38">
        <v>92</v>
      </c>
      <c r="I87" s="38">
        <v>226</v>
      </c>
      <c r="J87" s="38" t="s">
        <v>23</v>
      </c>
      <c r="K87" s="38">
        <f t="shared" si="4"/>
        <v>365</v>
      </c>
      <c r="M87" s="187" t="s">
        <v>23</v>
      </c>
      <c r="N87" s="187">
        <v>1141</v>
      </c>
      <c r="O87" s="187">
        <v>12672</v>
      </c>
      <c r="P87" s="187">
        <v>9456</v>
      </c>
      <c r="Q87" s="187">
        <v>310</v>
      </c>
      <c r="R87" s="187">
        <v>6</v>
      </c>
      <c r="S87" s="38">
        <f t="shared" si="5"/>
        <v>23585</v>
      </c>
    </row>
    <row r="88" spans="1:19">
      <c r="A88" s="95">
        <v>2010</v>
      </c>
      <c r="B88" s="38" t="s">
        <v>23</v>
      </c>
      <c r="C88" s="38" t="s">
        <v>23</v>
      </c>
      <c r="D88" s="38">
        <v>12</v>
      </c>
      <c r="E88" s="187">
        <v>72</v>
      </c>
      <c r="F88" s="38">
        <v>112</v>
      </c>
      <c r="G88" s="38">
        <v>190</v>
      </c>
      <c r="H88" s="38">
        <v>323</v>
      </c>
      <c r="I88" s="38">
        <v>122</v>
      </c>
      <c r="J88" s="38" t="s">
        <v>23</v>
      </c>
      <c r="K88" s="38">
        <f t="shared" si="4"/>
        <v>831</v>
      </c>
      <c r="M88" s="187" t="s">
        <v>23</v>
      </c>
      <c r="N88" s="187">
        <v>323</v>
      </c>
      <c r="O88" s="187">
        <v>1392</v>
      </c>
      <c r="P88" s="187">
        <v>1390</v>
      </c>
      <c r="Q88" s="187">
        <v>268</v>
      </c>
      <c r="R88" s="187" t="s">
        <v>23</v>
      </c>
      <c r="S88" s="38">
        <f t="shared" si="5"/>
        <v>3373</v>
      </c>
    </row>
    <row r="89" spans="1:19">
      <c r="A89" s="95">
        <v>2011</v>
      </c>
      <c r="B89" s="38">
        <v>0</v>
      </c>
      <c r="C89" s="38">
        <v>0</v>
      </c>
      <c r="D89" s="38">
        <v>4</v>
      </c>
      <c r="E89" s="187">
        <v>29</v>
      </c>
      <c r="F89" s="38">
        <v>128</v>
      </c>
      <c r="G89" s="38">
        <v>182</v>
      </c>
      <c r="H89" s="38">
        <v>574</v>
      </c>
      <c r="I89" s="38">
        <v>207</v>
      </c>
      <c r="J89" s="38" t="s">
        <v>23</v>
      </c>
      <c r="K89" s="38">
        <f t="shared" si="4"/>
        <v>1124</v>
      </c>
      <c r="M89" s="187" t="s">
        <v>23</v>
      </c>
      <c r="N89" s="187">
        <v>366</v>
      </c>
      <c r="O89" s="187">
        <v>1535</v>
      </c>
      <c r="P89" s="187">
        <v>1288</v>
      </c>
      <c r="Q89" s="187">
        <v>2532</v>
      </c>
      <c r="R89" s="187" t="s">
        <v>23</v>
      </c>
      <c r="S89" s="38">
        <f t="shared" si="5"/>
        <v>5721</v>
      </c>
    </row>
    <row r="90" spans="1:19">
      <c r="A90" s="95">
        <v>2012</v>
      </c>
      <c r="B90" s="38">
        <v>0</v>
      </c>
      <c r="C90" s="38">
        <v>1</v>
      </c>
      <c r="D90" s="38">
        <v>79</v>
      </c>
      <c r="E90" s="187">
        <v>102</v>
      </c>
      <c r="F90" s="38">
        <v>133</v>
      </c>
      <c r="G90" s="38">
        <v>429</v>
      </c>
      <c r="H90" s="38">
        <v>1008</v>
      </c>
      <c r="I90" s="38">
        <v>419</v>
      </c>
      <c r="J90" s="38" t="s">
        <v>23</v>
      </c>
      <c r="K90" s="38">
        <f t="shared" si="4"/>
        <v>2171</v>
      </c>
      <c r="M90" s="187" t="s">
        <v>23</v>
      </c>
      <c r="N90" s="187">
        <v>13</v>
      </c>
      <c r="O90" s="187">
        <v>423</v>
      </c>
      <c r="P90" s="187">
        <v>1302</v>
      </c>
      <c r="Q90" s="187">
        <v>1424</v>
      </c>
      <c r="R90" s="187" t="s">
        <v>23</v>
      </c>
      <c r="S90" s="38">
        <f t="shared" si="5"/>
        <v>3162</v>
      </c>
    </row>
    <row r="91" spans="1:19">
      <c r="A91" s="95">
        <v>2013</v>
      </c>
      <c r="B91" s="38">
        <v>0</v>
      </c>
      <c r="C91" s="38">
        <v>21</v>
      </c>
      <c r="D91" s="38">
        <v>28</v>
      </c>
      <c r="E91" s="187">
        <v>82</v>
      </c>
      <c r="F91" s="38">
        <v>189</v>
      </c>
      <c r="G91" s="38">
        <v>156</v>
      </c>
      <c r="H91" s="38">
        <v>709</v>
      </c>
      <c r="I91" s="38">
        <v>712</v>
      </c>
      <c r="J91" s="38" t="s">
        <v>23</v>
      </c>
      <c r="K91" s="38">
        <f t="shared" si="4"/>
        <v>1897</v>
      </c>
      <c r="M91" s="187" t="s">
        <v>23</v>
      </c>
      <c r="N91" s="38" t="s">
        <v>23</v>
      </c>
      <c r="O91" s="187">
        <v>2034</v>
      </c>
      <c r="P91" s="187">
        <v>777</v>
      </c>
      <c r="Q91" s="38">
        <v>812</v>
      </c>
      <c r="R91" s="38">
        <v>12</v>
      </c>
      <c r="S91" s="38">
        <f t="shared" si="5"/>
        <v>3635</v>
      </c>
    </row>
    <row r="92" spans="1:19">
      <c r="A92" s="95">
        <v>2014</v>
      </c>
      <c r="B92" s="38">
        <v>0</v>
      </c>
      <c r="C92" s="38">
        <v>0</v>
      </c>
      <c r="D92" s="38">
        <v>84</v>
      </c>
      <c r="E92" s="187">
        <v>16</v>
      </c>
      <c r="F92" s="38">
        <v>385</v>
      </c>
      <c r="G92" s="38">
        <v>236</v>
      </c>
      <c r="H92" s="38">
        <v>703</v>
      </c>
      <c r="I92" s="38">
        <v>111</v>
      </c>
      <c r="J92" s="38" t="s">
        <v>23</v>
      </c>
      <c r="K92" s="38">
        <f t="shared" si="4"/>
        <v>1535</v>
      </c>
      <c r="M92" s="187" t="s">
        <v>23</v>
      </c>
      <c r="N92" s="38">
        <v>641</v>
      </c>
      <c r="O92" s="187">
        <v>10479</v>
      </c>
      <c r="P92" s="187">
        <v>5817</v>
      </c>
      <c r="Q92" s="38">
        <v>9692</v>
      </c>
      <c r="R92" s="38">
        <v>49</v>
      </c>
      <c r="S92" s="38">
        <f t="shared" si="5"/>
        <v>26678</v>
      </c>
    </row>
    <row r="93" spans="1:19">
      <c r="A93" s="95">
        <v>2015</v>
      </c>
      <c r="B93" s="38">
        <v>0</v>
      </c>
      <c r="C93" s="38">
        <v>2</v>
      </c>
      <c r="D93" s="38">
        <v>88</v>
      </c>
      <c r="E93" s="187">
        <v>26</v>
      </c>
      <c r="F93" s="38">
        <v>63</v>
      </c>
      <c r="G93" s="38">
        <v>140</v>
      </c>
      <c r="H93" s="38">
        <v>1677</v>
      </c>
      <c r="I93" s="38">
        <v>1437</v>
      </c>
      <c r="J93" s="38" t="s">
        <v>23</v>
      </c>
      <c r="K93" s="38">
        <f t="shared" si="4"/>
        <v>3433</v>
      </c>
      <c r="M93" s="187" t="s">
        <v>23</v>
      </c>
      <c r="N93" s="38">
        <v>37</v>
      </c>
      <c r="O93" s="187">
        <v>2453</v>
      </c>
      <c r="P93" s="187">
        <v>1465</v>
      </c>
      <c r="Q93" s="38">
        <v>1000</v>
      </c>
      <c r="R93" s="38">
        <v>19</v>
      </c>
      <c r="S93" s="38">
        <f t="shared" si="5"/>
        <v>4974</v>
      </c>
    </row>
    <row r="94" spans="1:19">
      <c r="A94" s="95">
        <v>2016</v>
      </c>
      <c r="B94" s="38">
        <v>0</v>
      </c>
      <c r="C94" s="38">
        <v>0</v>
      </c>
      <c r="D94" s="38">
        <v>124</v>
      </c>
      <c r="E94" s="187">
        <v>179</v>
      </c>
      <c r="F94" s="38">
        <v>30</v>
      </c>
      <c r="G94" s="38">
        <v>131</v>
      </c>
      <c r="H94" s="38">
        <v>687</v>
      </c>
      <c r="I94" s="38">
        <v>70</v>
      </c>
      <c r="J94" s="38" t="s">
        <v>23</v>
      </c>
      <c r="K94" s="38">
        <f t="shared" si="4"/>
        <v>1221</v>
      </c>
      <c r="M94" s="187" t="s">
        <v>23</v>
      </c>
      <c r="N94" s="38">
        <v>158</v>
      </c>
      <c r="O94" s="187">
        <v>188</v>
      </c>
      <c r="P94" s="187">
        <v>2</v>
      </c>
      <c r="Q94" s="38">
        <v>1426</v>
      </c>
      <c r="R94" s="38">
        <v>22</v>
      </c>
      <c r="S94" s="38">
        <f t="shared" si="5"/>
        <v>1796</v>
      </c>
    </row>
    <row r="95" spans="1:19">
      <c r="A95" s="95">
        <v>2017</v>
      </c>
      <c r="B95" s="38">
        <v>0</v>
      </c>
      <c r="C95" s="38">
        <v>0</v>
      </c>
      <c r="D95" s="38">
        <v>76</v>
      </c>
      <c r="E95" s="187">
        <v>80</v>
      </c>
      <c r="F95" s="38">
        <v>89</v>
      </c>
      <c r="G95" s="38">
        <v>141</v>
      </c>
      <c r="H95" s="38">
        <v>424</v>
      </c>
      <c r="I95" s="38">
        <v>35</v>
      </c>
      <c r="J95" s="38" t="s">
        <v>23</v>
      </c>
      <c r="K95" s="38">
        <f t="shared" si="4"/>
        <v>845</v>
      </c>
      <c r="M95" s="187" t="s">
        <v>23</v>
      </c>
      <c r="N95" s="38">
        <v>86</v>
      </c>
      <c r="O95" s="187">
        <v>901</v>
      </c>
      <c r="P95" s="187">
        <v>1440</v>
      </c>
      <c r="Q95" s="38">
        <v>1252</v>
      </c>
      <c r="R95" s="38" t="s">
        <v>23</v>
      </c>
      <c r="S95" s="38">
        <f t="shared" si="5"/>
        <v>3679</v>
      </c>
    </row>
    <row r="96" spans="1:19">
      <c r="A96" s="95">
        <v>2018</v>
      </c>
      <c r="B96" s="38">
        <v>0</v>
      </c>
      <c r="C96" s="38">
        <v>4</v>
      </c>
      <c r="D96" s="38">
        <v>19</v>
      </c>
      <c r="E96" s="187">
        <v>28</v>
      </c>
      <c r="F96" s="38">
        <v>66</v>
      </c>
      <c r="G96" s="38">
        <v>366</v>
      </c>
      <c r="H96" s="38">
        <v>160</v>
      </c>
      <c r="I96" s="38">
        <v>63</v>
      </c>
      <c r="J96" s="38" t="s">
        <v>23</v>
      </c>
      <c r="K96" s="38">
        <f>SUM(B96:J96)</f>
        <v>706</v>
      </c>
      <c r="M96" s="187" t="s">
        <v>23</v>
      </c>
      <c r="N96" s="38">
        <v>25</v>
      </c>
      <c r="O96" s="187">
        <v>274</v>
      </c>
      <c r="P96" s="187">
        <v>1652</v>
      </c>
      <c r="Q96" s="38">
        <v>858</v>
      </c>
      <c r="R96" s="38" t="s">
        <v>23</v>
      </c>
      <c r="S96" s="38">
        <f>SUM(M96:R96)</f>
        <v>2809</v>
      </c>
    </row>
    <row r="97" spans="1:19">
      <c r="A97" s="95">
        <v>2019</v>
      </c>
      <c r="B97" s="38">
        <v>8</v>
      </c>
      <c r="C97" s="38">
        <v>0</v>
      </c>
      <c r="D97" s="38">
        <v>37</v>
      </c>
      <c r="E97" s="187">
        <v>95</v>
      </c>
      <c r="F97" s="38">
        <v>422</v>
      </c>
      <c r="G97" s="38">
        <v>212</v>
      </c>
      <c r="H97" s="38">
        <v>293</v>
      </c>
      <c r="I97" s="38">
        <v>239</v>
      </c>
      <c r="J97" s="38" t="s">
        <v>23</v>
      </c>
      <c r="K97" s="38">
        <f t="shared" ref="K97:K98" si="6">SUM(B97:J97)</f>
        <v>1306</v>
      </c>
      <c r="M97" s="187" t="s">
        <v>23</v>
      </c>
      <c r="N97" s="38">
        <v>609</v>
      </c>
      <c r="O97" s="187">
        <v>6201</v>
      </c>
      <c r="P97" s="187">
        <v>2749</v>
      </c>
      <c r="Q97" s="38">
        <v>1156</v>
      </c>
      <c r="R97" s="38">
        <v>5</v>
      </c>
      <c r="S97" s="38">
        <f t="shared" ref="S97:S98" si="7">SUM(M97:R97)</f>
        <v>10720</v>
      </c>
    </row>
    <row r="98" spans="1:19">
      <c r="A98" s="95">
        <v>2020</v>
      </c>
      <c r="B98" s="38">
        <v>0</v>
      </c>
      <c r="C98" s="38">
        <v>0</v>
      </c>
      <c r="D98" s="38">
        <v>12</v>
      </c>
      <c r="E98" s="187">
        <v>52</v>
      </c>
      <c r="F98" s="38">
        <v>231</v>
      </c>
      <c r="G98" s="38">
        <v>213</v>
      </c>
      <c r="H98" s="38">
        <v>767</v>
      </c>
      <c r="I98" s="38">
        <v>184</v>
      </c>
      <c r="J98" s="38" t="s">
        <v>23</v>
      </c>
      <c r="K98" s="38">
        <f t="shared" si="6"/>
        <v>1459</v>
      </c>
      <c r="M98" s="187" t="s">
        <v>23</v>
      </c>
      <c r="N98" s="38">
        <v>0</v>
      </c>
      <c r="O98" s="187">
        <v>1059</v>
      </c>
      <c r="P98" s="187">
        <v>1020</v>
      </c>
      <c r="Q98" s="38">
        <v>634</v>
      </c>
      <c r="R98" s="38" t="s">
        <v>23</v>
      </c>
      <c r="S98" s="38">
        <f t="shared" si="7"/>
        <v>2713</v>
      </c>
    </row>
    <row r="99" spans="1:19" ht="13">
      <c r="A99" s="95" t="s">
        <v>317</v>
      </c>
      <c r="B99" s="38">
        <v>0</v>
      </c>
      <c r="C99" s="38">
        <v>0</v>
      </c>
      <c r="D99" s="38">
        <v>145</v>
      </c>
      <c r="E99" s="187">
        <v>86</v>
      </c>
      <c r="F99" s="38">
        <v>216</v>
      </c>
      <c r="G99" s="38">
        <v>246</v>
      </c>
      <c r="H99" s="38">
        <v>636</v>
      </c>
      <c r="I99" s="38">
        <v>9</v>
      </c>
      <c r="J99" s="38" t="s">
        <v>23</v>
      </c>
      <c r="K99" s="38">
        <f t="shared" si="4"/>
        <v>1338</v>
      </c>
      <c r="M99" s="187" t="s">
        <v>23</v>
      </c>
      <c r="N99" s="38">
        <v>99</v>
      </c>
      <c r="O99" s="187">
        <v>7353</v>
      </c>
      <c r="P99" s="187">
        <v>3590</v>
      </c>
      <c r="Q99" s="38">
        <v>2268</v>
      </c>
      <c r="R99" s="38">
        <v>4</v>
      </c>
      <c r="S99" s="38">
        <f t="shared" si="5"/>
        <v>13314</v>
      </c>
    </row>
    <row r="101" spans="1:19">
      <c r="A101" s="88" t="s">
        <v>48</v>
      </c>
    </row>
    <row r="102" spans="1:19">
      <c r="A102" s="99">
        <v>1976</v>
      </c>
      <c r="B102" s="38" t="s">
        <v>23</v>
      </c>
      <c r="C102" s="38">
        <v>0</v>
      </c>
      <c r="D102" s="38">
        <v>140</v>
      </c>
      <c r="E102" s="38">
        <v>859</v>
      </c>
      <c r="F102" s="38">
        <v>1051</v>
      </c>
      <c r="G102" s="38">
        <v>1939</v>
      </c>
      <c r="H102" s="38">
        <v>497</v>
      </c>
      <c r="I102" s="38">
        <v>13</v>
      </c>
      <c r="J102" s="38">
        <v>1</v>
      </c>
      <c r="K102" s="38">
        <f t="shared" ref="K102:K147" si="8">SUM(B102:J102)</f>
        <v>4500</v>
      </c>
      <c r="M102" s="38">
        <v>4139</v>
      </c>
      <c r="N102" s="38">
        <v>25777</v>
      </c>
      <c r="O102" s="38">
        <v>30655</v>
      </c>
      <c r="P102" s="38">
        <v>51810</v>
      </c>
      <c r="Q102" s="38">
        <v>4912</v>
      </c>
      <c r="R102" s="38">
        <v>455</v>
      </c>
      <c r="S102" s="38">
        <f t="shared" ref="S102:S147" si="9">SUM(M102:R102)</f>
        <v>117748</v>
      </c>
    </row>
    <row r="103" spans="1:19">
      <c r="A103" s="99">
        <v>1977</v>
      </c>
      <c r="B103" s="38" t="s">
        <v>23</v>
      </c>
      <c r="C103" s="38">
        <v>0</v>
      </c>
      <c r="D103" s="38">
        <v>69</v>
      </c>
      <c r="E103" s="38">
        <v>629</v>
      </c>
      <c r="F103" s="38">
        <v>1129</v>
      </c>
      <c r="G103" s="38">
        <v>463</v>
      </c>
      <c r="H103" s="38">
        <v>223</v>
      </c>
      <c r="I103" s="38">
        <v>59</v>
      </c>
      <c r="J103" s="38" t="s">
        <v>23</v>
      </c>
      <c r="K103" s="38">
        <f t="shared" si="8"/>
        <v>2572</v>
      </c>
      <c r="M103" s="38">
        <v>651</v>
      </c>
      <c r="N103" s="38">
        <v>1840</v>
      </c>
      <c r="O103" s="38">
        <v>14220</v>
      </c>
      <c r="P103" s="38">
        <v>13867</v>
      </c>
      <c r="Q103" s="38">
        <v>1533</v>
      </c>
      <c r="R103" s="38">
        <v>82</v>
      </c>
      <c r="S103" s="38">
        <f t="shared" si="9"/>
        <v>32193</v>
      </c>
    </row>
    <row r="104" spans="1:19">
      <c r="A104" s="99">
        <v>1978</v>
      </c>
      <c r="B104" s="38" t="s">
        <v>23</v>
      </c>
      <c r="C104" s="38">
        <v>0</v>
      </c>
      <c r="D104" s="38">
        <v>72</v>
      </c>
      <c r="E104" s="38">
        <v>213</v>
      </c>
      <c r="F104" s="38">
        <v>915</v>
      </c>
      <c r="G104" s="38">
        <v>835</v>
      </c>
      <c r="H104" s="38">
        <v>11</v>
      </c>
      <c r="I104" s="38">
        <v>22</v>
      </c>
      <c r="J104" s="38" t="s">
        <v>23</v>
      </c>
      <c r="K104" s="38">
        <f t="shared" si="8"/>
        <v>2068</v>
      </c>
      <c r="M104" s="38">
        <v>1092</v>
      </c>
      <c r="N104" s="38">
        <v>13915</v>
      </c>
      <c r="O104" s="38">
        <v>21187</v>
      </c>
      <c r="P104" s="38">
        <v>23677</v>
      </c>
      <c r="Q104" s="38">
        <v>1242</v>
      </c>
      <c r="R104" s="38">
        <v>97</v>
      </c>
      <c r="S104" s="38">
        <f t="shared" si="9"/>
        <v>61210</v>
      </c>
    </row>
    <row r="105" spans="1:19">
      <c r="A105" s="99">
        <v>1979</v>
      </c>
      <c r="B105" s="38" t="s">
        <v>23</v>
      </c>
      <c r="C105" s="38" t="s">
        <v>23</v>
      </c>
      <c r="D105" s="38">
        <v>170</v>
      </c>
      <c r="E105" s="38">
        <v>334</v>
      </c>
      <c r="F105" s="38">
        <v>500</v>
      </c>
      <c r="G105" s="38">
        <v>413</v>
      </c>
      <c r="H105" s="38">
        <v>14</v>
      </c>
      <c r="I105" s="38" t="s">
        <v>23</v>
      </c>
      <c r="J105" s="38" t="s">
        <v>23</v>
      </c>
      <c r="K105" s="38">
        <f t="shared" si="8"/>
        <v>1431</v>
      </c>
      <c r="M105" s="38">
        <v>248</v>
      </c>
      <c r="N105" s="38">
        <v>3688</v>
      </c>
      <c r="O105" s="38">
        <v>18736</v>
      </c>
      <c r="P105" s="38">
        <v>13593</v>
      </c>
      <c r="Q105" s="38">
        <v>10</v>
      </c>
      <c r="R105" s="38" t="s">
        <v>23</v>
      </c>
      <c r="S105" s="38">
        <f t="shared" si="9"/>
        <v>36275</v>
      </c>
    </row>
    <row r="106" spans="1:19">
      <c r="A106" s="99">
        <v>1980</v>
      </c>
      <c r="B106" s="38" t="s">
        <v>23</v>
      </c>
      <c r="C106" s="38" t="s">
        <v>23</v>
      </c>
      <c r="D106" s="38">
        <v>110</v>
      </c>
      <c r="E106" s="38">
        <v>564</v>
      </c>
      <c r="F106" s="38">
        <v>599</v>
      </c>
      <c r="G106" s="38">
        <v>381</v>
      </c>
      <c r="H106" s="38">
        <v>175</v>
      </c>
      <c r="I106" s="38" t="s">
        <v>106</v>
      </c>
      <c r="J106" s="38" t="s">
        <v>23</v>
      </c>
      <c r="K106" s="38">
        <f t="shared" si="8"/>
        <v>1829</v>
      </c>
      <c r="M106" s="38">
        <v>233</v>
      </c>
      <c r="N106" s="38">
        <v>18467</v>
      </c>
      <c r="O106" s="38">
        <v>41485</v>
      </c>
      <c r="P106" s="38">
        <v>10833</v>
      </c>
      <c r="Q106" s="38">
        <v>1366</v>
      </c>
      <c r="R106" s="38" t="s">
        <v>23</v>
      </c>
      <c r="S106" s="38">
        <f t="shared" si="9"/>
        <v>72384</v>
      </c>
    </row>
    <row r="107" spans="1:19">
      <c r="A107" s="99">
        <v>1981</v>
      </c>
      <c r="B107" s="38" t="s">
        <v>23</v>
      </c>
      <c r="C107" s="38" t="s">
        <v>23</v>
      </c>
      <c r="D107" s="38">
        <v>36</v>
      </c>
      <c r="E107" s="38">
        <v>85</v>
      </c>
      <c r="F107" s="38">
        <v>1106</v>
      </c>
      <c r="G107" s="38">
        <v>965</v>
      </c>
      <c r="H107" s="38">
        <v>220</v>
      </c>
      <c r="I107" s="38" t="s">
        <v>23</v>
      </c>
      <c r="J107" s="38" t="s">
        <v>23</v>
      </c>
      <c r="K107" s="38">
        <f t="shared" si="8"/>
        <v>2412</v>
      </c>
      <c r="M107" s="38">
        <v>378</v>
      </c>
      <c r="N107" s="38">
        <v>6261</v>
      </c>
      <c r="O107" s="38">
        <v>20670</v>
      </c>
      <c r="P107" s="38">
        <v>30547</v>
      </c>
      <c r="Q107" s="38">
        <v>3997</v>
      </c>
      <c r="R107" s="38" t="s">
        <v>23</v>
      </c>
      <c r="S107" s="38">
        <f t="shared" si="9"/>
        <v>61853</v>
      </c>
    </row>
    <row r="108" spans="1:19">
      <c r="A108" s="99">
        <v>1982</v>
      </c>
      <c r="B108" s="38" t="s">
        <v>23</v>
      </c>
      <c r="C108" s="38" t="s">
        <v>23</v>
      </c>
      <c r="D108" s="38">
        <v>0</v>
      </c>
      <c r="E108" s="38">
        <v>590</v>
      </c>
      <c r="F108" s="38">
        <v>2905</v>
      </c>
      <c r="G108" s="38">
        <v>0</v>
      </c>
      <c r="H108" s="38">
        <v>0</v>
      </c>
      <c r="I108" s="38" t="s">
        <v>23</v>
      </c>
      <c r="J108" s="38" t="s">
        <v>23</v>
      </c>
      <c r="K108" s="38">
        <f t="shared" si="8"/>
        <v>3495</v>
      </c>
      <c r="M108" s="38">
        <v>0</v>
      </c>
      <c r="N108" s="38">
        <v>3578</v>
      </c>
      <c r="O108" s="38">
        <v>40469</v>
      </c>
      <c r="P108" s="38">
        <v>0</v>
      </c>
      <c r="Q108" s="38" t="s">
        <v>23</v>
      </c>
      <c r="R108" s="38" t="s">
        <v>23</v>
      </c>
      <c r="S108" s="38">
        <f t="shared" si="9"/>
        <v>44047</v>
      </c>
    </row>
    <row r="109" spans="1:19">
      <c r="A109" s="99">
        <v>1983</v>
      </c>
      <c r="B109" s="38" t="s">
        <v>23</v>
      </c>
      <c r="C109" s="38" t="s">
        <v>23</v>
      </c>
      <c r="D109" s="38" t="s">
        <v>23</v>
      </c>
      <c r="E109" s="38">
        <v>356</v>
      </c>
      <c r="F109" s="38">
        <v>784</v>
      </c>
      <c r="G109" s="38">
        <v>304</v>
      </c>
      <c r="H109" s="38">
        <v>164</v>
      </c>
      <c r="I109" s="38" t="s">
        <v>23</v>
      </c>
      <c r="J109" s="38" t="s">
        <v>23</v>
      </c>
      <c r="K109" s="38">
        <f t="shared" si="8"/>
        <v>1608</v>
      </c>
      <c r="M109" s="38" t="s">
        <v>23</v>
      </c>
      <c r="N109" s="38">
        <v>612</v>
      </c>
      <c r="O109" s="38">
        <v>13489</v>
      </c>
      <c r="P109" s="38">
        <v>4273</v>
      </c>
      <c r="Q109" s="38">
        <v>3474</v>
      </c>
      <c r="R109" s="38" t="s">
        <v>23</v>
      </c>
      <c r="S109" s="38">
        <f t="shared" si="9"/>
        <v>21848</v>
      </c>
    </row>
    <row r="110" spans="1:19">
      <c r="A110" s="99">
        <v>1984</v>
      </c>
      <c r="B110" s="38" t="s">
        <v>23</v>
      </c>
      <c r="C110" s="38" t="s">
        <v>23</v>
      </c>
      <c r="D110" s="38" t="s">
        <v>23</v>
      </c>
      <c r="E110" s="38" t="s">
        <v>23</v>
      </c>
      <c r="F110" s="38">
        <v>1086</v>
      </c>
      <c r="G110" s="38">
        <v>823</v>
      </c>
      <c r="H110" s="38">
        <v>13</v>
      </c>
      <c r="I110" s="38" t="s">
        <v>23</v>
      </c>
      <c r="J110" s="38" t="s">
        <v>23</v>
      </c>
      <c r="K110" s="38">
        <f t="shared" si="8"/>
        <v>1922</v>
      </c>
      <c r="M110" s="38" t="s">
        <v>23</v>
      </c>
      <c r="N110" s="38" t="s">
        <v>23</v>
      </c>
      <c r="O110" s="38">
        <v>24744</v>
      </c>
      <c r="P110" s="38">
        <v>15672</v>
      </c>
      <c r="Q110" s="38">
        <v>137</v>
      </c>
      <c r="R110" s="38" t="s">
        <v>23</v>
      </c>
      <c r="S110" s="38">
        <f t="shared" si="9"/>
        <v>40553</v>
      </c>
    </row>
    <row r="111" spans="1:19">
      <c r="A111" s="99">
        <v>1985</v>
      </c>
      <c r="B111" s="38" t="s">
        <v>23</v>
      </c>
      <c r="C111" s="38" t="s">
        <v>23</v>
      </c>
      <c r="D111" s="38" t="s">
        <v>23</v>
      </c>
      <c r="E111" s="38" t="s">
        <v>23</v>
      </c>
      <c r="F111" s="38">
        <v>1427</v>
      </c>
      <c r="G111" s="38">
        <v>2617</v>
      </c>
      <c r="H111" s="38">
        <v>48</v>
      </c>
      <c r="I111" s="38" t="s">
        <v>23</v>
      </c>
      <c r="J111" s="38" t="s">
        <v>23</v>
      </c>
      <c r="K111" s="38">
        <f t="shared" si="8"/>
        <v>4092</v>
      </c>
      <c r="M111" s="38">
        <v>0</v>
      </c>
      <c r="N111" s="38" t="s">
        <v>23</v>
      </c>
      <c r="O111" s="38">
        <v>14874</v>
      </c>
      <c r="P111" s="38">
        <v>45667</v>
      </c>
      <c r="Q111" s="38">
        <v>1356</v>
      </c>
      <c r="R111" s="38" t="s">
        <v>23</v>
      </c>
      <c r="S111" s="38">
        <f t="shared" si="9"/>
        <v>61897</v>
      </c>
    </row>
    <row r="112" spans="1:19">
      <c r="A112" s="95">
        <v>1986</v>
      </c>
      <c r="B112" s="38" t="s">
        <v>23</v>
      </c>
      <c r="C112" s="38" t="s">
        <v>23</v>
      </c>
      <c r="D112" s="38">
        <v>111</v>
      </c>
      <c r="E112" s="38">
        <v>141</v>
      </c>
      <c r="F112" s="38">
        <v>1858</v>
      </c>
      <c r="G112" s="38">
        <v>98</v>
      </c>
      <c r="H112" s="38" t="s">
        <v>23</v>
      </c>
      <c r="I112" s="38" t="s">
        <v>23</v>
      </c>
      <c r="J112" s="38" t="s">
        <v>23</v>
      </c>
      <c r="K112" s="38">
        <f t="shared" si="8"/>
        <v>2208</v>
      </c>
      <c r="M112" s="38">
        <v>1519</v>
      </c>
      <c r="N112" s="38">
        <v>7316</v>
      </c>
      <c r="O112" s="38">
        <v>56169</v>
      </c>
      <c r="P112" s="38">
        <v>13648</v>
      </c>
      <c r="Q112" s="38" t="s">
        <v>23</v>
      </c>
      <c r="R112" s="38" t="s">
        <v>23</v>
      </c>
      <c r="S112" s="38">
        <f t="shared" si="9"/>
        <v>78652</v>
      </c>
    </row>
    <row r="113" spans="1:19">
      <c r="A113" s="95">
        <v>1987</v>
      </c>
      <c r="B113" s="38" t="s">
        <v>23</v>
      </c>
      <c r="C113" s="38" t="s">
        <v>23</v>
      </c>
      <c r="D113" s="38" t="s">
        <v>23</v>
      </c>
      <c r="F113" s="38">
        <v>2390</v>
      </c>
      <c r="G113" s="38">
        <v>2125</v>
      </c>
      <c r="H113" s="38">
        <v>1701</v>
      </c>
      <c r="I113" s="38" t="s">
        <v>23</v>
      </c>
      <c r="J113" s="38" t="s">
        <v>23</v>
      </c>
      <c r="K113" s="38">
        <f t="shared" si="8"/>
        <v>6216</v>
      </c>
      <c r="M113" s="38" t="s">
        <v>23</v>
      </c>
      <c r="N113" s="38">
        <v>1319</v>
      </c>
      <c r="O113" s="38">
        <v>43148</v>
      </c>
      <c r="P113" s="38">
        <v>14479</v>
      </c>
      <c r="Q113" s="38">
        <v>6320</v>
      </c>
      <c r="R113" s="38" t="s">
        <v>23</v>
      </c>
      <c r="S113" s="38">
        <f t="shared" si="9"/>
        <v>65266</v>
      </c>
    </row>
    <row r="114" spans="1:19">
      <c r="A114" s="95">
        <v>1988</v>
      </c>
      <c r="B114" s="38" t="s">
        <v>23</v>
      </c>
      <c r="C114" s="38" t="s">
        <v>23</v>
      </c>
      <c r="D114" s="38">
        <v>68</v>
      </c>
      <c r="E114" s="38">
        <v>789</v>
      </c>
      <c r="F114" s="38">
        <v>2249</v>
      </c>
      <c r="G114" s="38">
        <v>1712</v>
      </c>
      <c r="H114" s="38">
        <v>511</v>
      </c>
      <c r="I114" s="38" t="s">
        <v>23</v>
      </c>
      <c r="J114" s="38" t="s">
        <v>23</v>
      </c>
      <c r="K114" s="38">
        <f t="shared" si="8"/>
        <v>5329</v>
      </c>
      <c r="M114" s="38">
        <v>187</v>
      </c>
      <c r="N114" s="38">
        <v>6388</v>
      </c>
      <c r="O114" s="38">
        <v>45780</v>
      </c>
      <c r="P114" s="38">
        <v>42938</v>
      </c>
      <c r="Q114" s="38">
        <v>5575</v>
      </c>
      <c r="R114" s="38" t="s">
        <v>23</v>
      </c>
      <c r="S114" s="38">
        <f t="shared" si="9"/>
        <v>100868</v>
      </c>
    </row>
    <row r="115" spans="1:19">
      <c r="A115" s="95">
        <v>1989</v>
      </c>
      <c r="B115" s="38" t="s">
        <v>23</v>
      </c>
      <c r="C115" s="38" t="s">
        <v>23</v>
      </c>
      <c r="D115" s="38">
        <v>76</v>
      </c>
      <c r="E115" s="38">
        <v>738</v>
      </c>
      <c r="F115" s="38">
        <v>541</v>
      </c>
      <c r="G115" s="38">
        <v>441</v>
      </c>
      <c r="H115" s="38">
        <v>37</v>
      </c>
      <c r="I115" s="38" t="s">
        <v>23</v>
      </c>
      <c r="J115" s="38" t="s">
        <v>23</v>
      </c>
      <c r="K115" s="38">
        <f t="shared" si="8"/>
        <v>1833</v>
      </c>
      <c r="M115" s="38">
        <v>769</v>
      </c>
      <c r="N115" s="38">
        <v>24192</v>
      </c>
      <c r="O115" s="38">
        <v>47407</v>
      </c>
      <c r="P115" s="38">
        <v>29560</v>
      </c>
      <c r="Q115" s="38">
        <v>579</v>
      </c>
      <c r="R115" s="38" t="s">
        <v>23</v>
      </c>
      <c r="S115" s="38">
        <f t="shared" si="9"/>
        <v>102507</v>
      </c>
    </row>
    <row r="116" spans="1:19">
      <c r="A116" s="95">
        <v>1990</v>
      </c>
      <c r="B116" s="38" t="s">
        <v>23</v>
      </c>
      <c r="C116" s="38" t="s">
        <v>23</v>
      </c>
      <c r="D116" s="38">
        <v>16</v>
      </c>
      <c r="E116" s="38">
        <v>320</v>
      </c>
      <c r="F116" s="38">
        <v>1398</v>
      </c>
      <c r="G116" s="38">
        <v>771</v>
      </c>
      <c r="H116" s="38">
        <v>153</v>
      </c>
      <c r="I116" s="38" t="s">
        <v>23</v>
      </c>
      <c r="J116" s="38" t="s">
        <v>23</v>
      </c>
      <c r="K116" s="38">
        <f t="shared" si="8"/>
        <v>2658</v>
      </c>
      <c r="M116" s="38">
        <v>171</v>
      </c>
      <c r="N116" s="38">
        <v>5848</v>
      </c>
      <c r="O116" s="38">
        <v>37891</v>
      </c>
      <c r="P116" s="38">
        <v>18959</v>
      </c>
      <c r="Q116" s="38">
        <v>1241</v>
      </c>
      <c r="R116" s="38" t="s">
        <v>23</v>
      </c>
      <c r="S116" s="38">
        <f t="shared" si="9"/>
        <v>64110</v>
      </c>
    </row>
    <row r="117" spans="1:19">
      <c r="A117" s="95">
        <v>1991</v>
      </c>
      <c r="B117" s="38" t="s">
        <v>23</v>
      </c>
      <c r="C117" s="38" t="s">
        <v>23</v>
      </c>
      <c r="D117" s="38">
        <v>81</v>
      </c>
      <c r="E117" s="38">
        <v>405</v>
      </c>
      <c r="F117" s="38">
        <v>394</v>
      </c>
      <c r="G117" s="38" t="s">
        <v>23</v>
      </c>
      <c r="H117" s="38" t="s">
        <v>23</v>
      </c>
      <c r="I117" s="38" t="s">
        <v>23</v>
      </c>
      <c r="J117" s="38" t="s">
        <v>23</v>
      </c>
      <c r="K117" s="38">
        <f t="shared" si="8"/>
        <v>880</v>
      </c>
      <c r="M117" s="38">
        <v>59</v>
      </c>
      <c r="N117" s="38">
        <v>15216</v>
      </c>
      <c r="O117" s="38">
        <v>65792</v>
      </c>
      <c r="P117" s="38" t="s">
        <v>23</v>
      </c>
      <c r="Q117" s="38" t="s">
        <v>23</v>
      </c>
      <c r="R117" s="38" t="s">
        <v>23</v>
      </c>
      <c r="S117" s="38">
        <f t="shared" si="9"/>
        <v>81067</v>
      </c>
    </row>
    <row r="118" spans="1:19">
      <c r="A118" s="95">
        <v>1992</v>
      </c>
      <c r="B118" s="38" t="s">
        <v>23</v>
      </c>
      <c r="C118" s="38" t="s">
        <v>23</v>
      </c>
      <c r="D118" s="38">
        <v>82</v>
      </c>
      <c r="E118" s="38">
        <v>282</v>
      </c>
      <c r="F118" s="38">
        <v>2791</v>
      </c>
      <c r="G118" s="38">
        <v>890</v>
      </c>
      <c r="H118" s="38">
        <v>92</v>
      </c>
      <c r="I118" s="38" t="s">
        <v>23</v>
      </c>
      <c r="J118" s="38" t="s">
        <v>23</v>
      </c>
      <c r="K118" s="38">
        <f t="shared" si="8"/>
        <v>4137</v>
      </c>
      <c r="M118" s="38">
        <v>30</v>
      </c>
      <c r="N118" s="38">
        <v>9726</v>
      </c>
      <c r="O118" s="38">
        <v>34661</v>
      </c>
      <c r="P118" s="38">
        <v>16899</v>
      </c>
      <c r="Q118" s="38">
        <v>2230</v>
      </c>
      <c r="R118" s="38" t="s">
        <v>23</v>
      </c>
      <c r="S118" s="38">
        <f t="shared" si="9"/>
        <v>63546</v>
      </c>
    </row>
    <row r="119" spans="1:19">
      <c r="A119" s="95">
        <v>1993</v>
      </c>
      <c r="B119" s="38" t="s">
        <v>23</v>
      </c>
      <c r="C119" s="38" t="s">
        <v>23</v>
      </c>
      <c r="D119" s="38">
        <v>34</v>
      </c>
      <c r="E119" s="38">
        <v>0</v>
      </c>
      <c r="F119" s="38">
        <v>279</v>
      </c>
      <c r="G119" s="38">
        <v>123</v>
      </c>
      <c r="H119" s="38" t="s">
        <v>23</v>
      </c>
      <c r="I119" s="38" t="s">
        <v>23</v>
      </c>
      <c r="J119" s="38" t="s">
        <v>23</v>
      </c>
      <c r="K119" s="38">
        <f t="shared" si="8"/>
        <v>436</v>
      </c>
      <c r="M119" s="38">
        <v>5</v>
      </c>
      <c r="N119" s="38">
        <v>4</v>
      </c>
      <c r="O119" s="38">
        <v>9425</v>
      </c>
      <c r="P119" s="38">
        <v>6950</v>
      </c>
      <c r="Q119" s="38" t="s">
        <v>23</v>
      </c>
      <c r="R119" s="38" t="s">
        <v>23</v>
      </c>
      <c r="S119" s="38">
        <f t="shared" si="9"/>
        <v>16384</v>
      </c>
    </row>
    <row r="120" spans="1:19">
      <c r="A120" s="95">
        <v>1994</v>
      </c>
      <c r="B120" s="38" t="s">
        <v>23</v>
      </c>
      <c r="C120" s="38" t="s">
        <v>23</v>
      </c>
      <c r="D120" s="38">
        <v>5</v>
      </c>
      <c r="E120" s="38">
        <v>0</v>
      </c>
      <c r="F120" s="38" t="s">
        <v>23</v>
      </c>
      <c r="G120" s="38" t="s">
        <v>23</v>
      </c>
      <c r="H120" s="38" t="s">
        <v>23</v>
      </c>
      <c r="I120" s="38" t="s">
        <v>23</v>
      </c>
      <c r="J120" s="38" t="s">
        <v>23</v>
      </c>
      <c r="K120" s="38">
        <f t="shared" si="8"/>
        <v>5</v>
      </c>
      <c r="M120" s="38" t="s">
        <v>23</v>
      </c>
      <c r="N120" s="38" t="s">
        <v>23</v>
      </c>
      <c r="O120" s="38" t="s">
        <v>23</v>
      </c>
      <c r="P120" s="38" t="s">
        <v>23</v>
      </c>
      <c r="Q120" s="38" t="s">
        <v>23</v>
      </c>
      <c r="R120" s="38" t="s">
        <v>23</v>
      </c>
      <c r="S120" s="38" t="s">
        <v>23</v>
      </c>
    </row>
    <row r="121" spans="1:19">
      <c r="A121" s="95">
        <v>1995</v>
      </c>
      <c r="B121" s="38" t="s">
        <v>23</v>
      </c>
      <c r="C121" s="38" t="s">
        <v>23</v>
      </c>
      <c r="D121" s="38">
        <v>17</v>
      </c>
      <c r="E121" s="38">
        <v>26</v>
      </c>
      <c r="F121" s="38" t="s">
        <v>23</v>
      </c>
      <c r="G121" s="38" t="s">
        <v>23</v>
      </c>
      <c r="H121" s="38">
        <v>37</v>
      </c>
      <c r="I121" s="38">
        <v>28</v>
      </c>
      <c r="J121" s="38" t="s">
        <v>23</v>
      </c>
      <c r="K121" s="38">
        <f t="shared" si="8"/>
        <v>108</v>
      </c>
      <c r="M121" s="38" t="s">
        <v>23</v>
      </c>
      <c r="N121" s="38" t="s">
        <v>23</v>
      </c>
      <c r="O121" s="38" t="s">
        <v>23</v>
      </c>
      <c r="P121" s="38" t="s">
        <v>23</v>
      </c>
      <c r="Q121" s="38">
        <v>7</v>
      </c>
      <c r="R121" s="38" t="s">
        <v>23</v>
      </c>
      <c r="S121" s="38">
        <f t="shared" si="9"/>
        <v>7</v>
      </c>
    </row>
    <row r="122" spans="1:19">
      <c r="A122" s="95">
        <v>1996</v>
      </c>
      <c r="B122" s="38" t="s">
        <v>23</v>
      </c>
      <c r="C122" s="38" t="s">
        <v>23</v>
      </c>
      <c r="D122" s="38">
        <v>41</v>
      </c>
      <c r="E122" s="38">
        <v>37</v>
      </c>
      <c r="F122" s="38">
        <v>7</v>
      </c>
      <c r="G122" s="38">
        <v>396</v>
      </c>
      <c r="H122" s="38">
        <v>73</v>
      </c>
      <c r="I122" s="38" t="s">
        <v>23</v>
      </c>
      <c r="J122" s="38" t="s">
        <v>23</v>
      </c>
      <c r="K122" s="38">
        <f t="shared" si="8"/>
        <v>554</v>
      </c>
      <c r="M122" s="38" t="s">
        <v>23</v>
      </c>
      <c r="N122" s="38" t="s">
        <v>23</v>
      </c>
      <c r="O122" s="38" t="s">
        <v>23</v>
      </c>
      <c r="P122" s="38">
        <v>31</v>
      </c>
      <c r="Q122" s="38">
        <v>4</v>
      </c>
      <c r="R122" s="38" t="s">
        <v>23</v>
      </c>
      <c r="S122" s="38">
        <f t="shared" si="9"/>
        <v>35</v>
      </c>
    </row>
    <row r="123" spans="1:19">
      <c r="A123" s="95">
        <v>1997</v>
      </c>
      <c r="B123" s="38" t="s">
        <v>23</v>
      </c>
      <c r="C123" s="38">
        <v>0</v>
      </c>
      <c r="D123" s="38">
        <v>45</v>
      </c>
      <c r="E123" s="38">
        <v>92</v>
      </c>
      <c r="F123" s="38">
        <v>66</v>
      </c>
      <c r="G123" s="38">
        <v>999</v>
      </c>
      <c r="H123" s="38">
        <v>98</v>
      </c>
      <c r="I123" s="38" t="s">
        <v>23</v>
      </c>
      <c r="J123" s="38" t="s">
        <v>23</v>
      </c>
      <c r="K123" s="38">
        <f t="shared" si="8"/>
        <v>1300</v>
      </c>
      <c r="M123" s="38" t="s">
        <v>23</v>
      </c>
      <c r="N123" s="38" t="s">
        <v>23</v>
      </c>
      <c r="O123" s="38" t="s">
        <v>23</v>
      </c>
      <c r="P123" s="38">
        <v>14</v>
      </c>
      <c r="Q123" s="38" t="s">
        <v>23</v>
      </c>
      <c r="R123" s="38" t="s">
        <v>23</v>
      </c>
      <c r="S123" s="38">
        <f t="shared" si="9"/>
        <v>14</v>
      </c>
    </row>
    <row r="124" spans="1:19">
      <c r="A124" s="95">
        <v>1998</v>
      </c>
      <c r="B124" s="38" t="s">
        <v>23</v>
      </c>
      <c r="C124" s="38">
        <v>0</v>
      </c>
      <c r="D124" s="38">
        <v>28</v>
      </c>
      <c r="E124" s="38">
        <v>75</v>
      </c>
      <c r="F124" s="38">
        <v>118</v>
      </c>
      <c r="G124" s="38">
        <v>166</v>
      </c>
      <c r="H124" s="38">
        <v>15</v>
      </c>
      <c r="I124" s="38">
        <v>5</v>
      </c>
      <c r="J124" s="38" t="s">
        <v>23</v>
      </c>
      <c r="K124" s="38">
        <f t="shared" si="8"/>
        <v>407</v>
      </c>
      <c r="M124" s="38" t="s">
        <v>23</v>
      </c>
      <c r="N124" s="38" t="s">
        <v>23</v>
      </c>
      <c r="O124" s="38" t="s">
        <v>23</v>
      </c>
      <c r="P124" s="38">
        <v>61</v>
      </c>
      <c r="Q124" s="38" t="s">
        <v>23</v>
      </c>
      <c r="R124" s="38" t="s">
        <v>23</v>
      </c>
      <c r="S124" s="38">
        <f t="shared" si="9"/>
        <v>61</v>
      </c>
    </row>
    <row r="125" spans="1:19">
      <c r="A125" s="95">
        <v>1999</v>
      </c>
      <c r="B125" s="38" t="s">
        <v>23</v>
      </c>
      <c r="C125" s="38">
        <v>0</v>
      </c>
      <c r="D125" s="38">
        <v>7</v>
      </c>
      <c r="E125" s="38">
        <v>9</v>
      </c>
      <c r="F125" s="38">
        <v>276</v>
      </c>
      <c r="G125" s="38">
        <v>29</v>
      </c>
      <c r="H125" s="38">
        <v>9</v>
      </c>
      <c r="I125" s="38">
        <v>3</v>
      </c>
      <c r="J125" s="38" t="s">
        <v>23</v>
      </c>
      <c r="K125" s="38">
        <f t="shared" si="8"/>
        <v>333</v>
      </c>
      <c r="M125" s="38" t="s">
        <v>23</v>
      </c>
      <c r="N125" s="38" t="s">
        <v>23</v>
      </c>
      <c r="O125" s="38">
        <v>3960</v>
      </c>
      <c r="P125" s="38" t="s">
        <v>23</v>
      </c>
      <c r="Q125" s="38" t="s">
        <v>23</v>
      </c>
      <c r="R125" s="38" t="s">
        <v>23</v>
      </c>
      <c r="S125" s="38">
        <f t="shared" si="9"/>
        <v>3960</v>
      </c>
    </row>
    <row r="126" spans="1:19">
      <c r="A126" s="95">
        <v>2000</v>
      </c>
      <c r="B126" s="38" t="s">
        <v>23</v>
      </c>
      <c r="C126" s="38">
        <v>0</v>
      </c>
      <c r="D126" s="38">
        <v>9</v>
      </c>
      <c r="E126" s="38">
        <v>5</v>
      </c>
      <c r="F126" s="38">
        <v>842</v>
      </c>
      <c r="G126" s="38">
        <v>452</v>
      </c>
      <c r="H126" s="38">
        <v>279</v>
      </c>
      <c r="I126" s="38">
        <v>2</v>
      </c>
      <c r="J126" s="38" t="s">
        <v>23</v>
      </c>
      <c r="K126" s="38">
        <f t="shared" si="8"/>
        <v>1589</v>
      </c>
      <c r="M126" s="38" t="s">
        <v>23</v>
      </c>
      <c r="N126" s="38" t="s">
        <v>23</v>
      </c>
      <c r="O126" s="38">
        <v>12341</v>
      </c>
      <c r="P126" s="38">
        <v>12</v>
      </c>
      <c r="Q126" s="38">
        <v>9</v>
      </c>
      <c r="R126" s="38" t="s">
        <v>23</v>
      </c>
      <c r="S126" s="38">
        <f t="shared" si="9"/>
        <v>12362</v>
      </c>
    </row>
    <row r="127" spans="1:19">
      <c r="A127" s="95">
        <v>2001</v>
      </c>
      <c r="B127" s="38" t="s">
        <v>23</v>
      </c>
      <c r="C127" s="38">
        <v>0</v>
      </c>
      <c r="D127" s="38">
        <v>70</v>
      </c>
      <c r="E127" s="38">
        <v>362</v>
      </c>
      <c r="F127" s="38">
        <v>1541</v>
      </c>
      <c r="G127" s="38">
        <v>2324</v>
      </c>
      <c r="H127" s="38">
        <v>858</v>
      </c>
      <c r="I127" s="38">
        <v>160</v>
      </c>
      <c r="J127" s="38" t="s">
        <v>23</v>
      </c>
      <c r="K127" s="38">
        <f t="shared" si="8"/>
        <v>5315</v>
      </c>
      <c r="M127" s="38">
        <v>2</v>
      </c>
      <c r="N127" s="38">
        <v>7803</v>
      </c>
      <c r="O127" s="38">
        <v>15631</v>
      </c>
      <c r="P127" s="38">
        <v>16</v>
      </c>
      <c r="Q127" s="38">
        <v>3</v>
      </c>
      <c r="R127" s="38" t="s">
        <v>23</v>
      </c>
      <c r="S127" s="38">
        <f t="shared" si="9"/>
        <v>23455</v>
      </c>
    </row>
    <row r="128" spans="1:19">
      <c r="A128" s="95">
        <v>2002</v>
      </c>
      <c r="B128" s="38" t="s">
        <v>23</v>
      </c>
      <c r="C128" s="38">
        <v>14</v>
      </c>
      <c r="D128" s="38">
        <v>37</v>
      </c>
      <c r="E128" s="38">
        <v>196</v>
      </c>
      <c r="F128" s="38">
        <v>3269</v>
      </c>
      <c r="G128" s="38">
        <v>1031</v>
      </c>
      <c r="H128" s="38">
        <v>1179</v>
      </c>
      <c r="I128" s="38">
        <v>804</v>
      </c>
      <c r="J128" s="38" t="s">
        <v>23</v>
      </c>
      <c r="K128" s="38">
        <f t="shared" si="8"/>
        <v>6530</v>
      </c>
      <c r="M128" s="38" t="s">
        <v>23</v>
      </c>
      <c r="N128" s="38" t="s">
        <v>23</v>
      </c>
      <c r="O128" s="38">
        <v>9819</v>
      </c>
      <c r="P128" s="38">
        <v>933</v>
      </c>
      <c r="Q128" s="38">
        <v>22</v>
      </c>
      <c r="R128" s="38">
        <v>2</v>
      </c>
      <c r="S128" s="38">
        <f t="shared" si="9"/>
        <v>10776</v>
      </c>
    </row>
    <row r="129" spans="1:19">
      <c r="A129" s="95">
        <v>2003</v>
      </c>
      <c r="B129" s="137" t="s">
        <v>106</v>
      </c>
      <c r="C129" s="38">
        <v>1</v>
      </c>
      <c r="D129" s="38">
        <v>95</v>
      </c>
      <c r="E129" s="38">
        <v>871</v>
      </c>
      <c r="F129" s="38">
        <v>6939</v>
      </c>
      <c r="G129" s="38">
        <v>3049</v>
      </c>
      <c r="H129" s="38">
        <v>1126</v>
      </c>
      <c r="I129" s="38">
        <v>334</v>
      </c>
      <c r="J129" s="38" t="s">
        <v>23</v>
      </c>
      <c r="K129" s="38">
        <f t="shared" si="8"/>
        <v>12415</v>
      </c>
      <c r="M129" s="38" t="s">
        <v>23</v>
      </c>
      <c r="N129" s="38">
        <v>2694</v>
      </c>
      <c r="O129" s="38">
        <v>21419</v>
      </c>
      <c r="P129" s="38">
        <v>14419</v>
      </c>
      <c r="Q129" s="38" t="s">
        <v>23</v>
      </c>
      <c r="R129" s="38" t="s">
        <v>23</v>
      </c>
      <c r="S129" s="38">
        <f t="shared" si="9"/>
        <v>38532</v>
      </c>
    </row>
    <row r="130" spans="1:19">
      <c r="A130" s="95">
        <v>2004</v>
      </c>
      <c r="B130" s="137" t="s">
        <v>106</v>
      </c>
      <c r="C130" s="38">
        <v>17</v>
      </c>
      <c r="D130" s="38">
        <v>83</v>
      </c>
      <c r="E130" s="38">
        <v>554</v>
      </c>
      <c r="F130" s="38">
        <v>6931</v>
      </c>
      <c r="G130" s="38">
        <v>8225</v>
      </c>
      <c r="H130" s="38">
        <v>1507</v>
      </c>
      <c r="I130" s="38">
        <v>485</v>
      </c>
      <c r="J130" s="38" t="s">
        <v>23</v>
      </c>
      <c r="K130" s="38">
        <f t="shared" si="8"/>
        <v>17802</v>
      </c>
      <c r="M130" s="38" t="s">
        <v>23</v>
      </c>
      <c r="N130" s="38">
        <v>2707</v>
      </c>
      <c r="O130" s="38">
        <v>13981</v>
      </c>
      <c r="P130" s="38">
        <v>6625</v>
      </c>
      <c r="Q130" s="38">
        <v>207</v>
      </c>
      <c r="R130" s="38" t="s">
        <v>23</v>
      </c>
      <c r="S130" s="38">
        <f t="shared" si="9"/>
        <v>23520</v>
      </c>
    </row>
    <row r="131" spans="1:19">
      <c r="A131" s="95">
        <v>2005</v>
      </c>
      <c r="B131" s="137">
        <v>0</v>
      </c>
      <c r="C131" s="38">
        <v>94</v>
      </c>
      <c r="D131" s="38">
        <v>109</v>
      </c>
      <c r="E131" s="38">
        <v>392</v>
      </c>
      <c r="F131" s="38">
        <v>463</v>
      </c>
      <c r="G131" s="38">
        <v>1000</v>
      </c>
      <c r="H131" s="38">
        <v>2556</v>
      </c>
      <c r="I131" s="38">
        <v>92</v>
      </c>
      <c r="J131" s="38" t="s">
        <v>23</v>
      </c>
      <c r="K131" s="38">
        <f t="shared" si="8"/>
        <v>4706</v>
      </c>
      <c r="M131" s="38" t="s">
        <v>23</v>
      </c>
      <c r="N131" s="187">
        <v>659</v>
      </c>
      <c r="O131" s="187">
        <v>376</v>
      </c>
      <c r="P131" s="187">
        <v>18</v>
      </c>
      <c r="Q131" s="187">
        <v>84</v>
      </c>
      <c r="R131" s="38" t="s">
        <v>23</v>
      </c>
      <c r="S131" s="38">
        <f t="shared" si="9"/>
        <v>1137</v>
      </c>
    </row>
    <row r="132" spans="1:19">
      <c r="A132" s="95">
        <v>2006</v>
      </c>
      <c r="B132" s="188">
        <v>2</v>
      </c>
      <c r="C132" s="187">
        <v>1</v>
      </c>
      <c r="D132" s="187">
        <v>17</v>
      </c>
      <c r="E132" s="187">
        <v>77</v>
      </c>
      <c r="F132" s="187">
        <v>326</v>
      </c>
      <c r="G132" s="187">
        <v>41</v>
      </c>
      <c r="H132" s="187">
        <v>128</v>
      </c>
      <c r="I132" s="187">
        <v>80</v>
      </c>
      <c r="J132" s="187" t="s">
        <v>23</v>
      </c>
      <c r="K132" s="38">
        <f t="shared" si="8"/>
        <v>672</v>
      </c>
      <c r="M132" s="38" t="s">
        <v>23</v>
      </c>
      <c r="N132" s="187">
        <v>101</v>
      </c>
      <c r="O132" s="187">
        <v>3970</v>
      </c>
      <c r="P132" s="187">
        <v>10</v>
      </c>
      <c r="Q132" s="187">
        <v>473</v>
      </c>
      <c r="R132" s="38" t="s">
        <v>23</v>
      </c>
      <c r="S132" s="38">
        <f t="shared" si="9"/>
        <v>4554</v>
      </c>
    </row>
    <row r="133" spans="1:19">
      <c r="A133" s="95">
        <v>2007</v>
      </c>
      <c r="B133" s="188">
        <v>1</v>
      </c>
      <c r="C133" s="187">
        <v>0</v>
      </c>
      <c r="D133" s="187">
        <v>13</v>
      </c>
      <c r="E133" s="187">
        <v>82</v>
      </c>
      <c r="F133" s="187">
        <v>150</v>
      </c>
      <c r="G133" s="187">
        <v>163</v>
      </c>
      <c r="H133" s="187">
        <v>28</v>
      </c>
      <c r="I133" s="187">
        <v>0</v>
      </c>
      <c r="J133" s="187">
        <v>16</v>
      </c>
      <c r="K133" s="38">
        <f t="shared" si="8"/>
        <v>453</v>
      </c>
      <c r="M133" s="38" t="s">
        <v>23</v>
      </c>
      <c r="N133" s="187">
        <v>2715</v>
      </c>
      <c r="O133" s="187">
        <v>6516</v>
      </c>
      <c r="P133" s="187">
        <v>5982</v>
      </c>
      <c r="Q133" s="187">
        <v>175</v>
      </c>
      <c r="R133" s="38" t="s">
        <v>23</v>
      </c>
      <c r="S133" s="38">
        <f t="shared" si="9"/>
        <v>15388</v>
      </c>
    </row>
    <row r="134" spans="1:19">
      <c r="A134" s="95">
        <v>2008</v>
      </c>
      <c r="B134" s="38" t="s">
        <v>23</v>
      </c>
      <c r="C134" s="38" t="s">
        <v>23</v>
      </c>
      <c r="D134" s="38" t="s">
        <v>23</v>
      </c>
      <c r="E134" s="38" t="s">
        <v>23</v>
      </c>
      <c r="F134" s="187">
        <v>3</v>
      </c>
      <c r="G134" s="38" t="s">
        <v>23</v>
      </c>
      <c r="H134" s="38" t="s">
        <v>23</v>
      </c>
      <c r="I134" s="38" t="s">
        <v>23</v>
      </c>
      <c r="J134" s="38" t="s">
        <v>23</v>
      </c>
      <c r="K134" s="38">
        <f t="shared" si="8"/>
        <v>3</v>
      </c>
      <c r="M134" s="38" t="s">
        <v>23</v>
      </c>
      <c r="N134" s="187">
        <v>106</v>
      </c>
      <c r="O134" s="187">
        <v>865</v>
      </c>
      <c r="P134" s="187">
        <v>1820</v>
      </c>
      <c r="Q134" s="38" t="s">
        <v>23</v>
      </c>
      <c r="R134" s="38" t="s">
        <v>23</v>
      </c>
      <c r="S134" s="38">
        <f t="shared" si="9"/>
        <v>2791</v>
      </c>
    </row>
    <row r="135" spans="1:19">
      <c r="A135" s="95">
        <v>2009</v>
      </c>
      <c r="B135" s="38" t="s">
        <v>23</v>
      </c>
      <c r="C135" s="38" t="s">
        <v>23</v>
      </c>
      <c r="D135" s="38" t="s">
        <v>23</v>
      </c>
      <c r="E135" s="38">
        <v>2</v>
      </c>
      <c r="F135" s="187">
        <v>6</v>
      </c>
      <c r="G135" s="38">
        <v>25</v>
      </c>
      <c r="H135" s="38" t="s">
        <v>23</v>
      </c>
      <c r="I135" s="38" t="s">
        <v>23</v>
      </c>
      <c r="J135" s="38" t="s">
        <v>23</v>
      </c>
      <c r="K135" s="38">
        <f t="shared" si="8"/>
        <v>33</v>
      </c>
      <c r="M135" s="38" t="s">
        <v>23</v>
      </c>
      <c r="N135" s="187">
        <v>2564</v>
      </c>
      <c r="O135" s="187">
        <v>17733</v>
      </c>
      <c r="P135" s="187">
        <v>14694</v>
      </c>
      <c r="Q135" s="38">
        <v>447</v>
      </c>
      <c r="R135" s="38" t="s">
        <v>23</v>
      </c>
      <c r="S135" s="38">
        <f t="shared" si="9"/>
        <v>35438</v>
      </c>
    </row>
    <row r="136" spans="1:19">
      <c r="A136" s="95">
        <v>2010</v>
      </c>
      <c r="B136" s="38" t="s">
        <v>23</v>
      </c>
      <c r="C136" s="38" t="s">
        <v>23</v>
      </c>
      <c r="D136" s="38">
        <v>55</v>
      </c>
      <c r="E136" s="38">
        <v>52</v>
      </c>
      <c r="F136" s="187">
        <v>135</v>
      </c>
      <c r="G136" s="38">
        <v>474</v>
      </c>
      <c r="H136" s="38">
        <v>88</v>
      </c>
      <c r="I136" s="38" t="s">
        <v>23</v>
      </c>
      <c r="J136" s="38" t="s">
        <v>23</v>
      </c>
      <c r="K136" s="38">
        <f t="shared" si="8"/>
        <v>804</v>
      </c>
      <c r="M136" s="38" t="s">
        <v>23</v>
      </c>
      <c r="N136" s="187">
        <v>27</v>
      </c>
      <c r="O136" s="187">
        <v>551</v>
      </c>
      <c r="P136" s="187">
        <v>6283</v>
      </c>
      <c r="Q136" s="38">
        <v>966</v>
      </c>
      <c r="R136" s="38" t="s">
        <v>23</v>
      </c>
      <c r="S136" s="38">
        <f t="shared" si="9"/>
        <v>7827</v>
      </c>
    </row>
    <row r="137" spans="1:19">
      <c r="A137" s="95">
        <v>2011</v>
      </c>
      <c r="B137" s="38">
        <v>0</v>
      </c>
      <c r="C137" s="38">
        <v>6</v>
      </c>
      <c r="D137" s="38">
        <v>21</v>
      </c>
      <c r="E137" s="38">
        <v>44</v>
      </c>
      <c r="F137" s="187">
        <v>111</v>
      </c>
      <c r="G137" s="38">
        <v>52</v>
      </c>
      <c r="H137" s="38">
        <v>234</v>
      </c>
      <c r="I137" s="38" t="s">
        <v>23</v>
      </c>
      <c r="J137" s="38" t="s">
        <v>23</v>
      </c>
      <c r="K137" s="38">
        <f t="shared" si="8"/>
        <v>468</v>
      </c>
      <c r="M137" s="38" t="s">
        <v>23</v>
      </c>
      <c r="N137" s="187">
        <v>179</v>
      </c>
      <c r="O137" s="187">
        <v>1703</v>
      </c>
      <c r="P137" s="187">
        <v>385</v>
      </c>
      <c r="Q137" s="38">
        <v>3680</v>
      </c>
      <c r="R137" s="38" t="s">
        <v>23</v>
      </c>
      <c r="S137" s="38">
        <f t="shared" si="9"/>
        <v>5947</v>
      </c>
    </row>
    <row r="138" spans="1:19">
      <c r="A138" s="95">
        <v>2012</v>
      </c>
      <c r="B138" s="38">
        <v>21</v>
      </c>
      <c r="C138" s="38">
        <v>95</v>
      </c>
      <c r="D138" s="38">
        <v>60</v>
      </c>
      <c r="E138" s="38">
        <v>56</v>
      </c>
      <c r="F138" s="187">
        <v>223</v>
      </c>
      <c r="G138" s="38">
        <v>481</v>
      </c>
      <c r="H138" s="38">
        <v>1034</v>
      </c>
      <c r="I138" s="38">
        <v>27</v>
      </c>
      <c r="J138" s="38" t="s">
        <v>23</v>
      </c>
      <c r="K138" s="38">
        <f t="shared" si="8"/>
        <v>1997</v>
      </c>
      <c r="M138" s="38" t="s">
        <v>23</v>
      </c>
      <c r="N138" s="187">
        <v>11</v>
      </c>
      <c r="O138" s="187">
        <v>1046</v>
      </c>
      <c r="P138" s="187">
        <v>2796</v>
      </c>
      <c r="Q138" s="38">
        <v>4727</v>
      </c>
      <c r="R138" s="38" t="s">
        <v>23</v>
      </c>
      <c r="S138" s="38">
        <f t="shared" si="9"/>
        <v>8580</v>
      </c>
    </row>
    <row r="139" spans="1:19">
      <c r="A139" s="95">
        <v>2013</v>
      </c>
      <c r="B139" s="38">
        <v>231</v>
      </c>
      <c r="C139" s="38">
        <v>123</v>
      </c>
      <c r="D139" s="38">
        <v>28</v>
      </c>
      <c r="E139" s="38">
        <v>126</v>
      </c>
      <c r="F139" s="187">
        <v>498</v>
      </c>
      <c r="G139" s="38">
        <v>251</v>
      </c>
      <c r="H139" s="38">
        <v>305</v>
      </c>
      <c r="I139" s="38">
        <v>76</v>
      </c>
      <c r="J139" s="38" t="s">
        <v>23</v>
      </c>
      <c r="K139" s="38">
        <f t="shared" si="8"/>
        <v>1638</v>
      </c>
      <c r="M139" s="38" t="s">
        <v>23</v>
      </c>
      <c r="N139" s="38" t="s">
        <v>23</v>
      </c>
      <c r="O139" s="187">
        <v>2648</v>
      </c>
      <c r="P139" s="187">
        <v>1779</v>
      </c>
      <c r="Q139" s="38">
        <v>1517</v>
      </c>
      <c r="R139" s="38">
        <v>7</v>
      </c>
      <c r="S139" s="38">
        <f t="shared" si="9"/>
        <v>5951</v>
      </c>
    </row>
    <row r="140" spans="1:19">
      <c r="A140" s="95">
        <v>2014</v>
      </c>
      <c r="B140" s="38">
        <v>10</v>
      </c>
      <c r="C140" s="38">
        <v>23</v>
      </c>
      <c r="D140" s="38">
        <v>113</v>
      </c>
      <c r="E140" s="38">
        <v>43</v>
      </c>
      <c r="F140" s="187">
        <v>723</v>
      </c>
      <c r="G140" s="38">
        <v>606</v>
      </c>
      <c r="H140" s="38">
        <v>431</v>
      </c>
      <c r="I140" s="38">
        <v>20</v>
      </c>
      <c r="J140" s="38" t="s">
        <v>23</v>
      </c>
      <c r="K140" s="38">
        <f t="shared" si="8"/>
        <v>1969</v>
      </c>
      <c r="M140" s="38" t="s">
        <v>23</v>
      </c>
      <c r="N140" s="38">
        <v>2269</v>
      </c>
      <c r="O140" s="187">
        <v>18001</v>
      </c>
      <c r="P140" s="187">
        <v>11786</v>
      </c>
      <c r="Q140" s="38">
        <v>13547</v>
      </c>
      <c r="R140" s="38" t="s">
        <v>23</v>
      </c>
      <c r="S140" s="38">
        <f t="shared" si="9"/>
        <v>45603</v>
      </c>
    </row>
    <row r="141" spans="1:19">
      <c r="A141" s="95">
        <v>2015</v>
      </c>
      <c r="B141" s="38">
        <v>30</v>
      </c>
      <c r="C141" s="38">
        <v>3</v>
      </c>
      <c r="D141" s="38">
        <v>45</v>
      </c>
      <c r="E141" s="38">
        <v>32</v>
      </c>
      <c r="F141" s="187">
        <v>151</v>
      </c>
      <c r="G141" s="38">
        <v>39</v>
      </c>
      <c r="H141" s="38">
        <v>393</v>
      </c>
      <c r="I141" s="38">
        <v>14</v>
      </c>
      <c r="J141" s="38" t="s">
        <v>23</v>
      </c>
      <c r="K141" s="38">
        <f t="shared" si="8"/>
        <v>707</v>
      </c>
      <c r="M141" s="38" t="s">
        <v>23</v>
      </c>
      <c r="N141" s="38">
        <v>213</v>
      </c>
      <c r="O141" s="187">
        <v>6755</v>
      </c>
      <c r="P141" s="187">
        <v>1011</v>
      </c>
      <c r="Q141" s="38">
        <v>1695</v>
      </c>
      <c r="R141" s="38">
        <v>3</v>
      </c>
      <c r="S141" s="38">
        <f t="shared" si="9"/>
        <v>9677</v>
      </c>
    </row>
    <row r="142" spans="1:19">
      <c r="A142" s="95">
        <v>2016</v>
      </c>
      <c r="B142" s="38">
        <v>28</v>
      </c>
      <c r="C142" s="38">
        <v>5</v>
      </c>
      <c r="D142" s="38">
        <v>2</v>
      </c>
      <c r="E142" s="38">
        <v>14</v>
      </c>
      <c r="F142" s="187">
        <v>117</v>
      </c>
      <c r="G142" s="38">
        <v>348</v>
      </c>
      <c r="H142" s="38">
        <v>135</v>
      </c>
      <c r="I142" s="38">
        <v>6</v>
      </c>
      <c r="J142" s="38" t="s">
        <v>23</v>
      </c>
      <c r="K142" s="38">
        <f t="shared" si="8"/>
        <v>655</v>
      </c>
      <c r="M142" s="38" t="s">
        <v>23</v>
      </c>
      <c r="N142" s="38">
        <v>29</v>
      </c>
      <c r="O142" s="187">
        <v>582</v>
      </c>
      <c r="P142" s="187">
        <v>18</v>
      </c>
      <c r="Q142" s="38">
        <v>1793</v>
      </c>
      <c r="R142" s="38" t="s">
        <v>23</v>
      </c>
      <c r="S142" s="38">
        <f t="shared" si="9"/>
        <v>2422</v>
      </c>
    </row>
    <row r="143" spans="1:19">
      <c r="A143" s="95">
        <v>2017</v>
      </c>
      <c r="B143" s="38">
        <v>0</v>
      </c>
      <c r="C143" s="38">
        <v>0</v>
      </c>
      <c r="D143" s="38">
        <v>6</v>
      </c>
      <c r="E143" s="38">
        <v>31</v>
      </c>
      <c r="F143" s="187">
        <v>207</v>
      </c>
      <c r="G143" s="38">
        <v>467</v>
      </c>
      <c r="H143" s="38">
        <v>47</v>
      </c>
      <c r="I143" s="38">
        <v>4</v>
      </c>
      <c r="J143" s="38" t="s">
        <v>23</v>
      </c>
      <c r="K143" s="38">
        <f t="shared" si="8"/>
        <v>762</v>
      </c>
      <c r="M143" s="38" t="s">
        <v>23</v>
      </c>
      <c r="N143" s="38">
        <v>36</v>
      </c>
      <c r="O143" s="187">
        <v>3419</v>
      </c>
      <c r="P143" s="187">
        <v>1943</v>
      </c>
      <c r="Q143" s="38">
        <v>2192</v>
      </c>
      <c r="R143" s="38" t="s">
        <v>23</v>
      </c>
      <c r="S143" s="38">
        <f t="shared" si="9"/>
        <v>7590</v>
      </c>
    </row>
    <row r="144" spans="1:19">
      <c r="A144" s="95">
        <v>2018</v>
      </c>
      <c r="B144" s="38">
        <v>0</v>
      </c>
      <c r="C144" s="38">
        <v>0</v>
      </c>
      <c r="D144" s="38">
        <v>23</v>
      </c>
      <c r="E144" s="38">
        <v>59</v>
      </c>
      <c r="F144" s="187">
        <v>409</v>
      </c>
      <c r="G144" s="38">
        <v>490</v>
      </c>
      <c r="H144" s="38">
        <v>217</v>
      </c>
      <c r="I144" s="38">
        <v>11</v>
      </c>
      <c r="J144" s="38" t="s">
        <v>23</v>
      </c>
      <c r="K144" s="38">
        <f>SUM(B144:J144)</f>
        <v>1209</v>
      </c>
      <c r="M144" s="38" t="s">
        <v>23</v>
      </c>
      <c r="N144" s="38">
        <v>2</v>
      </c>
      <c r="O144" s="187">
        <v>2125</v>
      </c>
      <c r="P144" s="187">
        <v>6042</v>
      </c>
      <c r="Q144" s="38">
        <v>3095</v>
      </c>
      <c r="R144" s="38" t="s">
        <v>23</v>
      </c>
      <c r="S144" s="38">
        <f>SUM(M144:R144)</f>
        <v>11264</v>
      </c>
    </row>
    <row r="145" spans="1:19">
      <c r="A145" s="95">
        <v>2019</v>
      </c>
      <c r="B145" s="38">
        <v>2</v>
      </c>
      <c r="C145" s="38">
        <v>3</v>
      </c>
      <c r="D145" s="38">
        <v>66</v>
      </c>
      <c r="E145" s="38">
        <v>348</v>
      </c>
      <c r="F145" s="187">
        <v>1405</v>
      </c>
      <c r="G145" s="38">
        <v>277</v>
      </c>
      <c r="H145" s="38">
        <v>84</v>
      </c>
      <c r="I145" s="38">
        <v>17</v>
      </c>
      <c r="J145" s="38" t="s">
        <v>23</v>
      </c>
      <c r="K145" s="38">
        <f t="shared" ref="K145:K146" si="10">SUM(B145:J145)</f>
        <v>2202</v>
      </c>
      <c r="M145" s="38" t="s">
        <v>23</v>
      </c>
      <c r="N145" s="38">
        <v>1931</v>
      </c>
      <c r="O145" s="187">
        <v>16778</v>
      </c>
      <c r="P145" s="187">
        <v>7594</v>
      </c>
      <c r="Q145" s="38">
        <v>1934</v>
      </c>
      <c r="R145" s="38" t="s">
        <v>23</v>
      </c>
      <c r="S145" s="38">
        <f t="shared" ref="S145:S146" si="11">SUM(M145:R145)</f>
        <v>28237</v>
      </c>
    </row>
    <row r="146" spans="1:19">
      <c r="A146" s="95">
        <v>2020</v>
      </c>
      <c r="B146" s="38">
        <v>0</v>
      </c>
      <c r="C146" s="38">
        <v>4</v>
      </c>
      <c r="D146" s="38">
        <v>19</v>
      </c>
      <c r="E146" s="38">
        <v>37</v>
      </c>
      <c r="F146" s="187">
        <v>1460</v>
      </c>
      <c r="G146" s="38">
        <v>231</v>
      </c>
      <c r="H146" s="38">
        <v>217</v>
      </c>
      <c r="I146" s="38">
        <v>24</v>
      </c>
      <c r="J146" s="38" t="s">
        <v>23</v>
      </c>
      <c r="K146" s="38">
        <f t="shared" si="10"/>
        <v>1992</v>
      </c>
      <c r="M146" s="38" t="s">
        <v>23</v>
      </c>
      <c r="N146" s="38">
        <v>0</v>
      </c>
      <c r="O146" s="187">
        <v>4050</v>
      </c>
      <c r="P146" s="187">
        <v>3302</v>
      </c>
      <c r="Q146" s="38">
        <v>3152</v>
      </c>
      <c r="R146" s="38" t="s">
        <v>23</v>
      </c>
      <c r="S146" s="38">
        <f t="shared" si="11"/>
        <v>10504</v>
      </c>
    </row>
    <row r="147" spans="1:19" ht="13">
      <c r="A147" s="95" t="s">
        <v>317</v>
      </c>
      <c r="B147" s="38">
        <v>12</v>
      </c>
      <c r="C147" s="38">
        <v>54</v>
      </c>
      <c r="D147" s="38">
        <v>16</v>
      </c>
      <c r="E147" s="38">
        <v>369</v>
      </c>
      <c r="F147" s="187">
        <v>1833</v>
      </c>
      <c r="G147" s="38">
        <v>544</v>
      </c>
      <c r="H147" s="38">
        <v>90</v>
      </c>
      <c r="I147" s="38">
        <v>0</v>
      </c>
      <c r="J147" s="38" t="s">
        <v>23</v>
      </c>
      <c r="K147" s="38">
        <f t="shared" si="8"/>
        <v>2918</v>
      </c>
      <c r="M147" s="38" t="s">
        <v>23</v>
      </c>
      <c r="N147" s="38">
        <v>539</v>
      </c>
      <c r="O147" s="187">
        <v>23433</v>
      </c>
      <c r="P147" s="187">
        <v>20767</v>
      </c>
      <c r="Q147" s="38">
        <v>6807</v>
      </c>
      <c r="R147" s="38" t="s">
        <v>23</v>
      </c>
      <c r="S147" s="38">
        <f t="shared" si="9"/>
        <v>51546</v>
      </c>
    </row>
    <row r="149" spans="1:19">
      <c r="A149" s="88" t="s">
        <v>49</v>
      </c>
    </row>
    <row r="150" spans="1:19">
      <c r="A150" s="99">
        <v>1976</v>
      </c>
      <c r="B150" s="38" t="s">
        <v>23</v>
      </c>
      <c r="C150" s="38">
        <v>0</v>
      </c>
      <c r="D150" s="38">
        <v>1171</v>
      </c>
      <c r="E150" s="38">
        <v>2318</v>
      </c>
      <c r="F150" s="38">
        <v>3020</v>
      </c>
      <c r="G150" s="38">
        <v>6307</v>
      </c>
      <c r="H150" s="38">
        <v>1676</v>
      </c>
      <c r="I150" s="38">
        <v>45</v>
      </c>
      <c r="J150" s="38">
        <v>6</v>
      </c>
      <c r="K150" s="38">
        <f t="shared" ref="K150:K195" si="12">SUM(B150:J150)</f>
        <v>14543</v>
      </c>
      <c r="M150" s="38">
        <v>12175</v>
      </c>
      <c r="N150" s="38">
        <v>27882</v>
      </c>
      <c r="O150" s="38">
        <v>65552</v>
      </c>
      <c r="P150" s="38">
        <v>52658</v>
      </c>
      <c r="Q150" s="38">
        <v>5702</v>
      </c>
      <c r="R150" s="38">
        <v>471</v>
      </c>
      <c r="S150" s="38">
        <f t="shared" ref="S150:S195" si="13">SUM(M150:R150)</f>
        <v>164440</v>
      </c>
    </row>
    <row r="151" spans="1:19">
      <c r="A151" s="99">
        <v>1977</v>
      </c>
      <c r="B151" s="38" t="s">
        <v>23</v>
      </c>
      <c r="C151" s="38">
        <v>0</v>
      </c>
      <c r="D151" s="38">
        <v>581</v>
      </c>
      <c r="E151" s="38">
        <v>3539</v>
      </c>
      <c r="F151" s="38">
        <v>5804</v>
      </c>
      <c r="G151" s="38">
        <v>8630</v>
      </c>
      <c r="H151" s="38">
        <v>3633</v>
      </c>
      <c r="I151" s="38">
        <v>173</v>
      </c>
      <c r="J151" s="38">
        <v>41</v>
      </c>
      <c r="K151" s="38">
        <f t="shared" si="12"/>
        <v>22401</v>
      </c>
      <c r="M151" s="38">
        <v>13498</v>
      </c>
      <c r="N151" s="38">
        <v>15860</v>
      </c>
      <c r="O151" s="38">
        <v>28030</v>
      </c>
      <c r="P151" s="38">
        <v>11726</v>
      </c>
      <c r="Q151" s="38">
        <v>2985</v>
      </c>
      <c r="R151" s="38">
        <v>204</v>
      </c>
      <c r="S151" s="38">
        <f t="shared" si="13"/>
        <v>72303</v>
      </c>
    </row>
    <row r="152" spans="1:19">
      <c r="A152" s="99">
        <v>1978</v>
      </c>
      <c r="B152" s="38" t="s">
        <v>23</v>
      </c>
      <c r="C152" s="38">
        <v>0</v>
      </c>
      <c r="D152" s="38">
        <v>468</v>
      </c>
      <c r="E152" s="38">
        <v>866</v>
      </c>
      <c r="F152" s="38">
        <v>1051</v>
      </c>
      <c r="G152" s="38">
        <v>1990</v>
      </c>
      <c r="H152" s="38">
        <v>387</v>
      </c>
      <c r="I152" s="38">
        <v>64</v>
      </c>
      <c r="J152" s="38" t="s">
        <v>106</v>
      </c>
      <c r="K152" s="38">
        <f t="shared" si="12"/>
        <v>4826</v>
      </c>
      <c r="M152" s="38">
        <v>3062</v>
      </c>
      <c r="N152" s="38">
        <v>35103</v>
      </c>
      <c r="O152" s="38">
        <v>22336</v>
      </c>
      <c r="P152" s="38">
        <v>17565</v>
      </c>
      <c r="Q152" s="38">
        <v>4726</v>
      </c>
      <c r="R152" s="38">
        <v>120</v>
      </c>
      <c r="S152" s="38">
        <f t="shared" si="13"/>
        <v>82912</v>
      </c>
    </row>
    <row r="153" spans="1:19">
      <c r="A153" s="99">
        <v>1979</v>
      </c>
      <c r="B153" s="38" t="s">
        <v>23</v>
      </c>
      <c r="C153" s="38" t="s">
        <v>23</v>
      </c>
      <c r="D153" s="38">
        <v>176</v>
      </c>
      <c r="E153" s="38">
        <v>2385</v>
      </c>
      <c r="F153" s="38">
        <v>1509</v>
      </c>
      <c r="G153" s="38">
        <v>461</v>
      </c>
      <c r="H153" s="38">
        <v>6</v>
      </c>
      <c r="I153" s="38" t="s">
        <v>23</v>
      </c>
      <c r="J153" s="38" t="s">
        <v>106</v>
      </c>
      <c r="K153" s="38">
        <f t="shared" si="12"/>
        <v>4537</v>
      </c>
      <c r="M153" s="38">
        <v>4912</v>
      </c>
      <c r="N153" s="38">
        <v>22695</v>
      </c>
      <c r="O153" s="38">
        <v>36677</v>
      </c>
      <c r="P153" s="38">
        <v>14644</v>
      </c>
      <c r="Q153" s="38">
        <v>28</v>
      </c>
      <c r="R153" s="38" t="s">
        <v>23</v>
      </c>
      <c r="S153" s="38">
        <f t="shared" si="13"/>
        <v>78956</v>
      </c>
    </row>
    <row r="154" spans="1:19">
      <c r="A154" s="99">
        <v>1980</v>
      </c>
      <c r="B154" s="38" t="s">
        <v>23</v>
      </c>
      <c r="C154" s="38" t="s">
        <v>23</v>
      </c>
      <c r="D154" s="38">
        <v>24</v>
      </c>
      <c r="E154" s="38">
        <v>1434</v>
      </c>
      <c r="F154" s="38">
        <v>2946</v>
      </c>
      <c r="G154" s="38">
        <v>702</v>
      </c>
      <c r="H154" s="38">
        <v>201</v>
      </c>
      <c r="I154" s="38" t="s">
        <v>106</v>
      </c>
      <c r="J154" s="38" t="s">
        <v>106</v>
      </c>
      <c r="K154" s="38">
        <f t="shared" si="12"/>
        <v>5307</v>
      </c>
      <c r="M154" s="38">
        <v>3774</v>
      </c>
      <c r="N154" s="38">
        <v>53596</v>
      </c>
      <c r="O154" s="38">
        <v>70636</v>
      </c>
      <c r="P154" s="38">
        <v>7088</v>
      </c>
      <c r="Q154" s="38">
        <v>783</v>
      </c>
      <c r="R154" s="38" t="s">
        <v>23</v>
      </c>
      <c r="S154" s="38">
        <f t="shared" si="13"/>
        <v>135877</v>
      </c>
    </row>
    <row r="155" spans="1:19">
      <c r="A155" s="99">
        <v>1981</v>
      </c>
      <c r="B155" s="38" t="s">
        <v>23</v>
      </c>
      <c r="C155" s="38" t="s">
        <v>23</v>
      </c>
      <c r="D155" s="38">
        <v>142</v>
      </c>
      <c r="E155" s="38">
        <v>422</v>
      </c>
      <c r="F155" s="38">
        <v>2305</v>
      </c>
      <c r="G155" s="38">
        <v>1270</v>
      </c>
      <c r="H155" s="38">
        <v>316</v>
      </c>
      <c r="I155" s="38" t="s">
        <v>106</v>
      </c>
      <c r="J155" s="38" t="s">
        <v>106</v>
      </c>
      <c r="K155" s="38">
        <f t="shared" si="12"/>
        <v>4455</v>
      </c>
      <c r="M155" s="38">
        <v>6318</v>
      </c>
      <c r="N155" s="38">
        <v>8117</v>
      </c>
      <c r="O155" s="38">
        <v>25054</v>
      </c>
      <c r="P155" s="38">
        <v>16482</v>
      </c>
      <c r="Q155" s="38">
        <v>1677</v>
      </c>
      <c r="R155" s="38" t="s">
        <v>23</v>
      </c>
      <c r="S155" s="38">
        <f t="shared" si="13"/>
        <v>57648</v>
      </c>
    </row>
    <row r="156" spans="1:19">
      <c r="A156" s="99">
        <v>1982</v>
      </c>
      <c r="B156" s="38" t="s">
        <v>23</v>
      </c>
      <c r="C156" s="38" t="s">
        <v>23</v>
      </c>
      <c r="D156" s="38">
        <v>5</v>
      </c>
      <c r="E156" s="38">
        <v>1024</v>
      </c>
      <c r="F156" s="38">
        <v>9059</v>
      </c>
      <c r="G156" s="38">
        <v>0</v>
      </c>
      <c r="H156" s="38">
        <v>0</v>
      </c>
      <c r="I156" s="38" t="s">
        <v>106</v>
      </c>
      <c r="J156" s="38" t="s">
        <v>106</v>
      </c>
      <c r="K156" s="38">
        <f t="shared" si="12"/>
        <v>10088</v>
      </c>
      <c r="M156" s="38">
        <v>0</v>
      </c>
      <c r="N156" s="38">
        <v>12219</v>
      </c>
      <c r="O156" s="38">
        <v>43383</v>
      </c>
      <c r="P156" s="38">
        <v>0</v>
      </c>
      <c r="Q156" s="38" t="s">
        <v>23</v>
      </c>
      <c r="R156" s="38" t="s">
        <v>23</v>
      </c>
      <c r="S156" s="38">
        <f t="shared" si="13"/>
        <v>55602</v>
      </c>
    </row>
    <row r="157" spans="1:19">
      <c r="A157" s="99">
        <v>1983</v>
      </c>
      <c r="B157" s="38" t="s">
        <v>23</v>
      </c>
      <c r="C157" s="38" t="s">
        <v>23</v>
      </c>
      <c r="D157" s="38">
        <v>0</v>
      </c>
      <c r="E157" s="38">
        <v>1316</v>
      </c>
      <c r="F157" s="38">
        <v>2382</v>
      </c>
      <c r="G157" s="38">
        <v>1144</v>
      </c>
      <c r="H157" s="38">
        <v>1741</v>
      </c>
      <c r="I157" s="38" t="s">
        <v>106</v>
      </c>
      <c r="J157" s="38" t="s">
        <v>106</v>
      </c>
      <c r="K157" s="38">
        <f t="shared" si="12"/>
        <v>6583</v>
      </c>
      <c r="M157" s="38" t="s">
        <v>23</v>
      </c>
      <c r="N157" s="38">
        <v>20677</v>
      </c>
      <c r="O157" s="38">
        <v>28308</v>
      </c>
      <c r="P157" s="38">
        <v>9210</v>
      </c>
      <c r="Q157" s="38">
        <v>4459</v>
      </c>
      <c r="R157" s="137" t="s">
        <v>23</v>
      </c>
      <c r="S157" s="38">
        <f t="shared" si="13"/>
        <v>62654</v>
      </c>
    </row>
    <row r="158" spans="1:19">
      <c r="A158" s="99">
        <v>1984</v>
      </c>
      <c r="B158" s="38" t="s">
        <v>23</v>
      </c>
      <c r="C158" s="38" t="s">
        <v>23</v>
      </c>
      <c r="D158" s="38" t="s">
        <v>23</v>
      </c>
      <c r="E158" s="38" t="s">
        <v>23</v>
      </c>
      <c r="F158" s="38">
        <v>2204</v>
      </c>
      <c r="G158" s="38">
        <v>2625</v>
      </c>
      <c r="H158" s="38">
        <v>25</v>
      </c>
      <c r="I158" s="38" t="s">
        <v>106</v>
      </c>
      <c r="J158" s="38" t="s">
        <v>106</v>
      </c>
      <c r="K158" s="38">
        <f t="shared" si="12"/>
        <v>4854</v>
      </c>
      <c r="M158" s="38" t="s">
        <v>23</v>
      </c>
      <c r="N158" s="38" t="s">
        <v>23</v>
      </c>
      <c r="O158" s="38">
        <v>19606</v>
      </c>
      <c r="P158" s="38">
        <v>19685</v>
      </c>
      <c r="Q158" s="38">
        <v>147</v>
      </c>
      <c r="R158" s="38" t="s">
        <v>23</v>
      </c>
      <c r="S158" s="38">
        <f t="shared" si="13"/>
        <v>39438</v>
      </c>
    </row>
    <row r="159" spans="1:19">
      <c r="A159" s="99">
        <v>1985</v>
      </c>
      <c r="B159" s="38" t="s">
        <v>23</v>
      </c>
      <c r="C159" s="38" t="s">
        <v>23</v>
      </c>
      <c r="D159" s="38">
        <v>0</v>
      </c>
      <c r="E159" s="38" t="s">
        <v>23</v>
      </c>
      <c r="F159" s="38">
        <v>4426</v>
      </c>
      <c r="G159" s="38">
        <v>4931</v>
      </c>
      <c r="H159" s="38">
        <v>99</v>
      </c>
      <c r="I159" s="38" t="s">
        <v>106</v>
      </c>
      <c r="J159" s="38" t="s">
        <v>106</v>
      </c>
      <c r="K159" s="38">
        <f t="shared" si="12"/>
        <v>9456</v>
      </c>
      <c r="M159" s="38">
        <v>0</v>
      </c>
      <c r="N159" s="38" t="s">
        <v>23</v>
      </c>
      <c r="O159" s="38">
        <v>30926</v>
      </c>
      <c r="P159" s="38">
        <v>19722</v>
      </c>
      <c r="Q159" s="38">
        <v>514</v>
      </c>
      <c r="R159" s="38" t="s">
        <v>23</v>
      </c>
      <c r="S159" s="38">
        <f t="shared" si="13"/>
        <v>51162</v>
      </c>
    </row>
    <row r="160" spans="1:19">
      <c r="A160" s="95">
        <v>1986</v>
      </c>
      <c r="B160" s="38" t="s">
        <v>23</v>
      </c>
      <c r="C160" s="38" t="s">
        <v>23</v>
      </c>
      <c r="D160" s="38">
        <v>17</v>
      </c>
      <c r="E160" s="38">
        <v>1015</v>
      </c>
      <c r="F160" s="38">
        <v>4377</v>
      </c>
      <c r="G160" s="38">
        <v>499</v>
      </c>
      <c r="H160" s="38" t="s">
        <v>23</v>
      </c>
      <c r="I160" s="38" t="s">
        <v>106</v>
      </c>
      <c r="J160" s="38" t="s">
        <v>106</v>
      </c>
      <c r="K160" s="38">
        <f t="shared" si="12"/>
        <v>5908</v>
      </c>
      <c r="M160" s="38">
        <v>1040</v>
      </c>
      <c r="N160" s="38">
        <v>7747</v>
      </c>
      <c r="O160" s="38">
        <v>46241</v>
      </c>
      <c r="P160" s="38">
        <v>6101</v>
      </c>
      <c r="Q160" s="38" t="s">
        <v>23</v>
      </c>
      <c r="R160" s="38" t="s">
        <v>23</v>
      </c>
      <c r="S160" s="38">
        <f t="shared" si="13"/>
        <v>61129</v>
      </c>
    </row>
    <row r="161" spans="1:19">
      <c r="A161" s="95">
        <v>1987</v>
      </c>
      <c r="B161" s="38" t="s">
        <v>23</v>
      </c>
      <c r="C161" s="38" t="s">
        <v>23</v>
      </c>
      <c r="D161" s="38" t="s">
        <v>23</v>
      </c>
      <c r="E161" s="38">
        <v>942</v>
      </c>
      <c r="F161" s="38">
        <v>10689</v>
      </c>
      <c r="G161" s="38">
        <v>4559</v>
      </c>
      <c r="H161" s="38">
        <v>2778</v>
      </c>
      <c r="I161" s="38" t="s">
        <v>106</v>
      </c>
      <c r="J161" s="38" t="s">
        <v>106</v>
      </c>
      <c r="K161" s="38">
        <f t="shared" si="12"/>
        <v>18968</v>
      </c>
      <c r="M161" s="38" t="s">
        <v>23</v>
      </c>
      <c r="N161" s="38">
        <v>1040</v>
      </c>
      <c r="O161" s="38">
        <v>44582</v>
      </c>
      <c r="P161" s="38">
        <v>6387</v>
      </c>
      <c r="Q161" s="38">
        <v>2140</v>
      </c>
      <c r="R161" s="38" t="s">
        <v>23</v>
      </c>
      <c r="S161" s="38">
        <f t="shared" si="13"/>
        <v>54149</v>
      </c>
    </row>
    <row r="162" spans="1:19">
      <c r="A162" s="95">
        <v>1988</v>
      </c>
      <c r="B162" s="38" t="s">
        <v>23</v>
      </c>
      <c r="C162" s="38" t="s">
        <v>23</v>
      </c>
      <c r="D162" s="38">
        <v>171</v>
      </c>
      <c r="E162" s="38">
        <v>1722</v>
      </c>
      <c r="F162" s="38">
        <v>2848</v>
      </c>
      <c r="G162" s="38">
        <v>3092</v>
      </c>
      <c r="H162" s="38">
        <v>246</v>
      </c>
      <c r="I162" s="38" t="s">
        <v>106</v>
      </c>
      <c r="J162" s="38" t="s">
        <v>106</v>
      </c>
      <c r="K162" s="38">
        <f t="shared" si="12"/>
        <v>8079</v>
      </c>
      <c r="M162" s="38">
        <v>80</v>
      </c>
      <c r="N162" s="38">
        <v>10730</v>
      </c>
      <c r="O162" s="38">
        <v>42248</v>
      </c>
      <c r="P162" s="38">
        <v>17203</v>
      </c>
      <c r="Q162" s="38">
        <v>989</v>
      </c>
      <c r="R162" s="38" t="s">
        <v>23</v>
      </c>
      <c r="S162" s="38">
        <f t="shared" si="13"/>
        <v>71250</v>
      </c>
    </row>
    <row r="163" spans="1:19">
      <c r="A163" s="95">
        <v>1989</v>
      </c>
      <c r="B163" s="38" t="s">
        <v>23</v>
      </c>
      <c r="C163" s="38" t="s">
        <v>23</v>
      </c>
      <c r="D163" s="38">
        <v>100</v>
      </c>
      <c r="E163" s="38">
        <v>1755</v>
      </c>
      <c r="F163" s="38">
        <v>4269</v>
      </c>
      <c r="G163" s="38">
        <v>555</v>
      </c>
      <c r="H163" s="38">
        <v>2</v>
      </c>
      <c r="I163" s="38" t="s">
        <v>106</v>
      </c>
      <c r="J163" s="38" t="s">
        <v>106</v>
      </c>
      <c r="K163" s="38">
        <f t="shared" si="12"/>
        <v>6681</v>
      </c>
      <c r="M163" s="38">
        <v>669</v>
      </c>
      <c r="N163" s="38">
        <v>22348</v>
      </c>
      <c r="O163" s="38">
        <v>38486</v>
      </c>
      <c r="P163" s="38">
        <v>11587</v>
      </c>
      <c r="Q163" s="38">
        <v>19</v>
      </c>
      <c r="R163" s="38" t="s">
        <v>23</v>
      </c>
      <c r="S163" s="38">
        <f t="shared" si="13"/>
        <v>73109</v>
      </c>
    </row>
    <row r="164" spans="1:19">
      <c r="A164" s="95">
        <v>1990</v>
      </c>
      <c r="B164" s="38" t="s">
        <v>23</v>
      </c>
      <c r="C164" s="38" t="s">
        <v>23</v>
      </c>
      <c r="D164" s="38">
        <v>13</v>
      </c>
      <c r="E164" s="38">
        <v>633</v>
      </c>
      <c r="F164" s="38">
        <v>2813</v>
      </c>
      <c r="G164" s="38">
        <v>2324</v>
      </c>
      <c r="H164" s="38">
        <v>824</v>
      </c>
      <c r="I164" s="38" t="s">
        <v>23</v>
      </c>
      <c r="J164" s="38" t="s">
        <v>23</v>
      </c>
      <c r="K164" s="38">
        <f t="shared" si="12"/>
        <v>6607</v>
      </c>
      <c r="M164" s="38">
        <v>23</v>
      </c>
      <c r="N164" s="38">
        <v>12431</v>
      </c>
      <c r="O164" s="38">
        <v>23456</v>
      </c>
      <c r="P164" s="38">
        <v>23162</v>
      </c>
      <c r="Q164" s="38">
        <v>3123</v>
      </c>
      <c r="R164" s="38" t="s">
        <v>23</v>
      </c>
      <c r="S164" s="38">
        <f t="shared" si="13"/>
        <v>62195</v>
      </c>
    </row>
    <row r="165" spans="1:19">
      <c r="A165" s="95">
        <v>1991</v>
      </c>
      <c r="B165" s="38" t="s">
        <v>23</v>
      </c>
      <c r="C165" s="38" t="s">
        <v>23</v>
      </c>
      <c r="D165" s="38">
        <v>49</v>
      </c>
      <c r="E165" s="38">
        <v>2125</v>
      </c>
      <c r="F165" s="38">
        <v>2882</v>
      </c>
      <c r="G165" s="38" t="s">
        <v>23</v>
      </c>
      <c r="H165" s="38" t="s">
        <v>23</v>
      </c>
      <c r="I165" s="38" t="s">
        <v>23</v>
      </c>
      <c r="J165" s="38" t="s">
        <v>23</v>
      </c>
      <c r="K165" s="38">
        <f t="shared" si="12"/>
        <v>5056</v>
      </c>
      <c r="M165" s="38">
        <v>794</v>
      </c>
      <c r="N165" s="38">
        <v>23443</v>
      </c>
      <c r="O165" s="38">
        <v>66543</v>
      </c>
      <c r="P165" s="38" t="s">
        <v>23</v>
      </c>
      <c r="Q165" s="38" t="s">
        <v>23</v>
      </c>
      <c r="R165" s="38" t="s">
        <v>23</v>
      </c>
      <c r="S165" s="38">
        <f t="shared" si="13"/>
        <v>90780</v>
      </c>
    </row>
    <row r="166" spans="1:19">
      <c r="A166" s="95">
        <v>1992</v>
      </c>
      <c r="B166" s="38" t="s">
        <v>23</v>
      </c>
      <c r="C166" s="38" t="s">
        <v>23</v>
      </c>
      <c r="D166" s="38">
        <v>70</v>
      </c>
      <c r="E166" s="38">
        <v>1977</v>
      </c>
      <c r="F166" s="38">
        <v>1006</v>
      </c>
      <c r="G166" s="38">
        <v>293</v>
      </c>
      <c r="H166" s="38">
        <v>417</v>
      </c>
      <c r="I166" s="38" t="s">
        <v>106</v>
      </c>
      <c r="J166" s="38" t="s">
        <v>23</v>
      </c>
      <c r="K166" s="38">
        <f t="shared" si="12"/>
        <v>3763</v>
      </c>
      <c r="M166" s="38">
        <v>525</v>
      </c>
      <c r="N166" s="38">
        <v>13111</v>
      </c>
      <c r="O166" s="38">
        <v>43850</v>
      </c>
      <c r="P166" s="38">
        <v>15766</v>
      </c>
      <c r="Q166" s="38">
        <v>2713</v>
      </c>
      <c r="R166" s="38" t="s">
        <v>23</v>
      </c>
      <c r="S166" s="38">
        <f t="shared" si="13"/>
        <v>75965</v>
      </c>
    </row>
    <row r="167" spans="1:19">
      <c r="A167" s="95">
        <v>1993</v>
      </c>
      <c r="B167" s="38" t="s">
        <v>23</v>
      </c>
      <c r="C167" s="38" t="s">
        <v>23</v>
      </c>
      <c r="D167" s="38">
        <v>70</v>
      </c>
      <c r="E167" s="38">
        <v>7</v>
      </c>
      <c r="F167" s="38">
        <v>597</v>
      </c>
      <c r="G167" s="38">
        <v>410</v>
      </c>
      <c r="H167" s="38" t="s">
        <v>23</v>
      </c>
      <c r="I167" s="38" t="s">
        <v>106</v>
      </c>
      <c r="J167" s="38" t="s">
        <v>106</v>
      </c>
      <c r="K167" s="38">
        <f t="shared" si="12"/>
        <v>1084</v>
      </c>
      <c r="M167" s="38">
        <v>76</v>
      </c>
      <c r="N167" s="38">
        <v>85</v>
      </c>
      <c r="O167" s="38">
        <v>7642</v>
      </c>
      <c r="P167" s="38">
        <v>4388</v>
      </c>
      <c r="Q167" s="38" t="s">
        <v>23</v>
      </c>
      <c r="R167" s="38" t="s">
        <v>23</v>
      </c>
      <c r="S167" s="38">
        <f t="shared" si="13"/>
        <v>12191</v>
      </c>
    </row>
    <row r="168" spans="1:19">
      <c r="A168" s="95">
        <v>1994</v>
      </c>
      <c r="B168" s="38" t="s">
        <v>23</v>
      </c>
      <c r="C168" s="38" t="s">
        <v>23</v>
      </c>
      <c r="D168" s="38">
        <v>6</v>
      </c>
      <c r="E168" s="38">
        <v>12</v>
      </c>
      <c r="F168" s="38" t="s">
        <v>23</v>
      </c>
      <c r="G168" s="38" t="s">
        <v>23</v>
      </c>
      <c r="H168" s="38" t="s">
        <v>23</v>
      </c>
      <c r="I168" s="38" t="s">
        <v>106</v>
      </c>
      <c r="J168" s="38" t="s">
        <v>106</v>
      </c>
      <c r="K168" s="38">
        <f t="shared" si="12"/>
        <v>18</v>
      </c>
      <c r="M168" s="38" t="s">
        <v>23</v>
      </c>
      <c r="N168" s="38" t="s">
        <v>23</v>
      </c>
      <c r="O168" s="38" t="s">
        <v>23</v>
      </c>
      <c r="P168" s="38" t="s">
        <v>23</v>
      </c>
      <c r="Q168" s="38" t="s">
        <v>23</v>
      </c>
      <c r="R168" s="38" t="s">
        <v>23</v>
      </c>
      <c r="S168" s="38" t="s">
        <v>23</v>
      </c>
    </row>
    <row r="169" spans="1:19">
      <c r="A169" s="95">
        <v>1995</v>
      </c>
      <c r="B169" s="38" t="s">
        <v>23</v>
      </c>
      <c r="C169" s="38" t="s">
        <v>23</v>
      </c>
      <c r="D169" s="38">
        <v>4</v>
      </c>
      <c r="E169" s="38">
        <v>187</v>
      </c>
      <c r="F169" s="38" t="s">
        <v>23</v>
      </c>
      <c r="G169" s="38" t="s">
        <v>23</v>
      </c>
      <c r="H169" s="38">
        <v>45</v>
      </c>
      <c r="I169" s="38">
        <v>7</v>
      </c>
      <c r="J169" s="38" t="s">
        <v>106</v>
      </c>
      <c r="K169" s="38">
        <f t="shared" si="12"/>
        <v>243</v>
      </c>
      <c r="M169" s="38" t="s">
        <v>23</v>
      </c>
      <c r="N169" s="38" t="s">
        <v>23</v>
      </c>
      <c r="O169" s="38" t="s">
        <v>23</v>
      </c>
      <c r="P169" s="38" t="s">
        <v>23</v>
      </c>
      <c r="Q169" s="38" t="s">
        <v>23</v>
      </c>
      <c r="R169" s="38" t="s">
        <v>23</v>
      </c>
      <c r="S169" s="38" t="s">
        <v>23</v>
      </c>
    </row>
    <row r="170" spans="1:19">
      <c r="A170" s="95">
        <v>1996</v>
      </c>
      <c r="B170" s="38" t="s">
        <v>23</v>
      </c>
      <c r="C170" s="38" t="s">
        <v>23</v>
      </c>
      <c r="D170" s="38">
        <v>7</v>
      </c>
      <c r="E170" s="38">
        <v>147</v>
      </c>
      <c r="F170" s="38">
        <v>289</v>
      </c>
      <c r="G170" s="38">
        <v>250</v>
      </c>
      <c r="H170" s="38">
        <v>148</v>
      </c>
      <c r="I170" s="38" t="s">
        <v>106</v>
      </c>
      <c r="J170" s="38" t="s">
        <v>106</v>
      </c>
      <c r="K170" s="38">
        <f t="shared" si="12"/>
        <v>841</v>
      </c>
      <c r="M170" s="38" t="s">
        <v>23</v>
      </c>
      <c r="N170" s="38" t="s">
        <v>23</v>
      </c>
      <c r="O170" s="38" t="s">
        <v>23</v>
      </c>
      <c r="P170" s="38">
        <v>14</v>
      </c>
      <c r="Q170" s="38">
        <v>3</v>
      </c>
      <c r="R170" s="38" t="s">
        <v>23</v>
      </c>
      <c r="S170" s="38">
        <f t="shared" si="13"/>
        <v>17</v>
      </c>
    </row>
    <row r="171" spans="1:19">
      <c r="A171" s="95">
        <v>1997</v>
      </c>
      <c r="B171" s="38" t="s">
        <v>23</v>
      </c>
      <c r="C171" s="38">
        <v>2</v>
      </c>
      <c r="D171" s="38">
        <v>35</v>
      </c>
      <c r="E171" s="38">
        <v>70</v>
      </c>
      <c r="F171" s="38">
        <v>94</v>
      </c>
      <c r="G171" s="38">
        <v>388</v>
      </c>
      <c r="H171" s="38">
        <v>57</v>
      </c>
      <c r="I171" s="38" t="s">
        <v>106</v>
      </c>
      <c r="J171" s="38" t="s">
        <v>106</v>
      </c>
      <c r="K171" s="38">
        <f t="shared" si="12"/>
        <v>646</v>
      </c>
      <c r="M171" s="38" t="s">
        <v>23</v>
      </c>
      <c r="N171" s="38" t="s">
        <v>23</v>
      </c>
      <c r="O171" s="38">
        <v>7</v>
      </c>
      <c r="P171" s="38">
        <v>10</v>
      </c>
      <c r="Q171" s="38" t="s">
        <v>23</v>
      </c>
      <c r="R171" s="38" t="s">
        <v>23</v>
      </c>
      <c r="S171" s="38">
        <f t="shared" si="13"/>
        <v>17</v>
      </c>
    </row>
    <row r="172" spans="1:19">
      <c r="A172" s="95">
        <v>1998</v>
      </c>
      <c r="B172" s="38" t="s">
        <v>23</v>
      </c>
      <c r="C172" s="38">
        <v>0</v>
      </c>
      <c r="D172" s="38">
        <v>0</v>
      </c>
      <c r="E172" s="38">
        <v>2</v>
      </c>
      <c r="F172" s="38">
        <v>55</v>
      </c>
      <c r="G172" s="38">
        <v>418</v>
      </c>
      <c r="H172" s="38">
        <v>13</v>
      </c>
      <c r="I172" s="38" t="s">
        <v>106</v>
      </c>
      <c r="J172" s="38" t="s">
        <v>106</v>
      </c>
      <c r="K172" s="38">
        <f t="shared" si="12"/>
        <v>488</v>
      </c>
      <c r="M172" s="38" t="s">
        <v>23</v>
      </c>
      <c r="N172" s="38" t="s">
        <v>23</v>
      </c>
      <c r="O172" s="38" t="s">
        <v>23</v>
      </c>
      <c r="P172" s="38" t="s">
        <v>23</v>
      </c>
      <c r="Q172" s="38" t="s">
        <v>23</v>
      </c>
      <c r="R172" s="38" t="s">
        <v>23</v>
      </c>
      <c r="S172" s="38" t="s">
        <v>23</v>
      </c>
    </row>
    <row r="173" spans="1:19">
      <c r="A173" s="95">
        <v>1999</v>
      </c>
      <c r="B173" s="38" t="s">
        <v>23</v>
      </c>
      <c r="C173" s="38">
        <v>0</v>
      </c>
      <c r="D173" s="38">
        <v>3</v>
      </c>
      <c r="E173" s="38">
        <v>211</v>
      </c>
      <c r="F173" s="38">
        <v>867</v>
      </c>
      <c r="G173" s="38">
        <v>351</v>
      </c>
      <c r="H173" s="38">
        <v>12</v>
      </c>
      <c r="I173" s="38">
        <v>0</v>
      </c>
      <c r="J173" s="38" t="s">
        <v>106</v>
      </c>
      <c r="K173" s="38">
        <f t="shared" si="12"/>
        <v>1444</v>
      </c>
      <c r="M173" s="38" t="s">
        <v>23</v>
      </c>
      <c r="N173" s="38" t="s">
        <v>23</v>
      </c>
      <c r="O173" s="38">
        <v>1064</v>
      </c>
      <c r="P173" s="38" t="s">
        <v>23</v>
      </c>
      <c r="Q173" s="38" t="s">
        <v>23</v>
      </c>
      <c r="R173" s="38" t="s">
        <v>23</v>
      </c>
      <c r="S173" s="38">
        <f t="shared" si="13"/>
        <v>1064</v>
      </c>
    </row>
    <row r="174" spans="1:19">
      <c r="A174" s="95">
        <v>2000</v>
      </c>
      <c r="B174" s="38" t="s">
        <v>23</v>
      </c>
      <c r="C174" s="38">
        <v>2</v>
      </c>
      <c r="D174" s="38">
        <v>9</v>
      </c>
      <c r="E174" s="38">
        <v>15</v>
      </c>
      <c r="F174" s="38">
        <v>6994</v>
      </c>
      <c r="G174" s="38">
        <v>2559</v>
      </c>
      <c r="H174" s="38">
        <v>479</v>
      </c>
      <c r="I174" s="38">
        <v>31</v>
      </c>
      <c r="J174" s="38" t="s">
        <v>106</v>
      </c>
      <c r="K174" s="38">
        <f t="shared" si="12"/>
        <v>10089</v>
      </c>
      <c r="M174" s="38" t="s">
        <v>23</v>
      </c>
      <c r="N174" s="38" t="s">
        <v>23</v>
      </c>
      <c r="O174" s="38">
        <v>5055</v>
      </c>
      <c r="P174" s="38">
        <v>43</v>
      </c>
      <c r="Q174" s="38" t="s">
        <v>23</v>
      </c>
      <c r="R174" s="38" t="s">
        <v>23</v>
      </c>
      <c r="S174" s="38">
        <f t="shared" si="13"/>
        <v>5098</v>
      </c>
    </row>
    <row r="175" spans="1:19">
      <c r="A175" s="95">
        <v>2001</v>
      </c>
      <c r="B175" s="38" t="s">
        <v>23</v>
      </c>
      <c r="C175" s="38">
        <v>0</v>
      </c>
      <c r="D175" s="38">
        <v>77</v>
      </c>
      <c r="E175" s="38">
        <v>1441</v>
      </c>
      <c r="F175" s="38">
        <v>5548</v>
      </c>
      <c r="G175" s="38">
        <v>2163</v>
      </c>
      <c r="H175" s="38">
        <v>281</v>
      </c>
      <c r="I175" s="38">
        <v>3</v>
      </c>
      <c r="J175" s="38" t="s">
        <v>106</v>
      </c>
      <c r="K175" s="38">
        <f t="shared" si="12"/>
        <v>9513</v>
      </c>
      <c r="M175" s="38">
        <v>19</v>
      </c>
      <c r="N175" s="38">
        <v>6470</v>
      </c>
      <c r="O175" s="38">
        <v>12691</v>
      </c>
      <c r="P175" s="38">
        <v>152</v>
      </c>
      <c r="Q175" s="38">
        <v>4</v>
      </c>
      <c r="R175" s="38" t="s">
        <v>23</v>
      </c>
      <c r="S175" s="38">
        <f t="shared" si="13"/>
        <v>19336</v>
      </c>
    </row>
    <row r="176" spans="1:19">
      <c r="A176" s="95">
        <v>2002</v>
      </c>
      <c r="B176" s="38" t="s">
        <v>23</v>
      </c>
      <c r="C176" s="38">
        <v>140</v>
      </c>
      <c r="D176" s="38">
        <v>237</v>
      </c>
      <c r="E176" s="38">
        <v>4840</v>
      </c>
      <c r="F176" s="38">
        <v>10170</v>
      </c>
      <c r="G176" s="38">
        <v>2782</v>
      </c>
      <c r="H176" s="38">
        <v>1213</v>
      </c>
      <c r="I176" s="38">
        <v>97</v>
      </c>
      <c r="J176" s="38" t="s">
        <v>106</v>
      </c>
      <c r="K176" s="38">
        <f t="shared" si="12"/>
        <v>19479</v>
      </c>
      <c r="M176" s="38" t="s">
        <v>23</v>
      </c>
      <c r="N176" s="38">
        <v>35</v>
      </c>
      <c r="O176" s="38">
        <v>5129</v>
      </c>
      <c r="P176" s="38">
        <v>134</v>
      </c>
      <c r="Q176" s="38">
        <v>40</v>
      </c>
      <c r="R176" s="38" t="s">
        <v>23</v>
      </c>
      <c r="S176" s="38">
        <f t="shared" si="13"/>
        <v>5338</v>
      </c>
    </row>
    <row r="177" spans="1:19">
      <c r="A177" s="95">
        <v>2003</v>
      </c>
      <c r="B177" s="38">
        <v>2</v>
      </c>
      <c r="C177" s="38">
        <v>21</v>
      </c>
      <c r="D177" s="38">
        <v>119</v>
      </c>
      <c r="E177" s="38">
        <v>1626</v>
      </c>
      <c r="F177" s="38">
        <v>6453</v>
      </c>
      <c r="G177" s="38">
        <v>5449</v>
      </c>
      <c r="H177" s="38">
        <v>1366</v>
      </c>
      <c r="I177" s="38">
        <v>3</v>
      </c>
      <c r="J177" s="38" t="s">
        <v>106</v>
      </c>
      <c r="K177" s="38">
        <f t="shared" si="12"/>
        <v>15039</v>
      </c>
      <c r="M177" s="38" t="s">
        <v>23</v>
      </c>
      <c r="N177" s="38">
        <v>3477</v>
      </c>
      <c r="O177" s="38">
        <v>15393</v>
      </c>
      <c r="P177" s="38">
        <v>5194</v>
      </c>
      <c r="Q177" s="38">
        <v>22</v>
      </c>
      <c r="R177" s="38" t="s">
        <v>23</v>
      </c>
      <c r="S177" s="38">
        <f t="shared" si="13"/>
        <v>24086</v>
      </c>
    </row>
    <row r="178" spans="1:19">
      <c r="A178" s="95">
        <v>2004</v>
      </c>
      <c r="B178" s="38">
        <v>2</v>
      </c>
      <c r="C178" s="38">
        <v>2</v>
      </c>
      <c r="D178" s="38">
        <v>192</v>
      </c>
      <c r="E178" s="38">
        <v>2849</v>
      </c>
      <c r="F178" s="38">
        <v>11416</v>
      </c>
      <c r="G178" s="38">
        <v>3666</v>
      </c>
      <c r="H178" s="38">
        <v>2606</v>
      </c>
      <c r="I178" s="38">
        <v>13</v>
      </c>
      <c r="J178" s="137" t="s">
        <v>106</v>
      </c>
      <c r="K178" s="38">
        <f t="shared" si="12"/>
        <v>20746</v>
      </c>
      <c r="M178" s="38">
        <v>2</v>
      </c>
      <c r="N178" s="38">
        <v>943</v>
      </c>
      <c r="O178" s="38">
        <v>8275</v>
      </c>
      <c r="P178" s="38">
        <v>830</v>
      </c>
      <c r="Q178" s="38">
        <v>84</v>
      </c>
      <c r="R178" s="38" t="s">
        <v>23</v>
      </c>
      <c r="S178" s="38">
        <f t="shared" si="13"/>
        <v>10134</v>
      </c>
    </row>
    <row r="179" spans="1:19">
      <c r="A179" s="95">
        <v>2005</v>
      </c>
      <c r="B179" s="38">
        <v>0</v>
      </c>
      <c r="C179" s="38">
        <v>0</v>
      </c>
      <c r="D179" s="38">
        <v>56</v>
      </c>
      <c r="E179" s="38">
        <v>2933</v>
      </c>
      <c r="F179" s="38">
        <v>3081</v>
      </c>
      <c r="G179" s="38">
        <v>3273</v>
      </c>
      <c r="H179" s="38">
        <v>1826</v>
      </c>
      <c r="I179" s="38">
        <v>2</v>
      </c>
      <c r="J179" s="137" t="s">
        <v>106</v>
      </c>
      <c r="K179" s="38">
        <f t="shared" si="12"/>
        <v>11171</v>
      </c>
      <c r="M179" s="38" t="s">
        <v>23</v>
      </c>
      <c r="N179" s="38">
        <v>862</v>
      </c>
      <c r="O179" s="38">
        <v>544</v>
      </c>
      <c r="P179" s="38">
        <v>8</v>
      </c>
      <c r="Q179" s="38">
        <v>21</v>
      </c>
      <c r="R179" s="38" t="s">
        <v>23</v>
      </c>
      <c r="S179" s="38">
        <f t="shared" si="13"/>
        <v>1435</v>
      </c>
    </row>
    <row r="180" spans="1:19">
      <c r="A180" s="95">
        <v>2006</v>
      </c>
      <c r="B180" s="187">
        <v>0</v>
      </c>
      <c r="C180" s="187">
        <v>3</v>
      </c>
      <c r="D180" s="187">
        <v>11</v>
      </c>
      <c r="E180" s="187">
        <v>388</v>
      </c>
      <c r="F180" s="187">
        <v>3225</v>
      </c>
      <c r="G180" s="187">
        <v>927</v>
      </c>
      <c r="H180" s="187">
        <v>656</v>
      </c>
      <c r="I180" s="187">
        <v>0</v>
      </c>
      <c r="J180" s="188" t="s">
        <v>106</v>
      </c>
      <c r="K180" s="38">
        <f t="shared" si="12"/>
        <v>5210</v>
      </c>
      <c r="M180" s="38" t="s">
        <v>23</v>
      </c>
      <c r="N180" s="187">
        <v>184</v>
      </c>
      <c r="O180" s="187">
        <v>3321</v>
      </c>
      <c r="P180" s="187">
        <v>26</v>
      </c>
      <c r="Q180" s="187">
        <v>42</v>
      </c>
      <c r="R180" s="38" t="s">
        <v>23</v>
      </c>
      <c r="S180" s="38">
        <f t="shared" si="13"/>
        <v>3573</v>
      </c>
    </row>
    <row r="181" spans="1:19">
      <c r="A181" s="95">
        <v>2007</v>
      </c>
      <c r="B181" s="187">
        <v>2</v>
      </c>
      <c r="C181" s="187">
        <v>0</v>
      </c>
      <c r="D181" s="187">
        <v>18</v>
      </c>
      <c r="E181" s="187">
        <v>115</v>
      </c>
      <c r="F181" s="187">
        <v>545</v>
      </c>
      <c r="G181" s="187">
        <v>672</v>
      </c>
      <c r="H181" s="187">
        <v>62</v>
      </c>
      <c r="I181" s="187">
        <v>0</v>
      </c>
      <c r="J181" s="188" t="s">
        <v>106</v>
      </c>
      <c r="K181" s="38">
        <f t="shared" si="12"/>
        <v>1414</v>
      </c>
      <c r="M181" s="38" t="s">
        <v>23</v>
      </c>
      <c r="N181" s="187">
        <v>813</v>
      </c>
      <c r="O181" s="187">
        <v>8402</v>
      </c>
      <c r="P181" s="187">
        <v>3509</v>
      </c>
      <c r="Q181" s="187">
        <v>12</v>
      </c>
      <c r="R181" s="38" t="s">
        <v>23</v>
      </c>
      <c r="S181" s="38">
        <f t="shared" si="13"/>
        <v>12736</v>
      </c>
    </row>
    <row r="182" spans="1:19">
      <c r="A182" s="95">
        <v>2008</v>
      </c>
      <c r="B182" s="187" t="s">
        <v>23</v>
      </c>
      <c r="C182" s="187" t="s">
        <v>23</v>
      </c>
      <c r="D182" s="187" t="s">
        <v>23</v>
      </c>
      <c r="E182" s="187">
        <v>7</v>
      </c>
      <c r="F182" s="187">
        <v>3</v>
      </c>
      <c r="G182" s="187" t="s">
        <v>23</v>
      </c>
      <c r="H182" s="187" t="s">
        <v>23</v>
      </c>
      <c r="I182" s="187" t="s">
        <v>23</v>
      </c>
      <c r="J182" s="188" t="s">
        <v>106</v>
      </c>
      <c r="K182" s="38">
        <f t="shared" si="12"/>
        <v>10</v>
      </c>
      <c r="M182" s="38" t="s">
        <v>23</v>
      </c>
      <c r="N182" s="187">
        <v>621</v>
      </c>
      <c r="O182" s="187">
        <v>1726</v>
      </c>
      <c r="P182" s="187">
        <v>1381</v>
      </c>
      <c r="Q182" s="38" t="s">
        <v>23</v>
      </c>
      <c r="R182" s="38" t="s">
        <v>23</v>
      </c>
      <c r="S182" s="38">
        <f t="shared" si="13"/>
        <v>3728</v>
      </c>
    </row>
    <row r="183" spans="1:19">
      <c r="A183" s="95">
        <v>2009</v>
      </c>
      <c r="B183" s="187" t="s">
        <v>23</v>
      </c>
      <c r="C183" s="187" t="s">
        <v>23</v>
      </c>
      <c r="D183" s="187" t="s">
        <v>23</v>
      </c>
      <c r="E183" s="187">
        <v>3</v>
      </c>
      <c r="F183" s="187">
        <v>7</v>
      </c>
      <c r="G183" s="187">
        <v>2</v>
      </c>
      <c r="H183" s="187" t="s">
        <v>23</v>
      </c>
      <c r="I183" s="188" t="s">
        <v>106</v>
      </c>
      <c r="J183" s="188" t="s">
        <v>106</v>
      </c>
      <c r="K183" s="38">
        <f t="shared" si="12"/>
        <v>12</v>
      </c>
      <c r="M183" s="38" t="s">
        <v>23</v>
      </c>
      <c r="N183" s="187">
        <v>1154</v>
      </c>
      <c r="O183" s="187">
        <v>7596</v>
      </c>
      <c r="P183" s="187">
        <v>1175</v>
      </c>
      <c r="Q183" s="38">
        <v>42</v>
      </c>
      <c r="R183" s="38" t="s">
        <v>23</v>
      </c>
      <c r="S183" s="38">
        <f t="shared" si="13"/>
        <v>9967</v>
      </c>
    </row>
    <row r="184" spans="1:19">
      <c r="A184" s="95">
        <v>2010</v>
      </c>
      <c r="B184" s="187" t="s">
        <v>23</v>
      </c>
      <c r="C184" s="187" t="s">
        <v>23</v>
      </c>
      <c r="D184" s="187">
        <v>8</v>
      </c>
      <c r="E184" s="187">
        <v>83</v>
      </c>
      <c r="F184" s="187">
        <v>133</v>
      </c>
      <c r="G184" s="187">
        <v>444</v>
      </c>
      <c r="H184" s="187">
        <v>28</v>
      </c>
      <c r="I184" s="188" t="s">
        <v>106</v>
      </c>
      <c r="J184" s="188" t="s">
        <v>106</v>
      </c>
      <c r="K184" s="38">
        <f t="shared" si="12"/>
        <v>696</v>
      </c>
      <c r="M184" s="38" t="s">
        <v>23</v>
      </c>
      <c r="N184" s="187">
        <v>18</v>
      </c>
      <c r="O184" s="187">
        <v>238</v>
      </c>
      <c r="P184" s="187">
        <v>663</v>
      </c>
      <c r="Q184" s="38">
        <v>8</v>
      </c>
      <c r="R184" s="38" t="s">
        <v>23</v>
      </c>
      <c r="S184" s="38">
        <f t="shared" si="13"/>
        <v>927</v>
      </c>
    </row>
    <row r="185" spans="1:19">
      <c r="A185" s="95">
        <v>2011</v>
      </c>
      <c r="B185" s="187">
        <v>0</v>
      </c>
      <c r="C185" s="187">
        <v>1</v>
      </c>
      <c r="D185" s="187">
        <v>31</v>
      </c>
      <c r="E185" s="187">
        <v>88</v>
      </c>
      <c r="F185" s="187">
        <v>254</v>
      </c>
      <c r="G185" s="187">
        <v>389</v>
      </c>
      <c r="H185" s="187">
        <v>248</v>
      </c>
      <c r="I185" s="187" t="s">
        <v>23</v>
      </c>
      <c r="J185" s="188">
        <v>6</v>
      </c>
      <c r="K185" s="38">
        <f t="shared" si="12"/>
        <v>1017</v>
      </c>
      <c r="M185" s="38" t="s">
        <v>23</v>
      </c>
      <c r="N185" s="187">
        <v>11</v>
      </c>
      <c r="O185" s="187">
        <v>330</v>
      </c>
      <c r="P185" s="187">
        <v>338</v>
      </c>
      <c r="Q185" s="38">
        <v>411</v>
      </c>
      <c r="R185" s="38" t="s">
        <v>23</v>
      </c>
      <c r="S185" s="38">
        <f t="shared" si="13"/>
        <v>1090</v>
      </c>
    </row>
    <row r="186" spans="1:19">
      <c r="A186" s="95">
        <v>2012</v>
      </c>
      <c r="B186" s="187">
        <v>0</v>
      </c>
      <c r="C186" s="187">
        <v>12</v>
      </c>
      <c r="D186" s="187">
        <v>391</v>
      </c>
      <c r="E186" s="187">
        <v>529</v>
      </c>
      <c r="F186" s="187">
        <v>502</v>
      </c>
      <c r="G186" s="187">
        <v>1348</v>
      </c>
      <c r="H186" s="187">
        <v>749</v>
      </c>
      <c r="I186" s="187">
        <v>60</v>
      </c>
      <c r="J186" s="188">
        <v>8</v>
      </c>
      <c r="K186" s="38">
        <f t="shared" si="12"/>
        <v>3599</v>
      </c>
      <c r="M186" s="38" t="s">
        <v>23</v>
      </c>
      <c r="N186" s="187">
        <v>31</v>
      </c>
      <c r="O186" s="187">
        <v>782</v>
      </c>
      <c r="P186" s="187">
        <v>829</v>
      </c>
      <c r="Q186" s="38">
        <v>814</v>
      </c>
      <c r="R186" s="38" t="s">
        <v>23</v>
      </c>
      <c r="S186" s="38">
        <f t="shared" si="13"/>
        <v>2456</v>
      </c>
    </row>
    <row r="187" spans="1:19">
      <c r="A187" s="95">
        <v>2013</v>
      </c>
      <c r="B187" s="187">
        <v>26</v>
      </c>
      <c r="C187" s="187">
        <v>52</v>
      </c>
      <c r="D187" s="187">
        <v>135</v>
      </c>
      <c r="E187" s="187">
        <v>1189</v>
      </c>
      <c r="F187" s="187">
        <v>790</v>
      </c>
      <c r="G187" s="187">
        <v>11479</v>
      </c>
      <c r="H187" s="187">
        <v>657</v>
      </c>
      <c r="I187" s="187">
        <v>4</v>
      </c>
      <c r="J187" s="188" t="s">
        <v>106</v>
      </c>
      <c r="K187" s="38">
        <f t="shared" si="12"/>
        <v>14332</v>
      </c>
      <c r="M187" s="38" t="s">
        <v>23</v>
      </c>
      <c r="N187" s="187">
        <v>9</v>
      </c>
      <c r="O187" s="187">
        <v>66</v>
      </c>
      <c r="P187" s="187">
        <v>94</v>
      </c>
      <c r="Q187" s="38">
        <v>329</v>
      </c>
      <c r="R187" s="38" t="s">
        <v>23</v>
      </c>
      <c r="S187" s="38">
        <f t="shared" si="13"/>
        <v>498</v>
      </c>
    </row>
    <row r="188" spans="1:19">
      <c r="A188" s="95">
        <v>2014</v>
      </c>
      <c r="B188" s="187">
        <v>0</v>
      </c>
      <c r="C188" s="187">
        <v>9</v>
      </c>
      <c r="D188" s="187">
        <v>69</v>
      </c>
      <c r="E188" s="187">
        <v>767</v>
      </c>
      <c r="F188" s="187">
        <v>1865</v>
      </c>
      <c r="G188" s="187">
        <v>2399</v>
      </c>
      <c r="H188" s="187">
        <v>736</v>
      </c>
      <c r="I188" s="187">
        <v>6</v>
      </c>
      <c r="J188" s="188" t="s">
        <v>106</v>
      </c>
      <c r="K188" s="38">
        <f t="shared" si="12"/>
        <v>5851</v>
      </c>
      <c r="M188" s="38">
        <v>1</v>
      </c>
      <c r="N188" s="187">
        <v>620</v>
      </c>
      <c r="O188" s="187">
        <v>4371</v>
      </c>
      <c r="P188" s="187">
        <v>1672</v>
      </c>
      <c r="Q188" s="38">
        <v>3255</v>
      </c>
      <c r="R188" s="38" t="s">
        <v>23</v>
      </c>
      <c r="S188" s="38">
        <f t="shared" si="13"/>
        <v>9919</v>
      </c>
    </row>
    <row r="189" spans="1:19">
      <c r="A189" s="95">
        <v>2015</v>
      </c>
      <c r="B189" s="187">
        <v>0</v>
      </c>
      <c r="C189" s="187">
        <v>3</v>
      </c>
      <c r="D189" s="187">
        <v>18</v>
      </c>
      <c r="E189" s="187">
        <v>209</v>
      </c>
      <c r="F189" s="187">
        <v>187</v>
      </c>
      <c r="G189" s="187">
        <v>197</v>
      </c>
      <c r="H189" s="187">
        <v>744</v>
      </c>
      <c r="I189" s="187">
        <v>3</v>
      </c>
      <c r="J189" s="188" t="s">
        <v>106</v>
      </c>
      <c r="K189" s="38">
        <f t="shared" si="12"/>
        <v>1361</v>
      </c>
      <c r="M189" s="38" t="s">
        <v>23</v>
      </c>
      <c r="N189" s="187">
        <v>208</v>
      </c>
      <c r="O189" s="187">
        <v>2633</v>
      </c>
      <c r="P189" s="187">
        <v>81</v>
      </c>
      <c r="Q189" s="38">
        <v>1731</v>
      </c>
      <c r="R189" s="38" t="s">
        <v>23</v>
      </c>
      <c r="S189" s="38">
        <f t="shared" si="13"/>
        <v>4653</v>
      </c>
    </row>
    <row r="190" spans="1:19">
      <c r="A190" s="95">
        <v>2016</v>
      </c>
      <c r="B190" s="187">
        <v>4</v>
      </c>
      <c r="C190" s="187">
        <v>4</v>
      </c>
      <c r="D190" s="187">
        <v>2</v>
      </c>
      <c r="E190" s="187">
        <v>44</v>
      </c>
      <c r="F190" s="187">
        <v>91</v>
      </c>
      <c r="G190" s="187">
        <v>213</v>
      </c>
      <c r="H190" s="187">
        <v>318</v>
      </c>
      <c r="I190" s="187">
        <v>0</v>
      </c>
      <c r="J190" s="188" t="s">
        <v>106</v>
      </c>
      <c r="K190" s="38">
        <f t="shared" si="12"/>
        <v>676</v>
      </c>
      <c r="M190" s="38" t="s">
        <v>23</v>
      </c>
      <c r="N190" s="187">
        <v>58</v>
      </c>
      <c r="O190" s="187">
        <v>410</v>
      </c>
      <c r="P190" s="187">
        <v>59</v>
      </c>
      <c r="Q190" s="38">
        <v>959</v>
      </c>
      <c r="R190" s="38" t="s">
        <v>23</v>
      </c>
      <c r="S190" s="38">
        <f t="shared" si="13"/>
        <v>1486</v>
      </c>
    </row>
    <row r="191" spans="1:19">
      <c r="A191" s="95">
        <v>2017</v>
      </c>
      <c r="B191" s="187">
        <v>0</v>
      </c>
      <c r="C191" s="187">
        <v>6</v>
      </c>
      <c r="D191" s="187">
        <v>7</v>
      </c>
      <c r="E191" s="187">
        <v>28</v>
      </c>
      <c r="F191" s="187">
        <v>212</v>
      </c>
      <c r="G191" s="187">
        <v>199</v>
      </c>
      <c r="H191" s="187">
        <v>121</v>
      </c>
      <c r="I191" s="187">
        <v>0</v>
      </c>
      <c r="J191" s="188" t="s">
        <v>106</v>
      </c>
      <c r="K191" s="38">
        <f t="shared" si="12"/>
        <v>573</v>
      </c>
      <c r="M191" s="38" t="s">
        <v>23</v>
      </c>
      <c r="N191" s="187">
        <v>241</v>
      </c>
      <c r="O191" s="187">
        <v>1452</v>
      </c>
      <c r="P191" s="187">
        <v>557</v>
      </c>
      <c r="Q191" s="38">
        <v>1146</v>
      </c>
      <c r="R191" s="38" t="s">
        <v>23</v>
      </c>
      <c r="S191" s="38">
        <f t="shared" si="13"/>
        <v>3396</v>
      </c>
    </row>
    <row r="192" spans="1:19">
      <c r="A192" s="95">
        <v>2018</v>
      </c>
      <c r="B192" s="187">
        <v>0</v>
      </c>
      <c r="C192" s="187">
        <v>0</v>
      </c>
      <c r="D192" s="187">
        <v>6</v>
      </c>
      <c r="E192" s="187">
        <v>52</v>
      </c>
      <c r="F192" s="187">
        <v>180</v>
      </c>
      <c r="G192" s="187">
        <v>311</v>
      </c>
      <c r="H192" s="187">
        <v>244</v>
      </c>
      <c r="I192" s="187">
        <v>0</v>
      </c>
      <c r="J192" s="188" t="s">
        <v>106</v>
      </c>
      <c r="K192" s="38">
        <f>SUM(B192:J192)</f>
        <v>793</v>
      </c>
      <c r="M192" s="38" t="s">
        <v>23</v>
      </c>
      <c r="N192" s="187">
        <v>4</v>
      </c>
      <c r="O192" s="187">
        <v>579</v>
      </c>
      <c r="P192" s="187">
        <v>887</v>
      </c>
      <c r="Q192" s="38">
        <v>2983</v>
      </c>
      <c r="R192" s="38" t="s">
        <v>23</v>
      </c>
      <c r="S192" s="38">
        <f>SUM(M192:R192)</f>
        <v>4453</v>
      </c>
    </row>
    <row r="193" spans="1:19">
      <c r="A193" s="95">
        <v>2019</v>
      </c>
      <c r="B193" s="187">
        <v>0</v>
      </c>
      <c r="C193" s="187">
        <v>0</v>
      </c>
      <c r="D193" s="187">
        <v>0</v>
      </c>
      <c r="E193" s="187">
        <v>87</v>
      </c>
      <c r="F193" s="187">
        <v>603</v>
      </c>
      <c r="G193" s="187">
        <v>236</v>
      </c>
      <c r="H193" s="187">
        <v>305</v>
      </c>
      <c r="I193" s="187" t="s">
        <v>23</v>
      </c>
      <c r="J193" s="188" t="s">
        <v>23</v>
      </c>
      <c r="K193" s="38">
        <f t="shared" ref="K193:K194" si="14">SUM(B193:J193)</f>
        <v>1231</v>
      </c>
      <c r="M193" s="38" t="s">
        <v>23</v>
      </c>
      <c r="N193" s="187">
        <v>1265</v>
      </c>
      <c r="O193" s="187">
        <v>4322</v>
      </c>
      <c r="P193" s="187">
        <v>2023</v>
      </c>
      <c r="Q193" s="38">
        <v>1980</v>
      </c>
      <c r="R193" s="38" t="s">
        <v>23</v>
      </c>
      <c r="S193" s="38">
        <f t="shared" ref="S193:S194" si="15">SUM(M193:R193)</f>
        <v>9590</v>
      </c>
    </row>
    <row r="194" spans="1:19">
      <c r="A194" s="95">
        <v>2020</v>
      </c>
      <c r="B194" s="187">
        <v>0</v>
      </c>
      <c r="C194" s="187">
        <v>0</v>
      </c>
      <c r="D194" s="187">
        <v>7</v>
      </c>
      <c r="E194" s="187">
        <v>0</v>
      </c>
      <c r="F194" s="187">
        <v>1151</v>
      </c>
      <c r="G194" s="187">
        <v>419</v>
      </c>
      <c r="H194" s="187">
        <v>361</v>
      </c>
      <c r="I194" s="187">
        <v>11</v>
      </c>
      <c r="J194" s="188" t="s">
        <v>23</v>
      </c>
      <c r="K194" s="38">
        <f t="shared" si="14"/>
        <v>1949</v>
      </c>
      <c r="M194" s="38" t="s">
        <v>23</v>
      </c>
      <c r="N194" s="187">
        <v>0</v>
      </c>
      <c r="O194" s="187">
        <v>2605</v>
      </c>
      <c r="P194" s="187">
        <v>804</v>
      </c>
      <c r="Q194" s="38">
        <v>453</v>
      </c>
      <c r="R194" s="38" t="s">
        <v>23</v>
      </c>
      <c r="S194" s="38">
        <f t="shared" si="15"/>
        <v>3862</v>
      </c>
    </row>
    <row r="195" spans="1:19" ht="13">
      <c r="A195" s="95" t="s">
        <v>317</v>
      </c>
      <c r="B195" s="187">
        <v>0</v>
      </c>
      <c r="C195" s="187">
        <v>82</v>
      </c>
      <c r="D195" s="187">
        <v>13</v>
      </c>
      <c r="E195" s="187">
        <v>149</v>
      </c>
      <c r="F195" s="187">
        <v>616</v>
      </c>
      <c r="G195" s="187">
        <v>263</v>
      </c>
      <c r="H195" s="187">
        <v>137</v>
      </c>
      <c r="I195" s="187">
        <v>0</v>
      </c>
      <c r="J195" s="188" t="s">
        <v>23</v>
      </c>
      <c r="K195" s="38">
        <f t="shared" si="12"/>
        <v>1260</v>
      </c>
      <c r="M195" s="38" t="s">
        <v>23</v>
      </c>
      <c r="N195" s="187">
        <v>1149</v>
      </c>
      <c r="O195" s="187">
        <v>7028</v>
      </c>
      <c r="P195" s="187">
        <v>3554</v>
      </c>
      <c r="Q195" s="38">
        <v>1691</v>
      </c>
      <c r="R195" s="38" t="s">
        <v>23</v>
      </c>
      <c r="S195" s="38">
        <f t="shared" si="13"/>
        <v>13422</v>
      </c>
    </row>
    <row r="197" spans="1:19">
      <c r="A197" s="88" t="s">
        <v>50</v>
      </c>
    </row>
    <row r="198" spans="1:19">
      <c r="A198" s="99">
        <v>1976</v>
      </c>
      <c r="B198" s="38" t="s">
        <v>23</v>
      </c>
      <c r="C198" s="38">
        <v>0</v>
      </c>
      <c r="D198" s="38">
        <v>51</v>
      </c>
      <c r="E198" s="38">
        <v>1177</v>
      </c>
      <c r="F198" s="38">
        <v>3684</v>
      </c>
      <c r="G198" s="38">
        <v>6744</v>
      </c>
      <c r="H198" s="38">
        <v>671</v>
      </c>
      <c r="I198" s="38">
        <v>723</v>
      </c>
      <c r="J198" s="38">
        <v>112</v>
      </c>
      <c r="K198" s="38">
        <f t="shared" ref="K198:K243" si="16">SUM(B198:J198)</f>
        <v>13162</v>
      </c>
      <c r="M198" s="38">
        <v>1291</v>
      </c>
      <c r="N198" s="38">
        <v>2000</v>
      </c>
      <c r="O198" s="38">
        <v>28761</v>
      </c>
      <c r="P198" s="38">
        <v>16165</v>
      </c>
      <c r="Q198" s="38">
        <v>1160</v>
      </c>
      <c r="R198" s="38">
        <v>2072</v>
      </c>
      <c r="S198" s="38">
        <f t="shared" ref="S198:S238" si="17">SUM(M198:R198)</f>
        <v>51449</v>
      </c>
    </row>
    <row r="199" spans="1:19">
      <c r="A199" s="99">
        <v>1977</v>
      </c>
      <c r="B199" s="38" t="s">
        <v>23</v>
      </c>
      <c r="C199" s="38">
        <v>0</v>
      </c>
      <c r="D199" s="38">
        <v>285</v>
      </c>
      <c r="E199" s="38">
        <v>271</v>
      </c>
      <c r="F199" s="38">
        <v>5165</v>
      </c>
      <c r="G199" s="38">
        <v>3373</v>
      </c>
      <c r="H199" s="38">
        <v>1132</v>
      </c>
      <c r="I199" s="38">
        <v>1175</v>
      </c>
      <c r="J199" s="38">
        <v>59</v>
      </c>
      <c r="K199" s="38">
        <f t="shared" si="16"/>
        <v>11460</v>
      </c>
      <c r="M199" s="38">
        <v>311</v>
      </c>
      <c r="N199" s="38">
        <v>192</v>
      </c>
      <c r="O199" s="38">
        <v>9848</v>
      </c>
      <c r="P199" s="38">
        <v>2588</v>
      </c>
      <c r="Q199" s="38">
        <v>132</v>
      </c>
      <c r="R199" s="38">
        <v>58</v>
      </c>
      <c r="S199" s="38">
        <f t="shared" si="17"/>
        <v>13129</v>
      </c>
    </row>
    <row r="200" spans="1:19">
      <c r="A200" s="99">
        <v>1978</v>
      </c>
      <c r="B200" s="38" t="s">
        <v>23</v>
      </c>
      <c r="C200" s="38">
        <v>0</v>
      </c>
      <c r="D200" s="38">
        <v>76</v>
      </c>
      <c r="E200" s="38">
        <v>1942</v>
      </c>
      <c r="F200" s="38">
        <v>1422</v>
      </c>
      <c r="G200" s="38">
        <v>2273</v>
      </c>
      <c r="H200" s="38">
        <v>615</v>
      </c>
      <c r="I200" s="38">
        <v>771</v>
      </c>
      <c r="J200" s="38">
        <v>79</v>
      </c>
      <c r="K200" s="38">
        <f t="shared" si="16"/>
        <v>7178</v>
      </c>
      <c r="M200" s="38">
        <v>174</v>
      </c>
      <c r="N200" s="38">
        <v>31352</v>
      </c>
      <c r="O200" s="38">
        <v>10722</v>
      </c>
      <c r="P200" s="38">
        <v>4082</v>
      </c>
      <c r="Q200" s="38">
        <v>635</v>
      </c>
      <c r="R200" s="38">
        <v>18</v>
      </c>
      <c r="S200" s="38">
        <f t="shared" si="17"/>
        <v>46983</v>
      </c>
    </row>
    <row r="201" spans="1:19">
      <c r="A201" s="99">
        <v>1979</v>
      </c>
      <c r="B201" s="38" t="s">
        <v>23</v>
      </c>
      <c r="C201" s="38" t="s">
        <v>23</v>
      </c>
      <c r="D201" s="38">
        <v>3</v>
      </c>
      <c r="E201" s="38">
        <v>263</v>
      </c>
      <c r="F201" s="38">
        <v>2067</v>
      </c>
      <c r="G201" s="38">
        <v>3406</v>
      </c>
      <c r="H201" s="38">
        <v>15</v>
      </c>
      <c r="I201" s="38">
        <v>597</v>
      </c>
      <c r="J201" s="38">
        <v>60</v>
      </c>
      <c r="K201" s="38">
        <f t="shared" si="16"/>
        <v>6411</v>
      </c>
      <c r="M201" s="38">
        <v>26</v>
      </c>
      <c r="N201" s="38">
        <v>1577</v>
      </c>
      <c r="O201" s="38">
        <v>14474</v>
      </c>
      <c r="P201" s="38">
        <v>2074</v>
      </c>
      <c r="Q201" s="38">
        <v>0</v>
      </c>
      <c r="R201" s="38" t="s">
        <v>23</v>
      </c>
      <c r="S201" s="38">
        <f t="shared" si="17"/>
        <v>18151</v>
      </c>
    </row>
    <row r="202" spans="1:19">
      <c r="A202" s="99">
        <v>1980</v>
      </c>
      <c r="B202" s="38" t="s">
        <v>23</v>
      </c>
      <c r="C202" s="38" t="s">
        <v>23</v>
      </c>
      <c r="D202" s="38">
        <v>42</v>
      </c>
      <c r="E202" s="38">
        <v>1256</v>
      </c>
      <c r="F202" s="38">
        <v>1675</v>
      </c>
      <c r="G202" s="38">
        <v>1031</v>
      </c>
      <c r="H202" s="38">
        <v>415</v>
      </c>
      <c r="I202" s="38">
        <v>319</v>
      </c>
      <c r="J202" s="38">
        <v>63</v>
      </c>
      <c r="K202" s="38">
        <f t="shared" si="16"/>
        <v>4801</v>
      </c>
      <c r="M202" s="38">
        <v>86</v>
      </c>
      <c r="N202" s="38">
        <v>17723</v>
      </c>
      <c r="O202" s="38">
        <v>13364</v>
      </c>
      <c r="P202" s="38">
        <v>1351</v>
      </c>
      <c r="Q202" s="38">
        <v>489</v>
      </c>
      <c r="R202" s="38" t="s">
        <v>23</v>
      </c>
      <c r="S202" s="38">
        <f t="shared" si="17"/>
        <v>33013</v>
      </c>
    </row>
    <row r="203" spans="1:19">
      <c r="A203" s="99">
        <v>1981</v>
      </c>
      <c r="B203" s="38" t="s">
        <v>23</v>
      </c>
      <c r="C203" s="38" t="s">
        <v>23</v>
      </c>
      <c r="D203" s="38">
        <v>457</v>
      </c>
      <c r="E203" s="38">
        <v>2205</v>
      </c>
      <c r="F203" s="38">
        <v>3186</v>
      </c>
      <c r="G203" s="38">
        <v>2630</v>
      </c>
      <c r="H203" s="38">
        <v>120</v>
      </c>
      <c r="I203" s="38">
        <v>289</v>
      </c>
      <c r="J203" s="38">
        <v>10</v>
      </c>
      <c r="K203" s="38">
        <f t="shared" si="16"/>
        <v>8897</v>
      </c>
      <c r="M203" s="38">
        <v>520</v>
      </c>
      <c r="N203" s="38">
        <v>2649</v>
      </c>
      <c r="O203" s="38">
        <v>1362</v>
      </c>
      <c r="P203" s="38">
        <v>3785</v>
      </c>
      <c r="Q203" s="38">
        <v>8</v>
      </c>
      <c r="R203" s="38" t="s">
        <v>23</v>
      </c>
      <c r="S203" s="38">
        <f t="shared" si="17"/>
        <v>8324</v>
      </c>
    </row>
    <row r="204" spans="1:19">
      <c r="A204" s="99">
        <v>1982</v>
      </c>
      <c r="B204" s="38" t="s">
        <v>23</v>
      </c>
      <c r="C204" s="38" t="s">
        <v>23</v>
      </c>
      <c r="D204" s="38">
        <v>2</v>
      </c>
      <c r="E204" s="38">
        <v>800</v>
      </c>
      <c r="F204" s="38">
        <v>12713</v>
      </c>
      <c r="G204" s="38">
        <v>1544</v>
      </c>
      <c r="H204" s="38">
        <v>227</v>
      </c>
      <c r="I204" s="38">
        <v>236</v>
      </c>
      <c r="J204" s="38">
        <v>16</v>
      </c>
      <c r="K204" s="38">
        <f t="shared" si="16"/>
        <v>15538</v>
      </c>
      <c r="M204" s="38">
        <v>5</v>
      </c>
      <c r="N204" s="38">
        <v>1711</v>
      </c>
      <c r="O204" s="38">
        <v>15195</v>
      </c>
      <c r="P204" s="38" t="s">
        <v>23</v>
      </c>
      <c r="Q204" s="38" t="s">
        <v>23</v>
      </c>
      <c r="R204" s="38" t="s">
        <v>23</v>
      </c>
      <c r="S204" s="38">
        <f t="shared" si="17"/>
        <v>16911</v>
      </c>
    </row>
    <row r="205" spans="1:19">
      <c r="A205" s="99">
        <v>1983</v>
      </c>
      <c r="B205" s="38" t="s">
        <v>23</v>
      </c>
      <c r="C205" s="38" t="s">
        <v>23</v>
      </c>
      <c r="D205" s="38">
        <v>504</v>
      </c>
      <c r="E205" s="38">
        <v>3416</v>
      </c>
      <c r="F205" s="38">
        <v>4927</v>
      </c>
      <c r="G205" s="38">
        <v>1457</v>
      </c>
      <c r="H205" s="38">
        <v>1034</v>
      </c>
      <c r="I205" s="38">
        <v>999</v>
      </c>
      <c r="J205" s="38">
        <v>17</v>
      </c>
      <c r="K205" s="38">
        <f t="shared" si="16"/>
        <v>12354</v>
      </c>
      <c r="M205" s="38">
        <v>453</v>
      </c>
      <c r="N205" s="38">
        <v>4946</v>
      </c>
      <c r="O205" s="38">
        <v>8874</v>
      </c>
      <c r="P205" s="38">
        <v>1584</v>
      </c>
      <c r="Q205" s="38">
        <v>492</v>
      </c>
      <c r="R205" s="38" t="s">
        <v>23</v>
      </c>
      <c r="S205" s="38">
        <f t="shared" si="17"/>
        <v>16349</v>
      </c>
    </row>
    <row r="206" spans="1:19">
      <c r="A206" s="99">
        <v>1984</v>
      </c>
      <c r="B206" s="38" t="s">
        <v>23</v>
      </c>
      <c r="C206" s="38" t="s">
        <v>23</v>
      </c>
      <c r="D206" s="38" t="s">
        <v>23</v>
      </c>
      <c r="E206" s="38" t="s">
        <v>23</v>
      </c>
      <c r="F206" s="38">
        <v>1940</v>
      </c>
      <c r="G206" s="38">
        <v>5598</v>
      </c>
      <c r="H206" s="38">
        <v>1059</v>
      </c>
      <c r="I206" s="38">
        <v>448</v>
      </c>
      <c r="J206" s="38" t="s">
        <v>23</v>
      </c>
      <c r="K206" s="38">
        <f t="shared" si="16"/>
        <v>9045</v>
      </c>
      <c r="M206" s="38" t="s">
        <v>23</v>
      </c>
      <c r="N206" s="38" t="s">
        <v>23</v>
      </c>
      <c r="O206" s="38">
        <v>7383</v>
      </c>
      <c r="P206" s="38">
        <v>3957</v>
      </c>
      <c r="Q206" s="38">
        <v>151</v>
      </c>
      <c r="R206" s="38" t="s">
        <v>23</v>
      </c>
      <c r="S206" s="38">
        <f t="shared" si="17"/>
        <v>11491</v>
      </c>
    </row>
    <row r="207" spans="1:19">
      <c r="A207" s="99">
        <v>1985</v>
      </c>
      <c r="B207" s="38" t="s">
        <v>23</v>
      </c>
      <c r="C207" s="38" t="s">
        <v>23</v>
      </c>
      <c r="D207" s="38">
        <v>2450</v>
      </c>
      <c r="E207" s="38" t="s">
        <v>23</v>
      </c>
      <c r="F207" s="38">
        <v>23043</v>
      </c>
      <c r="G207" s="38">
        <v>9697</v>
      </c>
      <c r="H207" s="38">
        <v>388</v>
      </c>
      <c r="I207" s="38">
        <v>564</v>
      </c>
      <c r="J207" s="38" t="s">
        <v>23</v>
      </c>
      <c r="K207" s="38">
        <f t="shared" si="16"/>
        <v>36142</v>
      </c>
      <c r="M207" s="38">
        <v>10</v>
      </c>
      <c r="N207" s="38" t="s">
        <v>23</v>
      </c>
      <c r="O207" s="38">
        <v>4892</v>
      </c>
      <c r="P207" s="38">
        <v>2522</v>
      </c>
      <c r="Q207" s="38">
        <v>7</v>
      </c>
      <c r="R207" s="38">
        <v>4</v>
      </c>
      <c r="S207" s="38">
        <f t="shared" si="17"/>
        <v>7435</v>
      </c>
    </row>
    <row r="208" spans="1:19">
      <c r="A208" s="95">
        <v>1986</v>
      </c>
      <c r="B208" s="38" t="s">
        <v>23</v>
      </c>
      <c r="C208" s="38" t="s">
        <v>23</v>
      </c>
      <c r="D208" s="38">
        <v>1075</v>
      </c>
      <c r="E208" s="38">
        <v>2767</v>
      </c>
      <c r="F208" s="38">
        <v>3492</v>
      </c>
      <c r="G208" s="38">
        <v>3929</v>
      </c>
      <c r="H208" s="38">
        <v>15</v>
      </c>
      <c r="I208" s="38">
        <v>611</v>
      </c>
      <c r="J208" s="38" t="s">
        <v>23</v>
      </c>
      <c r="K208" s="38">
        <f t="shared" si="16"/>
        <v>11889</v>
      </c>
      <c r="M208" s="38">
        <v>1476</v>
      </c>
      <c r="N208" s="38">
        <v>2618</v>
      </c>
      <c r="O208" s="38">
        <v>5665</v>
      </c>
      <c r="P208" s="38">
        <v>2098</v>
      </c>
      <c r="Q208" s="38">
        <v>0</v>
      </c>
      <c r="R208" s="38">
        <v>3</v>
      </c>
      <c r="S208" s="38">
        <f t="shared" si="17"/>
        <v>11860</v>
      </c>
    </row>
    <row r="209" spans="1:19">
      <c r="A209" s="95">
        <v>1987</v>
      </c>
      <c r="B209" s="38" t="s">
        <v>23</v>
      </c>
      <c r="C209" s="38" t="s">
        <v>23</v>
      </c>
      <c r="D209" s="38">
        <v>115</v>
      </c>
      <c r="E209" s="38">
        <v>3834</v>
      </c>
      <c r="F209" s="38">
        <v>9845</v>
      </c>
      <c r="G209" s="38">
        <v>5564</v>
      </c>
      <c r="H209" s="38">
        <v>5913</v>
      </c>
      <c r="I209" s="38">
        <v>1133</v>
      </c>
      <c r="J209" s="38" t="s">
        <v>23</v>
      </c>
      <c r="K209" s="38">
        <f t="shared" si="16"/>
        <v>26404</v>
      </c>
      <c r="M209" s="38">
        <v>1</v>
      </c>
      <c r="N209" s="38">
        <v>493</v>
      </c>
      <c r="O209" s="38">
        <v>13971</v>
      </c>
      <c r="P209" s="38">
        <v>3145</v>
      </c>
      <c r="Q209" s="38">
        <v>1406</v>
      </c>
      <c r="R209" s="38">
        <v>28</v>
      </c>
      <c r="S209" s="38">
        <f t="shared" si="17"/>
        <v>19044</v>
      </c>
    </row>
    <row r="210" spans="1:19">
      <c r="A210" s="95">
        <v>1988</v>
      </c>
      <c r="B210" s="38" t="s">
        <v>23</v>
      </c>
      <c r="C210" s="38" t="s">
        <v>23</v>
      </c>
      <c r="D210" s="38">
        <v>96</v>
      </c>
      <c r="E210" s="38">
        <v>12377</v>
      </c>
      <c r="F210" s="38">
        <v>6506</v>
      </c>
      <c r="G210" s="38">
        <v>2629</v>
      </c>
      <c r="H210" s="38">
        <v>104</v>
      </c>
      <c r="I210" s="38" t="s">
        <v>23</v>
      </c>
      <c r="J210" s="38" t="s">
        <v>23</v>
      </c>
      <c r="K210" s="38">
        <f t="shared" si="16"/>
        <v>21712</v>
      </c>
      <c r="M210" s="38">
        <v>7</v>
      </c>
      <c r="N210" s="38">
        <v>1035</v>
      </c>
      <c r="O210" s="38">
        <v>12119</v>
      </c>
      <c r="P210" s="38">
        <v>1810</v>
      </c>
      <c r="Q210" s="38">
        <v>62</v>
      </c>
      <c r="R210" s="38" t="s">
        <v>23</v>
      </c>
      <c r="S210" s="38">
        <f t="shared" si="17"/>
        <v>15033</v>
      </c>
    </row>
    <row r="211" spans="1:19">
      <c r="A211" s="95">
        <v>1989</v>
      </c>
      <c r="B211" s="38" t="s">
        <v>23</v>
      </c>
      <c r="C211" s="38" t="s">
        <v>23</v>
      </c>
      <c r="D211" s="38">
        <v>397</v>
      </c>
      <c r="E211" s="38">
        <v>3635</v>
      </c>
      <c r="F211" s="38">
        <v>9381</v>
      </c>
      <c r="G211" s="38">
        <v>6760</v>
      </c>
      <c r="H211" s="38">
        <v>1105</v>
      </c>
      <c r="I211" s="38" t="s">
        <v>23</v>
      </c>
      <c r="J211" s="38" t="s">
        <v>23</v>
      </c>
      <c r="K211" s="38">
        <f t="shared" si="16"/>
        <v>21278</v>
      </c>
      <c r="M211" s="38">
        <v>172</v>
      </c>
      <c r="N211" s="38">
        <v>4225</v>
      </c>
      <c r="O211" s="38">
        <v>20299</v>
      </c>
      <c r="P211" s="38">
        <v>7539</v>
      </c>
      <c r="Q211" s="38">
        <v>824</v>
      </c>
      <c r="R211" s="38" t="s">
        <v>23</v>
      </c>
      <c r="S211" s="38">
        <f t="shared" si="17"/>
        <v>33059</v>
      </c>
    </row>
    <row r="212" spans="1:19">
      <c r="A212" s="95">
        <v>1990</v>
      </c>
      <c r="B212" s="38" t="s">
        <v>23</v>
      </c>
      <c r="C212" s="38" t="s">
        <v>23</v>
      </c>
      <c r="D212" s="38">
        <v>391</v>
      </c>
      <c r="E212" s="38">
        <v>4622</v>
      </c>
      <c r="F212" s="38">
        <v>6505</v>
      </c>
      <c r="G212" s="38">
        <v>1170</v>
      </c>
      <c r="H212" s="38">
        <v>45</v>
      </c>
      <c r="I212" s="38" t="s">
        <v>23</v>
      </c>
      <c r="J212" s="38" t="s">
        <v>23</v>
      </c>
      <c r="K212" s="38">
        <f t="shared" si="16"/>
        <v>12733</v>
      </c>
      <c r="M212" s="38">
        <v>95</v>
      </c>
      <c r="N212" s="38">
        <v>8357</v>
      </c>
      <c r="O212" s="38">
        <v>5015</v>
      </c>
      <c r="P212" s="38">
        <v>1809</v>
      </c>
      <c r="Q212" s="38">
        <v>43</v>
      </c>
      <c r="R212" s="38" t="s">
        <v>23</v>
      </c>
      <c r="S212" s="38">
        <f t="shared" si="17"/>
        <v>15319</v>
      </c>
    </row>
    <row r="213" spans="1:19">
      <c r="A213" s="95">
        <v>1991</v>
      </c>
      <c r="B213" s="38" t="s">
        <v>23</v>
      </c>
      <c r="C213" s="38" t="s">
        <v>23</v>
      </c>
      <c r="D213" s="38">
        <v>48</v>
      </c>
      <c r="E213" s="38">
        <v>4080</v>
      </c>
      <c r="F213" s="38">
        <v>2321</v>
      </c>
      <c r="G213" s="38">
        <v>64</v>
      </c>
      <c r="H213" s="38">
        <v>298</v>
      </c>
      <c r="I213" s="38" t="s">
        <v>23</v>
      </c>
      <c r="J213" s="38" t="s">
        <v>23</v>
      </c>
      <c r="K213" s="38">
        <f t="shared" si="16"/>
        <v>6811</v>
      </c>
      <c r="M213" s="38" t="s">
        <v>23</v>
      </c>
      <c r="N213" s="38">
        <v>10236</v>
      </c>
      <c r="O213" s="38">
        <v>10582</v>
      </c>
      <c r="P213" s="38">
        <v>513</v>
      </c>
      <c r="Q213" s="38">
        <v>895</v>
      </c>
      <c r="R213" s="38" t="s">
        <v>23</v>
      </c>
      <c r="S213" s="38">
        <f t="shared" si="17"/>
        <v>22226</v>
      </c>
    </row>
    <row r="214" spans="1:19">
      <c r="A214" s="95">
        <v>1992</v>
      </c>
      <c r="B214" s="38" t="s">
        <v>23</v>
      </c>
      <c r="C214" s="38" t="s">
        <v>23</v>
      </c>
      <c r="D214" s="38" t="s">
        <v>23</v>
      </c>
      <c r="E214" s="38" t="s">
        <v>23</v>
      </c>
      <c r="F214" s="38">
        <v>1518</v>
      </c>
      <c r="G214" s="38" t="s">
        <v>23</v>
      </c>
      <c r="H214" s="38">
        <v>440</v>
      </c>
      <c r="I214" s="38">
        <v>704</v>
      </c>
      <c r="J214" s="38" t="s">
        <v>23</v>
      </c>
      <c r="K214" s="38">
        <f t="shared" si="16"/>
        <v>2662</v>
      </c>
      <c r="M214" s="38" t="s">
        <v>23</v>
      </c>
      <c r="N214" s="38" t="s">
        <v>23</v>
      </c>
      <c r="O214" s="38">
        <v>2850</v>
      </c>
      <c r="P214" s="38" t="s">
        <v>23</v>
      </c>
      <c r="Q214" s="38">
        <v>444</v>
      </c>
      <c r="R214" s="38">
        <v>2</v>
      </c>
      <c r="S214" s="38">
        <f t="shared" si="17"/>
        <v>3296</v>
      </c>
    </row>
    <row r="215" spans="1:19">
      <c r="A215" s="95">
        <v>1993</v>
      </c>
      <c r="B215" s="38" t="s">
        <v>23</v>
      </c>
      <c r="C215" s="38" t="s">
        <v>23</v>
      </c>
      <c r="D215" s="38">
        <v>1124</v>
      </c>
      <c r="E215" s="38">
        <v>224</v>
      </c>
      <c r="F215" s="38">
        <v>627</v>
      </c>
      <c r="G215" s="38">
        <v>1324</v>
      </c>
      <c r="H215" s="38">
        <v>468</v>
      </c>
      <c r="I215" s="38" t="s">
        <v>23</v>
      </c>
      <c r="J215" s="38" t="s">
        <v>23</v>
      </c>
      <c r="K215" s="38">
        <f t="shared" si="16"/>
        <v>3767</v>
      </c>
      <c r="M215" s="38">
        <v>97</v>
      </c>
      <c r="N215" s="38">
        <v>70</v>
      </c>
      <c r="O215" s="38">
        <v>1922</v>
      </c>
      <c r="P215" s="38">
        <v>3445</v>
      </c>
      <c r="Q215" s="38">
        <v>500</v>
      </c>
      <c r="R215" s="38" t="s">
        <v>23</v>
      </c>
      <c r="S215" s="38">
        <f t="shared" si="17"/>
        <v>6034</v>
      </c>
    </row>
    <row r="216" spans="1:19">
      <c r="A216" s="95">
        <v>1994</v>
      </c>
      <c r="B216" s="38" t="s">
        <v>23</v>
      </c>
      <c r="C216" s="38" t="s">
        <v>23</v>
      </c>
      <c r="D216" s="38">
        <v>1878</v>
      </c>
      <c r="E216" s="38">
        <v>104</v>
      </c>
      <c r="F216" s="38" t="s">
        <v>23</v>
      </c>
      <c r="G216" s="38">
        <v>272</v>
      </c>
      <c r="H216" s="38">
        <v>284</v>
      </c>
      <c r="I216" s="38">
        <v>1078</v>
      </c>
      <c r="J216" s="38" t="s">
        <v>23</v>
      </c>
      <c r="K216" s="38">
        <f t="shared" si="16"/>
        <v>3616</v>
      </c>
      <c r="M216" s="38" t="s">
        <v>23</v>
      </c>
      <c r="N216" s="38" t="s">
        <v>23</v>
      </c>
      <c r="O216" s="38" t="s">
        <v>23</v>
      </c>
      <c r="P216" s="38">
        <v>13</v>
      </c>
      <c r="Q216" s="38">
        <v>4</v>
      </c>
      <c r="R216" s="38" t="s">
        <v>23</v>
      </c>
      <c r="S216" s="38">
        <f t="shared" si="17"/>
        <v>17</v>
      </c>
    </row>
    <row r="217" spans="1:19">
      <c r="A217" s="95">
        <v>1995</v>
      </c>
      <c r="B217" s="38" t="s">
        <v>23</v>
      </c>
      <c r="C217" s="38" t="s">
        <v>23</v>
      </c>
      <c r="D217" s="38">
        <v>212</v>
      </c>
      <c r="E217" s="38">
        <v>1615</v>
      </c>
      <c r="F217" s="38" t="s">
        <v>23</v>
      </c>
      <c r="G217" s="38">
        <v>472</v>
      </c>
      <c r="H217" s="38">
        <v>2603</v>
      </c>
      <c r="I217" s="38">
        <v>829</v>
      </c>
      <c r="J217" s="38" t="s">
        <v>23</v>
      </c>
      <c r="K217" s="38">
        <f t="shared" si="16"/>
        <v>5731</v>
      </c>
      <c r="M217" s="38" t="s">
        <v>23</v>
      </c>
      <c r="N217" s="38">
        <v>38</v>
      </c>
      <c r="O217" s="38" t="s">
        <v>23</v>
      </c>
      <c r="P217" s="38">
        <v>3</v>
      </c>
      <c r="Q217" s="38">
        <v>86</v>
      </c>
      <c r="R217" s="38">
        <v>3</v>
      </c>
      <c r="S217" s="38">
        <f t="shared" si="17"/>
        <v>130</v>
      </c>
    </row>
    <row r="218" spans="1:19">
      <c r="A218" s="95">
        <v>1996</v>
      </c>
      <c r="B218" s="38" t="s">
        <v>23</v>
      </c>
      <c r="C218" s="38" t="s">
        <v>23</v>
      </c>
      <c r="D218" s="38">
        <v>549</v>
      </c>
      <c r="E218" s="38">
        <v>2719</v>
      </c>
      <c r="F218" s="38">
        <v>314</v>
      </c>
      <c r="G218" s="38">
        <v>2776</v>
      </c>
      <c r="H218" s="38">
        <v>558</v>
      </c>
      <c r="I218" s="38">
        <v>1281</v>
      </c>
      <c r="J218" s="38" t="s">
        <v>23</v>
      </c>
      <c r="K218" s="38">
        <f t="shared" si="16"/>
        <v>8197</v>
      </c>
      <c r="M218" s="38" t="s">
        <v>23</v>
      </c>
      <c r="N218" s="38">
        <v>10</v>
      </c>
      <c r="O218" s="38">
        <v>34</v>
      </c>
      <c r="P218" s="38">
        <v>26</v>
      </c>
      <c r="Q218" s="38">
        <v>25</v>
      </c>
      <c r="R218" s="38">
        <v>11</v>
      </c>
      <c r="S218" s="38">
        <f t="shared" si="17"/>
        <v>106</v>
      </c>
    </row>
    <row r="219" spans="1:19">
      <c r="A219" s="95">
        <v>1997</v>
      </c>
      <c r="B219" s="38" t="s">
        <v>23</v>
      </c>
      <c r="C219" s="38" t="s">
        <v>23</v>
      </c>
      <c r="D219" s="38">
        <v>844</v>
      </c>
      <c r="E219" s="38">
        <v>769</v>
      </c>
      <c r="F219" s="38">
        <v>1034</v>
      </c>
      <c r="G219" s="38">
        <v>1616</v>
      </c>
      <c r="H219" s="38">
        <v>149</v>
      </c>
      <c r="I219" s="38">
        <v>675</v>
      </c>
      <c r="J219" s="38" t="s">
        <v>23</v>
      </c>
      <c r="K219" s="38">
        <f t="shared" si="16"/>
        <v>5087</v>
      </c>
      <c r="M219" s="38">
        <v>17</v>
      </c>
      <c r="N219" s="38">
        <v>26</v>
      </c>
      <c r="O219" s="38">
        <v>41</v>
      </c>
      <c r="P219" s="38">
        <v>39</v>
      </c>
      <c r="Q219" s="38">
        <v>4</v>
      </c>
      <c r="R219" s="38" t="s">
        <v>23</v>
      </c>
      <c r="S219" s="38">
        <f t="shared" si="17"/>
        <v>127</v>
      </c>
    </row>
    <row r="220" spans="1:19">
      <c r="A220" s="95">
        <v>1998</v>
      </c>
      <c r="B220" s="38" t="s">
        <v>23</v>
      </c>
      <c r="C220" s="38" t="s">
        <v>23</v>
      </c>
      <c r="D220" s="38">
        <v>218</v>
      </c>
      <c r="E220" s="38">
        <v>343</v>
      </c>
      <c r="F220" s="38">
        <v>320</v>
      </c>
      <c r="G220" s="38">
        <v>438</v>
      </c>
      <c r="H220" s="38">
        <v>249</v>
      </c>
      <c r="I220" s="38">
        <v>394</v>
      </c>
      <c r="J220" s="38" t="s">
        <v>23</v>
      </c>
      <c r="K220" s="38">
        <f t="shared" si="16"/>
        <v>1962</v>
      </c>
      <c r="M220" s="38" t="s">
        <v>23</v>
      </c>
      <c r="N220" s="38">
        <v>6</v>
      </c>
      <c r="O220" s="38">
        <v>8</v>
      </c>
      <c r="P220" s="38">
        <v>17</v>
      </c>
      <c r="Q220" s="38" t="s">
        <v>23</v>
      </c>
      <c r="R220" s="38">
        <v>6</v>
      </c>
      <c r="S220" s="38">
        <f t="shared" si="17"/>
        <v>37</v>
      </c>
    </row>
    <row r="221" spans="1:19">
      <c r="A221" s="95">
        <v>1999</v>
      </c>
      <c r="B221" s="38" t="s">
        <v>23</v>
      </c>
      <c r="C221" s="38" t="s">
        <v>23</v>
      </c>
      <c r="D221" s="38">
        <v>7</v>
      </c>
      <c r="E221" s="38">
        <v>44</v>
      </c>
      <c r="F221" s="38">
        <v>893</v>
      </c>
      <c r="G221" s="38">
        <v>1680</v>
      </c>
      <c r="H221" s="38">
        <v>475</v>
      </c>
      <c r="I221" s="38">
        <v>348</v>
      </c>
      <c r="J221" s="38" t="s">
        <v>23</v>
      </c>
      <c r="K221" s="38">
        <f t="shared" si="16"/>
        <v>3447</v>
      </c>
      <c r="M221" s="38" t="s">
        <v>23</v>
      </c>
      <c r="N221" s="38">
        <v>2</v>
      </c>
      <c r="O221" s="38">
        <v>8</v>
      </c>
      <c r="P221" s="38">
        <v>32</v>
      </c>
      <c r="Q221" s="38">
        <v>4</v>
      </c>
      <c r="R221" s="38" t="s">
        <v>23</v>
      </c>
      <c r="S221" s="38">
        <f t="shared" si="17"/>
        <v>46</v>
      </c>
    </row>
    <row r="222" spans="1:19">
      <c r="A222" s="95">
        <v>2000</v>
      </c>
      <c r="B222" s="38" t="s">
        <v>23</v>
      </c>
      <c r="C222" s="38" t="s">
        <v>23</v>
      </c>
      <c r="D222" s="38">
        <v>16</v>
      </c>
      <c r="E222" s="38">
        <v>432</v>
      </c>
      <c r="F222" s="38">
        <v>2060</v>
      </c>
      <c r="G222" s="38">
        <v>7985</v>
      </c>
      <c r="H222" s="38">
        <v>515</v>
      </c>
      <c r="I222" s="38">
        <v>810</v>
      </c>
      <c r="J222" s="38" t="s">
        <v>23</v>
      </c>
      <c r="K222" s="38">
        <f t="shared" si="16"/>
        <v>11818</v>
      </c>
      <c r="M222" s="38" t="s">
        <v>23</v>
      </c>
      <c r="N222" s="38" t="s">
        <v>23</v>
      </c>
      <c r="O222" s="38">
        <v>14</v>
      </c>
      <c r="P222" s="38">
        <v>47</v>
      </c>
      <c r="Q222" s="38" t="s">
        <v>23</v>
      </c>
      <c r="R222" s="38" t="s">
        <v>23</v>
      </c>
      <c r="S222" s="38">
        <f t="shared" si="17"/>
        <v>61</v>
      </c>
    </row>
    <row r="223" spans="1:19">
      <c r="A223" s="95">
        <v>2001</v>
      </c>
      <c r="B223" s="38" t="s">
        <v>23</v>
      </c>
      <c r="C223" s="38" t="s">
        <v>23</v>
      </c>
      <c r="D223" s="38">
        <v>807</v>
      </c>
      <c r="E223" s="38">
        <v>996</v>
      </c>
      <c r="F223" s="38">
        <v>1213</v>
      </c>
      <c r="G223" s="38">
        <v>3022</v>
      </c>
      <c r="H223" s="38">
        <v>314</v>
      </c>
      <c r="I223" s="38">
        <v>856</v>
      </c>
      <c r="J223" s="38" t="s">
        <v>23</v>
      </c>
      <c r="K223" s="38">
        <f t="shared" si="16"/>
        <v>7208</v>
      </c>
      <c r="M223" s="38" t="s">
        <v>23</v>
      </c>
      <c r="N223" s="38">
        <v>16</v>
      </c>
      <c r="O223" s="38">
        <v>11</v>
      </c>
      <c r="P223" s="38">
        <v>29</v>
      </c>
      <c r="Q223" s="38" t="s">
        <v>23</v>
      </c>
      <c r="R223" s="38">
        <v>13</v>
      </c>
      <c r="S223" s="38">
        <f t="shared" si="17"/>
        <v>69</v>
      </c>
    </row>
    <row r="224" spans="1:19">
      <c r="A224" s="95">
        <v>2002</v>
      </c>
      <c r="B224" s="38" t="s">
        <v>23</v>
      </c>
      <c r="C224" s="38" t="s">
        <v>23</v>
      </c>
      <c r="D224" s="38">
        <v>506</v>
      </c>
      <c r="E224" s="38">
        <v>2532</v>
      </c>
      <c r="F224" s="38">
        <v>35</v>
      </c>
      <c r="G224" s="38">
        <v>2654</v>
      </c>
      <c r="H224" s="38">
        <v>3906</v>
      </c>
      <c r="I224" s="38">
        <v>301</v>
      </c>
      <c r="J224" s="38" t="s">
        <v>23</v>
      </c>
      <c r="K224" s="38">
        <f t="shared" si="16"/>
        <v>9934</v>
      </c>
      <c r="M224" s="38" t="s">
        <v>23</v>
      </c>
      <c r="N224" s="38">
        <v>31</v>
      </c>
      <c r="O224" s="38">
        <v>16</v>
      </c>
      <c r="P224" s="38">
        <v>29</v>
      </c>
      <c r="Q224" s="38">
        <v>32</v>
      </c>
      <c r="R224" s="38" t="s">
        <v>23</v>
      </c>
      <c r="S224" s="38">
        <f t="shared" si="17"/>
        <v>108</v>
      </c>
    </row>
    <row r="225" spans="1:21">
      <c r="A225" s="95">
        <v>2003</v>
      </c>
      <c r="B225" s="38" t="s">
        <v>23</v>
      </c>
      <c r="C225" s="38" t="s">
        <v>23</v>
      </c>
      <c r="D225" s="38">
        <v>448</v>
      </c>
      <c r="E225" s="38">
        <v>316</v>
      </c>
      <c r="F225" s="38">
        <v>1199</v>
      </c>
      <c r="G225" s="38">
        <v>1354</v>
      </c>
      <c r="H225" s="38">
        <v>1579</v>
      </c>
      <c r="I225" s="38">
        <v>552</v>
      </c>
      <c r="J225" s="38" t="s">
        <v>23</v>
      </c>
      <c r="K225" s="38">
        <f t="shared" si="16"/>
        <v>5448</v>
      </c>
      <c r="M225" s="38" t="s">
        <v>23</v>
      </c>
      <c r="N225" s="38">
        <v>5</v>
      </c>
      <c r="O225" s="38">
        <v>17</v>
      </c>
      <c r="P225" s="38">
        <v>17</v>
      </c>
      <c r="Q225" s="38">
        <v>12</v>
      </c>
      <c r="R225" s="38" t="s">
        <v>23</v>
      </c>
      <c r="S225" s="38">
        <f t="shared" si="17"/>
        <v>51</v>
      </c>
    </row>
    <row r="226" spans="1:21">
      <c r="A226" s="95">
        <v>2004</v>
      </c>
      <c r="B226" s="38" t="s">
        <v>23</v>
      </c>
      <c r="C226" s="38" t="s">
        <v>23</v>
      </c>
      <c r="D226" s="38">
        <v>531</v>
      </c>
      <c r="E226" s="38">
        <v>2325</v>
      </c>
      <c r="F226" s="38">
        <v>1541</v>
      </c>
      <c r="G226" s="38">
        <v>1638</v>
      </c>
      <c r="H226" s="38">
        <v>569</v>
      </c>
      <c r="I226" s="38">
        <v>233</v>
      </c>
      <c r="J226" s="38" t="s">
        <v>23</v>
      </c>
      <c r="K226" s="38">
        <f t="shared" si="16"/>
        <v>6837</v>
      </c>
      <c r="M226" s="38">
        <v>2</v>
      </c>
      <c r="N226" s="38">
        <v>357</v>
      </c>
      <c r="O226" s="38">
        <v>673</v>
      </c>
      <c r="P226" s="38">
        <v>222</v>
      </c>
      <c r="Q226" s="38">
        <v>18</v>
      </c>
      <c r="R226" s="38">
        <v>3</v>
      </c>
      <c r="S226" s="38">
        <f t="shared" si="17"/>
        <v>1275</v>
      </c>
    </row>
    <row r="227" spans="1:21">
      <c r="A227" s="95">
        <v>2005</v>
      </c>
      <c r="B227" s="38" t="s">
        <v>23</v>
      </c>
      <c r="C227" s="38" t="s">
        <v>23</v>
      </c>
      <c r="D227" s="38">
        <v>180</v>
      </c>
      <c r="E227" s="38">
        <v>2904</v>
      </c>
      <c r="F227" s="38">
        <v>49</v>
      </c>
      <c r="G227" s="38">
        <v>989</v>
      </c>
      <c r="H227" s="38">
        <v>1181</v>
      </c>
      <c r="I227" s="38">
        <v>404</v>
      </c>
      <c r="J227" s="38" t="s">
        <v>23</v>
      </c>
      <c r="K227" s="38">
        <f t="shared" si="16"/>
        <v>5707</v>
      </c>
      <c r="M227" s="38" t="s">
        <v>23</v>
      </c>
      <c r="N227" s="38">
        <v>89</v>
      </c>
      <c r="O227" s="38">
        <v>0</v>
      </c>
      <c r="P227" s="38">
        <v>12</v>
      </c>
      <c r="Q227" s="38">
        <v>9</v>
      </c>
      <c r="R227" s="38" t="s">
        <v>23</v>
      </c>
      <c r="S227" s="38">
        <f t="shared" si="17"/>
        <v>110</v>
      </c>
    </row>
    <row r="228" spans="1:21">
      <c r="A228" s="95">
        <v>2006</v>
      </c>
      <c r="B228" s="38" t="s">
        <v>23</v>
      </c>
      <c r="C228" s="38" t="s">
        <v>23</v>
      </c>
      <c r="D228" s="187">
        <v>52</v>
      </c>
      <c r="E228" s="187">
        <v>513</v>
      </c>
      <c r="F228" s="187">
        <v>186</v>
      </c>
      <c r="G228" s="187" t="s">
        <v>23</v>
      </c>
      <c r="H228" s="187">
        <v>644</v>
      </c>
      <c r="I228" s="187">
        <v>397</v>
      </c>
      <c r="J228" s="38" t="s">
        <v>23</v>
      </c>
      <c r="K228" s="38">
        <f t="shared" si="16"/>
        <v>1792</v>
      </c>
      <c r="M228" s="187">
        <v>2</v>
      </c>
      <c r="N228" s="187">
        <v>474</v>
      </c>
      <c r="O228" s="187">
        <v>117</v>
      </c>
      <c r="P228" s="187" t="s">
        <v>23</v>
      </c>
      <c r="Q228" s="187">
        <v>81</v>
      </c>
      <c r="R228" s="187">
        <v>7</v>
      </c>
      <c r="S228" s="38">
        <f t="shared" si="17"/>
        <v>681</v>
      </c>
    </row>
    <row r="229" spans="1:21">
      <c r="A229" s="95">
        <v>2007</v>
      </c>
      <c r="B229" s="38" t="s">
        <v>23</v>
      </c>
      <c r="C229" s="38" t="s">
        <v>23</v>
      </c>
      <c r="D229" s="187">
        <v>14</v>
      </c>
      <c r="E229" s="187">
        <v>42</v>
      </c>
      <c r="F229" s="187">
        <v>116</v>
      </c>
      <c r="G229" s="187">
        <v>2000</v>
      </c>
      <c r="H229" s="187">
        <v>343</v>
      </c>
      <c r="I229" s="187">
        <v>535</v>
      </c>
      <c r="J229" s="38" t="s">
        <v>23</v>
      </c>
      <c r="K229" s="38">
        <f t="shared" si="16"/>
        <v>3050</v>
      </c>
      <c r="M229" s="38" t="s">
        <v>23</v>
      </c>
      <c r="N229" s="187">
        <v>132</v>
      </c>
      <c r="O229" s="187">
        <v>606</v>
      </c>
      <c r="P229" s="187">
        <v>809</v>
      </c>
      <c r="Q229" s="187">
        <v>19</v>
      </c>
      <c r="R229" s="187">
        <v>3</v>
      </c>
      <c r="S229" s="38">
        <f t="shared" si="17"/>
        <v>1569</v>
      </c>
    </row>
    <row r="230" spans="1:21">
      <c r="A230" s="95">
        <v>2008</v>
      </c>
      <c r="B230" s="38" t="s">
        <v>23</v>
      </c>
      <c r="C230" s="38" t="s">
        <v>23</v>
      </c>
      <c r="D230" s="187" t="s">
        <v>23</v>
      </c>
      <c r="E230" s="187" t="s">
        <v>23</v>
      </c>
      <c r="F230" s="187" t="s">
        <v>23</v>
      </c>
      <c r="G230" s="187" t="s">
        <v>23</v>
      </c>
      <c r="H230" s="187" t="s">
        <v>23</v>
      </c>
      <c r="I230" s="187">
        <v>280</v>
      </c>
      <c r="J230" s="38" t="s">
        <v>23</v>
      </c>
      <c r="K230" s="38">
        <f t="shared" si="16"/>
        <v>280</v>
      </c>
      <c r="M230" s="38" t="s">
        <v>23</v>
      </c>
      <c r="N230" s="187">
        <v>449</v>
      </c>
      <c r="O230" s="187">
        <v>1273</v>
      </c>
      <c r="P230" s="187">
        <v>409</v>
      </c>
      <c r="Q230" s="38" t="s">
        <v>23</v>
      </c>
      <c r="R230" s="187">
        <v>3</v>
      </c>
      <c r="S230" s="38">
        <f t="shared" si="17"/>
        <v>2134</v>
      </c>
    </row>
    <row r="231" spans="1:21">
      <c r="A231" s="95">
        <v>2009</v>
      </c>
      <c r="B231" s="38" t="s">
        <v>23</v>
      </c>
      <c r="C231" s="38" t="s">
        <v>23</v>
      </c>
      <c r="D231" s="187" t="s">
        <v>23</v>
      </c>
      <c r="E231" s="187" t="s">
        <v>23</v>
      </c>
      <c r="F231" s="187">
        <v>9</v>
      </c>
      <c r="G231" s="187">
        <v>23</v>
      </c>
      <c r="H231" s="187">
        <v>163</v>
      </c>
      <c r="I231" s="38" t="s">
        <v>23</v>
      </c>
      <c r="J231" s="38" t="s">
        <v>23</v>
      </c>
      <c r="K231" s="38">
        <f t="shared" si="16"/>
        <v>195</v>
      </c>
      <c r="M231" s="38" t="s">
        <v>23</v>
      </c>
      <c r="N231" s="187">
        <v>6</v>
      </c>
      <c r="O231" s="187">
        <v>1123</v>
      </c>
      <c r="P231" s="187">
        <v>59</v>
      </c>
      <c r="Q231" s="38">
        <v>9</v>
      </c>
      <c r="R231" s="38" t="s">
        <v>23</v>
      </c>
      <c r="S231" s="38">
        <f t="shared" si="17"/>
        <v>1197</v>
      </c>
    </row>
    <row r="232" spans="1:21">
      <c r="A232" s="95">
        <v>2010</v>
      </c>
      <c r="B232" s="38" t="s">
        <v>23</v>
      </c>
      <c r="C232" s="38" t="s">
        <v>23</v>
      </c>
      <c r="D232" s="187">
        <v>7</v>
      </c>
      <c r="E232" s="187">
        <v>2</v>
      </c>
      <c r="F232" s="187">
        <v>3</v>
      </c>
      <c r="G232" s="187">
        <v>24</v>
      </c>
      <c r="H232" s="187">
        <v>247</v>
      </c>
      <c r="I232" s="38">
        <v>541</v>
      </c>
      <c r="J232" s="38" t="s">
        <v>23</v>
      </c>
      <c r="K232" s="38">
        <f t="shared" si="16"/>
        <v>824</v>
      </c>
      <c r="M232" s="38" t="s">
        <v>23</v>
      </c>
      <c r="N232" s="38" t="s">
        <v>23</v>
      </c>
      <c r="O232" s="187">
        <v>19</v>
      </c>
      <c r="P232" s="187">
        <v>25</v>
      </c>
      <c r="Q232" s="38">
        <v>16</v>
      </c>
      <c r="R232" s="38" t="s">
        <v>23</v>
      </c>
      <c r="S232" s="38">
        <f t="shared" si="17"/>
        <v>60</v>
      </c>
    </row>
    <row r="233" spans="1:21">
      <c r="A233" s="95">
        <v>2011</v>
      </c>
      <c r="B233" s="38" t="s">
        <v>23</v>
      </c>
      <c r="C233" s="38" t="s">
        <v>23</v>
      </c>
      <c r="D233" s="187">
        <v>148</v>
      </c>
      <c r="E233" s="187">
        <v>24</v>
      </c>
      <c r="F233" s="187">
        <v>7</v>
      </c>
      <c r="G233" s="187">
        <v>328</v>
      </c>
      <c r="H233" s="187">
        <v>196</v>
      </c>
      <c r="I233" s="38">
        <v>233</v>
      </c>
      <c r="J233" s="38" t="s">
        <v>23</v>
      </c>
      <c r="K233" s="38">
        <f t="shared" si="16"/>
        <v>936</v>
      </c>
      <c r="M233" s="38" t="s">
        <v>23</v>
      </c>
      <c r="N233" s="38" t="s">
        <v>23</v>
      </c>
      <c r="O233" s="187">
        <v>12</v>
      </c>
      <c r="P233" s="187">
        <v>8</v>
      </c>
      <c r="Q233" s="38">
        <v>8</v>
      </c>
      <c r="R233" s="38" t="s">
        <v>23</v>
      </c>
      <c r="S233" s="38">
        <f t="shared" si="17"/>
        <v>28</v>
      </c>
    </row>
    <row r="234" spans="1:21">
      <c r="A234" s="95">
        <v>2012</v>
      </c>
      <c r="B234" s="38" t="s">
        <v>23</v>
      </c>
      <c r="C234" s="38" t="s">
        <v>23</v>
      </c>
      <c r="D234" s="187">
        <v>334</v>
      </c>
      <c r="E234" s="187">
        <v>904</v>
      </c>
      <c r="F234" s="187">
        <v>2329</v>
      </c>
      <c r="G234" s="187">
        <v>4014</v>
      </c>
      <c r="H234" s="187">
        <v>1208</v>
      </c>
      <c r="I234" s="38">
        <v>534</v>
      </c>
      <c r="J234" s="38" t="s">
        <v>23</v>
      </c>
      <c r="K234" s="38">
        <f t="shared" si="16"/>
        <v>9323</v>
      </c>
      <c r="M234" s="38" t="s">
        <v>23</v>
      </c>
      <c r="N234" s="38">
        <v>15</v>
      </c>
      <c r="O234" s="187">
        <v>144</v>
      </c>
      <c r="P234" s="187">
        <v>48</v>
      </c>
      <c r="Q234" s="38" t="s">
        <v>23</v>
      </c>
      <c r="R234" s="38">
        <v>2</v>
      </c>
      <c r="S234" s="38">
        <f t="shared" si="17"/>
        <v>209</v>
      </c>
    </row>
    <row r="235" spans="1:21">
      <c r="A235" s="95">
        <v>2013</v>
      </c>
      <c r="B235" s="38" t="s">
        <v>23</v>
      </c>
      <c r="C235" s="38" t="s">
        <v>23</v>
      </c>
      <c r="D235" s="187">
        <v>22</v>
      </c>
      <c r="E235" s="187">
        <v>1815</v>
      </c>
      <c r="F235" s="187">
        <v>4942</v>
      </c>
      <c r="G235" s="187">
        <v>2836</v>
      </c>
      <c r="H235" s="187">
        <v>20</v>
      </c>
      <c r="I235" s="38">
        <v>814</v>
      </c>
      <c r="J235" s="38" t="s">
        <v>23</v>
      </c>
      <c r="K235" s="38">
        <f t="shared" si="16"/>
        <v>10449</v>
      </c>
      <c r="M235" s="38" t="s">
        <v>23</v>
      </c>
      <c r="N235" s="38">
        <v>8</v>
      </c>
      <c r="O235" s="187">
        <v>302</v>
      </c>
      <c r="P235" s="187">
        <v>123</v>
      </c>
      <c r="Q235" s="38" t="s">
        <v>23</v>
      </c>
      <c r="R235" s="38">
        <v>6</v>
      </c>
      <c r="S235" s="38">
        <f t="shared" si="17"/>
        <v>439</v>
      </c>
    </row>
    <row r="236" spans="1:21">
      <c r="A236" s="95">
        <v>2014</v>
      </c>
      <c r="B236" s="38" t="s">
        <v>23</v>
      </c>
      <c r="C236" s="38" t="s">
        <v>23</v>
      </c>
      <c r="D236" s="187">
        <v>817</v>
      </c>
      <c r="E236" s="187">
        <v>477</v>
      </c>
      <c r="F236" s="187">
        <v>3341</v>
      </c>
      <c r="G236" s="187">
        <v>1053</v>
      </c>
      <c r="H236" s="187">
        <v>16</v>
      </c>
      <c r="I236" s="38">
        <v>1115</v>
      </c>
      <c r="J236" s="38" t="s">
        <v>23</v>
      </c>
      <c r="K236" s="38">
        <f t="shared" si="16"/>
        <v>6819</v>
      </c>
      <c r="M236" s="38">
        <v>3</v>
      </c>
      <c r="N236" s="38">
        <v>31</v>
      </c>
      <c r="O236" s="187">
        <v>528</v>
      </c>
      <c r="P236" s="187">
        <v>5</v>
      </c>
      <c r="Q236" s="38" t="s">
        <v>23</v>
      </c>
      <c r="R236" s="38" t="s">
        <v>23</v>
      </c>
      <c r="S236" s="38">
        <f t="shared" si="17"/>
        <v>567</v>
      </c>
    </row>
    <row r="237" spans="1:21" ht="12" customHeight="1">
      <c r="A237" s="95">
        <v>2015</v>
      </c>
      <c r="B237" s="38" t="s">
        <v>23</v>
      </c>
      <c r="C237" s="38" t="s">
        <v>23</v>
      </c>
      <c r="D237" s="187">
        <v>30</v>
      </c>
      <c r="E237" s="187">
        <v>97</v>
      </c>
      <c r="F237" s="187">
        <v>149</v>
      </c>
      <c r="G237" s="187">
        <v>47</v>
      </c>
      <c r="H237" s="187">
        <v>69</v>
      </c>
      <c r="I237" s="38">
        <v>792</v>
      </c>
      <c r="J237" s="38" t="s">
        <v>23</v>
      </c>
      <c r="K237" s="38">
        <f t="shared" si="16"/>
        <v>1184</v>
      </c>
      <c r="M237" s="38" t="s">
        <v>23</v>
      </c>
      <c r="N237" s="38">
        <v>5</v>
      </c>
      <c r="O237" s="187">
        <v>118</v>
      </c>
      <c r="P237" s="187">
        <v>5</v>
      </c>
      <c r="Q237" s="38">
        <v>4</v>
      </c>
      <c r="R237" s="38">
        <v>6</v>
      </c>
      <c r="S237" s="38">
        <f t="shared" si="17"/>
        <v>138</v>
      </c>
    </row>
    <row r="238" spans="1:21" ht="12" customHeight="1">
      <c r="A238" s="95">
        <v>2016</v>
      </c>
      <c r="B238" s="38" t="s">
        <v>23</v>
      </c>
      <c r="C238" s="38" t="s">
        <v>23</v>
      </c>
      <c r="D238" s="187">
        <v>0</v>
      </c>
      <c r="E238" s="187">
        <v>82</v>
      </c>
      <c r="F238" s="187">
        <v>72</v>
      </c>
      <c r="G238" s="187">
        <v>3</v>
      </c>
      <c r="H238" s="187">
        <v>59</v>
      </c>
      <c r="I238" s="38">
        <v>287</v>
      </c>
      <c r="J238" s="38" t="s">
        <v>23</v>
      </c>
      <c r="K238" s="38">
        <f t="shared" si="16"/>
        <v>503</v>
      </c>
      <c r="M238" s="38" t="s">
        <v>23</v>
      </c>
      <c r="N238" s="38">
        <v>11</v>
      </c>
      <c r="O238" s="187">
        <v>36</v>
      </c>
      <c r="P238" s="187">
        <v>3</v>
      </c>
      <c r="Q238" s="38">
        <v>2</v>
      </c>
      <c r="R238" s="38" t="s">
        <v>23</v>
      </c>
      <c r="S238" s="38">
        <f t="shared" si="17"/>
        <v>52</v>
      </c>
    </row>
    <row r="239" spans="1:21" ht="12" customHeight="1">
      <c r="A239" s="95">
        <v>2017</v>
      </c>
      <c r="B239" s="38" t="s">
        <v>23</v>
      </c>
      <c r="C239" s="38" t="s">
        <v>23</v>
      </c>
      <c r="D239" s="38" t="s">
        <v>23</v>
      </c>
      <c r="E239" s="38" t="s">
        <v>23</v>
      </c>
      <c r="F239" s="38" t="s">
        <v>23</v>
      </c>
      <c r="G239" s="38" t="s">
        <v>23</v>
      </c>
      <c r="H239" s="38" t="s">
        <v>23</v>
      </c>
      <c r="I239" s="38">
        <v>506</v>
      </c>
      <c r="J239" s="38" t="s">
        <v>23</v>
      </c>
      <c r="K239" s="38">
        <f t="shared" si="16"/>
        <v>506</v>
      </c>
      <c r="M239" s="38" t="s">
        <v>23</v>
      </c>
      <c r="N239" s="38" t="s">
        <v>23</v>
      </c>
      <c r="O239" s="38" t="s">
        <v>23</v>
      </c>
      <c r="P239" s="38" t="s">
        <v>23</v>
      </c>
      <c r="Q239" s="38" t="s">
        <v>23</v>
      </c>
      <c r="R239" s="38" t="s">
        <v>23</v>
      </c>
      <c r="S239" s="38" t="s">
        <v>23</v>
      </c>
    </row>
    <row r="240" spans="1:21" ht="12" customHeight="1">
      <c r="A240" s="95">
        <v>2018</v>
      </c>
      <c r="B240" s="38" t="s">
        <v>23</v>
      </c>
      <c r="C240" s="38" t="s">
        <v>23</v>
      </c>
      <c r="D240" s="38">
        <v>105</v>
      </c>
      <c r="E240" s="38">
        <v>149</v>
      </c>
      <c r="F240" s="38">
        <v>458</v>
      </c>
      <c r="G240" s="38">
        <v>448</v>
      </c>
      <c r="H240" s="38">
        <v>4</v>
      </c>
      <c r="I240" s="38">
        <v>429</v>
      </c>
      <c r="J240" s="38" t="s">
        <v>23</v>
      </c>
      <c r="K240" s="38">
        <f>SUM(B240:J240)</f>
        <v>1593</v>
      </c>
      <c r="M240" s="38" t="s">
        <v>23</v>
      </c>
      <c r="N240" s="38">
        <v>3</v>
      </c>
      <c r="O240" s="38">
        <v>3</v>
      </c>
      <c r="P240" s="38">
        <v>12</v>
      </c>
      <c r="Q240" s="38" t="s">
        <v>23</v>
      </c>
      <c r="R240" s="38" t="s">
        <v>23</v>
      </c>
      <c r="S240" s="38">
        <f>SUM(M240:R240)</f>
        <v>18</v>
      </c>
      <c r="U240" s="144"/>
    </row>
    <row r="241" spans="1:21" ht="12" customHeight="1">
      <c r="A241" s="95">
        <v>2019</v>
      </c>
      <c r="B241" s="38" t="s">
        <v>23</v>
      </c>
      <c r="C241" s="38" t="s">
        <v>23</v>
      </c>
      <c r="D241" s="38">
        <v>9</v>
      </c>
      <c r="E241" s="38">
        <v>117</v>
      </c>
      <c r="F241" s="38">
        <v>212</v>
      </c>
      <c r="G241" s="38">
        <v>223</v>
      </c>
      <c r="H241" s="38">
        <v>11</v>
      </c>
      <c r="I241" s="38" t="s">
        <v>23</v>
      </c>
      <c r="J241" s="38" t="s">
        <v>23</v>
      </c>
      <c r="K241" s="38">
        <f t="shared" ref="K241:K242" si="18">SUM(B241:J241)</f>
        <v>572</v>
      </c>
      <c r="M241" s="38" t="s">
        <v>23</v>
      </c>
      <c r="N241" s="38">
        <v>139</v>
      </c>
      <c r="O241" s="38">
        <v>343</v>
      </c>
      <c r="P241" s="38">
        <v>60</v>
      </c>
      <c r="Q241" s="38" t="s">
        <v>23</v>
      </c>
      <c r="R241" s="38" t="s">
        <v>23</v>
      </c>
      <c r="S241" s="38">
        <f t="shared" ref="S241:S243" si="19">SUM(M241:R241)</f>
        <v>542</v>
      </c>
      <c r="U241" s="144"/>
    </row>
    <row r="242" spans="1:21" ht="12" customHeight="1">
      <c r="A242" s="95">
        <v>2020</v>
      </c>
      <c r="B242" s="38" t="s">
        <v>23</v>
      </c>
      <c r="C242" s="38" t="s">
        <v>23</v>
      </c>
      <c r="D242" s="38" t="s">
        <v>23</v>
      </c>
      <c r="E242" s="38">
        <v>566</v>
      </c>
      <c r="F242" s="38">
        <v>956</v>
      </c>
      <c r="G242" s="38">
        <v>113</v>
      </c>
      <c r="H242" s="38" t="s">
        <v>23</v>
      </c>
      <c r="I242" s="38" t="s">
        <v>23</v>
      </c>
      <c r="J242" s="38" t="s">
        <v>23</v>
      </c>
      <c r="K242" s="38">
        <f t="shared" si="18"/>
        <v>1635</v>
      </c>
      <c r="M242" s="38" t="s">
        <v>23</v>
      </c>
      <c r="N242" s="38" t="s">
        <v>23</v>
      </c>
      <c r="O242" s="38" t="s">
        <v>23</v>
      </c>
      <c r="P242" s="38" t="s">
        <v>23</v>
      </c>
      <c r="Q242" s="38" t="s">
        <v>23</v>
      </c>
      <c r="R242" s="38" t="s">
        <v>23</v>
      </c>
      <c r="S242" s="38" t="s">
        <v>23</v>
      </c>
      <c r="U242" s="144"/>
    </row>
    <row r="243" spans="1:21" ht="12" customHeight="1">
      <c r="A243" s="95" t="s">
        <v>317</v>
      </c>
      <c r="B243" s="38" t="s">
        <v>23</v>
      </c>
      <c r="C243" s="38" t="s">
        <v>23</v>
      </c>
      <c r="D243" s="38" t="s">
        <v>23</v>
      </c>
      <c r="E243" s="38">
        <v>248</v>
      </c>
      <c r="F243" s="38">
        <v>469</v>
      </c>
      <c r="G243" s="38">
        <v>178</v>
      </c>
      <c r="H243" s="38" t="s">
        <v>23</v>
      </c>
      <c r="I243" s="38" t="s">
        <v>23</v>
      </c>
      <c r="J243" s="38" t="s">
        <v>23</v>
      </c>
      <c r="K243" s="38">
        <f t="shared" si="16"/>
        <v>895</v>
      </c>
      <c r="M243" s="38" t="s">
        <v>23</v>
      </c>
      <c r="N243" s="38">
        <v>450</v>
      </c>
      <c r="O243" s="38">
        <v>121</v>
      </c>
      <c r="P243" s="38">
        <v>195</v>
      </c>
      <c r="Q243" s="38" t="s">
        <v>23</v>
      </c>
      <c r="R243" s="38" t="s">
        <v>23</v>
      </c>
      <c r="S243" s="38">
        <f t="shared" si="19"/>
        <v>766</v>
      </c>
      <c r="U243" s="144"/>
    </row>
    <row r="245" spans="1:21">
      <c r="A245" s="92" t="s">
        <v>44</v>
      </c>
    </row>
    <row r="246" spans="1:21">
      <c r="A246" s="99">
        <v>1976</v>
      </c>
      <c r="B246" s="38" t="str">
        <f t="shared" ref="B246:K246" si="20">IF(AND(B198="-",B150="-",B102="-",B54="-"),"-",SUM(B198,B150,B102,B54))</f>
        <v>-</v>
      </c>
      <c r="C246" s="38">
        <f t="shared" si="20"/>
        <v>0</v>
      </c>
      <c r="D246" s="38">
        <f t="shared" si="20"/>
        <v>1619</v>
      </c>
      <c r="E246" s="38">
        <f t="shared" si="20"/>
        <v>4583</v>
      </c>
      <c r="F246" s="38">
        <f t="shared" si="20"/>
        <v>8167</v>
      </c>
      <c r="G246" s="38">
        <f t="shared" si="20"/>
        <v>16193</v>
      </c>
      <c r="H246" s="38">
        <f t="shared" si="20"/>
        <v>2969</v>
      </c>
      <c r="I246" s="38">
        <f t="shared" si="20"/>
        <v>809</v>
      </c>
      <c r="J246" s="38">
        <f t="shared" si="20"/>
        <v>148</v>
      </c>
      <c r="K246" s="38">
        <f t="shared" si="20"/>
        <v>34488</v>
      </c>
      <c r="M246" s="38">
        <f t="shared" ref="M246:S255" si="21">IF(AND(M198="-",M150="-",M102="-",M54="-"),"-",SUM(M198,M150,M102,M54))</f>
        <v>18407</v>
      </c>
      <c r="N246" s="38">
        <f t="shared" si="21"/>
        <v>60622</v>
      </c>
      <c r="O246" s="38">
        <f t="shared" si="21"/>
        <v>135540</v>
      </c>
      <c r="P246" s="38">
        <f t="shared" si="21"/>
        <v>150650</v>
      </c>
      <c r="Q246" s="38">
        <f t="shared" si="21"/>
        <v>14601</v>
      </c>
      <c r="R246" s="38">
        <f t="shared" si="21"/>
        <v>3515</v>
      </c>
      <c r="S246" s="38">
        <f t="shared" si="21"/>
        <v>383335</v>
      </c>
    </row>
    <row r="247" spans="1:21">
      <c r="A247" s="99">
        <v>1977</v>
      </c>
      <c r="B247" s="38" t="str">
        <f t="shared" ref="B247:K247" si="22">IF(AND(B199="-",B151="-",B103="-",B55="-"),"-",SUM(B199,B151,B103,B55))</f>
        <v>-</v>
      </c>
      <c r="C247" s="38">
        <f t="shared" si="22"/>
        <v>0</v>
      </c>
      <c r="D247" s="38">
        <f t="shared" si="22"/>
        <v>985</v>
      </c>
      <c r="E247" s="38">
        <f t="shared" si="22"/>
        <v>4659</v>
      </c>
      <c r="F247" s="38">
        <f t="shared" si="22"/>
        <v>12603</v>
      </c>
      <c r="G247" s="38">
        <f t="shared" si="22"/>
        <v>13101</v>
      </c>
      <c r="H247" s="38">
        <f t="shared" si="22"/>
        <v>5078</v>
      </c>
      <c r="I247" s="38">
        <f t="shared" si="22"/>
        <v>1417</v>
      </c>
      <c r="J247" s="38">
        <f t="shared" si="22"/>
        <v>100</v>
      </c>
      <c r="K247" s="38">
        <f t="shared" si="22"/>
        <v>37943</v>
      </c>
      <c r="M247" s="38">
        <f t="shared" si="21"/>
        <v>15104</v>
      </c>
      <c r="N247" s="38">
        <f t="shared" si="21"/>
        <v>19550</v>
      </c>
      <c r="O247" s="38">
        <f t="shared" si="21"/>
        <v>57651</v>
      </c>
      <c r="P247" s="38">
        <f t="shared" si="21"/>
        <v>34103</v>
      </c>
      <c r="Q247" s="38">
        <f t="shared" si="21"/>
        <v>5616</v>
      </c>
      <c r="R247" s="38">
        <f t="shared" si="21"/>
        <v>347</v>
      </c>
      <c r="S247" s="38">
        <f t="shared" si="21"/>
        <v>132371</v>
      </c>
    </row>
    <row r="248" spans="1:21">
      <c r="A248" s="99">
        <v>1978</v>
      </c>
      <c r="B248" s="38" t="str">
        <f t="shared" ref="B248:K248" si="23">IF(AND(B200="-",B152="-",B104="-",B56="-"),"-",SUM(B200,B152,B104,B56))</f>
        <v>-</v>
      </c>
      <c r="C248" s="38">
        <f t="shared" si="23"/>
        <v>0</v>
      </c>
      <c r="D248" s="38">
        <f t="shared" si="23"/>
        <v>785</v>
      </c>
      <c r="E248" s="38">
        <f t="shared" si="23"/>
        <v>3067</v>
      </c>
      <c r="F248" s="38">
        <f t="shared" si="23"/>
        <v>3621</v>
      </c>
      <c r="G248" s="38">
        <f t="shared" si="23"/>
        <v>5391</v>
      </c>
      <c r="H248" s="38">
        <f t="shared" si="23"/>
        <v>1086</v>
      </c>
      <c r="I248" s="38">
        <f t="shared" si="23"/>
        <v>876</v>
      </c>
      <c r="J248" s="38">
        <f t="shared" si="23"/>
        <v>79</v>
      </c>
      <c r="K248" s="38">
        <f t="shared" si="23"/>
        <v>14905</v>
      </c>
      <c r="M248" s="38">
        <f t="shared" si="21"/>
        <v>4382</v>
      </c>
      <c r="N248" s="38">
        <f t="shared" si="21"/>
        <v>81269</v>
      </c>
      <c r="O248" s="38">
        <f t="shared" si="21"/>
        <v>56143</v>
      </c>
      <c r="P248" s="38">
        <f t="shared" si="21"/>
        <v>50518</v>
      </c>
      <c r="Q248" s="38">
        <f t="shared" si="21"/>
        <v>7005</v>
      </c>
      <c r="R248" s="38">
        <f t="shared" si="21"/>
        <v>298</v>
      </c>
      <c r="S248" s="38">
        <f t="shared" si="21"/>
        <v>199615</v>
      </c>
    </row>
    <row r="249" spans="1:21">
      <c r="A249" s="99">
        <v>1979</v>
      </c>
      <c r="B249" s="38" t="str">
        <f t="shared" ref="B249:K249" si="24">IF(AND(B201="-",B153="-",B105="-",B57="-"),"-",SUM(B201,B153,B105,B57))</f>
        <v>-</v>
      </c>
      <c r="C249" s="38" t="str">
        <f t="shared" si="24"/>
        <v>-</v>
      </c>
      <c r="D249" s="38">
        <f t="shared" si="24"/>
        <v>354</v>
      </c>
      <c r="E249" s="38">
        <f t="shared" si="24"/>
        <v>3000</v>
      </c>
      <c r="F249" s="38">
        <f t="shared" si="24"/>
        <v>4654</v>
      </c>
      <c r="G249" s="38">
        <f t="shared" si="24"/>
        <v>4614</v>
      </c>
      <c r="H249" s="38">
        <f t="shared" si="24"/>
        <v>81</v>
      </c>
      <c r="I249" s="38">
        <f t="shared" si="24"/>
        <v>597</v>
      </c>
      <c r="J249" s="38">
        <f t="shared" si="24"/>
        <v>60</v>
      </c>
      <c r="K249" s="38">
        <f t="shared" si="24"/>
        <v>13360</v>
      </c>
      <c r="M249" s="38">
        <f t="shared" si="21"/>
        <v>5264</v>
      </c>
      <c r="N249" s="38">
        <f t="shared" si="21"/>
        <v>29084</v>
      </c>
      <c r="O249" s="38">
        <f t="shared" si="21"/>
        <v>72493</v>
      </c>
      <c r="P249" s="38">
        <f t="shared" si="21"/>
        <v>35874</v>
      </c>
      <c r="Q249" s="38">
        <f t="shared" si="21"/>
        <v>85</v>
      </c>
      <c r="R249" s="38" t="str">
        <f t="shared" si="21"/>
        <v>-</v>
      </c>
      <c r="S249" s="38">
        <f t="shared" si="21"/>
        <v>142800</v>
      </c>
    </row>
    <row r="250" spans="1:21">
      <c r="A250" s="99">
        <v>1980</v>
      </c>
      <c r="B250" s="38" t="str">
        <f t="shared" ref="B250:K250" si="25">IF(AND(B202="-",B154="-",B106="-",B58="-"),"-",SUM(B202,B154,B106,B58))</f>
        <v>-</v>
      </c>
      <c r="C250" s="38" t="str">
        <f t="shared" si="25"/>
        <v>-</v>
      </c>
      <c r="D250" s="38">
        <f t="shared" si="25"/>
        <v>215</v>
      </c>
      <c r="E250" s="38">
        <f t="shared" si="25"/>
        <v>3501</v>
      </c>
      <c r="F250" s="38">
        <f t="shared" si="25"/>
        <v>5538</v>
      </c>
      <c r="G250" s="38">
        <f t="shared" si="25"/>
        <v>2925</v>
      </c>
      <c r="H250" s="38">
        <f t="shared" si="25"/>
        <v>950</v>
      </c>
      <c r="I250" s="38">
        <f t="shared" si="25"/>
        <v>319</v>
      </c>
      <c r="J250" s="38">
        <f t="shared" si="25"/>
        <v>63</v>
      </c>
      <c r="K250" s="38">
        <f t="shared" si="25"/>
        <v>13511</v>
      </c>
      <c r="M250" s="38">
        <f t="shared" si="21"/>
        <v>4224</v>
      </c>
      <c r="N250" s="38">
        <f t="shared" si="21"/>
        <v>96917</v>
      </c>
      <c r="O250" s="38">
        <f t="shared" si="21"/>
        <v>136275</v>
      </c>
      <c r="P250" s="38">
        <f t="shared" si="21"/>
        <v>29586</v>
      </c>
      <c r="Q250" s="38">
        <f t="shared" si="21"/>
        <v>3194</v>
      </c>
      <c r="R250" s="38" t="str">
        <f t="shared" si="21"/>
        <v>-</v>
      </c>
      <c r="S250" s="38">
        <f t="shared" si="21"/>
        <v>270196</v>
      </c>
    </row>
    <row r="251" spans="1:21">
      <c r="A251" s="99">
        <v>1981</v>
      </c>
      <c r="B251" s="38" t="str">
        <f t="shared" ref="B251:K251" si="26">IF(AND(B203="-",B155="-",B107="-",B59="-"),"-",SUM(B203,B155,B107,B59))</f>
        <v>-</v>
      </c>
      <c r="C251" s="38" t="str">
        <f t="shared" si="26"/>
        <v>-</v>
      </c>
      <c r="D251" s="38">
        <f t="shared" si="26"/>
        <v>671</v>
      </c>
      <c r="E251" s="38">
        <f t="shared" si="26"/>
        <v>2758</v>
      </c>
      <c r="F251" s="38">
        <f t="shared" si="26"/>
        <v>7148</v>
      </c>
      <c r="G251" s="38">
        <f t="shared" si="26"/>
        <v>5765</v>
      </c>
      <c r="H251" s="38">
        <f t="shared" si="26"/>
        <v>1018</v>
      </c>
      <c r="I251" s="38">
        <f t="shared" si="26"/>
        <v>289</v>
      </c>
      <c r="J251" s="38">
        <f t="shared" si="26"/>
        <v>10</v>
      </c>
      <c r="K251" s="38">
        <f t="shared" si="26"/>
        <v>17659</v>
      </c>
      <c r="M251" s="38">
        <f t="shared" si="21"/>
        <v>7482</v>
      </c>
      <c r="N251" s="38">
        <f t="shared" si="21"/>
        <v>18042</v>
      </c>
      <c r="O251" s="38">
        <f t="shared" si="21"/>
        <v>52672</v>
      </c>
      <c r="P251" s="38">
        <f t="shared" si="21"/>
        <v>60377</v>
      </c>
      <c r="Q251" s="38">
        <f t="shared" si="21"/>
        <v>6945</v>
      </c>
      <c r="R251" s="38" t="str">
        <f t="shared" si="21"/>
        <v>-</v>
      </c>
      <c r="S251" s="38">
        <f t="shared" si="21"/>
        <v>145518</v>
      </c>
    </row>
    <row r="252" spans="1:21">
      <c r="A252" s="99">
        <v>1982</v>
      </c>
      <c r="B252" s="38" t="str">
        <f t="shared" ref="B252:K252" si="27">IF(AND(B204="-",B156="-",B108="-",B60="-"),"-",SUM(B204,B156,B108,B60))</f>
        <v>-</v>
      </c>
      <c r="C252" s="38" t="str">
        <f t="shared" si="27"/>
        <v>-</v>
      </c>
      <c r="D252" s="38">
        <f t="shared" si="27"/>
        <v>7</v>
      </c>
      <c r="E252" s="38">
        <f t="shared" si="27"/>
        <v>2504</v>
      </c>
      <c r="F252" s="38">
        <f t="shared" si="27"/>
        <v>25947</v>
      </c>
      <c r="G252" s="38">
        <f t="shared" si="27"/>
        <v>1544</v>
      </c>
      <c r="H252" s="38">
        <f t="shared" si="27"/>
        <v>227</v>
      </c>
      <c r="I252" s="38">
        <f t="shared" si="27"/>
        <v>236</v>
      </c>
      <c r="J252" s="38">
        <f t="shared" si="27"/>
        <v>16</v>
      </c>
      <c r="K252" s="38">
        <f t="shared" si="27"/>
        <v>30481</v>
      </c>
      <c r="M252" s="38">
        <f t="shared" si="21"/>
        <v>5</v>
      </c>
      <c r="N252" s="38">
        <f t="shared" si="21"/>
        <v>18840</v>
      </c>
      <c r="O252" s="38">
        <f t="shared" si="21"/>
        <v>120807</v>
      </c>
      <c r="P252" s="38">
        <f t="shared" si="21"/>
        <v>0</v>
      </c>
      <c r="Q252" s="38" t="str">
        <f t="shared" si="21"/>
        <v>-</v>
      </c>
      <c r="R252" s="38" t="str">
        <f t="shared" si="21"/>
        <v>-</v>
      </c>
      <c r="S252" s="38">
        <f t="shared" si="21"/>
        <v>139652</v>
      </c>
    </row>
    <row r="253" spans="1:21">
      <c r="A253" s="99">
        <v>1983</v>
      </c>
      <c r="B253" s="38" t="str">
        <f t="shared" ref="B253:K253" si="28">IF(AND(B205="-",B157="-",B109="-",B61="-"),"-",SUM(B205,B157,B109,B61))</f>
        <v>-</v>
      </c>
      <c r="C253" s="38" t="str">
        <f t="shared" si="28"/>
        <v>-</v>
      </c>
      <c r="D253" s="38">
        <f t="shared" si="28"/>
        <v>504</v>
      </c>
      <c r="E253" s="38">
        <f t="shared" si="28"/>
        <v>5094</v>
      </c>
      <c r="F253" s="38">
        <f t="shared" si="28"/>
        <v>8496</v>
      </c>
      <c r="G253" s="38">
        <f t="shared" si="28"/>
        <v>3099</v>
      </c>
      <c r="H253" s="38">
        <f t="shared" si="28"/>
        <v>3028</v>
      </c>
      <c r="I253" s="38">
        <f t="shared" si="28"/>
        <v>999</v>
      </c>
      <c r="J253" s="38">
        <f t="shared" si="28"/>
        <v>17</v>
      </c>
      <c r="K253" s="38">
        <f t="shared" si="28"/>
        <v>21237</v>
      </c>
      <c r="M253" s="38">
        <f t="shared" si="21"/>
        <v>453</v>
      </c>
      <c r="N253" s="38">
        <f t="shared" si="21"/>
        <v>26453</v>
      </c>
      <c r="O253" s="38">
        <f t="shared" si="21"/>
        <v>56765</v>
      </c>
      <c r="P253" s="38">
        <f t="shared" si="21"/>
        <v>16658</v>
      </c>
      <c r="Q253" s="38">
        <f t="shared" si="21"/>
        <v>9330</v>
      </c>
      <c r="R253" s="38" t="str">
        <f t="shared" si="21"/>
        <v>-</v>
      </c>
      <c r="S253" s="38">
        <f t="shared" si="21"/>
        <v>109659</v>
      </c>
    </row>
    <row r="254" spans="1:21">
      <c r="A254" s="99">
        <v>1984</v>
      </c>
      <c r="B254" s="38" t="str">
        <f t="shared" ref="B254:K254" si="29">IF(AND(B206="-",B158="-",B110="-",B62="-"),"-",SUM(B206,B158,B110,B62))</f>
        <v>-</v>
      </c>
      <c r="C254" s="38" t="str">
        <f t="shared" si="29"/>
        <v>-</v>
      </c>
      <c r="D254" s="38" t="str">
        <f t="shared" si="29"/>
        <v>-</v>
      </c>
      <c r="E254" s="38">
        <f t="shared" si="29"/>
        <v>0</v>
      </c>
      <c r="F254" s="38">
        <f t="shared" si="29"/>
        <v>5817</v>
      </c>
      <c r="G254" s="38">
        <f t="shared" si="29"/>
        <v>9501</v>
      </c>
      <c r="H254" s="38">
        <f t="shared" si="29"/>
        <v>1165</v>
      </c>
      <c r="I254" s="38">
        <f t="shared" si="29"/>
        <v>448</v>
      </c>
      <c r="J254" s="38">
        <f t="shared" si="29"/>
        <v>0</v>
      </c>
      <c r="K254" s="38">
        <f t="shared" si="29"/>
        <v>16931</v>
      </c>
      <c r="M254" s="38" t="str">
        <f t="shared" si="21"/>
        <v>-</v>
      </c>
      <c r="N254" s="38" t="str">
        <f t="shared" si="21"/>
        <v>-</v>
      </c>
      <c r="O254" s="38">
        <f t="shared" si="21"/>
        <v>60999</v>
      </c>
      <c r="P254" s="38">
        <f t="shared" si="21"/>
        <v>49866</v>
      </c>
      <c r="Q254" s="38">
        <f t="shared" si="21"/>
        <v>894</v>
      </c>
      <c r="R254" s="38" t="str">
        <f t="shared" si="21"/>
        <v>-</v>
      </c>
      <c r="S254" s="38">
        <f t="shared" si="21"/>
        <v>111759</v>
      </c>
    </row>
    <row r="255" spans="1:21">
      <c r="A255" s="99">
        <v>1985</v>
      </c>
      <c r="B255" s="38" t="str">
        <f t="shared" ref="B255:K255" si="30">IF(AND(B207="-",B159="-",B111="-",B63="-"),"-",SUM(B207,B159,B111,B63))</f>
        <v>-</v>
      </c>
      <c r="C255" s="38" t="str">
        <f t="shared" si="30"/>
        <v>-</v>
      </c>
      <c r="D255" s="38">
        <f t="shared" si="30"/>
        <v>2450</v>
      </c>
      <c r="E255" s="38">
        <f t="shared" si="30"/>
        <v>0</v>
      </c>
      <c r="F255" s="38">
        <f t="shared" si="30"/>
        <v>30037</v>
      </c>
      <c r="G255" s="38">
        <f t="shared" si="30"/>
        <v>18607</v>
      </c>
      <c r="H255" s="38">
        <f t="shared" si="30"/>
        <v>600</v>
      </c>
      <c r="I255" s="38">
        <f t="shared" si="30"/>
        <v>606</v>
      </c>
      <c r="J255" s="38">
        <f t="shared" si="30"/>
        <v>0</v>
      </c>
      <c r="K255" s="38">
        <f t="shared" si="30"/>
        <v>52300</v>
      </c>
      <c r="M255" s="38">
        <f t="shared" si="21"/>
        <v>10</v>
      </c>
      <c r="N255" s="38" t="str">
        <f t="shared" si="21"/>
        <v>-</v>
      </c>
      <c r="O255" s="38">
        <f t="shared" si="21"/>
        <v>59592</v>
      </c>
      <c r="P255" s="38">
        <f t="shared" si="21"/>
        <v>89559</v>
      </c>
      <c r="Q255" s="38">
        <f t="shared" si="21"/>
        <v>2312</v>
      </c>
      <c r="R255" s="38">
        <f t="shared" si="21"/>
        <v>4</v>
      </c>
      <c r="S255" s="38">
        <f t="shared" si="21"/>
        <v>151477</v>
      </c>
    </row>
    <row r="256" spans="1:21">
      <c r="A256" s="95">
        <v>1986</v>
      </c>
      <c r="B256" s="38" t="str">
        <f t="shared" ref="B256:K256" si="31">IF(AND(B208="-",B160="-",B112="-",B64="-"),"-",SUM(B208,B160,B112,B64))</f>
        <v>-</v>
      </c>
      <c r="C256" s="38" t="str">
        <f t="shared" si="31"/>
        <v>-</v>
      </c>
      <c r="D256" s="38">
        <f t="shared" si="31"/>
        <v>1203</v>
      </c>
      <c r="E256" s="38">
        <f t="shared" si="31"/>
        <v>3969</v>
      </c>
      <c r="F256" s="38">
        <f t="shared" si="31"/>
        <v>9972</v>
      </c>
      <c r="G256" s="38">
        <f t="shared" si="31"/>
        <v>4703</v>
      </c>
      <c r="H256" s="38">
        <f t="shared" si="31"/>
        <v>15</v>
      </c>
      <c r="I256" s="38">
        <f t="shared" si="31"/>
        <v>611</v>
      </c>
      <c r="J256" s="38">
        <f t="shared" si="31"/>
        <v>0</v>
      </c>
      <c r="K256" s="38">
        <f t="shared" si="31"/>
        <v>20473</v>
      </c>
      <c r="M256" s="38">
        <f t="shared" ref="M256:S265" si="32">IF(AND(M208="-",M160="-",M112="-",M64="-"),"-",SUM(M208,M160,M112,M64))</f>
        <v>4035</v>
      </c>
      <c r="N256" s="38">
        <f t="shared" si="32"/>
        <v>20925</v>
      </c>
      <c r="O256" s="38">
        <f t="shared" si="32"/>
        <v>123314</v>
      </c>
      <c r="P256" s="38">
        <f t="shared" si="32"/>
        <v>26909</v>
      </c>
      <c r="Q256" s="38">
        <f t="shared" si="32"/>
        <v>0</v>
      </c>
      <c r="R256" s="38">
        <f t="shared" si="32"/>
        <v>3</v>
      </c>
      <c r="S256" s="38">
        <f t="shared" si="32"/>
        <v>175186</v>
      </c>
    </row>
    <row r="257" spans="1:19">
      <c r="A257" s="95">
        <v>1987</v>
      </c>
      <c r="B257" s="38" t="str">
        <f t="shared" ref="B257:K257" si="33">IF(AND(B209="-",B161="-",B113="-",B65="-"),"-",SUM(B209,B161,B113,B65))</f>
        <v>-</v>
      </c>
      <c r="C257" s="38" t="str">
        <f t="shared" si="33"/>
        <v>-</v>
      </c>
      <c r="D257" s="38">
        <f t="shared" si="33"/>
        <v>115</v>
      </c>
      <c r="E257" s="38">
        <f t="shared" si="33"/>
        <v>4848</v>
      </c>
      <c r="F257" s="38">
        <f t="shared" si="33"/>
        <v>23750</v>
      </c>
      <c r="G257" s="38">
        <f t="shared" si="33"/>
        <v>14263</v>
      </c>
      <c r="H257" s="38">
        <f t="shared" si="33"/>
        <v>11023</v>
      </c>
      <c r="I257" s="38">
        <f t="shared" si="33"/>
        <v>1133</v>
      </c>
      <c r="J257" s="38">
        <f t="shared" si="33"/>
        <v>0</v>
      </c>
      <c r="K257" s="38">
        <f t="shared" si="33"/>
        <v>55132</v>
      </c>
      <c r="M257" s="38">
        <f t="shared" si="32"/>
        <v>1</v>
      </c>
      <c r="N257" s="38">
        <f t="shared" si="32"/>
        <v>3429</v>
      </c>
      <c r="O257" s="38">
        <f t="shared" si="32"/>
        <v>111942</v>
      </c>
      <c r="P257" s="38">
        <f t="shared" si="32"/>
        <v>28955</v>
      </c>
      <c r="Q257" s="38">
        <f t="shared" si="32"/>
        <v>10532</v>
      </c>
      <c r="R257" s="38">
        <f t="shared" si="32"/>
        <v>28</v>
      </c>
      <c r="S257" s="38">
        <f t="shared" si="32"/>
        <v>154887</v>
      </c>
    </row>
    <row r="258" spans="1:19">
      <c r="A258" s="95">
        <v>1988</v>
      </c>
      <c r="B258" s="38" t="str">
        <f t="shared" ref="B258:K258" si="34">IF(AND(B210="-",B162="-",B114="-",B66="-"),"-",SUM(B210,B162,B114,B66))</f>
        <v>-</v>
      </c>
      <c r="C258" s="38" t="str">
        <f t="shared" si="34"/>
        <v>-</v>
      </c>
      <c r="D258" s="38">
        <f t="shared" si="34"/>
        <v>351</v>
      </c>
      <c r="E258" s="38">
        <f t="shared" si="34"/>
        <v>14964</v>
      </c>
      <c r="F258" s="38">
        <f t="shared" si="34"/>
        <v>11916</v>
      </c>
      <c r="G258" s="38">
        <f t="shared" si="34"/>
        <v>8728</v>
      </c>
      <c r="H258" s="38">
        <f t="shared" si="34"/>
        <v>1880</v>
      </c>
      <c r="I258" s="38">
        <f t="shared" si="34"/>
        <v>0</v>
      </c>
      <c r="J258" s="38">
        <f t="shared" si="34"/>
        <v>0</v>
      </c>
      <c r="K258" s="38">
        <f t="shared" si="34"/>
        <v>37839</v>
      </c>
      <c r="M258" s="38">
        <f t="shared" si="32"/>
        <v>325</v>
      </c>
      <c r="N258" s="38">
        <f t="shared" si="32"/>
        <v>19964</v>
      </c>
      <c r="O258" s="38">
        <f t="shared" si="32"/>
        <v>108307</v>
      </c>
      <c r="P258" s="38">
        <f t="shared" si="32"/>
        <v>76123</v>
      </c>
      <c r="Q258" s="38">
        <f t="shared" si="32"/>
        <v>12327</v>
      </c>
      <c r="R258" s="38" t="str">
        <f t="shared" si="32"/>
        <v>-</v>
      </c>
      <c r="S258" s="38">
        <f t="shared" si="32"/>
        <v>217046</v>
      </c>
    </row>
    <row r="259" spans="1:19">
      <c r="A259" s="95">
        <v>1989</v>
      </c>
      <c r="B259" s="38" t="str">
        <f t="shared" ref="B259:K259" si="35">IF(AND(B211="-",B163="-",B115="-",B67="-"),"-",SUM(B211,B163,B115,B67))</f>
        <v>-</v>
      </c>
      <c r="C259" s="38" t="str">
        <f t="shared" si="35"/>
        <v>-</v>
      </c>
      <c r="D259" s="38">
        <f t="shared" si="35"/>
        <v>586</v>
      </c>
      <c r="E259" s="38">
        <f t="shared" si="35"/>
        <v>6213</v>
      </c>
      <c r="F259" s="38">
        <f t="shared" si="35"/>
        <v>14518</v>
      </c>
      <c r="G259" s="38">
        <f t="shared" si="35"/>
        <v>8187</v>
      </c>
      <c r="H259" s="38">
        <f t="shared" si="35"/>
        <v>1158</v>
      </c>
      <c r="I259" s="38">
        <f t="shared" si="35"/>
        <v>0</v>
      </c>
      <c r="J259" s="38">
        <f t="shared" si="35"/>
        <v>0</v>
      </c>
      <c r="K259" s="38">
        <f t="shared" si="35"/>
        <v>30662</v>
      </c>
      <c r="M259" s="38">
        <f t="shared" si="32"/>
        <v>1646</v>
      </c>
      <c r="N259" s="38">
        <f t="shared" si="32"/>
        <v>54208</v>
      </c>
      <c r="O259" s="38">
        <f t="shared" si="32"/>
        <v>125914</v>
      </c>
      <c r="P259" s="38">
        <f t="shared" si="32"/>
        <v>55694</v>
      </c>
      <c r="Q259" s="38">
        <f t="shared" si="32"/>
        <v>1536</v>
      </c>
      <c r="R259" s="38" t="str">
        <f t="shared" si="32"/>
        <v>-</v>
      </c>
      <c r="S259" s="38">
        <f t="shared" si="32"/>
        <v>238998</v>
      </c>
    </row>
    <row r="260" spans="1:19">
      <c r="A260" s="95">
        <v>1990</v>
      </c>
      <c r="B260" s="38" t="str">
        <f t="shared" ref="B260:K260" si="36">IF(AND(B212="-",B164="-",B116="-",B68="-"),"-",SUM(B212,B164,B116,B68))</f>
        <v>-</v>
      </c>
      <c r="C260" s="38" t="str">
        <f t="shared" si="36"/>
        <v>-</v>
      </c>
      <c r="D260" s="38">
        <f t="shared" si="36"/>
        <v>420</v>
      </c>
      <c r="E260" s="38">
        <f t="shared" si="36"/>
        <v>5631</v>
      </c>
      <c r="F260" s="38">
        <f t="shared" si="36"/>
        <v>11212</v>
      </c>
      <c r="G260" s="38">
        <f t="shared" si="36"/>
        <v>4665</v>
      </c>
      <c r="H260" s="38">
        <f t="shared" si="36"/>
        <v>1301</v>
      </c>
      <c r="I260" s="38">
        <f t="shared" si="36"/>
        <v>0</v>
      </c>
      <c r="J260" s="38" t="str">
        <f t="shared" si="36"/>
        <v>-</v>
      </c>
      <c r="K260" s="38">
        <f t="shared" si="36"/>
        <v>23229</v>
      </c>
      <c r="M260" s="38">
        <f t="shared" si="32"/>
        <v>289</v>
      </c>
      <c r="N260" s="38">
        <f t="shared" si="32"/>
        <v>27526</v>
      </c>
      <c r="O260" s="38">
        <f t="shared" si="32"/>
        <v>75115</v>
      </c>
      <c r="P260" s="38">
        <f t="shared" si="32"/>
        <v>56372</v>
      </c>
      <c r="Q260" s="38">
        <f t="shared" si="32"/>
        <v>5234</v>
      </c>
      <c r="R260" s="38" t="str">
        <f t="shared" si="32"/>
        <v>-</v>
      </c>
      <c r="S260" s="38">
        <f t="shared" si="32"/>
        <v>164536</v>
      </c>
    </row>
    <row r="261" spans="1:19">
      <c r="A261" s="95">
        <v>1991</v>
      </c>
      <c r="B261" s="38" t="str">
        <f t="shared" ref="B261:K261" si="37">IF(AND(B213="-",B165="-",B117="-",B69="-"),"-",SUM(B213,B165,B117,B69))</f>
        <v>-</v>
      </c>
      <c r="C261" s="38" t="str">
        <f t="shared" si="37"/>
        <v>-</v>
      </c>
      <c r="D261" s="38">
        <f t="shared" si="37"/>
        <v>203</v>
      </c>
      <c r="E261" s="38">
        <f t="shared" si="37"/>
        <v>6895</v>
      </c>
      <c r="F261" s="38">
        <f t="shared" si="37"/>
        <v>5973</v>
      </c>
      <c r="G261" s="38">
        <f t="shared" si="37"/>
        <v>64</v>
      </c>
      <c r="H261" s="38">
        <f t="shared" si="37"/>
        <v>298</v>
      </c>
      <c r="I261" s="38">
        <f t="shared" si="37"/>
        <v>0</v>
      </c>
      <c r="J261" s="38" t="str">
        <f t="shared" si="37"/>
        <v>-</v>
      </c>
      <c r="K261" s="38">
        <f t="shared" si="37"/>
        <v>13433</v>
      </c>
      <c r="M261" s="38">
        <f t="shared" si="32"/>
        <v>866</v>
      </c>
      <c r="N261" s="38">
        <f t="shared" si="32"/>
        <v>51416</v>
      </c>
      <c r="O261" s="38">
        <f t="shared" si="32"/>
        <v>166033</v>
      </c>
      <c r="P261" s="38">
        <f t="shared" si="32"/>
        <v>513</v>
      </c>
      <c r="Q261" s="38">
        <f t="shared" si="32"/>
        <v>895</v>
      </c>
      <c r="R261" s="38" t="str">
        <f t="shared" si="32"/>
        <v>-</v>
      </c>
      <c r="S261" s="38">
        <f t="shared" si="32"/>
        <v>219723</v>
      </c>
    </row>
    <row r="262" spans="1:19">
      <c r="A262" s="95">
        <v>1992</v>
      </c>
      <c r="B262" s="38" t="str">
        <f t="shared" ref="B262:K262" si="38">IF(AND(B214="-",B166="-",B118="-",B70="-"),"-",SUM(B214,B166,B118,B70))</f>
        <v>-</v>
      </c>
      <c r="C262" s="38" t="str">
        <f t="shared" si="38"/>
        <v>-</v>
      </c>
      <c r="D262" s="38">
        <f t="shared" si="38"/>
        <v>248</v>
      </c>
      <c r="E262" s="38">
        <f t="shared" si="38"/>
        <v>2531</v>
      </c>
      <c r="F262" s="38">
        <f t="shared" si="38"/>
        <v>5903</v>
      </c>
      <c r="G262" s="38">
        <f t="shared" si="38"/>
        <v>1506</v>
      </c>
      <c r="H262" s="38">
        <f t="shared" si="38"/>
        <v>1173</v>
      </c>
      <c r="I262" s="38">
        <f t="shared" si="38"/>
        <v>704</v>
      </c>
      <c r="J262" s="38" t="str">
        <f t="shared" si="38"/>
        <v>-</v>
      </c>
      <c r="K262" s="38">
        <f t="shared" si="38"/>
        <v>12065</v>
      </c>
      <c r="M262" s="38">
        <f t="shared" si="32"/>
        <v>615</v>
      </c>
      <c r="N262" s="38">
        <f t="shared" si="32"/>
        <v>24685</v>
      </c>
      <c r="O262" s="38">
        <f t="shared" si="32"/>
        <v>92708</v>
      </c>
      <c r="P262" s="38">
        <f t="shared" si="32"/>
        <v>38737</v>
      </c>
      <c r="Q262" s="38">
        <f t="shared" si="32"/>
        <v>6818</v>
      </c>
      <c r="R262" s="38">
        <f t="shared" si="32"/>
        <v>2</v>
      </c>
      <c r="S262" s="38">
        <f t="shared" si="32"/>
        <v>163565</v>
      </c>
    </row>
    <row r="263" spans="1:19">
      <c r="A263" s="95">
        <v>1993</v>
      </c>
      <c r="B263" s="38" t="str">
        <f t="shared" ref="B263:K263" si="39">IF(AND(B215="-",B167="-",B119="-",B71="-"),"-",SUM(B215,B167,B119,B71))</f>
        <v>-</v>
      </c>
      <c r="C263" s="38" t="str">
        <f t="shared" si="39"/>
        <v>-</v>
      </c>
      <c r="D263" s="38">
        <f t="shared" si="39"/>
        <v>1293</v>
      </c>
      <c r="E263" s="38">
        <f t="shared" si="39"/>
        <v>239</v>
      </c>
      <c r="F263" s="38">
        <f t="shared" si="39"/>
        <v>1679</v>
      </c>
      <c r="G263" s="38">
        <f t="shared" si="39"/>
        <v>1905</v>
      </c>
      <c r="H263" s="38">
        <f t="shared" si="39"/>
        <v>468</v>
      </c>
      <c r="I263" s="38">
        <f t="shared" si="39"/>
        <v>0</v>
      </c>
      <c r="J263" s="38">
        <f t="shared" si="39"/>
        <v>0</v>
      </c>
      <c r="K263" s="38">
        <f t="shared" si="39"/>
        <v>5584</v>
      </c>
      <c r="M263" s="38">
        <f t="shared" si="32"/>
        <v>182</v>
      </c>
      <c r="N263" s="38">
        <f t="shared" si="32"/>
        <v>160</v>
      </c>
      <c r="O263" s="38">
        <f t="shared" si="32"/>
        <v>19915</v>
      </c>
      <c r="P263" s="38">
        <f t="shared" si="32"/>
        <v>16175</v>
      </c>
      <c r="Q263" s="38">
        <f t="shared" si="32"/>
        <v>500</v>
      </c>
      <c r="R263" s="38" t="str">
        <f t="shared" si="32"/>
        <v>-</v>
      </c>
      <c r="S263" s="38">
        <f t="shared" si="32"/>
        <v>36932</v>
      </c>
    </row>
    <row r="264" spans="1:19">
      <c r="A264" s="95">
        <v>1994</v>
      </c>
      <c r="B264" s="38" t="str">
        <f t="shared" ref="B264:K264" si="40">IF(AND(B216="-",B168="-",B120="-",B72="-"),"-",SUM(B216,B168,B120,B72))</f>
        <v>-</v>
      </c>
      <c r="C264" s="38" t="str">
        <f t="shared" si="40"/>
        <v>-</v>
      </c>
      <c r="D264" s="38">
        <f t="shared" si="40"/>
        <v>1948</v>
      </c>
      <c r="E264" s="38">
        <f t="shared" si="40"/>
        <v>251</v>
      </c>
      <c r="F264" s="38" t="str">
        <f t="shared" si="40"/>
        <v>-</v>
      </c>
      <c r="G264" s="38">
        <f t="shared" si="40"/>
        <v>272</v>
      </c>
      <c r="H264" s="38">
        <f t="shared" si="40"/>
        <v>284</v>
      </c>
      <c r="I264" s="38">
        <f t="shared" si="40"/>
        <v>3282</v>
      </c>
      <c r="J264" s="38">
        <f t="shared" si="40"/>
        <v>0</v>
      </c>
      <c r="K264" s="38">
        <f t="shared" si="40"/>
        <v>6037</v>
      </c>
      <c r="M264" s="38" t="str">
        <f t="shared" si="32"/>
        <v>-</v>
      </c>
      <c r="N264" s="38" t="str">
        <f t="shared" si="32"/>
        <v>-</v>
      </c>
      <c r="O264" s="38" t="str">
        <f t="shared" si="32"/>
        <v>-</v>
      </c>
      <c r="P264" s="38">
        <f t="shared" si="32"/>
        <v>13</v>
      </c>
      <c r="Q264" s="38">
        <f t="shared" si="32"/>
        <v>4</v>
      </c>
      <c r="R264" s="38" t="str">
        <f t="shared" si="32"/>
        <v>-</v>
      </c>
      <c r="S264" s="38">
        <f t="shared" si="32"/>
        <v>17</v>
      </c>
    </row>
    <row r="265" spans="1:19">
      <c r="A265" s="95">
        <v>1995</v>
      </c>
      <c r="B265" s="38" t="str">
        <f t="shared" ref="B265:K265" si="41">IF(AND(B217="-",B169="-",B121="-",B73="-"),"-",SUM(B217,B169,B121,B73))</f>
        <v>-</v>
      </c>
      <c r="C265" s="38" t="str">
        <f t="shared" si="41"/>
        <v>-</v>
      </c>
      <c r="D265" s="38">
        <f t="shared" si="41"/>
        <v>300</v>
      </c>
      <c r="E265" s="38">
        <f t="shared" si="41"/>
        <v>1829</v>
      </c>
      <c r="F265" s="38" t="str">
        <f t="shared" si="41"/>
        <v>-</v>
      </c>
      <c r="G265" s="38">
        <f t="shared" si="41"/>
        <v>472</v>
      </c>
      <c r="H265" s="38">
        <f t="shared" si="41"/>
        <v>2799</v>
      </c>
      <c r="I265" s="38">
        <f t="shared" si="41"/>
        <v>1133</v>
      </c>
      <c r="J265" s="38">
        <f t="shared" si="41"/>
        <v>84</v>
      </c>
      <c r="K265" s="38">
        <f t="shared" si="41"/>
        <v>6617</v>
      </c>
      <c r="M265" s="38" t="str">
        <f t="shared" si="32"/>
        <v>-</v>
      </c>
      <c r="N265" s="38">
        <f t="shared" si="32"/>
        <v>38</v>
      </c>
      <c r="O265" s="38" t="str">
        <f t="shared" si="32"/>
        <v>-</v>
      </c>
      <c r="P265" s="38">
        <f t="shared" si="32"/>
        <v>3</v>
      </c>
      <c r="Q265" s="38">
        <f t="shared" si="32"/>
        <v>96</v>
      </c>
      <c r="R265" s="38">
        <f t="shared" si="32"/>
        <v>3</v>
      </c>
      <c r="S265" s="38">
        <f t="shared" si="32"/>
        <v>140</v>
      </c>
    </row>
    <row r="266" spans="1:19">
      <c r="A266" s="95">
        <v>1996</v>
      </c>
      <c r="B266" s="38" t="str">
        <f t="shared" ref="B266:K266" si="42">IF(AND(B218="-",B170="-",B122="-",B74="-"),"-",SUM(B218,B170,B122,B74))</f>
        <v>-</v>
      </c>
      <c r="C266" s="38" t="str">
        <f t="shared" si="42"/>
        <v>-</v>
      </c>
      <c r="D266" s="38">
        <f t="shared" si="42"/>
        <v>712</v>
      </c>
      <c r="E266" s="38">
        <f t="shared" si="42"/>
        <v>2908</v>
      </c>
      <c r="F266" s="38">
        <f t="shared" si="42"/>
        <v>621</v>
      </c>
      <c r="G266" s="38">
        <f t="shared" si="42"/>
        <v>3478</v>
      </c>
      <c r="H266" s="38">
        <f t="shared" si="42"/>
        <v>1449</v>
      </c>
      <c r="I266" s="38">
        <f t="shared" si="42"/>
        <v>2014</v>
      </c>
      <c r="J266" s="38">
        <f t="shared" si="42"/>
        <v>0</v>
      </c>
      <c r="K266" s="38">
        <f t="shared" si="42"/>
        <v>11182</v>
      </c>
      <c r="M266" s="38" t="str">
        <f t="shared" ref="M266:S275" si="43">IF(AND(M218="-",M170="-",M122="-",M74="-"),"-",SUM(M218,M170,M122,M74))</f>
        <v>-</v>
      </c>
      <c r="N266" s="38">
        <f t="shared" si="43"/>
        <v>10</v>
      </c>
      <c r="O266" s="38">
        <f t="shared" si="43"/>
        <v>34</v>
      </c>
      <c r="P266" s="38">
        <f t="shared" si="43"/>
        <v>73</v>
      </c>
      <c r="Q266" s="38">
        <f t="shared" si="43"/>
        <v>36</v>
      </c>
      <c r="R266" s="38">
        <f t="shared" si="43"/>
        <v>12</v>
      </c>
      <c r="S266" s="38">
        <f t="shared" si="43"/>
        <v>165</v>
      </c>
    </row>
    <row r="267" spans="1:19">
      <c r="A267" s="95">
        <v>1997</v>
      </c>
      <c r="B267" s="38" t="str">
        <f t="shared" ref="B267:K267" si="44">IF(AND(B219="-",B171="-",B123="-",B75="-"),"-",SUM(B219,B171,B123,B75))</f>
        <v>-</v>
      </c>
      <c r="C267" s="38">
        <f t="shared" si="44"/>
        <v>2</v>
      </c>
      <c r="D267" s="38">
        <f t="shared" si="44"/>
        <v>924</v>
      </c>
      <c r="E267" s="38">
        <f t="shared" si="44"/>
        <v>935</v>
      </c>
      <c r="F267" s="38">
        <f t="shared" si="44"/>
        <v>1196</v>
      </c>
      <c r="G267" s="38">
        <f t="shared" si="44"/>
        <v>3018</v>
      </c>
      <c r="H267" s="38">
        <f t="shared" si="44"/>
        <v>458</v>
      </c>
      <c r="I267" s="38">
        <f t="shared" si="44"/>
        <v>962</v>
      </c>
      <c r="J267" s="38">
        <f t="shared" si="44"/>
        <v>0</v>
      </c>
      <c r="K267" s="38">
        <f t="shared" si="44"/>
        <v>7495</v>
      </c>
      <c r="M267" s="38">
        <f t="shared" si="43"/>
        <v>17</v>
      </c>
      <c r="N267" s="38">
        <f t="shared" si="43"/>
        <v>26</v>
      </c>
      <c r="O267" s="38">
        <f t="shared" si="43"/>
        <v>49</v>
      </c>
      <c r="P267" s="38">
        <f t="shared" si="43"/>
        <v>63</v>
      </c>
      <c r="Q267" s="38">
        <f t="shared" si="43"/>
        <v>10</v>
      </c>
      <c r="R267" s="38" t="str">
        <f t="shared" si="43"/>
        <v>-</v>
      </c>
      <c r="S267" s="38">
        <f t="shared" si="43"/>
        <v>165</v>
      </c>
    </row>
    <row r="268" spans="1:19">
      <c r="A268" s="95">
        <v>1998</v>
      </c>
      <c r="B268" s="38" t="str">
        <f t="shared" ref="B268:K268" si="45">IF(AND(B220="-",B172="-",B124="-",B76="-"),"-",SUM(B220,B172,B124,B76))</f>
        <v>-</v>
      </c>
      <c r="C268" s="38">
        <f t="shared" si="45"/>
        <v>0</v>
      </c>
      <c r="D268" s="38">
        <f t="shared" si="45"/>
        <v>319</v>
      </c>
      <c r="E268" s="38">
        <f t="shared" si="45"/>
        <v>424</v>
      </c>
      <c r="F268" s="38">
        <f t="shared" si="45"/>
        <v>493</v>
      </c>
      <c r="G268" s="38">
        <f t="shared" si="45"/>
        <v>1047</v>
      </c>
      <c r="H268" s="38">
        <f t="shared" si="45"/>
        <v>773</v>
      </c>
      <c r="I268" s="38">
        <f t="shared" si="45"/>
        <v>925</v>
      </c>
      <c r="J268" s="38">
        <f t="shared" si="45"/>
        <v>0</v>
      </c>
      <c r="K268" s="38">
        <f t="shared" si="45"/>
        <v>3981</v>
      </c>
      <c r="M268" s="38" t="str">
        <f t="shared" si="43"/>
        <v>-</v>
      </c>
      <c r="N268" s="38">
        <f t="shared" si="43"/>
        <v>6</v>
      </c>
      <c r="O268" s="38">
        <f t="shared" si="43"/>
        <v>8</v>
      </c>
      <c r="P268" s="38">
        <f t="shared" si="43"/>
        <v>97</v>
      </c>
      <c r="Q268" s="38">
        <f t="shared" si="43"/>
        <v>11</v>
      </c>
      <c r="R268" s="38">
        <f t="shared" si="43"/>
        <v>8</v>
      </c>
      <c r="S268" s="38">
        <f t="shared" si="43"/>
        <v>130</v>
      </c>
    </row>
    <row r="269" spans="1:19">
      <c r="A269" s="95">
        <v>1999</v>
      </c>
      <c r="B269" s="38" t="str">
        <f t="shared" ref="B269:K269" si="46">IF(AND(B221="-",B173="-",B125="-",B77="-"),"-",SUM(B221,B173,B125,B77))</f>
        <v>-</v>
      </c>
      <c r="C269" s="38">
        <f t="shared" si="46"/>
        <v>0</v>
      </c>
      <c r="D269" s="38">
        <f t="shared" si="46"/>
        <v>136</v>
      </c>
      <c r="E269" s="38">
        <f t="shared" si="46"/>
        <v>277</v>
      </c>
      <c r="F269" s="38">
        <f t="shared" si="46"/>
        <v>2220</v>
      </c>
      <c r="G269" s="38">
        <f t="shared" si="46"/>
        <v>2092</v>
      </c>
      <c r="H269" s="38">
        <f t="shared" si="46"/>
        <v>1179</v>
      </c>
      <c r="I269" s="38">
        <f t="shared" si="46"/>
        <v>875</v>
      </c>
      <c r="J269" s="38">
        <f t="shared" si="46"/>
        <v>8</v>
      </c>
      <c r="K269" s="38">
        <f t="shared" si="46"/>
        <v>6787</v>
      </c>
      <c r="M269" s="38" t="str">
        <f t="shared" si="43"/>
        <v>-</v>
      </c>
      <c r="N269" s="38">
        <f t="shared" si="43"/>
        <v>2</v>
      </c>
      <c r="O269" s="38">
        <f t="shared" si="43"/>
        <v>6039</v>
      </c>
      <c r="P269" s="38">
        <f t="shared" si="43"/>
        <v>34</v>
      </c>
      <c r="Q269" s="38">
        <f t="shared" si="43"/>
        <v>15</v>
      </c>
      <c r="R269" s="38">
        <f t="shared" si="43"/>
        <v>2</v>
      </c>
      <c r="S269" s="38">
        <f t="shared" si="43"/>
        <v>6092</v>
      </c>
    </row>
    <row r="270" spans="1:19">
      <c r="A270" s="95">
        <v>2000</v>
      </c>
      <c r="B270" s="38" t="str">
        <f t="shared" ref="B270:K270" si="47">IF(AND(B222="-",B174="-",B126="-",B78="-"),"-",SUM(B222,B174,B126,B78))</f>
        <v>-</v>
      </c>
      <c r="C270" s="38">
        <f t="shared" si="47"/>
        <v>4</v>
      </c>
      <c r="D270" s="38">
        <f t="shared" si="47"/>
        <v>79</v>
      </c>
      <c r="E270" s="38">
        <f t="shared" si="47"/>
        <v>475</v>
      </c>
      <c r="F270" s="38">
        <f t="shared" si="47"/>
        <v>10026</v>
      </c>
      <c r="G270" s="38">
        <f t="shared" si="47"/>
        <v>11025</v>
      </c>
      <c r="H270" s="38">
        <f t="shared" si="47"/>
        <v>1779</v>
      </c>
      <c r="I270" s="38">
        <f t="shared" si="47"/>
        <v>1245</v>
      </c>
      <c r="J270" s="38">
        <f t="shared" si="47"/>
        <v>63</v>
      </c>
      <c r="K270" s="38">
        <f t="shared" si="47"/>
        <v>24696</v>
      </c>
      <c r="M270" s="38" t="str">
        <f t="shared" si="43"/>
        <v>-</v>
      </c>
      <c r="N270" s="38" t="str">
        <f t="shared" si="43"/>
        <v>-</v>
      </c>
      <c r="O270" s="38">
        <f t="shared" si="43"/>
        <v>19330</v>
      </c>
      <c r="P270" s="38">
        <f t="shared" si="43"/>
        <v>104</v>
      </c>
      <c r="Q270" s="38">
        <f t="shared" si="43"/>
        <v>20</v>
      </c>
      <c r="R270" s="38">
        <f t="shared" si="43"/>
        <v>8</v>
      </c>
      <c r="S270" s="38">
        <f t="shared" si="43"/>
        <v>19462</v>
      </c>
    </row>
    <row r="271" spans="1:19">
      <c r="A271" s="95">
        <v>2001</v>
      </c>
      <c r="B271" s="38" t="str">
        <f t="shared" ref="B271:K271" si="48">IF(AND(B223="-",B175="-",B127="-",B79="-"),"-",SUM(B223,B175,B127,B79))</f>
        <v>-</v>
      </c>
      <c r="C271" s="38">
        <f t="shared" si="48"/>
        <v>0</v>
      </c>
      <c r="D271" s="38">
        <f t="shared" si="48"/>
        <v>1024</v>
      </c>
      <c r="E271" s="38">
        <f t="shared" si="48"/>
        <v>3034</v>
      </c>
      <c r="F271" s="38">
        <f t="shared" si="48"/>
        <v>9029</v>
      </c>
      <c r="G271" s="38">
        <f t="shared" si="48"/>
        <v>7743</v>
      </c>
      <c r="H271" s="38">
        <f t="shared" si="48"/>
        <v>2279</v>
      </c>
      <c r="I271" s="38">
        <f t="shared" si="48"/>
        <v>1450</v>
      </c>
      <c r="J271" s="38">
        <f t="shared" si="48"/>
        <v>23</v>
      </c>
      <c r="K271" s="38">
        <f t="shared" si="48"/>
        <v>24582</v>
      </c>
      <c r="M271" s="38">
        <f t="shared" si="43"/>
        <v>21</v>
      </c>
      <c r="N271" s="38">
        <f t="shared" si="43"/>
        <v>17687</v>
      </c>
      <c r="O271" s="38">
        <f t="shared" si="43"/>
        <v>37104</v>
      </c>
      <c r="P271" s="38">
        <f t="shared" si="43"/>
        <v>234</v>
      </c>
      <c r="Q271" s="38">
        <f t="shared" si="43"/>
        <v>76</v>
      </c>
      <c r="R271" s="38">
        <f t="shared" si="43"/>
        <v>35</v>
      </c>
      <c r="S271" s="38">
        <f t="shared" si="43"/>
        <v>55157</v>
      </c>
    </row>
    <row r="272" spans="1:19">
      <c r="A272" s="95">
        <v>2002</v>
      </c>
      <c r="B272" s="38" t="str">
        <f t="shared" ref="B272:K272" si="49">IF(AND(B224="-",B176="-",B128="-",B80="-"),"-",SUM(B224,B176,B128,B80))</f>
        <v>-</v>
      </c>
      <c r="C272" s="38">
        <f t="shared" si="49"/>
        <v>155</v>
      </c>
      <c r="D272" s="38">
        <f t="shared" si="49"/>
        <v>836</v>
      </c>
      <c r="E272" s="38">
        <f t="shared" si="49"/>
        <v>7676</v>
      </c>
      <c r="F272" s="38">
        <f t="shared" si="49"/>
        <v>16644</v>
      </c>
      <c r="G272" s="38">
        <f t="shared" si="49"/>
        <v>8649</v>
      </c>
      <c r="H272" s="38">
        <f t="shared" si="49"/>
        <v>7829</v>
      </c>
      <c r="I272" s="38">
        <f t="shared" si="49"/>
        <v>2937</v>
      </c>
      <c r="J272" s="38">
        <f t="shared" si="49"/>
        <v>0</v>
      </c>
      <c r="K272" s="38">
        <f t="shared" si="49"/>
        <v>44726</v>
      </c>
      <c r="M272" s="38" t="str">
        <f t="shared" si="43"/>
        <v>-</v>
      </c>
      <c r="N272" s="38">
        <f t="shared" si="43"/>
        <v>66</v>
      </c>
      <c r="O272" s="38">
        <f t="shared" si="43"/>
        <v>19717</v>
      </c>
      <c r="P272" s="38">
        <f t="shared" si="43"/>
        <v>2192</v>
      </c>
      <c r="Q272" s="38">
        <f t="shared" si="43"/>
        <v>135</v>
      </c>
      <c r="R272" s="38">
        <f t="shared" si="43"/>
        <v>24</v>
      </c>
      <c r="S272" s="38">
        <f t="shared" si="43"/>
        <v>22134</v>
      </c>
    </row>
    <row r="273" spans="1:19">
      <c r="A273" s="95">
        <v>2003</v>
      </c>
      <c r="B273" s="38">
        <f t="shared" ref="B273:K273" si="50">IF(AND(B225="-",B177="-",B129="-",B81="-"),"-",SUM(B225,B177,B129,B81))</f>
        <v>2</v>
      </c>
      <c r="C273" s="38">
        <f t="shared" si="50"/>
        <v>22</v>
      </c>
      <c r="D273" s="38">
        <f t="shared" si="50"/>
        <v>716</v>
      </c>
      <c r="E273" s="38">
        <f t="shared" si="50"/>
        <v>3252</v>
      </c>
      <c r="F273" s="38">
        <f t="shared" si="50"/>
        <v>16315</v>
      </c>
      <c r="G273" s="38">
        <f t="shared" si="50"/>
        <v>10589</v>
      </c>
      <c r="H273" s="38">
        <f t="shared" si="50"/>
        <v>5539</v>
      </c>
      <c r="I273" s="38">
        <f t="shared" si="50"/>
        <v>1825</v>
      </c>
      <c r="J273" s="38">
        <f t="shared" si="50"/>
        <v>64</v>
      </c>
      <c r="K273" s="38">
        <f t="shared" si="50"/>
        <v>38324</v>
      </c>
      <c r="M273" s="38">
        <f t="shared" si="43"/>
        <v>2</v>
      </c>
      <c r="N273" s="38">
        <f t="shared" si="43"/>
        <v>7583</v>
      </c>
      <c r="O273" s="38">
        <f t="shared" si="43"/>
        <v>50878</v>
      </c>
      <c r="P273" s="38">
        <f t="shared" si="43"/>
        <v>25335</v>
      </c>
      <c r="Q273" s="38">
        <f t="shared" si="43"/>
        <v>76</v>
      </c>
      <c r="R273" s="38">
        <f t="shared" si="43"/>
        <v>14</v>
      </c>
      <c r="S273" s="38">
        <f t="shared" si="43"/>
        <v>83888</v>
      </c>
    </row>
    <row r="274" spans="1:19">
      <c r="A274" s="95">
        <v>2004</v>
      </c>
      <c r="B274" s="38">
        <f t="shared" ref="B274:K274" si="51">IF(AND(B226="-",B178="-",B130="-",B82="-"),"-",SUM(B226,B178,B130,B82))</f>
        <v>2</v>
      </c>
      <c r="C274" s="38">
        <f t="shared" si="51"/>
        <v>24</v>
      </c>
      <c r="D274" s="38">
        <f t="shared" si="51"/>
        <v>846</v>
      </c>
      <c r="E274" s="38">
        <f t="shared" si="51"/>
        <v>6229</v>
      </c>
      <c r="F274" s="38">
        <f t="shared" si="51"/>
        <v>23034</v>
      </c>
      <c r="G274" s="38">
        <f t="shared" si="51"/>
        <v>16284</v>
      </c>
      <c r="H274" s="38">
        <f t="shared" si="51"/>
        <v>5622</v>
      </c>
      <c r="I274" s="38">
        <f t="shared" si="51"/>
        <v>2140</v>
      </c>
      <c r="J274" s="38">
        <f t="shared" si="51"/>
        <v>69</v>
      </c>
      <c r="K274" s="38">
        <f t="shared" si="51"/>
        <v>54250</v>
      </c>
      <c r="M274" s="38">
        <f t="shared" si="43"/>
        <v>4</v>
      </c>
      <c r="N274" s="38">
        <f t="shared" si="43"/>
        <v>5312</v>
      </c>
      <c r="O274" s="38">
        <f t="shared" si="43"/>
        <v>31622</v>
      </c>
      <c r="P274" s="38">
        <f t="shared" si="43"/>
        <v>11889</v>
      </c>
      <c r="Q274" s="38">
        <f t="shared" si="43"/>
        <v>484</v>
      </c>
      <c r="R274" s="38">
        <f t="shared" si="43"/>
        <v>26</v>
      </c>
      <c r="S274" s="38">
        <f t="shared" si="43"/>
        <v>49337</v>
      </c>
    </row>
    <row r="275" spans="1:19">
      <c r="A275" s="95">
        <v>2005</v>
      </c>
      <c r="B275" s="38">
        <f t="shared" ref="B275:K275" si="52">IF(AND(B227="-",B179="-",B131="-",B83="-"),"-",SUM(B227,B179,B131,B83))</f>
        <v>6</v>
      </c>
      <c r="C275" s="38">
        <f t="shared" si="52"/>
        <v>104</v>
      </c>
      <c r="D275" s="38">
        <f t="shared" si="52"/>
        <v>381</v>
      </c>
      <c r="E275" s="38">
        <f t="shared" si="52"/>
        <v>6600</v>
      </c>
      <c r="F275" s="38">
        <f t="shared" si="52"/>
        <v>4277</v>
      </c>
      <c r="G275" s="38">
        <f t="shared" si="52"/>
        <v>5553</v>
      </c>
      <c r="H275" s="38">
        <f t="shared" si="52"/>
        <v>6705</v>
      </c>
      <c r="I275" s="38">
        <f t="shared" si="52"/>
        <v>684</v>
      </c>
      <c r="J275" s="38">
        <f t="shared" si="52"/>
        <v>0</v>
      </c>
      <c r="K275" s="38">
        <f t="shared" si="52"/>
        <v>24310</v>
      </c>
      <c r="M275" s="38" t="str">
        <f t="shared" si="43"/>
        <v>-</v>
      </c>
      <c r="N275" s="38">
        <f t="shared" si="43"/>
        <v>2153</v>
      </c>
      <c r="O275" s="38">
        <f t="shared" si="43"/>
        <v>1422</v>
      </c>
      <c r="P275" s="38">
        <f t="shared" si="43"/>
        <v>49</v>
      </c>
      <c r="Q275" s="38">
        <f t="shared" si="43"/>
        <v>116</v>
      </c>
      <c r="R275" s="38" t="str">
        <f t="shared" si="43"/>
        <v>-</v>
      </c>
      <c r="S275" s="38">
        <f t="shared" si="43"/>
        <v>3740</v>
      </c>
    </row>
    <row r="276" spans="1:19">
      <c r="A276" s="95">
        <v>2006</v>
      </c>
      <c r="B276" s="38">
        <f t="shared" ref="B276:K276" si="53">IF(AND(B228="-",B180="-",B132="-",B84="-"),"-",SUM(B228,B180,B132,B84))</f>
        <v>2</v>
      </c>
      <c r="C276" s="38">
        <f t="shared" si="53"/>
        <v>4</v>
      </c>
      <c r="D276" s="38">
        <f t="shared" si="53"/>
        <v>120</v>
      </c>
      <c r="E276" s="38">
        <f t="shared" si="53"/>
        <v>1053</v>
      </c>
      <c r="F276" s="38">
        <f t="shared" si="53"/>
        <v>3941</v>
      </c>
      <c r="G276" s="38">
        <f t="shared" si="53"/>
        <v>982</v>
      </c>
      <c r="H276" s="38">
        <f t="shared" si="53"/>
        <v>2507</v>
      </c>
      <c r="I276" s="38">
        <f t="shared" si="53"/>
        <v>2421</v>
      </c>
      <c r="J276" s="38">
        <f t="shared" si="53"/>
        <v>49</v>
      </c>
      <c r="K276" s="38">
        <f t="shared" si="53"/>
        <v>11079</v>
      </c>
      <c r="M276" s="38">
        <f t="shared" ref="M276:S285" si="54">IF(AND(M228="-",M180="-",M132="-",M84="-"),"-",SUM(M228,M180,M132,M84))</f>
        <v>2</v>
      </c>
      <c r="N276" s="38">
        <f t="shared" si="54"/>
        <v>943</v>
      </c>
      <c r="O276" s="38">
        <f t="shared" si="54"/>
        <v>8463</v>
      </c>
      <c r="P276" s="38">
        <f t="shared" si="54"/>
        <v>36</v>
      </c>
      <c r="Q276" s="38">
        <f t="shared" si="54"/>
        <v>715</v>
      </c>
      <c r="R276" s="38">
        <f t="shared" si="54"/>
        <v>7</v>
      </c>
      <c r="S276" s="38">
        <f t="shared" si="54"/>
        <v>10166</v>
      </c>
    </row>
    <row r="277" spans="1:19">
      <c r="A277" s="95">
        <v>2007</v>
      </c>
      <c r="B277" s="38">
        <f t="shared" ref="B277:K277" si="55">IF(AND(B229="-",B181="-",B133="-",B85="-"),"-",SUM(B229,B181,B133,B85))</f>
        <v>3</v>
      </c>
      <c r="C277" s="38">
        <f t="shared" si="55"/>
        <v>0</v>
      </c>
      <c r="D277" s="38">
        <f t="shared" si="55"/>
        <v>86</v>
      </c>
      <c r="E277" s="38">
        <f t="shared" si="55"/>
        <v>297</v>
      </c>
      <c r="F277" s="38">
        <f t="shared" si="55"/>
        <v>920</v>
      </c>
      <c r="G277" s="38">
        <f t="shared" si="55"/>
        <v>3076</v>
      </c>
      <c r="H277" s="38">
        <f t="shared" si="55"/>
        <v>940</v>
      </c>
      <c r="I277" s="38">
        <f t="shared" si="55"/>
        <v>1009</v>
      </c>
      <c r="J277" s="38">
        <f t="shared" si="55"/>
        <v>16</v>
      </c>
      <c r="K277" s="38">
        <f t="shared" si="55"/>
        <v>6347</v>
      </c>
      <c r="M277" s="38">
        <f t="shared" si="54"/>
        <v>2</v>
      </c>
      <c r="N277" s="38">
        <f t="shared" si="54"/>
        <v>4866</v>
      </c>
      <c r="O277" s="38">
        <f t="shared" si="54"/>
        <v>19829</v>
      </c>
      <c r="P277" s="38">
        <f t="shared" si="54"/>
        <v>17226</v>
      </c>
      <c r="Q277" s="38">
        <f t="shared" si="54"/>
        <v>330</v>
      </c>
      <c r="R277" s="38">
        <f t="shared" si="54"/>
        <v>3</v>
      </c>
      <c r="S277" s="38">
        <f t="shared" si="54"/>
        <v>42256</v>
      </c>
    </row>
    <row r="278" spans="1:19">
      <c r="A278" s="95">
        <v>2008</v>
      </c>
      <c r="B278" s="38" t="str">
        <f t="shared" ref="B278:I289" si="56">IF(AND(B230="-",B182="-",B134="-",B86="-"),"-",SUM(B230,B182,B134,B86))</f>
        <v>-</v>
      </c>
      <c r="C278" s="38" t="str">
        <f t="shared" si="56"/>
        <v>-</v>
      </c>
      <c r="D278" s="38" t="str">
        <f t="shared" si="56"/>
        <v>-</v>
      </c>
      <c r="E278" s="38">
        <f t="shared" si="56"/>
        <v>9</v>
      </c>
      <c r="F278" s="38">
        <f t="shared" si="56"/>
        <v>6</v>
      </c>
      <c r="G278" s="38">
        <f t="shared" si="56"/>
        <v>3</v>
      </c>
      <c r="H278" s="38">
        <f t="shared" si="56"/>
        <v>262</v>
      </c>
      <c r="I278" s="38">
        <f t="shared" si="56"/>
        <v>481</v>
      </c>
      <c r="J278" s="137" t="s">
        <v>106</v>
      </c>
      <c r="K278" s="38">
        <f t="shared" ref="K278:K289" si="57">IF(AND(K230="-",K182="-",K134="-",K86="-"),"-",SUM(K230,K182,K134,K86))</f>
        <v>761</v>
      </c>
      <c r="M278" s="38" t="str">
        <f t="shared" si="54"/>
        <v>-</v>
      </c>
      <c r="N278" s="38">
        <f t="shared" si="54"/>
        <v>1219</v>
      </c>
      <c r="O278" s="38">
        <f t="shared" si="54"/>
        <v>4084</v>
      </c>
      <c r="P278" s="38">
        <f t="shared" si="54"/>
        <v>4540</v>
      </c>
      <c r="Q278" s="38">
        <f t="shared" si="54"/>
        <v>45</v>
      </c>
      <c r="R278" s="38">
        <f t="shared" si="54"/>
        <v>6</v>
      </c>
      <c r="S278" s="38">
        <f t="shared" si="54"/>
        <v>9894</v>
      </c>
    </row>
    <row r="279" spans="1:19">
      <c r="A279" s="95">
        <v>2009</v>
      </c>
      <c r="B279" s="38" t="str">
        <f t="shared" si="56"/>
        <v>-</v>
      </c>
      <c r="C279" s="38" t="str">
        <f t="shared" si="56"/>
        <v>-</v>
      </c>
      <c r="D279" s="38" t="str">
        <f t="shared" si="56"/>
        <v>-</v>
      </c>
      <c r="E279" s="38">
        <f t="shared" si="56"/>
        <v>9</v>
      </c>
      <c r="F279" s="38">
        <f t="shared" si="56"/>
        <v>45</v>
      </c>
      <c r="G279" s="38">
        <f t="shared" si="56"/>
        <v>70</v>
      </c>
      <c r="H279" s="38">
        <f t="shared" si="56"/>
        <v>255</v>
      </c>
      <c r="I279" s="38">
        <f t="shared" si="56"/>
        <v>226</v>
      </c>
      <c r="J279" s="137" t="s">
        <v>106</v>
      </c>
      <c r="K279" s="38">
        <f t="shared" si="57"/>
        <v>605</v>
      </c>
      <c r="M279" s="38" t="str">
        <f t="shared" si="54"/>
        <v>-</v>
      </c>
      <c r="N279" s="38">
        <f t="shared" si="54"/>
        <v>4865</v>
      </c>
      <c r="O279" s="38">
        <f t="shared" si="54"/>
        <v>39124</v>
      </c>
      <c r="P279" s="38">
        <f t="shared" si="54"/>
        <v>25384</v>
      </c>
      <c r="Q279" s="38">
        <f t="shared" si="54"/>
        <v>808</v>
      </c>
      <c r="R279" s="38">
        <f t="shared" si="54"/>
        <v>6</v>
      </c>
      <c r="S279" s="38">
        <f t="shared" si="54"/>
        <v>70187</v>
      </c>
    </row>
    <row r="280" spans="1:19">
      <c r="A280" s="95">
        <v>2010</v>
      </c>
      <c r="B280" s="38" t="str">
        <f t="shared" si="56"/>
        <v>-</v>
      </c>
      <c r="C280" s="38" t="str">
        <f t="shared" si="56"/>
        <v>-</v>
      </c>
      <c r="D280" s="38">
        <f t="shared" si="56"/>
        <v>82</v>
      </c>
      <c r="E280" s="38">
        <f t="shared" si="56"/>
        <v>209</v>
      </c>
      <c r="F280" s="38">
        <f t="shared" si="56"/>
        <v>383</v>
      </c>
      <c r="G280" s="38">
        <f t="shared" si="56"/>
        <v>1132</v>
      </c>
      <c r="H280" s="38">
        <f t="shared" si="56"/>
        <v>686</v>
      </c>
      <c r="I280" s="38">
        <f t="shared" si="56"/>
        <v>663</v>
      </c>
      <c r="J280" s="137" t="s">
        <v>106</v>
      </c>
      <c r="K280" s="38">
        <f t="shared" si="57"/>
        <v>3155</v>
      </c>
      <c r="M280" s="38" t="str">
        <f t="shared" si="54"/>
        <v>-</v>
      </c>
      <c r="N280" s="38">
        <f t="shared" si="54"/>
        <v>368</v>
      </c>
      <c r="O280" s="38">
        <f t="shared" si="54"/>
        <v>2200</v>
      </c>
      <c r="P280" s="38">
        <f t="shared" si="54"/>
        <v>8361</v>
      </c>
      <c r="Q280" s="38">
        <f t="shared" si="54"/>
        <v>1258</v>
      </c>
      <c r="R280" s="38" t="str">
        <f t="shared" si="54"/>
        <v>-</v>
      </c>
      <c r="S280" s="38">
        <f t="shared" si="54"/>
        <v>12187</v>
      </c>
    </row>
    <row r="281" spans="1:19">
      <c r="A281" s="95">
        <v>2011</v>
      </c>
      <c r="B281" s="38">
        <f t="shared" si="56"/>
        <v>0</v>
      </c>
      <c r="C281" s="38">
        <f t="shared" si="56"/>
        <v>7</v>
      </c>
      <c r="D281" s="38">
        <f t="shared" si="56"/>
        <v>204</v>
      </c>
      <c r="E281" s="38">
        <f t="shared" si="56"/>
        <v>185</v>
      </c>
      <c r="F281" s="38">
        <f t="shared" si="56"/>
        <v>500</v>
      </c>
      <c r="G281" s="38">
        <f t="shared" si="56"/>
        <v>951</v>
      </c>
      <c r="H281" s="38">
        <f t="shared" si="56"/>
        <v>1252</v>
      </c>
      <c r="I281" s="38">
        <f t="shared" si="56"/>
        <v>440</v>
      </c>
      <c r="J281" s="38">
        <f>IF(AND(J233="-",J185="-",J137="-",J89="-"),"-",SUM(J233,J185,J137,J89))</f>
        <v>6</v>
      </c>
      <c r="K281" s="38">
        <f t="shared" si="57"/>
        <v>3545</v>
      </c>
      <c r="M281" s="38" t="str">
        <f t="shared" si="54"/>
        <v>-</v>
      </c>
      <c r="N281" s="38">
        <f t="shared" si="54"/>
        <v>556</v>
      </c>
      <c r="O281" s="38">
        <f t="shared" si="54"/>
        <v>3580</v>
      </c>
      <c r="P281" s="38">
        <f t="shared" si="54"/>
        <v>2019</v>
      </c>
      <c r="Q281" s="38">
        <f t="shared" si="54"/>
        <v>6631</v>
      </c>
      <c r="R281" s="38" t="str">
        <f t="shared" si="54"/>
        <v>-</v>
      </c>
      <c r="S281" s="38">
        <f t="shared" si="54"/>
        <v>12786</v>
      </c>
    </row>
    <row r="282" spans="1:19">
      <c r="A282" s="95">
        <v>2012</v>
      </c>
      <c r="B282" s="38">
        <f t="shared" si="56"/>
        <v>21</v>
      </c>
      <c r="C282" s="38">
        <f t="shared" si="56"/>
        <v>108</v>
      </c>
      <c r="D282" s="38">
        <f t="shared" si="56"/>
        <v>864</v>
      </c>
      <c r="E282" s="38">
        <f t="shared" si="56"/>
        <v>1591</v>
      </c>
      <c r="F282" s="38">
        <f t="shared" si="56"/>
        <v>3187</v>
      </c>
      <c r="G282" s="38">
        <f t="shared" si="56"/>
        <v>6272</v>
      </c>
      <c r="H282" s="38">
        <f t="shared" si="56"/>
        <v>3999</v>
      </c>
      <c r="I282" s="38">
        <f t="shared" si="56"/>
        <v>1040</v>
      </c>
      <c r="J282" s="38">
        <f>IF(AND(J234="-",J186="-",J138="-",J90="-"),"-",SUM(J234,J186,J138,J90))</f>
        <v>8</v>
      </c>
      <c r="K282" s="38">
        <f t="shared" si="57"/>
        <v>17090</v>
      </c>
      <c r="M282" s="38" t="str">
        <f t="shared" si="54"/>
        <v>-</v>
      </c>
      <c r="N282" s="38">
        <f t="shared" si="54"/>
        <v>70</v>
      </c>
      <c r="O282" s="38">
        <f t="shared" si="54"/>
        <v>2395</v>
      </c>
      <c r="P282" s="38">
        <f t="shared" si="54"/>
        <v>4975</v>
      </c>
      <c r="Q282" s="38">
        <f t="shared" si="54"/>
        <v>6965</v>
      </c>
      <c r="R282" s="38">
        <f t="shared" si="54"/>
        <v>2</v>
      </c>
      <c r="S282" s="38">
        <f t="shared" si="54"/>
        <v>14407</v>
      </c>
    </row>
    <row r="283" spans="1:19">
      <c r="A283" s="95">
        <v>2013</v>
      </c>
      <c r="B283" s="38">
        <f t="shared" si="56"/>
        <v>257</v>
      </c>
      <c r="C283" s="38">
        <f t="shared" si="56"/>
        <v>196</v>
      </c>
      <c r="D283" s="38">
        <f t="shared" si="56"/>
        <v>213</v>
      </c>
      <c r="E283" s="38">
        <f t="shared" si="56"/>
        <v>3212</v>
      </c>
      <c r="F283" s="38">
        <f t="shared" si="56"/>
        <v>6419</v>
      </c>
      <c r="G283" s="38">
        <f t="shared" si="56"/>
        <v>14722</v>
      </c>
      <c r="H283" s="38">
        <f t="shared" si="56"/>
        <v>1691</v>
      </c>
      <c r="I283" s="38">
        <f t="shared" si="56"/>
        <v>1606</v>
      </c>
      <c r="J283" s="137" t="s">
        <v>106</v>
      </c>
      <c r="K283" s="38">
        <f t="shared" si="57"/>
        <v>28316</v>
      </c>
      <c r="M283" s="38" t="str">
        <f t="shared" si="54"/>
        <v>-</v>
      </c>
      <c r="N283" s="38">
        <f t="shared" si="54"/>
        <v>17</v>
      </c>
      <c r="O283" s="38">
        <f t="shared" si="54"/>
        <v>5050</v>
      </c>
      <c r="P283" s="38">
        <f t="shared" si="54"/>
        <v>2773</v>
      </c>
      <c r="Q283" s="38">
        <f t="shared" si="54"/>
        <v>2658</v>
      </c>
      <c r="R283" s="38">
        <f t="shared" si="54"/>
        <v>25</v>
      </c>
      <c r="S283" s="38">
        <f t="shared" si="54"/>
        <v>10523</v>
      </c>
    </row>
    <row r="284" spans="1:19">
      <c r="A284" s="95">
        <v>2014</v>
      </c>
      <c r="B284" s="38">
        <f t="shared" si="56"/>
        <v>10</v>
      </c>
      <c r="C284" s="38">
        <f t="shared" si="56"/>
        <v>32</v>
      </c>
      <c r="D284" s="38">
        <f t="shared" si="56"/>
        <v>1083</v>
      </c>
      <c r="E284" s="38">
        <f t="shared" si="56"/>
        <v>1303</v>
      </c>
      <c r="F284" s="38">
        <f t="shared" si="56"/>
        <v>6314</v>
      </c>
      <c r="G284" s="38">
        <f t="shared" si="56"/>
        <v>4294</v>
      </c>
      <c r="H284" s="38">
        <f t="shared" si="56"/>
        <v>1886</v>
      </c>
      <c r="I284" s="38">
        <f t="shared" si="56"/>
        <v>1252</v>
      </c>
      <c r="J284" s="137" t="s">
        <v>106</v>
      </c>
      <c r="K284" s="38">
        <f t="shared" si="57"/>
        <v>16174</v>
      </c>
      <c r="M284" s="38">
        <f t="shared" si="54"/>
        <v>4</v>
      </c>
      <c r="N284" s="38">
        <f t="shared" si="54"/>
        <v>3561</v>
      </c>
      <c r="O284" s="38">
        <f t="shared" si="54"/>
        <v>33379</v>
      </c>
      <c r="P284" s="38">
        <f t="shared" si="54"/>
        <v>19280</v>
      </c>
      <c r="Q284" s="38">
        <f t="shared" si="54"/>
        <v>26494</v>
      </c>
      <c r="R284" s="38">
        <f t="shared" si="54"/>
        <v>49</v>
      </c>
      <c r="S284" s="38">
        <f t="shared" si="54"/>
        <v>82767</v>
      </c>
    </row>
    <row r="285" spans="1:19">
      <c r="A285" s="95">
        <v>2015</v>
      </c>
      <c r="B285" s="38">
        <f t="shared" si="56"/>
        <v>30</v>
      </c>
      <c r="C285" s="38">
        <f t="shared" si="56"/>
        <v>8</v>
      </c>
      <c r="D285" s="38">
        <f t="shared" si="56"/>
        <v>181</v>
      </c>
      <c r="E285" s="38">
        <f t="shared" si="56"/>
        <v>364</v>
      </c>
      <c r="F285" s="38">
        <f t="shared" si="56"/>
        <v>550</v>
      </c>
      <c r="G285" s="38">
        <f t="shared" si="56"/>
        <v>423</v>
      </c>
      <c r="H285" s="38">
        <f t="shared" si="56"/>
        <v>2883</v>
      </c>
      <c r="I285" s="38">
        <f t="shared" si="56"/>
        <v>2246</v>
      </c>
      <c r="J285" s="137" t="s">
        <v>106</v>
      </c>
      <c r="K285" s="38">
        <f t="shared" si="57"/>
        <v>6685</v>
      </c>
      <c r="M285" s="38" t="str">
        <f t="shared" si="54"/>
        <v>-</v>
      </c>
      <c r="N285" s="38">
        <f t="shared" si="54"/>
        <v>463</v>
      </c>
      <c r="O285" s="38">
        <f t="shared" si="54"/>
        <v>11959</v>
      </c>
      <c r="P285" s="38">
        <f t="shared" si="54"/>
        <v>2562</v>
      </c>
      <c r="Q285" s="38">
        <f t="shared" si="54"/>
        <v>4430</v>
      </c>
      <c r="R285" s="38">
        <f t="shared" si="54"/>
        <v>28</v>
      </c>
      <c r="S285" s="38">
        <f t="shared" si="54"/>
        <v>19442</v>
      </c>
    </row>
    <row r="286" spans="1:19">
      <c r="A286" s="95">
        <v>2016</v>
      </c>
      <c r="B286" s="38">
        <f t="shared" si="56"/>
        <v>32</v>
      </c>
      <c r="C286" s="38">
        <f t="shared" si="56"/>
        <v>9</v>
      </c>
      <c r="D286" s="38">
        <f t="shared" si="56"/>
        <v>128</v>
      </c>
      <c r="E286" s="38">
        <f t="shared" si="56"/>
        <v>319</v>
      </c>
      <c r="F286" s="38">
        <f t="shared" si="56"/>
        <v>310</v>
      </c>
      <c r="G286" s="38">
        <f t="shared" si="56"/>
        <v>695</v>
      </c>
      <c r="H286" s="38">
        <f t="shared" si="56"/>
        <v>1199</v>
      </c>
      <c r="I286" s="38">
        <f t="shared" si="56"/>
        <v>363</v>
      </c>
      <c r="J286" s="137" t="s">
        <v>106</v>
      </c>
      <c r="K286" s="38">
        <f t="shared" si="57"/>
        <v>3055</v>
      </c>
      <c r="M286" s="38" t="str">
        <f t="shared" ref="M286:S289" si="58">IF(AND(M238="-",M190="-",M142="-",M94="-"),"-",SUM(M238,M190,M142,M94))</f>
        <v>-</v>
      </c>
      <c r="N286" s="38">
        <f t="shared" si="58"/>
        <v>256</v>
      </c>
      <c r="O286" s="38">
        <f t="shared" si="58"/>
        <v>1216</v>
      </c>
      <c r="P286" s="38">
        <f t="shared" si="58"/>
        <v>82</v>
      </c>
      <c r="Q286" s="38">
        <f t="shared" si="58"/>
        <v>4180</v>
      </c>
      <c r="R286" s="38">
        <f t="shared" si="58"/>
        <v>22</v>
      </c>
      <c r="S286" s="38">
        <f t="shared" si="58"/>
        <v>5756</v>
      </c>
    </row>
    <row r="287" spans="1:19">
      <c r="A287" s="95">
        <v>2017</v>
      </c>
      <c r="B287" s="38">
        <f t="shared" si="56"/>
        <v>0</v>
      </c>
      <c r="C287" s="38">
        <f t="shared" si="56"/>
        <v>6</v>
      </c>
      <c r="D287" s="38">
        <f t="shared" si="56"/>
        <v>89</v>
      </c>
      <c r="E287" s="38">
        <f t="shared" si="56"/>
        <v>139</v>
      </c>
      <c r="F287" s="38">
        <f t="shared" si="56"/>
        <v>508</v>
      </c>
      <c r="G287" s="38">
        <f t="shared" si="56"/>
        <v>807</v>
      </c>
      <c r="H287" s="38">
        <f t="shared" si="56"/>
        <v>592</v>
      </c>
      <c r="I287" s="38">
        <f t="shared" si="56"/>
        <v>545</v>
      </c>
      <c r="J287" s="137" t="s">
        <v>106</v>
      </c>
      <c r="K287" s="38">
        <f t="shared" si="57"/>
        <v>2686</v>
      </c>
      <c r="M287" s="38" t="str">
        <f t="shared" si="58"/>
        <v>-</v>
      </c>
      <c r="N287" s="38">
        <f t="shared" si="58"/>
        <v>363</v>
      </c>
      <c r="O287" s="38">
        <f t="shared" si="58"/>
        <v>5772</v>
      </c>
      <c r="P287" s="38">
        <f t="shared" si="58"/>
        <v>3940</v>
      </c>
      <c r="Q287" s="38">
        <f t="shared" si="58"/>
        <v>4590</v>
      </c>
      <c r="R287" s="38" t="str">
        <f t="shared" si="58"/>
        <v>-</v>
      </c>
      <c r="S287" s="38">
        <f t="shared" si="58"/>
        <v>14665</v>
      </c>
    </row>
    <row r="288" spans="1:19">
      <c r="A288" s="95">
        <v>2018</v>
      </c>
      <c r="B288" s="38">
        <f t="shared" si="56"/>
        <v>0</v>
      </c>
      <c r="C288" s="38">
        <f t="shared" si="56"/>
        <v>4</v>
      </c>
      <c r="D288" s="38">
        <f t="shared" si="56"/>
        <v>153</v>
      </c>
      <c r="E288" s="38">
        <f t="shared" si="56"/>
        <v>288</v>
      </c>
      <c r="F288" s="38">
        <f t="shared" si="56"/>
        <v>1113</v>
      </c>
      <c r="G288" s="38">
        <f t="shared" si="56"/>
        <v>1615</v>
      </c>
      <c r="H288" s="38">
        <f t="shared" si="56"/>
        <v>625</v>
      </c>
      <c r="I288" s="38">
        <f t="shared" si="56"/>
        <v>503</v>
      </c>
      <c r="J288" s="137" t="s">
        <v>106</v>
      </c>
      <c r="K288" s="38">
        <f t="shared" si="57"/>
        <v>4301</v>
      </c>
      <c r="M288" s="38" t="str">
        <f t="shared" si="58"/>
        <v>-</v>
      </c>
      <c r="N288" s="38">
        <f t="shared" si="58"/>
        <v>34</v>
      </c>
      <c r="O288" s="38">
        <f t="shared" si="58"/>
        <v>2981</v>
      </c>
      <c r="P288" s="38">
        <f t="shared" si="58"/>
        <v>8593</v>
      </c>
      <c r="Q288" s="38">
        <f t="shared" si="58"/>
        <v>6936</v>
      </c>
      <c r="R288" s="38" t="str">
        <f t="shared" si="58"/>
        <v>-</v>
      </c>
      <c r="S288" s="38">
        <f t="shared" si="58"/>
        <v>18544</v>
      </c>
    </row>
    <row r="289" spans="1:19">
      <c r="A289" s="95">
        <v>2019</v>
      </c>
      <c r="B289" s="38">
        <f t="shared" si="56"/>
        <v>10</v>
      </c>
      <c r="C289" s="38">
        <f t="shared" si="56"/>
        <v>3</v>
      </c>
      <c r="D289" s="38">
        <f t="shared" si="56"/>
        <v>112</v>
      </c>
      <c r="E289" s="38">
        <f t="shared" si="56"/>
        <v>647</v>
      </c>
      <c r="F289" s="38">
        <f t="shared" si="56"/>
        <v>2642</v>
      </c>
      <c r="G289" s="38">
        <f t="shared" si="56"/>
        <v>948</v>
      </c>
      <c r="H289" s="38">
        <f t="shared" si="56"/>
        <v>693</v>
      </c>
      <c r="I289" s="38">
        <f t="shared" si="56"/>
        <v>256</v>
      </c>
      <c r="J289" s="38" t="str">
        <f>IF(AND(J241="-",J193="-",J145="-",J97="-"),"-",SUM(J241,J193,J145,J97))</f>
        <v>-</v>
      </c>
      <c r="K289" s="38">
        <f t="shared" si="57"/>
        <v>5311</v>
      </c>
      <c r="M289" s="38" t="str">
        <f t="shared" si="58"/>
        <v>-</v>
      </c>
      <c r="N289" s="38">
        <f t="shared" si="58"/>
        <v>3944</v>
      </c>
      <c r="O289" s="38">
        <f t="shared" si="58"/>
        <v>27644</v>
      </c>
      <c r="P289" s="38">
        <f t="shared" si="58"/>
        <v>12426</v>
      </c>
      <c r="Q289" s="38">
        <f t="shared" si="58"/>
        <v>5070</v>
      </c>
      <c r="R289" s="38">
        <f t="shared" si="58"/>
        <v>5</v>
      </c>
      <c r="S289" s="38">
        <f t="shared" si="58"/>
        <v>49089</v>
      </c>
    </row>
    <row r="290" spans="1:19">
      <c r="A290" s="95">
        <v>2020</v>
      </c>
      <c r="B290" s="38">
        <f t="shared" ref="B290:K291" si="59">IF(AND(B242="-",B194="-",B146="-",B98="-"),"-",SUM(B242,B194,B146,B98))</f>
        <v>0</v>
      </c>
      <c r="C290" s="38">
        <f t="shared" si="59"/>
        <v>4</v>
      </c>
      <c r="D290" s="38">
        <f t="shared" si="59"/>
        <v>38</v>
      </c>
      <c r="E290" s="38">
        <f t="shared" si="59"/>
        <v>655</v>
      </c>
      <c r="F290" s="38">
        <f t="shared" si="59"/>
        <v>3798</v>
      </c>
      <c r="G290" s="38">
        <f t="shared" si="59"/>
        <v>976</v>
      </c>
      <c r="H290" s="38">
        <f t="shared" si="59"/>
        <v>1345</v>
      </c>
      <c r="I290" s="38">
        <f t="shared" si="59"/>
        <v>219</v>
      </c>
      <c r="J290" s="38" t="str">
        <f t="shared" si="59"/>
        <v>-</v>
      </c>
      <c r="K290" s="38">
        <f t="shared" si="59"/>
        <v>7035</v>
      </c>
      <c r="M290" s="38" t="str">
        <f t="shared" ref="M290:R291" si="60">IF(AND(M242="-",M194="-",M146="-",M98="-"),"-",SUM(M242,M194,M146,M98))</f>
        <v>-</v>
      </c>
      <c r="N290" s="38">
        <f t="shared" si="60"/>
        <v>0</v>
      </c>
      <c r="O290" s="38">
        <f t="shared" si="60"/>
        <v>7714</v>
      </c>
      <c r="P290" s="38">
        <f t="shared" si="60"/>
        <v>5126</v>
      </c>
      <c r="Q290" s="38">
        <f t="shared" si="60"/>
        <v>4239</v>
      </c>
      <c r="R290" s="38" t="str">
        <f t="shared" si="60"/>
        <v>-</v>
      </c>
      <c r="S290" s="38">
        <f>IF(AND(S242="-",S194="-",S146="-",S98="-"),"-",SUM(S242,S194,S146,S98))</f>
        <v>17079</v>
      </c>
    </row>
    <row r="291" spans="1:19" ht="13">
      <c r="A291" s="95" t="s">
        <v>317</v>
      </c>
      <c r="B291" s="38">
        <f t="shared" si="59"/>
        <v>12</v>
      </c>
      <c r="C291" s="38">
        <f t="shared" si="59"/>
        <v>136</v>
      </c>
      <c r="D291" s="38">
        <f t="shared" si="59"/>
        <v>174</v>
      </c>
      <c r="E291" s="38">
        <f t="shared" si="59"/>
        <v>852</v>
      </c>
      <c r="F291" s="38">
        <f t="shared" si="59"/>
        <v>3134</v>
      </c>
      <c r="G291" s="38">
        <f t="shared" si="59"/>
        <v>1231</v>
      </c>
      <c r="H291" s="38">
        <f t="shared" si="59"/>
        <v>863</v>
      </c>
      <c r="I291" s="38">
        <f t="shared" si="59"/>
        <v>9</v>
      </c>
      <c r="J291" s="38" t="str">
        <f t="shared" si="59"/>
        <v>-</v>
      </c>
      <c r="K291" s="38">
        <f t="shared" si="59"/>
        <v>6411</v>
      </c>
      <c r="M291" s="38" t="str">
        <f t="shared" si="60"/>
        <v>-</v>
      </c>
      <c r="N291" s="38">
        <f t="shared" si="60"/>
        <v>2237</v>
      </c>
      <c r="O291" s="38">
        <f t="shared" si="60"/>
        <v>37935</v>
      </c>
      <c r="P291" s="38">
        <f t="shared" si="60"/>
        <v>28106</v>
      </c>
      <c r="Q291" s="38">
        <f t="shared" si="60"/>
        <v>10766</v>
      </c>
      <c r="R291" s="38">
        <f t="shared" si="60"/>
        <v>4</v>
      </c>
      <c r="S291" s="38">
        <f>IF(AND(S243="-",S195="-",S147="-",S99="-"),"-",SUM(S243,S195,S147,S99))</f>
        <v>79048</v>
      </c>
    </row>
    <row r="293" spans="1:19">
      <c r="A293" s="93" t="s">
        <v>45</v>
      </c>
    </row>
    <row r="294" spans="1:19">
      <c r="A294" s="99">
        <v>1976</v>
      </c>
      <c r="B294" s="38" t="str">
        <f t="shared" ref="B294:K294" si="61">IF(AND(B6="-",B246="-"),"-",SUM(B6,B246))</f>
        <v>-</v>
      </c>
      <c r="C294" s="38">
        <f t="shared" si="61"/>
        <v>0</v>
      </c>
      <c r="D294" s="38">
        <f t="shared" si="61"/>
        <v>1987</v>
      </c>
      <c r="E294" s="38">
        <f t="shared" si="61"/>
        <v>12521</v>
      </c>
      <c r="F294" s="38">
        <f t="shared" si="61"/>
        <v>19614</v>
      </c>
      <c r="G294" s="38">
        <f t="shared" si="61"/>
        <v>35313</v>
      </c>
      <c r="H294" s="38">
        <f t="shared" si="61"/>
        <v>8635</v>
      </c>
      <c r="I294" s="38">
        <f t="shared" si="61"/>
        <v>844</v>
      </c>
      <c r="J294" s="38">
        <f t="shared" si="61"/>
        <v>152</v>
      </c>
      <c r="K294" s="38">
        <f t="shared" si="61"/>
        <v>79066</v>
      </c>
      <c r="M294" s="38">
        <f t="shared" ref="M294:S303" si="62">IF(AND(M6="-",M246="-"),"-",SUM(M6,M246))</f>
        <v>19217</v>
      </c>
      <c r="N294" s="38">
        <f t="shared" si="62"/>
        <v>75561</v>
      </c>
      <c r="O294" s="38">
        <f t="shared" si="62"/>
        <v>170085</v>
      </c>
      <c r="P294" s="38">
        <f t="shared" si="62"/>
        <v>192077</v>
      </c>
      <c r="Q294" s="38">
        <f t="shared" si="62"/>
        <v>38771</v>
      </c>
      <c r="R294" s="38">
        <f t="shared" si="62"/>
        <v>4301</v>
      </c>
      <c r="S294" s="38">
        <f t="shared" si="62"/>
        <v>500012</v>
      </c>
    </row>
    <row r="295" spans="1:19">
      <c r="A295" s="99">
        <v>1977</v>
      </c>
      <c r="B295" s="38" t="str">
        <f t="shared" ref="B295:K295" si="63">IF(AND(B7="-",B247="-"),"-",SUM(B7,B247))</f>
        <v>-</v>
      </c>
      <c r="C295" s="38">
        <f t="shared" si="63"/>
        <v>0</v>
      </c>
      <c r="D295" s="38">
        <f t="shared" si="63"/>
        <v>1357</v>
      </c>
      <c r="E295" s="38">
        <f t="shared" si="63"/>
        <v>8392</v>
      </c>
      <c r="F295" s="38">
        <f t="shared" si="63"/>
        <v>16727</v>
      </c>
      <c r="G295" s="38">
        <f t="shared" si="63"/>
        <v>24097</v>
      </c>
      <c r="H295" s="38">
        <f t="shared" si="63"/>
        <v>5818</v>
      </c>
      <c r="I295" s="38">
        <f t="shared" si="63"/>
        <v>1601</v>
      </c>
      <c r="J295" s="38">
        <f t="shared" si="63"/>
        <v>100</v>
      </c>
      <c r="K295" s="38">
        <f t="shared" si="63"/>
        <v>58092</v>
      </c>
      <c r="M295" s="38">
        <f t="shared" si="62"/>
        <v>15673</v>
      </c>
      <c r="N295" s="38">
        <f t="shared" si="62"/>
        <v>25282</v>
      </c>
      <c r="O295" s="38">
        <f t="shared" si="62"/>
        <v>78296</v>
      </c>
      <c r="P295" s="38">
        <f t="shared" si="62"/>
        <v>52004</v>
      </c>
      <c r="Q295" s="38">
        <f t="shared" si="62"/>
        <v>8216</v>
      </c>
      <c r="R295" s="38">
        <f t="shared" si="62"/>
        <v>435</v>
      </c>
      <c r="S295" s="38">
        <f t="shared" si="62"/>
        <v>179906</v>
      </c>
    </row>
    <row r="296" spans="1:19">
      <c r="A296" s="99">
        <v>1978</v>
      </c>
      <c r="B296" s="38" t="str">
        <f t="shared" ref="B296:K296" si="64">IF(AND(B8="-",B248="-"),"-",SUM(B8,B248))</f>
        <v>-</v>
      </c>
      <c r="C296" s="38">
        <f t="shared" si="64"/>
        <v>0</v>
      </c>
      <c r="D296" s="38">
        <f t="shared" si="64"/>
        <v>994</v>
      </c>
      <c r="E296" s="38">
        <f t="shared" si="64"/>
        <v>4702</v>
      </c>
      <c r="F296" s="38">
        <f t="shared" si="64"/>
        <v>4955</v>
      </c>
      <c r="G296" s="38">
        <f t="shared" si="64"/>
        <v>9544</v>
      </c>
      <c r="H296" s="38">
        <f t="shared" si="64"/>
        <v>1610</v>
      </c>
      <c r="I296" s="38">
        <f t="shared" si="64"/>
        <v>911</v>
      </c>
      <c r="J296" s="38">
        <f t="shared" si="64"/>
        <v>79</v>
      </c>
      <c r="K296" s="38">
        <f t="shared" si="64"/>
        <v>22795</v>
      </c>
      <c r="M296" s="38">
        <f t="shared" si="62"/>
        <v>5283</v>
      </c>
      <c r="N296" s="38">
        <f t="shared" si="62"/>
        <v>101444</v>
      </c>
      <c r="O296" s="38">
        <f t="shared" si="62"/>
        <v>71336</v>
      </c>
      <c r="P296" s="38">
        <f t="shared" si="62"/>
        <v>67690</v>
      </c>
      <c r="Q296" s="38">
        <f t="shared" si="62"/>
        <v>13202</v>
      </c>
      <c r="R296" s="38">
        <f t="shared" si="62"/>
        <v>394</v>
      </c>
      <c r="S296" s="38">
        <f t="shared" si="62"/>
        <v>259349</v>
      </c>
    </row>
    <row r="297" spans="1:19">
      <c r="A297" s="99">
        <v>1979</v>
      </c>
      <c r="B297" s="38" t="str">
        <f t="shared" ref="B297:K297" si="65">IF(AND(B9="-",B249="-"),"-",SUM(B9,B249))</f>
        <v>-</v>
      </c>
      <c r="C297" s="38" t="str">
        <f t="shared" si="65"/>
        <v>-</v>
      </c>
      <c r="D297" s="38">
        <f t="shared" si="65"/>
        <v>973</v>
      </c>
      <c r="E297" s="38">
        <f t="shared" si="65"/>
        <v>4593</v>
      </c>
      <c r="F297" s="38">
        <f t="shared" si="65"/>
        <v>6738</v>
      </c>
      <c r="G297" s="38">
        <f t="shared" si="65"/>
        <v>7741</v>
      </c>
      <c r="H297" s="38">
        <f t="shared" si="65"/>
        <v>200</v>
      </c>
      <c r="I297" s="38">
        <f t="shared" si="65"/>
        <v>597</v>
      </c>
      <c r="J297" s="38">
        <f t="shared" si="65"/>
        <v>60</v>
      </c>
      <c r="K297" s="38">
        <f t="shared" si="65"/>
        <v>20902</v>
      </c>
      <c r="M297" s="38">
        <f t="shared" si="62"/>
        <v>5667</v>
      </c>
      <c r="N297" s="38">
        <f t="shared" si="62"/>
        <v>35559</v>
      </c>
      <c r="O297" s="38">
        <f t="shared" si="62"/>
        <v>85768</v>
      </c>
      <c r="P297" s="38">
        <f t="shared" si="62"/>
        <v>52210</v>
      </c>
      <c r="Q297" s="38">
        <f t="shared" si="62"/>
        <v>1630</v>
      </c>
      <c r="R297" s="38" t="str">
        <f t="shared" si="62"/>
        <v>-</v>
      </c>
      <c r="S297" s="38">
        <f t="shared" si="62"/>
        <v>180834</v>
      </c>
    </row>
    <row r="298" spans="1:19">
      <c r="A298" s="99">
        <v>1980</v>
      </c>
      <c r="B298" s="38" t="str">
        <f t="shared" ref="B298:K298" si="66">IF(AND(B10="-",B250="-"),"-",SUM(B10,B250))</f>
        <v>-</v>
      </c>
      <c r="C298" s="38" t="str">
        <f t="shared" si="66"/>
        <v>-</v>
      </c>
      <c r="D298" s="38">
        <f t="shared" si="66"/>
        <v>313</v>
      </c>
      <c r="E298" s="38">
        <f t="shared" si="66"/>
        <v>4654</v>
      </c>
      <c r="F298" s="38">
        <f t="shared" si="66"/>
        <v>6912</v>
      </c>
      <c r="G298" s="38">
        <f t="shared" si="66"/>
        <v>5404</v>
      </c>
      <c r="H298" s="38">
        <f t="shared" si="66"/>
        <v>1349</v>
      </c>
      <c r="I298" s="38">
        <f t="shared" si="66"/>
        <v>319</v>
      </c>
      <c r="J298" s="38">
        <f t="shared" si="66"/>
        <v>63</v>
      </c>
      <c r="K298" s="38">
        <f t="shared" si="66"/>
        <v>19014</v>
      </c>
      <c r="M298" s="38">
        <f t="shared" si="62"/>
        <v>6025</v>
      </c>
      <c r="N298" s="38">
        <f t="shared" si="62"/>
        <v>114176</v>
      </c>
      <c r="O298" s="38">
        <f t="shared" si="62"/>
        <v>156114</v>
      </c>
      <c r="P298" s="38">
        <f t="shared" si="62"/>
        <v>45136</v>
      </c>
      <c r="Q298" s="38">
        <f t="shared" si="62"/>
        <v>4392</v>
      </c>
      <c r="R298" s="38" t="str">
        <f t="shared" si="62"/>
        <v>-</v>
      </c>
      <c r="S298" s="38">
        <f t="shared" si="62"/>
        <v>325843</v>
      </c>
    </row>
    <row r="299" spans="1:19">
      <c r="A299" s="99">
        <v>1981</v>
      </c>
      <c r="B299" s="38" t="str">
        <f t="shared" ref="B299:K299" si="67">IF(AND(B11="-",B251="-"),"-",SUM(B11,B251))</f>
        <v>-</v>
      </c>
      <c r="C299" s="38" t="str">
        <f t="shared" si="67"/>
        <v>-</v>
      </c>
      <c r="D299" s="38">
        <f t="shared" si="67"/>
        <v>700</v>
      </c>
      <c r="E299" s="38">
        <f t="shared" si="67"/>
        <v>3148</v>
      </c>
      <c r="F299" s="38">
        <f t="shared" si="67"/>
        <v>10309</v>
      </c>
      <c r="G299" s="38">
        <f t="shared" si="67"/>
        <v>12471</v>
      </c>
      <c r="H299" s="38">
        <f t="shared" si="67"/>
        <v>2248</v>
      </c>
      <c r="I299" s="38">
        <f t="shared" si="67"/>
        <v>289</v>
      </c>
      <c r="J299" s="38">
        <f t="shared" si="67"/>
        <v>10</v>
      </c>
      <c r="K299" s="38">
        <f t="shared" si="67"/>
        <v>29175</v>
      </c>
      <c r="M299" s="38">
        <f t="shared" si="62"/>
        <v>9181</v>
      </c>
      <c r="N299" s="38">
        <f t="shared" si="62"/>
        <v>26331</v>
      </c>
      <c r="O299" s="38">
        <f t="shared" si="62"/>
        <v>70778</v>
      </c>
      <c r="P299" s="38">
        <f t="shared" si="62"/>
        <v>80616</v>
      </c>
      <c r="Q299" s="38">
        <f t="shared" si="62"/>
        <v>12906</v>
      </c>
      <c r="R299" s="38" t="str">
        <f t="shared" si="62"/>
        <v>-</v>
      </c>
      <c r="S299" s="38">
        <f t="shared" si="62"/>
        <v>199812</v>
      </c>
    </row>
    <row r="300" spans="1:19">
      <c r="A300" s="99">
        <v>1982</v>
      </c>
      <c r="B300" s="38" t="str">
        <f t="shared" ref="B300:K300" si="68">IF(AND(B12="-",B252="-"),"-",SUM(B12,B252))</f>
        <v>-</v>
      </c>
      <c r="C300" s="38" t="str">
        <f t="shared" si="68"/>
        <v>-</v>
      </c>
      <c r="D300" s="38">
        <f t="shared" si="68"/>
        <v>7</v>
      </c>
      <c r="E300" s="38">
        <f t="shared" si="68"/>
        <v>4741</v>
      </c>
      <c r="F300" s="38">
        <f t="shared" si="68"/>
        <v>31945</v>
      </c>
      <c r="G300" s="38">
        <f t="shared" si="68"/>
        <v>1544</v>
      </c>
      <c r="H300" s="38">
        <f t="shared" si="68"/>
        <v>227</v>
      </c>
      <c r="I300" s="38">
        <f t="shared" si="68"/>
        <v>236</v>
      </c>
      <c r="J300" s="38">
        <f t="shared" si="68"/>
        <v>16</v>
      </c>
      <c r="K300" s="38">
        <f t="shared" si="68"/>
        <v>38716</v>
      </c>
      <c r="M300" s="38">
        <f t="shared" si="62"/>
        <v>5</v>
      </c>
      <c r="N300" s="38">
        <f t="shared" si="62"/>
        <v>24147</v>
      </c>
      <c r="O300" s="38">
        <f t="shared" si="62"/>
        <v>150976</v>
      </c>
      <c r="P300" s="38">
        <f t="shared" si="62"/>
        <v>0</v>
      </c>
      <c r="Q300" s="38" t="str">
        <f t="shared" si="62"/>
        <v>-</v>
      </c>
      <c r="R300" s="38" t="str">
        <f t="shared" si="62"/>
        <v>-</v>
      </c>
      <c r="S300" s="38">
        <f t="shared" si="62"/>
        <v>175128</v>
      </c>
    </row>
    <row r="301" spans="1:19">
      <c r="A301" s="99">
        <v>1983</v>
      </c>
      <c r="B301" s="38" t="str">
        <f t="shared" ref="B301:K301" si="69">IF(AND(B13="-",B253="-"),"-",SUM(B13,B253))</f>
        <v>-</v>
      </c>
      <c r="C301" s="38" t="str">
        <f t="shared" si="69"/>
        <v>-</v>
      </c>
      <c r="D301" s="38">
        <f t="shared" si="69"/>
        <v>504</v>
      </c>
      <c r="E301" s="38">
        <f t="shared" si="69"/>
        <v>6128</v>
      </c>
      <c r="F301" s="38">
        <f t="shared" si="69"/>
        <v>10141</v>
      </c>
      <c r="G301" s="38">
        <f t="shared" si="69"/>
        <v>3632</v>
      </c>
      <c r="H301" s="38">
        <f t="shared" si="69"/>
        <v>3256</v>
      </c>
      <c r="I301" s="38">
        <f t="shared" si="69"/>
        <v>999</v>
      </c>
      <c r="J301" s="38">
        <f t="shared" si="69"/>
        <v>17</v>
      </c>
      <c r="K301" s="38">
        <f t="shared" si="69"/>
        <v>24677</v>
      </c>
      <c r="M301" s="38">
        <f t="shared" si="62"/>
        <v>453</v>
      </c>
      <c r="N301" s="38">
        <f t="shared" si="62"/>
        <v>30022</v>
      </c>
      <c r="O301" s="38">
        <f t="shared" si="62"/>
        <v>75643</v>
      </c>
      <c r="P301" s="38">
        <f t="shared" si="62"/>
        <v>26400</v>
      </c>
      <c r="Q301" s="38">
        <f t="shared" si="62"/>
        <v>14386</v>
      </c>
      <c r="R301" s="38" t="str">
        <f t="shared" si="62"/>
        <v>-</v>
      </c>
      <c r="S301" s="38">
        <f t="shared" si="62"/>
        <v>146904</v>
      </c>
    </row>
    <row r="302" spans="1:19">
      <c r="A302" s="99">
        <v>1984</v>
      </c>
      <c r="B302" s="38" t="str">
        <f t="shared" ref="B302:K302" si="70">IF(AND(B14="-",B254="-"),"-",SUM(B14,B254))</f>
        <v>-</v>
      </c>
      <c r="C302" s="38" t="str">
        <f t="shared" si="70"/>
        <v>-</v>
      </c>
      <c r="D302" s="38" t="str">
        <f t="shared" si="70"/>
        <v>-</v>
      </c>
      <c r="E302" s="38">
        <f t="shared" si="70"/>
        <v>0</v>
      </c>
      <c r="F302" s="38">
        <f t="shared" si="70"/>
        <v>5818</v>
      </c>
      <c r="G302" s="38">
        <f t="shared" si="70"/>
        <v>9561</v>
      </c>
      <c r="H302" s="38">
        <f t="shared" si="70"/>
        <v>1165</v>
      </c>
      <c r="I302" s="38">
        <f t="shared" si="70"/>
        <v>448</v>
      </c>
      <c r="J302" s="38">
        <f t="shared" si="70"/>
        <v>0</v>
      </c>
      <c r="K302" s="38">
        <f t="shared" si="70"/>
        <v>16992</v>
      </c>
      <c r="M302" s="38" t="str">
        <f t="shared" si="62"/>
        <v>-</v>
      </c>
      <c r="N302" s="38" t="str">
        <f t="shared" si="62"/>
        <v>-</v>
      </c>
      <c r="O302" s="38">
        <f t="shared" si="62"/>
        <v>64570</v>
      </c>
      <c r="P302" s="38">
        <f t="shared" si="62"/>
        <v>57169</v>
      </c>
      <c r="Q302" s="38">
        <f t="shared" si="62"/>
        <v>894</v>
      </c>
      <c r="R302" s="38" t="str">
        <f t="shared" si="62"/>
        <v>-</v>
      </c>
      <c r="S302" s="38">
        <f t="shared" si="62"/>
        <v>122633</v>
      </c>
    </row>
    <row r="303" spans="1:19">
      <c r="A303" s="99">
        <v>1985</v>
      </c>
      <c r="B303" s="38" t="str">
        <f t="shared" ref="B303:K303" si="71">IF(AND(B15="-",B255="-"),"-",SUM(B15,B255))</f>
        <v>-</v>
      </c>
      <c r="C303" s="38" t="str">
        <f t="shared" si="71"/>
        <v>-</v>
      </c>
      <c r="D303" s="38">
        <f t="shared" si="71"/>
        <v>2450</v>
      </c>
      <c r="E303" s="38">
        <f t="shared" si="71"/>
        <v>27</v>
      </c>
      <c r="F303" s="38">
        <f t="shared" si="71"/>
        <v>31367</v>
      </c>
      <c r="G303" s="38">
        <f t="shared" si="71"/>
        <v>20817</v>
      </c>
      <c r="H303" s="38">
        <f t="shared" si="71"/>
        <v>600</v>
      </c>
      <c r="I303" s="38">
        <f t="shared" si="71"/>
        <v>606</v>
      </c>
      <c r="J303" s="38">
        <f t="shared" si="71"/>
        <v>0</v>
      </c>
      <c r="K303" s="38">
        <f t="shared" si="71"/>
        <v>55867</v>
      </c>
      <c r="M303" s="38">
        <f t="shared" si="62"/>
        <v>10</v>
      </c>
      <c r="N303" s="38">
        <f t="shared" si="62"/>
        <v>687</v>
      </c>
      <c r="O303" s="38">
        <f t="shared" si="62"/>
        <v>71143</v>
      </c>
      <c r="P303" s="38">
        <f t="shared" si="62"/>
        <v>108330</v>
      </c>
      <c r="Q303" s="38">
        <f t="shared" si="62"/>
        <v>2312</v>
      </c>
      <c r="R303" s="38">
        <f t="shared" si="62"/>
        <v>4</v>
      </c>
      <c r="S303" s="38">
        <f t="shared" si="62"/>
        <v>182486</v>
      </c>
    </row>
    <row r="304" spans="1:19">
      <c r="A304" s="95">
        <v>1986</v>
      </c>
      <c r="B304" s="38" t="str">
        <f t="shared" ref="B304:K304" si="72">IF(AND(B16="-",B256="-"),"-",SUM(B16,B256))</f>
        <v>-</v>
      </c>
      <c r="C304" s="38" t="str">
        <f t="shared" si="72"/>
        <v>-</v>
      </c>
      <c r="D304" s="38">
        <f t="shared" si="72"/>
        <v>1203</v>
      </c>
      <c r="E304" s="38">
        <f t="shared" si="72"/>
        <v>4032</v>
      </c>
      <c r="F304" s="38">
        <f t="shared" si="72"/>
        <v>11115</v>
      </c>
      <c r="G304" s="38">
        <f t="shared" si="72"/>
        <v>5402</v>
      </c>
      <c r="H304" s="38">
        <f t="shared" si="72"/>
        <v>15</v>
      </c>
      <c r="I304" s="38">
        <f t="shared" si="72"/>
        <v>611</v>
      </c>
      <c r="J304" s="38">
        <f t="shared" si="72"/>
        <v>0</v>
      </c>
      <c r="K304" s="38">
        <f t="shared" si="72"/>
        <v>22378</v>
      </c>
      <c r="M304" s="38">
        <f t="shared" ref="M304:S313" si="73">IF(AND(M16="-",M256="-"),"-",SUM(M16,M256))</f>
        <v>4035</v>
      </c>
      <c r="N304" s="38">
        <f t="shared" si="73"/>
        <v>22197</v>
      </c>
      <c r="O304" s="38">
        <f t="shared" si="73"/>
        <v>144909</v>
      </c>
      <c r="P304" s="38">
        <f t="shared" si="73"/>
        <v>40666</v>
      </c>
      <c r="Q304" s="38">
        <f t="shared" si="73"/>
        <v>0</v>
      </c>
      <c r="R304" s="38">
        <f t="shared" si="73"/>
        <v>3</v>
      </c>
      <c r="S304" s="38">
        <f t="shared" si="73"/>
        <v>211810</v>
      </c>
    </row>
    <row r="305" spans="1:19">
      <c r="A305" s="95">
        <v>1987</v>
      </c>
      <c r="B305" s="38" t="str">
        <f t="shared" ref="B305:K305" si="74">IF(AND(B17="-",B257="-"),"-",SUM(B17,B257))</f>
        <v>-</v>
      </c>
      <c r="C305" s="38" t="str">
        <f t="shared" si="74"/>
        <v>-</v>
      </c>
      <c r="D305" s="38">
        <f t="shared" si="74"/>
        <v>115</v>
      </c>
      <c r="E305" s="38">
        <f t="shared" si="74"/>
        <v>5039</v>
      </c>
      <c r="F305" s="38">
        <f t="shared" si="74"/>
        <v>25758</v>
      </c>
      <c r="G305" s="38">
        <f t="shared" si="74"/>
        <v>16127</v>
      </c>
      <c r="H305" s="38">
        <f t="shared" si="74"/>
        <v>11023</v>
      </c>
      <c r="I305" s="38">
        <f t="shared" si="74"/>
        <v>1133</v>
      </c>
      <c r="J305" s="38">
        <f t="shared" si="74"/>
        <v>0</v>
      </c>
      <c r="K305" s="38">
        <f t="shared" si="74"/>
        <v>59195</v>
      </c>
      <c r="M305" s="38">
        <f t="shared" si="73"/>
        <v>1</v>
      </c>
      <c r="N305" s="38">
        <f t="shared" si="73"/>
        <v>4295</v>
      </c>
      <c r="O305" s="38">
        <f t="shared" si="73"/>
        <v>124430</v>
      </c>
      <c r="P305" s="38">
        <f t="shared" si="73"/>
        <v>41248</v>
      </c>
      <c r="Q305" s="38">
        <f t="shared" si="73"/>
        <v>10532</v>
      </c>
      <c r="R305" s="38">
        <f t="shared" si="73"/>
        <v>28</v>
      </c>
      <c r="S305" s="38">
        <f t="shared" si="73"/>
        <v>180534</v>
      </c>
    </row>
    <row r="306" spans="1:19">
      <c r="A306" s="95">
        <v>1988</v>
      </c>
      <c r="B306" s="38" t="str">
        <f t="shared" ref="B306:K306" si="75">IF(AND(B18="-",B258="-"),"-",SUM(B18,B258))</f>
        <v>-</v>
      </c>
      <c r="C306" s="38" t="str">
        <f t="shared" si="75"/>
        <v>-</v>
      </c>
      <c r="D306" s="38">
        <f t="shared" si="75"/>
        <v>351</v>
      </c>
      <c r="E306" s="38">
        <f t="shared" si="75"/>
        <v>14964</v>
      </c>
      <c r="F306" s="38">
        <f t="shared" si="75"/>
        <v>12397</v>
      </c>
      <c r="G306" s="38">
        <f t="shared" si="75"/>
        <v>8728</v>
      </c>
      <c r="H306" s="38">
        <f t="shared" si="75"/>
        <v>1880</v>
      </c>
      <c r="I306" s="38">
        <f t="shared" si="75"/>
        <v>0</v>
      </c>
      <c r="J306" s="38">
        <f t="shared" si="75"/>
        <v>0</v>
      </c>
      <c r="K306" s="38">
        <f t="shared" si="75"/>
        <v>38320</v>
      </c>
      <c r="M306" s="38">
        <f t="shared" si="73"/>
        <v>325</v>
      </c>
      <c r="N306" s="38">
        <f t="shared" si="73"/>
        <v>19964</v>
      </c>
      <c r="O306" s="38">
        <f t="shared" si="73"/>
        <v>118152</v>
      </c>
      <c r="P306" s="38">
        <f t="shared" si="73"/>
        <v>76123</v>
      </c>
      <c r="Q306" s="38">
        <f t="shared" si="73"/>
        <v>12327</v>
      </c>
      <c r="R306" s="38" t="str">
        <f t="shared" si="73"/>
        <v>-</v>
      </c>
      <c r="S306" s="38">
        <f t="shared" si="73"/>
        <v>226891</v>
      </c>
    </row>
    <row r="307" spans="1:19">
      <c r="A307" s="95">
        <v>1989</v>
      </c>
      <c r="B307" s="38" t="str">
        <f t="shared" ref="B307:K307" si="76">IF(AND(B19="-",B259="-"),"-",SUM(B19,B259))</f>
        <v>-</v>
      </c>
      <c r="C307" s="38" t="str">
        <f t="shared" si="76"/>
        <v>-</v>
      </c>
      <c r="D307" s="38">
        <f t="shared" si="76"/>
        <v>615</v>
      </c>
      <c r="E307" s="38">
        <f t="shared" si="76"/>
        <v>6368</v>
      </c>
      <c r="F307" s="38">
        <f t="shared" si="76"/>
        <v>14724</v>
      </c>
      <c r="G307" s="38">
        <f t="shared" si="76"/>
        <v>9258</v>
      </c>
      <c r="H307" s="38">
        <f t="shared" si="76"/>
        <v>1158</v>
      </c>
      <c r="I307" s="38">
        <f t="shared" si="76"/>
        <v>0</v>
      </c>
      <c r="J307" s="38">
        <f t="shared" si="76"/>
        <v>0</v>
      </c>
      <c r="K307" s="38">
        <f t="shared" si="76"/>
        <v>32123</v>
      </c>
      <c r="M307" s="38">
        <f t="shared" si="73"/>
        <v>1646</v>
      </c>
      <c r="N307" s="38">
        <f t="shared" si="73"/>
        <v>55854</v>
      </c>
      <c r="O307" s="38">
        <f t="shared" si="73"/>
        <v>143399</v>
      </c>
      <c r="P307" s="38">
        <f t="shared" si="73"/>
        <v>70867</v>
      </c>
      <c r="Q307" s="38">
        <f t="shared" si="73"/>
        <v>1536</v>
      </c>
      <c r="R307" s="38" t="str">
        <f t="shared" si="73"/>
        <v>-</v>
      </c>
      <c r="S307" s="38">
        <f t="shared" si="73"/>
        <v>273302</v>
      </c>
    </row>
    <row r="308" spans="1:19">
      <c r="A308" s="95">
        <v>1990</v>
      </c>
      <c r="B308" s="38" t="str">
        <f t="shared" ref="B308:K308" si="77">IF(AND(B20="-",B260="-"),"-",SUM(B20,B260))</f>
        <v>-</v>
      </c>
      <c r="C308" s="38" t="str">
        <f t="shared" si="77"/>
        <v>-</v>
      </c>
      <c r="D308" s="38">
        <f t="shared" si="77"/>
        <v>420</v>
      </c>
      <c r="E308" s="38">
        <f t="shared" si="77"/>
        <v>5731</v>
      </c>
      <c r="F308" s="38">
        <f t="shared" si="77"/>
        <v>12143</v>
      </c>
      <c r="G308" s="38">
        <f t="shared" si="77"/>
        <v>6866</v>
      </c>
      <c r="H308" s="38">
        <f t="shared" si="77"/>
        <v>1388</v>
      </c>
      <c r="I308" s="38">
        <f t="shared" si="77"/>
        <v>0</v>
      </c>
      <c r="J308" s="38" t="str">
        <f t="shared" si="77"/>
        <v>-</v>
      </c>
      <c r="K308" s="38">
        <f t="shared" si="77"/>
        <v>26548</v>
      </c>
      <c r="M308" s="38">
        <f t="shared" si="73"/>
        <v>289</v>
      </c>
      <c r="N308" s="38">
        <f t="shared" si="73"/>
        <v>31042</v>
      </c>
      <c r="O308" s="38">
        <f t="shared" si="73"/>
        <v>89800</v>
      </c>
      <c r="P308" s="38">
        <f t="shared" si="73"/>
        <v>72974</v>
      </c>
      <c r="Q308" s="38">
        <f t="shared" si="73"/>
        <v>6541</v>
      </c>
      <c r="R308" s="38" t="str">
        <f t="shared" si="73"/>
        <v>-</v>
      </c>
      <c r="S308" s="38">
        <f t="shared" si="73"/>
        <v>200646</v>
      </c>
    </row>
    <row r="309" spans="1:19">
      <c r="A309" s="95">
        <v>1991</v>
      </c>
      <c r="B309" s="38" t="str">
        <f t="shared" ref="B309:K309" si="78">IF(AND(B21="-",B261="-"),"-",SUM(B21,B261))</f>
        <v>-</v>
      </c>
      <c r="C309" s="38" t="str">
        <f t="shared" si="78"/>
        <v>-</v>
      </c>
      <c r="D309" s="38">
        <f t="shared" si="78"/>
        <v>203</v>
      </c>
      <c r="E309" s="38">
        <f t="shared" si="78"/>
        <v>6976</v>
      </c>
      <c r="F309" s="38">
        <f t="shared" si="78"/>
        <v>6308</v>
      </c>
      <c r="G309" s="38">
        <f t="shared" si="78"/>
        <v>614</v>
      </c>
      <c r="H309" s="38">
        <f t="shared" si="78"/>
        <v>315</v>
      </c>
      <c r="I309" s="38">
        <f t="shared" si="78"/>
        <v>0</v>
      </c>
      <c r="J309" s="38" t="str">
        <f t="shared" si="78"/>
        <v>-</v>
      </c>
      <c r="K309" s="38">
        <f t="shared" si="78"/>
        <v>14416</v>
      </c>
      <c r="M309" s="38">
        <f t="shared" si="73"/>
        <v>866</v>
      </c>
      <c r="N309" s="38">
        <f t="shared" si="73"/>
        <v>53825</v>
      </c>
      <c r="O309" s="38">
        <f t="shared" si="73"/>
        <v>182401</v>
      </c>
      <c r="P309" s="38">
        <f t="shared" si="73"/>
        <v>17735</v>
      </c>
      <c r="Q309" s="38">
        <f t="shared" si="73"/>
        <v>4292</v>
      </c>
      <c r="R309" s="38" t="str">
        <f t="shared" si="73"/>
        <v>-</v>
      </c>
      <c r="S309" s="38">
        <f t="shared" si="73"/>
        <v>259119</v>
      </c>
    </row>
    <row r="310" spans="1:19">
      <c r="A310" s="95">
        <v>1992</v>
      </c>
      <c r="B310" s="38" t="str">
        <f t="shared" ref="B310:K310" si="79">IF(AND(B22="-",B262="-"),"-",SUM(B22,B262))</f>
        <v>-</v>
      </c>
      <c r="C310" s="38" t="str">
        <f t="shared" si="79"/>
        <v>-</v>
      </c>
      <c r="D310" s="38">
        <f t="shared" si="79"/>
        <v>248</v>
      </c>
      <c r="E310" s="38">
        <f t="shared" si="79"/>
        <v>2531</v>
      </c>
      <c r="F310" s="38">
        <f t="shared" si="79"/>
        <v>6210</v>
      </c>
      <c r="G310" s="38">
        <f t="shared" si="79"/>
        <v>1667</v>
      </c>
      <c r="H310" s="38">
        <f t="shared" si="79"/>
        <v>1213</v>
      </c>
      <c r="I310" s="38">
        <f t="shared" si="79"/>
        <v>704</v>
      </c>
      <c r="J310" s="38" t="str">
        <f t="shared" si="79"/>
        <v>-</v>
      </c>
      <c r="K310" s="38">
        <f t="shared" si="79"/>
        <v>12573</v>
      </c>
      <c r="M310" s="38">
        <f t="shared" si="73"/>
        <v>615</v>
      </c>
      <c r="N310" s="38">
        <f t="shared" si="73"/>
        <v>24685</v>
      </c>
      <c r="O310" s="38">
        <f t="shared" si="73"/>
        <v>110590</v>
      </c>
      <c r="P310" s="38">
        <f t="shared" si="73"/>
        <v>41742</v>
      </c>
      <c r="Q310" s="38">
        <f t="shared" si="73"/>
        <v>8211</v>
      </c>
      <c r="R310" s="38">
        <f t="shared" si="73"/>
        <v>2</v>
      </c>
      <c r="S310" s="38">
        <f t="shared" si="73"/>
        <v>185845</v>
      </c>
    </row>
    <row r="311" spans="1:19">
      <c r="A311" s="95">
        <v>1993</v>
      </c>
      <c r="B311" s="38" t="str">
        <f t="shared" ref="B311:K311" si="80">IF(AND(B23="-",B263="-"),"-",SUM(B23,B263))</f>
        <v>-</v>
      </c>
      <c r="C311" s="38" t="str">
        <f t="shared" si="80"/>
        <v>-</v>
      </c>
      <c r="D311" s="38">
        <f t="shared" si="80"/>
        <v>1293</v>
      </c>
      <c r="E311" s="38">
        <f t="shared" si="80"/>
        <v>239</v>
      </c>
      <c r="F311" s="38">
        <f t="shared" si="80"/>
        <v>1918</v>
      </c>
      <c r="G311" s="38">
        <f t="shared" si="80"/>
        <v>2310</v>
      </c>
      <c r="H311" s="38">
        <f t="shared" si="80"/>
        <v>660</v>
      </c>
      <c r="I311" s="38">
        <f t="shared" si="80"/>
        <v>0</v>
      </c>
      <c r="J311" s="38">
        <f t="shared" si="80"/>
        <v>0</v>
      </c>
      <c r="K311" s="38">
        <f t="shared" si="80"/>
        <v>6420</v>
      </c>
      <c r="M311" s="38">
        <f t="shared" si="73"/>
        <v>182</v>
      </c>
      <c r="N311" s="38">
        <f t="shared" si="73"/>
        <v>160</v>
      </c>
      <c r="O311" s="38">
        <f t="shared" si="73"/>
        <v>27013</v>
      </c>
      <c r="P311" s="38">
        <f t="shared" si="73"/>
        <v>26489</v>
      </c>
      <c r="Q311" s="38">
        <f t="shared" si="73"/>
        <v>4264</v>
      </c>
      <c r="R311" s="38" t="str">
        <f t="shared" si="73"/>
        <v>-</v>
      </c>
      <c r="S311" s="38">
        <f t="shared" si="73"/>
        <v>58108</v>
      </c>
    </row>
    <row r="312" spans="1:19">
      <c r="A312" s="95">
        <v>1994</v>
      </c>
      <c r="B312" s="38" t="str">
        <f t="shared" ref="B312:K312" si="81">IF(AND(B24="-",B264="-"),"-",SUM(B24,B264))</f>
        <v>-</v>
      </c>
      <c r="C312" s="38" t="str">
        <f t="shared" si="81"/>
        <v>-</v>
      </c>
      <c r="D312" s="38">
        <f t="shared" si="81"/>
        <v>1948</v>
      </c>
      <c r="E312" s="38">
        <f t="shared" si="81"/>
        <v>251</v>
      </c>
      <c r="F312" s="38" t="str">
        <f t="shared" si="81"/>
        <v>-</v>
      </c>
      <c r="G312" s="38">
        <f t="shared" si="81"/>
        <v>272</v>
      </c>
      <c r="H312" s="38">
        <f t="shared" si="81"/>
        <v>284</v>
      </c>
      <c r="I312" s="38">
        <f t="shared" si="81"/>
        <v>3282</v>
      </c>
      <c r="J312" s="38">
        <f t="shared" si="81"/>
        <v>0</v>
      </c>
      <c r="K312" s="38">
        <f t="shared" si="81"/>
        <v>6037</v>
      </c>
      <c r="M312" s="38" t="str">
        <f t="shared" si="73"/>
        <v>-</v>
      </c>
      <c r="N312" s="38" t="str">
        <f t="shared" si="73"/>
        <v>-</v>
      </c>
      <c r="O312" s="38" t="str">
        <f t="shared" si="73"/>
        <v>-</v>
      </c>
      <c r="P312" s="38">
        <f t="shared" si="73"/>
        <v>13</v>
      </c>
      <c r="Q312" s="38">
        <f t="shared" si="73"/>
        <v>4</v>
      </c>
      <c r="R312" s="38" t="str">
        <f t="shared" si="73"/>
        <v>-</v>
      </c>
      <c r="S312" s="38">
        <f t="shared" si="73"/>
        <v>17</v>
      </c>
    </row>
    <row r="313" spans="1:19">
      <c r="A313" s="95">
        <v>1995</v>
      </c>
      <c r="B313" s="38" t="str">
        <f t="shared" ref="B313:K313" si="82">IF(AND(B25="-",B265="-"),"-",SUM(B25,B265))</f>
        <v>-</v>
      </c>
      <c r="C313" s="38" t="str">
        <f t="shared" si="82"/>
        <v>-</v>
      </c>
      <c r="D313" s="38">
        <f t="shared" si="82"/>
        <v>300</v>
      </c>
      <c r="E313" s="38">
        <f t="shared" si="82"/>
        <v>1829</v>
      </c>
      <c r="F313" s="38">
        <f t="shared" si="82"/>
        <v>16</v>
      </c>
      <c r="G313" s="38">
        <f t="shared" si="82"/>
        <v>562</v>
      </c>
      <c r="H313" s="38">
        <f t="shared" si="82"/>
        <v>2802</v>
      </c>
      <c r="I313" s="38">
        <f t="shared" si="82"/>
        <v>1133</v>
      </c>
      <c r="J313" s="38">
        <f t="shared" si="82"/>
        <v>84</v>
      </c>
      <c r="K313" s="38">
        <f t="shared" si="82"/>
        <v>6726</v>
      </c>
      <c r="M313" s="38" t="str">
        <f t="shared" si="73"/>
        <v>-</v>
      </c>
      <c r="N313" s="38">
        <f t="shared" si="73"/>
        <v>38</v>
      </c>
      <c r="O313" s="38">
        <f t="shared" si="73"/>
        <v>1976</v>
      </c>
      <c r="P313" s="38">
        <f t="shared" si="73"/>
        <v>9031</v>
      </c>
      <c r="Q313" s="38">
        <f t="shared" si="73"/>
        <v>869</v>
      </c>
      <c r="R313" s="38">
        <f t="shared" si="73"/>
        <v>3</v>
      </c>
      <c r="S313" s="38">
        <f t="shared" si="73"/>
        <v>11917</v>
      </c>
    </row>
    <row r="314" spans="1:19">
      <c r="A314" s="95">
        <v>1996</v>
      </c>
      <c r="B314" s="38" t="str">
        <f t="shared" ref="B314:K314" si="83">IF(AND(B26="-",B266="-"),"-",SUM(B26,B266))</f>
        <v>-</v>
      </c>
      <c r="C314" s="38" t="str">
        <f t="shared" si="83"/>
        <v>-</v>
      </c>
      <c r="D314" s="38">
        <f t="shared" si="83"/>
        <v>712</v>
      </c>
      <c r="E314" s="38">
        <f t="shared" si="83"/>
        <v>2908</v>
      </c>
      <c r="F314" s="38">
        <f t="shared" si="83"/>
        <v>626</v>
      </c>
      <c r="G314" s="38">
        <f t="shared" si="83"/>
        <v>3491</v>
      </c>
      <c r="H314" s="38">
        <f t="shared" si="83"/>
        <v>1459</v>
      </c>
      <c r="I314" s="38">
        <f t="shared" si="83"/>
        <v>2014</v>
      </c>
      <c r="J314" s="38">
        <f t="shared" si="83"/>
        <v>0</v>
      </c>
      <c r="K314" s="38">
        <f t="shared" si="83"/>
        <v>11210</v>
      </c>
      <c r="M314" s="38" t="str">
        <f t="shared" ref="M314:S323" si="84">IF(AND(M26="-",M266="-"),"-",SUM(M26,M266))</f>
        <v>-</v>
      </c>
      <c r="N314" s="38">
        <f t="shared" si="84"/>
        <v>10</v>
      </c>
      <c r="O314" s="38">
        <f t="shared" si="84"/>
        <v>1463</v>
      </c>
      <c r="P314" s="38">
        <f t="shared" si="84"/>
        <v>4743</v>
      </c>
      <c r="Q314" s="38">
        <f t="shared" si="84"/>
        <v>972</v>
      </c>
      <c r="R314" s="38">
        <f t="shared" si="84"/>
        <v>12</v>
      </c>
      <c r="S314" s="38">
        <f t="shared" si="84"/>
        <v>7200</v>
      </c>
    </row>
    <row r="315" spans="1:19">
      <c r="A315" s="95">
        <v>1997</v>
      </c>
      <c r="B315" s="38" t="str">
        <f t="shared" ref="B315:K315" si="85">IF(AND(B27="-",B267="-"),"-",SUM(B27,B267))</f>
        <v>-</v>
      </c>
      <c r="C315" s="38">
        <f t="shared" si="85"/>
        <v>2</v>
      </c>
      <c r="D315" s="38">
        <f t="shared" si="85"/>
        <v>924</v>
      </c>
      <c r="E315" s="38">
        <f t="shared" si="85"/>
        <v>935</v>
      </c>
      <c r="F315" s="38">
        <f t="shared" si="85"/>
        <v>1324</v>
      </c>
      <c r="G315" s="38">
        <f t="shared" si="85"/>
        <v>3073</v>
      </c>
      <c r="H315" s="38">
        <f t="shared" si="85"/>
        <v>458</v>
      </c>
      <c r="I315" s="38">
        <f t="shared" si="85"/>
        <v>962</v>
      </c>
      <c r="J315" s="38">
        <f t="shared" si="85"/>
        <v>0</v>
      </c>
      <c r="K315" s="38">
        <f t="shared" si="85"/>
        <v>7678</v>
      </c>
      <c r="M315" s="38">
        <f t="shared" si="84"/>
        <v>17</v>
      </c>
      <c r="N315" s="38">
        <f t="shared" si="84"/>
        <v>26</v>
      </c>
      <c r="O315" s="38">
        <f t="shared" si="84"/>
        <v>4504</v>
      </c>
      <c r="P315" s="38">
        <f t="shared" si="84"/>
        <v>1415</v>
      </c>
      <c r="Q315" s="38">
        <f t="shared" si="84"/>
        <v>10</v>
      </c>
      <c r="R315" s="38" t="str">
        <f t="shared" si="84"/>
        <v>-</v>
      </c>
      <c r="S315" s="38">
        <f t="shared" si="84"/>
        <v>5972</v>
      </c>
    </row>
    <row r="316" spans="1:19">
      <c r="A316" s="95">
        <v>1998</v>
      </c>
      <c r="B316" s="38" t="str">
        <f t="shared" ref="B316:K316" si="86">IF(AND(B28="-",B268="-"),"-",SUM(B28,B268))</f>
        <v>-</v>
      </c>
      <c r="C316" s="38">
        <f t="shared" si="86"/>
        <v>0</v>
      </c>
      <c r="D316" s="38">
        <f t="shared" si="86"/>
        <v>319</v>
      </c>
      <c r="E316" s="38">
        <f t="shared" si="86"/>
        <v>424</v>
      </c>
      <c r="F316" s="38">
        <f t="shared" si="86"/>
        <v>493</v>
      </c>
      <c r="G316" s="38">
        <f t="shared" si="86"/>
        <v>1141</v>
      </c>
      <c r="H316" s="38">
        <f t="shared" si="86"/>
        <v>784</v>
      </c>
      <c r="I316" s="38">
        <f t="shared" si="86"/>
        <v>925</v>
      </c>
      <c r="J316" s="38">
        <f t="shared" si="86"/>
        <v>0</v>
      </c>
      <c r="K316" s="38">
        <f t="shared" si="86"/>
        <v>4086</v>
      </c>
      <c r="M316" s="38" t="str">
        <f t="shared" si="84"/>
        <v>-</v>
      </c>
      <c r="N316" s="38">
        <f t="shared" si="84"/>
        <v>6</v>
      </c>
      <c r="O316" s="38">
        <f t="shared" si="84"/>
        <v>8</v>
      </c>
      <c r="P316" s="38">
        <f t="shared" si="84"/>
        <v>2118</v>
      </c>
      <c r="Q316" s="38">
        <f t="shared" si="84"/>
        <v>161</v>
      </c>
      <c r="R316" s="38">
        <f t="shared" si="84"/>
        <v>8</v>
      </c>
      <c r="S316" s="38">
        <f t="shared" si="84"/>
        <v>2301</v>
      </c>
    </row>
    <row r="317" spans="1:19">
      <c r="A317" s="95">
        <v>1999</v>
      </c>
      <c r="B317" s="38" t="str">
        <f t="shared" ref="B317:K317" si="87">IF(AND(B29="-",B269="-"),"-",SUM(B29,B269))</f>
        <v>-</v>
      </c>
      <c r="C317" s="38">
        <f t="shared" si="87"/>
        <v>0</v>
      </c>
      <c r="D317" s="38">
        <f t="shared" si="87"/>
        <v>136</v>
      </c>
      <c r="E317" s="38">
        <f t="shared" si="87"/>
        <v>277</v>
      </c>
      <c r="F317" s="38">
        <f t="shared" si="87"/>
        <v>2439</v>
      </c>
      <c r="G317" s="38">
        <f t="shared" si="87"/>
        <v>2714</v>
      </c>
      <c r="H317" s="38">
        <f t="shared" si="87"/>
        <v>1272</v>
      </c>
      <c r="I317" s="38">
        <f t="shared" si="87"/>
        <v>875</v>
      </c>
      <c r="J317" s="38">
        <f t="shared" si="87"/>
        <v>8</v>
      </c>
      <c r="K317" s="38">
        <f t="shared" si="87"/>
        <v>7721</v>
      </c>
      <c r="M317" s="38" t="str">
        <f t="shared" si="84"/>
        <v>-</v>
      </c>
      <c r="N317" s="38">
        <f t="shared" si="84"/>
        <v>2</v>
      </c>
      <c r="O317" s="38">
        <f t="shared" si="84"/>
        <v>8504</v>
      </c>
      <c r="P317" s="38">
        <f t="shared" si="84"/>
        <v>3393</v>
      </c>
      <c r="Q317" s="38">
        <f t="shared" si="84"/>
        <v>1735</v>
      </c>
      <c r="R317" s="38">
        <f t="shared" si="84"/>
        <v>2</v>
      </c>
      <c r="S317" s="38">
        <f t="shared" si="84"/>
        <v>13636</v>
      </c>
    </row>
    <row r="318" spans="1:19">
      <c r="A318" s="95">
        <v>2000</v>
      </c>
      <c r="B318" s="38" t="str">
        <f t="shared" ref="B318:K318" si="88">IF(AND(B30="-",B270="-"),"-",SUM(B30,B270))</f>
        <v>-</v>
      </c>
      <c r="C318" s="38">
        <f t="shared" si="88"/>
        <v>4</v>
      </c>
      <c r="D318" s="38">
        <f t="shared" si="88"/>
        <v>79</v>
      </c>
      <c r="E318" s="38">
        <f t="shared" si="88"/>
        <v>475</v>
      </c>
      <c r="F318" s="38">
        <f t="shared" si="88"/>
        <v>10461</v>
      </c>
      <c r="G318" s="38">
        <f t="shared" si="88"/>
        <v>11354</v>
      </c>
      <c r="H318" s="38">
        <f t="shared" si="88"/>
        <v>1779</v>
      </c>
      <c r="I318" s="38">
        <f t="shared" si="88"/>
        <v>1245</v>
      </c>
      <c r="J318" s="38">
        <f t="shared" si="88"/>
        <v>63</v>
      </c>
      <c r="K318" s="38">
        <f t="shared" si="88"/>
        <v>25460</v>
      </c>
      <c r="M318" s="38" t="str">
        <f t="shared" si="84"/>
        <v>-</v>
      </c>
      <c r="N318" s="38" t="str">
        <f t="shared" si="84"/>
        <v>-</v>
      </c>
      <c r="O318" s="38">
        <f t="shared" si="84"/>
        <v>26081</v>
      </c>
      <c r="P318" s="38">
        <f t="shared" si="84"/>
        <v>7079</v>
      </c>
      <c r="Q318" s="38">
        <f t="shared" si="84"/>
        <v>20</v>
      </c>
      <c r="R318" s="38">
        <f t="shared" si="84"/>
        <v>8</v>
      </c>
      <c r="S318" s="38">
        <f t="shared" si="84"/>
        <v>33188</v>
      </c>
    </row>
    <row r="319" spans="1:19">
      <c r="A319" s="95">
        <v>2001</v>
      </c>
      <c r="B319" s="38" t="str">
        <f t="shared" ref="B319:K319" si="89">IF(AND(B31="-",B271="-"),"-",SUM(B31,B271))</f>
        <v>-</v>
      </c>
      <c r="C319" s="38">
        <f t="shared" si="89"/>
        <v>0</v>
      </c>
      <c r="D319" s="38">
        <f t="shared" si="89"/>
        <v>1024</v>
      </c>
      <c r="E319" s="38">
        <f t="shared" si="89"/>
        <v>3034</v>
      </c>
      <c r="F319" s="38">
        <f t="shared" si="89"/>
        <v>10029</v>
      </c>
      <c r="G319" s="38">
        <f t="shared" si="89"/>
        <v>9221</v>
      </c>
      <c r="H319" s="38">
        <f t="shared" si="89"/>
        <v>2419</v>
      </c>
      <c r="I319" s="38">
        <f t="shared" si="89"/>
        <v>1450</v>
      </c>
      <c r="J319" s="38">
        <f t="shared" si="89"/>
        <v>23</v>
      </c>
      <c r="K319" s="38">
        <f t="shared" si="89"/>
        <v>27200</v>
      </c>
      <c r="M319" s="38">
        <f t="shared" si="84"/>
        <v>21</v>
      </c>
      <c r="N319" s="38">
        <f t="shared" si="84"/>
        <v>17687</v>
      </c>
      <c r="O319" s="38">
        <f t="shared" si="84"/>
        <v>50641</v>
      </c>
      <c r="P319" s="38">
        <f t="shared" si="84"/>
        <v>22224</v>
      </c>
      <c r="Q319" s="38">
        <f t="shared" si="84"/>
        <v>3738</v>
      </c>
      <c r="R319" s="38">
        <f t="shared" si="84"/>
        <v>35</v>
      </c>
      <c r="S319" s="38">
        <f t="shared" si="84"/>
        <v>94346</v>
      </c>
    </row>
    <row r="320" spans="1:19">
      <c r="A320" s="95">
        <v>2002</v>
      </c>
      <c r="B320" s="38" t="str">
        <f t="shared" ref="B320:K320" si="90">IF(AND(B32="-",B272="-"),"-",SUM(B32,B272))</f>
        <v>-</v>
      </c>
      <c r="C320" s="38">
        <f t="shared" si="90"/>
        <v>155</v>
      </c>
      <c r="D320" s="38">
        <f t="shared" si="90"/>
        <v>869</v>
      </c>
      <c r="E320" s="38">
        <f t="shared" si="90"/>
        <v>8023</v>
      </c>
      <c r="F320" s="38">
        <f t="shared" si="90"/>
        <v>18184</v>
      </c>
      <c r="G320" s="38">
        <f t="shared" si="90"/>
        <v>9476</v>
      </c>
      <c r="H320" s="38">
        <f t="shared" si="90"/>
        <v>7833</v>
      </c>
      <c r="I320" s="38">
        <f t="shared" si="90"/>
        <v>2940</v>
      </c>
      <c r="J320" s="38">
        <f t="shared" si="90"/>
        <v>0</v>
      </c>
      <c r="K320" s="38">
        <f t="shared" si="90"/>
        <v>47480</v>
      </c>
      <c r="M320" s="38" t="str">
        <f t="shared" si="84"/>
        <v>-</v>
      </c>
      <c r="N320" s="38">
        <f t="shared" si="84"/>
        <v>66</v>
      </c>
      <c r="O320" s="38">
        <f t="shared" si="84"/>
        <v>24149</v>
      </c>
      <c r="P320" s="38">
        <f t="shared" si="84"/>
        <v>10722</v>
      </c>
      <c r="Q320" s="38">
        <f t="shared" si="84"/>
        <v>1576</v>
      </c>
      <c r="R320" s="38">
        <f t="shared" si="84"/>
        <v>24</v>
      </c>
      <c r="S320" s="38">
        <f t="shared" si="84"/>
        <v>36537</v>
      </c>
    </row>
    <row r="321" spans="1:19">
      <c r="A321" s="95">
        <v>2003</v>
      </c>
      <c r="B321" s="38">
        <f t="shared" ref="B321:K321" si="91">IF(AND(B33="-",B273="-"),"-",SUM(B33,B273))</f>
        <v>2</v>
      </c>
      <c r="C321" s="38">
        <f t="shared" si="91"/>
        <v>22</v>
      </c>
      <c r="D321" s="38">
        <f t="shared" si="91"/>
        <v>716</v>
      </c>
      <c r="E321" s="38">
        <f t="shared" si="91"/>
        <v>3260</v>
      </c>
      <c r="F321" s="38">
        <f t="shared" si="91"/>
        <v>16861</v>
      </c>
      <c r="G321" s="38">
        <f t="shared" si="91"/>
        <v>12248</v>
      </c>
      <c r="H321" s="38">
        <f t="shared" si="91"/>
        <v>5656</v>
      </c>
      <c r="I321" s="38">
        <f t="shared" si="91"/>
        <v>1825</v>
      </c>
      <c r="J321" s="38">
        <f t="shared" si="91"/>
        <v>64</v>
      </c>
      <c r="K321" s="38">
        <f t="shared" si="91"/>
        <v>40654</v>
      </c>
      <c r="M321" s="38">
        <f t="shared" si="84"/>
        <v>2</v>
      </c>
      <c r="N321" s="38">
        <f t="shared" si="84"/>
        <v>7638</v>
      </c>
      <c r="O321" s="38">
        <f t="shared" si="84"/>
        <v>59115</v>
      </c>
      <c r="P321" s="38">
        <f t="shared" si="84"/>
        <v>45226</v>
      </c>
      <c r="Q321" s="38">
        <f t="shared" si="84"/>
        <v>1664</v>
      </c>
      <c r="R321" s="38">
        <f t="shared" si="84"/>
        <v>14</v>
      </c>
      <c r="S321" s="38">
        <f t="shared" si="84"/>
        <v>113659</v>
      </c>
    </row>
    <row r="322" spans="1:19">
      <c r="A322" s="95">
        <v>2004</v>
      </c>
      <c r="B322" s="38">
        <f t="shared" ref="B322:K322" si="92">IF(AND(B34="-",B274="-"),"-",SUM(B34,B274))</f>
        <v>2</v>
      </c>
      <c r="C322" s="38">
        <f t="shared" si="92"/>
        <v>24</v>
      </c>
      <c r="D322" s="38">
        <f t="shared" si="92"/>
        <v>846</v>
      </c>
      <c r="E322" s="38">
        <f t="shared" si="92"/>
        <v>6254</v>
      </c>
      <c r="F322" s="38">
        <f t="shared" si="92"/>
        <v>23337</v>
      </c>
      <c r="G322" s="38">
        <f t="shared" si="92"/>
        <v>17710</v>
      </c>
      <c r="H322" s="38">
        <f t="shared" si="92"/>
        <v>6051</v>
      </c>
      <c r="I322" s="38">
        <f t="shared" si="92"/>
        <v>2140</v>
      </c>
      <c r="J322" s="38">
        <f t="shared" si="92"/>
        <v>69</v>
      </c>
      <c r="K322" s="38">
        <f t="shared" si="92"/>
        <v>56433</v>
      </c>
      <c r="M322" s="38">
        <f t="shared" si="84"/>
        <v>4</v>
      </c>
      <c r="N322" s="38">
        <f t="shared" si="84"/>
        <v>5680</v>
      </c>
      <c r="O322" s="38">
        <f t="shared" si="84"/>
        <v>38205</v>
      </c>
      <c r="P322" s="38">
        <f t="shared" si="84"/>
        <v>25490</v>
      </c>
      <c r="Q322" s="38">
        <f t="shared" si="84"/>
        <v>2430</v>
      </c>
      <c r="R322" s="38">
        <f t="shared" si="84"/>
        <v>26</v>
      </c>
      <c r="S322" s="38">
        <f t="shared" si="84"/>
        <v>71835</v>
      </c>
    </row>
    <row r="323" spans="1:19">
      <c r="A323" s="95">
        <v>2005</v>
      </c>
      <c r="B323" s="38">
        <f t="shared" ref="B323:K323" si="93">IF(AND(B35="-",B275="-"),"-",SUM(B35,B275))</f>
        <v>6</v>
      </c>
      <c r="C323" s="38">
        <f t="shared" si="93"/>
        <v>104</v>
      </c>
      <c r="D323" s="38">
        <f t="shared" si="93"/>
        <v>381</v>
      </c>
      <c r="E323" s="38">
        <f t="shared" si="93"/>
        <v>6600</v>
      </c>
      <c r="F323" s="38">
        <f t="shared" si="93"/>
        <v>4758</v>
      </c>
      <c r="G323" s="38">
        <f t="shared" si="93"/>
        <v>8190</v>
      </c>
      <c r="H323" s="38">
        <f t="shared" si="93"/>
        <v>7222</v>
      </c>
      <c r="I323" s="38">
        <f t="shared" si="93"/>
        <v>684</v>
      </c>
      <c r="J323" s="38">
        <f t="shared" si="93"/>
        <v>0</v>
      </c>
      <c r="K323" s="38">
        <f t="shared" si="93"/>
        <v>27945</v>
      </c>
      <c r="M323" s="38" t="str">
        <f t="shared" si="84"/>
        <v>-</v>
      </c>
      <c r="N323" s="38">
        <f t="shared" si="84"/>
        <v>2153</v>
      </c>
      <c r="O323" s="38">
        <f t="shared" si="84"/>
        <v>3587</v>
      </c>
      <c r="P323" s="38">
        <f t="shared" si="84"/>
        <v>6386</v>
      </c>
      <c r="Q323" s="38">
        <f t="shared" si="84"/>
        <v>1580</v>
      </c>
      <c r="R323" s="38" t="str">
        <f t="shared" si="84"/>
        <v>-</v>
      </c>
      <c r="S323" s="38">
        <f t="shared" si="84"/>
        <v>13706</v>
      </c>
    </row>
    <row r="324" spans="1:19">
      <c r="A324" s="95">
        <v>2006</v>
      </c>
      <c r="B324" s="38">
        <f t="shared" ref="B324:K324" si="94">IF(AND(B36="-",B276="-"),"-",SUM(B36,B276))</f>
        <v>2</v>
      </c>
      <c r="C324" s="38">
        <f t="shared" si="94"/>
        <v>4</v>
      </c>
      <c r="D324" s="38">
        <f t="shared" si="94"/>
        <v>120</v>
      </c>
      <c r="E324" s="38">
        <f t="shared" si="94"/>
        <v>1053</v>
      </c>
      <c r="F324" s="38">
        <f t="shared" si="94"/>
        <v>4022</v>
      </c>
      <c r="G324" s="38">
        <f t="shared" si="94"/>
        <v>1352</v>
      </c>
      <c r="H324" s="38">
        <f t="shared" si="94"/>
        <v>2565</v>
      </c>
      <c r="I324" s="38">
        <f t="shared" si="94"/>
        <v>2421</v>
      </c>
      <c r="J324" s="38">
        <f t="shared" si="94"/>
        <v>49</v>
      </c>
      <c r="K324" s="38">
        <f t="shared" si="94"/>
        <v>11588</v>
      </c>
      <c r="M324" s="38">
        <f t="shared" ref="M324:S333" si="95">IF(AND(M36="-",M276="-"),"-",SUM(M36,M276))</f>
        <v>2</v>
      </c>
      <c r="N324" s="38">
        <f t="shared" si="95"/>
        <v>943</v>
      </c>
      <c r="O324" s="38">
        <f t="shared" si="95"/>
        <v>10079</v>
      </c>
      <c r="P324" s="38">
        <f t="shared" si="95"/>
        <v>3596</v>
      </c>
      <c r="Q324" s="38">
        <f t="shared" si="95"/>
        <v>950</v>
      </c>
      <c r="R324" s="38">
        <f t="shared" si="95"/>
        <v>7</v>
      </c>
      <c r="S324" s="38">
        <f t="shared" si="95"/>
        <v>15577</v>
      </c>
    </row>
    <row r="325" spans="1:19">
      <c r="A325" s="95">
        <v>2007</v>
      </c>
      <c r="B325" s="38">
        <f t="shared" ref="B325:K325" si="96">IF(AND(B37="-",B277="-"),"-",SUM(B37,B277))</f>
        <v>3</v>
      </c>
      <c r="C325" s="38">
        <f t="shared" si="96"/>
        <v>0</v>
      </c>
      <c r="D325" s="38">
        <f t="shared" si="96"/>
        <v>86</v>
      </c>
      <c r="E325" s="38">
        <f t="shared" si="96"/>
        <v>297</v>
      </c>
      <c r="F325" s="38">
        <f t="shared" si="96"/>
        <v>1001</v>
      </c>
      <c r="G325" s="38">
        <f t="shared" si="96"/>
        <v>3533</v>
      </c>
      <c r="H325" s="38">
        <f t="shared" si="96"/>
        <v>996</v>
      </c>
      <c r="I325" s="38">
        <f t="shared" si="96"/>
        <v>1009</v>
      </c>
      <c r="J325" s="38">
        <f t="shared" si="96"/>
        <v>16</v>
      </c>
      <c r="K325" s="38">
        <f t="shared" si="96"/>
        <v>6941</v>
      </c>
      <c r="M325" s="38">
        <f t="shared" si="95"/>
        <v>2</v>
      </c>
      <c r="N325" s="38">
        <f t="shared" si="95"/>
        <v>4866</v>
      </c>
      <c r="O325" s="38">
        <f t="shared" si="95"/>
        <v>23641</v>
      </c>
      <c r="P325" s="38">
        <f t="shared" si="95"/>
        <v>31033</v>
      </c>
      <c r="Q325" s="38">
        <f t="shared" si="95"/>
        <v>1108</v>
      </c>
      <c r="R325" s="38">
        <f t="shared" si="95"/>
        <v>3</v>
      </c>
      <c r="S325" s="38">
        <f t="shared" si="95"/>
        <v>60653</v>
      </c>
    </row>
    <row r="326" spans="1:19">
      <c r="A326" s="95">
        <v>2008</v>
      </c>
      <c r="B326" s="38" t="str">
        <f t="shared" ref="B326:I337" si="97">IF(AND(B38="-",B278="-"),"-",SUM(B38,B278))</f>
        <v>-</v>
      </c>
      <c r="C326" s="38" t="str">
        <f t="shared" si="97"/>
        <v>-</v>
      </c>
      <c r="D326" s="38">
        <f t="shared" si="97"/>
        <v>17</v>
      </c>
      <c r="E326" s="38">
        <f t="shared" si="97"/>
        <v>161</v>
      </c>
      <c r="F326" s="38">
        <f t="shared" si="97"/>
        <v>349</v>
      </c>
      <c r="G326" s="38">
        <f t="shared" si="97"/>
        <v>308</v>
      </c>
      <c r="H326" s="38">
        <f t="shared" si="97"/>
        <v>262</v>
      </c>
      <c r="I326" s="38">
        <f t="shared" si="97"/>
        <v>481</v>
      </c>
      <c r="J326" s="137" t="s">
        <v>106</v>
      </c>
      <c r="K326" s="38">
        <f t="shared" ref="K326:K337" si="98">IF(AND(K38="-",K278="-"),"-",SUM(K38,K278))</f>
        <v>1578</v>
      </c>
      <c r="M326" s="38" t="str">
        <f t="shared" si="95"/>
        <v>-</v>
      </c>
      <c r="N326" s="38">
        <f t="shared" si="95"/>
        <v>1320</v>
      </c>
      <c r="O326" s="38">
        <f t="shared" si="95"/>
        <v>5192</v>
      </c>
      <c r="P326" s="38">
        <f t="shared" si="95"/>
        <v>5522</v>
      </c>
      <c r="Q326" s="38">
        <f t="shared" si="95"/>
        <v>45</v>
      </c>
      <c r="R326" s="38">
        <f t="shared" si="95"/>
        <v>6</v>
      </c>
      <c r="S326" s="38">
        <f t="shared" si="95"/>
        <v>12085</v>
      </c>
    </row>
    <row r="327" spans="1:19">
      <c r="A327" s="95">
        <v>2009</v>
      </c>
      <c r="B327" s="38" t="str">
        <f t="shared" si="97"/>
        <v>-</v>
      </c>
      <c r="C327" s="38" t="str">
        <f t="shared" si="97"/>
        <v>-</v>
      </c>
      <c r="D327" s="38" t="str">
        <f t="shared" si="97"/>
        <v>-</v>
      </c>
      <c r="E327" s="38">
        <f t="shared" si="97"/>
        <v>13</v>
      </c>
      <c r="F327" s="38">
        <f t="shared" si="97"/>
        <v>467</v>
      </c>
      <c r="G327" s="38">
        <f t="shared" si="97"/>
        <v>613</v>
      </c>
      <c r="H327" s="38">
        <f t="shared" si="97"/>
        <v>266</v>
      </c>
      <c r="I327" s="38">
        <f t="shared" si="97"/>
        <v>226</v>
      </c>
      <c r="J327" s="137" t="s">
        <v>106</v>
      </c>
      <c r="K327" s="38">
        <f t="shared" si="98"/>
        <v>1585</v>
      </c>
      <c r="M327" s="38" t="str">
        <f t="shared" si="95"/>
        <v>-</v>
      </c>
      <c r="N327" s="38">
        <f t="shared" si="95"/>
        <v>5003</v>
      </c>
      <c r="O327" s="38">
        <f t="shared" si="95"/>
        <v>48717</v>
      </c>
      <c r="P327" s="38">
        <f t="shared" si="95"/>
        <v>34714</v>
      </c>
      <c r="Q327" s="38">
        <f t="shared" si="95"/>
        <v>1166</v>
      </c>
      <c r="R327" s="38">
        <f t="shared" si="95"/>
        <v>6</v>
      </c>
      <c r="S327" s="38">
        <f t="shared" si="95"/>
        <v>89606</v>
      </c>
    </row>
    <row r="328" spans="1:19">
      <c r="A328" s="95">
        <v>2010</v>
      </c>
      <c r="B328" s="38" t="str">
        <f t="shared" si="97"/>
        <v>-</v>
      </c>
      <c r="C328" s="38" t="str">
        <f t="shared" si="97"/>
        <v>-</v>
      </c>
      <c r="D328" s="38">
        <f t="shared" si="97"/>
        <v>82</v>
      </c>
      <c r="E328" s="38">
        <f t="shared" si="97"/>
        <v>246</v>
      </c>
      <c r="F328" s="38">
        <f t="shared" si="97"/>
        <v>771</v>
      </c>
      <c r="G328" s="38">
        <f t="shared" si="97"/>
        <v>2453</v>
      </c>
      <c r="H328" s="38">
        <f t="shared" si="97"/>
        <v>752</v>
      </c>
      <c r="I328" s="38">
        <f t="shared" si="97"/>
        <v>663</v>
      </c>
      <c r="J328" s="137" t="s">
        <v>106</v>
      </c>
      <c r="K328" s="38">
        <f t="shared" si="98"/>
        <v>4967</v>
      </c>
      <c r="M328" s="38" t="str">
        <f t="shared" si="95"/>
        <v>-</v>
      </c>
      <c r="N328" s="38">
        <f t="shared" si="95"/>
        <v>380</v>
      </c>
      <c r="O328" s="38">
        <f t="shared" si="95"/>
        <v>3679</v>
      </c>
      <c r="P328" s="38">
        <f t="shared" si="95"/>
        <v>12765</v>
      </c>
      <c r="Q328" s="38">
        <f t="shared" si="95"/>
        <v>1471</v>
      </c>
      <c r="R328" s="38" t="str">
        <f t="shared" si="95"/>
        <v>-</v>
      </c>
      <c r="S328" s="38">
        <f t="shared" si="95"/>
        <v>18295</v>
      </c>
    </row>
    <row r="329" spans="1:19">
      <c r="A329" s="95">
        <v>2011</v>
      </c>
      <c r="B329" s="38">
        <f t="shared" si="97"/>
        <v>0</v>
      </c>
      <c r="C329" s="38">
        <f t="shared" si="97"/>
        <v>7</v>
      </c>
      <c r="D329" s="38">
        <f t="shared" si="97"/>
        <v>204</v>
      </c>
      <c r="E329" s="38">
        <f t="shared" si="97"/>
        <v>314</v>
      </c>
      <c r="F329" s="38">
        <f t="shared" si="97"/>
        <v>647</v>
      </c>
      <c r="G329" s="38">
        <f t="shared" si="97"/>
        <v>2215</v>
      </c>
      <c r="H329" s="38">
        <f t="shared" si="97"/>
        <v>1331</v>
      </c>
      <c r="I329" s="38">
        <f t="shared" si="97"/>
        <v>440</v>
      </c>
      <c r="J329" s="38">
        <f>IF(AND(J41="-",J281="-"),"-",SUM(J41,J281))</f>
        <v>6</v>
      </c>
      <c r="K329" s="38">
        <f t="shared" si="98"/>
        <v>5164</v>
      </c>
      <c r="M329" s="38" t="str">
        <f t="shared" si="95"/>
        <v>-</v>
      </c>
      <c r="N329" s="38">
        <f t="shared" si="95"/>
        <v>734</v>
      </c>
      <c r="O329" s="38">
        <f t="shared" si="95"/>
        <v>4561</v>
      </c>
      <c r="P329" s="38">
        <f t="shared" si="95"/>
        <v>6151</v>
      </c>
      <c r="Q329" s="38">
        <f t="shared" si="95"/>
        <v>7386</v>
      </c>
      <c r="R329" s="38" t="str">
        <f t="shared" si="95"/>
        <v>-</v>
      </c>
      <c r="S329" s="38">
        <f t="shared" si="95"/>
        <v>18832</v>
      </c>
    </row>
    <row r="330" spans="1:19">
      <c r="A330" s="95">
        <v>2012</v>
      </c>
      <c r="B330" s="38">
        <f t="shared" si="97"/>
        <v>21</v>
      </c>
      <c r="C330" s="38">
        <f t="shared" si="97"/>
        <v>108</v>
      </c>
      <c r="D330" s="38">
        <f t="shared" si="97"/>
        <v>864</v>
      </c>
      <c r="E330" s="38">
        <f t="shared" si="97"/>
        <v>2169</v>
      </c>
      <c r="F330" s="38">
        <f t="shared" si="97"/>
        <v>3837</v>
      </c>
      <c r="G330" s="38">
        <f t="shared" si="97"/>
        <v>6703</v>
      </c>
      <c r="H330" s="38">
        <f t="shared" si="97"/>
        <v>4044</v>
      </c>
      <c r="I330" s="38">
        <f t="shared" si="97"/>
        <v>1040</v>
      </c>
      <c r="J330" s="38">
        <f>IF(AND(J42="-",J282="-"),"-",SUM(J42,J282))</f>
        <v>8</v>
      </c>
      <c r="K330" s="38">
        <f t="shared" si="98"/>
        <v>18794</v>
      </c>
      <c r="M330" s="38" t="str">
        <f t="shared" si="95"/>
        <v>-</v>
      </c>
      <c r="N330" s="38">
        <f t="shared" si="95"/>
        <v>156</v>
      </c>
      <c r="O330" s="38">
        <f t="shared" si="95"/>
        <v>3010</v>
      </c>
      <c r="P330" s="38">
        <f t="shared" si="95"/>
        <v>5715</v>
      </c>
      <c r="Q330" s="38">
        <f t="shared" si="95"/>
        <v>7196</v>
      </c>
      <c r="R330" s="38">
        <f t="shared" si="95"/>
        <v>2</v>
      </c>
      <c r="S330" s="38">
        <f t="shared" si="95"/>
        <v>16079</v>
      </c>
    </row>
    <row r="331" spans="1:19">
      <c r="A331" s="95">
        <v>2013</v>
      </c>
      <c r="B331" s="38">
        <f t="shared" si="97"/>
        <v>257</v>
      </c>
      <c r="C331" s="38">
        <f t="shared" si="97"/>
        <v>196</v>
      </c>
      <c r="D331" s="38">
        <f t="shared" si="97"/>
        <v>213</v>
      </c>
      <c r="E331" s="38">
        <f t="shared" si="97"/>
        <v>3943</v>
      </c>
      <c r="F331" s="38">
        <f t="shared" si="97"/>
        <v>6742</v>
      </c>
      <c r="G331" s="38">
        <f t="shared" si="97"/>
        <v>15514</v>
      </c>
      <c r="H331" s="38">
        <f t="shared" si="97"/>
        <v>1763</v>
      </c>
      <c r="I331" s="38">
        <f t="shared" si="97"/>
        <v>1606</v>
      </c>
      <c r="J331" s="38" t="s">
        <v>106</v>
      </c>
      <c r="K331" s="38">
        <f t="shared" si="98"/>
        <v>30234</v>
      </c>
      <c r="M331" s="38" t="str">
        <f t="shared" si="95"/>
        <v>-</v>
      </c>
      <c r="N331" s="38">
        <f t="shared" si="95"/>
        <v>1160</v>
      </c>
      <c r="O331" s="38">
        <f t="shared" si="95"/>
        <v>6041</v>
      </c>
      <c r="P331" s="38">
        <f t="shared" si="95"/>
        <v>4479</v>
      </c>
      <c r="Q331" s="38">
        <f t="shared" si="95"/>
        <v>2831</v>
      </c>
      <c r="R331" s="38">
        <f t="shared" si="95"/>
        <v>25</v>
      </c>
      <c r="S331" s="38">
        <f t="shared" si="95"/>
        <v>14536</v>
      </c>
    </row>
    <row r="332" spans="1:19">
      <c r="A332" s="95">
        <v>2014</v>
      </c>
      <c r="B332" s="38">
        <f t="shared" si="97"/>
        <v>10</v>
      </c>
      <c r="C332" s="38">
        <f t="shared" si="97"/>
        <v>32</v>
      </c>
      <c r="D332" s="38">
        <f t="shared" si="97"/>
        <v>1104</v>
      </c>
      <c r="E332" s="38">
        <f t="shared" si="97"/>
        <v>1453</v>
      </c>
      <c r="F332" s="38">
        <f t="shared" si="97"/>
        <v>6942</v>
      </c>
      <c r="G332" s="38">
        <f t="shared" si="97"/>
        <v>5696</v>
      </c>
      <c r="H332" s="38">
        <f t="shared" si="97"/>
        <v>1991</v>
      </c>
      <c r="I332" s="38">
        <f t="shared" si="97"/>
        <v>1252</v>
      </c>
      <c r="J332" s="38" t="s">
        <v>106</v>
      </c>
      <c r="K332" s="38">
        <f t="shared" si="98"/>
        <v>18480</v>
      </c>
      <c r="M332" s="38">
        <f t="shared" si="95"/>
        <v>4</v>
      </c>
      <c r="N332" s="38">
        <f t="shared" si="95"/>
        <v>3952</v>
      </c>
      <c r="O332" s="38">
        <f t="shared" si="95"/>
        <v>38409</v>
      </c>
      <c r="P332" s="38">
        <f t="shared" si="95"/>
        <v>27783</v>
      </c>
      <c r="Q332" s="38">
        <f t="shared" si="95"/>
        <v>29310</v>
      </c>
      <c r="R332" s="38">
        <f t="shared" si="95"/>
        <v>49</v>
      </c>
      <c r="S332" s="38">
        <f t="shared" si="95"/>
        <v>99507</v>
      </c>
    </row>
    <row r="333" spans="1:19">
      <c r="A333" s="95">
        <v>2015</v>
      </c>
      <c r="B333" s="38">
        <f t="shared" si="97"/>
        <v>30</v>
      </c>
      <c r="C333" s="38">
        <f t="shared" si="97"/>
        <v>8</v>
      </c>
      <c r="D333" s="38">
        <f t="shared" si="97"/>
        <v>209</v>
      </c>
      <c r="E333" s="38">
        <f t="shared" si="97"/>
        <v>623</v>
      </c>
      <c r="F333" s="38">
        <f t="shared" si="97"/>
        <v>984</v>
      </c>
      <c r="G333" s="38">
        <f t="shared" si="97"/>
        <v>1453</v>
      </c>
      <c r="H333" s="38">
        <f t="shared" si="97"/>
        <v>3889</v>
      </c>
      <c r="I333" s="38">
        <f t="shared" si="97"/>
        <v>2246</v>
      </c>
      <c r="J333" s="38" t="s">
        <v>106</v>
      </c>
      <c r="K333" s="38">
        <f t="shared" si="98"/>
        <v>9442</v>
      </c>
      <c r="M333" s="38" t="str">
        <f t="shared" si="95"/>
        <v>-</v>
      </c>
      <c r="N333" s="38">
        <f t="shared" si="95"/>
        <v>1195</v>
      </c>
      <c r="O333" s="38">
        <f t="shared" si="95"/>
        <v>15723</v>
      </c>
      <c r="P333" s="38">
        <f t="shared" si="95"/>
        <v>5434</v>
      </c>
      <c r="Q333" s="38">
        <f t="shared" si="95"/>
        <v>5902</v>
      </c>
      <c r="R333" s="38">
        <f t="shared" si="95"/>
        <v>28</v>
      </c>
      <c r="S333" s="38">
        <f t="shared" si="95"/>
        <v>28282</v>
      </c>
    </row>
    <row r="334" spans="1:19">
      <c r="A334" s="95">
        <v>2016</v>
      </c>
      <c r="B334" s="38">
        <f t="shared" si="97"/>
        <v>32</v>
      </c>
      <c r="C334" s="38">
        <f t="shared" si="97"/>
        <v>9</v>
      </c>
      <c r="D334" s="38">
        <f t="shared" si="97"/>
        <v>128</v>
      </c>
      <c r="E334" s="38">
        <f t="shared" si="97"/>
        <v>319</v>
      </c>
      <c r="F334" s="38">
        <f t="shared" si="97"/>
        <v>963</v>
      </c>
      <c r="G334" s="38">
        <f t="shared" si="97"/>
        <v>1082</v>
      </c>
      <c r="H334" s="38">
        <f t="shared" si="97"/>
        <v>1199</v>
      </c>
      <c r="I334" s="38">
        <f t="shared" si="97"/>
        <v>363</v>
      </c>
      <c r="J334" s="38" t="s">
        <v>106</v>
      </c>
      <c r="K334" s="38">
        <f t="shared" si="98"/>
        <v>4095</v>
      </c>
      <c r="M334" s="38" t="str">
        <f t="shared" ref="M334:S337" si="99">IF(AND(M46="-",M286="-"),"-",SUM(M46,M286))</f>
        <v>-</v>
      </c>
      <c r="N334" s="38">
        <f t="shared" si="99"/>
        <v>256</v>
      </c>
      <c r="O334" s="38">
        <f t="shared" si="99"/>
        <v>2131</v>
      </c>
      <c r="P334" s="38">
        <f t="shared" si="99"/>
        <v>1821</v>
      </c>
      <c r="Q334" s="38">
        <f t="shared" si="99"/>
        <v>4180</v>
      </c>
      <c r="R334" s="38">
        <f t="shared" si="99"/>
        <v>22</v>
      </c>
      <c r="S334" s="38">
        <f t="shared" si="99"/>
        <v>8410</v>
      </c>
    </row>
    <row r="335" spans="1:19">
      <c r="A335" s="95">
        <v>2017</v>
      </c>
      <c r="B335" s="38">
        <f t="shared" si="97"/>
        <v>0</v>
      </c>
      <c r="C335" s="38">
        <f t="shared" si="97"/>
        <v>6</v>
      </c>
      <c r="D335" s="38">
        <f t="shared" si="97"/>
        <v>89</v>
      </c>
      <c r="E335" s="38">
        <f t="shared" si="97"/>
        <v>469</v>
      </c>
      <c r="F335" s="38">
        <f t="shared" si="97"/>
        <v>1075</v>
      </c>
      <c r="G335" s="38">
        <f t="shared" si="97"/>
        <v>1818</v>
      </c>
      <c r="H335" s="38">
        <f t="shared" si="97"/>
        <v>592</v>
      </c>
      <c r="I335" s="38">
        <f t="shared" si="97"/>
        <v>545</v>
      </c>
      <c r="J335" s="38" t="s">
        <v>106</v>
      </c>
      <c r="K335" s="38">
        <f t="shared" si="98"/>
        <v>4594</v>
      </c>
      <c r="M335" s="38" t="str">
        <f t="shared" si="99"/>
        <v>-</v>
      </c>
      <c r="N335" s="38">
        <f t="shared" si="99"/>
        <v>376</v>
      </c>
      <c r="O335" s="38">
        <f t="shared" si="99"/>
        <v>8021</v>
      </c>
      <c r="P335" s="38">
        <f t="shared" si="99"/>
        <v>8248</v>
      </c>
      <c r="Q335" s="38">
        <f t="shared" si="99"/>
        <v>4590</v>
      </c>
      <c r="R335" s="38" t="str">
        <f t="shared" si="99"/>
        <v>-</v>
      </c>
      <c r="S335" s="38">
        <f t="shared" si="99"/>
        <v>21235</v>
      </c>
    </row>
    <row r="336" spans="1:19">
      <c r="A336" s="95">
        <v>2018</v>
      </c>
      <c r="B336" s="38">
        <f t="shared" si="97"/>
        <v>0</v>
      </c>
      <c r="C336" s="38">
        <f t="shared" si="97"/>
        <v>4</v>
      </c>
      <c r="D336" s="38">
        <f t="shared" si="97"/>
        <v>153</v>
      </c>
      <c r="E336" s="38">
        <f t="shared" si="97"/>
        <v>408</v>
      </c>
      <c r="F336" s="38">
        <f t="shared" si="97"/>
        <v>1263</v>
      </c>
      <c r="G336" s="38">
        <f t="shared" si="97"/>
        <v>2032</v>
      </c>
      <c r="H336" s="38">
        <f t="shared" si="97"/>
        <v>627</v>
      </c>
      <c r="I336" s="38">
        <f t="shared" si="97"/>
        <v>503</v>
      </c>
      <c r="J336" s="38" t="s">
        <v>106</v>
      </c>
      <c r="K336" s="38">
        <f t="shared" si="98"/>
        <v>4990</v>
      </c>
      <c r="M336" s="38" t="str">
        <f t="shared" si="99"/>
        <v>-</v>
      </c>
      <c r="N336" s="38">
        <f t="shared" si="99"/>
        <v>70</v>
      </c>
      <c r="O336" s="38">
        <f t="shared" si="99"/>
        <v>4374</v>
      </c>
      <c r="P336" s="38">
        <f t="shared" si="99"/>
        <v>14287</v>
      </c>
      <c r="Q336" s="38">
        <f t="shared" si="99"/>
        <v>6941</v>
      </c>
      <c r="R336" s="38" t="str">
        <f t="shared" si="99"/>
        <v>-</v>
      </c>
      <c r="S336" s="38">
        <f t="shared" si="99"/>
        <v>25672</v>
      </c>
    </row>
    <row r="337" spans="1:19">
      <c r="A337" s="95">
        <v>2019</v>
      </c>
      <c r="B337" s="38">
        <f t="shared" si="97"/>
        <v>10</v>
      </c>
      <c r="C337" s="38">
        <f t="shared" si="97"/>
        <v>3</v>
      </c>
      <c r="D337" s="38">
        <f t="shared" si="97"/>
        <v>112</v>
      </c>
      <c r="E337" s="38">
        <f t="shared" si="97"/>
        <v>751</v>
      </c>
      <c r="F337" s="38">
        <f t="shared" si="97"/>
        <v>3310</v>
      </c>
      <c r="G337" s="38">
        <f t="shared" si="97"/>
        <v>1433</v>
      </c>
      <c r="H337" s="38">
        <f t="shared" si="97"/>
        <v>731</v>
      </c>
      <c r="I337" s="38">
        <f t="shared" si="97"/>
        <v>256</v>
      </c>
      <c r="J337" s="38" t="str">
        <f>IF(AND(J289="-",J241="-",J193="-",J145="-"),"-",SUM(J289,J241,J193,J145))</f>
        <v>-</v>
      </c>
      <c r="K337" s="38">
        <f t="shared" si="98"/>
        <v>6606</v>
      </c>
      <c r="M337" s="38" t="str">
        <f t="shared" si="99"/>
        <v>-</v>
      </c>
      <c r="N337" s="38">
        <f t="shared" si="99"/>
        <v>5796</v>
      </c>
      <c r="O337" s="38">
        <f t="shared" si="99"/>
        <v>34192</v>
      </c>
      <c r="P337" s="38">
        <f t="shared" si="99"/>
        <v>20969</v>
      </c>
      <c r="Q337" s="38">
        <f t="shared" si="99"/>
        <v>5351</v>
      </c>
      <c r="R337" s="38">
        <f t="shared" si="99"/>
        <v>5</v>
      </c>
      <c r="S337" s="38">
        <f t="shared" si="99"/>
        <v>66313</v>
      </c>
    </row>
    <row r="338" spans="1:19">
      <c r="A338" s="95">
        <v>2020</v>
      </c>
      <c r="B338" s="38">
        <f t="shared" ref="B338:I339" si="100">IF(AND(B50="-",B290="-"),"-",SUM(B50,B290))</f>
        <v>0</v>
      </c>
      <c r="C338" s="38">
        <f t="shared" si="100"/>
        <v>4</v>
      </c>
      <c r="D338" s="38">
        <f t="shared" si="100"/>
        <v>38</v>
      </c>
      <c r="E338" s="38">
        <f t="shared" si="100"/>
        <v>666</v>
      </c>
      <c r="F338" s="38">
        <f t="shared" si="100"/>
        <v>3940</v>
      </c>
      <c r="G338" s="38">
        <f t="shared" si="100"/>
        <v>976</v>
      </c>
      <c r="H338" s="38">
        <f t="shared" si="100"/>
        <v>1345</v>
      </c>
      <c r="I338" s="38">
        <f t="shared" si="100"/>
        <v>219</v>
      </c>
      <c r="J338" s="38" t="str">
        <f t="shared" ref="J338:J339" si="101">IF(AND(J290="-",J242="-",J194="-",J146="-"),"-",SUM(J290,J242,J194,J146))</f>
        <v>-</v>
      </c>
      <c r="K338" s="38">
        <f t="shared" ref="K338:K339" si="102">IF(AND(K50="-",K290="-"),"-",SUM(K50,K290))</f>
        <v>7188</v>
      </c>
      <c r="M338" s="38" t="str">
        <f t="shared" ref="M338:R339" si="103">IF(AND(M50="-",M290="-"),"-",SUM(M50,M290))</f>
        <v>-</v>
      </c>
      <c r="N338" s="38">
        <f t="shared" si="103"/>
        <v>0</v>
      </c>
      <c r="O338" s="38">
        <f t="shared" si="103"/>
        <v>11435</v>
      </c>
      <c r="P338" s="38">
        <f t="shared" si="103"/>
        <v>5126</v>
      </c>
      <c r="Q338" s="38">
        <f t="shared" si="103"/>
        <v>4239</v>
      </c>
      <c r="R338" s="38" t="str">
        <f t="shared" si="103"/>
        <v>-</v>
      </c>
      <c r="S338" s="38">
        <f>IF(AND(S50="-",S290="-"),"-",SUM(S50,S290))</f>
        <v>20800</v>
      </c>
    </row>
    <row r="339" spans="1:19" ht="13">
      <c r="A339" s="95" t="s">
        <v>317</v>
      </c>
      <c r="B339" s="38">
        <f t="shared" si="100"/>
        <v>12</v>
      </c>
      <c r="C339" s="38">
        <f t="shared" si="100"/>
        <v>136</v>
      </c>
      <c r="D339" s="38">
        <f t="shared" si="100"/>
        <v>174</v>
      </c>
      <c r="E339" s="38">
        <f t="shared" si="100"/>
        <v>914</v>
      </c>
      <c r="F339" s="38">
        <f t="shared" si="100"/>
        <v>3483</v>
      </c>
      <c r="G339" s="38">
        <f t="shared" si="100"/>
        <v>2658</v>
      </c>
      <c r="H339" s="38">
        <f t="shared" si="100"/>
        <v>863</v>
      </c>
      <c r="I339" s="38">
        <f t="shared" si="100"/>
        <v>9</v>
      </c>
      <c r="J339" s="38" t="str">
        <f t="shared" si="101"/>
        <v>-</v>
      </c>
      <c r="K339" s="38">
        <f t="shared" si="102"/>
        <v>8249</v>
      </c>
      <c r="M339" s="38" t="str">
        <f t="shared" si="103"/>
        <v>-</v>
      </c>
      <c r="N339" s="38">
        <f t="shared" si="103"/>
        <v>2349</v>
      </c>
      <c r="O339" s="38">
        <f t="shared" si="103"/>
        <v>42591</v>
      </c>
      <c r="P339" s="38">
        <f t="shared" si="103"/>
        <v>37746</v>
      </c>
      <c r="Q339" s="38">
        <f t="shared" si="103"/>
        <v>10766</v>
      </c>
      <c r="R339" s="38">
        <f t="shared" si="103"/>
        <v>4</v>
      </c>
      <c r="S339" s="38">
        <f>IF(AND(S51="-",S291="-"),"-",SUM(S51,S291))</f>
        <v>93456</v>
      </c>
    </row>
    <row r="340" spans="1:19" ht="12" customHeight="1">
      <c r="A340" s="322" t="s">
        <v>167</v>
      </c>
      <c r="B340" s="323"/>
      <c r="C340" s="323"/>
      <c r="D340" s="323"/>
      <c r="E340" s="323"/>
      <c r="F340" s="323"/>
      <c r="G340" s="323"/>
      <c r="H340" s="323"/>
      <c r="I340" s="323"/>
      <c r="J340" s="323"/>
      <c r="K340" s="323"/>
      <c r="L340" s="323"/>
      <c r="M340" s="323"/>
      <c r="N340" s="323"/>
      <c r="O340" s="323"/>
      <c r="P340" s="323"/>
      <c r="Q340" s="323"/>
      <c r="R340" s="323"/>
      <c r="S340" s="323"/>
    </row>
    <row r="341" spans="1:19">
      <c r="A341" s="324"/>
      <c r="B341" s="324"/>
      <c r="C341" s="324"/>
      <c r="D341" s="324"/>
      <c r="E341" s="324"/>
      <c r="F341" s="324"/>
      <c r="G341" s="324"/>
      <c r="H341" s="324"/>
      <c r="I341" s="324"/>
      <c r="J341" s="324"/>
      <c r="K341" s="324"/>
      <c r="L341" s="324"/>
      <c r="M341" s="324"/>
      <c r="N341" s="324"/>
      <c r="O341" s="324"/>
      <c r="P341" s="324"/>
      <c r="Q341" s="324"/>
      <c r="R341" s="324"/>
      <c r="S341" s="324"/>
    </row>
    <row r="342" spans="1:19">
      <c r="A342" s="324"/>
      <c r="B342" s="324"/>
      <c r="C342" s="324"/>
      <c r="D342" s="324"/>
      <c r="E342" s="324"/>
      <c r="F342" s="324"/>
      <c r="G342" s="324"/>
      <c r="H342" s="324"/>
      <c r="I342" s="324"/>
      <c r="J342" s="324"/>
      <c r="K342" s="324"/>
      <c r="L342" s="324"/>
      <c r="M342" s="324"/>
      <c r="N342" s="324"/>
      <c r="O342" s="324"/>
      <c r="P342" s="324"/>
      <c r="Q342" s="324"/>
      <c r="R342" s="324"/>
      <c r="S342" s="324"/>
    </row>
    <row r="343" spans="1:19" ht="11.25" customHeight="1">
      <c r="A343" s="320" t="s">
        <v>132</v>
      </c>
      <c r="B343" s="320"/>
      <c r="C343" s="320"/>
      <c r="D343" s="320"/>
      <c r="E343" s="320"/>
      <c r="F343" s="320"/>
      <c r="G343" s="320"/>
      <c r="H343" s="320"/>
      <c r="I343" s="320"/>
      <c r="J343" s="320"/>
      <c r="K343" s="320"/>
      <c r="L343" s="320"/>
      <c r="M343" s="320"/>
      <c r="N343" s="320"/>
      <c r="O343" s="320"/>
      <c r="P343" s="320"/>
      <c r="Q343" s="320"/>
      <c r="R343" s="320"/>
      <c r="S343" s="320"/>
    </row>
    <row r="344" spans="1:19">
      <c r="A344" s="320"/>
      <c r="B344" s="320"/>
      <c r="C344" s="320"/>
      <c r="D344" s="320"/>
      <c r="E344" s="320"/>
      <c r="F344" s="320"/>
      <c r="G344" s="320"/>
      <c r="H344" s="320"/>
      <c r="I344" s="320"/>
      <c r="J344" s="320"/>
      <c r="K344" s="320"/>
      <c r="L344" s="320"/>
      <c r="M344" s="320"/>
      <c r="N344" s="320"/>
      <c r="O344" s="320"/>
      <c r="P344" s="320"/>
      <c r="Q344" s="320"/>
      <c r="R344" s="320"/>
      <c r="S344" s="320"/>
    </row>
    <row r="345" spans="1:19">
      <c r="A345" s="315" t="s">
        <v>41</v>
      </c>
      <c r="B345" s="315"/>
      <c r="C345" s="315"/>
      <c r="D345" s="315"/>
      <c r="E345" s="315"/>
      <c r="F345" s="315"/>
      <c r="G345" s="315"/>
      <c r="H345" s="315"/>
      <c r="I345" s="315"/>
      <c r="J345" s="315"/>
      <c r="K345" s="315"/>
      <c r="L345" s="315"/>
      <c r="M345" s="315"/>
      <c r="N345" s="315"/>
      <c r="O345" s="315"/>
      <c r="P345" s="315"/>
      <c r="Q345" s="315"/>
      <c r="R345" s="315"/>
      <c r="S345" s="315"/>
    </row>
    <row r="368" spans="1:19" s="208" customFormat="1">
      <c r="A368" s="161"/>
      <c r="B368" s="189"/>
      <c r="C368" s="189"/>
      <c r="D368" s="189"/>
      <c r="E368" s="189"/>
      <c r="F368" s="189"/>
      <c r="G368" s="189"/>
      <c r="H368" s="189"/>
      <c r="I368" s="189"/>
      <c r="J368" s="189"/>
      <c r="K368" s="189"/>
      <c r="L368" s="189"/>
      <c r="M368" s="189"/>
      <c r="N368" s="189"/>
      <c r="O368" s="189"/>
      <c r="P368" s="189"/>
      <c r="Q368" s="189"/>
      <c r="R368" s="189"/>
      <c r="S368" s="189"/>
    </row>
    <row r="383" spans="1:19" ht="11.25" customHeight="1"/>
    <row r="384" spans="1:19" ht="11.25" customHeight="1">
      <c r="A384" s="318" t="s">
        <v>281</v>
      </c>
      <c r="B384" s="318"/>
      <c r="C384" s="318"/>
      <c r="D384" s="318"/>
      <c r="E384" s="318"/>
      <c r="F384" s="318"/>
      <c r="G384" s="318"/>
      <c r="H384" s="318"/>
      <c r="I384" s="318"/>
      <c r="J384" s="318"/>
      <c r="K384" s="318"/>
      <c r="L384" s="318"/>
      <c r="M384" s="318"/>
      <c r="N384" s="318"/>
      <c r="O384" s="318"/>
      <c r="P384" s="318"/>
      <c r="Q384" s="318"/>
      <c r="R384" s="318"/>
      <c r="S384" s="318"/>
    </row>
    <row r="385" spans="1:19" ht="11.25" customHeight="1">
      <c r="A385" s="109" t="s">
        <v>43</v>
      </c>
      <c r="B385" s="186" t="s">
        <v>37</v>
      </c>
      <c r="C385" s="186" t="s">
        <v>28</v>
      </c>
      <c r="D385" s="186" t="s">
        <v>29</v>
      </c>
      <c r="E385" s="186" t="s">
        <v>30</v>
      </c>
      <c r="F385" s="186" t="s">
        <v>31</v>
      </c>
      <c r="G385" s="186" t="s">
        <v>32</v>
      </c>
      <c r="H385" s="186" t="s">
        <v>33</v>
      </c>
      <c r="I385" s="186" t="s">
        <v>34</v>
      </c>
      <c r="J385" s="186" t="s">
        <v>38</v>
      </c>
      <c r="K385" s="186" t="s">
        <v>22</v>
      </c>
      <c r="L385" s="186"/>
      <c r="M385" s="186" t="s">
        <v>29</v>
      </c>
      <c r="N385" s="186" t="s">
        <v>30</v>
      </c>
      <c r="O385" s="186" t="s">
        <v>31</v>
      </c>
      <c r="P385" s="186" t="s">
        <v>32</v>
      </c>
      <c r="Q385" s="186" t="s">
        <v>33</v>
      </c>
      <c r="R385" s="186" t="s">
        <v>34</v>
      </c>
      <c r="S385" s="186" t="s">
        <v>22</v>
      </c>
    </row>
    <row r="386" spans="1:19" ht="11.25" customHeight="1">
      <c r="B386" s="308" t="s">
        <v>61</v>
      </c>
      <c r="C386" s="308"/>
      <c r="D386" s="308"/>
      <c r="E386" s="308"/>
      <c r="F386" s="308"/>
      <c r="G386" s="308"/>
      <c r="H386" s="308"/>
      <c r="I386" s="308"/>
      <c r="J386" s="308"/>
      <c r="K386" s="308"/>
      <c r="L386" s="177"/>
      <c r="M386" s="308" t="s">
        <v>62</v>
      </c>
      <c r="N386" s="308"/>
      <c r="O386" s="308"/>
      <c r="P386" s="308"/>
      <c r="Q386" s="308"/>
      <c r="R386" s="308"/>
      <c r="S386" s="308"/>
    </row>
    <row r="387" spans="1:19">
      <c r="A387" s="88" t="s">
        <v>102</v>
      </c>
      <c r="B387" s="24"/>
    </row>
    <row r="388" spans="1:19">
      <c r="A388" s="99" t="s">
        <v>24</v>
      </c>
      <c r="B388" s="24" t="str">
        <f t="shared" ref="B388:C390" si="104">B19</f>
        <v>-</v>
      </c>
      <c r="C388" s="24" t="str">
        <f t="shared" si="104"/>
        <v>-</v>
      </c>
      <c r="D388" s="24">
        <f t="shared" ref="D388:K388" si="105">AVERAGE(D11:D15)</f>
        <v>29</v>
      </c>
      <c r="E388" s="24">
        <f t="shared" si="105"/>
        <v>922</v>
      </c>
      <c r="F388" s="24">
        <f t="shared" si="105"/>
        <v>2427</v>
      </c>
      <c r="G388" s="24">
        <f t="shared" si="105"/>
        <v>1901.8</v>
      </c>
      <c r="H388" s="24">
        <f t="shared" si="105"/>
        <v>729</v>
      </c>
      <c r="I388" s="24" t="str">
        <f t="shared" ref="I388:J390" si="106">I19</f>
        <v>-</v>
      </c>
      <c r="J388" s="24" t="str">
        <f t="shared" si="106"/>
        <v>-</v>
      </c>
      <c r="K388" s="24">
        <f t="shared" si="105"/>
        <v>5363.8</v>
      </c>
      <c r="M388" s="24">
        <f t="shared" ref="M388:S388" si="107">AVERAGE(M11:M15)</f>
        <v>1699</v>
      </c>
      <c r="N388" s="24">
        <f t="shared" si="107"/>
        <v>4463</v>
      </c>
      <c r="O388" s="24">
        <f t="shared" si="107"/>
        <v>16455</v>
      </c>
      <c r="P388" s="24">
        <f t="shared" si="107"/>
        <v>11211</v>
      </c>
      <c r="Q388" s="24">
        <f t="shared" si="107"/>
        <v>5508.5</v>
      </c>
      <c r="R388" s="24" t="str">
        <f>R19</f>
        <v>-</v>
      </c>
      <c r="S388" s="142">
        <f t="shared" si="107"/>
        <v>33779.599999999999</v>
      </c>
    </row>
    <row r="389" spans="1:19">
      <c r="A389" s="99" t="s">
        <v>78</v>
      </c>
      <c r="B389" s="24" t="str">
        <f t="shared" si="104"/>
        <v>-</v>
      </c>
      <c r="C389" s="24" t="str">
        <f t="shared" si="104"/>
        <v>-</v>
      </c>
      <c r="D389" s="24">
        <f t="shared" ref="D389:K389" si="108">AVERAGE(D16:D20)</f>
        <v>29</v>
      </c>
      <c r="E389" s="24">
        <f t="shared" si="108"/>
        <v>127.25</v>
      </c>
      <c r="F389" s="24">
        <f t="shared" si="108"/>
        <v>953.8</v>
      </c>
      <c r="G389" s="24">
        <f t="shared" si="108"/>
        <v>1458.75</v>
      </c>
      <c r="H389" s="24">
        <f t="shared" si="108"/>
        <v>87</v>
      </c>
      <c r="I389" s="24" t="str">
        <f t="shared" si="106"/>
        <v>-</v>
      </c>
      <c r="J389" s="24" t="str">
        <f t="shared" si="106"/>
        <v>-</v>
      </c>
      <c r="K389" s="24">
        <f t="shared" si="108"/>
        <v>2245.8000000000002</v>
      </c>
      <c r="M389" s="24" t="str">
        <f>M20</f>
        <v>-</v>
      </c>
      <c r="N389" s="24">
        <f t="shared" ref="N389:S389" si="109">AVERAGE(N16:N20)</f>
        <v>1825</v>
      </c>
      <c r="O389" s="24">
        <f t="shared" si="109"/>
        <v>15219.6</v>
      </c>
      <c r="P389" s="24">
        <f t="shared" si="109"/>
        <v>14456.25</v>
      </c>
      <c r="Q389" s="24">
        <f t="shared" si="109"/>
        <v>1307</v>
      </c>
      <c r="R389" s="24" t="str">
        <f>R20</f>
        <v>-</v>
      </c>
      <c r="S389" s="142">
        <f t="shared" si="109"/>
        <v>28506</v>
      </c>
    </row>
    <row r="390" spans="1:19">
      <c r="A390" s="99" t="s">
        <v>10</v>
      </c>
      <c r="B390" s="24" t="str">
        <f t="shared" si="104"/>
        <v>-</v>
      </c>
      <c r="C390" s="24" t="str">
        <f t="shared" si="104"/>
        <v>-</v>
      </c>
      <c r="D390" s="24" t="str">
        <f>D21</f>
        <v>-</v>
      </c>
      <c r="E390" s="24">
        <f>AVERAGE(E21:E25)</f>
        <v>81</v>
      </c>
      <c r="F390" s="24">
        <f>AVERAGE(F21:F25)</f>
        <v>224.25</v>
      </c>
      <c r="G390" s="24">
        <f>AVERAGE(G21:G25)</f>
        <v>301.5</v>
      </c>
      <c r="H390" s="24">
        <f>AVERAGE(H21:H25)</f>
        <v>63</v>
      </c>
      <c r="I390" s="24" t="str">
        <f t="shared" si="106"/>
        <v>-</v>
      </c>
      <c r="J390" s="24" t="str">
        <f t="shared" si="106"/>
        <v>-</v>
      </c>
      <c r="K390" s="24">
        <f>AVERAGE(K21:K25)</f>
        <v>609</v>
      </c>
      <c r="M390" s="24" t="str">
        <f>M21</f>
        <v>-</v>
      </c>
      <c r="N390" s="24">
        <f>AVERAGE(N21:N25)</f>
        <v>2409</v>
      </c>
      <c r="O390" s="24">
        <f>AVERAGE(O21:O25)</f>
        <v>10831</v>
      </c>
      <c r="P390" s="24">
        <f>AVERAGE(P21:P25)</f>
        <v>9892.25</v>
      </c>
      <c r="Q390" s="24">
        <f>AVERAGE(Q21:Q25)</f>
        <v>2331.75</v>
      </c>
      <c r="R390" s="24" t="str">
        <f>R21</f>
        <v>-</v>
      </c>
      <c r="S390" s="142">
        <f>AVERAGE(S21:S25)</f>
        <v>23657.25</v>
      </c>
    </row>
    <row r="391" spans="1:19">
      <c r="A391" s="99" t="s">
        <v>144</v>
      </c>
      <c r="B391" s="24" t="str">
        <f>B26</f>
        <v>-</v>
      </c>
      <c r="C391" s="24" t="str">
        <f>C26</f>
        <v>-</v>
      </c>
      <c r="D391" s="24" t="str">
        <f>D26</f>
        <v>-</v>
      </c>
      <c r="E391" s="24" t="s">
        <v>23</v>
      </c>
      <c r="F391" s="24">
        <f>AVERAGE(F26:F30)</f>
        <v>196.75</v>
      </c>
      <c r="G391" s="24">
        <f>AVERAGE(G26:G30)</f>
        <v>222.6</v>
      </c>
      <c r="H391" s="24">
        <f>AVERAGE(H26:H30)</f>
        <v>38</v>
      </c>
      <c r="I391" s="24" t="str">
        <f>I26</f>
        <v>-</v>
      </c>
      <c r="J391" s="24" t="str">
        <f>J26</f>
        <v>-</v>
      </c>
      <c r="K391" s="24">
        <f>AVERAGE(K26:K30)</f>
        <v>402.8</v>
      </c>
      <c r="M391" s="24" t="str">
        <f>M26</f>
        <v>-</v>
      </c>
      <c r="N391" s="24" t="s">
        <v>23</v>
      </c>
      <c r="O391" s="24">
        <f>AVERAGE(O26:O30)</f>
        <v>3775</v>
      </c>
      <c r="P391" s="24">
        <f>AVERAGE(P26:P30)</f>
        <v>3675.4</v>
      </c>
      <c r="Q391" s="24">
        <f>AVERAGE(Q26:Q30)</f>
        <v>935.33333333333337</v>
      </c>
      <c r="R391" s="24" t="str">
        <f>R26</f>
        <v>-</v>
      </c>
      <c r="S391" s="142">
        <f>AVERAGE(S26:S30)</f>
        <v>7256.6</v>
      </c>
    </row>
    <row r="392" spans="1:19">
      <c r="A392" s="95" t="s">
        <v>166</v>
      </c>
      <c r="B392" s="24" t="str">
        <f>B31</f>
        <v>-</v>
      </c>
      <c r="C392" s="24" t="str">
        <f>C31</f>
        <v>-</v>
      </c>
      <c r="D392" s="24">
        <f t="shared" ref="D392:I392" si="110">AVERAGE(D31:D35)</f>
        <v>33</v>
      </c>
      <c r="E392" s="24">
        <f t="shared" si="110"/>
        <v>126.66666666666667</v>
      </c>
      <c r="F392" s="24">
        <f t="shared" si="110"/>
        <v>774</v>
      </c>
      <c r="G392" s="24">
        <f t="shared" si="110"/>
        <v>1605.4</v>
      </c>
      <c r="H392" s="24">
        <f t="shared" si="110"/>
        <v>241.4</v>
      </c>
      <c r="I392" s="24">
        <f t="shared" si="110"/>
        <v>3</v>
      </c>
      <c r="J392" s="24" t="str">
        <f>J31</f>
        <v>-</v>
      </c>
      <c r="K392" s="24">
        <f>AVERAGE(K31:K35)</f>
        <v>2704</v>
      </c>
      <c r="M392" s="24" t="str">
        <f>M31</f>
        <v>-</v>
      </c>
      <c r="N392" s="24">
        <f>AVERAGE(N31:N35)</f>
        <v>211.5</v>
      </c>
      <c r="O392" s="24">
        <f>AVERAGE(O31:O35)</f>
        <v>6990.8</v>
      </c>
      <c r="P392" s="24">
        <f>AVERAGE(P31:P35)</f>
        <v>14069.8</v>
      </c>
      <c r="Q392" s="24">
        <f>AVERAGE(Q31:Q35)</f>
        <v>2020.2</v>
      </c>
      <c r="R392" s="24" t="str">
        <f>R31</f>
        <v>-</v>
      </c>
      <c r="S392" s="17">
        <f>AVERAGE(S31:S35)</f>
        <v>23165.4</v>
      </c>
    </row>
    <row r="393" spans="1:19">
      <c r="A393" s="95" t="s">
        <v>315</v>
      </c>
      <c r="B393" s="24" t="str">
        <f>B36</f>
        <v>-</v>
      </c>
      <c r="C393" s="24" t="str">
        <f>C36</f>
        <v>-</v>
      </c>
      <c r="D393" s="24">
        <f>AVERAGE(D36:D40)</f>
        <v>17</v>
      </c>
      <c r="E393" s="24">
        <f t="shared" ref="E393:H393" si="111">AVERAGE(E36:E40)</f>
        <v>64.333333333333329</v>
      </c>
      <c r="F393" s="24">
        <f t="shared" si="111"/>
        <v>263</v>
      </c>
      <c r="G393" s="24">
        <f t="shared" si="111"/>
        <v>599.20000000000005</v>
      </c>
      <c r="H393" s="24">
        <f t="shared" si="111"/>
        <v>47.75</v>
      </c>
      <c r="I393" s="24" t="str">
        <f t="shared" ref="I393:J393" si="112">I36</f>
        <v>-</v>
      </c>
      <c r="J393" s="24" t="str">
        <f t="shared" si="112"/>
        <v>-</v>
      </c>
      <c r="K393" s="24">
        <f t="shared" ref="K393" si="113">AVERAGE(K36:K40)</f>
        <v>942.4</v>
      </c>
      <c r="M393" s="24" t="str">
        <f t="shared" ref="M393" si="114">M36</f>
        <v>-</v>
      </c>
      <c r="N393" s="24">
        <f t="shared" ref="N393:S393" si="115">AVERAGE(N36:N40)</f>
        <v>83.666666666666671</v>
      </c>
      <c r="O393" s="24">
        <f t="shared" si="115"/>
        <v>3521.6</v>
      </c>
      <c r="P393" s="24">
        <f t="shared" si="115"/>
        <v>6416.6</v>
      </c>
      <c r="Q393" s="24">
        <f t="shared" si="115"/>
        <v>396</v>
      </c>
      <c r="R393" s="24" t="str">
        <f t="shared" ref="R393" si="116">R36</f>
        <v>-</v>
      </c>
      <c r="S393" s="17">
        <f t="shared" si="115"/>
        <v>10305.200000000001</v>
      </c>
    </row>
    <row r="394" spans="1:19">
      <c r="A394" s="95">
        <v>2011</v>
      </c>
      <c r="B394" s="24" t="str">
        <f t="shared" ref="B394:K394" si="117">B41</f>
        <v>-</v>
      </c>
      <c r="C394" s="24" t="str">
        <f t="shared" si="117"/>
        <v>-</v>
      </c>
      <c r="D394" s="24" t="str">
        <f t="shared" si="117"/>
        <v>-</v>
      </c>
      <c r="E394" s="24">
        <f t="shared" si="117"/>
        <v>129</v>
      </c>
      <c r="F394" s="24">
        <f t="shared" si="117"/>
        <v>147</v>
      </c>
      <c r="G394" s="24">
        <f t="shared" si="117"/>
        <v>1264</v>
      </c>
      <c r="H394" s="24">
        <f t="shared" si="117"/>
        <v>79</v>
      </c>
      <c r="I394" s="24" t="str">
        <f t="shared" si="117"/>
        <v>-</v>
      </c>
      <c r="J394" s="24" t="str">
        <f t="shared" si="117"/>
        <v>-</v>
      </c>
      <c r="K394" s="24">
        <f t="shared" si="117"/>
        <v>1619</v>
      </c>
      <c r="M394" s="24" t="str">
        <f t="shared" ref="M394:S404" si="118">M41</f>
        <v>-</v>
      </c>
      <c r="N394" s="24">
        <f t="shared" si="118"/>
        <v>178</v>
      </c>
      <c r="O394" s="24">
        <f t="shared" si="118"/>
        <v>981</v>
      </c>
      <c r="P394" s="24">
        <f t="shared" si="118"/>
        <v>4132</v>
      </c>
      <c r="Q394" s="24">
        <f t="shared" si="118"/>
        <v>755</v>
      </c>
      <c r="R394" s="24" t="str">
        <f t="shared" si="118"/>
        <v>-</v>
      </c>
      <c r="S394" s="142">
        <f t="shared" si="118"/>
        <v>6046</v>
      </c>
    </row>
    <row r="395" spans="1:19">
      <c r="A395" s="95">
        <v>2012</v>
      </c>
      <c r="B395" s="24" t="str">
        <f t="shared" ref="B395:K395" si="119">B42</f>
        <v>-</v>
      </c>
      <c r="C395" s="24" t="str">
        <f t="shared" si="119"/>
        <v>-</v>
      </c>
      <c r="D395" s="24" t="str">
        <f t="shared" si="119"/>
        <v>-</v>
      </c>
      <c r="E395" s="24">
        <f t="shared" si="119"/>
        <v>578</v>
      </c>
      <c r="F395" s="24">
        <f t="shared" si="119"/>
        <v>650</v>
      </c>
      <c r="G395" s="24">
        <f t="shared" si="119"/>
        <v>431</v>
      </c>
      <c r="H395" s="24">
        <f t="shared" si="119"/>
        <v>45</v>
      </c>
      <c r="I395" s="24" t="str">
        <f t="shared" si="119"/>
        <v>-</v>
      </c>
      <c r="J395" s="24" t="str">
        <f t="shared" si="119"/>
        <v>-</v>
      </c>
      <c r="K395" s="24">
        <f t="shared" si="119"/>
        <v>1704</v>
      </c>
      <c r="M395" s="24" t="str">
        <f t="shared" si="118"/>
        <v>-</v>
      </c>
      <c r="N395" s="24">
        <f t="shared" si="118"/>
        <v>86</v>
      </c>
      <c r="O395" s="24">
        <f t="shared" si="118"/>
        <v>615</v>
      </c>
      <c r="P395" s="24">
        <f t="shared" si="118"/>
        <v>740</v>
      </c>
      <c r="Q395" s="24">
        <f t="shared" si="118"/>
        <v>231</v>
      </c>
      <c r="R395" s="24" t="str">
        <f t="shared" si="118"/>
        <v>-</v>
      </c>
      <c r="S395" s="142">
        <f t="shared" si="118"/>
        <v>1672</v>
      </c>
    </row>
    <row r="396" spans="1:19">
      <c r="A396" s="95">
        <v>2013</v>
      </c>
      <c r="B396" s="24" t="str">
        <f t="shared" ref="B396:K396" si="120">B43</f>
        <v>-</v>
      </c>
      <c r="C396" s="24" t="str">
        <f t="shared" si="120"/>
        <v>-</v>
      </c>
      <c r="D396" s="24" t="str">
        <f t="shared" si="120"/>
        <v>-</v>
      </c>
      <c r="E396" s="24">
        <f t="shared" si="120"/>
        <v>731</v>
      </c>
      <c r="F396" s="24">
        <f t="shared" si="120"/>
        <v>323</v>
      </c>
      <c r="G396" s="24">
        <f t="shared" si="120"/>
        <v>792</v>
      </c>
      <c r="H396" s="24">
        <f t="shared" si="120"/>
        <v>72</v>
      </c>
      <c r="I396" s="24" t="str">
        <f t="shared" si="120"/>
        <v>-</v>
      </c>
      <c r="J396" s="24" t="str">
        <f t="shared" si="120"/>
        <v>-</v>
      </c>
      <c r="K396" s="24">
        <f t="shared" si="120"/>
        <v>1918</v>
      </c>
      <c r="M396" s="24" t="str">
        <f t="shared" si="118"/>
        <v>-</v>
      </c>
      <c r="N396" s="24">
        <f t="shared" si="118"/>
        <v>1143</v>
      </c>
      <c r="O396" s="24">
        <f t="shared" si="118"/>
        <v>991</v>
      </c>
      <c r="P396" s="24">
        <f t="shared" si="118"/>
        <v>1706</v>
      </c>
      <c r="Q396" s="24">
        <f t="shared" si="118"/>
        <v>173</v>
      </c>
      <c r="R396" s="24" t="str">
        <f t="shared" si="118"/>
        <v>-</v>
      </c>
      <c r="S396" s="142">
        <f t="shared" si="118"/>
        <v>4013</v>
      </c>
    </row>
    <row r="397" spans="1:19">
      <c r="A397" s="95">
        <v>2014</v>
      </c>
      <c r="B397" s="24" t="str">
        <f t="shared" ref="B397:K397" si="121">B44</f>
        <v>-</v>
      </c>
      <c r="C397" s="24" t="str">
        <f t="shared" si="121"/>
        <v>-</v>
      </c>
      <c r="D397" s="24">
        <f t="shared" si="121"/>
        <v>21</v>
      </c>
      <c r="E397" s="24">
        <f t="shared" si="121"/>
        <v>150</v>
      </c>
      <c r="F397" s="24">
        <f t="shared" si="121"/>
        <v>628</v>
      </c>
      <c r="G397" s="24">
        <f t="shared" si="121"/>
        <v>1402</v>
      </c>
      <c r="H397" s="24">
        <f t="shared" si="121"/>
        <v>105</v>
      </c>
      <c r="I397" s="24" t="str">
        <f t="shared" si="121"/>
        <v>-</v>
      </c>
      <c r="J397" s="24" t="str">
        <f t="shared" si="121"/>
        <v>-</v>
      </c>
      <c r="K397" s="24">
        <f t="shared" si="121"/>
        <v>2306</v>
      </c>
      <c r="M397" s="24" t="str">
        <f t="shared" si="118"/>
        <v>-</v>
      </c>
      <c r="N397" s="24">
        <f t="shared" si="118"/>
        <v>391</v>
      </c>
      <c r="O397" s="24">
        <f t="shared" si="118"/>
        <v>5030</v>
      </c>
      <c r="P397" s="24">
        <f t="shared" si="118"/>
        <v>8503</v>
      </c>
      <c r="Q397" s="24">
        <f t="shared" si="118"/>
        <v>2816</v>
      </c>
      <c r="R397" s="24" t="str">
        <f t="shared" si="118"/>
        <v>-</v>
      </c>
      <c r="S397" s="142">
        <f t="shared" si="118"/>
        <v>16740</v>
      </c>
    </row>
    <row r="398" spans="1:19">
      <c r="A398" s="95">
        <v>2015</v>
      </c>
      <c r="B398" s="24" t="str">
        <f t="shared" ref="B398:K398" si="122">B45</f>
        <v>-</v>
      </c>
      <c r="C398" s="24" t="str">
        <f t="shared" si="122"/>
        <v>-</v>
      </c>
      <c r="D398" s="24">
        <f t="shared" si="122"/>
        <v>28</v>
      </c>
      <c r="E398" s="24">
        <f t="shared" si="122"/>
        <v>259</v>
      </c>
      <c r="F398" s="24">
        <f t="shared" si="122"/>
        <v>434</v>
      </c>
      <c r="G398" s="24">
        <f t="shared" si="122"/>
        <v>1030</v>
      </c>
      <c r="H398" s="24">
        <f t="shared" si="122"/>
        <v>1006</v>
      </c>
      <c r="I398" s="24" t="str">
        <f t="shared" si="122"/>
        <v>-</v>
      </c>
      <c r="J398" s="24" t="str">
        <f t="shared" si="122"/>
        <v>-</v>
      </c>
      <c r="K398" s="24">
        <f t="shared" si="122"/>
        <v>2757</v>
      </c>
      <c r="M398" s="24" t="str">
        <f t="shared" si="118"/>
        <v>-</v>
      </c>
      <c r="N398" s="24">
        <f t="shared" si="118"/>
        <v>732</v>
      </c>
      <c r="O398" s="24">
        <f t="shared" si="118"/>
        <v>3764</v>
      </c>
      <c r="P398" s="24">
        <f t="shared" si="118"/>
        <v>2872</v>
      </c>
      <c r="Q398" s="24">
        <f t="shared" si="118"/>
        <v>1472</v>
      </c>
      <c r="R398" s="24" t="str">
        <f t="shared" si="118"/>
        <v>-</v>
      </c>
      <c r="S398" s="142">
        <f t="shared" si="118"/>
        <v>8840</v>
      </c>
    </row>
    <row r="399" spans="1:19">
      <c r="A399" s="95">
        <v>2016</v>
      </c>
      <c r="B399" s="24" t="str">
        <f t="shared" ref="B399:K399" si="123">B46</f>
        <v>-</v>
      </c>
      <c r="C399" s="24" t="str">
        <f t="shared" si="123"/>
        <v>-</v>
      </c>
      <c r="D399" s="24" t="str">
        <f t="shared" si="123"/>
        <v>-</v>
      </c>
      <c r="E399" s="24" t="str">
        <f t="shared" si="123"/>
        <v>-</v>
      </c>
      <c r="F399" s="24">
        <f t="shared" si="123"/>
        <v>653</v>
      </c>
      <c r="G399" s="24">
        <f t="shared" si="123"/>
        <v>387</v>
      </c>
      <c r="H399" s="24" t="str">
        <f t="shared" si="123"/>
        <v>-</v>
      </c>
      <c r="I399" s="24" t="str">
        <f t="shared" si="123"/>
        <v>-</v>
      </c>
      <c r="J399" s="24" t="str">
        <f t="shared" si="123"/>
        <v>-</v>
      </c>
      <c r="K399" s="24">
        <f t="shared" si="123"/>
        <v>1040</v>
      </c>
      <c r="M399" s="24" t="str">
        <f t="shared" si="118"/>
        <v>-</v>
      </c>
      <c r="N399" s="24" t="str">
        <f t="shared" si="118"/>
        <v>-</v>
      </c>
      <c r="O399" s="24">
        <f t="shared" si="118"/>
        <v>915</v>
      </c>
      <c r="P399" s="24">
        <f t="shared" si="118"/>
        <v>1739</v>
      </c>
      <c r="Q399" s="24" t="str">
        <f t="shared" si="118"/>
        <v>-</v>
      </c>
      <c r="R399" s="24" t="str">
        <f t="shared" si="118"/>
        <v>-</v>
      </c>
      <c r="S399" s="142">
        <f t="shared" si="118"/>
        <v>2654</v>
      </c>
    </row>
    <row r="400" spans="1:19">
      <c r="A400" s="95">
        <v>2017</v>
      </c>
      <c r="B400" s="24" t="str">
        <f t="shared" ref="B400:K400" si="124">B47</f>
        <v>-</v>
      </c>
      <c r="C400" s="24" t="str">
        <f t="shared" si="124"/>
        <v>-</v>
      </c>
      <c r="D400" s="24" t="str">
        <f t="shared" si="124"/>
        <v>-</v>
      </c>
      <c r="E400" s="24">
        <f t="shared" si="124"/>
        <v>330</v>
      </c>
      <c r="F400" s="24">
        <f t="shared" si="124"/>
        <v>567</v>
      </c>
      <c r="G400" s="24">
        <f t="shared" si="124"/>
        <v>1011</v>
      </c>
      <c r="H400" s="24" t="str">
        <f t="shared" si="124"/>
        <v>-</v>
      </c>
      <c r="I400" s="24" t="str">
        <f t="shared" si="124"/>
        <v>-</v>
      </c>
      <c r="J400" s="24" t="str">
        <f t="shared" si="124"/>
        <v>-</v>
      </c>
      <c r="K400" s="24">
        <f t="shared" si="124"/>
        <v>1908</v>
      </c>
      <c r="M400" s="24" t="str">
        <f t="shared" si="118"/>
        <v>-</v>
      </c>
      <c r="N400" s="24">
        <f t="shared" si="118"/>
        <v>13</v>
      </c>
      <c r="O400" s="24">
        <f t="shared" si="118"/>
        <v>2249</v>
      </c>
      <c r="P400" s="24">
        <f t="shared" si="118"/>
        <v>4308</v>
      </c>
      <c r="Q400" s="24" t="str">
        <f t="shared" si="118"/>
        <v>-</v>
      </c>
      <c r="R400" s="24" t="str">
        <f t="shared" si="118"/>
        <v>-</v>
      </c>
      <c r="S400" s="142">
        <f t="shared" si="118"/>
        <v>6570</v>
      </c>
    </row>
    <row r="401" spans="1:19">
      <c r="A401" s="95">
        <v>2018</v>
      </c>
      <c r="B401" s="24" t="str">
        <f t="shared" ref="B401:K401" si="125">B48</f>
        <v>-</v>
      </c>
      <c r="C401" s="24" t="str">
        <f t="shared" si="125"/>
        <v>-</v>
      </c>
      <c r="D401" s="24" t="str">
        <f t="shared" si="125"/>
        <v>-</v>
      </c>
      <c r="E401" s="24">
        <f t="shared" si="125"/>
        <v>120</v>
      </c>
      <c r="F401" s="24">
        <f t="shared" si="125"/>
        <v>150</v>
      </c>
      <c r="G401" s="24">
        <f t="shared" si="125"/>
        <v>417</v>
      </c>
      <c r="H401" s="24">
        <f t="shared" si="125"/>
        <v>2</v>
      </c>
      <c r="I401" s="24" t="str">
        <f t="shared" si="125"/>
        <v>-</v>
      </c>
      <c r="J401" s="24" t="str">
        <f t="shared" si="125"/>
        <v>-</v>
      </c>
      <c r="K401" s="24">
        <f t="shared" si="125"/>
        <v>689</v>
      </c>
      <c r="M401" s="24" t="str">
        <f t="shared" si="118"/>
        <v>-</v>
      </c>
      <c r="N401" s="24">
        <f t="shared" si="118"/>
        <v>36</v>
      </c>
      <c r="O401" s="24">
        <f t="shared" si="118"/>
        <v>1393</v>
      </c>
      <c r="P401" s="24">
        <f t="shared" si="118"/>
        <v>5694</v>
      </c>
      <c r="Q401" s="24">
        <f t="shared" si="118"/>
        <v>5</v>
      </c>
      <c r="R401" s="24" t="str">
        <f t="shared" si="118"/>
        <v>-</v>
      </c>
      <c r="S401" s="142">
        <f t="shared" si="118"/>
        <v>7128</v>
      </c>
    </row>
    <row r="402" spans="1:19">
      <c r="A402" s="95">
        <v>2019</v>
      </c>
      <c r="B402" s="24" t="str">
        <f t="shared" ref="B402:K402" si="126">B49</f>
        <v>-</v>
      </c>
      <c r="C402" s="24" t="str">
        <f t="shared" si="126"/>
        <v>-</v>
      </c>
      <c r="D402" s="24" t="str">
        <f t="shared" si="126"/>
        <v>-</v>
      </c>
      <c r="E402" s="24">
        <f t="shared" si="126"/>
        <v>104</v>
      </c>
      <c r="F402" s="24">
        <f t="shared" si="126"/>
        <v>668</v>
      </c>
      <c r="G402" s="24">
        <f t="shared" si="126"/>
        <v>485</v>
      </c>
      <c r="H402" s="24">
        <f t="shared" si="126"/>
        <v>38</v>
      </c>
      <c r="I402" s="24" t="str">
        <f t="shared" si="126"/>
        <v>-</v>
      </c>
      <c r="J402" s="24" t="str">
        <f t="shared" si="126"/>
        <v>-</v>
      </c>
      <c r="K402" s="24">
        <f t="shared" si="126"/>
        <v>1295</v>
      </c>
      <c r="M402" s="24" t="str">
        <f t="shared" si="118"/>
        <v>-</v>
      </c>
      <c r="N402" s="24">
        <f t="shared" si="118"/>
        <v>1852</v>
      </c>
      <c r="O402" s="24">
        <f t="shared" si="118"/>
        <v>6548</v>
      </c>
      <c r="P402" s="24">
        <f t="shared" si="118"/>
        <v>8543</v>
      </c>
      <c r="Q402" s="24">
        <f t="shared" si="118"/>
        <v>281</v>
      </c>
      <c r="R402" s="24" t="str">
        <f t="shared" si="118"/>
        <v>-</v>
      </c>
      <c r="S402" s="142">
        <f t="shared" si="118"/>
        <v>17224</v>
      </c>
    </row>
    <row r="403" spans="1:19">
      <c r="A403" s="95">
        <v>2020</v>
      </c>
      <c r="B403" s="24" t="str">
        <f t="shared" ref="B403:K403" si="127">B50</f>
        <v>-</v>
      </c>
      <c r="C403" s="24" t="str">
        <f t="shared" si="127"/>
        <v>-</v>
      </c>
      <c r="D403" s="24" t="str">
        <f t="shared" si="127"/>
        <v>-</v>
      </c>
      <c r="E403" s="24">
        <f t="shared" si="127"/>
        <v>11</v>
      </c>
      <c r="F403" s="24">
        <f t="shared" si="127"/>
        <v>142</v>
      </c>
      <c r="G403" s="24" t="str">
        <f t="shared" si="127"/>
        <v>-</v>
      </c>
      <c r="H403" s="24" t="str">
        <f t="shared" si="127"/>
        <v>-</v>
      </c>
      <c r="I403" s="24" t="str">
        <f t="shared" si="127"/>
        <v>-</v>
      </c>
      <c r="J403" s="24" t="str">
        <f t="shared" si="127"/>
        <v>-</v>
      </c>
      <c r="K403" s="24">
        <f t="shared" si="127"/>
        <v>153</v>
      </c>
      <c r="M403" s="24" t="str">
        <f t="shared" si="118"/>
        <v>-</v>
      </c>
      <c r="N403" s="24">
        <f t="shared" si="118"/>
        <v>0</v>
      </c>
      <c r="O403" s="24">
        <f t="shared" si="118"/>
        <v>3721</v>
      </c>
      <c r="P403" s="24" t="str">
        <f t="shared" si="118"/>
        <v>-</v>
      </c>
      <c r="Q403" s="24" t="str">
        <f t="shared" si="118"/>
        <v>-</v>
      </c>
      <c r="R403" s="24" t="str">
        <f t="shared" si="118"/>
        <v>-</v>
      </c>
      <c r="S403" s="142">
        <f t="shared" si="118"/>
        <v>3721</v>
      </c>
    </row>
    <row r="404" spans="1:19" ht="13">
      <c r="A404" s="95" t="s">
        <v>317</v>
      </c>
      <c r="B404" s="24" t="str">
        <f t="shared" ref="B404:K404" si="128">B51</f>
        <v>-</v>
      </c>
      <c r="C404" s="24" t="str">
        <f t="shared" si="128"/>
        <v>-</v>
      </c>
      <c r="D404" s="24" t="str">
        <f t="shared" si="128"/>
        <v>-</v>
      </c>
      <c r="E404" s="24">
        <f t="shared" si="128"/>
        <v>62</v>
      </c>
      <c r="F404" s="24">
        <f t="shared" si="128"/>
        <v>349</v>
      </c>
      <c r="G404" s="24">
        <f t="shared" si="128"/>
        <v>1427</v>
      </c>
      <c r="H404" s="24" t="str">
        <f t="shared" si="128"/>
        <v>-</v>
      </c>
      <c r="I404" s="24" t="str">
        <f t="shared" si="128"/>
        <v>-</v>
      </c>
      <c r="J404" s="24" t="str">
        <f t="shared" si="128"/>
        <v>-</v>
      </c>
      <c r="K404" s="24">
        <f t="shared" si="128"/>
        <v>1838</v>
      </c>
      <c r="M404" s="24" t="str">
        <f t="shared" si="118"/>
        <v>-</v>
      </c>
      <c r="N404" s="24">
        <f t="shared" si="118"/>
        <v>112</v>
      </c>
      <c r="O404" s="24">
        <f t="shared" si="118"/>
        <v>4656</v>
      </c>
      <c r="P404" s="24">
        <f t="shared" si="118"/>
        <v>9640</v>
      </c>
      <c r="Q404" s="24" t="str">
        <f t="shared" si="118"/>
        <v>-</v>
      </c>
      <c r="R404" s="24" t="str">
        <f t="shared" si="118"/>
        <v>-</v>
      </c>
      <c r="S404" s="142">
        <f t="shared" si="118"/>
        <v>14408</v>
      </c>
    </row>
    <row r="405" spans="1:19">
      <c r="A405" s="99"/>
      <c r="B405" s="24"/>
      <c r="C405" s="24"/>
      <c r="D405" s="24"/>
      <c r="E405" s="24"/>
      <c r="F405" s="24"/>
      <c r="G405" s="24"/>
      <c r="H405" s="24"/>
      <c r="I405" s="24"/>
      <c r="J405" s="24"/>
      <c r="K405" s="24"/>
      <c r="M405" s="24"/>
      <c r="N405" s="24"/>
      <c r="O405" s="24"/>
      <c r="P405" s="24"/>
      <c r="Q405" s="24"/>
      <c r="R405" s="24"/>
      <c r="S405" s="142"/>
    </row>
    <row r="406" spans="1:19">
      <c r="A406" s="94" t="str">
        <f>A53</f>
        <v>Tillamook</v>
      </c>
      <c r="B406" s="24"/>
      <c r="C406" s="24"/>
      <c r="D406" s="24"/>
      <c r="E406" s="24"/>
      <c r="F406" s="24"/>
      <c r="G406" s="24"/>
      <c r="H406" s="24"/>
      <c r="I406" s="24"/>
      <c r="J406" s="24"/>
      <c r="K406" s="24"/>
      <c r="M406" s="24"/>
      <c r="N406" s="24"/>
      <c r="O406" s="24"/>
      <c r="P406" s="24"/>
      <c r="Q406" s="24"/>
      <c r="R406" s="24"/>
      <c r="S406" s="142"/>
    </row>
    <row r="407" spans="1:19">
      <c r="A407" s="99" t="s">
        <v>24</v>
      </c>
      <c r="B407" s="24" t="str">
        <f t="shared" ref="B407:C409" si="129">B55</f>
        <v>-</v>
      </c>
      <c r="C407" s="24">
        <f t="shared" si="129"/>
        <v>0</v>
      </c>
      <c r="D407" s="24">
        <f t="shared" ref="D407:I407" si="130">AVERAGE(D59:D63)</f>
        <v>18</v>
      </c>
      <c r="E407" s="24">
        <f t="shared" si="130"/>
        <v>28.4</v>
      </c>
      <c r="F407" s="24">
        <f t="shared" si="130"/>
        <v>790.4</v>
      </c>
      <c r="G407" s="24">
        <f t="shared" si="130"/>
        <v>582.20000000000005</v>
      </c>
      <c r="H407" s="24">
        <f t="shared" si="130"/>
        <v>116.8</v>
      </c>
      <c r="I407" s="24">
        <f t="shared" si="130"/>
        <v>42</v>
      </c>
      <c r="J407" s="24" t="str">
        <f>J55</f>
        <v>-</v>
      </c>
      <c r="K407" s="24">
        <f>AVERAGE(K59:K63)</f>
        <v>1533.4</v>
      </c>
      <c r="M407" s="24">
        <f>AVERAGE(M59:M63)</f>
        <v>88.666666666666671</v>
      </c>
      <c r="N407" s="24">
        <f>AVERAGE(N59:N63)</f>
        <v>855</v>
      </c>
      <c r="O407" s="24">
        <f>AVERAGE(O59:O63)</f>
        <v>10321.200000000001</v>
      </c>
      <c r="P407" s="24">
        <f>AVERAGE(P59:P63)</f>
        <v>8670.7999999999993</v>
      </c>
      <c r="Q407" s="24">
        <f>AVERAGE(Q59:Q63)</f>
        <v>765.5</v>
      </c>
      <c r="R407" s="24">
        <f>R55</f>
        <v>3</v>
      </c>
      <c r="S407" s="142">
        <f>AVERAGE(S59:S63)</f>
        <v>20170.599999999999</v>
      </c>
    </row>
    <row r="408" spans="1:19">
      <c r="A408" s="99" t="s">
        <v>78</v>
      </c>
      <c r="B408" s="24" t="str">
        <f t="shared" si="129"/>
        <v>-</v>
      </c>
      <c r="C408" s="24">
        <f t="shared" si="129"/>
        <v>0</v>
      </c>
      <c r="D408" s="24">
        <f>AVERAGE(D64:D68)</f>
        <v>9.6666666666666661</v>
      </c>
      <c r="E408" s="24">
        <f>AVERAGE(E64:E68)</f>
        <v>67</v>
      </c>
      <c r="F408" s="24">
        <f>AVERAGE(F64:F68)</f>
        <v>441.4</v>
      </c>
      <c r="G408" s="24">
        <f>AVERAGE(G64:G68)</f>
        <v>863.6</v>
      </c>
      <c r="H408" s="24">
        <f>AVERAGE(H64:H68)</f>
        <v>485.75</v>
      </c>
      <c r="I408" s="210" t="s">
        <v>106</v>
      </c>
      <c r="J408" s="210" t="s">
        <v>106</v>
      </c>
      <c r="K408" s="24">
        <f>AVERAGE(K64:K68)</f>
        <v>1766.4</v>
      </c>
      <c r="M408" s="24">
        <f>AVERAGE(M64:M68)</f>
        <v>29</v>
      </c>
      <c r="N408" s="24">
        <f>AVERAGE(N64:N68)</f>
        <v>1993</v>
      </c>
      <c r="O408" s="24">
        <f>AVERAGE(O64:O68)</f>
        <v>12423</v>
      </c>
      <c r="P408" s="24">
        <f>AVERAGE(P64:P68)</f>
        <v>8725.6</v>
      </c>
      <c r="Q408" s="24">
        <f>AVERAGE(Q64:Q68)</f>
        <v>1827</v>
      </c>
      <c r="R408" s="24">
        <f>R56</f>
        <v>63</v>
      </c>
      <c r="S408" s="142">
        <f>AVERAGE(S64:S68)</f>
        <v>24620.6</v>
      </c>
    </row>
    <row r="409" spans="1:19">
      <c r="A409" s="99" t="s">
        <v>10</v>
      </c>
      <c r="B409" s="24" t="str">
        <f t="shared" si="129"/>
        <v>-</v>
      </c>
      <c r="C409" s="24" t="str">
        <f t="shared" si="129"/>
        <v>-</v>
      </c>
      <c r="D409" s="24">
        <f t="shared" ref="D409:I409" si="131">AVERAGE(D69:D73)</f>
        <v>62.4</v>
      </c>
      <c r="E409" s="24">
        <f t="shared" si="131"/>
        <v>140.19999999999999</v>
      </c>
      <c r="F409" s="24">
        <f t="shared" si="131"/>
        <v>380</v>
      </c>
      <c r="G409" s="24">
        <f t="shared" si="131"/>
        <v>185.5</v>
      </c>
      <c r="H409" s="24">
        <f t="shared" si="131"/>
        <v>169</v>
      </c>
      <c r="I409" s="24">
        <f t="shared" si="131"/>
        <v>1236.5</v>
      </c>
      <c r="J409" s="24" t="str">
        <f>J57</f>
        <v>-</v>
      </c>
      <c r="K409" s="24">
        <f>AVERAGE(K69:K73)</f>
        <v>1083.8</v>
      </c>
      <c r="M409" s="24">
        <f>AVERAGE(M69:M73)</f>
        <v>25.666666666666668</v>
      </c>
      <c r="N409" s="24">
        <f>AVERAGE(N69:N73)</f>
        <v>1456.6666666666667</v>
      </c>
      <c r="O409" s="24">
        <f>AVERAGE(O69:O73)</f>
        <v>11796.333333333334</v>
      </c>
      <c r="P409" s="24">
        <f>AVERAGE(P69:P73)</f>
        <v>3732</v>
      </c>
      <c r="Q409" s="24">
        <f>AVERAGE(Q69:Q73)</f>
        <v>717</v>
      </c>
      <c r="R409" s="24" t="str">
        <f>R57</f>
        <v>-</v>
      </c>
      <c r="S409" s="142">
        <f>AVERAGE(S69:S73)</f>
        <v>12183.5</v>
      </c>
    </row>
    <row r="410" spans="1:19">
      <c r="A410" s="99" t="s">
        <v>144</v>
      </c>
      <c r="B410" s="24" t="str">
        <f>B62</f>
        <v>-</v>
      </c>
      <c r="C410" s="24" t="str">
        <f>C62</f>
        <v>-</v>
      </c>
      <c r="D410" s="24">
        <f t="shared" ref="D410:I410" si="132">AVERAGE(D74:D78)</f>
        <v>70.400000000000006</v>
      </c>
      <c r="E410" s="24">
        <f t="shared" si="132"/>
        <v>9.8000000000000007</v>
      </c>
      <c r="F410" s="24">
        <f t="shared" si="132"/>
        <v>65.400000000000006</v>
      </c>
      <c r="G410" s="24">
        <f t="shared" si="132"/>
        <v>31.4</v>
      </c>
      <c r="H410" s="24">
        <f t="shared" si="132"/>
        <v>501.8</v>
      </c>
      <c r="I410" s="24">
        <f t="shared" si="132"/>
        <v>494.4</v>
      </c>
      <c r="J410" s="210" t="s">
        <v>106</v>
      </c>
      <c r="K410" s="24">
        <f>AVERAGE(K74:K78)</f>
        <v>1187.8</v>
      </c>
      <c r="M410" s="24" t="s">
        <v>23</v>
      </c>
      <c r="N410" s="24" t="s">
        <v>23</v>
      </c>
      <c r="O410" s="24">
        <f>AVERAGE(O74:O78)</f>
        <v>976</v>
      </c>
      <c r="P410" s="24">
        <f>AVERAGE(P74:P78)</f>
        <v>6.25</v>
      </c>
      <c r="Q410" s="24">
        <f>AVERAGE(Q74:Q78)</f>
        <v>8.6</v>
      </c>
      <c r="R410" s="24" t="str">
        <f>R62</f>
        <v>-</v>
      </c>
      <c r="S410" s="142">
        <f>AVERAGE(S74:S78)</f>
        <v>601.79999999999995</v>
      </c>
    </row>
    <row r="411" spans="1:19">
      <c r="A411" s="95" t="s">
        <v>166</v>
      </c>
      <c r="B411" s="24">
        <f t="shared" ref="B411:K411" si="133">AVERAGE(B79:B83)</f>
        <v>6</v>
      </c>
      <c r="C411" s="24">
        <f t="shared" si="133"/>
        <v>4</v>
      </c>
      <c r="D411" s="24">
        <f t="shared" si="133"/>
        <v>51.2</v>
      </c>
      <c r="E411" s="24">
        <f t="shared" si="133"/>
        <v>330.8</v>
      </c>
      <c r="F411" s="24">
        <f t="shared" si="133"/>
        <v>1890.2</v>
      </c>
      <c r="G411" s="24">
        <f t="shared" si="133"/>
        <v>1239.8</v>
      </c>
      <c r="H411" s="24">
        <f t="shared" si="133"/>
        <v>1181.4000000000001</v>
      </c>
      <c r="I411" s="24">
        <f t="shared" si="133"/>
        <v>939.4</v>
      </c>
      <c r="J411" s="24">
        <f t="shared" si="133"/>
        <v>31.2</v>
      </c>
      <c r="K411" s="24">
        <f t="shared" si="133"/>
        <v>5668.4</v>
      </c>
      <c r="M411" s="24">
        <f t="shared" ref="M411:S411" si="134">AVERAGE(M79:M83)</f>
        <v>2</v>
      </c>
      <c r="N411" s="24">
        <f t="shared" si="134"/>
        <v>1663.25</v>
      </c>
      <c r="O411" s="24">
        <f t="shared" si="134"/>
        <v>7353.6</v>
      </c>
      <c r="P411" s="24">
        <f t="shared" si="134"/>
        <v>2212.1999999999998</v>
      </c>
      <c r="Q411" s="24">
        <f t="shared" si="134"/>
        <v>65.8</v>
      </c>
      <c r="R411" s="24">
        <f t="shared" si="134"/>
        <v>20.25</v>
      </c>
      <c r="S411" s="17">
        <f t="shared" si="134"/>
        <v>10978.8</v>
      </c>
    </row>
    <row r="412" spans="1:19">
      <c r="A412" s="95" t="s">
        <v>315</v>
      </c>
      <c r="B412" s="24">
        <f>AVERAGE(B84:B88)</f>
        <v>0</v>
      </c>
      <c r="C412" s="24">
        <f t="shared" ref="C412:S412" si="135">AVERAGE(C84:C88)</f>
        <v>0</v>
      </c>
      <c r="D412" s="24">
        <f t="shared" si="135"/>
        <v>31</v>
      </c>
      <c r="E412" s="24">
        <f t="shared" si="135"/>
        <v>42.2</v>
      </c>
      <c r="F412" s="24">
        <f t="shared" si="135"/>
        <v>112</v>
      </c>
      <c r="G412" s="24">
        <f t="shared" si="135"/>
        <v>93.6</v>
      </c>
      <c r="H412" s="24">
        <f t="shared" si="135"/>
        <v>452.6</v>
      </c>
      <c r="I412" s="24">
        <f t="shared" si="135"/>
        <v>593.4</v>
      </c>
      <c r="J412" s="24">
        <f t="shared" si="135"/>
        <v>49</v>
      </c>
      <c r="K412" s="24">
        <f t="shared" si="135"/>
        <v>1299.8</v>
      </c>
      <c r="M412" s="24">
        <f t="shared" si="135"/>
        <v>2</v>
      </c>
      <c r="N412" s="24">
        <f t="shared" si="135"/>
        <v>579.4</v>
      </c>
      <c r="O412" s="24">
        <f t="shared" si="135"/>
        <v>3928.8</v>
      </c>
      <c r="P412" s="24">
        <f t="shared" si="135"/>
        <v>4675.5</v>
      </c>
      <c r="Q412" s="24">
        <f t="shared" si="135"/>
        <v>173.2</v>
      </c>
      <c r="R412" s="24">
        <f t="shared" si="135"/>
        <v>4.5</v>
      </c>
      <c r="S412" s="17">
        <f t="shared" si="135"/>
        <v>8424</v>
      </c>
    </row>
    <row r="413" spans="1:19">
      <c r="A413" s="95">
        <v>2011</v>
      </c>
      <c r="B413" s="24">
        <f t="shared" ref="B413:K413" si="136">B89</f>
        <v>0</v>
      </c>
      <c r="C413" s="24">
        <f t="shared" si="136"/>
        <v>0</v>
      </c>
      <c r="D413" s="24">
        <f t="shared" si="136"/>
        <v>4</v>
      </c>
      <c r="E413" s="24">
        <f t="shared" si="136"/>
        <v>29</v>
      </c>
      <c r="F413" s="24">
        <f t="shared" si="136"/>
        <v>128</v>
      </c>
      <c r="G413" s="24">
        <f t="shared" si="136"/>
        <v>182</v>
      </c>
      <c r="H413" s="24">
        <f t="shared" si="136"/>
        <v>574</v>
      </c>
      <c r="I413" s="24">
        <f t="shared" si="136"/>
        <v>207</v>
      </c>
      <c r="J413" s="24" t="str">
        <f t="shared" si="136"/>
        <v>-</v>
      </c>
      <c r="K413" s="24">
        <f t="shared" si="136"/>
        <v>1124</v>
      </c>
      <c r="M413" s="24" t="str">
        <f t="shared" ref="M413:S423" si="137">M89</f>
        <v>-</v>
      </c>
      <c r="N413" s="24">
        <f t="shared" si="137"/>
        <v>366</v>
      </c>
      <c r="O413" s="24">
        <f t="shared" si="137"/>
        <v>1535</v>
      </c>
      <c r="P413" s="24">
        <f t="shared" si="137"/>
        <v>1288</v>
      </c>
      <c r="Q413" s="24">
        <f t="shared" si="137"/>
        <v>2532</v>
      </c>
      <c r="R413" s="24" t="str">
        <f t="shared" si="137"/>
        <v>-</v>
      </c>
      <c r="S413" s="142">
        <f t="shared" si="137"/>
        <v>5721</v>
      </c>
    </row>
    <row r="414" spans="1:19">
      <c r="A414" s="95">
        <v>2012</v>
      </c>
      <c r="B414" s="24">
        <f t="shared" ref="B414:K414" si="138">B90</f>
        <v>0</v>
      </c>
      <c r="C414" s="24">
        <f t="shared" si="138"/>
        <v>1</v>
      </c>
      <c r="D414" s="24">
        <f t="shared" si="138"/>
        <v>79</v>
      </c>
      <c r="E414" s="24">
        <f t="shared" si="138"/>
        <v>102</v>
      </c>
      <c r="F414" s="24">
        <f t="shared" si="138"/>
        <v>133</v>
      </c>
      <c r="G414" s="24">
        <f t="shared" si="138"/>
        <v>429</v>
      </c>
      <c r="H414" s="24">
        <f t="shared" si="138"/>
        <v>1008</v>
      </c>
      <c r="I414" s="24">
        <f t="shared" si="138"/>
        <v>419</v>
      </c>
      <c r="J414" s="24" t="str">
        <f t="shared" si="138"/>
        <v>-</v>
      </c>
      <c r="K414" s="24">
        <f t="shared" si="138"/>
        <v>2171</v>
      </c>
      <c r="M414" s="24" t="str">
        <f t="shared" si="137"/>
        <v>-</v>
      </c>
      <c r="N414" s="24">
        <f t="shared" si="137"/>
        <v>13</v>
      </c>
      <c r="O414" s="24">
        <f t="shared" si="137"/>
        <v>423</v>
      </c>
      <c r="P414" s="24">
        <f t="shared" si="137"/>
        <v>1302</v>
      </c>
      <c r="Q414" s="24">
        <f t="shared" si="137"/>
        <v>1424</v>
      </c>
      <c r="R414" s="24" t="str">
        <f t="shared" si="137"/>
        <v>-</v>
      </c>
      <c r="S414" s="142">
        <f t="shared" si="137"/>
        <v>3162</v>
      </c>
    </row>
    <row r="415" spans="1:19">
      <c r="A415" s="95">
        <v>2013</v>
      </c>
      <c r="B415" s="24">
        <f t="shared" ref="B415:K415" si="139">B91</f>
        <v>0</v>
      </c>
      <c r="C415" s="24">
        <f t="shared" si="139"/>
        <v>21</v>
      </c>
      <c r="D415" s="24">
        <f t="shared" si="139"/>
        <v>28</v>
      </c>
      <c r="E415" s="24">
        <f t="shared" si="139"/>
        <v>82</v>
      </c>
      <c r="F415" s="24">
        <f t="shared" si="139"/>
        <v>189</v>
      </c>
      <c r="G415" s="24">
        <f t="shared" si="139"/>
        <v>156</v>
      </c>
      <c r="H415" s="24">
        <f t="shared" si="139"/>
        <v>709</v>
      </c>
      <c r="I415" s="24">
        <f t="shared" si="139"/>
        <v>712</v>
      </c>
      <c r="J415" s="24" t="str">
        <f t="shared" si="139"/>
        <v>-</v>
      </c>
      <c r="K415" s="24">
        <f t="shared" si="139"/>
        <v>1897</v>
      </c>
      <c r="M415" s="24" t="str">
        <f t="shared" si="137"/>
        <v>-</v>
      </c>
      <c r="N415" s="24" t="str">
        <f t="shared" si="137"/>
        <v>-</v>
      </c>
      <c r="O415" s="24">
        <f t="shared" si="137"/>
        <v>2034</v>
      </c>
      <c r="P415" s="24">
        <f t="shared" si="137"/>
        <v>777</v>
      </c>
      <c r="Q415" s="24">
        <f t="shared" si="137"/>
        <v>812</v>
      </c>
      <c r="R415" s="24">
        <f t="shared" si="137"/>
        <v>12</v>
      </c>
      <c r="S415" s="142">
        <f t="shared" si="137"/>
        <v>3635</v>
      </c>
    </row>
    <row r="416" spans="1:19">
      <c r="A416" s="95">
        <v>2014</v>
      </c>
      <c r="B416" s="24">
        <f t="shared" ref="B416:K416" si="140">B92</f>
        <v>0</v>
      </c>
      <c r="C416" s="24">
        <f t="shared" si="140"/>
        <v>0</v>
      </c>
      <c r="D416" s="24">
        <f t="shared" si="140"/>
        <v>84</v>
      </c>
      <c r="E416" s="24">
        <f t="shared" si="140"/>
        <v>16</v>
      </c>
      <c r="F416" s="24">
        <f t="shared" si="140"/>
        <v>385</v>
      </c>
      <c r="G416" s="24">
        <f t="shared" si="140"/>
        <v>236</v>
      </c>
      <c r="H416" s="24">
        <f t="shared" si="140"/>
        <v>703</v>
      </c>
      <c r="I416" s="24">
        <f t="shared" si="140"/>
        <v>111</v>
      </c>
      <c r="J416" s="24" t="str">
        <f t="shared" si="140"/>
        <v>-</v>
      </c>
      <c r="K416" s="24">
        <f t="shared" si="140"/>
        <v>1535</v>
      </c>
      <c r="M416" s="24" t="str">
        <f t="shared" si="137"/>
        <v>-</v>
      </c>
      <c r="N416" s="24">
        <f t="shared" si="137"/>
        <v>641</v>
      </c>
      <c r="O416" s="24">
        <f t="shared" si="137"/>
        <v>10479</v>
      </c>
      <c r="P416" s="24">
        <f t="shared" si="137"/>
        <v>5817</v>
      </c>
      <c r="Q416" s="24">
        <f t="shared" si="137"/>
        <v>9692</v>
      </c>
      <c r="R416" s="24">
        <f t="shared" si="137"/>
        <v>49</v>
      </c>
      <c r="S416" s="142">
        <f t="shared" si="137"/>
        <v>26678</v>
      </c>
    </row>
    <row r="417" spans="1:19">
      <c r="A417" s="95">
        <v>2015</v>
      </c>
      <c r="B417" s="24">
        <f t="shared" ref="B417:K417" si="141">B93</f>
        <v>0</v>
      </c>
      <c r="C417" s="24">
        <f t="shared" si="141"/>
        <v>2</v>
      </c>
      <c r="D417" s="24">
        <f t="shared" si="141"/>
        <v>88</v>
      </c>
      <c r="E417" s="24">
        <f t="shared" si="141"/>
        <v>26</v>
      </c>
      <c r="F417" s="24">
        <f t="shared" si="141"/>
        <v>63</v>
      </c>
      <c r="G417" s="24">
        <f t="shared" si="141"/>
        <v>140</v>
      </c>
      <c r="H417" s="24">
        <f t="shared" si="141"/>
        <v>1677</v>
      </c>
      <c r="I417" s="24">
        <f t="shared" si="141"/>
        <v>1437</v>
      </c>
      <c r="J417" s="24" t="str">
        <f t="shared" si="141"/>
        <v>-</v>
      </c>
      <c r="K417" s="24">
        <f t="shared" si="141"/>
        <v>3433</v>
      </c>
      <c r="M417" s="24" t="str">
        <f t="shared" si="137"/>
        <v>-</v>
      </c>
      <c r="N417" s="24">
        <f t="shared" si="137"/>
        <v>37</v>
      </c>
      <c r="O417" s="24">
        <f t="shared" si="137"/>
        <v>2453</v>
      </c>
      <c r="P417" s="24">
        <f t="shared" si="137"/>
        <v>1465</v>
      </c>
      <c r="Q417" s="24">
        <f t="shared" si="137"/>
        <v>1000</v>
      </c>
      <c r="R417" s="24">
        <f t="shared" si="137"/>
        <v>19</v>
      </c>
      <c r="S417" s="142">
        <f t="shared" si="137"/>
        <v>4974</v>
      </c>
    </row>
    <row r="418" spans="1:19">
      <c r="A418" s="95">
        <v>2016</v>
      </c>
      <c r="B418" s="24">
        <f t="shared" ref="B418:K418" si="142">B94</f>
        <v>0</v>
      </c>
      <c r="C418" s="24">
        <f t="shared" si="142"/>
        <v>0</v>
      </c>
      <c r="D418" s="24">
        <f t="shared" si="142"/>
        <v>124</v>
      </c>
      <c r="E418" s="24">
        <f t="shared" si="142"/>
        <v>179</v>
      </c>
      <c r="F418" s="24">
        <f t="shared" si="142"/>
        <v>30</v>
      </c>
      <c r="G418" s="24">
        <f t="shared" si="142"/>
        <v>131</v>
      </c>
      <c r="H418" s="24">
        <f t="shared" si="142"/>
        <v>687</v>
      </c>
      <c r="I418" s="24">
        <f t="shared" si="142"/>
        <v>70</v>
      </c>
      <c r="J418" s="24" t="str">
        <f t="shared" si="142"/>
        <v>-</v>
      </c>
      <c r="K418" s="24">
        <f t="shared" si="142"/>
        <v>1221</v>
      </c>
      <c r="M418" s="24" t="str">
        <f t="shared" si="137"/>
        <v>-</v>
      </c>
      <c r="N418" s="24">
        <f t="shared" si="137"/>
        <v>158</v>
      </c>
      <c r="O418" s="24">
        <f t="shared" si="137"/>
        <v>188</v>
      </c>
      <c r="P418" s="24">
        <f t="shared" si="137"/>
        <v>2</v>
      </c>
      <c r="Q418" s="24">
        <f t="shared" si="137"/>
        <v>1426</v>
      </c>
      <c r="R418" s="24">
        <f t="shared" si="137"/>
        <v>22</v>
      </c>
      <c r="S418" s="142">
        <f t="shared" si="137"/>
        <v>1796</v>
      </c>
    </row>
    <row r="419" spans="1:19">
      <c r="A419" s="95">
        <v>2017</v>
      </c>
      <c r="B419" s="24">
        <f t="shared" ref="B419:K419" si="143">B95</f>
        <v>0</v>
      </c>
      <c r="C419" s="24">
        <f t="shared" si="143"/>
        <v>0</v>
      </c>
      <c r="D419" s="24">
        <f t="shared" si="143"/>
        <v>76</v>
      </c>
      <c r="E419" s="24">
        <f t="shared" si="143"/>
        <v>80</v>
      </c>
      <c r="F419" s="24">
        <f t="shared" si="143"/>
        <v>89</v>
      </c>
      <c r="G419" s="24">
        <f t="shared" si="143"/>
        <v>141</v>
      </c>
      <c r="H419" s="24">
        <f t="shared" si="143"/>
        <v>424</v>
      </c>
      <c r="I419" s="24">
        <f t="shared" si="143"/>
        <v>35</v>
      </c>
      <c r="J419" s="24" t="str">
        <f t="shared" si="143"/>
        <v>-</v>
      </c>
      <c r="K419" s="24">
        <f t="shared" si="143"/>
        <v>845</v>
      </c>
      <c r="M419" s="24" t="str">
        <f t="shared" si="137"/>
        <v>-</v>
      </c>
      <c r="N419" s="24">
        <f t="shared" si="137"/>
        <v>86</v>
      </c>
      <c r="O419" s="24">
        <f t="shared" si="137"/>
        <v>901</v>
      </c>
      <c r="P419" s="24">
        <f t="shared" si="137"/>
        <v>1440</v>
      </c>
      <c r="Q419" s="24">
        <f t="shared" si="137"/>
        <v>1252</v>
      </c>
      <c r="R419" s="24" t="str">
        <f t="shared" si="137"/>
        <v>-</v>
      </c>
      <c r="S419" s="142">
        <f t="shared" si="137"/>
        <v>3679</v>
      </c>
    </row>
    <row r="420" spans="1:19">
      <c r="A420" s="95">
        <v>2018</v>
      </c>
      <c r="B420" s="24">
        <f t="shared" ref="B420:K420" si="144">B96</f>
        <v>0</v>
      </c>
      <c r="C420" s="24">
        <f t="shared" si="144"/>
        <v>4</v>
      </c>
      <c r="D420" s="24">
        <f t="shared" si="144"/>
        <v>19</v>
      </c>
      <c r="E420" s="24">
        <f t="shared" si="144"/>
        <v>28</v>
      </c>
      <c r="F420" s="24">
        <f t="shared" si="144"/>
        <v>66</v>
      </c>
      <c r="G420" s="24">
        <f t="shared" si="144"/>
        <v>366</v>
      </c>
      <c r="H420" s="24">
        <f t="shared" si="144"/>
        <v>160</v>
      </c>
      <c r="I420" s="24">
        <f t="shared" si="144"/>
        <v>63</v>
      </c>
      <c r="J420" s="24" t="str">
        <f t="shared" si="144"/>
        <v>-</v>
      </c>
      <c r="K420" s="24">
        <f t="shared" si="144"/>
        <v>706</v>
      </c>
      <c r="M420" s="24" t="str">
        <f t="shared" si="137"/>
        <v>-</v>
      </c>
      <c r="N420" s="24">
        <f t="shared" si="137"/>
        <v>25</v>
      </c>
      <c r="O420" s="24">
        <f t="shared" si="137"/>
        <v>274</v>
      </c>
      <c r="P420" s="24">
        <f t="shared" si="137"/>
        <v>1652</v>
      </c>
      <c r="Q420" s="24">
        <f t="shared" si="137"/>
        <v>858</v>
      </c>
      <c r="R420" s="24" t="str">
        <f t="shared" si="137"/>
        <v>-</v>
      </c>
      <c r="S420" s="142">
        <f t="shared" si="137"/>
        <v>2809</v>
      </c>
    </row>
    <row r="421" spans="1:19">
      <c r="A421" s="95">
        <v>2019</v>
      </c>
      <c r="B421" s="24">
        <f t="shared" ref="B421:K421" si="145">B97</f>
        <v>8</v>
      </c>
      <c r="C421" s="24">
        <f t="shared" si="145"/>
        <v>0</v>
      </c>
      <c r="D421" s="24">
        <f t="shared" si="145"/>
        <v>37</v>
      </c>
      <c r="E421" s="24">
        <f t="shared" si="145"/>
        <v>95</v>
      </c>
      <c r="F421" s="24">
        <f t="shared" si="145"/>
        <v>422</v>
      </c>
      <c r="G421" s="24">
        <f t="shared" si="145"/>
        <v>212</v>
      </c>
      <c r="H421" s="24">
        <f t="shared" si="145"/>
        <v>293</v>
      </c>
      <c r="I421" s="24">
        <f t="shared" si="145"/>
        <v>239</v>
      </c>
      <c r="J421" s="24" t="str">
        <f t="shared" si="145"/>
        <v>-</v>
      </c>
      <c r="K421" s="24">
        <f t="shared" si="145"/>
        <v>1306</v>
      </c>
      <c r="M421" s="24" t="str">
        <f t="shared" si="137"/>
        <v>-</v>
      </c>
      <c r="N421" s="24">
        <f t="shared" si="137"/>
        <v>609</v>
      </c>
      <c r="O421" s="24">
        <f t="shared" si="137"/>
        <v>6201</v>
      </c>
      <c r="P421" s="24">
        <f t="shared" si="137"/>
        <v>2749</v>
      </c>
      <c r="Q421" s="24">
        <f t="shared" si="137"/>
        <v>1156</v>
      </c>
      <c r="R421" s="24">
        <f t="shared" si="137"/>
        <v>5</v>
      </c>
      <c r="S421" s="142">
        <f t="shared" si="137"/>
        <v>10720</v>
      </c>
    </row>
    <row r="422" spans="1:19">
      <c r="A422" s="95">
        <v>2020</v>
      </c>
      <c r="B422" s="24">
        <f t="shared" ref="B422:K422" si="146">B98</f>
        <v>0</v>
      </c>
      <c r="C422" s="24">
        <f t="shared" si="146"/>
        <v>0</v>
      </c>
      <c r="D422" s="24">
        <f t="shared" si="146"/>
        <v>12</v>
      </c>
      <c r="E422" s="24">
        <f t="shared" si="146"/>
        <v>52</v>
      </c>
      <c r="F422" s="24">
        <f t="shared" si="146"/>
        <v>231</v>
      </c>
      <c r="G422" s="24">
        <f t="shared" si="146"/>
        <v>213</v>
      </c>
      <c r="H422" s="24">
        <f t="shared" si="146"/>
        <v>767</v>
      </c>
      <c r="I422" s="24">
        <f t="shared" si="146"/>
        <v>184</v>
      </c>
      <c r="J422" s="24" t="str">
        <f t="shared" si="146"/>
        <v>-</v>
      </c>
      <c r="K422" s="24">
        <f t="shared" si="146"/>
        <v>1459</v>
      </c>
      <c r="M422" s="24" t="str">
        <f t="shared" si="137"/>
        <v>-</v>
      </c>
      <c r="N422" s="24">
        <f t="shared" si="137"/>
        <v>0</v>
      </c>
      <c r="O422" s="24">
        <f t="shared" si="137"/>
        <v>1059</v>
      </c>
      <c r="P422" s="24">
        <f t="shared" si="137"/>
        <v>1020</v>
      </c>
      <c r="Q422" s="24">
        <f t="shared" si="137"/>
        <v>634</v>
      </c>
      <c r="R422" s="24" t="str">
        <f t="shared" si="137"/>
        <v>-</v>
      </c>
      <c r="S422" s="142">
        <f t="shared" si="137"/>
        <v>2713</v>
      </c>
    </row>
    <row r="423" spans="1:19" ht="13">
      <c r="A423" s="95" t="s">
        <v>317</v>
      </c>
      <c r="B423" s="24">
        <f t="shared" ref="B423:K423" si="147">B99</f>
        <v>0</v>
      </c>
      <c r="C423" s="24">
        <f t="shared" si="147"/>
        <v>0</v>
      </c>
      <c r="D423" s="24">
        <f t="shared" si="147"/>
        <v>145</v>
      </c>
      <c r="E423" s="24">
        <f t="shared" si="147"/>
        <v>86</v>
      </c>
      <c r="F423" s="24">
        <f t="shared" si="147"/>
        <v>216</v>
      </c>
      <c r="G423" s="24">
        <f t="shared" si="147"/>
        <v>246</v>
      </c>
      <c r="H423" s="24">
        <f t="shared" si="147"/>
        <v>636</v>
      </c>
      <c r="I423" s="24">
        <f t="shared" si="147"/>
        <v>9</v>
      </c>
      <c r="J423" s="24" t="str">
        <f t="shared" si="147"/>
        <v>-</v>
      </c>
      <c r="K423" s="24">
        <f t="shared" si="147"/>
        <v>1338</v>
      </c>
      <c r="M423" s="24" t="str">
        <f t="shared" si="137"/>
        <v>-</v>
      </c>
      <c r="N423" s="24">
        <f t="shared" si="137"/>
        <v>99</v>
      </c>
      <c r="O423" s="24">
        <f t="shared" si="137"/>
        <v>7353</v>
      </c>
      <c r="P423" s="24">
        <f t="shared" si="137"/>
        <v>3590</v>
      </c>
      <c r="Q423" s="24">
        <f t="shared" si="137"/>
        <v>2268</v>
      </c>
      <c r="R423" s="24">
        <f t="shared" si="137"/>
        <v>4</v>
      </c>
      <c r="S423" s="142">
        <f t="shared" si="137"/>
        <v>13314</v>
      </c>
    </row>
    <row r="424" spans="1:19">
      <c r="B424" s="24"/>
      <c r="C424" s="24"/>
      <c r="D424" s="24"/>
      <c r="E424" s="24"/>
      <c r="F424" s="24"/>
      <c r="G424" s="24"/>
      <c r="H424" s="24"/>
      <c r="I424" s="24"/>
      <c r="J424" s="24"/>
      <c r="K424" s="24"/>
      <c r="M424" s="24"/>
      <c r="N424" s="24"/>
      <c r="O424" s="24"/>
      <c r="P424" s="24"/>
      <c r="Q424" s="24"/>
      <c r="R424" s="24"/>
      <c r="S424" s="142"/>
    </row>
    <row r="425" spans="1:19" ht="13">
      <c r="A425" s="317" t="s">
        <v>282</v>
      </c>
      <c r="B425" s="317"/>
      <c r="C425" s="317"/>
      <c r="D425" s="317"/>
      <c r="E425" s="317"/>
      <c r="F425" s="317"/>
      <c r="G425" s="317"/>
      <c r="H425" s="317"/>
      <c r="I425" s="317"/>
      <c r="J425" s="317"/>
      <c r="K425" s="317"/>
      <c r="L425" s="317"/>
      <c r="M425" s="317"/>
      <c r="N425" s="317"/>
      <c r="O425" s="317"/>
      <c r="P425" s="317"/>
      <c r="Q425" s="317"/>
      <c r="R425" s="317"/>
      <c r="S425" s="317"/>
    </row>
    <row r="426" spans="1:19">
      <c r="A426" s="100" t="s">
        <v>43</v>
      </c>
      <c r="B426" s="146" t="s">
        <v>37</v>
      </c>
      <c r="C426" s="146" t="s">
        <v>28</v>
      </c>
      <c r="D426" s="146" t="s">
        <v>29</v>
      </c>
      <c r="E426" s="146" t="s">
        <v>30</v>
      </c>
      <c r="F426" s="146" t="s">
        <v>31</v>
      </c>
      <c r="G426" s="146" t="s">
        <v>32</v>
      </c>
      <c r="H426" s="146" t="s">
        <v>33</v>
      </c>
      <c r="I426" s="146" t="s">
        <v>34</v>
      </c>
      <c r="J426" s="146" t="s">
        <v>38</v>
      </c>
      <c r="K426" s="146" t="s">
        <v>22</v>
      </c>
      <c r="L426" s="146"/>
      <c r="M426" s="146" t="s">
        <v>29</v>
      </c>
      <c r="N426" s="146" t="s">
        <v>30</v>
      </c>
      <c r="O426" s="146" t="s">
        <v>31</v>
      </c>
      <c r="P426" s="146" t="s">
        <v>32</v>
      </c>
      <c r="Q426" s="146" t="s">
        <v>33</v>
      </c>
      <c r="R426" s="146" t="s">
        <v>34</v>
      </c>
      <c r="S426" s="146" t="s">
        <v>22</v>
      </c>
    </row>
    <row r="427" spans="1:19">
      <c r="B427" s="308" t="s">
        <v>61</v>
      </c>
      <c r="C427" s="308"/>
      <c r="D427" s="308"/>
      <c r="E427" s="308"/>
      <c r="F427" s="308"/>
      <c r="G427" s="308"/>
      <c r="H427" s="308"/>
      <c r="I427" s="308"/>
      <c r="J427" s="308"/>
      <c r="K427" s="308"/>
      <c r="L427" s="177"/>
      <c r="M427" s="308" t="s">
        <v>62</v>
      </c>
      <c r="N427" s="308"/>
      <c r="O427" s="308"/>
      <c r="P427" s="308"/>
      <c r="Q427" s="308"/>
      <c r="R427" s="308"/>
      <c r="S427" s="308"/>
    </row>
    <row r="428" spans="1:19" ht="3.75" customHeight="1">
      <c r="A428" s="99"/>
      <c r="B428" s="24"/>
      <c r="C428" s="24"/>
      <c r="D428" s="24"/>
      <c r="E428" s="24"/>
      <c r="F428" s="24"/>
      <c r="G428" s="24"/>
      <c r="H428" s="24"/>
      <c r="I428" s="24"/>
      <c r="J428" s="24"/>
      <c r="K428" s="24"/>
      <c r="M428" s="24"/>
      <c r="N428" s="24"/>
      <c r="O428" s="24"/>
      <c r="P428" s="24"/>
      <c r="Q428" s="24"/>
      <c r="R428" s="24"/>
      <c r="S428" s="24"/>
    </row>
    <row r="429" spans="1:19">
      <c r="A429" s="247" t="str">
        <f>A101</f>
        <v>Newport</v>
      </c>
      <c r="B429" s="24"/>
      <c r="C429" s="24"/>
      <c r="D429" s="24"/>
      <c r="E429" s="24"/>
      <c r="F429" s="24"/>
      <c r="G429" s="24"/>
      <c r="H429" s="24"/>
      <c r="I429" s="24"/>
      <c r="J429" s="24"/>
      <c r="K429" s="24"/>
      <c r="M429" s="24"/>
      <c r="N429" s="24"/>
      <c r="O429" s="24"/>
      <c r="P429" s="24"/>
      <c r="Q429" s="24"/>
      <c r="R429" s="24"/>
      <c r="S429" s="24"/>
    </row>
    <row r="430" spans="1:19">
      <c r="A430" s="99" t="s">
        <v>24</v>
      </c>
      <c r="B430" s="24" t="str">
        <f t="shared" ref="B430:C432" si="148">B115</f>
        <v>-</v>
      </c>
      <c r="C430" s="24" t="str">
        <f t="shared" si="148"/>
        <v>-</v>
      </c>
      <c r="D430" s="24">
        <f>AVERAGE(D107:D111)</f>
        <v>18</v>
      </c>
      <c r="E430" s="24">
        <f>AVERAGE(E107:E111)</f>
        <v>343.66666666666669</v>
      </c>
      <c r="F430" s="24">
        <f>AVERAGE(F107:F111)</f>
        <v>1461.6</v>
      </c>
      <c r="G430" s="24">
        <f>AVERAGE(G107:G111)</f>
        <v>941.8</v>
      </c>
      <c r="H430" s="24">
        <f>AVERAGE(H107:H111)</f>
        <v>89</v>
      </c>
      <c r="I430" s="210" t="s">
        <v>106</v>
      </c>
      <c r="J430" s="24" t="str">
        <f>J106</f>
        <v>-</v>
      </c>
      <c r="K430" s="24">
        <f>AVERAGE(K107:K111)</f>
        <v>2705.8</v>
      </c>
      <c r="M430" s="24">
        <f>AVERAGE(M107:M111)</f>
        <v>126</v>
      </c>
      <c r="N430" s="24">
        <f>AVERAGE(N107:N111)</f>
        <v>3483.6666666666665</v>
      </c>
      <c r="O430" s="24">
        <f>AVERAGE(O107:O111)</f>
        <v>22849.200000000001</v>
      </c>
      <c r="P430" s="24">
        <f>AVERAGE(P107:P111)</f>
        <v>19231.8</v>
      </c>
      <c r="Q430" s="24">
        <f>AVERAGE(Q107:Q111)</f>
        <v>2241</v>
      </c>
      <c r="R430" s="24" t="str">
        <f>R106</f>
        <v>-</v>
      </c>
      <c r="S430" s="142">
        <f>AVERAGE(S107:S111)</f>
        <v>46039.6</v>
      </c>
    </row>
    <row r="431" spans="1:19">
      <c r="A431" s="99" t="s">
        <v>78</v>
      </c>
      <c r="B431" s="24" t="str">
        <f t="shared" si="148"/>
        <v>-</v>
      </c>
      <c r="C431" s="24" t="str">
        <f t="shared" si="148"/>
        <v>-</v>
      </c>
      <c r="D431" s="24">
        <f>AVERAGE(D112:D116)</f>
        <v>67.75</v>
      </c>
      <c r="E431" s="24">
        <f>AVERAGE(E112:E116)</f>
        <v>497</v>
      </c>
      <c r="F431" s="24">
        <f>AVERAGE(F112:F116)</f>
        <v>1687.2</v>
      </c>
      <c r="G431" s="24">
        <f>AVERAGE(G112:G116)</f>
        <v>1029.4000000000001</v>
      </c>
      <c r="H431" s="24">
        <f>AVERAGE(H112:H116)</f>
        <v>600.5</v>
      </c>
      <c r="I431" s="24" t="str">
        <f>I107</f>
        <v>-</v>
      </c>
      <c r="J431" s="24" t="str">
        <f>J107</f>
        <v>-</v>
      </c>
      <c r="K431" s="24">
        <f>AVERAGE(K112:K116)</f>
        <v>3648.8</v>
      </c>
      <c r="M431" s="24">
        <f>AVERAGE(M112:M116)</f>
        <v>661.5</v>
      </c>
      <c r="N431" s="24">
        <f>AVERAGE(N112:N116)</f>
        <v>9012.6</v>
      </c>
      <c r="O431" s="24">
        <f>AVERAGE(O112:O116)</f>
        <v>46079</v>
      </c>
      <c r="P431" s="24">
        <f>AVERAGE(P112:P116)</f>
        <v>23916.799999999999</v>
      </c>
      <c r="Q431" s="24">
        <f>AVERAGE(Q112:Q116)</f>
        <v>3428.75</v>
      </c>
      <c r="R431" s="24" t="str">
        <f>R107</f>
        <v>-</v>
      </c>
      <c r="S431" s="142">
        <f>AVERAGE(S112:S116)</f>
        <v>82280.600000000006</v>
      </c>
    </row>
    <row r="432" spans="1:19">
      <c r="A432" s="99" t="s">
        <v>10</v>
      </c>
      <c r="B432" s="24" t="str">
        <f t="shared" si="148"/>
        <v>-</v>
      </c>
      <c r="C432" s="24" t="str">
        <f t="shared" si="148"/>
        <v>-</v>
      </c>
      <c r="D432" s="24">
        <f t="shared" ref="D432:I432" si="149">AVERAGE(D117:D121)</f>
        <v>43.8</v>
      </c>
      <c r="E432" s="24">
        <f t="shared" si="149"/>
        <v>142.6</v>
      </c>
      <c r="F432" s="24">
        <f t="shared" si="149"/>
        <v>1154.6666666666667</v>
      </c>
      <c r="G432" s="24">
        <f t="shared" si="149"/>
        <v>506.5</v>
      </c>
      <c r="H432" s="24">
        <f t="shared" si="149"/>
        <v>64.5</v>
      </c>
      <c r="I432" s="24">
        <f t="shared" si="149"/>
        <v>28</v>
      </c>
      <c r="J432" s="24" t="str">
        <f>J108</f>
        <v>-</v>
      </c>
      <c r="K432" s="24">
        <f>AVERAGE(K117:K121)</f>
        <v>1113.2</v>
      </c>
      <c r="M432" s="24">
        <f>AVERAGE(M117:M121)</f>
        <v>31.333333333333332</v>
      </c>
      <c r="N432" s="24">
        <f>AVERAGE(N117:N121)</f>
        <v>8315.3333333333339</v>
      </c>
      <c r="O432" s="24">
        <f>AVERAGE(O117:O121)</f>
        <v>36626</v>
      </c>
      <c r="P432" s="24">
        <f>AVERAGE(P117:P121)</f>
        <v>11924.5</v>
      </c>
      <c r="Q432" s="24">
        <f>AVERAGE(Q117:Q121)</f>
        <v>1118.5</v>
      </c>
      <c r="R432" s="24" t="str">
        <f>R108</f>
        <v>-</v>
      </c>
      <c r="S432" s="142">
        <f>AVERAGE(S117:S121)</f>
        <v>40251</v>
      </c>
    </row>
    <row r="433" spans="1:19">
      <c r="A433" s="99" t="s">
        <v>144</v>
      </c>
      <c r="B433" s="24" t="str">
        <f>B122</f>
        <v>-</v>
      </c>
      <c r="C433" s="24" t="str">
        <f>C122</f>
        <v>-</v>
      </c>
      <c r="D433" s="24">
        <f t="shared" ref="D433:I433" si="150">AVERAGE(D122:D126)</f>
        <v>26</v>
      </c>
      <c r="E433" s="24">
        <f t="shared" si="150"/>
        <v>43.6</v>
      </c>
      <c r="F433" s="24">
        <f t="shared" si="150"/>
        <v>261.8</v>
      </c>
      <c r="G433" s="24">
        <f t="shared" si="150"/>
        <v>408.4</v>
      </c>
      <c r="H433" s="24">
        <f t="shared" si="150"/>
        <v>94.8</v>
      </c>
      <c r="I433" s="24">
        <f t="shared" si="150"/>
        <v>3.3333333333333335</v>
      </c>
      <c r="J433" s="24" t="str">
        <f>J113</f>
        <v>-</v>
      </c>
      <c r="K433" s="24">
        <f>AVERAGE(K122:K126)</f>
        <v>836.6</v>
      </c>
      <c r="M433" s="24" t="s">
        <v>23</v>
      </c>
      <c r="N433" s="24" t="s">
        <v>23</v>
      </c>
      <c r="O433" s="24">
        <f>AVERAGE(O122:O126)</f>
        <v>8150.5</v>
      </c>
      <c r="P433" s="24">
        <f>AVERAGE(P122:P126)</f>
        <v>29.5</v>
      </c>
      <c r="Q433" s="24">
        <f>AVERAGE(Q122:Q126)</f>
        <v>6.5</v>
      </c>
      <c r="R433" s="24" t="str">
        <f>R113</f>
        <v>-</v>
      </c>
      <c r="S433" s="142">
        <f>AVERAGE(S122:S126)</f>
        <v>3286.4</v>
      </c>
    </row>
    <row r="434" spans="1:19">
      <c r="A434" s="95" t="s">
        <v>166</v>
      </c>
      <c r="B434" s="24">
        <f t="shared" ref="B434:I434" si="151">AVERAGE(B127:B131)</f>
        <v>0</v>
      </c>
      <c r="C434" s="24">
        <f t="shared" si="151"/>
        <v>25.2</v>
      </c>
      <c r="D434" s="24">
        <f t="shared" si="151"/>
        <v>78.8</v>
      </c>
      <c r="E434" s="24">
        <f t="shared" si="151"/>
        <v>475</v>
      </c>
      <c r="F434" s="24">
        <f t="shared" si="151"/>
        <v>3828.6</v>
      </c>
      <c r="G434" s="24">
        <f t="shared" si="151"/>
        <v>3125.8</v>
      </c>
      <c r="H434" s="24">
        <f t="shared" si="151"/>
        <v>1445.2</v>
      </c>
      <c r="I434" s="24">
        <f t="shared" si="151"/>
        <v>375</v>
      </c>
      <c r="J434" s="24" t="str">
        <f>J127</f>
        <v>-</v>
      </c>
      <c r="K434" s="24">
        <f>AVERAGE(K127:K131)</f>
        <v>9353.6</v>
      </c>
      <c r="M434" s="24">
        <f t="shared" ref="M434:S434" si="152">AVERAGE(M127:M131)</f>
        <v>2</v>
      </c>
      <c r="N434" s="24">
        <f t="shared" si="152"/>
        <v>3465.75</v>
      </c>
      <c r="O434" s="24">
        <f t="shared" si="152"/>
        <v>12245.2</v>
      </c>
      <c r="P434" s="24">
        <f t="shared" si="152"/>
        <v>4402.2</v>
      </c>
      <c r="Q434" s="24">
        <f t="shared" si="152"/>
        <v>79</v>
      </c>
      <c r="R434" s="24">
        <f t="shared" si="152"/>
        <v>2</v>
      </c>
      <c r="S434" s="17">
        <f t="shared" si="152"/>
        <v>19484</v>
      </c>
    </row>
    <row r="435" spans="1:19">
      <c r="A435" s="95" t="s">
        <v>315</v>
      </c>
      <c r="B435" s="24">
        <f>AVERAGE(B132:B136)</f>
        <v>1.5</v>
      </c>
      <c r="C435" s="24">
        <f t="shared" ref="C435:S435" si="153">AVERAGE(C132:C136)</f>
        <v>0.5</v>
      </c>
      <c r="D435" s="24">
        <f t="shared" si="153"/>
        <v>28.333333333333332</v>
      </c>
      <c r="E435" s="24">
        <f t="shared" si="153"/>
        <v>53.25</v>
      </c>
      <c r="F435" s="24">
        <f t="shared" si="153"/>
        <v>124</v>
      </c>
      <c r="G435" s="24">
        <f t="shared" si="153"/>
        <v>175.75</v>
      </c>
      <c r="H435" s="24">
        <f t="shared" si="153"/>
        <v>81.333333333333329</v>
      </c>
      <c r="I435" s="24">
        <f t="shared" si="153"/>
        <v>40</v>
      </c>
      <c r="J435" s="24">
        <f t="shared" si="153"/>
        <v>16</v>
      </c>
      <c r="K435" s="24">
        <f t="shared" si="153"/>
        <v>393</v>
      </c>
      <c r="M435" s="24" t="str">
        <f>M132</f>
        <v>-</v>
      </c>
      <c r="N435" s="24">
        <f t="shared" si="153"/>
        <v>1102.5999999999999</v>
      </c>
      <c r="O435" s="24">
        <f t="shared" si="153"/>
        <v>5927</v>
      </c>
      <c r="P435" s="24">
        <f t="shared" si="153"/>
        <v>5757.8</v>
      </c>
      <c r="Q435" s="24">
        <f t="shared" si="153"/>
        <v>515.25</v>
      </c>
      <c r="R435" s="24" t="str">
        <f>R132</f>
        <v>-</v>
      </c>
      <c r="S435" s="17">
        <f t="shared" si="153"/>
        <v>13199.6</v>
      </c>
    </row>
    <row r="436" spans="1:19">
      <c r="A436" s="95">
        <v>2011</v>
      </c>
      <c r="B436" s="24">
        <f t="shared" ref="B436:K436" si="154">B137</f>
        <v>0</v>
      </c>
      <c r="C436" s="24">
        <f t="shared" si="154"/>
        <v>6</v>
      </c>
      <c r="D436" s="24">
        <f t="shared" si="154"/>
        <v>21</v>
      </c>
      <c r="E436" s="24">
        <f t="shared" si="154"/>
        <v>44</v>
      </c>
      <c r="F436" s="24">
        <f t="shared" si="154"/>
        <v>111</v>
      </c>
      <c r="G436" s="24">
        <f t="shared" si="154"/>
        <v>52</v>
      </c>
      <c r="H436" s="24">
        <f t="shared" si="154"/>
        <v>234</v>
      </c>
      <c r="I436" s="24" t="str">
        <f t="shared" si="154"/>
        <v>-</v>
      </c>
      <c r="J436" s="24" t="str">
        <f t="shared" si="154"/>
        <v>-</v>
      </c>
      <c r="K436" s="24">
        <f t="shared" si="154"/>
        <v>468</v>
      </c>
      <c r="M436" s="24" t="str">
        <f t="shared" ref="M436:S446" si="155">M137</f>
        <v>-</v>
      </c>
      <c r="N436" s="24">
        <f t="shared" si="155"/>
        <v>179</v>
      </c>
      <c r="O436" s="24">
        <f t="shared" si="155"/>
        <v>1703</v>
      </c>
      <c r="P436" s="24">
        <f t="shared" si="155"/>
        <v>385</v>
      </c>
      <c r="Q436" s="24">
        <f t="shared" si="155"/>
        <v>3680</v>
      </c>
      <c r="R436" s="24" t="str">
        <f t="shared" si="155"/>
        <v>-</v>
      </c>
      <c r="S436" s="142">
        <f t="shared" si="155"/>
        <v>5947</v>
      </c>
    </row>
    <row r="437" spans="1:19">
      <c r="A437" s="95">
        <v>2012</v>
      </c>
      <c r="B437" s="24">
        <f t="shared" ref="B437:K437" si="156">B138</f>
        <v>21</v>
      </c>
      <c r="C437" s="24">
        <f t="shared" si="156"/>
        <v>95</v>
      </c>
      <c r="D437" s="24">
        <f t="shared" si="156"/>
        <v>60</v>
      </c>
      <c r="E437" s="24">
        <f t="shared" si="156"/>
        <v>56</v>
      </c>
      <c r="F437" s="24">
        <f t="shared" si="156"/>
        <v>223</v>
      </c>
      <c r="G437" s="24">
        <f t="shared" si="156"/>
        <v>481</v>
      </c>
      <c r="H437" s="24">
        <f t="shared" si="156"/>
        <v>1034</v>
      </c>
      <c r="I437" s="24">
        <f t="shared" si="156"/>
        <v>27</v>
      </c>
      <c r="J437" s="24" t="str">
        <f t="shared" si="156"/>
        <v>-</v>
      </c>
      <c r="K437" s="24">
        <f t="shared" si="156"/>
        <v>1997</v>
      </c>
      <c r="M437" s="24" t="str">
        <f t="shared" si="155"/>
        <v>-</v>
      </c>
      <c r="N437" s="24">
        <f t="shared" si="155"/>
        <v>11</v>
      </c>
      <c r="O437" s="24">
        <f t="shared" si="155"/>
        <v>1046</v>
      </c>
      <c r="P437" s="24">
        <f t="shared" si="155"/>
        <v>2796</v>
      </c>
      <c r="Q437" s="24">
        <f t="shared" si="155"/>
        <v>4727</v>
      </c>
      <c r="R437" s="24" t="str">
        <f t="shared" si="155"/>
        <v>-</v>
      </c>
      <c r="S437" s="142">
        <f t="shared" si="155"/>
        <v>8580</v>
      </c>
    </row>
    <row r="438" spans="1:19">
      <c r="A438" s="95">
        <v>2013</v>
      </c>
      <c r="B438" s="24">
        <f t="shared" ref="B438:K438" si="157">B139</f>
        <v>231</v>
      </c>
      <c r="C438" s="24">
        <f t="shared" si="157"/>
        <v>123</v>
      </c>
      <c r="D438" s="24">
        <f t="shared" si="157"/>
        <v>28</v>
      </c>
      <c r="E438" s="24">
        <f t="shared" si="157"/>
        <v>126</v>
      </c>
      <c r="F438" s="24">
        <f t="shared" si="157"/>
        <v>498</v>
      </c>
      <c r="G438" s="24">
        <f t="shared" si="157"/>
        <v>251</v>
      </c>
      <c r="H438" s="24">
        <f t="shared" si="157"/>
        <v>305</v>
      </c>
      <c r="I438" s="24">
        <f t="shared" si="157"/>
        <v>76</v>
      </c>
      <c r="J438" s="24" t="str">
        <f t="shared" si="157"/>
        <v>-</v>
      </c>
      <c r="K438" s="24">
        <f t="shared" si="157"/>
        <v>1638</v>
      </c>
      <c r="M438" s="24" t="str">
        <f t="shared" si="155"/>
        <v>-</v>
      </c>
      <c r="N438" s="24" t="str">
        <f t="shared" si="155"/>
        <v>-</v>
      </c>
      <c r="O438" s="24">
        <f t="shared" si="155"/>
        <v>2648</v>
      </c>
      <c r="P438" s="24">
        <f t="shared" si="155"/>
        <v>1779</v>
      </c>
      <c r="Q438" s="24">
        <f t="shared" si="155"/>
        <v>1517</v>
      </c>
      <c r="R438" s="24">
        <f t="shared" si="155"/>
        <v>7</v>
      </c>
      <c r="S438" s="142">
        <f t="shared" si="155"/>
        <v>5951</v>
      </c>
    </row>
    <row r="439" spans="1:19">
      <c r="A439" s="95">
        <v>2014</v>
      </c>
      <c r="B439" s="24">
        <f t="shared" ref="B439:K439" si="158">B140</f>
        <v>10</v>
      </c>
      <c r="C439" s="24">
        <f t="shared" si="158"/>
        <v>23</v>
      </c>
      <c r="D439" s="24">
        <f t="shared" si="158"/>
        <v>113</v>
      </c>
      <c r="E439" s="24">
        <f t="shared" si="158"/>
        <v>43</v>
      </c>
      <c r="F439" s="24">
        <f t="shared" si="158"/>
        <v>723</v>
      </c>
      <c r="G439" s="24">
        <f t="shared" si="158"/>
        <v>606</v>
      </c>
      <c r="H439" s="24">
        <f t="shared" si="158"/>
        <v>431</v>
      </c>
      <c r="I439" s="24">
        <f t="shared" si="158"/>
        <v>20</v>
      </c>
      <c r="J439" s="24" t="str">
        <f t="shared" si="158"/>
        <v>-</v>
      </c>
      <c r="K439" s="24">
        <f t="shared" si="158"/>
        <v>1969</v>
      </c>
      <c r="M439" s="24" t="str">
        <f t="shared" si="155"/>
        <v>-</v>
      </c>
      <c r="N439" s="24">
        <f t="shared" si="155"/>
        <v>2269</v>
      </c>
      <c r="O439" s="24">
        <f t="shared" si="155"/>
        <v>18001</v>
      </c>
      <c r="P439" s="24">
        <f t="shared" si="155"/>
        <v>11786</v>
      </c>
      <c r="Q439" s="24">
        <f t="shared" si="155"/>
        <v>13547</v>
      </c>
      <c r="R439" s="24" t="str">
        <f t="shared" si="155"/>
        <v>-</v>
      </c>
      <c r="S439" s="142">
        <f t="shared" si="155"/>
        <v>45603</v>
      </c>
    </row>
    <row r="440" spans="1:19">
      <c r="A440" s="95">
        <v>2015</v>
      </c>
      <c r="B440" s="24">
        <f t="shared" ref="B440:K440" si="159">B141</f>
        <v>30</v>
      </c>
      <c r="C440" s="24">
        <f t="shared" si="159"/>
        <v>3</v>
      </c>
      <c r="D440" s="24">
        <f t="shared" si="159"/>
        <v>45</v>
      </c>
      <c r="E440" s="24">
        <f t="shared" si="159"/>
        <v>32</v>
      </c>
      <c r="F440" s="24">
        <f t="shared" si="159"/>
        <v>151</v>
      </c>
      <c r="G440" s="24">
        <f t="shared" si="159"/>
        <v>39</v>
      </c>
      <c r="H440" s="24">
        <f t="shared" si="159"/>
        <v>393</v>
      </c>
      <c r="I440" s="24">
        <f t="shared" si="159"/>
        <v>14</v>
      </c>
      <c r="J440" s="24" t="str">
        <f t="shared" si="159"/>
        <v>-</v>
      </c>
      <c r="K440" s="24">
        <f t="shared" si="159"/>
        <v>707</v>
      </c>
      <c r="M440" s="24" t="str">
        <f t="shared" si="155"/>
        <v>-</v>
      </c>
      <c r="N440" s="24">
        <f t="shared" si="155"/>
        <v>213</v>
      </c>
      <c r="O440" s="24">
        <f t="shared" si="155"/>
        <v>6755</v>
      </c>
      <c r="P440" s="24">
        <f t="shared" si="155"/>
        <v>1011</v>
      </c>
      <c r="Q440" s="24">
        <f t="shared" si="155"/>
        <v>1695</v>
      </c>
      <c r="R440" s="24">
        <f t="shared" si="155"/>
        <v>3</v>
      </c>
      <c r="S440" s="142">
        <f t="shared" si="155"/>
        <v>9677</v>
      </c>
    </row>
    <row r="441" spans="1:19">
      <c r="A441" s="95">
        <v>2016</v>
      </c>
      <c r="B441" s="24">
        <f t="shared" ref="B441:K441" si="160">B142</f>
        <v>28</v>
      </c>
      <c r="C441" s="24">
        <f t="shared" si="160"/>
        <v>5</v>
      </c>
      <c r="D441" s="24">
        <f t="shared" si="160"/>
        <v>2</v>
      </c>
      <c r="E441" s="24">
        <f t="shared" si="160"/>
        <v>14</v>
      </c>
      <c r="F441" s="24">
        <f t="shared" si="160"/>
        <v>117</v>
      </c>
      <c r="G441" s="24">
        <f t="shared" si="160"/>
        <v>348</v>
      </c>
      <c r="H441" s="24">
        <f t="shared" si="160"/>
        <v>135</v>
      </c>
      <c r="I441" s="24">
        <f t="shared" si="160"/>
        <v>6</v>
      </c>
      <c r="J441" s="24" t="str">
        <f t="shared" si="160"/>
        <v>-</v>
      </c>
      <c r="K441" s="24">
        <f t="shared" si="160"/>
        <v>655</v>
      </c>
      <c r="M441" s="24" t="str">
        <f t="shared" si="155"/>
        <v>-</v>
      </c>
      <c r="N441" s="24">
        <f t="shared" si="155"/>
        <v>29</v>
      </c>
      <c r="O441" s="24">
        <f t="shared" si="155"/>
        <v>582</v>
      </c>
      <c r="P441" s="24">
        <f t="shared" si="155"/>
        <v>18</v>
      </c>
      <c r="Q441" s="24">
        <f t="shared" si="155"/>
        <v>1793</v>
      </c>
      <c r="R441" s="24" t="str">
        <f t="shared" si="155"/>
        <v>-</v>
      </c>
      <c r="S441" s="142">
        <f t="shared" si="155"/>
        <v>2422</v>
      </c>
    </row>
    <row r="442" spans="1:19">
      <c r="A442" s="95">
        <v>2017</v>
      </c>
      <c r="B442" s="24">
        <f t="shared" ref="B442:K442" si="161">B143</f>
        <v>0</v>
      </c>
      <c r="C442" s="24">
        <f t="shared" si="161"/>
        <v>0</v>
      </c>
      <c r="D442" s="24">
        <f t="shared" si="161"/>
        <v>6</v>
      </c>
      <c r="E442" s="24">
        <f t="shared" si="161"/>
        <v>31</v>
      </c>
      <c r="F442" s="24">
        <f t="shared" si="161"/>
        <v>207</v>
      </c>
      <c r="G442" s="24">
        <f t="shared" si="161"/>
        <v>467</v>
      </c>
      <c r="H442" s="24">
        <f t="shared" si="161"/>
        <v>47</v>
      </c>
      <c r="I442" s="24">
        <f t="shared" si="161"/>
        <v>4</v>
      </c>
      <c r="J442" s="24" t="str">
        <f t="shared" si="161"/>
        <v>-</v>
      </c>
      <c r="K442" s="24">
        <f t="shared" si="161"/>
        <v>762</v>
      </c>
      <c r="M442" s="24" t="str">
        <f t="shared" si="155"/>
        <v>-</v>
      </c>
      <c r="N442" s="24">
        <f t="shared" si="155"/>
        <v>36</v>
      </c>
      <c r="O442" s="24">
        <f t="shared" si="155"/>
        <v>3419</v>
      </c>
      <c r="P442" s="24">
        <f t="shared" si="155"/>
        <v>1943</v>
      </c>
      <c r="Q442" s="24">
        <f t="shared" si="155"/>
        <v>2192</v>
      </c>
      <c r="R442" s="24" t="str">
        <f t="shared" si="155"/>
        <v>-</v>
      </c>
      <c r="S442" s="142">
        <f t="shared" si="155"/>
        <v>7590</v>
      </c>
    </row>
    <row r="443" spans="1:19">
      <c r="A443" s="95">
        <v>2018</v>
      </c>
      <c r="B443" s="24">
        <f t="shared" ref="B443:K443" si="162">B144</f>
        <v>0</v>
      </c>
      <c r="C443" s="24">
        <f t="shared" si="162"/>
        <v>0</v>
      </c>
      <c r="D443" s="24">
        <f t="shared" si="162"/>
        <v>23</v>
      </c>
      <c r="E443" s="24">
        <f t="shared" si="162"/>
        <v>59</v>
      </c>
      <c r="F443" s="24">
        <f t="shared" si="162"/>
        <v>409</v>
      </c>
      <c r="G443" s="24">
        <f t="shared" si="162"/>
        <v>490</v>
      </c>
      <c r="H443" s="24">
        <f t="shared" si="162"/>
        <v>217</v>
      </c>
      <c r="I443" s="24">
        <f t="shared" si="162"/>
        <v>11</v>
      </c>
      <c r="J443" s="24" t="str">
        <f t="shared" si="162"/>
        <v>-</v>
      </c>
      <c r="K443" s="24">
        <f t="shared" si="162"/>
        <v>1209</v>
      </c>
      <c r="M443" s="24" t="str">
        <f t="shared" si="155"/>
        <v>-</v>
      </c>
      <c r="N443" s="24">
        <f t="shared" si="155"/>
        <v>2</v>
      </c>
      <c r="O443" s="24">
        <f t="shared" si="155"/>
        <v>2125</v>
      </c>
      <c r="P443" s="24">
        <f t="shared" si="155"/>
        <v>6042</v>
      </c>
      <c r="Q443" s="24">
        <f t="shared" si="155"/>
        <v>3095</v>
      </c>
      <c r="R443" s="24" t="str">
        <f t="shared" si="155"/>
        <v>-</v>
      </c>
      <c r="S443" s="142">
        <f t="shared" si="155"/>
        <v>11264</v>
      </c>
    </row>
    <row r="444" spans="1:19">
      <c r="A444" s="95">
        <v>2019</v>
      </c>
      <c r="B444" s="24">
        <f t="shared" ref="B444:K444" si="163">B145</f>
        <v>2</v>
      </c>
      <c r="C444" s="24">
        <f t="shared" si="163"/>
        <v>3</v>
      </c>
      <c r="D444" s="24">
        <f t="shared" si="163"/>
        <v>66</v>
      </c>
      <c r="E444" s="24">
        <f t="shared" si="163"/>
        <v>348</v>
      </c>
      <c r="F444" s="24">
        <f t="shared" si="163"/>
        <v>1405</v>
      </c>
      <c r="G444" s="24">
        <f t="shared" si="163"/>
        <v>277</v>
      </c>
      <c r="H444" s="24">
        <f t="shared" si="163"/>
        <v>84</v>
      </c>
      <c r="I444" s="24">
        <f t="shared" si="163"/>
        <v>17</v>
      </c>
      <c r="J444" s="24" t="str">
        <f t="shared" si="163"/>
        <v>-</v>
      </c>
      <c r="K444" s="24">
        <f t="shared" si="163"/>
        <v>2202</v>
      </c>
      <c r="M444" s="24" t="str">
        <f t="shared" si="155"/>
        <v>-</v>
      </c>
      <c r="N444" s="24">
        <f t="shared" si="155"/>
        <v>1931</v>
      </c>
      <c r="O444" s="24">
        <f t="shared" si="155"/>
        <v>16778</v>
      </c>
      <c r="P444" s="24">
        <f t="shared" si="155"/>
        <v>7594</v>
      </c>
      <c r="Q444" s="24">
        <f t="shared" si="155"/>
        <v>1934</v>
      </c>
      <c r="R444" s="24" t="str">
        <f t="shared" si="155"/>
        <v>-</v>
      </c>
      <c r="S444" s="142">
        <f t="shared" si="155"/>
        <v>28237</v>
      </c>
    </row>
    <row r="445" spans="1:19">
      <c r="A445" s="95">
        <v>2020</v>
      </c>
      <c r="B445" s="24">
        <f t="shared" ref="B445:K445" si="164">B146</f>
        <v>0</v>
      </c>
      <c r="C445" s="24">
        <f t="shared" si="164"/>
        <v>4</v>
      </c>
      <c r="D445" s="24">
        <f t="shared" si="164"/>
        <v>19</v>
      </c>
      <c r="E445" s="24">
        <f t="shared" si="164"/>
        <v>37</v>
      </c>
      <c r="F445" s="24">
        <f t="shared" si="164"/>
        <v>1460</v>
      </c>
      <c r="G445" s="24">
        <f t="shared" si="164"/>
        <v>231</v>
      </c>
      <c r="H445" s="24">
        <f t="shared" si="164"/>
        <v>217</v>
      </c>
      <c r="I445" s="24">
        <f t="shared" si="164"/>
        <v>24</v>
      </c>
      <c r="J445" s="24" t="str">
        <f t="shared" si="164"/>
        <v>-</v>
      </c>
      <c r="K445" s="24">
        <f t="shared" si="164"/>
        <v>1992</v>
      </c>
      <c r="M445" s="24" t="str">
        <f t="shared" si="155"/>
        <v>-</v>
      </c>
      <c r="N445" s="24">
        <f t="shared" si="155"/>
        <v>0</v>
      </c>
      <c r="O445" s="24">
        <f t="shared" si="155"/>
        <v>4050</v>
      </c>
      <c r="P445" s="24">
        <f t="shared" si="155"/>
        <v>3302</v>
      </c>
      <c r="Q445" s="24">
        <f t="shared" si="155"/>
        <v>3152</v>
      </c>
      <c r="R445" s="24" t="str">
        <f t="shared" si="155"/>
        <v>-</v>
      </c>
      <c r="S445" s="142">
        <f t="shared" si="155"/>
        <v>10504</v>
      </c>
    </row>
    <row r="446" spans="1:19" ht="13">
      <c r="A446" s="95" t="s">
        <v>317</v>
      </c>
      <c r="B446" s="24">
        <f t="shared" ref="B446:K446" si="165">B147</f>
        <v>12</v>
      </c>
      <c r="C446" s="24">
        <f t="shared" si="165"/>
        <v>54</v>
      </c>
      <c r="D446" s="24">
        <f t="shared" si="165"/>
        <v>16</v>
      </c>
      <c r="E446" s="24">
        <f t="shared" si="165"/>
        <v>369</v>
      </c>
      <c r="F446" s="24">
        <f t="shared" si="165"/>
        <v>1833</v>
      </c>
      <c r="G446" s="24">
        <f t="shared" si="165"/>
        <v>544</v>
      </c>
      <c r="H446" s="24">
        <f t="shared" si="165"/>
        <v>90</v>
      </c>
      <c r="I446" s="24">
        <f t="shared" si="165"/>
        <v>0</v>
      </c>
      <c r="J446" s="24" t="str">
        <f t="shared" si="165"/>
        <v>-</v>
      </c>
      <c r="K446" s="24">
        <f t="shared" si="165"/>
        <v>2918</v>
      </c>
      <c r="M446" s="24" t="str">
        <f t="shared" si="155"/>
        <v>-</v>
      </c>
      <c r="N446" s="24">
        <f t="shared" si="155"/>
        <v>539</v>
      </c>
      <c r="O446" s="24">
        <f t="shared" si="155"/>
        <v>23433</v>
      </c>
      <c r="P446" s="24">
        <f t="shared" si="155"/>
        <v>20767</v>
      </c>
      <c r="Q446" s="24">
        <f t="shared" si="155"/>
        <v>6807</v>
      </c>
      <c r="R446" s="24" t="str">
        <f t="shared" si="155"/>
        <v>-</v>
      </c>
      <c r="S446" s="142">
        <f t="shared" si="155"/>
        <v>51546</v>
      </c>
    </row>
    <row r="447" spans="1:19" ht="10.5" customHeight="1">
      <c r="A447" s="99"/>
      <c r="B447" s="24"/>
      <c r="C447" s="24"/>
      <c r="D447" s="24"/>
      <c r="E447" s="24"/>
      <c r="F447" s="24"/>
      <c r="G447" s="24"/>
      <c r="H447" s="24"/>
      <c r="I447" s="24"/>
      <c r="J447" s="24"/>
      <c r="K447" s="24"/>
      <c r="M447" s="24"/>
      <c r="N447" s="24"/>
      <c r="O447" s="24"/>
      <c r="P447" s="24"/>
      <c r="Q447" s="24"/>
      <c r="R447" s="24"/>
      <c r="S447" s="142"/>
    </row>
    <row r="448" spans="1:19">
      <c r="A448" s="247" t="str">
        <f>A149</f>
        <v>Coos Bay</v>
      </c>
      <c r="B448" s="24"/>
      <c r="C448" s="24"/>
      <c r="D448" s="24"/>
      <c r="E448" s="24"/>
      <c r="F448" s="24"/>
      <c r="G448" s="24"/>
      <c r="H448" s="24"/>
      <c r="I448" s="24"/>
      <c r="J448" s="24"/>
      <c r="K448" s="24"/>
      <c r="M448" s="24"/>
      <c r="N448" s="24"/>
      <c r="O448" s="24"/>
      <c r="P448" s="24"/>
      <c r="Q448" s="24"/>
      <c r="R448" s="24"/>
      <c r="S448" s="142"/>
    </row>
    <row r="449" spans="1:19">
      <c r="A449" s="99" t="s">
        <v>24</v>
      </c>
      <c r="B449" s="24" t="s">
        <v>23</v>
      </c>
      <c r="C449" s="24" t="s">
        <v>23</v>
      </c>
      <c r="D449" s="24">
        <f>AVERAGE(D155:D159)</f>
        <v>36.75</v>
      </c>
      <c r="E449" s="24">
        <f>AVERAGE(E155:E159)</f>
        <v>920.66666666666663</v>
      </c>
      <c r="F449" s="24">
        <f>AVERAGE(F155:F159)</f>
        <v>4075.2</v>
      </c>
      <c r="G449" s="24">
        <f>AVERAGE(G155:G159)</f>
        <v>1994</v>
      </c>
      <c r="H449" s="24">
        <f>AVERAGE(H155:H159)</f>
        <v>436.2</v>
      </c>
      <c r="I449" s="210" t="s">
        <v>106</v>
      </c>
      <c r="J449" s="210" t="s">
        <v>106</v>
      </c>
      <c r="K449" s="24">
        <f>AVERAGE(K155:K159)</f>
        <v>7087.2</v>
      </c>
      <c r="M449" s="24">
        <f>AVERAGE(M155:M159)</f>
        <v>2106</v>
      </c>
      <c r="N449" s="24">
        <f>AVERAGE(N155:N159)</f>
        <v>13671</v>
      </c>
      <c r="O449" s="24">
        <f>AVERAGE(O155:O159)</f>
        <v>29455.4</v>
      </c>
      <c r="P449" s="24">
        <f>AVERAGE(P155:P159)</f>
        <v>13019.8</v>
      </c>
      <c r="Q449" s="24">
        <f>AVERAGE(Q155:Q159)</f>
        <v>1699.25</v>
      </c>
      <c r="R449" s="210" t="s">
        <v>106</v>
      </c>
      <c r="S449" s="142">
        <f>AVERAGE(S155:S159)</f>
        <v>53300.800000000003</v>
      </c>
    </row>
    <row r="450" spans="1:19">
      <c r="A450" s="99" t="s">
        <v>78</v>
      </c>
      <c r="B450" s="24" t="s">
        <v>23</v>
      </c>
      <c r="C450" s="24" t="s">
        <v>23</v>
      </c>
      <c r="D450" s="24">
        <f>AVERAGE(D160:D164)</f>
        <v>75.25</v>
      </c>
      <c r="E450" s="24">
        <f>AVERAGE(E160:E164)</f>
        <v>1213.4000000000001</v>
      </c>
      <c r="F450" s="24">
        <f>AVERAGE(F160:F164)</f>
        <v>4999.2</v>
      </c>
      <c r="G450" s="24">
        <f>AVERAGE(G160:G164)</f>
        <v>2205.8000000000002</v>
      </c>
      <c r="H450" s="24">
        <f>AVERAGE(H160:H164)</f>
        <v>962.5</v>
      </c>
      <c r="I450" s="210" t="s">
        <v>106</v>
      </c>
      <c r="J450" s="210" t="s">
        <v>106</v>
      </c>
      <c r="K450" s="24">
        <f>AVERAGE(K160:K164)</f>
        <v>9248.6</v>
      </c>
      <c r="M450" s="24">
        <f>AVERAGE(M160:M164)</f>
        <v>453</v>
      </c>
      <c r="N450" s="24">
        <f>AVERAGE(N160:N164)</f>
        <v>10859.2</v>
      </c>
      <c r="O450" s="24">
        <f>AVERAGE(O160:O164)</f>
        <v>39002.6</v>
      </c>
      <c r="P450" s="24">
        <f>AVERAGE(P160:P164)</f>
        <v>12888</v>
      </c>
      <c r="Q450" s="24">
        <f>AVERAGE(Q160:Q164)</f>
        <v>1567.75</v>
      </c>
      <c r="R450" s="24" t="s">
        <v>23</v>
      </c>
      <c r="S450" s="142">
        <f>AVERAGE(S160:S164)</f>
        <v>64366.400000000001</v>
      </c>
    </row>
    <row r="451" spans="1:19">
      <c r="A451" s="99" t="s">
        <v>10</v>
      </c>
      <c r="B451" s="24" t="s">
        <v>23</v>
      </c>
      <c r="C451" s="24" t="s">
        <v>23</v>
      </c>
      <c r="D451" s="24">
        <f t="shared" ref="D451:I451" si="166">AVERAGE(D165:D169)</f>
        <v>39.799999999999997</v>
      </c>
      <c r="E451" s="24">
        <f t="shared" si="166"/>
        <v>861.6</v>
      </c>
      <c r="F451" s="24">
        <f t="shared" si="166"/>
        <v>1495</v>
      </c>
      <c r="G451" s="24">
        <f t="shared" si="166"/>
        <v>351.5</v>
      </c>
      <c r="H451" s="24">
        <f t="shared" si="166"/>
        <v>231</v>
      </c>
      <c r="I451" s="24">
        <f t="shared" si="166"/>
        <v>7</v>
      </c>
      <c r="J451" s="210" t="s">
        <v>106</v>
      </c>
      <c r="K451" s="24">
        <f>AVERAGE(K165:K169)</f>
        <v>2032.8</v>
      </c>
      <c r="M451" s="24">
        <f>AVERAGE(M165:M169)</f>
        <v>465</v>
      </c>
      <c r="N451" s="24">
        <f>AVERAGE(N165:N169)</f>
        <v>12213</v>
      </c>
      <c r="O451" s="24">
        <f>AVERAGE(O165:O169)</f>
        <v>39345</v>
      </c>
      <c r="P451" s="24">
        <f>AVERAGE(P165:P169)</f>
        <v>10077</v>
      </c>
      <c r="Q451" s="24">
        <f>AVERAGE(Q165:Q169)</f>
        <v>2713</v>
      </c>
      <c r="R451" s="24" t="s">
        <v>23</v>
      </c>
      <c r="S451" s="142">
        <f>AVERAGE(S165:S169)</f>
        <v>59645.333333333336</v>
      </c>
    </row>
    <row r="452" spans="1:19">
      <c r="A452" s="99" t="s">
        <v>144</v>
      </c>
      <c r="B452" s="24" t="s">
        <v>23</v>
      </c>
      <c r="C452" s="24" t="s">
        <v>23</v>
      </c>
      <c r="D452" s="24">
        <f t="shared" ref="D452:I452" si="167">AVERAGE(D170:D174)</f>
        <v>10.8</v>
      </c>
      <c r="E452" s="24">
        <f t="shared" si="167"/>
        <v>89</v>
      </c>
      <c r="F452" s="24">
        <f t="shared" si="167"/>
        <v>1659.8</v>
      </c>
      <c r="G452" s="24">
        <f t="shared" si="167"/>
        <v>793.2</v>
      </c>
      <c r="H452" s="24">
        <f t="shared" si="167"/>
        <v>141.80000000000001</v>
      </c>
      <c r="I452" s="24">
        <f t="shared" si="167"/>
        <v>15.5</v>
      </c>
      <c r="J452" s="210" t="s">
        <v>106</v>
      </c>
      <c r="K452" s="24">
        <f>AVERAGE(K170:K174)</f>
        <v>2701.6</v>
      </c>
      <c r="M452" s="24" t="s">
        <v>23</v>
      </c>
      <c r="N452" s="24" t="s">
        <v>23</v>
      </c>
      <c r="O452" s="24">
        <f>AVERAGE(O170:O174)</f>
        <v>2042</v>
      </c>
      <c r="P452" s="24">
        <f>AVERAGE(P170:P174)</f>
        <v>22.333333333333332</v>
      </c>
      <c r="Q452" s="24">
        <f>AVERAGE(Q170:Q174)</f>
        <v>3</v>
      </c>
      <c r="R452" s="24" t="s">
        <v>23</v>
      </c>
      <c r="S452" s="142">
        <f>AVERAGE(S170:S174)</f>
        <v>1549</v>
      </c>
    </row>
    <row r="453" spans="1:19">
      <c r="A453" s="95" t="s">
        <v>166</v>
      </c>
      <c r="B453" s="24">
        <f t="shared" ref="B453:I453" si="168">AVERAGE(B175:B179)</f>
        <v>1.3333333333333333</v>
      </c>
      <c r="C453" s="24">
        <f t="shared" si="168"/>
        <v>32.6</v>
      </c>
      <c r="D453" s="24">
        <f t="shared" si="168"/>
        <v>136.19999999999999</v>
      </c>
      <c r="E453" s="24">
        <f t="shared" si="168"/>
        <v>2737.8</v>
      </c>
      <c r="F453" s="24">
        <f t="shared" si="168"/>
        <v>7333.6</v>
      </c>
      <c r="G453" s="24">
        <f t="shared" si="168"/>
        <v>3466.6</v>
      </c>
      <c r="H453" s="24">
        <f t="shared" si="168"/>
        <v>1458.4</v>
      </c>
      <c r="I453" s="24">
        <f t="shared" si="168"/>
        <v>23.6</v>
      </c>
      <c r="J453" s="24" t="str">
        <f>J175</f>
        <v>--</v>
      </c>
      <c r="K453" s="24">
        <f>AVERAGE(K175:K179)</f>
        <v>15189.6</v>
      </c>
      <c r="M453" s="24">
        <f>AVERAGE(M175:M179)</f>
        <v>10.5</v>
      </c>
      <c r="N453" s="24">
        <f>AVERAGE(N175:N179)</f>
        <v>2357.4</v>
      </c>
      <c r="O453" s="24">
        <f>AVERAGE(O175:O179)</f>
        <v>8406.4</v>
      </c>
      <c r="P453" s="24">
        <f>AVERAGE(P175:P179)</f>
        <v>1263.5999999999999</v>
      </c>
      <c r="Q453" s="24">
        <f>AVERAGE(Q175:Q179)</f>
        <v>34.200000000000003</v>
      </c>
      <c r="R453" s="24" t="s">
        <v>23</v>
      </c>
      <c r="S453" s="142">
        <f>AVERAGE(S175:S179)</f>
        <v>12065.8</v>
      </c>
    </row>
    <row r="454" spans="1:19">
      <c r="A454" s="95" t="s">
        <v>315</v>
      </c>
      <c r="B454" s="24">
        <f>AVERAGE(B180:B184)</f>
        <v>1</v>
      </c>
      <c r="C454" s="24">
        <f t="shared" ref="C454:K454" si="169">AVERAGE(C180:C184)</f>
        <v>1.5</v>
      </c>
      <c r="D454" s="24">
        <f t="shared" si="169"/>
        <v>12.333333333333334</v>
      </c>
      <c r="E454" s="24">
        <f t="shared" si="169"/>
        <v>119.2</v>
      </c>
      <c r="F454" s="24">
        <f t="shared" si="169"/>
        <v>782.6</v>
      </c>
      <c r="G454" s="24">
        <f t="shared" si="169"/>
        <v>511.25</v>
      </c>
      <c r="H454" s="24">
        <f t="shared" si="169"/>
        <v>248.66666666666666</v>
      </c>
      <c r="I454" s="24">
        <f t="shared" si="169"/>
        <v>0</v>
      </c>
      <c r="J454" s="24" t="str">
        <f>J180</f>
        <v>--</v>
      </c>
      <c r="K454" s="24">
        <f t="shared" si="169"/>
        <v>1468.4</v>
      </c>
      <c r="M454" s="24" t="str">
        <f>M180</f>
        <v>-</v>
      </c>
      <c r="N454" s="24">
        <f t="shared" ref="N454:S454" si="170">AVERAGE(N180:N184)</f>
        <v>558</v>
      </c>
      <c r="O454" s="24">
        <f t="shared" si="170"/>
        <v>4256.6000000000004</v>
      </c>
      <c r="P454" s="24">
        <f t="shared" si="170"/>
        <v>1350.8</v>
      </c>
      <c r="Q454" s="24">
        <f t="shared" si="170"/>
        <v>26</v>
      </c>
      <c r="R454" s="24" t="str">
        <f>R180</f>
        <v>-</v>
      </c>
      <c r="S454" s="142">
        <f t="shared" si="170"/>
        <v>6186.2</v>
      </c>
    </row>
    <row r="455" spans="1:19">
      <c r="A455" s="95">
        <v>2011</v>
      </c>
      <c r="B455" s="24">
        <f t="shared" ref="B455:K455" si="171">B185</f>
        <v>0</v>
      </c>
      <c r="C455" s="24">
        <f t="shared" si="171"/>
        <v>1</v>
      </c>
      <c r="D455" s="24">
        <f t="shared" si="171"/>
        <v>31</v>
      </c>
      <c r="E455" s="24">
        <f t="shared" si="171"/>
        <v>88</v>
      </c>
      <c r="F455" s="24">
        <f t="shared" si="171"/>
        <v>254</v>
      </c>
      <c r="G455" s="24">
        <f t="shared" si="171"/>
        <v>389</v>
      </c>
      <c r="H455" s="24">
        <f t="shared" si="171"/>
        <v>248</v>
      </c>
      <c r="I455" s="24" t="str">
        <f t="shared" si="171"/>
        <v>-</v>
      </c>
      <c r="J455" s="24">
        <f t="shared" si="171"/>
        <v>6</v>
      </c>
      <c r="K455" s="24">
        <f t="shared" si="171"/>
        <v>1017</v>
      </c>
      <c r="M455" s="24" t="str">
        <f t="shared" ref="M455:S465" si="172">M185</f>
        <v>-</v>
      </c>
      <c r="N455" s="24">
        <f t="shared" si="172"/>
        <v>11</v>
      </c>
      <c r="O455" s="24">
        <f t="shared" si="172"/>
        <v>330</v>
      </c>
      <c r="P455" s="24">
        <f t="shared" si="172"/>
        <v>338</v>
      </c>
      <c r="Q455" s="24">
        <f t="shared" si="172"/>
        <v>411</v>
      </c>
      <c r="R455" s="24" t="str">
        <f t="shared" si="172"/>
        <v>-</v>
      </c>
      <c r="S455" s="142">
        <f t="shared" si="172"/>
        <v>1090</v>
      </c>
    </row>
    <row r="456" spans="1:19">
      <c r="A456" s="95">
        <v>2012</v>
      </c>
      <c r="B456" s="24">
        <f t="shared" ref="B456:K456" si="173">B186</f>
        <v>0</v>
      </c>
      <c r="C456" s="24">
        <f t="shared" si="173"/>
        <v>12</v>
      </c>
      <c r="D456" s="24">
        <f t="shared" si="173"/>
        <v>391</v>
      </c>
      <c r="E456" s="24">
        <f t="shared" si="173"/>
        <v>529</v>
      </c>
      <c r="F456" s="24">
        <f t="shared" si="173"/>
        <v>502</v>
      </c>
      <c r="G456" s="24">
        <f t="shared" si="173"/>
        <v>1348</v>
      </c>
      <c r="H456" s="24">
        <f t="shared" si="173"/>
        <v>749</v>
      </c>
      <c r="I456" s="24">
        <f t="shared" si="173"/>
        <v>60</v>
      </c>
      <c r="J456" s="24">
        <f t="shared" si="173"/>
        <v>8</v>
      </c>
      <c r="K456" s="24">
        <f t="shared" si="173"/>
        <v>3599</v>
      </c>
      <c r="M456" s="24" t="str">
        <f t="shared" si="172"/>
        <v>-</v>
      </c>
      <c r="N456" s="24">
        <f t="shared" si="172"/>
        <v>31</v>
      </c>
      <c r="O456" s="24">
        <f t="shared" si="172"/>
        <v>782</v>
      </c>
      <c r="P456" s="24">
        <f t="shared" si="172"/>
        <v>829</v>
      </c>
      <c r="Q456" s="24">
        <f t="shared" si="172"/>
        <v>814</v>
      </c>
      <c r="R456" s="24" t="str">
        <f t="shared" si="172"/>
        <v>-</v>
      </c>
      <c r="S456" s="142">
        <f t="shared" si="172"/>
        <v>2456</v>
      </c>
    </row>
    <row r="457" spans="1:19">
      <c r="A457" s="95">
        <v>2013</v>
      </c>
      <c r="B457" s="24">
        <f t="shared" ref="B457:K457" si="174">B187</f>
        <v>26</v>
      </c>
      <c r="C457" s="24">
        <f t="shared" si="174"/>
        <v>52</v>
      </c>
      <c r="D457" s="24">
        <f t="shared" si="174"/>
        <v>135</v>
      </c>
      <c r="E457" s="24">
        <f t="shared" si="174"/>
        <v>1189</v>
      </c>
      <c r="F457" s="24">
        <f t="shared" si="174"/>
        <v>790</v>
      </c>
      <c r="G457" s="24">
        <f t="shared" si="174"/>
        <v>11479</v>
      </c>
      <c r="H457" s="24">
        <f t="shared" si="174"/>
        <v>657</v>
      </c>
      <c r="I457" s="24">
        <f t="shared" si="174"/>
        <v>4</v>
      </c>
      <c r="J457" s="24" t="str">
        <f t="shared" si="174"/>
        <v>--</v>
      </c>
      <c r="K457" s="24">
        <f t="shared" si="174"/>
        <v>14332</v>
      </c>
      <c r="M457" s="24" t="str">
        <f t="shared" si="172"/>
        <v>-</v>
      </c>
      <c r="N457" s="24">
        <f t="shared" si="172"/>
        <v>9</v>
      </c>
      <c r="O457" s="24">
        <f t="shared" si="172"/>
        <v>66</v>
      </c>
      <c r="P457" s="24">
        <f t="shared" si="172"/>
        <v>94</v>
      </c>
      <c r="Q457" s="24">
        <f t="shared" si="172"/>
        <v>329</v>
      </c>
      <c r="R457" s="24" t="str">
        <f t="shared" si="172"/>
        <v>-</v>
      </c>
      <c r="S457" s="142">
        <f t="shared" si="172"/>
        <v>498</v>
      </c>
    </row>
    <row r="458" spans="1:19">
      <c r="A458" s="95">
        <v>2014</v>
      </c>
      <c r="B458" s="24">
        <f t="shared" ref="B458:K458" si="175">B188</f>
        <v>0</v>
      </c>
      <c r="C458" s="24">
        <f t="shared" si="175"/>
        <v>9</v>
      </c>
      <c r="D458" s="24">
        <f t="shared" si="175"/>
        <v>69</v>
      </c>
      <c r="E458" s="24">
        <f t="shared" si="175"/>
        <v>767</v>
      </c>
      <c r="F458" s="24">
        <f t="shared" si="175"/>
        <v>1865</v>
      </c>
      <c r="G458" s="24">
        <f t="shared" si="175"/>
        <v>2399</v>
      </c>
      <c r="H458" s="24">
        <f t="shared" si="175"/>
        <v>736</v>
      </c>
      <c r="I458" s="24">
        <f t="shared" si="175"/>
        <v>6</v>
      </c>
      <c r="J458" s="24" t="str">
        <f t="shared" si="175"/>
        <v>--</v>
      </c>
      <c r="K458" s="24">
        <f t="shared" si="175"/>
        <v>5851</v>
      </c>
      <c r="M458" s="24">
        <f t="shared" si="172"/>
        <v>1</v>
      </c>
      <c r="N458" s="24">
        <f t="shared" si="172"/>
        <v>620</v>
      </c>
      <c r="O458" s="24">
        <f t="shared" si="172"/>
        <v>4371</v>
      </c>
      <c r="P458" s="24">
        <f t="shared" si="172"/>
        <v>1672</v>
      </c>
      <c r="Q458" s="24">
        <f t="shared" si="172"/>
        <v>3255</v>
      </c>
      <c r="R458" s="24" t="str">
        <f t="shared" si="172"/>
        <v>-</v>
      </c>
      <c r="S458" s="142">
        <f t="shared" si="172"/>
        <v>9919</v>
      </c>
    </row>
    <row r="459" spans="1:19">
      <c r="A459" s="95">
        <v>2015</v>
      </c>
      <c r="B459" s="24">
        <f t="shared" ref="B459:K459" si="176">B189</f>
        <v>0</v>
      </c>
      <c r="C459" s="24">
        <f t="shared" si="176"/>
        <v>3</v>
      </c>
      <c r="D459" s="24">
        <f t="shared" si="176"/>
        <v>18</v>
      </c>
      <c r="E459" s="24">
        <f t="shared" si="176"/>
        <v>209</v>
      </c>
      <c r="F459" s="24">
        <f t="shared" si="176"/>
        <v>187</v>
      </c>
      <c r="G459" s="24">
        <f t="shared" si="176"/>
        <v>197</v>
      </c>
      <c r="H459" s="24">
        <f t="shared" si="176"/>
        <v>744</v>
      </c>
      <c r="I459" s="24">
        <f t="shared" si="176"/>
        <v>3</v>
      </c>
      <c r="J459" s="24" t="str">
        <f t="shared" si="176"/>
        <v>--</v>
      </c>
      <c r="K459" s="24">
        <f t="shared" si="176"/>
        <v>1361</v>
      </c>
      <c r="M459" s="24" t="str">
        <f t="shared" si="172"/>
        <v>-</v>
      </c>
      <c r="N459" s="24">
        <f t="shared" si="172"/>
        <v>208</v>
      </c>
      <c r="O459" s="24">
        <f t="shared" si="172"/>
        <v>2633</v>
      </c>
      <c r="P459" s="24">
        <f t="shared" si="172"/>
        <v>81</v>
      </c>
      <c r="Q459" s="24">
        <f t="shared" si="172"/>
        <v>1731</v>
      </c>
      <c r="R459" s="24" t="str">
        <f t="shared" si="172"/>
        <v>-</v>
      </c>
      <c r="S459" s="142">
        <f t="shared" si="172"/>
        <v>4653</v>
      </c>
    </row>
    <row r="460" spans="1:19">
      <c r="A460" s="95">
        <v>2016</v>
      </c>
      <c r="B460" s="24">
        <f t="shared" ref="B460:K460" si="177">B190</f>
        <v>4</v>
      </c>
      <c r="C460" s="24">
        <f t="shared" si="177"/>
        <v>4</v>
      </c>
      <c r="D460" s="24">
        <f t="shared" si="177"/>
        <v>2</v>
      </c>
      <c r="E460" s="24">
        <f t="shared" si="177"/>
        <v>44</v>
      </c>
      <c r="F460" s="24">
        <f t="shared" si="177"/>
        <v>91</v>
      </c>
      <c r="G460" s="24">
        <f t="shared" si="177"/>
        <v>213</v>
      </c>
      <c r="H460" s="24">
        <f t="shared" si="177"/>
        <v>318</v>
      </c>
      <c r="I460" s="24">
        <f t="shared" si="177"/>
        <v>0</v>
      </c>
      <c r="J460" s="24" t="str">
        <f t="shared" si="177"/>
        <v>--</v>
      </c>
      <c r="K460" s="24">
        <f t="shared" si="177"/>
        <v>676</v>
      </c>
      <c r="M460" s="24" t="str">
        <f t="shared" si="172"/>
        <v>-</v>
      </c>
      <c r="N460" s="24">
        <f t="shared" si="172"/>
        <v>58</v>
      </c>
      <c r="O460" s="24">
        <f t="shared" si="172"/>
        <v>410</v>
      </c>
      <c r="P460" s="24">
        <f t="shared" si="172"/>
        <v>59</v>
      </c>
      <c r="Q460" s="24">
        <f t="shared" si="172"/>
        <v>959</v>
      </c>
      <c r="R460" s="24" t="str">
        <f t="shared" si="172"/>
        <v>-</v>
      </c>
      <c r="S460" s="142">
        <f t="shared" si="172"/>
        <v>1486</v>
      </c>
    </row>
    <row r="461" spans="1:19">
      <c r="A461" s="95">
        <v>2017</v>
      </c>
      <c r="B461" s="24">
        <f t="shared" ref="B461:K461" si="178">B191</f>
        <v>0</v>
      </c>
      <c r="C461" s="24">
        <f t="shared" si="178"/>
        <v>6</v>
      </c>
      <c r="D461" s="24">
        <f t="shared" si="178"/>
        <v>7</v>
      </c>
      <c r="E461" s="24">
        <f t="shared" si="178"/>
        <v>28</v>
      </c>
      <c r="F461" s="24">
        <f t="shared" si="178"/>
        <v>212</v>
      </c>
      <c r="G461" s="24">
        <f t="shared" si="178"/>
        <v>199</v>
      </c>
      <c r="H461" s="24">
        <f t="shared" si="178"/>
        <v>121</v>
      </c>
      <c r="I461" s="24">
        <f t="shared" si="178"/>
        <v>0</v>
      </c>
      <c r="J461" s="24" t="str">
        <f t="shared" si="178"/>
        <v>--</v>
      </c>
      <c r="K461" s="24">
        <f t="shared" si="178"/>
        <v>573</v>
      </c>
      <c r="M461" s="24" t="str">
        <f t="shared" si="172"/>
        <v>-</v>
      </c>
      <c r="N461" s="24">
        <f t="shared" si="172"/>
        <v>241</v>
      </c>
      <c r="O461" s="24">
        <f t="shared" si="172"/>
        <v>1452</v>
      </c>
      <c r="P461" s="24">
        <f t="shared" si="172"/>
        <v>557</v>
      </c>
      <c r="Q461" s="24">
        <f t="shared" si="172"/>
        <v>1146</v>
      </c>
      <c r="R461" s="24" t="str">
        <f t="shared" si="172"/>
        <v>-</v>
      </c>
      <c r="S461" s="142">
        <f t="shared" si="172"/>
        <v>3396</v>
      </c>
    </row>
    <row r="462" spans="1:19">
      <c r="A462" s="95">
        <v>2018</v>
      </c>
      <c r="B462" s="24">
        <f t="shared" ref="B462:K462" si="179">B192</f>
        <v>0</v>
      </c>
      <c r="C462" s="24">
        <f t="shared" si="179"/>
        <v>0</v>
      </c>
      <c r="D462" s="24">
        <f t="shared" si="179"/>
        <v>6</v>
      </c>
      <c r="E462" s="24">
        <f t="shared" si="179"/>
        <v>52</v>
      </c>
      <c r="F462" s="24">
        <f t="shared" si="179"/>
        <v>180</v>
      </c>
      <c r="G462" s="24">
        <f t="shared" si="179"/>
        <v>311</v>
      </c>
      <c r="H462" s="24">
        <f t="shared" si="179"/>
        <v>244</v>
      </c>
      <c r="I462" s="24">
        <f t="shared" si="179"/>
        <v>0</v>
      </c>
      <c r="J462" s="24" t="str">
        <f t="shared" si="179"/>
        <v>--</v>
      </c>
      <c r="K462" s="24">
        <f t="shared" si="179"/>
        <v>793</v>
      </c>
      <c r="M462" s="24" t="str">
        <f t="shared" si="172"/>
        <v>-</v>
      </c>
      <c r="N462" s="24">
        <f t="shared" si="172"/>
        <v>4</v>
      </c>
      <c r="O462" s="24">
        <f t="shared" si="172"/>
        <v>579</v>
      </c>
      <c r="P462" s="24">
        <f t="shared" si="172"/>
        <v>887</v>
      </c>
      <c r="Q462" s="24">
        <f t="shared" si="172"/>
        <v>2983</v>
      </c>
      <c r="R462" s="24" t="str">
        <f t="shared" si="172"/>
        <v>-</v>
      </c>
      <c r="S462" s="142">
        <f t="shared" si="172"/>
        <v>4453</v>
      </c>
    </row>
    <row r="463" spans="1:19">
      <c r="A463" s="95">
        <v>2019</v>
      </c>
      <c r="B463" s="24">
        <f t="shared" ref="B463:K463" si="180">B193</f>
        <v>0</v>
      </c>
      <c r="C463" s="24">
        <f t="shared" si="180"/>
        <v>0</v>
      </c>
      <c r="D463" s="24">
        <f t="shared" si="180"/>
        <v>0</v>
      </c>
      <c r="E463" s="24">
        <f t="shared" si="180"/>
        <v>87</v>
      </c>
      <c r="F463" s="24">
        <f t="shared" si="180"/>
        <v>603</v>
      </c>
      <c r="G463" s="24">
        <f t="shared" si="180"/>
        <v>236</v>
      </c>
      <c r="H463" s="24">
        <f t="shared" si="180"/>
        <v>305</v>
      </c>
      <c r="I463" s="24" t="str">
        <f t="shared" si="180"/>
        <v>-</v>
      </c>
      <c r="J463" s="24" t="str">
        <f t="shared" si="180"/>
        <v>-</v>
      </c>
      <c r="K463" s="24">
        <f t="shared" si="180"/>
        <v>1231</v>
      </c>
      <c r="M463" s="24" t="str">
        <f t="shared" si="172"/>
        <v>-</v>
      </c>
      <c r="N463" s="24">
        <f t="shared" si="172"/>
        <v>1265</v>
      </c>
      <c r="O463" s="24">
        <f t="shared" si="172"/>
        <v>4322</v>
      </c>
      <c r="P463" s="24">
        <f t="shared" si="172"/>
        <v>2023</v>
      </c>
      <c r="Q463" s="24">
        <f t="shared" si="172"/>
        <v>1980</v>
      </c>
      <c r="R463" s="24" t="str">
        <f t="shared" si="172"/>
        <v>-</v>
      </c>
      <c r="S463" s="142">
        <f t="shared" si="172"/>
        <v>9590</v>
      </c>
    </row>
    <row r="464" spans="1:19">
      <c r="A464" s="95">
        <v>2020</v>
      </c>
      <c r="B464" s="24">
        <f t="shared" ref="B464:K464" si="181">B194</f>
        <v>0</v>
      </c>
      <c r="C464" s="24">
        <f t="shared" si="181"/>
        <v>0</v>
      </c>
      <c r="D464" s="24">
        <f t="shared" si="181"/>
        <v>7</v>
      </c>
      <c r="E464" s="24">
        <f t="shared" si="181"/>
        <v>0</v>
      </c>
      <c r="F464" s="24">
        <f t="shared" si="181"/>
        <v>1151</v>
      </c>
      <c r="G464" s="24">
        <f t="shared" si="181"/>
        <v>419</v>
      </c>
      <c r="H464" s="24">
        <f t="shared" si="181"/>
        <v>361</v>
      </c>
      <c r="I464" s="24">
        <f t="shared" si="181"/>
        <v>11</v>
      </c>
      <c r="J464" s="24" t="str">
        <f t="shared" si="181"/>
        <v>-</v>
      </c>
      <c r="K464" s="24">
        <f t="shared" si="181"/>
        <v>1949</v>
      </c>
      <c r="M464" s="24" t="str">
        <f t="shared" si="172"/>
        <v>-</v>
      </c>
      <c r="N464" s="24">
        <f t="shared" si="172"/>
        <v>0</v>
      </c>
      <c r="O464" s="24">
        <f t="shared" si="172"/>
        <v>2605</v>
      </c>
      <c r="P464" s="24">
        <f t="shared" si="172"/>
        <v>804</v>
      </c>
      <c r="Q464" s="24">
        <f t="shared" si="172"/>
        <v>453</v>
      </c>
      <c r="R464" s="24" t="str">
        <f t="shared" si="172"/>
        <v>-</v>
      </c>
      <c r="S464" s="142">
        <f t="shared" si="172"/>
        <v>3862</v>
      </c>
    </row>
    <row r="465" spans="1:19" ht="13">
      <c r="A465" s="95" t="s">
        <v>317</v>
      </c>
      <c r="B465" s="24">
        <f t="shared" ref="B465:K465" si="182">B195</f>
        <v>0</v>
      </c>
      <c r="C465" s="24">
        <f t="shared" si="182"/>
        <v>82</v>
      </c>
      <c r="D465" s="24">
        <f t="shared" si="182"/>
        <v>13</v>
      </c>
      <c r="E465" s="24">
        <f t="shared" si="182"/>
        <v>149</v>
      </c>
      <c r="F465" s="24">
        <f t="shared" si="182"/>
        <v>616</v>
      </c>
      <c r="G465" s="24">
        <f t="shared" si="182"/>
        <v>263</v>
      </c>
      <c r="H465" s="24">
        <f t="shared" si="182"/>
        <v>137</v>
      </c>
      <c r="I465" s="24">
        <f t="shared" si="182"/>
        <v>0</v>
      </c>
      <c r="J465" s="24" t="str">
        <f t="shared" si="182"/>
        <v>-</v>
      </c>
      <c r="K465" s="24">
        <f t="shared" si="182"/>
        <v>1260</v>
      </c>
      <c r="M465" s="24" t="str">
        <f t="shared" si="172"/>
        <v>-</v>
      </c>
      <c r="N465" s="24">
        <f t="shared" si="172"/>
        <v>1149</v>
      </c>
      <c r="O465" s="24">
        <f t="shared" si="172"/>
        <v>7028</v>
      </c>
      <c r="P465" s="24">
        <f t="shared" si="172"/>
        <v>3554</v>
      </c>
      <c r="Q465" s="24">
        <f t="shared" si="172"/>
        <v>1691</v>
      </c>
      <c r="R465" s="24" t="str">
        <f t="shared" si="172"/>
        <v>-</v>
      </c>
      <c r="S465" s="142">
        <f t="shared" si="172"/>
        <v>13422</v>
      </c>
    </row>
    <row r="466" spans="1:19">
      <c r="B466" s="24"/>
      <c r="C466" s="24"/>
      <c r="D466" s="24"/>
      <c r="E466" s="24"/>
      <c r="F466" s="24"/>
      <c r="G466" s="24"/>
      <c r="H466" s="24"/>
      <c r="I466" s="24"/>
      <c r="J466" s="24"/>
      <c r="K466" s="24"/>
      <c r="M466" s="24"/>
      <c r="N466" s="24"/>
      <c r="O466" s="24"/>
      <c r="P466" s="24"/>
      <c r="Q466" s="24"/>
      <c r="R466" s="24"/>
      <c r="S466" s="142"/>
    </row>
    <row r="467" spans="1:19" ht="13">
      <c r="A467" s="317" t="s">
        <v>283</v>
      </c>
      <c r="B467" s="317"/>
      <c r="C467" s="317"/>
      <c r="D467" s="317"/>
      <c r="E467" s="317"/>
      <c r="F467" s="317"/>
      <c r="G467" s="317"/>
      <c r="H467" s="317"/>
      <c r="I467" s="317"/>
      <c r="J467" s="317"/>
      <c r="K467" s="317"/>
      <c r="L467" s="317"/>
      <c r="M467" s="317"/>
      <c r="N467" s="317"/>
      <c r="O467" s="317"/>
      <c r="P467" s="317"/>
      <c r="Q467" s="317"/>
      <c r="R467" s="317"/>
      <c r="S467" s="317"/>
    </row>
    <row r="468" spans="1:19">
      <c r="A468" s="100" t="s">
        <v>43</v>
      </c>
      <c r="B468" s="146" t="s">
        <v>37</v>
      </c>
      <c r="C468" s="146" t="s">
        <v>28</v>
      </c>
      <c r="D468" s="146" t="s">
        <v>29</v>
      </c>
      <c r="E468" s="146" t="s">
        <v>30</v>
      </c>
      <c r="F468" s="146" t="s">
        <v>31</v>
      </c>
      <c r="G468" s="146" t="s">
        <v>32</v>
      </c>
      <c r="H468" s="146" t="s">
        <v>33</v>
      </c>
      <c r="I468" s="146" t="s">
        <v>34</v>
      </c>
      <c r="J468" s="146" t="s">
        <v>38</v>
      </c>
      <c r="K468" s="146" t="s">
        <v>22</v>
      </c>
      <c r="L468" s="146"/>
      <c r="M468" s="146" t="s">
        <v>29</v>
      </c>
      <c r="N468" s="146" t="s">
        <v>30</v>
      </c>
      <c r="O468" s="146" t="s">
        <v>31</v>
      </c>
      <c r="P468" s="146" t="s">
        <v>32</v>
      </c>
      <c r="Q468" s="146" t="s">
        <v>33</v>
      </c>
      <c r="R468" s="146" t="s">
        <v>34</v>
      </c>
      <c r="S468" s="146" t="s">
        <v>22</v>
      </c>
    </row>
    <row r="469" spans="1:19">
      <c r="B469" s="308" t="s">
        <v>61</v>
      </c>
      <c r="C469" s="308"/>
      <c r="D469" s="308"/>
      <c r="E469" s="308"/>
      <c r="F469" s="308"/>
      <c r="G469" s="308"/>
      <c r="H469" s="308"/>
      <c r="I469" s="308"/>
      <c r="J469" s="308"/>
      <c r="K469" s="308"/>
      <c r="L469" s="177"/>
      <c r="M469" s="308" t="s">
        <v>62</v>
      </c>
      <c r="N469" s="308"/>
      <c r="O469" s="308"/>
      <c r="P469" s="308"/>
      <c r="Q469" s="308"/>
      <c r="R469" s="308"/>
      <c r="S469" s="308"/>
    </row>
    <row r="470" spans="1:19" ht="10.5" customHeight="1">
      <c r="A470" s="99"/>
      <c r="B470" s="24"/>
      <c r="C470" s="24"/>
      <c r="D470" s="24"/>
      <c r="E470" s="24"/>
      <c r="F470" s="24"/>
      <c r="G470" s="24"/>
      <c r="H470" s="24"/>
      <c r="I470" s="24"/>
      <c r="J470" s="24"/>
      <c r="K470" s="24"/>
      <c r="M470" s="24"/>
      <c r="N470" s="24"/>
      <c r="O470" s="24"/>
      <c r="P470" s="24"/>
      <c r="Q470" s="24"/>
      <c r="R470" s="24"/>
      <c r="S470" s="24"/>
    </row>
    <row r="471" spans="1:19">
      <c r="A471" s="247" t="str">
        <f>A197</f>
        <v>Brookings</v>
      </c>
      <c r="B471" s="24"/>
      <c r="C471" s="24"/>
      <c r="D471" s="24"/>
      <c r="E471" s="24"/>
      <c r="F471" s="24"/>
      <c r="G471" s="24"/>
      <c r="H471" s="24"/>
      <c r="I471" s="24"/>
      <c r="J471" s="24"/>
      <c r="K471" s="24"/>
      <c r="M471" s="24"/>
      <c r="N471" s="24"/>
      <c r="O471" s="24"/>
      <c r="P471" s="24"/>
      <c r="Q471" s="24"/>
      <c r="R471" s="24"/>
      <c r="S471" s="24"/>
    </row>
    <row r="472" spans="1:19">
      <c r="A472" s="99" t="s">
        <v>24</v>
      </c>
      <c r="B472" s="24" t="s">
        <v>23</v>
      </c>
      <c r="C472" s="24" t="s">
        <v>23</v>
      </c>
      <c r="D472" s="24">
        <f t="shared" ref="D472:K472" si="183">AVERAGE(D203:D207)</f>
        <v>853.25</v>
      </c>
      <c r="E472" s="24">
        <f t="shared" si="183"/>
        <v>2140.3333333333335</v>
      </c>
      <c r="F472" s="24">
        <f t="shared" si="183"/>
        <v>9161.7999999999993</v>
      </c>
      <c r="G472" s="24">
        <f t="shared" si="183"/>
        <v>4185.2</v>
      </c>
      <c r="H472" s="24">
        <f t="shared" si="183"/>
        <v>565.6</v>
      </c>
      <c r="I472" s="24">
        <f t="shared" si="183"/>
        <v>507.2</v>
      </c>
      <c r="J472" s="24">
        <f t="shared" si="183"/>
        <v>14.333333333333334</v>
      </c>
      <c r="K472" s="24">
        <f t="shared" si="183"/>
        <v>16395.2</v>
      </c>
      <c r="M472" s="24">
        <f t="shared" ref="M472:S472" si="184">AVERAGE(M203:M207)</f>
        <v>247</v>
      </c>
      <c r="N472" s="24">
        <f t="shared" si="184"/>
        <v>3102</v>
      </c>
      <c r="O472" s="24">
        <f t="shared" si="184"/>
        <v>7541.2</v>
      </c>
      <c r="P472" s="24">
        <f t="shared" si="184"/>
        <v>2962</v>
      </c>
      <c r="Q472" s="24">
        <f t="shared" si="184"/>
        <v>164.5</v>
      </c>
      <c r="R472" s="24">
        <f t="shared" si="184"/>
        <v>4</v>
      </c>
      <c r="S472" s="142">
        <f t="shared" si="184"/>
        <v>12102</v>
      </c>
    </row>
    <row r="473" spans="1:19">
      <c r="A473" s="99" t="s">
        <v>78</v>
      </c>
      <c r="B473" s="24" t="s">
        <v>23</v>
      </c>
      <c r="C473" s="24" t="s">
        <v>23</v>
      </c>
      <c r="D473" s="24">
        <f t="shared" ref="D473:I473" si="185">AVERAGE(D208:D212)</f>
        <v>414.8</v>
      </c>
      <c r="E473" s="24">
        <f t="shared" si="185"/>
        <v>5447</v>
      </c>
      <c r="F473" s="24">
        <f t="shared" si="185"/>
        <v>7145.8</v>
      </c>
      <c r="G473" s="24">
        <f t="shared" si="185"/>
        <v>4010.4</v>
      </c>
      <c r="H473" s="24">
        <f t="shared" si="185"/>
        <v>1436.4</v>
      </c>
      <c r="I473" s="24">
        <f t="shared" si="185"/>
        <v>872</v>
      </c>
      <c r="J473" s="24" t="s">
        <v>23</v>
      </c>
      <c r="K473" s="24">
        <f>AVERAGE(K208:K212)</f>
        <v>18803.2</v>
      </c>
      <c r="M473" s="24">
        <f t="shared" ref="M473:S473" si="186">AVERAGE(M208:M212)</f>
        <v>350.2</v>
      </c>
      <c r="N473" s="24">
        <f t="shared" si="186"/>
        <v>3345.6</v>
      </c>
      <c r="O473" s="24">
        <f t="shared" si="186"/>
        <v>11413.8</v>
      </c>
      <c r="P473" s="24">
        <f t="shared" si="186"/>
        <v>3280.2</v>
      </c>
      <c r="Q473" s="24">
        <f t="shared" si="186"/>
        <v>467</v>
      </c>
      <c r="R473" s="24">
        <f t="shared" si="186"/>
        <v>15.5</v>
      </c>
      <c r="S473" s="142">
        <f t="shared" si="186"/>
        <v>18863</v>
      </c>
    </row>
    <row r="474" spans="1:19">
      <c r="A474" s="99" t="s">
        <v>10</v>
      </c>
      <c r="B474" s="24" t="s">
        <v>23</v>
      </c>
      <c r="C474" s="24" t="s">
        <v>23</v>
      </c>
      <c r="D474" s="24">
        <f t="shared" ref="D474:I474" si="187">AVERAGE(D213:D217)</f>
        <v>815.5</v>
      </c>
      <c r="E474" s="24">
        <f t="shared" si="187"/>
        <v>1505.75</v>
      </c>
      <c r="F474" s="24">
        <f t="shared" si="187"/>
        <v>1488.6666666666667</v>
      </c>
      <c r="G474" s="24">
        <f t="shared" si="187"/>
        <v>533</v>
      </c>
      <c r="H474" s="24">
        <f t="shared" si="187"/>
        <v>818.6</v>
      </c>
      <c r="I474" s="24">
        <f t="shared" si="187"/>
        <v>870.33333333333337</v>
      </c>
      <c r="J474" s="24" t="s">
        <v>23</v>
      </c>
      <c r="K474" s="24">
        <f>AVERAGE(K213:K217)</f>
        <v>4517.3999999999996</v>
      </c>
      <c r="M474" s="24">
        <f t="shared" ref="M474:S474" si="188">AVERAGE(M213:M217)</f>
        <v>97</v>
      </c>
      <c r="N474" s="24">
        <f t="shared" si="188"/>
        <v>3448</v>
      </c>
      <c r="O474" s="24">
        <f t="shared" si="188"/>
        <v>5118</v>
      </c>
      <c r="P474" s="24">
        <f t="shared" si="188"/>
        <v>993.5</v>
      </c>
      <c r="Q474" s="24">
        <f t="shared" si="188"/>
        <v>385.8</v>
      </c>
      <c r="R474" s="24">
        <f t="shared" si="188"/>
        <v>2.5</v>
      </c>
      <c r="S474" s="142">
        <f t="shared" si="188"/>
        <v>6340.6</v>
      </c>
    </row>
    <row r="475" spans="1:19">
      <c r="A475" s="99" t="s">
        <v>144</v>
      </c>
      <c r="B475" s="24" t="s">
        <v>23</v>
      </c>
      <c r="C475" s="24" t="s">
        <v>23</v>
      </c>
      <c r="D475" s="24">
        <f t="shared" ref="D475:I475" si="189">AVERAGE(D218:D222)</f>
        <v>326.8</v>
      </c>
      <c r="E475" s="24">
        <f t="shared" si="189"/>
        <v>861.4</v>
      </c>
      <c r="F475" s="24">
        <f t="shared" si="189"/>
        <v>924.2</v>
      </c>
      <c r="G475" s="24">
        <f t="shared" si="189"/>
        <v>2899</v>
      </c>
      <c r="H475" s="24">
        <f t="shared" si="189"/>
        <v>389.2</v>
      </c>
      <c r="I475" s="24">
        <f t="shared" si="189"/>
        <v>701.6</v>
      </c>
      <c r="J475" s="24" t="s">
        <v>23</v>
      </c>
      <c r="K475" s="24">
        <f>AVERAGE(K218:K222)</f>
        <v>6102.2</v>
      </c>
      <c r="M475" s="24">
        <f t="shared" ref="M475:S475" si="190">AVERAGE(M218:M222)</f>
        <v>17</v>
      </c>
      <c r="N475" s="24">
        <f t="shared" si="190"/>
        <v>11</v>
      </c>
      <c r="O475" s="24">
        <f t="shared" si="190"/>
        <v>21</v>
      </c>
      <c r="P475" s="24">
        <f t="shared" si="190"/>
        <v>32.200000000000003</v>
      </c>
      <c r="Q475" s="24">
        <f t="shared" si="190"/>
        <v>11</v>
      </c>
      <c r="R475" s="24">
        <f t="shared" si="190"/>
        <v>8.5</v>
      </c>
      <c r="S475" s="142">
        <f t="shared" si="190"/>
        <v>75.400000000000006</v>
      </c>
    </row>
    <row r="476" spans="1:19">
      <c r="A476" s="95" t="s">
        <v>166</v>
      </c>
      <c r="B476" s="24" t="str">
        <f>B223</f>
        <v>-</v>
      </c>
      <c r="C476" s="24" t="str">
        <f>C223</f>
        <v>-</v>
      </c>
      <c r="D476" s="24">
        <f t="shared" ref="D476:I476" si="191">AVERAGE(D223:D227)</f>
        <v>494.4</v>
      </c>
      <c r="E476" s="24">
        <f t="shared" si="191"/>
        <v>1814.6</v>
      </c>
      <c r="F476" s="24">
        <f t="shared" si="191"/>
        <v>807.4</v>
      </c>
      <c r="G476" s="24">
        <f t="shared" si="191"/>
        <v>1931.4</v>
      </c>
      <c r="H476" s="24">
        <f t="shared" si="191"/>
        <v>1509.8</v>
      </c>
      <c r="I476" s="24">
        <f t="shared" si="191"/>
        <v>469.2</v>
      </c>
      <c r="J476" s="24" t="str">
        <f>J223</f>
        <v>-</v>
      </c>
      <c r="K476" s="24">
        <f>AVERAGE(K223:K227)</f>
        <v>7026.8</v>
      </c>
      <c r="M476" s="24" t="str">
        <f>M223</f>
        <v>-</v>
      </c>
      <c r="N476" s="24">
        <f t="shared" ref="N476:S476" si="192">AVERAGE(N223:N227)</f>
        <v>99.6</v>
      </c>
      <c r="O476" s="24">
        <f t="shared" si="192"/>
        <v>143.4</v>
      </c>
      <c r="P476" s="24">
        <f t="shared" si="192"/>
        <v>61.8</v>
      </c>
      <c r="Q476" s="24">
        <f t="shared" si="192"/>
        <v>17.75</v>
      </c>
      <c r="R476" s="24">
        <f t="shared" si="192"/>
        <v>8</v>
      </c>
      <c r="S476" s="142">
        <f t="shared" si="192"/>
        <v>322.60000000000002</v>
      </c>
    </row>
    <row r="477" spans="1:19">
      <c r="A477" s="95" t="s">
        <v>315</v>
      </c>
      <c r="B477" s="24" t="str">
        <f>B228</f>
        <v>-</v>
      </c>
      <c r="C477" s="24" t="str">
        <f>C228</f>
        <v>-</v>
      </c>
      <c r="D477" s="24">
        <f>AVERAGE(D227:D232)</f>
        <v>63.25</v>
      </c>
      <c r="E477" s="24">
        <f t="shared" ref="E477:S477" si="193">AVERAGE(E227:E232)</f>
        <v>865.25</v>
      </c>
      <c r="F477" s="24">
        <f t="shared" si="193"/>
        <v>72.599999999999994</v>
      </c>
      <c r="G477" s="24">
        <f t="shared" si="193"/>
        <v>759</v>
      </c>
      <c r="H477" s="24">
        <f t="shared" si="193"/>
        <v>515.6</v>
      </c>
      <c r="I477" s="24">
        <f t="shared" si="193"/>
        <v>431.4</v>
      </c>
      <c r="J477" s="24" t="str">
        <f>J228</f>
        <v>-</v>
      </c>
      <c r="K477" s="24">
        <f t="shared" si="193"/>
        <v>1974.6666666666667</v>
      </c>
      <c r="M477" s="24">
        <f t="shared" si="193"/>
        <v>2</v>
      </c>
      <c r="N477" s="24">
        <f t="shared" si="193"/>
        <v>230</v>
      </c>
      <c r="O477" s="24">
        <f t="shared" si="193"/>
        <v>523</v>
      </c>
      <c r="P477" s="24">
        <f t="shared" si="193"/>
        <v>262.8</v>
      </c>
      <c r="Q477" s="24">
        <f t="shared" si="193"/>
        <v>26.8</v>
      </c>
      <c r="R477" s="24">
        <f t="shared" si="193"/>
        <v>4.333333333333333</v>
      </c>
      <c r="S477" s="142">
        <f t="shared" si="193"/>
        <v>958.5</v>
      </c>
    </row>
    <row r="478" spans="1:19">
      <c r="A478" s="95">
        <v>2011</v>
      </c>
      <c r="B478" s="24" t="str">
        <f t="shared" ref="B478:K478" si="194">B233</f>
        <v>-</v>
      </c>
      <c r="C478" s="24" t="str">
        <f t="shared" si="194"/>
        <v>-</v>
      </c>
      <c r="D478" s="24">
        <f t="shared" si="194"/>
        <v>148</v>
      </c>
      <c r="E478" s="24">
        <f t="shared" si="194"/>
        <v>24</v>
      </c>
      <c r="F478" s="24">
        <f t="shared" si="194"/>
        <v>7</v>
      </c>
      <c r="G478" s="24">
        <f t="shared" si="194"/>
        <v>328</v>
      </c>
      <c r="H478" s="24">
        <f t="shared" si="194"/>
        <v>196</v>
      </c>
      <c r="I478" s="24">
        <f t="shared" si="194"/>
        <v>233</v>
      </c>
      <c r="J478" s="24" t="str">
        <f t="shared" si="194"/>
        <v>-</v>
      </c>
      <c r="K478" s="24">
        <f t="shared" si="194"/>
        <v>936</v>
      </c>
      <c r="M478" s="24" t="str">
        <f t="shared" ref="M478:S488" si="195">M233</f>
        <v>-</v>
      </c>
      <c r="N478" s="24" t="str">
        <f t="shared" si="195"/>
        <v>-</v>
      </c>
      <c r="O478" s="24">
        <f t="shared" si="195"/>
        <v>12</v>
      </c>
      <c r="P478" s="24">
        <f t="shared" si="195"/>
        <v>8</v>
      </c>
      <c r="Q478" s="24">
        <f t="shared" si="195"/>
        <v>8</v>
      </c>
      <c r="R478" s="24" t="str">
        <f t="shared" si="195"/>
        <v>-</v>
      </c>
      <c r="S478" s="142">
        <f t="shared" si="195"/>
        <v>28</v>
      </c>
    </row>
    <row r="479" spans="1:19">
      <c r="A479" s="95">
        <v>2012</v>
      </c>
      <c r="B479" s="24" t="str">
        <f t="shared" ref="B479:K479" si="196">B234</f>
        <v>-</v>
      </c>
      <c r="C479" s="24" t="str">
        <f t="shared" si="196"/>
        <v>-</v>
      </c>
      <c r="D479" s="24">
        <f t="shared" si="196"/>
        <v>334</v>
      </c>
      <c r="E479" s="24">
        <f t="shared" si="196"/>
        <v>904</v>
      </c>
      <c r="F479" s="24">
        <f t="shared" si="196"/>
        <v>2329</v>
      </c>
      <c r="G479" s="24">
        <f t="shared" si="196"/>
        <v>4014</v>
      </c>
      <c r="H479" s="24">
        <f t="shared" si="196"/>
        <v>1208</v>
      </c>
      <c r="I479" s="24">
        <f t="shared" si="196"/>
        <v>534</v>
      </c>
      <c r="J479" s="24" t="str">
        <f t="shared" si="196"/>
        <v>-</v>
      </c>
      <c r="K479" s="24">
        <f t="shared" si="196"/>
        <v>9323</v>
      </c>
      <c r="M479" s="24" t="str">
        <f t="shared" si="195"/>
        <v>-</v>
      </c>
      <c r="N479" s="24">
        <f t="shared" si="195"/>
        <v>15</v>
      </c>
      <c r="O479" s="24">
        <f t="shared" si="195"/>
        <v>144</v>
      </c>
      <c r="P479" s="24">
        <f t="shared" si="195"/>
        <v>48</v>
      </c>
      <c r="Q479" s="24" t="str">
        <f t="shared" si="195"/>
        <v>-</v>
      </c>
      <c r="R479" s="24">
        <f t="shared" si="195"/>
        <v>2</v>
      </c>
      <c r="S479" s="142">
        <f t="shared" si="195"/>
        <v>209</v>
      </c>
    </row>
    <row r="480" spans="1:19">
      <c r="A480" s="95">
        <v>2013</v>
      </c>
      <c r="B480" s="24" t="str">
        <f t="shared" ref="B480:K480" si="197">B235</f>
        <v>-</v>
      </c>
      <c r="C480" s="24" t="str">
        <f t="shared" si="197"/>
        <v>-</v>
      </c>
      <c r="D480" s="24">
        <f t="shared" si="197"/>
        <v>22</v>
      </c>
      <c r="E480" s="24">
        <f t="shared" si="197"/>
        <v>1815</v>
      </c>
      <c r="F480" s="24">
        <f t="shared" si="197"/>
        <v>4942</v>
      </c>
      <c r="G480" s="24">
        <f t="shared" si="197"/>
        <v>2836</v>
      </c>
      <c r="H480" s="24">
        <f t="shared" si="197"/>
        <v>20</v>
      </c>
      <c r="I480" s="24">
        <f t="shared" si="197"/>
        <v>814</v>
      </c>
      <c r="J480" s="24" t="str">
        <f t="shared" si="197"/>
        <v>-</v>
      </c>
      <c r="K480" s="24">
        <f t="shared" si="197"/>
        <v>10449</v>
      </c>
      <c r="M480" s="24" t="str">
        <f t="shared" si="195"/>
        <v>-</v>
      </c>
      <c r="N480" s="24">
        <f t="shared" si="195"/>
        <v>8</v>
      </c>
      <c r="O480" s="24">
        <f t="shared" si="195"/>
        <v>302</v>
      </c>
      <c r="P480" s="24">
        <f t="shared" si="195"/>
        <v>123</v>
      </c>
      <c r="Q480" s="24" t="str">
        <f t="shared" si="195"/>
        <v>-</v>
      </c>
      <c r="R480" s="24">
        <f t="shared" si="195"/>
        <v>6</v>
      </c>
      <c r="S480" s="142">
        <f t="shared" si="195"/>
        <v>439</v>
      </c>
    </row>
    <row r="481" spans="1:19">
      <c r="A481" s="95">
        <v>2014</v>
      </c>
      <c r="B481" s="24" t="str">
        <f t="shared" ref="B481:K481" si="198">B236</f>
        <v>-</v>
      </c>
      <c r="C481" s="24" t="str">
        <f t="shared" si="198"/>
        <v>-</v>
      </c>
      <c r="D481" s="24">
        <f t="shared" si="198"/>
        <v>817</v>
      </c>
      <c r="E481" s="24">
        <f t="shared" si="198"/>
        <v>477</v>
      </c>
      <c r="F481" s="24">
        <f t="shared" si="198"/>
        <v>3341</v>
      </c>
      <c r="G481" s="24">
        <f t="shared" si="198"/>
        <v>1053</v>
      </c>
      <c r="H481" s="24">
        <f t="shared" si="198"/>
        <v>16</v>
      </c>
      <c r="I481" s="24">
        <f t="shared" si="198"/>
        <v>1115</v>
      </c>
      <c r="J481" s="24" t="str">
        <f t="shared" si="198"/>
        <v>-</v>
      </c>
      <c r="K481" s="24">
        <f t="shared" si="198"/>
        <v>6819</v>
      </c>
      <c r="M481" s="24">
        <f t="shared" si="195"/>
        <v>3</v>
      </c>
      <c r="N481" s="24">
        <f t="shared" si="195"/>
        <v>31</v>
      </c>
      <c r="O481" s="24">
        <f t="shared" si="195"/>
        <v>528</v>
      </c>
      <c r="P481" s="24">
        <f t="shared" si="195"/>
        <v>5</v>
      </c>
      <c r="Q481" s="24" t="str">
        <f t="shared" si="195"/>
        <v>-</v>
      </c>
      <c r="R481" s="24" t="str">
        <f t="shared" si="195"/>
        <v>-</v>
      </c>
      <c r="S481" s="142">
        <f t="shared" si="195"/>
        <v>567</v>
      </c>
    </row>
    <row r="482" spans="1:19">
      <c r="A482" s="95">
        <v>2015</v>
      </c>
      <c r="B482" s="24" t="str">
        <f t="shared" ref="B482:K482" si="199">B237</f>
        <v>-</v>
      </c>
      <c r="C482" s="24" t="str">
        <f t="shared" si="199"/>
        <v>-</v>
      </c>
      <c r="D482" s="24">
        <f t="shared" si="199"/>
        <v>30</v>
      </c>
      <c r="E482" s="24">
        <f t="shared" si="199"/>
        <v>97</v>
      </c>
      <c r="F482" s="24">
        <f t="shared" si="199"/>
        <v>149</v>
      </c>
      <c r="G482" s="24">
        <f t="shared" si="199"/>
        <v>47</v>
      </c>
      <c r="H482" s="24">
        <f t="shared" si="199"/>
        <v>69</v>
      </c>
      <c r="I482" s="24">
        <f t="shared" si="199"/>
        <v>792</v>
      </c>
      <c r="J482" s="24" t="str">
        <f t="shared" si="199"/>
        <v>-</v>
      </c>
      <c r="K482" s="24">
        <f t="shared" si="199"/>
        <v>1184</v>
      </c>
      <c r="M482" s="24" t="str">
        <f t="shared" si="195"/>
        <v>-</v>
      </c>
      <c r="N482" s="24">
        <f t="shared" si="195"/>
        <v>5</v>
      </c>
      <c r="O482" s="24">
        <f t="shared" si="195"/>
        <v>118</v>
      </c>
      <c r="P482" s="24">
        <f t="shared" si="195"/>
        <v>5</v>
      </c>
      <c r="Q482" s="24">
        <f t="shared" si="195"/>
        <v>4</v>
      </c>
      <c r="R482" s="24">
        <f t="shared" si="195"/>
        <v>6</v>
      </c>
      <c r="S482" s="142">
        <f t="shared" si="195"/>
        <v>138</v>
      </c>
    </row>
    <row r="483" spans="1:19">
      <c r="A483" s="95">
        <v>2016</v>
      </c>
      <c r="B483" s="24" t="str">
        <f t="shared" ref="B483:K483" si="200">B238</f>
        <v>-</v>
      </c>
      <c r="C483" s="24" t="str">
        <f t="shared" si="200"/>
        <v>-</v>
      </c>
      <c r="D483" s="24">
        <f t="shared" si="200"/>
        <v>0</v>
      </c>
      <c r="E483" s="24">
        <f t="shared" si="200"/>
        <v>82</v>
      </c>
      <c r="F483" s="24">
        <f t="shared" si="200"/>
        <v>72</v>
      </c>
      <c r="G483" s="24">
        <f t="shared" si="200"/>
        <v>3</v>
      </c>
      <c r="H483" s="24">
        <f t="shared" si="200"/>
        <v>59</v>
      </c>
      <c r="I483" s="24">
        <f t="shared" si="200"/>
        <v>287</v>
      </c>
      <c r="J483" s="24" t="str">
        <f t="shared" si="200"/>
        <v>-</v>
      </c>
      <c r="K483" s="24">
        <f t="shared" si="200"/>
        <v>503</v>
      </c>
      <c r="M483" s="24" t="str">
        <f t="shared" si="195"/>
        <v>-</v>
      </c>
      <c r="N483" s="24">
        <f t="shared" si="195"/>
        <v>11</v>
      </c>
      <c r="O483" s="24">
        <f t="shared" si="195"/>
        <v>36</v>
      </c>
      <c r="P483" s="24">
        <f t="shared" si="195"/>
        <v>3</v>
      </c>
      <c r="Q483" s="24">
        <f t="shared" si="195"/>
        <v>2</v>
      </c>
      <c r="R483" s="24" t="str">
        <f t="shared" si="195"/>
        <v>-</v>
      </c>
      <c r="S483" s="142">
        <f t="shared" si="195"/>
        <v>52</v>
      </c>
    </row>
    <row r="484" spans="1:19">
      <c r="A484" s="95">
        <v>2017</v>
      </c>
      <c r="B484" s="24" t="str">
        <f t="shared" ref="B484:K484" si="201">B239</f>
        <v>-</v>
      </c>
      <c r="C484" s="24" t="str">
        <f t="shared" si="201"/>
        <v>-</v>
      </c>
      <c r="D484" s="24" t="str">
        <f t="shared" si="201"/>
        <v>-</v>
      </c>
      <c r="E484" s="24" t="str">
        <f t="shared" si="201"/>
        <v>-</v>
      </c>
      <c r="F484" s="24" t="str">
        <f t="shared" si="201"/>
        <v>-</v>
      </c>
      <c r="G484" s="24" t="str">
        <f t="shared" si="201"/>
        <v>-</v>
      </c>
      <c r="H484" s="24" t="str">
        <f t="shared" si="201"/>
        <v>-</v>
      </c>
      <c r="I484" s="24">
        <f t="shared" si="201"/>
        <v>506</v>
      </c>
      <c r="J484" s="24" t="str">
        <f t="shared" si="201"/>
        <v>-</v>
      </c>
      <c r="K484" s="24">
        <f t="shared" si="201"/>
        <v>506</v>
      </c>
      <c r="M484" s="24" t="str">
        <f t="shared" si="195"/>
        <v>-</v>
      </c>
      <c r="N484" s="24" t="str">
        <f t="shared" si="195"/>
        <v>-</v>
      </c>
      <c r="O484" s="24" t="str">
        <f t="shared" si="195"/>
        <v>-</v>
      </c>
      <c r="P484" s="24" t="str">
        <f t="shared" si="195"/>
        <v>-</v>
      </c>
      <c r="Q484" s="24" t="str">
        <f t="shared" si="195"/>
        <v>-</v>
      </c>
      <c r="R484" s="24" t="str">
        <f t="shared" si="195"/>
        <v>-</v>
      </c>
      <c r="S484" s="142" t="str">
        <f t="shared" si="195"/>
        <v>-</v>
      </c>
    </row>
    <row r="485" spans="1:19">
      <c r="A485" s="95">
        <v>2018</v>
      </c>
      <c r="B485" s="24" t="str">
        <f t="shared" ref="B485:K485" si="202">B240</f>
        <v>-</v>
      </c>
      <c r="C485" s="24" t="str">
        <f t="shared" si="202"/>
        <v>-</v>
      </c>
      <c r="D485" s="24">
        <f t="shared" si="202"/>
        <v>105</v>
      </c>
      <c r="E485" s="24">
        <f t="shared" si="202"/>
        <v>149</v>
      </c>
      <c r="F485" s="24">
        <f t="shared" si="202"/>
        <v>458</v>
      </c>
      <c r="G485" s="24">
        <f t="shared" si="202"/>
        <v>448</v>
      </c>
      <c r="H485" s="24">
        <f t="shared" si="202"/>
        <v>4</v>
      </c>
      <c r="I485" s="24">
        <f t="shared" si="202"/>
        <v>429</v>
      </c>
      <c r="J485" s="24" t="str">
        <f t="shared" si="202"/>
        <v>-</v>
      </c>
      <c r="K485" s="24">
        <f t="shared" si="202"/>
        <v>1593</v>
      </c>
      <c r="M485" s="24" t="str">
        <f t="shared" si="195"/>
        <v>-</v>
      </c>
      <c r="N485" s="24">
        <f t="shared" si="195"/>
        <v>3</v>
      </c>
      <c r="O485" s="24">
        <f t="shared" si="195"/>
        <v>3</v>
      </c>
      <c r="P485" s="24">
        <f t="shared" si="195"/>
        <v>12</v>
      </c>
      <c r="Q485" s="24" t="str">
        <f t="shared" si="195"/>
        <v>-</v>
      </c>
      <c r="R485" s="24" t="str">
        <f t="shared" si="195"/>
        <v>-</v>
      </c>
      <c r="S485" s="142">
        <f t="shared" si="195"/>
        <v>18</v>
      </c>
    </row>
    <row r="486" spans="1:19">
      <c r="A486" s="95">
        <v>2019</v>
      </c>
      <c r="B486" s="24" t="str">
        <f t="shared" ref="B486:K486" si="203">B241</f>
        <v>-</v>
      </c>
      <c r="C486" s="24" t="str">
        <f t="shared" si="203"/>
        <v>-</v>
      </c>
      <c r="D486" s="24">
        <f t="shared" si="203"/>
        <v>9</v>
      </c>
      <c r="E486" s="24">
        <f t="shared" si="203"/>
        <v>117</v>
      </c>
      <c r="F486" s="24">
        <f t="shared" si="203"/>
        <v>212</v>
      </c>
      <c r="G486" s="24">
        <f t="shared" si="203"/>
        <v>223</v>
      </c>
      <c r="H486" s="24">
        <f t="shared" si="203"/>
        <v>11</v>
      </c>
      <c r="I486" s="24" t="str">
        <f t="shared" si="203"/>
        <v>-</v>
      </c>
      <c r="J486" s="24" t="str">
        <f t="shared" si="203"/>
        <v>-</v>
      </c>
      <c r="K486" s="24">
        <f t="shared" si="203"/>
        <v>572</v>
      </c>
      <c r="M486" s="24" t="str">
        <f t="shared" si="195"/>
        <v>-</v>
      </c>
      <c r="N486" s="24">
        <f t="shared" si="195"/>
        <v>139</v>
      </c>
      <c r="O486" s="24">
        <f t="shared" si="195"/>
        <v>343</v>
      </c>
      <c r="P486" s="24">
        <f t="shared" si="195"/>
        <v>60</v>
      </c>
      <c r="Q486" s="24" t="str">
        <f t="shared" si="195"/>
        <v>-</v>
      </c>
      <c r="R486" s="24" t="str">
        <f t="shared" si="195"/>
        <v>-</v>
      </c>
      <c r="S486" s="142">
        <f t="shared" si="195"/>
        <v>542</v>
      </c>
    </row>
    <row r="487" spans="1:19">
      <c r="A487" s="95">
        <v>2020</v>
      </c>
      <c r="B487" s="24" t="str">
        <f t="shared" ref="B487:K487" si="204">B242</f>
        <v>-</v>
      </c>
      <c r="C487" s="24" t="str">
        <f t="shared" si="204"/>
        <v>-</v>
      </c>
      <c r="D487" s="24" t="str">
        <f t="shared" si="204"/>
        <v>-</v>
      </c>
      <c r="E487" s="24">
        <f t="shared" si="204"/>
        <v>566</v>
      </c>
      <c r="F487" s="24">
        <f t="shared" si="204"/>
        <v>956</v>
      </c>
      <c r="G487" s="24">
        <f t="shared" si="204"/>
        <v>113</v>
      </c>
      <c r="H487" s="24" t="str">
        <f t="shared" si="204"/>
        <v>-</v>
      </c>
      <c r="I487" s="24" t="str">
        <f t="shared" si="204"/>
        <v>-</v>
      </c>
      <c r="J487" s="24" t="str">
        <f t="shared" si="204"/>
        <v>-</v>
      </c>
      <c r="K487" s="24">
        <f t="shared" si="204"/>
        <v>1635</v>
      </c>
      <c r="M487" s="24" t="str">
        <f t="shared" si="195"/>
        <v>-</v>
      </c>
      <c r="N487" s="24" t="str">
        <f t="shared" si="195"/>
        <v>-</v>
      </c>
      <c r="O487" s="24" t="str">
        <f t="shared" si="195"/>
        <v>-</v>
      </c>
      <c r="P487" s="24" t="str">
        <f t="shared" si="195"/>
        <v>-</v>
      </c>
      <c r="Q487" s="24" t="str">
        <f t="shared" si="195"/>
        <v>-</v>
      </c>
      <c r="R487" s="24" t="str">
        <f t="shared" si="195"/>
        <v>-</v>
      </c>
      <c r="S487" s="142" t="str">
        <f t="shared" si="195"/>
        <v>-</v>
      </c>
    </row>
    <row r="488" spans="1:19" ht="13">
      <c r="A488" s="95" t="s">
        <v>317</v>
      </c>
      <c r="B488" s="24" t="str">
        <f t="shared" ref="B488:K488" si="205">B243</f>
        <v>-</v>
      </c>
      <c r="C488" s="24" t="str">
        <f t="shared" si="205"/>
        <v>-</v>
      </c>
      <c r="D488" s="24" t="str">
        <f t="shared" si="205"/>
        <v>-</v>
      </c>
      <c r="E488" s="24">
        <f t="shared" si="205"/>
        <v>248</v>
      </c>
      <c r="F488" s="24">
        <f t="shared" si="205"/>
        <v>469</v>
      </c>
      <c r="G488" s="24">
        <f t="shared" si="205"/>
        <v>178</v>
      </c>
      <c r="H488" s="24" t="str">
        <f t="shared" si="205"/>
        <v>-</v>
      </c>
      <c r="I488" s="24" t="str">
        <f t="shared" si="205"/>
        <v>-</v>
      </c>
      <c r="J488" s="24" t="str">
        <f t="shared" si="205"/>
        <v>-</v>
      </c>
      <c r="K488" s="24">
        <f t="shared" si="205"/>
        <v>895</v>
      </c>
      <c r="M488" s="24" t="str">
        <f t="shared" si="195"/>
        <v>-</v>
      </c>
      <c r="N488" s="24">
        <f t="shared" si="195"/>
        <v>450</v>
      </c>
      <c r="O488" s="24">
        <f t="shared" si="195"/>
        <v>121</v>
      </c>
      <c r="P488" s="24">
        <f t="shared" si="195"/>
        <v>195</v>
      </c>
      <c r="Q488" s="24" t="str">
        <f t="shared" si="195"/>
        <v>-</v>
      </c>
      <c r="R488" s="24" t="str">
        <f t="shared" si="195"/>
        <v>-</v>
      </c>
      <c r="S488" s="142">
        <f t="shared" si="195"/>
        <v>766</v>
      </c>
    </row>
    <row r="489" spans="1:19">
      <c r="A489" s="99"/>
      <c r="B489" s="24"/>
      <c r="C489" s="24"/>
      <c r="D489" s="24"/>
      <c r="E489" s="24"/>
      <c r="F489" s="24"/>
      <c r="G489" s="24"/>
      <c r="H489" s="24"/>
      <c r="I489" s="24"/>
      <c r="J489" s="24"/>
      <c r="K489" s="24"/>
      <c r="M489" s="24"/>
      <c r="N489" s="24"/>
      <c r="O489" s="24"/>
      <c r="P489" s="24"/>
      <c r="Q489" s="24"/>
      <c r="R489" s="24"/>
      <c r="S489" s="142"/>
    </row>
    <row r="490" spans="1:19">
      <c r="A490" s="248" t="s">
        <v>44</v>
      </c>
      <c r="B490" s="24"/>
      <c r="C490" s="24"/>
      <c r="D490" s="24"/>
      <c r="E490" s="24"/>
      <c r="F490" s="24"/>
      <c r="G490" s="24"/>
      <c r="H490" s="24"/>
      <c r="I490" s="24"/>
      <c r="J490" s="24"/>
      <c r="K490" s="24"/>
      <c r="M490" s="24"/>
      <c r="N490" s="24"/>
      <c r="O490" s="24"/>
      <c r="P490" s="24"/>
      <c r="Q490" s="24"/>
      <c r="R490" s="24"/>
      <c r="S490" s="142"/>
    </row>
    <row r="491" spans="1:19">
      <c r="A491" s="99" t="s">
        <v>24</v>
      </c>
      <c r="B491" s="24" t="s">
        <v>23</v>
      </c>
      <c r="C491" s="24" t="s">
        <v>23</v>
      </c>
      <c r="D491" s="24">
        <f t="shared" ref="D491:K491" si="206">AVERAGE(D251:D255)</f>
        <v>908</v>
      </c>
      <c r="E491" s="24">
        <f t="shared" si="206"/>
        <v>2071.1999999999998</v>
      </c>
      <c r="F491" s="24">
        <f t="shared" si="206"/>
        <v>15489</v>
      </c>
      <c r="G491" s="24">
        <f t="shared" si="206"/>
        <v>7703.2</v>
      </c>
      <c r="H491" s="24">
        <f t="shared" si="206"/>
        <v>1207.5999999999999</v>
      </c>
      <c r="I491" s="24">
        <f t="shared" si="206"/>
        <v>515.6</v>
      </c>
      <c r="J491" s="24">
        <f t="shared" si="206"/>
        <v>8.6</v>
      </c>
      <c r="K491" s="24">
        <f t="shared" si="206"/>
        <v>27721.599999999999</v>
      </c>
      <c r="M491" s="24">
        <f t="shared" ref="M491:S491" si="207">AVERAGE(M251:M255)</f>
        <v>1987.5</v>
      </c>
      <c r="N491" s="24">
        <f t="shared" si="207"/>
        <v>21111.666666666668</v>
      </c>
      <c r="O491" s="24">
        <f t="shared" si="207"/>
        <v>70167</v>
      </c>
      <c r="P491" s="24">
        <f t="shared" si="207"/>
        <v>43292</v>
      </c>
      <c r="Q491" s="24">
        <f t="shared" si="207"/>
        <v>4870.25</v>
      </c>
      <c r="R491" s="24">
        <f t="shared" si="207"/>
        <v>4</v>
      </c>
      <c r="S491" s="142">
        <f t="shared" si="207"/>
        <v>131613</v>
      </c>
    </row>
    <row r="492" spans="1:19">
      <c r="A492" s="99" t="s">
        <v>78</v>
      </c>
      <c r="B492" s="24" t="s">
        <v>23</v>
      </c>
      <c r="C492" s="24" t="s">
        <v>23</v>
      </c>
      <c r="D492" s="24">
        <f t="shared" ref="D492:I492" si="208">AVERAGE(D256:D260)</f>
        <v>535</v>
      </c>
      <c r="E492" s="24">
        <f t="shared" si="208"/>
        <v>7125</v>
      </c>
      <c r="F492" s="24">
        <f t="shared" si="208"/>
        <v>14273.6</v>
      </c>
      <c r="G492" s="24">
        <f t="shared" si="208"/>
        <v>8109.2</v>
      </c>
      <c r="H492" s="24">
        <f t="shared" si="208"/>
        <v>3075.4</v>
      </c>
      <c r="I492" s="24">
        <f t="shared" si="208"/>
        <v>348.8</v>
      </c>
      <c r="J492" s="210" t="s">
        <v>106</v>
      </c>
      <c r="K492" s="24">
        <f>AVERAGE(K256:K260)</f>
        <v>33467</v>
      </c>
      <c r="M492" s="24">
        <f t="shared" ref="M492:S492" si="209">AVERAGE(M256:M260)</f>
        <v>1259.2</v>
      </c>
      <c r="N492" s="24">
        <f t="shared" si="209"/>
        <v>25210.400000000001</v>
      </c>
      <c r="O492" s="24">
        <f t="shared" si="209"/>
        <v>108918.39999999999</v>
      </c>
      <c r="P492" s="24">
        <f t="shared" si="209"/>
        <v>48810.6</v>
      </c>
      <c r="Q492" s="24">
        <f t="shared" si="209"/>
        <v>5925.8</v>
      </c>
      <c r="R492" s="24">
        <f t="shared" si="209"/>
        <v>15.5</v>
      </c>
      <c r="S492" s="142">
        <f t="shared" si="209"/>
        <v>190130.6</v>
      </c>
    </row>
    <row r="493" spans="1:19">
      <c r="A493" s="99" t="s">
        <v>10</v>
      </c>
      <c r="B493" s="24" t="s">
        <v>23</v>
      </c>
      <c r="C493" s="24" t="s">
        <v>23</v>
      </c>
      <c r="D493" s="24">
        <f t="shared" ref="D493:K493" si="210">AVERAGE(D261:D265)</f>
        <v>798.4</v>
      </c>
      <c r="E493" s="24">
        <f t="shared" si="210"/>
        <v>2349</v>
      </c>
      <c r="F493" s="24">
        <f t="shared" si="210"/>
        <v>4518.333333333333</v>
      </c>
      <c r="G493" s="24">
        <f t="shared" si="210"/>
        <v>843.8</v>
      </c>
      <c r="H493" s="24">
        <f t="shared" si="210"/>
        <v>1004.4</v>
      </c>
      <c r="I493" s="24">
        <f t="shared" si="210"/>
        <v>1023.8</v>
      </c>
      <c r="J493" s="24">
        <f t="shared" si="210"/>
        <v>28</v>
      </c>
      <c r="K493" s="24">
        <f t="shared" si="210"/>
        <v>8747.2000000000007</v>
      </c>
      <c r="M493" s="24">
        <f t="shared" ref="M493:S493" si="211">AVERAGE(M261:M265)</f>
        <v>554.33333333333337</v>
      </c>
      <c r="N493" s="24">
        <f t="shared" si="211"/>
        <v>19074.75</v>
      </c>
      <c r="O493" s="24">
        <f t="shared" si="211"/>
        <v>92885.333333333328</v>
      </c>
      <c r="P493" s="24">
        <f t="shared" si="211"/>
        <v>11088.2</v>
      </c>
      <c r="Q493" s="24">
        <f t="shared" si="211"/>
        <v>1662.6</v>
      </c>
      <c r="R493" s="24">
        <f t="shared" si="211"/>
        <v>2.5</v>
      </c>
      <c r="S493" s="142">
        <f t="shared" si="211"/>
        <v>84075.4</v>
      </c>
    </row>
    <row r="494" spans="1:19">
      <c r="A494" s="99" t="s">
        <v>144</v>
      </c>
      <c r="B494" s="24" t="s">
        <v>23</v>
      </c>
      <c r="C494" s="24" t="s">
        <v>23</v>
      </c>
      <c r="D494" s="24">
        <f t="shared" ref="D494:K494" si="212">AVERAGE(D266:D270)</f>
        <v>434</v>
      </c>
      <c r="E494" s="24">
        <f t="shared" si="212"/>
        <v>1003.8</v>
      </c>
      <c r="F494" s="24">
        <f t="shared" si="212"/>
        <v>2911.2</v>
      </c>
      <c r="G494" s="24">
        <f t="shared" si="212"/>
        <v>4132</v>
      </c>
      <c r="H494" s="24">
        <f t="shared" si="212"/>
        <v>1127.5999999999999</v>
      </c>
      <c r="I494" s="24">
        <f t="shared" si="212"/>
        <v>1204.2</v>
      </c>
      <c r="J494" s="24">
        <f t="shared" si="212"/>
        <v>14.2</v>
      </c>
      <c r="K494" s="24">
        <f t="shared" si="212"/>
        <v>10828.2</v>
      </c>
      <c r="M494" s="24">
        <f t="shared" ref="M494:S494" si="213">AVERAGE(M266:M270)</f>
        <v>17</v>
      </c>
      <c r="N494" s="24">
        <f t="shared" si="213"/>
        <v>11</v>
      </c>
      <c r="O494" s="24">
        <f t="shared" si="213"/>
        <v>5092</v>
      </c>
      <c r="P494" s="24">
        <f t="shared" si="213"/>
        <v>74.2</v>
      </c>
      <c r="Q494" s="24">
        <f t="shared" si="213"/>
        <v>18.399999999999999</v>
      </c>
      <c r="R494" s="24">
        <f t="shared" si="213"/>
        <v>7.5</v>
      </c>
      <c r="S494" s="142">
        <f t="shared" si="213"/>
        <v>5202.8</v>
      </c>
    </row>
    <row r="495" spans="1:19">
      <c r="A495" s="95" t="s">
        <v>166</v>
      </c>
      <c r="B495" s="24">
        <f t="shared" ref="B495:K495" si="214">AVERAGE(B271:B275)</f>
        <v>3.3333333333333335</v>
      </c>
      <c r="C495" s="24">
        <f t="shared" si="214"/>
        <v>61</v>
      </c>
      <c r="D495" s="24">
        <f t="shared" si="214"/>
        <v>760.6</v>
      </c>
      <c r="E495" s="24">
        <f t="shared" si="214"/>
        <v>5358.2</v>
      </c>
      <c r="F495" s="24">
        <f t="shared" si="214"/>
        <v>13859.8</v>
      </c>
      <c r="G495" s="24">
        <f t="shared" si="214"/>
        <v>9763.6</v>
      </c>
      <c r="H495" s="24">
        <f t="shared" si="214"/>
        <v>5594.8</v>
      </c>
      <c r="I495" s="24">
        <f t="shared" si="214"/>
        <v>1807.2</v>
      </c>
      <c r="J495" s="24">
        <f t="shared" si="214"/>
        <v>31.2</v>
      </c>
      <c r="K495" s="24">
        <f t="shared" si="214"/>
        <v>37238.400000000001</v>
      </c>
      <c r="L495" s="24"/>
      <c r="M495" s="24">
        <f t="shared" ref="M495:S495" si="215">AVERAGE(M271:M275)</f>
        <v>9</v>
      </c>
      <c r="N495" s="24">
        <f t="shared" si="215"/>
        <v>6560.2</v>
      </c>
      <c r="O495" s="24">
        <f t="shared" si="215"/>
        <v>28148.6</v>
      </c>
      <c r="P495" s="24">
        <f t="shared" si="215"/>
        <v>7939.8</v>
      </c>
      <c r="Q495" s="24">
        <f t="shared" si="215"/>
        <v>177.4</v>
      </c>
      <c r="R495" s="24">
        <f t="shared" si="215"/>
        <v>24.75</v>
      </c>
      <c r="S495" s="142">
        <f t="shared" si="215"/>
        <v>42851.199999999997</v>
      </c>
    </row>
    <row r="496" spans="1:19">
      <c r="A496" s="95" t="s">
        <v>315</v>
      </c>
      <c r="B496" s="24">
        <f>AVERAGE(B276:B280)</f>
        <v>2.5</v>
      </c>
      <c r="C496" s="24">
        <f t="shared" ref="C496:S496" si="216">AVERAGE(C276:C280)</f>
        <v>2</v>
      </c>
      <c r="D496" s="24">
        <f t="shared" si="216"/>
        <v>96</v>
      </c>
      <c r="E496" s="24">
        <f t="shared" si="216"/>
        <v>315.39999999999998</v>
      </c>
      <c r="F496" s="24">
        <f t="shared" si="216"/>
        <v>1059</v>
      </c>
      <c r="G496" s="24">
        <f t="shared" si="216"/>
        <v>1052.5999999999999</v>
      </c>
      <c r="H496" s="24">
        <f t="shared" si="216"/>
        <v>930</v>
      </c>
      <c r="I496" s="24">
        <f t="shared" si="216"/>
        <v>960</v>
      </c>
      <c r="J496" s="24">
        <f t="shared" si="216"/>
        <v>32.5</v>
      </c>
      <c r="K496" s="24">
        <f t="shared" si="216"/>
        <v>4389.3999999999996</v>
      </c>
      <c r="L496" s="24"/>
      <c r="M496" s="24">
        <f t="shared" si="216"/>
        <v>2</v>
      </c>
      <c r="N496" s="24">
        <f t="shared" si="216"/>
        <v>2452.1999999999998</v>
      </c>
      <c r="O496" s="24">
        <f t="shared" si="216"/>
        <v>14740</v>
      </c>
      <c r="P496" s="24">
        <f t="shared" si="216"/>
        <v>11109.4</v>
      </c>
      <c r="Q496" s="24">
        <f t="shared" si="216"/>
        <v>631.20000000000005</v>
      </c>
      <c r="R496" s="24">
        <f t="shared" si="216"/>
        <v>5.5</v>
      </c>
      <c r="S496" s="142">
        <f t="shared" si="216"/>
        <v>28938</v>
      </c>
    </row>
    <row r="497" spans="1:20">
      <c r="A497" s="95">
        <v>2011</v>
      </c>
      <c r="B497" s="24">
        <f t="shared" ref="B497:K497" si="217">B281</f>
        <v>0</v>
      </c>
      <c r="C497" s="24">
        <f t="shared" si="217"/>
        <v>7</v>
      </c>
      <c r="D497" s="24">
        <f t="shared" si="217"/>
        <v>204</v>
      </c>
      <c r="E497" s="24">
        <f t="shared" si="217"/>
        <v>185</v>
      </c>
      <c r="F497" s="24">
        <f t="shared" si="217"/>
        <v>500</v>
      </c>
      <c r="G497" s="24">
        <f t="shared" si="217"/>
        <v>951</v>
      </c>
      <c r="H497" s="24">
        <f t="shared" si="217"/>
        <v>1252</v>
      </c>
      <c r="I497" s="24">
        <f t="shared" si="217"/>
        <v>440</v>
      </c>
      <c r="J497" s="24">
        <f t="shared" si="217"/>
        <v>6</v>
      </c>
      <c r="K497" s="24">
        <f t="shared" si="217"/>
        <v>3545</v>
      </c>
      <c r="M497" s="24" t="str">
        <f t="shared" ref="M497:S505" si="218">M281</f>
        <v>-</v>
      </c>
      <c r="N497" s="24">
        <f t="shared" si="218"/>
        <v>556</v>
      </c>
      <c r="O497" s="24">
        <f t="shared" si="218"/>
        <v>3580</v>
      </c>
      <c r="P497" s="24">
        <f t="shared" si="218"/>
        <v>2019</v>
      </c>
      <c r="Q497" s="24">
        <f t="shared" si="218"/>
        <v>6631</v>
      </c>
      <c r="R497" s="24" t="str">
        <f t="shared" si="218"/>
        <v>-</v>
      </c>
      <c r="S497" s="142">
        <f t="shared" si="218"/>
        <v>12786</v>
      </c>
    </row>
    <row r="498" spans="1:20">
      <c r="A498" s="95">
        <v>2012</v>
      </c>
      <c r="B498" s="24">
        <f t="shared" ref="B498:K498" si="219">B282</f>
        <v>21</v>
      </c>
      <c r="C498" s="24">
        <f t="shared" si="219"/>
        <v>108</v>
      </c>
      <c r="D498" s="24">
        <f t="shared" si="219"/>
        <v>864</v>
      </c>
      <c r="E498" s="24">
        <f t="shared" si="219"/>
        <v>1591</v>
      </c>
      <c r="F498" s="24">
        <f t="shared" si="219"/>
        <v>3187</v>
      </c>
      <c r="G498" s="24">
        <f t="shared" si="219"/>
        <v>6272</v>
      </c>
      <c r="H498" s="24">
        <f t="shared" si="219"/>
        <v>3999</v>
      </c>
      <c r="I498" s="24">
        <f t="shared" si="219"/>
        <v>1040</v>
      </c>
      <c r="J498" s="24">
        <f t="shared" si="219"/>
        <v>8</v>
      </c>
      <c r="K498" s="24">
        <f t="shared" si="219"/>
        <v>17090</v>
      </c>
      <c r="M498" s="24" t="str">
        <f t="shared" si="218"/>
        <v>-</v>
      </c>
      <c r="N498" s="24">
        <f t="shared" si="218"/>
        <v>70</v>
      </c>
      <c r="O498" s="24">
        <f t="shared" si="218"/>
        <v>2395</v>
      </c>
      <c r="P498" s="24">
        <f t="shared" si="218"/>
        <v>4975</v>
      </c>
      <c r="Q498" s="24">
        <f t="shared" si="218"/>
        <v>6965</v>
      </c>
      <c r="R498" s="24">
        <f t="shared" si="218"/>
        <v>2</v>
      </c>
      <c r="S498" s="142">
        <f t="shared" si="218"/>
        <v>14407</v>
      </c>
    </row>
    <row r="499" spans="1:20">
      <c r="A499" s="95">
        <v>2013</v>
      </c>
      <c r="B499" s="24">
        <f t="shared" ref="B499:K499" si="220">B283</f>
        <v>257</v>
      </c>
      <c r="C499" s="24">
        <f t="shared" si="220"/>
        <v>196</v>
      </c>
      <c r="D499" s="24">
        <f t="shared" si="220"/>
        <v>213</v>
      </c>
      <c r="E499" s="24">
        <f t="shared" si="220"/>
        <v>3212</v>
      </c>
      <c r="F499" s="24">
        <f t="shared" si="220"/>
        <v>6419</v>
      </c>
      <c r="G499" s="24">
        <f t="shared" si="220"/>
        <v>14722</v>
      </c>
      <c r="H499" s="24">
        <f t="shared" si="220"/>
        <v>1691</v>
      </c>
      <c r="I499" s="24">
        <f t="shared" si="220"/>
        <v>1606</v>
      </c>
      <c r="J499" s="24" t="str">
        <f t="shared" si="220"/>
        <v>--</v>
      </c>
      <c r="K499" s="24">
        <f t="shared" si="220"/>
        <v>28316</v>
      </c>
      <c r="M499" s="24" t="str">
        <f t="shared" si="218"/>
        <v>-</v>
      </c>
      <c r="N499" s="24">
        <f t="shared" si="218"/>
        <v>17</v>
      </c>
      <c r="O499" s="24">
        <f t="shared" si="218"/>
        <v>5050</v>
      </c>
      <c r="P499" s="24">
        <f t="shared" si="218"/>
        <v>2773</v>
      </c>
      <c r="Q499" s="24">
        <f t="shared" si="218"/>
        <v>2658</v>
      </c>
      <c r="R499" s="24">
        <f t="shared" si="218"/>
        <v>25</v>
      </c>
      <c r="S499" s="142">
        <f t="shared" si="218"/>
        <v>10523</v>
      </c>
    </row>
    <row r="500" spans="1:20">
      <c r="A500" s="95">
        <v>2014</v>
      </c>
      <c r="B500" s="24">
        <f t="shared" ref="B500:K500" si="221">B284</f>
        <v>10</v>
      </c>
      <c r="C500" s="24">
        <f t="shared" si="221"/>
        <v>32</v>
      </c>
      <c r="D500" s="24">
        <f t="shared" si="221"/>
        <v>1083</v>
      </c>
      <c r="E500" s="24">
        <f t="shared" si="221"/>
        <v>1303</v>
      </c>
      <c r="F500" s="24">
        <f t="shared" si="221"/>
        <v>6314</v>
      </c>
      <c r="G500" s="24">
        <f t="shared" si="221"/>
        <v>4294</v>
      </c>
      <c r="H500" s="24">
        <f t="shared" si="221"/>
        <v>1886</v>
      </c>
      <c r="I500" s="24">
        <f t="shared" si="221"/>
        <v>1252</v>
      </c>
      <c r="J500" s="24" t="str">
        <f t="shared" si="221"/>
        <v>--</v>
      </c>
      <c r="K500" s="24">
        <f t="shared" si="221"/>
        <v>16174</v>
      </c>
      <c r="M500" s="24">
        <f t="shared" si="218"/>
        <v>4</v>
      </c>
      <c r="N500" s="24">
        <f t="shared" si="218"/>
        <v>3561</v>
      </c>
      <c r="O500" s="24">
        <f t="shared" si="218"/>
        <v>33379</v>
      </c>
      <c r="P500" s="24">
        <f t="shared" si="218"/>
        <v>19280</v>
      </c>
      <c r="Q500" s="24">
        <f t="shared" si="218"/>
        <v>26494</v>
      </c>
      <c r="R500" s="24">
        <f t="shared" si="218"/>
        <v>49</v>
      </c>
      <c r="S500" s="142">
        <f t="shared" si="218"/>
        <v>82767</v>
      </c>
    </row>
    <row r="501" spans="1:20">
      <c r="A501" s="95">
        <v>2015</v>
      </c>
      <c r="B501" s="24">
        <f t="shared" ref="B501:K501" si="222">B285</f>
        <v>30</v>
      </c>
      <c r="C501" s="24">
        <f t="shared" si="222"/>
        <v>8</v>
      </c>
      <c r="D501" s="24">
        <f t="shared" si="222"/>
        <v>181</v>
      </c>
      <c r="E501" s="24">
        <f t="shared" si="222"/>
        <v>364</v>
      </c>
      <c r="F501" s="24">
        <f t="shared" si="222"/>
        <v>550</v>
      </c>
      <c r="G501" s="24">
        <f t="shared" si="222"/>
        <v>423</v>
      </c>
      <c r="H501" s="24">
        <f t="shared" si="222"/>
        <v>2883</v>
      </c>
      <c r="I501" s="24">
        <f t="shared" si="222"/>
        <v>2246</v>
      </c>
      <c r="J501" s="24" t="str">
        <f t="shared" si="222"/>
        <v>--</v>
      </c>
      <c r="K501" s="24">
        <f t="shared" si="222"/>
        <v>6685</v>
      </c>
      <c r="M501" s="24" t="str">
        <f t="shared" si="218"/>
        <v>-</v>
      </c>
      <c r="N501" s="24">
        <f t="shared" si="218"/>
        <v>463</v>
      </c>
      <c r="O501" s="24">
        <f t="shared" si="218"/>
        <v>11959</v>
      </c>
      <c r="P501" s="24">
        <f t="shared" si="218"/>
        <v>2562</v>
      </c>
      <c r="Q501" s="24">
        <f t="shared" si="218"/>
        <v>4430</v>
      </c>
      <c r="R501" s="24">
        <f t="shared" si="218"/>
        <v>28</v>
      </c>
      <c r="S501" s="142">
        <f t="shared" si="218"/>
        <v>19442</v>
      </c>
      <c r="T501" s="144"/>
    </row>
    <row r="502" spans="1:20">
      <c r="A502" s="95">
        <v>2016</v>
      </c>
      <c r="B502" s="24">
        <f t="shared" ref="B502:K502" si="223">B286</f>
        <v>32</v>
      </c>
      <c r="C502" s="24">
        <f t="shared" si="223"/>
        <v>9</v>
      </c>
      <c r="D502" s="24">
        <f t="shared" si="223"/>
        <v>128</v>
      </c>
      <c r="E502" s="24">
        <f t="shared" si="223"/>
        <v>319</v>
      </c>
      <c r="F502" s="24">
        <f t="shared" si="223"/>
        <v>310</v>
      </c>
      <c r="G502" s="24">
        <f t="shared" si="223"/>
        <v>695</v>
      </c>
      <c r="H502" s="24">
        <f t="shared" si="223"/>
        <v>1199</v>
      </c>
      <c r="I502" s="24">
        <f t="shared" si="223"/>
        <v>363</v>
      </c>
      <c r="J502" s="24" t="str">
        <f t="shared" si="223"/>
        <v>--</v>
      </c>
      <c r="K502" s="24">
        <f t="shared" si="223"/>
        <v>3055</v>
      </c>
      <c r="M502" s="24" t="str">
        <f t="shared" si="218"/>
        <v>-</v>
      </c>
      <c r="N502" s="24">
        <f t="shared" si="218"/>
        <v>256</v>
      </c>
      <c r="O502" s="24">
        <f t="shared" si="218"/>
        <v>1216</v>
      </c>
      <c r="P502" s="24">
        <f t="shared" si="218"/>
        <v>82</v>
      </c>
      <c r="Q502" s="24">
        <f t="shared" si="218"/>
        <v>4180</v>
      </c>
      <c r="R502" s="24">
        <f t="shared" si="218"/>
        <v>22</v>
      </c>
      <c r="S502" s="142">
        <f t="shared" si="218"/>
        <v>5756</v>
      </c>
      <c r="T502" s="144"/>
    </row>
    <row r="503" spans="1:20">
      <c r="A503" s="95">
        <v>2017</v>
      </c>
      <c r="B503" s="24">
        <f t="shared" ref="B503:K503" si="224">B287</f>
        <v>0</v>
      </c>
      <c r="C503" s="24">
        <f t="shared" si="224"/>
        <v>6</v>
      </c>
      <c r="D503" s="24">
        <f t="shared" si="224"/>
        <v>89</v>
      </c>
      <c r="E503" s="24">
        <f t="shared" si="224"/>
        <v>139</v>
      </c>
      <c r="F503" s="24">
        <f t="shared" si="224"/>
        <v>508</v>
      </c>
      <c r="G503" s="24">
        <f t="shared" si="224"/>
        <v>807</v>
      </c>
      <c r="H503" s="24">
        <f t="shared" si="224"/>
        <v>592</v>
      </c>
      <c r="I503" s="24">
        <f t="shared" si="224"/>
        <v>545</v>
      </c>
      <c r="J503" s="24" t="str">
        <f t="shared" si="224"/>
        <v>--</v>
      </c>
      <c r="K503" s="24">
        <f t="shared" si="224"/>
        <v>2686</v>
      </c>
      <c r="M503" s="24" t="str">
        <f t="shared" si="218"/>
        <v>-</v>
      </c>
      <c r="N503" s="24">
        <f t="shared" si="218"/>
        <v>363</v>
      </c>
      <c r="O503" s="24">
        <f t="shared" si="218"/>
        <v>5772</v>
      </c>
      <c r="P503" s="24">
        <f t="shared" si="218"/>
        <v>3940</v>
      </c>
      <c r="Q503" s="24">
        <f t="shared" si="218"/>
        <v>4590</v>
      </c>
      <c r="R503" s="24" t="str">
        <f t="shared" si="218"/>
        <v>-</v>
      </c>
      <c r="S503" s="142">
        <f t="shared" si="218"/>
        <v>14665</v>
      </c>
      <c r="T503" s="144"/>
    </row>
    <row r="504" spans="1:20">
      <c r="A504" s="95">
        <v>2018</v>
      </c>
      <c r="B504" s="24">
        <f t="shared" ref="B504:K504" si="225">B288</f>
        <v>0</v>
      </c>
      <c r="C504" s="24">
        <f t="shared" si="225"/>
        <v>4</v>
      </c>
      <c r="D504" s="24">
        <f t="shared" si="225"/>
        <v>153</v>
      </c>
      <c r="E504" s="24">
        <f t="shared" si="225"/>
        <v>288</v>
      </c>
      <c r="F504" s="24">
        <f t="shared" si="225"/>
        <v>1113</v>
      </c>
      <c r="G504" s="24">
        <f t="shared" si="225"/>
        <v>1615</v>
      </c>
      <c r="H504" s="24">
        <f t="shared" si="225"/>
        <v>625</v>
      </c>
      <c r="I504" s="24">
        <f t="shared" si="225"/>
        <v>503</v>
      </c>
      <c r="J504" s="24" t="str">
        <f t="shared" si="225"/>
        <v>--</v>
      </c>
      <c r="K504" s="24">
        <f t="shared" si="225"/>
        <v>4301</v>
      </c>
      <c r="M504" s="24" t="str">
        <f t="shared" si="218"/>
        <v>-</v>
      </c>
      <c r="N504" s="24">
        <f t="shared" si="218"/>
        <v>34</v>
      </c>
      <c r="O504" s="24">
        <f t="shared" si="218"/>
        <v>2981</v>
      </c>
      <c r="P504" s="24">
        <f t="shared" si="218"/>
        <v>8593</v>
      </c>
      <c r="Q504" s="24">
        <f t="shared" si="218"/>
        <v>6936</v>
      </c>
      <c r="R504" s="24" t="str">
        <f t="shared" si="218"/>
        <v>-</v>
      </c>
      <c r="S504" s="142">
        <f t="shared" si="218"/>
        <v>18544</v>
      </c>
      <c r="T504" s="144"/>
    </row>
    <row r="505" spans="1:20">
      <c r="A505" s="95">
        <v>2019</v>
      </c>
      <c r="B505" s="24">
        <f t="shared" ref="B505:K505" si="226">B289</f>
        <v>10</v>
      </c>
      <c r="C505" s="24">
        <f t="shared" si="226"/>
        <v>3</v>
      </c>
      <c r="D505" s="24">
        <f t="shared" si="226"/>
        <v>112</v>
      </c>
      <c r="E505" s="24">
        <f t="shared" si="226"/>
        <v>647</v>
      </c>
      <c r="F505" s="24">
        <f t="shared" si="226"/>
        <v>2642</v>
      </c>
      <c r="G505" s="24">
        <f t="shared" si="226"/>
        <v>948</v>
      </c>
      <c r="H505" s="24">
        <f t="shared" si="226"/>
        <v>693</v>
      </c>
      <c r="I505" s="24">
        <f t="shared" si="226"/>
        <v>256</v>
      </c>
      <c r="J505" s="24" t="str">
        <f t="shared" si="226"/>
        <v>-</v>
      </c>
      <c r="K505" s="24">
        <f t="shared" si="226"/>
        <v>5311</v>
      </c>
      <c r="M505" s="24" t="str">
        <f t="shared" si="218"/>
        <v>-</v>
      </c>
      <c r="N505" s="24">
        <f t="shared" si="218"/>
        <v>3944</v>
      </c>
      <c r="O505" s="24">
        <f t="shared" si="218"/>
        <v>27644</v>
      </c>
      <c r="P505" s="24">
        <f t="shared" si="218"/>
        <v>12426</v>
      </c>
      <c r="Q505" s="24">
        <f t="shared" si="218"/>
        <v>5070</v>
      </c>
      <c r="R505" s="24">
        <f t="shared" si="218"/>
        <v>5</v>
      </c>
      <c r="S505" s="142">
        <f t="shared" si="218"/>
        <v>49089</v>
      </c>
      <c r="T505" s="144"/>
    </row>
    <row r="506" spans="1:20">
      <c r="A506" s="95">
        <v>2020</v>
      </c>
      <c r="B506" s="24">
        <f t="shared" ref="B506:K507" si="227">B290</f>
        <v>0</v>
      </c>
      <c r="C506" s="24">
        <f t="shared" si="227"/>
        <v>4</v>
      </c>
      <c r="D506" s="24">
        <f t="shared" si="227"/>
        <v>38</v>
      </c>
      <c r="E506" s="24">
        <f t="shared" si="227"/>
        <v>655</v>
      </c>
      <c r="F506" s="24">
        <f t="shared" si="227"/>
        <v>3798</v>
      </c>
      <c r="G506" s="24">
        <f t="shared" si="227"/>
        <v>976</v>
      </c>
      <c r="H506" s="24">
        <f t="shared" si="227"/>
        <v>1345</v>
      </c>
      <c r="I506" s="24">
        <f t="shared" si="227"/>
        <v>219</v>
      </c>
      <c r="J506" s="24" t="str">
        <f t="shared" si="227"/>
        <v>-</v>
      </c>
      <c r="K506" s="24">
        <f t="shared" si="227"/>
        <v>7035</v>
      </c>
      <c r="M506" s="24" t="str">
        <f t="shared" ref="M506:S507" si="228">M290</f>
        <v>-</v>
      </c>
      <c r="N506" s="24">
        <f t="shared" si="228"/>
        <v>0</v>
      </c>
      <c r="O506" s="24">
        <f t="shared" si="228"/>
        <v>7714</v>
      </c>
      <c r="P506" s="24">
        <f t="shared" si="228"/>
        <v>5126</v>
      </c>
      <c r="Q506" s="24">
        <f t="shared" si="228"/>
        <v>4239</v>
      </c>
      <c r="R506" s="24" t="str">
        <f>R290</f>
        <v>-</v>
      </c>
      <c r="S506" s="142">
        <f t="shared" si="228"/>
        <v>17079</v>
      </c>
      <c r="T506" s="144"/>
    </row>
    <row r="507" spans="1:20" ht="13">
      <c r="A507" s="95" t="s">
        <v>317</v>
      </c>
      <c r="B507" s="24">
        <f t="shared" si="227"/>
        <v>12</v>
      </c>
      <c r="C507" s="24">
        <f t="shared" si="227"/>
        <v>136</v>
      </c>
      <c r="D507" s="24">
        <f t="shared" si="227"/>
        <v>174</v>
      </c>
      <c r="E507" s="24">
        <f t="shared" si="227"/>
        <v>852</v>
      </c>
      <c r="F507" s="24">
        <f t="shared" si="227"/>
        <v>3134</v>
      </c>
      <c r="G507" s="24">
        <f t="shared" si="227"/>
        <v>1231</v>
      </c>
      <c r="H507" s="24">
        <f t="shared" si="227"/>
        <v>863</v>
      </c>
      <c r="I507" s="24">
        <f t="shared" si="227"/>
        <v>9</v>
      </c>
      <c r="J507" s="24" t="str">
        <f t="shared" si="227"/>
        <v>-</v>
      </c>
      <c r="K507" s="24">
        <f t="shared" si="227"/>
        <v>6411</v>
      </c>
      <c r="M507" s="24" t="str">
        <f t="shared" si="228"/>
        <v>-</v>
      </c>
      <c r="N507" s="24">
        <f t="shared" si="228"/>
        <v>2237</v>
      </c>
      <c r="O507" s="24">
        <f t="shared" si="228"/>
        <v>37935</v>
      </c>
      <c r="P507" s="24">
        <f t="shared" si="228"/>
        <v>28106</v>
      </c>
      <c r="Q507" s="24">
        <f t="shared" si="228"/>
        <v>10766</v>
      </c>
      <c r="R507" s="24">
        <f>R291</f>
        <v>4</v>
      </c>
      <c r="S507" s="142">
        <f t="shared" si="228"/>
        <v>79048</v>
      </c>
      <c r="T507" s="144"/>
    </row>
    <row r="508" spans="1:20">
      <c r="B508" s="24"/>
      <c r="C508" s="24"/>
      <c r="D508" s="24"/>
      <c r="E508" s="24"/>
      <c r="F508" s="24"/>
      <c r="G508" s="24"/>
      <c r="H508" s="24"/>
      <c r="I508" s="24"/>
      <c r="J508" s="24"/>
      <c r="K508" s="24"/>
      <c r="M508" s="24"/>
      <c r="N508" s="24"/>
      <c r="O508" s="24"/>
      <c r="P508" s="24"/>
      <c r="Q508" s="24"/>
      <c r="R508" s="24"/>
      <c r="S508" s="142"/>
    </row>
    <row r="509" spans="1:20" ht="13">
      <c r="A509" s="317" t="s">
        <v>284</v>
      </c>
      <c r="B509" s="317"/>
      <c r="C509" s="317"/>
      <c r="D509" s="317"/>
      <c r="E509" s="317"/>
      <c r="F509" s="317"/>
      <c r="G509" s="317"/>
      <c r="H509" s="317"/>
      <c r="I509" s="317"/>
      <c r="J509" s="317"/>
      <c r="K509" s="317"/>
      <c r="L509" s="317"/>
      <c r="M509" s="317"/>
      <c r="N509" s="317"/>
      <c r="O509" s="317"/>
      <c r="P509" s="317"/>
      <c r="Q509" s="317"/>
      <c r="R509" s="317"/>
      <c r="S509" s="317"/>
    </row>
    <row r="510" spans="1:20">
      <c r="A510" s="100" t="s">
        <v>43</v>
      </c>
      <c r="B510" s="146" t="s">
        <v>37</v>
      </c>
      <c r="C510" s="146" t="s">
        <v>28</v>
      </c>
      <c r="D510" s="146" t="s">
        <v>29</v>
      </c>
      <c r="E510" s="146" t="s">
        <v>30</v>
      </c>
      <c r="F510" s="146" t="s">
        <v>31</v>
      </c>
      <c r="G510" s="146" t="s">
        <v>32</v>
      </c>
      <c r="H510" s="146" t="s">
        <v>33</v>
      </c>
      <c r="I510" s="146" t="s">
        <v>34</v>
      </c>
      <c r="J510" s="146" t="s">
        <v>38</v>
      </c>
      <c r="K510" s="146" t="s">
        <v>22</v>
      </c>
      <c r="L510" s="146"/>
      <c r="M510" s="146" t="s">
        <v>29</v>
      </c>
      <c r="N510" s="146" t="s">
        <v>30</v>
      </c>
      <c r="O510" s="146" t="s">
        <v>31</v>
      </c>
      <c r="P510" s="146" t="s">
        <v>32</v>
      </c>
      <c r="Q510" s="146" t="s">
        <v>33</v>
      </c>
      <c r="R510" s="146" t="s">
        <v>34</v>
      </c>
      <c r="S510" s="146" t="s">
        <v>22</v>
      </c>
    </row>
    <row r="511" spans="1:20">
      <c r="B511" s="308" t="s">
        <v>61</v>
      </c>
      <c r="C511" s="308"/>
      <c r="D511" s="308"/>
      <c r="E511" s="308"/>
      <c r="F511" s="308"/>
      <c r="G511" s="308"/>
      <c r="H511" s="308"/>
      <c r="I511" s="308"/>
      <c r="J511" s="308"/>
      <c r="K511" s="308"/>
      <c r="L511" s="177"/>
      <c r="M511" s="308" t="s">
        <v>62</v>
      </c>
      <c r="N511" s="308"/>
      <c r="O511" s="308"/>
      <c r="P511" s="308"/>
      <c r="Q511" s="308"/>
      <c r="R511" s="308"/>
      <c r="S511" s="308"/>
    </row>
    <row r="512" spans="1:20" ht="4.5" customHeight="1">
      <c r="A512" s="99"/>
      <c r="B512" s="24"/>
      <c r="C512" s="24"/>
      <c r="D512" s="24"/>
      <c r="E512" s="24"/>
      <c r="F512" s="24"/>
      <c r="G512" s="24"/>
      <c r="H512" s="24"/>
      <c r="I512" s="24"/>
      <c r="J512" s="24"/>
      <c r="K512" s="24"/>
      <c r="M512" s="24"/>
      <c r="N512" s="24"/>
      <c r="O512" s="24"/>
      <c r="P512" s="24"/>
      <c r="Q512" s="24"/>
      <c r="R512" s="24"/>
      <c r="S512" s="24"/>
    </row>
    <row r="513" spans="1:19">
      <c r="A513" s="248" t="str">
        <f>A293</f>
        <v>Total All Areas</v>
      </c>
      <c r="B513" s="24"/>
      <c r="C513" s="24"/>
      <c r="D513" s="24"/>
      <c r="E513" s="24"/>
      <c r="F513" s="24"/>
      <c r="G513" s="24"/>
      <c r="H513" s="24"/>
      <c r="I513" s="24"/>
      <c r="J513" s="24"/>
      <c r="K513" s="24"/>
      <c r="M513" s="24"/>
      <c r="N513" s="24"/>
      <c r="O513" s="24"/>
      <c r="P513" s="24"/>
      <c r="Q513" s="24"/>
      <c r="R513" s="24"/>
      <c r="S513" s="24"/>
    </row>
    <row r="514" spans="1:19">
      <c r="A514" s="99" t="s">
        <v>24</v>
      </c>
      <c r="B514" s="24" t="s">
        <v>23</v>
      </c>
      <c r="C514" s="24" t="s">
        <v>23</v>
      </c>
      <c r="D514" s="24">
        <f t="shared" ref="D514:K514" si="229">AVERAGE(D299:D303)</f>
        <v>915.25</v>
      </c>
      <c r="E514" s="24">
        <f t="shared" si="229"/>
        <v>2808.8</v>
      </c>
      <c r="F514" s="24">
        <f t="shared" si="229"/>
        <v>17916</v>
      </c>
      <c r="G514" s="24">
        <f t="shared" si="229"/>
        <v>9605</v>
      </c>
      <c r="H514" s="24">
        <f t="shared" si="229"/>
        <v>1499.2</v>
      </c>
      <c r="I514" s="24">
        <f t="shared" si="229"/>
        <v>515.6</v>
      </c>
      <c r="J514" s="24">
        <f t="shared" si="229"/>
        <v>8.6</v>
      </c>
      <c r="K514" s="24">
        <f t="shared" si="229"/>
        <v>33085.4</v>
      </c>
      <c r="M514" s="24">
        <f t="shared" ref="M514:S514" si="230">AVERAGE(M299:M303)</f>
        <v>2412.25</v>
      </c>
      <c r="N514" s="24">
        <f t="shared" si="230"/>
        <v>20296.75</v>
      </c>
      <c r="O514" s="38">
        <f t="shared" si="230"/>
        <v>86622</v>
      </c>
      <c r="P514" s="24">
        <f t="shared" si="230"/>
        <v>54503</v>
      </c>
      <c r="Q514" s="24">
        <f t="shared" si="230"/>
        <v>7624.5</v>
      </c>
      <c r="R514" s="24">
        <f>AVERAGE(R299:R303)</f>
        <v>4</v>
      </c>
      <c r="S514" s="142">
        <f t="shared" si="230"/>
        <v>165392.6</v>
      </c>
    </row>
    <row r="515" spans="1:19">
      <c r="A515" s="99" t="s">
        <v>78</v>
      </c>
      <c r="B515" s="24" t="s">
        <v>23</v>
      </c>
      <c r="C515" s="24" t="s">
        <v>23</v>
      </c>
      <c r="D515" s="24">
        <f t="shared" ref="D515:I515" si="231">AVERAGE(D304:D308)</f>
        <v>540.79999999999995</v>
      </c>
      <c r="E515" s="24">
        <f t="shared" si="231"/>
        <v>7226.8</v>
      </c>
      <c r="F515" s="24">
        <f t="shared" si="231"/>
        <v>15227.4</v>
      </c>
      <c r="G515" s="24">
        <f t="shared" si="231"/>
        <v>9276.2000000000007</v>
      </c>
      <c r="H515" s="24">
        <f t="shared" si="231"/>
        <v>3092.8</v>
      </c>
      <c r="I515" s="24">
        <f t="shared" si="231"/>
        <v>348.8</v>
      </c>
      <c r="J515" s="210" t="s">
        <v>106</v>
      </c>
      <c r="K515" s="24">
        <f>AVERAGE(K304:K308)</f>
        <v>35712.800000000003</v>
      </c>
      <c r="M515" s="24">
        <f t="shared" ref="M515:S515" si="232">AVERAGE(M304:M308)</f>
        <v>1259.2</v>
      </c>
      <c r="N515" s="24">
        <f t="shared" si="232"/>
        <v>26670.400000000001</v>
      </c>
      <c r="O515" s="38">
        <f t="shared" si="232"/>
        <v>124138</v>
      </c>
      <c r="P515" s="24">
        <f t="shared" si="232"/>
        <v>60375.6</v>
      </c>
      <c r="Q515" s="24">
        <f t="shared" si="232"/>
        <v>6187.2</v>
      </c>
      <c r="R515" s="24">
        <f t="shared" si="232"/>
        <v>15.5</v>
      </c>
      <c r="S515" s="142">
        <f t="shared" si="232"/>
        <v>218636.6</v>
      </c>
    </row>
    <row r="516" spans="1:19">
      <c r="A516" s="99" t="s">
        <v>10</v>
      </c>
      <c r="B516" s="24" t="s">
        <v>23</v>
      </c>
      <c r="C516" s="24" t="s">
        <v>23</v>
      </c>
      <c r="D516" s="24">
        <f>AVERAGE(D309:D313)</f>
        <v>798.4</v>
      </c>
      <c r="E516" s="24">
        <f t="shared" ref="E516:K516" si="233">AVERAGE(E309:E313)</f>
        <v>2365.1999999999998</v>
      </c>
      <c r="F516" s="24">
        <f t="shared" si="233"/>
        <v>3613</v>
      </c>
      <c r="G516" s="24">
        <f t="shared" si="233"/>
        <v>1085</v>
      </c>
      <c r="H516" s="24">
        <f t="shared" si="233"/>
        <v>1054.8</v>
      </c>
      <c r="I516" s="24">
        <f t="shared" si="233"/>
        <v>1023.8</v>
      </c>
      <c r="J516" s="24">
        <f t="shared" si="233"/>
        <v>28</v>
      </c>
      <c r="K516" s="24">
        <f t="shared" si="233"/>
        <v>9234.4</v>
      </c>
      <c r="M516" s="24">
        <f t="shared" ref="M516:S516" si="234">AVERAGE(M309:M313)</f>
        <v>554.33333333333337</v>
      </c>
      <c r="N516" s="24">
        <f t="shared" si="234"/>
        <v>19677</v>
      </c>
      <c r="O516" s="24">
        <f t="shared" si="234"/>
        <v>80495</v>
      </c>
      <c r="P516" s="24">
        <f t="shared" si="234"/>
        <v>19002</v>
      </c>
      <c r="Q516" s="24">
        <f t="shared" si="234"/>
        <v>3528</v>
      </c>
      <c r="R516" s="24">
        <f t="shared" si="234"/>
        <v>2.5</v>
      </c>
      <c r="S516" s="142">
        <f t="shared" si="234"/>
        <v>103001.2</v>
      </c>
    </row>
    <row r="517" spans="1:19">
      <c r="A517" s="99" t="s">
        <v>144</v>
      </c>
      <c r="B517" s="24" t="s">
        <v>23</v>
      </c>
      <c r="C517" s="24" t="s">
        <v>23</v>
      </c>
      <c r="D517" s="24">
        <f>AVERAGE(D314:D318)</f>
        <v>434</v>
      </c>
      <c r="E517" s="24">
        <f t="shared" ref="E517:K517" si="235">AVERAGE(E314:E318)</f>
        <v>1003.8</v>
      </c>
      <c r="F517" s="24">
        <f t="shared" si="235"/>
        <v>3068.6</v>
      </c>
      <c r="G517" s="24">
        <f t="shared" si="235"/>
        <v>4354.6000000000004</v>
      </c>
      <c r="H517" s="24">
        <f t="shared" si="235"/>
        <v>1150.4000000000001</v>
      </c>
      <c r="I517" s="24">
        <f t="shared" si="235"/>
        <v>1204.2</v>
      </c>
      <c r="J517" s="24">
        <f t="shared" si="235"/>
        <v>14.2</v>
      </c>
      <c r="K517" s="24">
        <f t="shared" si="235"/>
        <v>11231</v>
      </c>
      <c r="M517" s="24">
        <f t="shared" ref="M517:S517" si="236">AVERAGE(M314:M318)</f>
        <v>17</v>
      </c>
      <c r="N517" s="24">
        <f t="shared" si="236"/>
        <v>11</v>
      </c>
      <c r="O517" s="24">
        <f t="shared" si="236"/>
        <v>8112</v>
      </c>
      <c r="P517" s="24">
        <f t="shared" si="236"/>
        <v>3749.6</v>
      </c>
      <c r="Q517" s="24">
        <f t="shared" si="236"/>
        <v>579.6</v>
      </c>
      <c r="R517" s="24">
        <f t="shared" si="236"/>
        <v>7.5</v>
      </c>
      <c r="S517" s="142">
        <f t="shared" si="236"/>
        <v>12459.4</v>
      </c>
    </row>
    <row r="518" spans="1:19">
      <c r="A518" s="95" t="s">
        <v>166</v>
      </c>
      <c r="B518" s="24">
        <f>AVERAGE(B319:B323)</f>
        <v>3.3333333333333335</v>
      </c>
      <c r="C518" s="24">
        <f>AVERAGE(C319:C323)</f>
        <v>61</v>
      </c>
      <c r="D518" s="24">
        <f>AVERAGE(D319:D323)</f>
        <v>767.2</v>
      </c>
      <c r="E518" s="24">
        <f>AVERAGE(E319:E323)</f>
        <v>5434.2</v>
      </c>
      <c r="F518" s="24">
        <f t="shared" ref="F518:S518" si="237">AVERAGE(F319:F323)</f>
        <v>14633.8</v>
      </c>
      <c r="G518" s="24">
        <f t="shared" si="237"/>
        <v>11369</v>
      </c>
      <c r="H518" s="24">
        <f t="shared" si="237"/>
        <v>5836.2</v>
      </c>
      <c r="I518" s="24">
        <f t="shared" si="237"/>
        <v>1807.8</v>
      </c>
      <c r="J518" s="24">
        <f t="shared" si="237"/>
        <v>31.2</v>
      </c>
      <c r="K518" s="24">
        <f t="shared" si="237"/>
        <v>39942.400000000001</v>
      </c>
      <c r="L518" s="24" t="e">
        <f t="shared" si="237"/>
        <v>#DIV/0!</v>
      </c>
      <c r="M518" s="24">
        <f t="shared" si="237"/>
        <v>9</v>
      </c>
      <c r="N518" s="24">
        <f t="shared" si="237"/>
        <v>6644.8</v>
      </c>
      <c r="O518" s="24">
        <f t="shared" si="237"/>
        <v>35139.4</v>
      </c>
      <c r="P518" s="24">
        <f t="shared" si="237"/>
        <v>22009.599999999999</v>
      </c>
      <c r="Q518" s="24">
        <f t="shared" si="237"/>
        <v>2197.6</v>
      </c>
      <c r="R518" s="24">
        <f t="shared" si="237"/>
        <v>24.75</v>
      </c>
      <c r="S518" s="17">
        <f t="shared" si="237"/>
        <v>66016.600000000006</v>
      </c>
    </row>
    <row r="519" spans="1:19">
      <c r="A519" s="95" t="s">
        <v>315</v>
      </c>
      <c r="B519" s="24">
        <f>AVERAGE(B324:B328)</f>
        <v>2.5</v>
      </c>
      <c r="C519" s="24">
        <f t="shared" ref="C519:S519" si="238">AVERAGE(C324:C328)</f>
        <v>2</v>
      </c>
      <c r="D519" s="24">
        <f t="shared" si="238"/>
        <v>76.25</v>
      </c>
      <c r="E519" s="24">
        <f t="shared" si="238"/>
        <v>354</v>
      </c>
      <c r="F519" s="24">
        <f t="shared" si="238"/>
        <v>1322</v>
      </c>
      <c r="G519" s="24">
        <f t="shared" si="238"/>
        <v>1651.8</v>
      </c>
      <c r="H519" s="24">
        <f t="shared" si="238"/>
        <v>968.2</v>
      </c>
      <c r="I519" s="24">
        <f t="shared" si="238"/>
        <v>960</v>
      </c>
      <c r="J519" s="24">
        <f t="shared" si="238"/>
        <v>32.5</v>
      </c>
      <c r="K519" s="24">
        <f t="shared" si="238"/>
        <v>5331.8</v>
      </c>
      <c r="L519" s="24"/>
      <c r="M519" s="24">
        <f t="shared" si="238"/>
        <v>2</v>
      </c>
      <c r="N519" s="24">
        <f t="shared" si="238"/>
        <v>2502.4</v>
      </c>
      <c r="O519" s="24">
        <f t="shared" si="238"/>
        <v>18261.599999999999</v>
      </c>
      <c r="P519" s="24">
        <f t="shared" si="238"/>
        <v>17526</v>
      </c>
      <c r="Q519" s="24">
        <f t="shared" si="238"/>
        <v>948</v>
      </c>
      <c r="R519" s="24">
        <f t="shared" si="238"/>
        <v>5.5</v>
      </c>
      <c r="S519" s="17">
        <f t="shared" si="238"/>
        <v>39243.199999999997</v>
      </c>
    </row>
    <row r="520" spans="1:19">
      <c r="A520" s="95">
        <v>2011</v>
      </c>
      <c r="B520" s="24">
        <f t="shared" ref="B520:K520" si="239">B329</f>
        <v>0</v>
      </c>
      <c r="C520" s="24">
        <f t="shared" si="239"/>
        <v>7</v>
      </c>
      <c r="D520" s="24">
        <f t="shared" si="239"/>
        <v>204</v>
      </c>
      <c r="E520" s="24">
        <f t="shared" si="239"/>
        <v>314</v>
      </c>
      <c r="F520" s="24">
        <f t="shared" si="239"/>
        <v>647</v>
      </c>
      <c r="G520" s="24">
        <f t="shared" si="239"/>
        <v>2215</v>
      </c>
      <c r="H520" s="24">
        <f t="shared" si="239"/>
        <v>1331</v>
      </c>
      <c r="I520" s="24">
        <f t="shared" si="239"/>
        <v>440</v>
      </c>
      <c r="J520" s="24">
        <f t="shared" si="239"/>
        <v>6</v>
      </c>
      <c r="K520" s="24">
        <f t="shared" si="239"/>
        <v>5164</v>
      </c>
      <c r="M520" s="24" t="str">
        <f t="shared" ref="M520:S528" si="240">M329</f>
        <v>-</v>
      </c>
      <c r="N520" s="24">
        <f t="shared" si="240"/>
        <v>734</v>
      </c>
      <c r="O520" s="38">
        <f t="shared" si="240"/>
        <v>4561</v>
      </c>
      <c r="P520" s="24">
        <f t="shared" si="240"/>
        <v>6151</v>
      </c>
      <c r="Q520" s="24">
        <f t="shared" si="240"/>
        <v>7386</v>
      </c>
      <c r="R520" s="24" t="str">
        <f t="shared" si="240"/>
        <v>-</v>
      </c>
      <c r="S520" s="142">
        <f t="shared" si="240"/>
        <v>18832</v>
      </c>
    </row>
    <row r="521" spans="1:19">
      <c r="A521" s="95">
        <v>2012</v>
      </c>
      <c r="B521" s="24">
        <f t="shared" ref="B521:K521" si="241">B330</f>
        <v>21</v>
      </c>
      <c r="C521" s="24">
        <f t="shared" si="241"/>
        <v>108</v>
      </c>
      <c r="D521" s="24">
        <f t="shared" si="241"/>
        <v>864</v>
      </c>
      <c r="E521" s="24">
        <f t="shared" si="241"/>
        <v>2169</v>
      </c>
      <c r="F521" s="24">
        <f t="shared" si="241"/>
        <v>3837</v>
      </c>
      <c r="G521" s="24">
        <f t="shared" si="241"/>
        <v>6703</v>
      </c>
      <c r="H521" s="24">
        <f t="shared" si="241"/>
        <v>4044</v>
      </c>
      <c r="I521" s="24">
        <f t="shared" si="241"/>
        <v>1040</v>
      </c>
      <c r="J521" s="24">
        <f t="shared" si="241"/>
        <v>8</v>
      </c>
      <c r="K521" s="24">
        <f t="shared" si="241"/>
        <v>18794</v>
      </c>
      <c r="M521" s="24" t="str">
        <f t="shared" si="240"/>
        <v>-</v>
      </c>
      <c r="N521" s="24">
        <f t="shared" si="240"/>
        <v>156</v>
      </c>
      <c r="O521" s="38">
        <f t="shared" si="240"/>
        <v>3010</v>
      </c>
      <c r="P521" s="24">
        <f t="shared" si="240"/>
        <v>5715</v>
      </c>
      <c r="Q521" s="24">
        <f t="shared" si="240"/>
        <v>7196</v>
      </c>
      <c r="R521" s="24">
        <f t="shared" si="240"/>
        <v>2</v>
      </c>
      <c r="S521" s="142">
        <f t="shared" si="240"/>
        <v>16079</v>
      </c>
    </row>
    <row r="522" spans="1:19">
      <c r="A522" s="95">
        <v>2013</v>
      </c>
      <c r="B522" s="24">
        <f t="shared" ref="B522:I528" si="242">B331</f>
        <v>257</v>
      </c>
      <c r="C522" s="24">
        <f t="shared" si="242"/>
        <v>196</v>
      </c>
      <c r="D522" s="24">
        <f t="shared" si="242"/>
        <v>213</v>
      </c>
      <c r="E522" s="24">
        <f t="shared" si="242"/>
        <v>3943</v>
      </c>
      <c r="F522" s="24">
        <f t="shared" si="242"/>
        <v>6742</v>
      </c>
      <c r="G522" s="24">
        <f t="shared" si="242"/>
        <v>15514</v>
      </c>
      <c r="H522" s="24">
        <f t="shared" si="242"/>
        <v>1763</v>
      </c>
      <c r="I522" s="24">
        <f t="shared" si="242"/>
        <v>1606</v>
      </c>
      <c r="J522" s="250" t="s">
        <v>106</v>
      </c>
      <c r="K522" s="24">
        <f t="shared" ref="K522:K528" si="243">K331</f>
        <v>30234</v>
      </c>
      <c r="M522" s="24" t="str">
        <f t="shared" si="240"/>
        <v>-</v>
      </c>
      <c r="N522" s="24">
        <f t="shared" si="240"/>
        <v>1160</v>
      </c>
      <c r="O522" s="38">
        <f t="shared" si="240"/>
        <v>6041</v>
      </c>
      <c r="P522" s="24">
        <f t="shared" si="240"/>
        <v>4479</v>
      </c>
      <c r="Q522" s="24">
        <f t="shared" si="240"/>
        <v>2831</v>
      </c>
      <c r="R522" s="24">
        <f t="shared" si="240"/>
        <v>25</v>
      </c>
      <c r="S522" s="142">
        <f t="shared" si="240"/>
        <v>14536</v>
      </c>
    </row>
    <row r="523" spans="1:19">
      <c r="A523" s="95">
        <v>2014</v>
      </c>
      <c r="B523" s="24">
        <f t="shared" si="242"/>
        <v>10</v>
      </c>
      <c r="C523" s="24">
        <f t="shared" si="242"/>
        <v>32</v>
      </c>
      <c r="D523" s="24">
        <f t="shared" si="242"/>
        <v>1104</v>
      </c>
      <c r="E523" s="24">
        <f t="shared" si="242"/>
        <v>1453</v>
      </c>
      <c r="F523" s="24">
        <f t="shared" si="242"/>
        <v>6942</v>
      </c>
      <c r="G523" s="24">
        <f t="shared" si="242"/>
        <v>5696</v>
      </c>
      <c r="H523" s="24">
        <f t="shared" si="242"/>
        <v>1991</v>
      </c>
      <c r="I523" s="24">
        <f t="shared" si="242"/>
        <v>1252</v>
      </c>
      <c r="J523" s="250" t="s">
        <v>106</v>
      </c>
      <c r="K523" s="24">
        <f t="shared" si="243"/>
        <v>18480</v>
      </c>
      <c r="M523" s="24">
        <f t="shared" si="240"/>
        <v>4</v>
      </c>
      <c r="N523" s="24">
        <f t="shared" si="240"/>
        <v>3952</v>
      </c>
      <c r="O523" s="38">
        <f t="shared" si="240"/>
        <v>38409</v>
      </c>
      <c r="P523" s="24">
        <f t="shared" si="240"/>
        <v>27783</v>
      </c>
      <c r="Q523" s="24">
        <f t="shared" si="240"/>
        <v>29310</v>
      </c>
      <c r="R523" s="24">
        <f t="shared" si="240"/>
        <v>49</v>
      </c>
      <c r="S523" s="142">
        <f t="shared" si="240"/>
        <v>99507</v>
      </c>
    </row>
    <row r="524" spans="1:19">
      <c r="A524" s="95">
        <v>2015</v>
      </c>
      <c r="B524" s="24">
        <f t="shared" si="242"/>
        <v>30</v>
      </c>
      <c r="C524" s="24">
        <f t="shared" si="242"/>
        <v>8</v>
      </c>
      <c r="D524" s="24">
        <f t="shared" si="242"/>
        <v>209</v>
      </c>
      <c r="E524" s="24">
        <f t="shared" si="242"/>
        <v>623</v>
      </c>
      <c r="F524" s="24">
        <f t="shared" si="242"/>
        <v>984</v>
      </c>
      <c r="G524" s="24">
        <f t="shared" si="242"/>
        <v>1453</v>
      </c>
      <c r="H524" s="24">
        <f t="shared" si="242"/>
        <v>3889</v>
      </c>
      <c r="I524" s="24">
        <f t="shared" si="242"/>
        <v>2246</v>
      </c>
      <c r="J524" s="250" t="s">
        <v>106</v>
      </c>
      <c r="K524" s="24">
        <f t="shared" si="243"/>
        <v>9442</v>
      </c>
      <c r="M524" s="24" t="str">
        <f t="shared" si="240"/>
        <v>-</v>
      </c>
      <c r="N524" s="24">
        <f t="shared" si="240"/>
        <v>1195</v>
      </c>
      <c r="O524" s="38">
        <f t="shared" si="240"/>
        <v>15723</v>
      </c>
      <c r="P524" s="24">
        <f t="shared" si="240"/>
        <v>5434</v>
      </c>
      <c r="Q524" s="24">
        <f t="shared" si="240"/>
        <v>5902</v>
      </c>
      <c r="R524" s="24">
        <f t="shared" si="240"/>
        <v>28</v>
      </c>
      <c r="S524" s="142">
        <f t="shared" si="240"/>
        <v>28282</v>
      </c>
    </row>
    <row r="525" spans="1:19">
      <c r="A525" s="95">
        <v>2016</v>
      </c>
      <c r="B525" s="24">
        <f t="shared" si="242"/>
        <v>32</v>
      </c>
      <c r="C525" s="24">
        <f t="shared" si="242"/>
        <v>9</v>
      </c>
      <c r="D525" s="24">
        <f t="shared" si="242"/>
        <v>128</v>
      </c>
      <c r="E525" s="24">
        <f t="shared" si="242"/>
        <v>319</v>
      </c>
      <c r="F525" s="24">
        <f t="shared" si="242"/>
        <v>963</v>
      </c>
      <c r="G525" s="24">
        <f t="shared" si="242"/>
        <v>1082</v>
      </c>
      <c r="H525" s="24">
        <f t="shared" si="242"/>
        <v>1199</v>
      </c>
      <c r="I525" s="24">
        <f t="shared" si="242"/>
        <v>363</v>
      </c>
      <c r="J525" s="250" t="s">
        <v>106</v>
      </c>
      <c r="K525" s="24">
        <f t="shared" si="243"/>
        <v>4095</v>
      </c>
      <c r="M525" s="24" t="str">
        <f t="shared" si="240"/>
        <v>-</v>
      </c>
      <c r="N525" s="24">
        <f t="shared" si="240"/>
        <v>256</v>
      </c>
      <c r="O525" s="38">
        <f t="shared" si="240"/>
        <v>2131</v>
      </c>
      <c r="P525" s="24">
        <f t="shared" si="240"/>
        <v>1821</v>
      </c>
      <c r="Q525" s="24">
        <f t="shared" si="240"/>
        <v>4180</v>
      </c>
      <c r="R525" s="24">
        <f t="shared" si="240"/>
        <v>22</v>
      </c>
      <c r="S525" s="142">
        <f t="shared" si="240"/>
        <v>8410</v>
      </c>
    </row>
    <row r="526" spans="1:19">
      <c r="A526" s="95">
        <v>2017</v>
      </c>
      <c r="B526" s="24">
        <f t="shared" si="242"/>
        <v>0</v>
      </c>
      <c r="C526" s="24">
        <f t="shared" si="242"/>
        <v>6</v>
      </c>
      <c r="D526" s="24">
        <f t="shared" si="242"/>
        <v>89</v>
      </c>
      <c r="E526" s="24">
        <f t="shared" si="242"/>
        <v>469</v>
      </c>
      <c r="F526" s="24">
        <f t="shared" si="242"/>
        <v>1075</v>
      </c>
      <c r="G526" s="24">
        <f t="shared" si="242"/>
        <v>1818</v>
      </c>
      <c r="H526" s="24">
        <f t="shared" si="242"/>
        <v>592</v>
      </c>
      <c r="I526" s="24">
        <f t="shared" si="242"/>
        <v>545</v>
      </c>
      <c r="J526" s="250" t="s">
        <v>106</v>
      </c>
      <c r="K526" s="24">
        <f t="shared" si="243"/>
        <v>4594</v>
      </c>
      <c r="M526" s="24" t="str">
        <f t="shared" si="240"/>
        <v>-</v>
      </c>
      <c r="N526" s="24">
        <f t="shared" si="240"/>
        <v>376</v>
      </c>
      <c r="O526" s="38">
        <f t="shared" si="240"/>
        <v>8021</v>
      </c>
      <c r="P526" s="24">
        <f t="shared" si="240"/>
        <v>8248</v>
      </c>
      <c r="Q526" s="24">
        <f t="shared" si="240"/>
        <v>4590</v>
      </c>
      <c r="R526" s="24" t="str">
        <f t="shared" si="240"/>
        <v>-</v>
      </c>
      <c r="S526" s="142">
        <f t="shared" si="240"/>
        <v>21235</v>
      </c>
    </row>
    <row r="527" spans="1:19">
      <c r="A527" s="95">
        <v>2018</v>
      </c>
      <c r="B527" s="24">
        <f t="shared" si="242"/>
        <v>0</v>
      </c>
      <c r="C527" s="24">
        <f t="shared" si="242"/>
        <v>4</v>
      </c>
      <c r="D527" s="24">
        <f t="shared" si="242"/>
        <v>153</v>
      </c>
      <c r="E527" s="24">
        <f t="shared" si="242"/>
        <v>408</v>
      </c>
      <c r="F527" s="24">
        <f t="shared" si="242"/>
        <v>1263</v>
      </c>
      <c r="G527" s="24">
        <f t="shared" si="242"/>
        <v>2032</v>
      </c>
      <c r="H527" s="24">
        <f t="shared" si="242"/>
        <v>627</v>
      </c>
      <c r="I527" s="24">
        <f t="shared" si="242"/>
        <v>503</v>
      </c>
      <c r="J527" s="250" t="s">
        <v>106</v>
      </c>
      <c r="K527" s="24">
        <f t="shared" si="243"/>
        <v>4990</v>
      </c>
      <c r="M527" s="24" t="str">
        <f t="shared" si="240"/>
        <v>-</v>
      </c>
      <c r="N527" s="24">
        <f t="shared" si="240"/>
        <v>70</v>
      </c>
      <c r="O527" s="38">
        <f t="shared" si="240"/>
        <v>4374</v>
      </c>
      <c r="P527" s="24">
        <f t="shared" si="240"/>
        <v>14287</v>
      </c>
      <c r="Q527" s="24">
        <f t="shared" si="240"/>
        <v>6941</v>
      </c>
      <c r="R527" s="24" t="str">
        <f t="shared" si="240"/>
        <v>-</v>
      </c>
      <c r="S527" s="142">
        <f t="shared" si="240"/>
        <v>25672</v>
      </c>
    </row>
    <row r="528" spans="1:19">
      <c r="A528" s="95">
        <v>2019</v>
      </c>
      <c r="B528" s="24">
        <f t="shared" si="242"/>
        <v>10</v>
      </c>
      <c r="C528" s="24">
        <f t="shared" si="242"/>
        <v>3</v>
      </c>
      <c r="D528" s="24">
        <f t="shared" si="242"/>
        <v>112</v>
      </c>
      <c r="E528" s="24">
        <f t="shared" si="242"/>
        <v>751</v>
      </c>
      <c r="F528" s="24">
        <f t="shared" si="242"/>
        <v>3310</v>
      </c>
      <c r="G528" s="24">
        <f t="shared" si="242"/>
        <v>1433</v>
      </c>
      <c r="H528" s="24">
        <f t="shared" si="242"/>
        <v>731</v>
      </c>
      <c r="I528" s="24">
        <f t="shared" si="242"/>
        <v>256</v>
      </c>
      <c r="J528" s="250" t="s">
        <v>106</v>
      </c>
      <c r="K528" s="24">
        <f t="shared" si="243"/>
        <v>6606</v>
      </c>
      <c r="M528" s="24" t="str">
        <f t="shared" si="240"/>
        <v>-</v>
      </c>
      <c r="N528" s="24">
        <f t="shared" si="240"/>
        <v>5796</v>
      </c>
      <c r="O528" s="38">
        <f t="shared" si="240"/>
        <v>34192</v>
      </c>
      <c r="P528" s="24">
        <f t="shared" si="240"/>
        <v>20969</v>
      </c>
      <c r="Q528" s="24">
        <f t="shared" si="240"/>
        <v>5351</v>
      </c>
      <c r="R528" s="24">
        <f t="shared" si="240"/>
        <v>5</v>
      </c>
      <c r="S528" s="142">
        <f t="shared" si="240"/>
        <v>66313</v>
      </c>
    </row>
    <row r="529" spans="1:19">
      <c r="A529" s="95">
        <v>2020</v>
      </c>
      <c r="B529" s="24">
        <f t="shared" ref="B529:K530" si="244">B338</f>
        <v>0</v>
      </c>
      <c r="C529" s="24">
        <f t="shared" si="244"/>
        <v>4</v>
      </c>
      <c r="D529" s="24">
        <f t="shared" si="244"/>
        <v>38</v>
      </c>
      <c r="E529" s="24">
        <f t="shared" si="244"/>
        <v>666</v>
      </c>
      <c r="F529" s="24">
        <f t="shared" si="244"/>
        <v>3940</v>
      </c>
      <c r="G529" s="24">
        <f t="shared" si="244"/>
        <v>976</v>
      </c>
      <c r="H529" s="24">
        <f t="shared" si="244"/>
        <v>1345</v>
      </c>
      <c r="I529" s="24">
        <f t="shared" si="244"/>
        <v>219</v>
      </c>
      <c r="J529" s="250" t="s">
        <v>106</v>
      </c>
      <c r="K529" s="24">
        <f t="shared" si="244"/>
        <v>7188</v>
      </c>
      <c r="M529" s="24" t="str">
        <f t="shared" ref="M529:S530" si="245">M338</f>
        <v>-</v>
      </c>
      <c r="N529" s="24">
        <f t="shared" si="245"/>
        <v>0</v>
      </c>
      <c r="O529" s="38">
        <f t="shared" si="245"/>
        <v>11435</v>
      </c>
      <c r="P529" s="24">
        <f t="shared" si="245"/>
        <v>5126</v>
      </c>
      <c r="Q529" s="24">
        <f t="shared" si="245"/>
        <v>4239</v>
      </c>
      <c r="R529" s="24" t="str">
        <f>R338</f>
        <v>-</v>
      </c>
      <c r="S529" s="142">
        <f t="shared" si="245"/>
        <v>20800</v>
      </c>
    </row>
    <row r="530" spans="1:19" ht="13">
      <c r="A530" s="95" t="s">
        <v>317</v>
      </c>
      <c r="B530" s="24">
        <f t="shared" si="244"/>
        <v>12</v>
      </c>
      <c r="C530" s="24">
        <f t="shared" si="244"/>
        <v>136</v>
      </c>
      <c r="D530" s="24">
        <f t="shared" si="244"/>
        <v>174</v>
      </c>
      <c r="E530" s="24">
        <f t="shared" si="244"/>
        <v>914</v>
      </c>
      <c r="F530" s="24">
        <f t="shared" si="244"/>
        <v>3483</v>
      </c>
      <c r="G530" s="24">
        <f t="shared" si="244"/>
        <v>2658</v>
      </c>
      <c r="H530" s="24">
        <f t="shared" si="244"/>
        <v>863</v>
      </c>
      <c r="I530" s="24">
        <f t="shared" si="244"/>
        <v>9</v>
      </c>
      <c r="J530" s="250" t="s">
        <v>106</v>
      </c>
      <c r="K530" s="24">
        <f t="shared" si="244"/>
        <v>8249</v>
      </c>
      <c r="M530" s="24" t="str">
        <f t="shared" si="245"/>
        <v>-</v>
      </c>
      <c r="N530" s="24">
        <f t="shared" si="245"/>
        <v>2349</v>
      </c>
      <c r="O530" s="38">
        <f t="shared" si="245"/>
        <v>42591</v>
      </c>
      <c r="P530" s="24">
        <f t="shared" si="245"/>
        <v>37746</v>
      </c>
      <c r="Q530" s="24">
        <f t="shared" si="245"/>
        <v>10766</v>
      </c>
      <c r="R530" s="24">
        <f>R339</f>
        <v>4</v>
      </c>
      <c r="S530" s="142">
        <f t="shared" si="245"/>
        <v>93456</v>
      </c>
    </row>
    <row r="531" spans="1:19" ht="11.25" customHeight="1">
      <c r="A531" s="303" t="s">
        <v>176</v>
      </c>
      <c r="B531" s="303"/>
      <c r="C531" s="303"/>
      <c r="D531" s="303"/>
      <c r="E531" s="303"/>
      <c r="F531" s="303"/>
      <c r="G531" s="303"/>
      <c r="H531" s="303"/>
      <c r="I531" s="303"/>
      <c r="J531" s="303"/>
      <c r="K531" s="303"/>
      <c r="L531" s="303"/>
      <c r="M531" s="303"/>
      <c r="N531" s="303"/>
      <c r="O531" s="303"/>
      <c r="P531" s="303"/>
      <c r="Q531" s="303"/>
      <c r="R531" s="303"/>
      <c r="S531" s="303"/>
    </row>
    <row r="532" spans="1:19">
      <c r="A532" s="305"/>
      <c r="B532" s="305"/>
      <c r="C532" s="305"/>
      <c r="D532" s="305"/>
      <c r="E532" s="305"/>
      <c r="F532" s="305"/>
      <c r="G532" s="305"/>
      <c r="H532" s="305"/>
      <c r="I532" s="305"/>
      <c r="J532" s="305"/>
      <c r="K532" s="305"/>
      <c r="L532" s="305"/>
      <c r="M532" s="305"/>
      <c r="N532" s="305"/>
      <c r="O532" s="305"/>
      <c r="P532" s="305"/>
      <c r="Q532" s="305"/>
      <c r="R532" s="305"/>
      <c r="S532" s="305"/>
    </row>
    <row r="533" spans="1:19">
      <c r="A533" s="305"/>
      <c r="B533" s="305"/>
      <c r="C533" s="305"/>
      <c r="D533" s="305"/>
      <c r="E533" s="305"/>
      <c r="F533" s="305"/>
      <c r="G533" s="305"/>
      <c r="H533" s="305"/>
      <c r="I533" s="305"/>
      <c r="J533" s="305"/>
      <c r="K533" s="305"/>
      <c r="L533" s="305"/>
      <c r="M533" s="305"/>
      <c r="N533" s="305"/>
      <c r="O533" s="305"/>
      <c r="P533" s="305"/>
      <c r="Q533" s="305"/>
      <c r="R533" s="305"/>
      <c r="S533" s="305"/>
    </row>
    <row r="534" spans="1:19">
      <c r="A534" s="11" t="s">
        <v>42</v>
      </c>
      <c r="B534" s="11"/>
      <c r="C534" s="11"/>
      <c r="D534" s="11"/>
      <c r="E534" s="11"/>
      <c r="F534" s="11"/>
      <c r="G534" s="11"/>
      <c r="H534" s="11"/>
      <c r="I534" s="11"/>
      <c r="J534" s="11"/>
      <c r="K534" s="11"/>
      <c r="L534" s="11"/>
      <c r="M534" s="11"/>
      <c r="N534" s="11"/>
      <c r="O534" s="11"/>
      <c r="P534" s="11"/>
      <c r="Q534" s="11"/>
      <c r="R534" s="11"/>
      <c r="S534" s="11"/>
    </row>
    <row r="535" spans="1:19">
      <c r="A535" s="315"/>
      <c r="B535" s="315"/>
      <c r="C535" s="315"/>
      <c r="D535" s="315"/>
      <c r="E535" s="315"/>
      <c r="F535" s="315"/>
      <c r="G535" s="315"/>
      <c r="H535" s="315"/>
      <c r="I535" s="315"/>
      <c r="J535" s="315"/>
      <c r="K535" s="315"/>
      <c r="L535" s="315"/>
      <c r="M535" s="315"/>
      <c r="N535" s="315"/>
      <c r="O535" s="315"/>
      <c r="P535" s="315"/>
      <c r="Q535" s="315"/>
      <c r="R535" s="315"/>
      <c r="S535" s="315"/>
    </row>
    <row r="536" spans="1:19">
      <c r="A536" s="315"/>
      <c r="B536" s="315"/>
      <c r="C536" s="315"/>
      <c r="D536" s="315"/>
      <c r="E536" s="315"/>
      <c r="F536" s="315"/>
      <c r="G536" s="315"/>
      <c r="H536" s="315"/>
      <c r="I536" s="315"/>
      <c r="J536" s="315"/>
      <c r="K536" s="315"/>
      <c r="L536" s="315"/>
      <c r="M536" s="315"/>
      <c r="N536" s="315"/>
      <c r="O536" s="315"/>
      <c r="P536" s="315"/>
      <c r="Q536" s="315"/>
      <c r="R536" s="315"/>
      <c r="S536" s="315"/>
    </row>
    <row r="537" spans="1:19">
      <c r="A537" s="315"/>
      <c r="B537" s="315"/>
      <c r="C537" s="315"/>
      <c r="D537" s="315"/>
      <c r="E537" s="315"/>
      <c r="F537" s="315"/>
      <c r="G537" s="315"/>
      <c r="H537" s="315"/>
      <c r="I537" s="315"/>
      <c r="J537" s="315"/>
      <c r="K537" s="315"/>
      <c r="L537" s="315"/>
      <c r="M537" s="315"/>
      <c r="N537" s="315"/>
      <c r="O537" s="315"/>
      <c r="P537" s="315"/>
      <c r="Q537" s="315"/>
      <c r="R537" s="315"/>
      <c r="S537" s="315"/>
    </row>
    <row r="538" spans="1:19">
      <c r="A538" s="315"/>
      <c r="B538" s="315"/>
      <c r="C538" s="315"/>
      <c r="D538" s="315"/>
      <c r="E538" s="315"/>
      <c r="F538" s="315"/>
      <c r="G538" s="315"/>
      <c r="H538" s="315"/>
      <c r="I538" s="315"/>
      <c r="J538" s="315"/>
      <c r="K538" s="315"/>
      <c r="L538" s="315"/>
      <c r="M538" s="315"/>
      <c r="N538" s="315"/>
      <c r="O538" s="315"/>
      <c r="P538" s="315"/>
      <c r="Q538" s="315"/>
      <c r="R538" s="315"/>
      <c r="S538" s="315"/>
    </row>
    <row r="539" spans="1:19">
      <c r="A539" s="315"/>
      <c r="B539" s="315"/>
      <c r="C539" s="315"/>
      <c r="D539" s="315"/>
      <c r="E539" s="315"/>
      <c r="F539" s="315"/>
      <c r="G539" s="315"/>
      <c r="H539" s="315"/>
      <c r="I539" s="315"/>
      <c r="J539" s="315"/>
      <c r="K539" s="315"/>
      <c r="L539" s="315"/>
      <c r="M539" s="315"/>
      <c r="N539" s="315"/>
      <c r="O539" s="315"/>
      <c r="P539" s="315"/>
      <c r="Q539" s="315"/>
      <c r="R539" s="315"/>
      <c r="S539" s="315"/>
    </row>
  </sheetData>
  <mergeCells count="24">
    <mergeCell ref="A539:S539"/>
    <mergeCell ref="A467:S467"/>
    <mergeCell ref="B469:K469"/>
    <mergeCell ref="M469:S469"/>
    <mergeCell ref="A509:S509"/>
    <mergeCell ref="B511:K511"/>
    <mergeCell ref="M511:S511"/>
    <mergeCell ref="A531:S533"/>
    <mergeCell ref="A535:S535"/>
    <mergeCell ref="A536:S536"/>
    <mergeCell ref="A537:S537"/>
    <mergeCell ref="A538:S538"/>
    <mergeCell ref="A384:S384"/>
    <mergeCell ref="B386:K386"/>
    <mergeCell ref="M386:S386"/>
    <mergeCell ref="A425:S425"/>
    <mergeCell ref="B427:K427"/>
    <mergeCell ref="M427:S427"/>
    <mergeCell ref="A345:S345"/>
    <mergeCell ref="A1:S1"/>
    <mergeCell ref="B3:K3"/>
    <mergeCell ref="M3:S3"/>
    <mergeCell ref="A340:S342"/>
    <mergeCell ref="A343:S344"/>
  </mergeCells>
  <pageMargins left="0.7" right="0.7" top="0.75" bottom="0.75" header="0.3" footer="0.3"/>
  <pageSetup scale="92" orientation="landscape" r:id="rId1"/>
  <rowBreaks count="3" manualBreakCount="3">
    <brk id="424" max="18" man="1"/>
    <brk id="466" max="18" man="1"/>
    <brk id="508" max="18"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4"/>
  <dimension ref="A1:M175"/>
  <sheetViews>
    <sheetView showGridLines="0" topLeftCell="A48" zoomScale="110" zoomScaleNormal="110" zoomScaleSheetLayoutView="120" workbookViewId="0">
      <selection activeCell="N421" sqref="N421"/>
    </sheetView>
  </sheetViews>
  <sheetFormatPr baseColWidth="10" defaultColWidth="8.83203125" defaultRowHeight="16"/>
  <cols>
    <col min="12" max="12" width="32.33203125" customWidth="1"/>
  </cols>
  <sheetData>
    <row r="1" spans="1:13" ht="11.25" customHeight="1">
      <c r="A1" s="304" t="s">
        <v>7</v>
      </c>
      <c r="B1" s="304"/>
      <c r="C1" s="304"/>
      <c r="D1" s="304"/>
      <c r="E1" s="304"/>
      <c r="F1" s="304"/>
      <c r="G1" s="304"/>
      <c r="H1" s="304"/>
      <c r="I1" s="305"/>
      <c r="J1" s="305"/>
      <c r="K1" s="44"/>
    </row>
    <row r="2" spans="1:13" ht="11.25" customHeight="1">
      <c r="A2" s="305"/>
      <c r="B2" s="305"/>
      <c r="C2" s="305"/>
      <c r="D2" s="305"/>
      <c r="E2" s="305"/>
      <c r="F2" s="305"/>
      <c r="G2" s="305"/>
      <c r="H2" s="305"/>
      <c r="I2" s="305"/>
      <c r="J2" s="305"/>
      <c r="K2" s="44"/>
      <c r="L2" s="191" t="s">
        <v>172</v>
      </c>
    </row>
    <row r="3" spans="1:13" ht="11.25" customHeight="1">
      <c r="A3" s="194" t="s">
        <v>46</v>
      </c>
      <c r="B3" s="194"/>
      <c r="C3" s="194"/>
      <c r="D3" s="194"/>
      <c r="E3" s="215"/>
      <c r="F3" s="215" t="s">
        <v>53</v>
      </c>
      <c r="G3" s="215"/>
      <c r="H3" s="215"/>
      <c r="I3" s="215"/>
      <c r="J3" s="215"/>
      <c r="L3" s="191"/>
    </row>
    <row r="4" spans="1:13" ht="12.5" customHeight="1">
      <c r="A4" s="216" t="s">
        <v>334</v>
      </c>
      <c r="B4" s="217" t="s">
        <v>252</v>
      </c>
      <c r="C4" s="217" t="s">
        <v>60</v>
      </c>
      <c r="D4" s="217" t="s">
        <v>58</v>
      </c>
      <c r="E4" s="217" t="s">
        <v>57</v>
      </c>
      <c r="F4" s="217" t="s">
        <v>51</v>
      </c>
      <c r="G4" s="217" t="s">
        <v>21</v>
      </c>
      <c r="H4" s="217" t="s">
        <v>54</v>
      </c>
      <c r="I4" s="217" t="s">
        <v>52</v>
      </c>
      <c r="J4" s="217" t="s">
        <v>55</v>
      </c>
      <c r="L4" s="191"/>
    </row>
    <row r="5" spans="1:13" ht="11.25" customHeight="1">
      <c r="A5" s="325" t="s">
        <v>103</v>
      </c>
      <c r="B5" s="325"/>
      <c r="C5" s="325"/>
      <c r="D5" s="325"/>
      <c r="E5" s="325"/>
      <c r="F5" s="325"/>
      <c r="G5" s="325"/>
      <c r="H5" s="325"/>
      <c r="I5" s="325"/>
      <c r="J5" s="325"/>
    </row>
    <row r="6" spans="1:13" ht="11.25" customHeight="1">
      <c r="A6" s="9" t="s">
        <v>56</v>
      </c>
      <c r="B6" s="34">
        <f>'A-12'!H265</f>
        <v>3111.4</v>
      </c>
      <c r="C6" s="34">
        <f>'A-12'!H284</f>
        <v>1552.6</v>
      </c>
      <c r="D6" s="34">
        <f>'A-12'!H303</f>
        <v>5193.8</v>
      </c>
      <c r="E6" s="34">
        <f>'A-12'!H326</f>
        <v>1961.4</v>
      </c>
      <c r="F6" s="34">
        <f>'A-12'!H345</f>
        <v>11819.2</v>
      </c>
      <c r="G6" s="34">
        <v>244</v>
      </c>
      <c r="H6" s="34">
        <v>18</v>
      </c>
      <c r="I6" s="34">
        <v>25</v>
      </c>
      <c r="J6" s="34">
        <f>SUM(F6:I6)</f>
        <v>12106.2</v>
      </c>
      <c r="K6" s="125"/>
      <c r="L6" s="125"/>
    </row>
    <row r="7" spans="1:13" ht="11.25" customHeight="1">
      <c r="A7" s="9" t="s">
        <v>78</v>
      </c>
      <c r="B7" s="34">
        <f>'A-12'!H266</f>
        <v>928.2</v>
      </c>
      <c r="C7" s="34">
        <f>'A-12'!H285</f>
        <v>300.2</v>
      </c>
      <c r="D7" s="34">
        <f>'A-12'!H304</f>
        <v>2619</v>
      </c>
      <c r="E7" s="34">
        <f>'A-12'!H327</f>
        <v>871</v>
      </c>
      <c r="F7" s="34">
        <f>'A-12'!H346</f>
        <v>4718.3999999999996</v>
      </c>
      <c r="G7" s="34">
        <v>100</v>
      </c>
      <c r="H7" s="34">
        <v>0</v>
      </c>
      <c r="I7" s="34">
        <v>3</v>
      </c>
      <c r="J7" s="34">
        <f t="shared" ref="J7:J10" si="0">SUM(F7:I7)</f>
        <v>4821.3999999999996</v>
      </c>
      <c r="K7" s="125"/>
      <c r="L7" s="125"/>
    </row>
    <row r="8" spans="1:13" ht="11.25" customHeight="1">
      <c r="A8" s="9" t="s">
        <v>10</v>
      </c>
      <c r="B8" s="34">
        <f>'A-12'!H267</f>
        <v>1421</v>
      </c>
      <c r="C8" s="34">
        <f>'A-12'!H286</f>
        <v>243</v>
      </c>
      <c r="D8" s="34">
        <f>'A-12'!H305</f>
        <v>2079.3333333333335</v>
      </c>
      <c r="E8" s="34">
        <f>'A-12'!H328</f>
        <v>335</v>
      </c>
      <c r="F8" s="34">
        <f>'A-12'!H347</f>
        <v>3474.75</v>
      </c>
      <c r="G8" s="34">
        <v>100</v>
      </c>
      <c r="H8" s="34">
        <v>0</v>
      </c>
      <c r="I8" s="34">
        <v>3</v>
      </c>
      <c r="J8" s="34">
        <f t="shared" si="0"/>
        <v>3577.75</v>
      </c>
      <c r="K8" s="125"/>
      <c r="L8" s="125"/>
    </row>
    <row r="9" spans="1:13" ht="11.25" customHeight="1">
      <c r="A9" s="11" t="s">
        <v>144</v>
      </c>
      <c r="B9" s="34">
        <f>'A-12'!H268</f>
        <v>235.2</v>
      </c>
      <c r="C9" s="34">
        <f>'A-12'!H287</f>
        <v>55.4</v>
      </c>
      <c r="D9" s="34">
        <f>'A-12'!H306</f>
        <v>128.19999999999999</v>
      </c>
      <c r="E9" s="34">
        <f>'A-12'!H329</f>
        <v>19.666666666666668</v>
      </c>
      <c r="F9" s="34">
        <f>'A-12'!H348</f>
        <v>430.6</v>
      </c>
      <c r="G9" s="34">
        <f>AVERAGE(67,46,0,6,30)</f>
        <v>29.8</v>
      </c>
      <c r="H9" s="34">
        <v>0</v>
      </c>
      <c r="I9" s="34">
        <v>0</v>
      </c>
      <c r="J9" s="34">
        <f t="shared" si="0"/>
        <v>460.40000000000003</v>
      </c>
      <c r="K9" s="125"/>
      <c r="L9" s="125"/>
    </row>
    <row r="10" spans="1:13" ht="11.25" customHeight="1">
      <c r="A10" s="11" t="s">
        <v>166</v>
      </c>
      <c r="B10" s="34">
        <f>'A-12'!H269</f>
        <v>454</v>
      </c>
      <c r="C10" s="34">
        <f>'A-12'!H288</f>
        <v>194.8</v>
      </c>
      <c r="D10" s="34">
        <f>'A-12'!H307</f>
        <v>593</v>
      </c>
      <c r="E10" s="34">
        <f>'A-12'!H330</f>
        <v>82</v>
      </c>
      <c r="F10" s="34">
        <f>'A-12'!H349</f>
        <v>1323.8</v>
      </c>
      <c r="G10" s="34">
        <f>AVERAGE(67,46,0,6,30)</f>
        <v>29.8</v>
      </c>
      <c r="H10" s="34">
        <v>0</v>
      </c>
      <c r="I10" s="34">
        <v>0</v>
      </c>
      <c r="J10" s="34">
        <f t="shared" si="0"/>
        <v>1353.6</v>
      </c>
      <c r="K10" s="125"/>
      <c r="L10" s="125"/>
      <c r="M10" s="40"/>
    </row>
    <row r="11" spans="1:13" ht="11.25" customHeight="1">
      <c r="A11" s="11" t="s">
        <v>315</v>
      </c>
      <c r="B11" s="34">
        <f>'A-12'!H270</f>
        <v>208.6</v>
      </c>
      <c r="C11" s="34">
        <f>'A-12'!H289</f>
        <v>470.8</v>
      </c>
      <c r="D11" s="34">
        <f>'A-12'!H308</f>
        <v>884.8</v>
      </c>
      <c r="E11" s="34">
        <f>'A-12'!H331</f>
        <v>108.2</v>
      </c>
      <c r="F11" s="34">
        <f>'A-12'!H350</f>
        <v>1672.4</v>
      </c>
      <c r="G11" s="34">
        <f>AVERAGE(67,46,0,6,30)</f>
        <v>29.8</v>
      </c>
      <c r="H11" s="34">
        <v>0</v>
      </c>
      <c r="I11" s="34">
        <v>0</v>
      </c>
      <c r="J11" s="34">
        <f t="shared" ref="J11" si="1">SUM(F11:I11)</f>
        <v>1702.2</v>
      </c>
      <c r="K11" s="125"/>
      <c r="L11" s="125"/>
      <c r="M11" s="40"/>
    </row>
    <row r="12" spans="1:13" ht="11.25" customHeight="1">
      <c r="A12" s="9">
        <v>2011</v>
      </c>
      <c r="B12" s="34">
        <f>'A-12'!H40</f>
        <v>170</v>
      </c>
      <c r="C12" s="34">
        <f>'A-12'!H88</f>
        <v>669</v>
      </c>
      <c r="D12" s="34">
        <f>'A-12'!H136</f>
        <v>1133</v>
      </c>
      <c r="E12" s="34">
        <f>'A-12'!H184</f>
        <v>92</v>
      </c>
      <c r="F12" s="34">
        <f>'A-12'!H232</f>
        <v>2064</v>
      </c>
      <c r="G12" s="34" t="s">
        <v>23</v>
      </c>
      <c r="H12" s="34" t="s">
        <v>23</v>
      </c>
      <c r="I12" s="34">
        <v>0</v>
      </c>
      <c r="J12" s="34">
        <f t="shared" ref="J12:J22" si="2">SUM(F12:I12)</f>
        <v>2064</v>
      </c>
      <c r="K12" s="125"/>
      <c r="L12" s="125"/>
      <c r="M12" s="40"/>
    </row>
    <row r="13" spans="1:13" ht="11.25" customHeight="1">
      <c r="A13" s="9">
        <v>2012</v>
      </c>
      <c r="B13" s="34">
        <f>'A-12'!H41</f>
        <v>254</v>
      </c>
      <c r="C13" s="34">
        <f>'A-12'!H89</f>
        <v>1045</v>
      </c>
      <c r="D13" s="34">
        <f>'A-12'!H137</f>
        <v>654</v>
      </c>
      <c r="E13" s="34">
        <f>'A-12'!H185</f>
        <v>107</v>
      </c>
      <c r="F13" s="34">
        <f>'A-12'!H233</f>
        <v>2060</v>
      </c>
      <c r="G13" s="34" t="s">
        <v>23</v>
      </c>
      <c r="H13" s="34" t="s">
        <v>23</v>
      </c>
      <c r="I13" s="34">
        <v>0</v>
      </c>
      <c r="J13" s="34">
        <f t="shared" si="2"/>
        <v>2060</v>
      </c>
      <c r="K13" s="125"/>
      <c r="L13" s="125"/>
      <c r="M13" s="40"/>
    </row>
    <row r="14" spans="1:13" ht="11.25" customHeight="1">
      <c r="A14" s="9">
        <v>2013</v>
      </c>
      <c r="B14" s="34">
        <f>'A-12'!H42</f>
        <v>245</v>
      </c>
      <c r="C14" s="34">
        <f>'A-12'!H90</f>
        <v>435</v>
      </c>
      <c r="D14" s="34">
        <f>'A-12'!H138</f>
        <v>1498</v>
      </c>
      <c r="E14" s="34">
        <f>'A-12'!H186</f>
        <v>130</v>
      </c>
      <c r="F14" s="34">
        <f>'A-12'!H234</f>
        <v>2308</v>
      </c>
      <c r="G14" s="34" t="s">
        <v>23</v>
      </c>
      <c r="H14" s="34" t="s">
        <v>23</v>
      </c>
      <c r="I14" s="34">
        <v>0</v>
      </c>
      <c r="J14" s="34">
        <f t="shared" si="2"/>
        <v>2308</v>
      </c>
      <c r="K14" s="125"/>
      <c r="L14" s="125"/>
      <c r="M14" s="40"/>
    </row>
    <row r="15" spans="1:13" ht="11.25" customHeight="1">
      <c r="A15" s="9">
        <v>2014</v>
      </c>
      <c r="B15" s="34">
        <f>'A-12'!H43</f>
        <v>121</v>
      </c>
      <c r="C15" s="34">
        <f>'A-12'!H91</f>
        <v>716</v>
      </c>
      <c r="D15" s="34">
        <f>'A-12'!H139</f>
        <v>791</v>
      </c>
      <c r="E15" s="34">
        <f>'A-12'!H187</f>
        <v>394</v>
      </c>
      <c r="F15" s="34">
        <f>'A-12'!H235</f>
        <v>2022</v>
      </c>
      <c r="G15" s="34" t="s">
        <v>23</v>
      </c>
      <c r="H15" s="34" t="s">
        <v>23</v>
      </c>
      <c r="I15" s="34">
        <v>0</v>
      </c>
      <c r="J15" s="34">
        <f t="shared" si="2"/>
        <v>2022</v>
      </c>
      <c r="K15" s="125"/>
      <c r="L15" s="125"/>
      <c r="M15" s="40"/>
    </row>
    <row r="16" spans="1:13" ht="11.25" customHeight="1">
      <c r="A16" s="9">
        <v>2015</v>
      </c>
      <c r="B16" s="34">
        <f>'A-12'!H44</f>
        <v>266</v>
      </c>
      <c r="C16" s="34">
        <f>'A-12'!H92</f>
        <v>657</v>
      </c>
      <c r="D16" s="34">
        <f>'A-12'!H140</f>
        <v>1447</v>
      </c>
      <c r="E16" s="34">
        <f>'A-12'!H188</f>
        <v>275</v>
      </c>
      <c r="F16" s="34">
        <f>'A-12'!H236</f>
        <v>2645</v>
      </c>
      <c r="G16" s="34" t="s">
        <v>23</v>
      </c>
      <c r="H16" s="34" t="s">
        <v>23</v>
      </c>
      <c r="I16" s="34">
        <v>0</v>
      </c>
      <c r="J16" s="34">
        <f t="shared" si="2"/>
        <v>2645</v>
      </c>
      <c r="K16" s="125"/>
      <c r="L16" s="125"/>
      <c r="M16" s="40"/>
    </row>
    <row r="17" spans="1:13" ht="11.25" customHeight="1">
      <c r="A17" s="11">
        <v>2016</v>
      </c>
      <c r="B17" s="34">
        <f>'A-12'!H45</f>
        <v>148</v>
      </c>
      <c r="C17" s="34">
        <f>'A-12'!H93</f>
        <v>411</v>
      </c>
      <c r="D17" s="34">
        <f>'A-12'!H141</f>
        <v>881</v>
      </c>
      <c r="E17" s="34">
        <f>'A-12'!H189</f>
        <v>188</v>
      </c>
      <c r="F17" s="34">
        <f>'A-12'!H237</f>
        <v>1628</v>
      </c>
      <c r="G17" s="34" t="s">
        <v>23</v>
      </c>
      <c r="H17" s="34" t="s">
        <v>23</v>
      </c>
      <c r="I17" s="34">
        <v>0</v>
      </c>
      <c r="J17" s="34">
        <f t="shared" si="2"/>
        <v>1628</v>
      </c>
      <c r="K17" s="125"/>
      <c r="L17" s="125"/>
      <c r="M17" s="40"/>
    </row>
    <row r="18" spans="1:13" ht="11.25" customHeight="1">
      <c r="A18" s="11">
        <v>2017</v>
      </c>
      <c r="B18" s="34">
        <f>'A-12'!H46</f>
        <v>367</v>
      </c>
      <c r="C18" s="34">
        <f>'A-12'!H94</f>
        <v>502</v>
      </c>
      <c r="D18" s="34">
        <f>'A-12'!H142</f>
        <v>1411</v>
      </c>
      <c r="E18" s="34">
        <f>'A-12'!H190</f>
        <v>93</v>
      </c>
      <c r="F18" s="34">
        <f>'A-12'!H238</f>
        <v>2373</v>
      </c>
      <c r="G18" s="34" t="s">
        <v>23</v>
      </c>
      <c r="H18" s="34" t="s">
        <v>23</v>
      </c>
      <c r="I18" s="34">
        <v>0</v>
      </c>
      <c r="J18" s="34">
        <f t="shared" si="2"/>
        <v>2373</v>
      </c>
      <c r="K18" s="125"/>
      <c r="L18" s="125"/>
      <c r="M18" s="40"/>
    </row>
    <row r="19" spans="1:13" ht="11.25" customHeight="1">
      <c r="A19" s="95">
        <v>2018</v>
      </c>
      <c r="B19" s="34">
        <f>'A-12'!H47</f>
        <v>541</v>
      </c>
      <c r="C19" s="34">
        <f>'A-12'!H95</f>
        <v>360</v>
      </c>
      <c r="D19" s="34">
        <f>'A-12'!H143</f>
        <v>1194</v>
      </c>
      <c r="E19" s="34">
        <f>'A-12'!H191</f>
        <v>54</v>
      </c>
      <c r="F19" s="34">
        <f>'A-12'!H239</f>
        <v>2149</v>
      </c>
      <c r="G19" s="34" t="s">
        <v>23</v>
      </c>
      <c r="H19" s="34" t="s">
        <v>23</v>
      </c>
      <c r="I19" s="34">
        <v>0</v>
      </c>
      <c r="J19" s="34">
        <f t="shared" si="2"/>
        <v>2149</v>
      </c>
      <c r="K19" s="125"/>
      <c r="L19" s="125"/>
      <c r="M19" s="40"/>
    </row>
    <row r="20" spans="1:13" ht="11.25" customHeight="1">
      <c r="A20" s="95">
        <v>2019</v>
      </c>
      <c r="B20" s="34">
        <f>'A-12'!H48</f>
        <v>942</v>
      </c>
      <c r="C20" s="34">
        <f>'A-12'!H96</f>
        <v>429</v>
      </c>
      <c r="D20" s="34">
        <f>'A-12'!H144</f>
        <v>290</v>
      </c>
      <c r="E20" s="34">
        <f>'A-12'!H192</f>
        <v>77</v>
      </c>
      <c r="F20" s="34">
        <f>'A-12'!H240</f>
        <v>1738</v>
      </c>
      <c r="G20" s="34" t="s">
        <v>23</v>
      </c>
      <c r="H20" s="34" t="s">
        <v>23</v>
      </c>
      <c r="I20" s="34">
        <v>0</v>
      </c>
      <c r="J20" s="34">
        <f t="shared" ref="J20:J21" si="3">SUM(F20:I20)</f>
        <v>1738</v>
      </c>
      <c r="K20" s="125"/>
      <c r="L20" s="125"/>
      <c r="M20" s="40"/>
    </row>
    <row r="21" spans="1:13" ht="11.25" customHeight="1">
      <c r="A21" s="95">
        <v>2020</v>
      </c>
      <c r="B21" s="34">
        <f>'A-12'!H49</f>
        <v>137</v>
      </c>
      <c r="C21" s="34">
        <f>'A-12'!H97</f>
        <v>336</v>
      </c>
      <c r="D21" s="34">
        <f>'A-12'!H145</f>
        <v>446</v>
      </c>
      <c r="E21" s="34">
        <f>'A-12'!H193</f>
        <v>57</v>
      </c>
      <c r="F21" s="34">
        <f>'A-12'!H241</f>
        <v>976</v>
      </c>
      <c r="G21" s="34" t="s">
        <v>23</v>
      </c>
      <c r="H21" s="34" t="s">
        <v>23</v>
      </c>
      <c r="I21" s="34">
        <v>0</v>
      </c>
      <c r="J21" s="34">
        <f t="shared" si="3"/>
        <v>976</v>
      </c>
      <c r="K21" s="125"/>
      <c r="L21" s="125"/>
      <c r="M21" s="40"/>
    </row>
    <row r="22" spans="1:13" ht="11.25" customHeight="1">
      <c r="A22" s="95" t="s">
        <v>317</v>
      </c>
      <c r="B22" s="34">
        <f>'A-12'!H50</f>
        <v>126</v>
      </c>
      <c r="C22" s="34">
        <f>'A-12'!H98</f>
        <v>301</v>
      </c>
      <c r="D22" s="34">
        <f>'A-12'!H146</f>
        <v>1135</v>
      </c>
      <c r="E22" s="34">
        <f>'A-12'!H194</f>
        <v>38</v>
      </c>
      <c r="F22" s="34">
        <f>'A-12'!H242</f>
        <v>1600</v>
      </c>
      <c r="G22" s="34" t="s">
        <v>23</v>
      </c>
      <c r="H22" s="34" t="s">
        <v>23</v>
      </c>
      <c r="I22" s="34">
        <v>0</v>
      </c>
      <c r="J22" s="34">
        <f t="shared" si="2"/>
        <v>1600</v>
      </c>
      <c r="K22" s="125"/>
      <c r="L22" s="125"/>
      <c r="M22" s="40"/>
    </row>
    <row r="23" spans="1:13" ht="11.25" customHeight="1">
      <c r="A23" s="9"/>
      <c r="B23" s="9"/>
      <c r="C23" s="9"/>
      <c r="D23" s="9"/>
      <c r="E23" s="34"/>
      <c r="F23" s="34"/>
      <c r="G23" s="34"/>
      <c r="H23" s="34"/>
      <c r="I23" s="34"/>
      <c r="J23" s="34"/>
    </row>
    <row r="24" spans="1:13" ht="11.25" customHeight="1">
      <c r="A24" s="325" t="s">
        <v>104</v>
      </c>
      <c r="B24" s="325"/>
      <c r="C24" s="325"/>
      <c r="D24" s="325"/>
      <c r="E24" s="325"/>
      <c r="F24" s="325"/>
      <c r="G24" s="325"/>
      <c r="H24" s="325"/>
      <c r="I24" s="325"/>
      <c r="J24" s="325"/>
    </row>
    <row r="25" spans="1:13" ht="11.25" customHeight="1">
      <c r="A25" s="9" t="s">
        <v>56</v>
      </c>
      <c r="B25" s="34">
        <f>'A-13'!G260</f>
        <v>10074.200000000001</v>
      </c>
      <c r="C25" s="34">
        <f>'A-13'!G279</f>
        <v>7061</v>
      </c>
      <c r="D25" s="34">
        <f>'A-13'!G301</f>
        <v>34995.4</v>
      </c>
      <c r="E25" s="34">
        <f>'A-13'!G320</f>
        <v>9172.4</v>
      </c>
      <c r="F25" s="34">
        <f>'A-13'!G342</f>
        <v>61303</v>
      </c>
      <c r="G25" s="34">
        <v>901</v>
      </c>
      <c r="H25" s="34">
        <v>184</v>
      </c>
      <c r="I25" s="34">
        <v>203</v>
      </c>
      <c r="J25" s="34">
        <f>SUM(F25:I25)</f>
        <v>62591</v>
      </c>
      <c r="K25" s="125"/>
      <c r="L25" s="125"/>
    </row>
    <row r="26" spans="1:13" ht="11.25" customHeight="1">
      <c r="A26" s="9" t="s">
        <v>78</v>
      </c>
      <c r="B26" s="34">
        <f>'A-13'!G261</f>
        <v>9600.6</v>
      </c>
      <c r="C26" s="34">
        <f>'A-13'!G280</f>
        <v>4251</v>
      </c>
      <c r="D26" s="34">
        <f>'A-13'!G302</f>
        <v>27281.200000000001</v>
      </c>
      <c r="E26" s="34">
        <f>'A-13'!G321</f>
        <v>5089.2</v>
      </c>
      <c r="F26" s="34">
        <f>'A-13'!G343</f>
        <v>46222</v>
      </c>
      <c r="G26" s="34">
        <v>1431</v>
      </c>
      <c r="H26" s="34">
        <v>0</v>
      </c>
      <c r="I26" s="34">
        <v>1</v>
      </c>
      <c r="J26" s="34">
        <f t="shared" ref="J26:J29" si="4">SUM(F26:I26)</f>
        <v>47654</v>
      </c>
      <c r="K26" s="125"/>
      <c r="L26" s="125"/>
    </row>
    <row r="27" spans="1:13" ht="11.25" customHeight="1">
      <c r="A27" s="9" t="s">
        <v>10</v>
      </c>
      <c r="B27" s="34">
        <f>'A-13'!G262</f>
        <v>12081.75</v>
      </c>
      <c r="C27" s="34">
        <f>'A-13'!G281</f>
        <v>2769</v>
      </c>
      <c r="D27" s="34">
        <f>'A-13'!G303</f>
        <v>13906.666666666666</v>
      </c>
      <c r="E27" s="34">
        <f>'A-13'!G322</f>
        <v>1386</v>
      </c>
      <c r="F27" s="34">
        <f>'A-13'!G344</f>
        <v>25628</v>
      </c>
      <c r="G27" s="34">
        <v>1431</v>
      </c>
      <c r="H27" s="34">
        <v>0</v>
      </c>
      <c r="I27" s="34">
        <v>1</v>
      </c>
      <c r="J27" s="34">
        <f t="shared" si="4"/>
        <v>27060</v>
      </c>
      <c r="K27" s="125"/>
      <c r="L27" s="125"/>
    </row>
    <row r="28" spans="1:13" ht="11.25" customHeight="1">
      <c r="A28" s="11" t="s">
        <v>144</v>
      </c>
      <c r="B28" s="34">
        <f>'A-13'!G263</f>
        <v>7047.75</v>
      </c>
      <c r="C28" s="34">
        <f>'A-13'!G282</f>
        <v>1502.75</v>
      </c>
      <c r="D28" s="34">
        <f>'A-13'!G304</f>
        <v>1329.25</v>
      </c>
      <c r="E28" s="34">
        <f>'A-13'!G323</f>
        <v>184.33333333333334</v>
      </c>
      <c r="F28" s="34">
        <f>'A-13'!G345</f>
        <v>10018</v>
      </c>
      <c r="G28" s="34">
        <f>AVERAGE(1490,1362,0,172,1035)</f>
        <v>811.8</v>
      </c>
      <c r="H28" s="34">
        <v>0</v>
      </c>
      <c r="I28" s="34">
        <v>0</v>
      </c>
      <c r="J28" s="34">
        <f t="shared" si="4"/>
        <v>10829.8</v>
      </c>
      <c r="K28" s="125"/>
      <c r="L28" s="125"/>
    </row>
    <row r="29" spans="1:13" ht="11.25" customHeight="1">
      <c r="A29" s="11" t="s">
        <v>166</v>
      </c>
      <c r="B29" s="34">
        <f>'A-13'!G264</f>
        <v>17310</v>
      </c>
      <c r="C29" s="34">
        <f>'A-13'!G283</f>
        <v>4480.6000000000004</v>
      </c>
      <c r="D29" s="34">
        <f>'A-13'!G305</f>
        <v>17254.2</v>
      </c>
      <c r="E29" s="34">
        <f>'A-13'!G324</f>
        <v>1292.8</v>
      </c>
      <c r="F29" s="34">
        <f>'A-13'!G346</f>
        <v>40337.599999999999</v>
      </c>
      <c r="G29" s="34">
        <f>AVERAGE(1490,1362,0,172,1035)</f>
        <v>811.8</v>
      </c>
      <c r="H29" s="34">
        <v>0</v>
      </c>
      <c r="I29" s="34">
        <v>0</v>
      </c>
      <c r="J29" s="34">
        <f t="shared" si="4"/>
        <v>41149.4</v>
      </c>
      <c r="K29" s="125"/>
      <c r="L29" s="125"/>
    </row>
    <row r="30" spans="1:13" ht="11.25" customHeight="1">
      <c r="A30" s="11" t="s">
        <v>315</v>
      </c>
      <c r="B30" s="34">
        <f>'A-13'!G265</f>
        <v>2119.1999999999998</v>
      </c>
      <c r="C30" s="34">
        <f>'A-13'!G284</f>
        <v>4767</v>
      </c>
      <c r="D30" s="34">
        <f>'A-13'!G306</f>
        <v>11528.8</v>
      </c>
      <c r="E30" s="34">
        <f>'A-13'!G325</f>
        <v>1002.6</v>
      </c>
      <c r="F30" s="34">
        <f>'A-13'!G347</f>
        <v>19417.599999999999</v>
      </c>
      <c r="G30" s="34" t="s">
        <v>23</v>
      </c>
      <c r="H30" s="34" t="s">
        <v>23</v>
      </c>
      <c r="I30" s="34">
        <v>0</v>
      </c>
      <c r="J30" s="34">
        <f t="shared" ref="J30" si="5">SUM(F30:I30)</f>
        <v>19417.599999999999</v>
      </c>
      <c r="K30" s="125"/>
      <c r="L30" s="125"/>
    </row>
    <row r="31" spans="1:13" ht="11.25" customHeight="1">
      <c r="A31" s="9">
        <v>2011</v>
      </c>
      <c r="B31" s="34">
        <f>'A-13'!G41</f>
        <v>2934</v>
      </c>
      <c r="C31" s="34">
        <f>'A-13'!G89</f>
        <v>10418</v>
      </c>
      <c r="D31" s="34">
        <f>'A-13'!G137</f>
        <v>12518</v>
      </c>
      <c r="E31" s="34">
        <f>'A-13'!G185</f>
        <v>1032</v>
      </c>
      <c r="F31" s="34">
        <f>'A-13'!G348</f>
        <v>26902</v>
      </c>
      <c r="G31" s="34" t="s">
        <v>23</v>
      </c>
      <c r="H31" s="34" t="s">
        <v>23</v>
      </c>
      <c r="I31" s="34">
        <v>0</v>
      </c>
      <c r="J31" s="34">
        <f>SUM(F31:I31)</f>
        <v>26902</v>
      </c>
      <c r="K31" s="125"/>
      <c r="L31" s="125"/>
    </row>
    <row r="32" spans="1:13" ht="11.25" customHeight="1">
      <c r="A32" s="9">
        <v>2012</v>
      </c>
      <c r="B32" s="34">
        <f>'A-13'!G42</f>
        <v>6102</v>
      </c>
      <c r="C32" s="34">
        <f>'A-13'!G90</f>
        <v>19722</v>
      </c>
      <c r="D32" s="34">
        <f>'A-13'!G138</f>
        <v>8781</v>
      </c>
      <c r="E32" s="34">
        <f>'A-13'!G186</f>
        <v>2250</v>
      </c>
      <c r="F32" s="34">
        <f>'A-13'!G349</f>
        <v>36855</v>
      </c>
      <c r="G32" s="34" t="s">
        <v>23</v>
      </c>
      <c r="H32" s="34" t="s">
        <v>23</v>
      </c>
      <c r="I32" s="34">
        <v>0</v>
      </c>
      <c r="J32" s="34">
        <f t="shared" ref="J32:J38" si="6">SUM(F32:I32)</f>
        <v>36855</v>
      </c>
      <c r="K32" s="125"/>
      <c r="L32" s="125"/>
    </row>
    <row r="33" spans="1:12" ht="11.25" customHeight="1">
      <c r="A33" s="9">
        <v>2013</v>
      </c>
      <c r="B33" s="34">
        <f>'A-13'!G43</f>
        <v>5971</v>
      </c>
      <c r="C33" s="34">
        <f>'A-13'!G91</f>
        <v>8388</v>
      </c>
      <c r="D33" s="34">
        <f>'A-13'!G139</f>
        <v>25171</v>
      </c>
      <c r="E33" s="34">
        <f>'A-13'!G187</f>
        <v>560</v>
      </c>
      <c r="F33" s="34">
        <f>'A-13'!G350</f>
        <v>40090</v>
      </c>
      <c r="G33" s="34" t="s">
        <v>23</v>
      </c>
      <c r="H33" s="34" t="s">
        <v>23</v>
      </c>
      <c r="I33" s="34">
        <v>0</v>
      </c>
      <c r="J33" s="34">
        <f t="shared" si="6"/>
        <v>40090</v>
      </c>
      <c r="K33" s="125"/>
      <c r="L33" s="125"/>
    </row>
    <row r="34" spans="1:12" ht="11.25" customHeight="1">
      <c r="A34" s="9">
        <v>2014</v>
      </c>
      <c r="B34" s="34">
        <f>'A-13'!G44</f>
        <v>3326</v>
      </c>
      <c r="C34" s="34">
        <f>'A-13'!G92</f>
        <v>13851</v>
      </c>
      <c r="D34" s="34">
        <f>'A-13'!G140</f>
        <v>12550</v>
      </c>
      <c r="E34" s="34">
        <f>'A-13'!G188</f>
        <v>8980</v>
      </c>
      <c r="F34" s="34">
        <f>'A-13'!G351</f>
        <v>38707</v>
      </c>
      <c r="G34" s="34" t="s">
        <v>23</v>
      </c>
      <c r="H34" s="34" t="s">
        <v>23</v>
      </c>
      <c r="I34" s="34">
        <v>0</v>
      </c>
      <c r="J34" s="34">
        <f t="shared" si="6"/>
        <v>38707</v>
      </c>
      <c r="K34" s="125"/>
      <c r="L34" s="125"/>
    </row>
    <row r="35" spans="1:12" ht="11.25" customHeight="1">
      <c r="A35" s="9">
        <v>2015</v>
      </c>
      <c r="B35" s="34">
        <f>'A-13'!G45</f>
        <v>4698</v>
      </c>
      <c r="C35" s="34">
        <f>'A-13'!G93</f>
        <v>13180</v>
      </c>
      <c r="D35" s="34">
        <f>'A-13'!G141</f>
        <v>33410</v>
      </c>
      <c r="E35" s="34">
        <f>'A-13'!G189</f>
        <v>4025</v>
      </c>
      <c r="F35" s="34">
        <f>'A-13'!G352</f>
        <v>55313</v>
      </c>
      <c r="G35" s="34" t="s">
        <v>23</v>
      </c>
      <c r="H35" s="34" t="s">
        <v>23</v>
      </c>
      <c r="I35" s="34">
        <v>0</v>
      </c>
      <c r="J35" s="34">
        <f t="shared" si="6"/>
        <v>55313</v>
      </c>
      <c r="K35" s="125"/>
      <c r="L35" s="125"/>
    </row>
    <row r="36" spans="1:12" ht="11.25" customHeight="1">
      <c r="A36" s="11">
        <v>2016</v>
      </c>
      <c r="B36" s="34">
        <f>'A-13'!G46</f>
        <v>1788</v>
      </c>
      <c r="C36" s="34">
        <f>'A-13'!G94</f>
        <v>4173</v>
      </c>
      <c r="D36" s="34">
        <f>'A-13'!G142</f>
        <v>9724</v>
      </c>
      <c r="E36" s="34">
        <f>'A-13'!G190</f>
        <v>1659</v>
      </c>
      <c r="F36" s="34">
        <f>'A-13'!G353</f>
        <v>17344</v>
      </c>
      <c r="G36" s="34" t="s">
        <v>23</v>
      </c>
      <c r="H36" s="34" t="s">
        <v>23</v>
      </c>
      <c r="I36" s="34">
        <v>0</v>
      </c>
      <c r="J36" s="34">
        <f t="shared" si="6"/>
        <v>17344</v>
      </c>
      <c r="K36" s="125"/>
      <c r="L36" s="125"/>
    </row>
    <row r="37" spans="1:12" ht="11.25" customHeight="1">
      <c r="A37" s="11">
        <v>2017</v>
      </c>
      <c r="B37" s="34">
        <f>'A-13'!G47</f>
        <v>6351</v>
      </c>
      <c r="C37" s="34">
        <f>'A-13'!G95</f>
        <v>4831</v>
      </c>
      <c r="D37" s="34">
        <f>'A-13'!G143</f>
        <v>21177</v>
      </c>
      <c r="E37" s="34">
        <f>'A-13'!G191</f>
        <v>574</v>
      </c>
      <c r="F37" s="34">
        <f>'A-13'!G354</f>
        <v>32933</v>
      </c>
      <c r="G37" s="34" t="s">
        <v>23</v>
      </c>
      <c r="H37" s="34" t="s">
        <v>23</v>
      </c>
      <c r="I37" s="34">
        <v>0</v>
      </c>
      <c r="J37" s="34">
        <f t="shared" si="6"/>
        <v>32933</v>
      </c>
      <c r="K37" s="125"/>
      <c r="L37" s="125"/>
    </row>
    <row r="38" spans="1:12" ht="11.25" customHeight="1">
      <c r="A38" s="95">
        <v>2018</v>
      </c>
      <c r="B38" s="34">
        <f>'A-13'!G48</f>
        <v>7276</v>
      </c>
      <c r="C38" s="34">
        <f>'A-13'!G96</f>
        <v>3208</v>
      </c>
      <c r="D38" s="34">
        <f>'A-13'!G144</f>
        <v>12941</v>
      </c>
      <c r="E38" s="34">
        <f>'A-13'!G192</f>
        <v>131</v>
      </c>
      <c r="F38" s="34">
        <f>'A-13'!G355</f>
        <v>23556</v>
      </c>
      <c r="G38" s="34" t="s">
        <v>23</v>
      </c>
      <c r="H38" s="34" t="s">
        <v>23</v>
      </c>
      <c r="I38" s="34">
        <v>0</v>
      </c>
      <c r="J38" s="34">
        <f t="shared" si="6"/>
        <v>23556</v>
      </c>
      <c r="K38" s="125"/>
      <c r="L38" s="125"/>
    </row>
    <row r="39" spans="1:12" ht="11.25" customHeight="1">
      <c r="A39" s="95">
        <v>2019</v>
      </c>
      <c r="B39" s="34">
        <f>'A-13'!G49</f>
        <v>13823</v>
      </c>
      <c r="C39" s="34">
        <f>'A-13'!G97</f>
        <v>6385</v>
      </c>
      <c r="D39" s="34">
        <f>'A-13'!G145</f>
        <v>2339</v>
      </c>
      <c r="E39" s="34">
        <f>'A-13'!G193</f>
        <v>229</v>
      </c>
      <c r="F39" s="34">
        <f>'A-13'!G356</f>
        <v>22776</v>
      </c>
      <c r="G39" s="34" t="s">
        <v>23</v>
      </c>
      <c r="H39" s="34" t="s">
        <v>23</v>
      </c>
      <c r="I39" s="34">
        <v>0</v>
      </c>
      <c r="J39" s="34">
        <f>SUM(F39:I39)</f>
        <v>22776</v>
      </c>
      <c r="K39" s="125"/>
      <c r="L39" s="125"/>
    </row>
    <row r="40" spans="1:12" ht="11.25" customHeight="1">
      <c r="A40" s="95">
        <v>2020</v>
      </c>
      <c r="B40" s="34">
        <f>'A-13'!G50</f>
        <v>1418</v>
      </c>
      <c r="C40" s="34">
        <f>'A-13'!G98</f>
        <v>4647</v>
      </c>
      <c r="D40" s="34">
        <f>'A-13'!G146</f>
        <v>5867</v>
      </c>
      <c r="E40" s="34">
        <f>'A-13'!G194</f>
        <v>378</v>
      </c>
      <c r="F40" s="34">
        <f>'A-13'!G357</f>
        <v>12310</v>
      </c>
      <c r="G40" s="34" t="s">
        <v>23</v>
      </c>
      <c r="H40" s="34" t="s">
        <v>23</v>
      </c>
      <c r="I40" s="34">
        <v>0</v>
      </c>
      <c r="J40" s="34">
        <f>SUM(F40:I40)</f>
        <v>12310</v>
      </c>
      <c r="K40" s="125"/>
      <c r="L40" s="125"/>
    </row>
    <row r="41" spans="1:12" ht="11.25" customHeight="1">
      <c r="A41" s="95" t="s">
        <v>317</v>
      </c>
      <c r="B41" s="34">
        <f>'A-13'!G51</f>
        <v>940</v>
      </c>
      <c r="C41" s="34">
        <f>'A-13'!G99</f>
        <v>3255</v>
      </c>
      <c r="D41" s="34">
        <f>'A-13'!G147</f>
        <v>14744</v>
      </c>
      <c r="E41" s="34">
        <f>'A-13'!G195</f>
        <v>146</v>
      </c>
      <c r="F41" s="34">
        <f>'A-13'!G358</f>
        <v>19085</v>
      </c>
      <c r="G41" s="34" t="s">
        <v>23</v>
      </c>
      <c r="H41" s="34" t="s">
        <v>23</v>
      </c>
      <c r="I41" s="34">
        <v>0</v>
      </c>
      <c r="J41" s="34">
        <f>SUM(F41:I41)</f>
        <v>19085</v>
      </c>
      <c r="K41" s="125"/>
      <c r="L41" s="125"/>
    </row>
    <row r="42" spans="1:12" ht="11.25" customHeight="1"/>
    <row r="43" spans="1:12" ht="11.25" customHeight="1">
      <c r="A43" s="316" t="s">
        <v>8</v>
      </c>
      <c r="B43" s="316"/>
      <c r="C43" s="316"/>
      <c r="D43" s="316"/>
      <c r="E43" s="316"/>
      <c r="F43" s="316"/>
      <c r="G43" s="316"/>
      <c r="H43" s="316"/>
      <c r="I43" s="316"/>
      <c r="J43" s="316"/>
    </row>
    <row r="44" spans="1:12" ht="11.25" customHeight="1">
      <c r="A44" s="309"/>
      <c r="B44" s="309"/>
      <c r="C44" s="309"/>
      <c r="D44" s="309"/>
      <c r="E44" s="309"/>
      <c r="F44" s="309"/>
      <c r="G44" s="309"/>
      <c r="H44" s="309"/>
      <c r="I44" s="309"/>
      <c r="J44" s="309"/>
    </row>
    <row r="45" spans="1:12" ht="11.25" customHeight="1">
      <c r="A45" s="108" t="s">
        <v>46</v>
      </c>
      <c r="B45" s="108"/>
      <c r="C45" s="108"/>
      <c r="D45" s="108"/>
      <c r="E45" s="112"/>
      <c r="F45" s="112" t="s">
        <v>53</v>
      </c>
      <c r="G45" s="112"/>
      <c r="H45" s="112"/>
      <c r="I45" s="112"/>
      <c r="J45" s="112"/>
    </row>
    <row r="46" spans="1:12" ht="12.5" customHeight="1">
      <c r="A46" s="8" t="s">
        <v>111</v>
      </c>
      <c r="B46" s="217" t="s">
        <v>252</v>
      </c>
      <c r="C46" s="35" t="s">
        <v>60</v>
      </c>
      <c r="D46" s="35" t="s">
        <v>58</v>
      </c>
      <c r="E46" s="35" t="s">
        <v>57</v>
      </c>
      <c r="F46" s="35" t="s">
        <v>51</v>
      </c>
      <c r="G46" s="35" t="s">
        <v>21</v>
      </c>
      <c r="H46" s="35" t="s">
        <v>54</v>
      </c>
      <c r="I46" s="35" t="s">
        <v>52</v>
      </c>
      <c r="J46" s="35" t="s">
        <v>55</v>
      </c>
    </row>
    <row r="47" spans="1:12" ht="11.25" customHeight="1">
      <c r="A47" s="325" t="s">
        <v>105</v>
      </c>
      <c r="B47" s="325"/>
      <c r="C47" s="325"/>
      <c r="D47" s="325"/>
      <c r="E47" s="325"/>
      <c r="F47" s="325"/>
      <c r="G47" s="325"/>
      <c r="H47" s="325"/>
      <c r="I47" s="325"/>
      <c r="J47" s="325"/>
    </row>
    <row r="48" spans="1:12" ht="11.25" customHeight="1">
      <c r="A48" s="9" t="s">
        <v>56</v>
      </c>
      <c r="B48" s="34">
        <f>'A-13'!N260</f>
        <v>42272</v>
      </c>
      <c r="C48" s="34">
        <f>'A-13'!N279</f>
        <v>34019.5</v>
      </c>
      <c r="D48" s="34">
        <f>'A-13'!N301</f>
        <v>63632.5</v>
      </c>
      <c r="E48" s="34">
        <f>'A-13'!N320</f>
        <v>32086.799999999999</v>
      </c>
      <c r="F48" s="34">
        <f>'A-13'!N342</f>
        <v>152480.4</v>
      </c>
      <c r="G48" s="34">
        <v>8260</v>
      </c>
      <c r="H48" s="34">
        <v>33</v>
      </c>
      <c r="I48" s="34">
        <v>876</v>
      </c>
      <c r="J48" s="34">
        <f>SUM(F48:I48)</f>
        <v>161649.4</v>
      </c>
      <c r="K48" s="125"/>
      <c r="L48" s="125"/>
    </row>
    <row r="49" spans="1:12" ht="11.25" customHeight="1">
      <c r="A49" s="9" t="s">
        <v>78</v>
      </c>
      <c r="B49" s="34">
        <f>'A-13'!N261</f>
        <v>19563.2</v>
      </c>
      <c r="C49" s="34">
        <f>'A-13'!N280</f>
        <v>4139.25</v>
      </c>
      <c r="D49" s="34">
        <f>'A-13'!N302</f>
        <v>15615.5</v>
      </c>
      <c r="E49" s="34">
        <f>'A-13'!N321</f>
        <v>23764.5</v>
      </c>
      <c r="F49" s="34">
        <f>'A-13'!N343</f>
        <v>54378.6</v>
      </c>
      <c r="G49" s="34">
        <v>1501</v>
      </c>
      <c r="H49" s="34">
        <v>0</v>
      </c>
      <c r="I49" s="34">
        <v>103</v>
      </c>
      <c r="J49" s="34">
        <f t="shared" ref="J49:J53" si="7">SUM(F49:I49)</f>
        <v>55982.6</v>
      </c>
      <c r="K49" s="125"/>
      <c r="L49" s="125"/>
    </row>
    <row r="50" spans="1:12" ht="11.25" customHeight="1">
      <c r="A50" s="9" t="s">
        <v>10</v>
      </c>
      <c r="B50" s="34">
        <f>'A-13'!N262</f>
        <v>13939</v>
      </c>
      <c r="C50" s="34">
        <f>'A-13'!N281</f>
        <v>2876.25</v>
      </c>
      <c r="D50" s="34">
        <f>'A-13'!N303</f>
        <v>8689</v>
      </c>
      <c r="E50" s="34">
        <f>'A-13'!N322</f>
        <v>5956.666666666667</v>
      </c>
      <c r="F50" s="34">
        <f>'A-13'!N344</f>
        <v>27799.5</v>
      </c>
      <c r="G50" s="34">
        <v>1501</v>
      </c>
      <c r="H50" s="34">
        <v>0</v>
      </c>
      <c r="I50" s="34">
        <v>103</v>
      </c>
      <c r="J50" s="34">
        <f t="shared" si="7"/>
        <v>29403.5</v>
      </c>
      <c r="K50" s="125"/>
      <c r="L50" s="125"/>
    </row>
    <row r="51" spans="1:12" ht="11.25" customHeight="1">
      <c r="A51" s="11" t="s">
        <v>144</v>
      </c>
      <c r="B51" s="34">
        <f>'A-13'!N263</f>
        <v>7477.5</v>
      </c>
      <c r="C51" s="34">
        <f>'A-13'!N282</f>
        <v>850.5</v>
      </c>
      <c r="D51" s="34">
        <f>'A-13'!N304</f>
        <v>2387</v>
      </c>
      <c r="E51" s="34">
        <f>'A-13'!N323</f>
        <v>1413</v>
      </c>
      <c r="F51" s="34">
        <f>'A-13'!N345</f>
        <v>8881</v>
      </c>
      <c r="G51" s="34">
        <f>AVERAGE(0,0,0,0,0)</f>
        <v>0</v>
      </c>
      <c r="H51" s="38" t="s">
        <v>23</v>
      </c>
      <c r="I51" s="34">
        <v>103</v>
      </c>
      <c r="J51" s="34">
        <f t="shared" si="7"/>
        <v>8984</v>
      </c>
      <c r="K51" s="125"/>
      <c r="L51" s="125"/>
    </row>
    <row r="52" spans="1:12" ht="11.25" customHeight="1">
      <c r="A52" s="11" t="s">
        <v>166</v>
      </c>
      <c r="B52" s="34">
        <f>'A-13'!N264</f>
        <v>1230.75</v>
      </c>
      <c r="C52" s="34">
        <f>'A-13'!N283</f>
        <v>1554.5</v>
      </c>
      <c r="D52" s="34">
        <f>'A-13'!N305</f>
        <v>3240</v>
      </c>
      <c r="E52" s="34">
        <f>'A-13'!N324</f>
        <v>928.6</v>
      </c>
      <c r="F52" s="34">
        <f>'A-13'!N346</f>
        <v>6396.8</v>
      </c>
      <c r="G52" s="34">
        <f>AVERAGE(0,0,0,0,0)</f>
        <v>0</v>
      </c>
      <c r="H52" s="38" t="s">
        <v>23</v>
      </c>
      <c r="I52" s="34">
        <v>103</v>
      </c>
      <c r="J52" s="34">
        <f t="shared" si="7"/>
        <v>6499.8</v>
      </c>
      <c r="K52" s="125"/>
      <c r="L52" s="125"/>
    </row>
    <row r="53" spans="1:12" ht="11.25" customHeight="1">
      <c r="A53" s="11" t="s">
        <v>315</v>
      </c>
      <c r="B53" s="34">
        <f>'A-13'!N265</f>
        <v>213.2</v>
      </c>
      <c r="C53" s="34">
        <f>'A-13'!N284</f>
        <v>1942.6</v>
      </c>
      <c r="D53" s="34">
        <f>'A-13'!N306</f>
        <v>2963.2</v>
      </c>
      <c r="E53" s="34">
        <f>'A-13'!N325</f>
        <v>1084.2</v>
      </c>
      <c r="F53" s="34">
        <f>'A-13'!N347</f>
        <v>6203.2</v>
      </c>
      <c r="G53" s="34" t="s">
        <v>23</v>
      </c>
      <c r="H53" s="34" t="s">
        <v>23</v>
      </c>
      <c r="I53" s="34">
        <v>0</v>
      </c>
      <c r="J53" s="34">
        <f t="shared" si="7"/>
        <v>6203.2</v>
      </c>
      <c r="K53" s="125"/>
      <c r="L53" s="125"/>
    </row>
    <row r="54" spans="1:12" ht="11.25" customHeight="1">
      <c r="A54" s="11">
        <v>2011</v>
      </c>
      <c r="B54" s="34">
        <f>'A-13'!N266</f>
        <v>140</v>
      </c>
      <c r="C54" s="34">
        <f>'A-13'!N285</f>
        <v>1167</v>
      </c>
      <c r="D54" s="34">
        <f>'A-13'!N307</f>
        <v>1708</v>
      </c>
      <c r="E54" s="34">
        <f>'A-13'!N326</f>
        <v>38</v>
      </c>
      <c r="F54" s="34">
        <f>'A-13'!N348</f>
        <v>3053</v>
      </c>
      <c r="G54" s="34" t="s">
        <v>23</v>
      </c>
      <c r="H54" s="34" t="s">
        <v>23</v>
      </c>
      <c r="I54" s="34">
        <v>0</v>
      </c>
      <c r="J54" s="34">
        <f t="shared" ref="J54:J58" si="8">SUM(F54:I54)</f>
        <v>3053</v>
      </c>
      <c r="K54" s="125"/>
      <c r="L54" s="125"/>
    </row>
    <row r="55" spans="1:12" ht="11.25" customHeight="1">
      <c r="A55" s="11">
        <v>2012</v>
      </c>
      <c r="B55" s="34">
        <f>'A-13'!N267</f>
        <v>204</v>
      </c>
      <c r="C55" s="34">
        <f>'A-13'!N286</f>
        <v>2119</v>
      </c>
      <c r="D55" s="34">
        <f>'A-13'!N308</f>
        <v>856</v>
      </c>
      <c r="E55" s="34">
        <f>'A-13'!N327</f>
        <v>89</v>
      </c>
      <c r="F55" s="34">
        <f>'A-13'!N349</f>
        <v>3268</v>
      </c>
      <c r="G55" s="34" t="s">
        <v>23</v>
      </c>
      <c r="H55" s="34" t="s">
        <v>23</v>
      </c>
      <c r="I55" s="34">
        <v>0</v>
      </c>
      <c r="J55" s="34">
        <f t="shared" si="8"/>
        <v>3268</v>
      </c>
      <c r="K55" s="125"/>
      <c r="L55" s="125"/>
    </row>
    <row r="56" spans="1:12" ht="11.25" customHeight="1">
      <c r="A56" s="11">
        <v>2013</v>
      </c>
      <c r="B56" s="34">
        <f>'A-13'!N268</f>
        <v>309</v>
      </c>
      <c r="C56" s="34">
        <f>'A-13'!N287</f>
        <v>1846</v>
      </c>
      <c r="D56" s="34">
        <f>'A-13'!N309</f>
        <v>3759</v>
      </c>
      <c r="E56" s="34">
        <f>'A-13'!N328</f>
        <v>127</v>
      </c>
      <c r="F56" s="34">
        <f>'A-13'!N350</f>
        <v>6041</v>
      </c>
      <c r="G56" s="34" t="s">
        <v>23</v>
      </c>
      <c r="H56" s="34" t="s">
        <v>23</v>
      </c>
      <c r="I56" s="34">
        <v>0</v>
      </c>
      <c r="J56" s="34">
        <f t="shared" si="8"/>
        <v>6041</v>
      </c>
      <c r="K56" s="125"/>
      <c r="L56" s="125"/>
    </row>
    <row r="57" spans="1:12" ht="11.25" customHeight="1">
      <c r="A57" s="11">
        <v>2014</v>
      </c>
      <c r="B57" s="34">
        <f>'A-13'!N269</f>
        <v>41</v>
      </c>
      <c r="C57" s="34">
        <f>'A-13'!N288</f>
        <v>4602</v>
      </c>
      <c r="D57" s="34">
        <f>'A-13'!N310</f>
        <v>8525</v>
      </c>
      <c r="E57" s="34">
        <f>'A-13'!N329</f>
        <v>2239</v>
      </c>
      <c r="F57" s="34">
        <f>'A-13'!N351</f>
        <v>15407</v>
      </c>
      <c r="G57" s="34" t="s">
        <v>23</v>
      </c>
      <c r="H57" s="34" t="s">
        <v>23</v>
      </c>
      <c r="I57" s="34">
        <v>0</v>
      </c>
      <c r="J57" s="34">
        <f t="shared" si="8"/>
        <v>15407</v>
      </c>
      <c r="K57" s="125"/>
      <c r="L57" s="125"/>
    </row>
    <row r="58" spans="1:12" ht="11.25" customHeight="1">
      <c r="A58" s="9">
        <v>2015</v>
      </c>
      <c r="B58" s="34">
        <f>'A-13'!N270</f>
        <v>34</v>
      </c>
      <c r="C58" s="34">
        <f>'A-13'!N289</f>
        <v>309</v>
      </c>
      <c r="D58" s="34">
        <f>'A-13'!N311</f>
        <v>1839</v>
      </c>
      <c r="E58" s="34">
        <f>'A-13'!N330</f>
        <v>690</v>
      </c>
      <c r="F58" s="34">
        <f>'A-13'!N352</f>
        <v>2872</v>
      </c>
      <c r="G58" s="34" t="s">
        <v>23</v>
      </c>
      <c r="H58" s="34" t="s">
        <v>23</v>
      </c>
      <c r="I58" s="34">
        <v>0</v>
      </c>
      <c r="J58" s="34">
        <f t="shared" si="8"/>
        <v>2872</v>
      </c>
      <c r="K58" s="125"/>
      <c r="L58" s="125"/>
    </row>
    <row r="59" spans="1:12" ht="11.25" customHeight="1">
      <c r="A59" s="11">
        <v>2016</v>
      </c>
      <c r="B59" s="34" t="s">
        <v>23</v>
      </c>
      <c r="C59" s="34" t="s">
        <v>23</v>
      </c>
      <c r="D59" s="34" t="s">
        <v>23</v>
      </c>
      <c r="E59" s="34" t="s">
        <v>23</v>
      </c>
      <c r="F59" s="34" t="s">
        <v>23</v>
      </c>
      <c r="G59" s="34" t="s">
        <v>23</v>
      </c>
      <c r="H59" s="34" t="s">
        <v>23</v>
      </c>
      <c r="I59" s="34" t="s">
        <v>23</v>
      </c>
      <c r="J59" s="34" t="s">
        <v>23</v>
      </c>
      <c r="K59" s="125"/>
      <c r="L59" s="125"/>
    </row>
    <row r="60" spans="1:12" ht="11.25" customHeight="1">
      <c r="A60" s="11">
        <v>2017</v>
      </c>
      <c r="B60" s="34">
        <f>'A-13'!N272</f>
        <v>311</v>
      </c>
      <c r="C60" s="34">
        <f>'A-13'!N291</f>
        <v>402</v>
      </c>
      <c r="D60" s="34">
        <f>'A-13'!N313</f>
        <v>524</v>
      </c>
      <c r="E60" s="34">
        <f>'A-13'!N332</f>
        <v>131</v>
      </c>
      <c r="F60" s="34">
        <f>'A-13'!N354</f>
        <v>1368</v>
      </c>
      <c r="G60" s="34" t="s">
        <v>23</v>
      </c>
      <c r="H60" s="34" t="s">
        <v>23</v>
      </c>
      <c r="I60" s="34" t="s">
        <v>23</v>
      </c>
      <c r="J60" s="34">
        <f>SUM(F60:I60)</f>
        <v>1368</v>
      </c>
      <c r="K60" s="125"/>
      <c r="L60" s="125"/>
    </row>
    <row r="61" spans="1:12" ht="12" customHeight="1">
      <c r="A61" s="95">
        <v>2018</v>
      </c>
      <c r="B61" s="34">
        <f>'A-13'!N273</f>
        <v>405</v>
      </c>
      <c r="C61" s="34">
        <f>'A-13'!N292</f>
        <v>488</v>
      </c>
      <c r="D61" s="34">
        <f>'A-13'!N314</f>
        <v>366</v>
      </c>
      <c r="E61" s="34">
        <f>'A-13'!N333</f>
        <v>33</v>
      </c>
      <c r="F61" s="34">
        <f>'A-13'!N355</f>
        <v>1292</v>
      </c>
      <c r="G61" s="34" t="s">
        <v>23</v>
      </c>
      <c r="H61" s="34" t="s">
        <v>23</v>
      </c>
      <c r="I61" s="34" t="s">
        <v>23</v>
      </c>
      <c r="J61" s="34">
        <f>SUM(F61:I61)</f>
        <v>1292</v>
      </c>
      <c r="K61" s="125"/>
      <c r="L61" s="125"/>
    </row>
    <row r="62" spans="1:12" ht="12" customHeight="1">
      <c r="A62" s="95">
        <v>2019</v>
      </c>
      <c r="B62" s="34">
        <f>'A-13'!N274</f>
        <v>1117</v>
      </c>
      <c r="C62" s="34">
        <f>'A-13'!N293</f>
        <v>1290</v>
      </c>
      <c r="D62" s="34">
        <f>'A-13'!N315</f>
        <v>1331</v>
      </c>
      <c r="E62" s="34">
        <f>'A-13'!N334</f>
        <v>259</v>
      </c>
      <c r="F62" s="34">
        <f>'A-13'!N356</f>
        <v>3997</v>
      </c>
      <c r="G62" s="34" t="s">
        <v>23</v>
      </c>
      <c r="H62" s="34" t="s">
        <v>23</v>
      </c>
      <c r="I62" s="34" t="s">
        <v>23</v>
      </c>
      <c r="J62" s="34">
        <f>SUM(F62:I62)</f>
        <v>3997</v>
      </c>
      <c r="K62" s="125"/>
      <c r="L62" s="125"/>
    </row>
    <row r="63" spans="1:12" ht="12" customHeight="1">
      <c r="A63" s="95">
        <v>2020</v>
      </c>
      <c r="B63" s="34">
        <f>'A-13'!N275</f>
        <v>45</v>
      </c>
      <c r="C63" s="34">
        <f>'A-13'!N294</f>
        <v>204</v>
      </c>
      <c r="D63" s="34">
        <f>'A-13'!N316</f>
        <v>373</v>
      </c>
      <c r="E63" s="34">
        <f>'A-13'!N335</f>
        <v>15</v>
      </c>
      <c r="F63" s="34">
        <f>'A-13'!N357</f>
        <v>637</v>
      </c>
      <c r="G63" s="34" t="s">
        <v>23</v>
      </c>
      <c r="H63" s="34" t="s">
        <v>23</v>
      </c>
      <c r="I63" s="34" t="s">
        <v>23</v>
      </c>
      <c r="J63" s="34">
        <f>SUM(F63:I63)</f>
        <v>637</v>
      </c>
      <c r="K63" s="125"/>
      <c r="L63" s="125"/>
    </row>
    <row r="64" spans="1:12" ht="12" customHeight="1">
      <c r="A64" s="95" t="s">
        <v>317</v>
      </c>
      <c r="B64" s="34">
        <f>'A-13'!N276</f>
        <v>67</v>
      </c>
      <c r="C64" s="34">
        <f>'A-13'!N295</f>
        <v>417</v>
      </c>
      <c r="D64" s="34">
        <f>'A-13'!N317</f>
        <v>2763</v>
      </c>
      <c r="E64" s="34">
        <f>'A-13'!N336</f>
        <v>123</v>
      </c>
      <c r="F64" s="34">
        <f>'A-13'!N358</f>
        <v>3370</v>
      </c>
      <c r="G64" s="34" t="s">
        <v>23</v>
      </c>
      <c r="H64" s="34" t="s">
        <v>23</v>
      </c>
      <c r="I64" s="34" t="s">
        <v>23</v>
      </c>
      <c r="J64" s="34">
        <f>SUM(F64:I64)</f>
        <v>3370</v>
      </c>
      <c r="K64" s="125"/>
      <c r="L64" s="125"/>
    </row>
    <row r="65" spans="1:10" ht="11.25" customHeight="1">
      <c r="A65" s="9"/>
      <c r="B65" s="9"/>
      <c r="C65" s="9"/>
      <c r="D65" s="34"/>
      <c r="E65" s="34"/>
      <c r="F65" s="34"/>
      <c r="G65" s="34"/>
      <c r="H65" s="34"/>
      <c r="I65" s="34"/>
      <c r="J65" s="34"/>
    </row>
    <row r="66" spans="1:10" ht="11.25" customHeight="1">
      <c r="A66" s="325" t="s">
        <v>223</v>
      </c>
      <c r="B66" s="325"/>
      <c r="C66" s="325"/>
      <c r="D66" s="325"/>
      <c r="E66" s="325"/>
      <c r="F66" s="325"/>
      <c r="G66" s="325"/>
      <c r="H66" s="325"/>
      <c r="I66" s="325"/>
      <c r="J66" s="325"/>
    </row>
    <row r="67" spans="1:10" ht="11.25" customHeight="1">
      <c r="A67" s="9" t="s">
        <v>56</v>
      </c>
      <c r="B67" s="34">
        <f>'A-13'!U260</f>
        <v>107619.66666666667</v>
      </c>
      <c r="C67" s="34">
        <f>'A-13'!U279</f>
        <v>22914.333333333332</v>
      </c>
      <c r="D67" s="34">
        <f>'A-13'!U301</f>
        <v>7588.666666666667</v>
      </c>
      <c r="E67" s="34">
        <f>'A-13'!U320</f>
        <v>1271.6666666666667</v>
      </c>
      <c r="F67" s="34">
        <f>'A-13'!U342</f>
        <v>139394.33333333334</v>
      </c>
      <c r="G67" s="34">
        <v>342</v>
      </c>
      <c r="H67" s="34">
        <v>1</v>
      </c>
      <c r="I67" s="34">
        <v>263</v>
      </c>
      <c r="J67" s="34">
        <f>SUM(F67:I67)</f>
        <v>140000.33333333334</v>
      </c>
    </row>
    <row r="68" spans="1:10" ht="11.25" customHeight="1">
      <c r="A68" s="9" t="s">
        <v>78</v>
      </c>
      <c r="B68" s="34">
        <f>'A-13'!U261</f>
        <v>18893.5</v>
      </c>
      <c r="C68" s="34">
        <f>'A-13'!U280</f>
        <v>364</v>
      </c>
      <c r="D68" s="34">
        <f>'A-13'!U302</f>
        <v>412</v>
      </c>
      <c r="E68" s="34">
        <f>'A-13'!U321</f>
        <v>44.5</v>
      </c>
      <c r="F68" s="34">
        <f>'A-13'!U343</f>
        <v>19714</v>
      </c>
      <c r="G68" s="34">
        <v>19</v>
      </c>
      <c r="H68" s="34">
        <v>0</v>
      </c>
      <c r="I68" s="34">
        <v>0</v>
      </c>
      <c r="J68" s="34">
        <f t="shared" ref="J68:J71" si="9">SUM(F68:I68)</f>
        <v>19733</v>
      </c>
    </row>
    <row r="69" spans="1:10" ht="11.25" customHeight="1">
      <c r="A69" s="9" t="s">
        <v>10</v>
      </c>
      <c r="B69" s="34">
        <f>'A-13'!U262</f>
        <v>23992</v>
      </c>
      <c r="C69" s="34">
        <f>'A-13'!U281</f>
        <v>1773</v>
      </c>
      <c r="D69" s="34">
        <f>'A-13'!U303</f>
        <v>11</v>
      </c>
      <c r="E69" s="34">
        <f>'A-13'!U322</f>
        <v>29.5</v>
      </c>
      <c r="F69" s="34">
        <f>'A-13'!U344</f>
        <v>25792</v>
      </c>
      <c r="G69" s="34">
        <v>19</v>
      </c>
      <c r="H69" s="34">
        <v>0</v>
      </c>
      <c r="I69" s="34">
        <v>0</v>
      </c>
      <c r="J69" s="34">
        <f t="shared" si="9"/>
        <v>25811</v>
      </c>
    </row>
    <row r="70" spans="1:10" ht="11.25" customHeight="1">
      <c r="A70" s="11" t="s">
        <v>144</v>
      </c>
      <c r="B70" s="34">
        <f>'A-13'!U263</f>
        <v>21</v>
      </c>
      <c r="C70" s="34">
        <f>'A-13'!U282</f>
        <v>6.5</v>
      </c>
      <c r="D70" s="34">
        <f>'A-13'!U304</f>
        <v>1.5</v>
      </c>
      <c r="E70" s="34">
        <f>'A-13'!U323</f>
        <v>0</v>
      </c>
      <c r="F70" s="34">
        <f>'A-13'!U345</f>
        <v>29</v>
      </c>
      <c r="G70" s="34">
        <v>19</v>
      </c>
      <c r="H70" s="34">
        <v>0</v>
      </c>
      <c r="I70" s="34">
        <v>0</v>
      </c>
      <c r="J70" s="34">
        <f t="shared" si="9"/>
        <v>48</v>
      </c>
    </row>
    <row r="71" spans="1:10" ht="11.25" customHeight="1">
      <c r="A71" s="11" t="s">
        <v>166</v>
      </c>
      <c r="B71" s="34">
        <f>'A-13'!U264</f>
        <v>28.666666666666668</v>
      </c>
      <c r="C71" s="34">
        <f>'A-13'!U283</f>
        <v>37.666666666666664</v>
      </c>
      <c r="D71" s="34">
        <f>'A-13'!U305</f>
        <v>18</v>
      </c>
      <c r="E71" s="34">
        <f>'A-13'!U324</f>
        <v>12.666666666666666</v>
      </c>
      <c r="F71" s="34">
        <f>'A-13'!U346</f>
        <v>97</v>
      </c>
      <c r="G71" s="34">
        <v>19</v>
      </c>
      <c r="H71" s="34">
        <v>0</v>
      </c>
      <c r="I71" s="34">
        <v>0</v>
      </c>
      <c r="J71" s="34">
        <f t="shared" si="9"/>
        <v>116</v>
      </c>
    </row>
    <row r="72" spans="1:10" ht="11.25" customHeight="1">
      <c r="A72" s="11" t="s">
        <v>315</v>
      </c>
      <c r="B72" s="34">
        <f>'A-13'!U265</f>
        <v>16.5</v>
      </c>
      <c r="C72" s="34">
        <f>'A-13'!U284</f>
        <v>119.5</v>
      </c>
      <c r="D72" s="34">
        <f>'A-13'!U306</f>
        <v>5</v>
      </c>
      <c r="E72" s="34">
        <f>'A-13'!U325</f>
        <v>0</v>
      </c>
      <c r="F72" s="34">
        <f>'A-13'!U347</f>
        <v>141</v>
      </c>
      <c r="G72" s="34" t="s">
        <v>23</v>
      </c>
      <c r="H72" s="34" t="s">
        <v>23</v>
      </c>
      <c r="I72" s="34">
        <v>0</v>
      </c>
      <c r="J72" s="34">
        <f t="shared" ref="J72" si="10">SUM(F72:I72)</f>
        <v>141</v>
      </c>
    </row>
    <row r="73" spans="1:10" ht="11.25" customHeight="1">
      <c r="A73" s="11">
        <v>2011</v>
      </c>
      <c r="B73" s="34">
        <f>'A-13'!U41</f>
        <v>7</v>
      </c>
      <c r="C73" s="34">
        <f>'A-13'!U89</f>
        <v>98</v>
      </c>
      <c r="D73" s="34">
        <f>'A-13'!U137</f>
        <v>110</v>
      </c>
      <c r="E73" s="34">
        <f>'A-13'!U185</f>
        <v>0</v>
      </c>
      <c r="F73" s="34">
        <f>'A-13'!U348</f>
        <v>215</v>
      </c>
      <c r="G73" s="34" t="s">
        <v>23</v>
      </c>
      <c r="H73" s="34" t="s">
        <v>23</v>
      </c>
      <c r="I73" s="34">
        <v>0</v>
      </c>
      <c r="J73" s="34">
        <f>SUM(F73:I73)</f>
        <v>215</v>
      </c>
    </row>
    <row r="74" spans="1:10" ht="11.25" customHeight="1">
      <c r="A74" s="9">
        <v>2012</v>
      </c>
      <c r="B74" s="34">
        <f>'A-13'!U42</f>
        <v>0</v>
      </c>
      <c r="C74" s="34">
        <f>'A-13'!U90</f>
        <v>0</v>
      </c>
      <c r="D74" s="34">
        <f>'A-13'!U138</f>
        <v>0</v>
      </c>
      <c r="E74" s="34">
        <f>'A-13'!U186</f>
        <v>0</v>
      </c>
      <c r="F74" s="34">
        <f>'A-13'!U349</f>
        <v>0</v>
      </c>
      <c r="G74" s="34" t="s">
        <v>23</v>
      </c>
      <c r="H74" s="34" t="s">
        <v>23</v>
      </c>
      <c r="I74" s="34">
        <v>0</v>
      </c>
      <c r="J74" s="34">
        <f t="shared" ref="J74:J80" si="11">SUM(F74:I74)</f>
        <v>0</v>
      </c>
    </row>
    <row r="75" spans="1:10" ht="11.25" customHeight="1">
      <c r="A75" s="9">
        <v>2013</v>
      </c>
      <c r="B75" s="34">
        <f>'A-13'!U43</f>
        <v>27</v>
      </c>
      <c r="C75" s="34">
        <f>'A-13'!U91</f>
        <v>99</v>
      </c>
      <c r="D75" s="34">
        <f>'A-13'!U139</f>
        <v>15</v>
      </c>
      <c r="E75" s="34">
        <f>'A-13'!U187</f>
        <v>0</v>
      </c>
      <c r="F75" s="34">
        <f>'A-13'!U350</f>
        <v>141</v>
      </c>
      <c r="G75" s="34" t="s">
        <v>23</v>
      </c>
      <c r="H75" s="34" t="s">
        <v>23</v>
      </c>
      <c r="I75" s="34">
        <v>0</v>
      </c>
      <c r="J75" s="34">
        <f t="shared" si="11"/>
        <v>141</v>
      </c>
    </row>
    <row r="76" spans="1:10" ht="11.25" customHeight="1">
      <c r="A76" s="9">
        <v>2014</v>
      </c>
      <c r="B76" s="34">
        <f>'A-13'!U44</f>
        <v>0</v>
      </c>
      <c r="C76" s="34">
        <f>'A-13'!U92</f>
        <v>0</v>
      </c>
      <c r="D76" s="34">
        <f>'A-13'!U140</f>
        <v>0</v>
      </c>
      <c r="E76" s="34">
        <f>'A-13'!U188</f>
        <v>0</v>
      </c>
      <c r="F76" s="34">
        <f>'A-13'!U351</f>
        <v>0</v>
      </c>
      <c r="G76" s="34" t="s">
        <v>23</v>
      </c>
      <c r="H76" s="34" t="s">
        <v>23</v>
      </c>
      <c r="I76" s="34">
        <v>0</v>
      </c>
      <c r="J76" s="34">
        <f t="shared" si="11"/>
        <v>0</v>
      </c>
    </row>
    <row r="77" spans="1:10" ht="11.25" customHeight="1">
      <c r="A77" s="9">
        <v>2015</v>
      </c>
      <c r="B77" s="34">
        <f>'A-13'!U45</f>
        <v>20</v>
      </c>
      <c r="C77" s="34">
        <f>'A-13'!U93</f>
        <v>36</v>
      </c>
      <c r="D77" s="34">
        <f>'A-13'!U141</f>
        <v>12</v>
      </c>
      <c r="E77" s="34">
        <f>'A-13'!U189</f>
        <v>0</v>
      </c>
      <c r="F77" s="34">
        <f>'A-13'!U352</f>
        <v>68</v>
      </c>
      <c r="G77" s="34" t="s">
        <v>23</v>
      </c>
      <c r="H77" s="34" t="s">
        <v>23</v>
      </c>
      <c r="I77" s="34">
        <v>0</v>
      </c>
      <c r="J77" s="34">
        <f t="shared" si="11"/>
        <v>68</v>
      </c>
    </row>
    <row r="78" spans="1:10" ht="11.25" customHeight="1">
      <c r="A78" s="11">
        <v>2016</v>
      </c>
      <c r="B78" s="34">
        <f>'A-13'!U46</f>
        <v>0</v>
      </c>
      <c r="C78" s="34">
        <f>'A-13'!U94</f>
        <v>0</v>
      </c>
      <c r="D78" s="34">
        <f>'A-13'!U142</f>
        <v>0</v>
      </c>
      <c r="E78" s="34">
        <f>'A-13'!U190</f>
        <v>0</v>
      </c>
      <c r="F78" s="34">
        <f>'A-13'!U353</f>
        <v>0</v>
      </c>
      <c r="G78" s="34" t="s">
        <v>23</v>
      </c>
      <c r="H78" s="34" t="s">
        <v>23</v>
      </c>
      <c r="I78" s="34">
        <v>0</v>
      </c>
      <c r="J78" s="34">
        <f t="shared" si="11"/>
        <v>0</v>
      </c>
    </row>
    <row r="79" spans="1:10" ht="11.25" customHeight="1">
      <c r="A79" s="11">
        <v>2017</v>
      </c>
      <c r="B79" s="34">
        <f>'A-13'!U47</f>
        <v>11</v>
      </c>
      <c r="C79" s="34">
        <f>'A-13'!U95</f>
        <v>2</v>
      </c>
      <c r="D79" s="34">
        <f>'A-13'!U143</f>
        <v>0</v>
      </c>
      <c r="E79" s="34">
        <f>'A-13'!U191</f>
        <v>0</v>
      </c>
      <c r="F79" s="34">
        <f>'A-13'!U354</f>
        <v>13</v>
      </c>
      <c r="G79" s="34" t="s">
        <v>23</v>
      </c>
      <c r="H79" s="34" t="s">
        <v>23</v>
      </c>
      <c r="I79" s="34">
        <v>0</v>
      </c>
      <c r="J79" s="34">
        <f t="shared" si="11"/>
        <v>13</v>
      </c>
    </row>
    <row r="80" spans="1:10" ht="11.25" customHeight="1">
      <c r="A80" s="95">
        <v>2018</v>
      </c>
      <c r="B80" s="34">
        <f>'A-13'!U48</f>
        <v>0</v>
      </c>
      <c r="C80" s="34">
        <f>'A-13'!U96</f>
        <v>0</v>
      </c>
      <c r="D80" s="34">
        <f>'A-13'!U144</f>
        <v>0</v>
      </c>
      <c r="E80" s="34">
        <f>'A-13'!U192</f>
        <v>0</v>
      </c>
      <c r="F80" s="34">
        <f>'A-13'!U355</f>
        <v>0</v>
      </c>
      <c r="G80" s="34" t="s">
        <v>23</v>
      </c>
      <c r="H80" s="34" t="s">
        <v>23</v>
      </c>
      <c r="I80" s="34">
        <v>0</v>
      </c>
      <c r="J80" s="34">
        <f t="shared" si="11"/>
        <v>0</v>
      </c>
    </row>
    <row r="81" spans="1:10" ht="11.25" customHeight="1">
      <c r="A81" s="95">
        <v>2019</v>
      </c>
      <c r="B81" s="34">
        <f>'A-13'!U49</f>
        <v>230</v>
      </c>
      <c r="C81" s="34">
        <f>'A-13'!U97</f>
        <v>230</v>
      </c>
      <c r="D81" s="34">
        <f>'A-13'!U145</f>
        <v>23</v>
      </c>
      <c r="E81" s="34">
        <f>'A-13'!U193</f>
        <v>2</v>
      </c>
      <c r="F81" s="34">
        <f>'A-13'!U356</f>
        <v>485</v>
      </c>
      <c r="G81" s="34" t="s">
        <v>23</v>
      </c>
      <c r="H81" s="34" t="s">
        <v>23</v>
      </c>
      <c r="I81" s="34">
        <v>0</v>
      </c>
      <c r="J81" s="34">
        <f>SUM(F81:I81)</f>
        <v>485</v>
      </c>
    </row>
    <row r="82" spans="1:10" ht="11.25" customHeight="1">
      <c r="A82" s="95">
        <v>2020</v>
      </c>
      <c r="B82" s="34">
        <f>'A-13'!U50</f>
        <v>0</v>
      </c>
      <c r="C82" s="34">
        <f>'A-13'!U98</f>
        <v>0</v>
      </c>
      <c r="D82" s="34">
        <f>'A-13'!U146</f>
        <v>0</v>
      </c>
      <c r="E82" s="34">
        <f>'A-13'!U194</f>
        <v>0</v>
      </c>
      <c r="F82" s="34">
        <f>'A-13'!U357</f>
        <v>0</v>
      </c>
      <c r="G82" s="34" t="s">
        <v>23</v>
      </c>
      <c r="H82" s="34" t="s">
        <v>23</v>
      </c>
      <c r="I82" s="34">
        <v>0</v>
      </c>
      <c r="J82" s="34">
        <f>SUM(F82:I82)</f>
        <v>0</v>
      </c>
    </row>
    <row r="83" spans="1:10" ht="11.25" customHeight="1">
      <c r="A83" s="95" t="s">
        <v>317</v>
      </c>
      <c r="B83" s="34">
        <f>'A-13'!U51</f>
        <v>15</v>
      </c>
      <c r="C83" s="34">
        <f>'A-13'!U99</f>
        <v>16</v>
      </c>
      <c r="D83" s="34">
        <f>'A-13'!U147</f>
        <v>2</v>
      </c>
      <c r="E83" s="34">
        <f>'A-13'!U195</f>
        <v>0</v>
      </c>
      <c r="F83" s="34">
        <f>'A-13'!U358</f>
        <v>33</v>
      </c>
      <c r="G83" s="34" t="s">
        <v>23</v>
      </c>
      <c r="H83" s="34" t="s">
        <v>23</v>
      </c>
      <c r="I83" s="34">
        <v>0</v>
      </c>
      <c r="J83" s="34">
        <f>SUM(F83:I83)</f>
        <v>33</v>
      </c>
    </row>
    <row r="84" spans="1:10" ht="11.25" customHeight="1">
      <c r="A84" s="194" t="s">
        <v>185</v>
      </c>
      <c r="B84" s="194"/>
      <c r="C84" s="194"/>
      <c r="D84" s="194"/>
      <c r="E84" s="108"/>
      <c r="F84" s="108"/>
      <c r="G84" s="108"/>
      <c r="H84" s="108"/>
      <c r="I84" s="108"/>
      <c r="J84" s="108"/>
    </row>
    <row r="85" spans="1:10" ht="11.25" customHeight="1">
      <c r="A85" s="9" t="s">
        <v>42</v>
      </c>
      <c r="B85" s="9"/>
      <c r="C85" s="9"/>
      <c r="D85" s="9"/>
      <c r="E85" s="9"/>
      <c r="F85" s="9"/>
      <c r="G85" s="9"/>
      <c r="H85" s="9"/>
      <c r="I85" s="9"/>
      <c r="J85" s="9"/>
    </row>
    <row r="86" spans="1:10" ht="11.25" customHeight="1">
      <c r="A86" s="11" t="s">
        <v>335</v>
      </c>
      <c r="B86" s="11"/>
      <c r="C86" s="11"/>
      <c r="D86" s="11"/>
      <c r="E86" s="9"/>
      <c r="F86" s="9"/>
      <c r="G86" s="9"/>
      <c r="H86" s="9"/>
      <c r="I86" s="9"/>
      <c r="J86" s="9"/>
    </row>
    <row r="87" spans="1:10" ht="11.25" customHeight="1"/>
    <row r="88" spans="1:10" ht="11.25" customHeight="1"/>
    <row r="89" spans="1:10" ht="11.25" customHeight="1"/>
    <row r="90" spans="1:10" ht="11.25" customHeight="1"/>
    <row r="91" spans="1:10" ht="11.25" customHeight="1"/>
    <row r="92" spans="1:10" ht="11.25" customHeight="1"/>
    <row r="93" spans="1:10" ht="11.25" customHeight="1"/>
    <row r="94" spans="1:10" ht="11.25" customHeight="1"/>
    <row r="95" spans="1:10" ht="11.25" customHeight="1"/>
    <row r="96" spans="1:10" ht="11.25" customHeight="1"/>
    <row r="97" ht="11.25" customHeight="1"/>
    <row r="98" ht="11.25" customHeight="1"/>
    <row r="99" ht="11.25" customHeight="1"/>
    <row r="100" ht="11.25" customHeight="1"/>
    <row r="101" ht="11.25" customHeight="1"/>
    <row r="102" ht="11.25" customHeight="1"/>
    <row r="103" ht="11.25" customHeight="1"/>
    <row r="104" ht="11.25" customHeight="1"/>
    <row r="105" ht="11.25" customHeight="1"/>
    <row r="106" ht="11.25" customHeight="1"/>
    <row r="107" ht="11.25" customHeight="1"/>
    <row r="108" ht="11.25" customHeight="1"/>
    <row r="109" ht="11.25" customHeight="1"/>
    <row r="110" ht="11.25" customHeight="1"/>
    <row r="111" ht="11.25" customHeight="1"/>
    <row r="112" ht="11.25" customHeight="1"/>
    <row r="113" ht="11.25" customHeight="1"/>
    <row r="114" ht="11.25" customHeight="1"/>
    <row r="115" ht="11.25" customHeight="1"/>
    <row r="116" ht="11.25" customHeight="1"/>
    <row r="117" ht="11.25" customHeight="1"/>
    <row r="118" ht="11.25" customHeight="1"/>
    <row r="119" ht="11.25" customHeight="1"/>
    <row r="120" ht="11.25" customHeight="1"/>
    <row r="121" ht="11.25" customHeight="1"/>
    <row r="122" ht="11.25" customHeight="1"/>
    <row r="123" ht="11.25" customHeight="1"/>
    <row r="124" ht="11.25" customHeight="1"/>
    <row r="125" ht="11.25" customHeight="1"/>
    <row r="126" ht="11.25" customHeight="1"/>
    <row r="127" ht="11.25" customHeight="1"/>
    <row r="128" ht="11.25" customHeight="1"/>
    <row r="129" ht="11.25" customHeight="1"/>
    <row r="130" ht="11.25" customHeight="1"/>
    <row r="131" ht="11.25" customHeight="1"/>
    <row r="132" ht="11.25" customHeight="1"/>
    <row r="133" ht="11.25" customHeight="1"/>
    <row r="134" ht="11.25" customHeight="1"/>
    <row r="135" ht="11.25" customHeight="1"/>
    <row r="136" ht="11.25" customHeight="1"/>
    <row r="137" ht="11.25" customHeight="1"/>
    <row r="138" ht="11.25" customHeight="1"/>
    <row r="139" ht="11.25" customHeight="1"/>
    <row r="140" ht="11.25" customHeight="1"/>
    <row r="141" ht="11.25" customHeight="1"/>
    <row r="142" ht="11.25" customHeight="1"/>
    <row r="143" ht="11.25" customHeight="1"/>
    <row r="144" ht="11.25" customHeight="1"/>
    <row r="145" ht="11.25" customHeight="1"/>
    <row r="146" ht="11.25" customHeight="1"/>
    <row r="147" ht="11.25" customHeight="1"/>
    <row r="148" ht="11.25" customHeight="1"/>
    <row r="149" ht="11.25" customHeight="1"/>
    <row r="150" ht="11.25" customHeight="1"/>
    <row r="151" ht="11.25" customHeight="1"/>
    <row r="152" ht="11.25" customHeight="1"/>
    <row r="153" ht="11.25" customHeight="1"/>
    <row r="154" ht="11.25" customHeight="1"/>
    <row r="155" ht="11.25" customHeight="1"/>
    <row r="156" ht="11.25" customHeight="1"/>
    <row r="157" ht="11.25" customHeight="1"/>
    <row r="158" ht="11.25" customHeight="1"/>
    <row r="159" ht="11.25" customHeight="1"/>
    <row r="160" ht="11.25" customHeight="1"/>
    <row r="161" spans="1:4" ht="11.25" customHeight="1"/>
    <row r="162" spans="1:4" ht="11.25" customHeight="1"/>
    <row r="163" spans="1:4" ht="11.25" customHeight="1"/>
    <row r="175" spans="1:4">
      <c r="A175" s="11"/>
      <c r="B175" s="11"/>
      <c r="C175" s="11"/>
      <c r="D175" s="11"/>
    </row>
  </sheetData>
  <mergeCells count="6">
    <mergeCell ref="A1:J2"/>
    <mergeCell ref="A5:J5"/>
    <mergeCell ref="A24:J24"/>
    <mergeCell ref="A47:J47"/>
    <mergeCell ref="A66:J66"/>
    <mergeCell ref="A43:J44"/>
  </mergeCells>
  <phoneticPr fontId="10" type="noConversion"/>
  <pageMargins left="0.7" right="0.7" top="0.75" bottom="0.75" header="0.3" footer="0.3"/>
  <pageSetup scale="94" orientation="landscape" r:id="rId1"/>
  <rowBreaks count="1" manualBreakCount="1">
    <brk id="42" max="9"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5"/>
  <dimension ref="A2:M451"/>
  <sheetViews>
    <sheetView showGridLines="0" topLeftCell="A136" zoomScaleNormal="100" workbookViewId="0">
      <selection activeCell="N421" sqref="N421"/>
    </sheetView>
  </sheetViews>
  <sheetFormatPr baseColWidth="10" defaultColWidth="9" defaultRowHeight="11"/>
  <cols>
    <col min="1" max="1" width="9.1640625" style="71" customWidth="1"/>
    <col min="2" max="6" width="9.1640625" style="18" customWidth="1"/>
    <col min="7" max="7" width="8.33203125" style="18" customWidth="1"/>
    <col min="8" max="8" width="9.1640625" style="18" customWidth="1"/>
    <col min="9" max="13" width="9" style="17"/>
    <col min="14" max="16384" width="9" style="1"/>
  </cols>
  <sheetData>
    <row r="2" spans="1:13">
      <c r="A2" s="281" t="s">
        <v>191</v>
      </c>
      <c r="B2" s="281"/>
      <c r="C2" s="281"/>
      <c r="D2" s="281"/>
      <c r="E2" s="281"/>
      <c r="F2" s="281"/>
      <c r="G2" s="281"/>
      <c r="H2" s="281"/>
    </row>
    <row r="3" spans="1:13" s="119" customFormat="1" ht="13.5" customHeight="1">
      <c r="A3" s="2" t="s">
        <v>27</v>
      </c>
      <c r="B3" s="101" t="s">
        <v>29</v>
      </c>
      <c r="C3" s="101" t="s">
        <v>30</v>
      </c>
      <c r="D3" s="101" t="s">
        <v>31</v>
      </c>
      <c r="E3" s="101" t="s">
        <v>32</v>
      </c>
      <c r="F3" s="101" t="s">
        <v>251</v>
      </c>
      <c r="G3" s="101" t="s">
        <v>34</v>
      </c>
      <c r="H3" s="101" t="s">
        <v>22</v>
      </c>
      <c r="I3" s="118"/>
      <c r="J3" s="118"/>
      <c r="K3" s="118"/>
      <c r="L3" s="118"/>
      <c r="M3" s="118"/>
    </row>
    <row r="4" spans="1:13" ht="13.5" customHeight="1">
      <c r="A4" s="102" t="s">
        <v>192</v>
      </c>
    </row>
    <row r="5" spans="1:13" ht="12" customHeight="1">
      <c r="A5" s="71">
        <v>1976</v>
      </c>
      <c r="B5" s="19">
        <v>144</v>
      </c>
      <c r="C5" s="19">
        <v>680</v>
      </c>
      <c r="D5" s="19">
        <v>2876</v>
      </c>
      <c r="E5" s="19">
        <v>3760</v>
      </c>
      <c r="F5" s="19">
        <v>2173</v>
      </c>
      <c r="G5" s="19" t="s">
        <v>23</v>
      </c>
      <c r="H5" s="19">
        <f t="shared" ref="H5:H22" si="0">SUM(B5:G5)</f>
        <v>9633</v>
      </c>
    </row>
    <row r="6" spans="1:13" ht="12" customHeight="1">
      <c r="A6" s="71">
        <v>1977</v>
      </c>
      <c r="B6" s="19">
        <v>406</v>
      </c>
      <c r="C6" s="19">
        <v>540</v>
      </c>
      <c r="D6" s="19">
        <v>3550</v>
      </c>
      <c r="E6" s="19">
        <v>4786</v>
      </c>
      <c r="F6" s="19">
        <v>2461</v>
      </c>
      <c r="G6" s="19" t="s">
        <v>23</v>
      </c>
      <c r="H6" s="19">
        <f t="shared" si="0"/>
        <v>11743</v>
      </c>
    </row>
    <row r="7" spans="1:13" ht="12" customHeight="1">
      <c r="A7" s="71">
        <v>1978</v>
      </c>
      <c r="B7" s="19">
        <v>353</v>
      </c>
      <c r="C7" s="19">
        <v>558</v>
      </c>
      <c r="D7" s="19">
        <v>3247</v>
      </c>
      <c r="E7" s="19">
        <v>3645</v>
      </c>
      <c r="F7" s="19">
        <v>2241</v>
      </c>
      <c r="G7" s="19" t="s">
        <v>23</v>
      </c>
      <c r="H7" s="19">
        <f t="shared" si="0"/>
        <v>10044</v>
      </c>
    </row>
    <row r="8" spans="1:13" ht="12" customHeight="1">
      <c r="A8" s="71">
        <v>1979</v>
      </c>
      <c r="B8" s="19">
        <v>1155</v>
      </c>
      <c r="C8" s="19">
        <v>54</v>
      </c>
      <c r="D8" s="19">
        <v>3708</v>
      </c>
      <c r="E8" s="19">
        <v>6117</v>
      </c>
      <c r="F8" s="19">
        <v>59</v>
      </c>
      <c r="G8" s="19" t="s">
        <v>23</v>
      </c>
      <c r="H8" s="19">
        <f t="shared" si="0"/>
        <v>11093</v>
      </c>
    </row>
    <row r="9" spans="1:13" ht="12" customHeight="1">
      <c r="A9" s="71">
        <v>1980</v>
      </c>
      <c r="B9" s="19">
        <v>1224</v>
      </c>
      <c r="C9" s="19">
        <v>176</v>
      </c>
      <c r="D9" s="19">
        <v>1939</v>
      </c>
      <c r="E9" s="19">
        <v>2682</v>
      </c>
      <c r="F9" s="19" t="s">
        <v>23</v>
      </c>
      <c r="G9" s="19" t="s">
        <v>23</v>
      </c>
      <c r="H9" s="19">
        <f t="shared" si="0"/>
        <v>6021</v>
      </c>
    </row>
    <row r="10" spans="1:13" ht="12" customHeight="1">
      <c r="A10" s="71">
        <v>1981</v>
      </c>
      <c r="B10" s="19">
        <v>920</v>
      </c>
      <c r="C10" s="19">
        <v>63</v>
      </c>
      <c r="D10" s="19">
        <v>2569</v>
      </c>
      <c r="E10" s="19">
        <v>3654</v>
      </c>
      <c r="F10" s="19" t="s">
        <v>23</v>
      </c>
      <c r="G10" s="19" t="s">
        <v>23</v>
      </c>
      <c r="H10" s="19">
        <f t="shared" si="0"/>
        <v>7206</v>
      </c>
    </row>
    <row r="11" spans="1:13" ht="12" customHeight="1">
      <c r="A11" s="71">
        <v>1982</v>
      </c>
      <c r="B11" s="19">
        <v>356</v>
      </c>
      <c r="C11" s="19">
        <v>65</v>
      </c>
      <c r="D11" s="19">
        <v>2898</v>
      </c>
      <c r="E11" s="19">
        <v>389</v>
      </c>
      <c r="F11" s="19" t="s">
        <v>23</v>
      </c>
      <c r="G11" s="19" t="s">
        <v>23</v>
      </c>
      <c r="H11" s="19">
        <f t="shared" si="0"/>
        <v>3708</v>
      </c>
    </row>
    <row r="12" spans="1:13" ht="12" customHeight="1">
      <c r="A12" s="71">
        <v>1983</v>
      </c>
      <c r="B12" s="19">
        <v>464</v>
      </c>
      <c r="C12" s="19">
        <v>30</v>
      </c>
      <c r="D12" s="19">
        <v>1027</v>
      </c>
      <c r="E12" s="19">
        <v>1014</v>
      </c>
      <c r="F12" s="19" t="s">
        <v>23</v>
      </c>
      <c r="G12" s="19" t="s">
        <v>23</v>
      </c>
      <c r="H12" s="19">
        <f t="shared" si="0"/>
        <v>2535</v>
      </c>
    </row>
    <row r="13" spans="1:13" ht="12" customHeight="1">
      <c r="A13" s="71">
        <v>1984</v>
      </c>
      <c r="B13" s="19">
        <v>121</v>
      </c>
      <c r="C13" s="19" t="s">
        <v>23</v>
      </c>
      <c r="D13" s="19" t="s">
        <v>23</v>
      </c>
      <c r="E13" s="19">
        <v>309</v>
      </c>
      <c r="F13" s="19" t="s">
        <v>23</v>
      </c>
      <c r="G13" s="19" t="s">
        <v>23</v>
      </c>
      <c r="H13" s="19">
        <f t="shared" si="0"/>
        <v>430</v>
      </c>
    </row>
    <row r="14" spans="1:13" ht="12" customHeight="1">
      <c r="A14" s="71">
        <v>1985</v>
      </c>
      <c r="B14" s="19">
        <v>220</v>
      </c>
      <c r="C14" s="19" t="s">
        <v>23</v>
      </c>
      <c r="D14" s="19">
        <v>152</v>
      </c>
      <c r="E14" s="19">
        <v>1292</v>
      </c>
      <c r="F14" s="19">
        <v>14</v>
      </c>
      <c r="G14" s="19" t="s">
        <v>23</v>
      </c>
      <c r="H14" s="19">
        <f t="shared" si="0"/>
        <v>1678</v>
      </c>
    </row>
    <row r="15" spans="1:13" ht="12" customHeight="1">
      <c r="A15" s="71">
        <v>1986</v>
      </c>
      <c r="B15" s="19">
        <v>233</v>
      </c>
      <c r="C15" s="19">
        <v>4</v>
      </c>
      <c r="D15" s="19" t="s">
        <v>23</v>
      </c>
      <c r="E15" s="19">
        <v>623</v>
      </c>
      <c r="F15" s="19" t="s">
        <v>23</v>
      </c>
      <c r="G15" s="19" t="s">
        <v>23</v>
      </c>
      <c r="H15" s="19">
        <f t="shared" si="0"/>
        <v>860</v>
      </c>
    </row>
    <row r="16" spans="1:13" ht="12" customHeight="1">
      <c r="A16" s="71">
        <v>1987</v>
      </c>
      <c r="B16" s="19">
        <v>263</v>
      </c>
      <c r="C16" s="19" t="s">
        <v>23</v>
      </c>
      <c r="D16" s="19">
        <v>12</v>
      </c>
      <c r="E16" s="54">
        <v>7</v>
      </c>
      <c r="F16" s="19" t="s">
        <v>23</v>
      </c>
      <c r="G16" s="19" t="s">
        <v>23</v>
      </c>
      <c r="H16" s="19">
        <f t="shared" si="0"/>
        <v>282</v>
      </c>
    </row>
    <row r="17" spans="1:8" ht="12" customHeight="1">
      <c r="A17" s="71">
        <v>1988</v>
      </c>
      <c r="B17" s="19">
        <v>576</v>
      </c>
      <c r="C17" s="19">
        <v>464</v>
      </c>
      <c r="D17" s="54">
        <v>3</v>
      </c>
      <c r="E17" s="54">
        <v>24</v>
      </c>
      <c r="F17" s="19" t="s">
        <v>23</v>
      </c>
      <c r="G17" s="19" t="s">
        <v>23</v>
      </c>
      <c r="H17" s="19">
        <f t="shared" si="0"/>
        <v>1067</v>
      </c>
    </row>
    <row r="18" spans="1:8" ht="12" customHeight="1">
      <c r="A18" s="71">
        <v>1989</v>
      </c>
      <c r="B18" s="19" t="s">
        <v>23</v>
      </c>
      <c r="C18" s="19" t="s">
        <v>23</v>
      </c>
      <c r="D18" s="19" t="s">
        <v>23</v>
      </c>
      <c r="E18" s="19">
        <v>861</v>
      </c>
      <c r="F18" s="19" t="s">
        <v>23</v>
      </c>
      <c r="G18" s="19" t="s">
        <v>23</v>
      </c>
      <c r="H18" s="19">
        <f t="shared" si="0"/>
        <v>861</v>
      </c>
    </row>
    <row r="19" spans="1:8" ht="12" customHeight="1">
      <c r="A19" s="71">
        <v>1990</v>
      </c>
      <c r="B19" s="19">
        <v>848</v>
      </c>
      <c r="C19" s="19">
        <v>66</v>
      </c>
      <c r="D19" s="19" t="s">
        <v>23</v>
      </c>
      <c r="E19" s="19">
        <v>657</v>
      </c>
      <c r="F19" s="19" t="s">
        <v>23</v>
      </c>
      <c r="G19" s="19" t="s">
        <v>23</v>
      </c>
      <c r="H19" s="19">
        <f t="shared" si="0"/>
        <v>1571</v>
      </c>
    </row>
    <row r="20" spans="1:8" ht="12" customHeight="1">
      <c r="A20" s="71">
        <v>1991</v>
      </c>
      <c r="B20" s="19">
        <v>786</v>
      </c>
      <c r="C20" s="19">
        <v>343</v>
      </c>
      <c r="D20" s="19" t="s">
        <v>23</v>
      </c>
      <c r="E20" s="19">
        <v>958</v>
      </c>
      <c r="F20" s="19">
        <v>207</v>
      </c>
      <c r="G20" s="19" t="s">
        <v>23</v>
      </c>
      <c r="H20" s="19">
        <f t="shared" si="0"/>
        <v>2294</v>
      </c>
    </row>
    <row r="21" spans="1:8" ht="12" customHeight="1">
      <c r="A21" s="71">
        <v>1992</v>
      </c>
      <c r="B21" s="19">
        <v>569</v>
      </c>
      <c r="C21" s="19">
        <v>486</v>
      </c>
      <c r="D21" s="19">
        <v>290</v>
      </c>
      <c r="E21" s="19">
        <v>174</v>
      </c>
      <c r="F21" s="19" t="s">
        <v>23</v>
      </c>
      <c r="G21" s="19" t="s">
        <v>23</v>
      </c>
      <c r="H21" s="19">
        <f t="shared" si="0"/>
        <v>1519</v>
      </c>
    </row>
    <row r="22" spans="1:8" ht="12" customHeight="1">
      <c r="A22" s="71">
        <v>1993</v>
      </c>
      <c r="B22" s="19">
        <v>602</v>
      </c>
      <c r="C22" s="19">
        <v>420</v>
      </c>
      <c r="D22" s="19">
        <v>302</v>
      </c>
      <c r="E22" s="19">
        <v>146</v>
      </c>
      <c r="F22" s="19" t="s">
        <v>23</v>
      </c>
      <c r="G22" s="54" t="s">
        <v>23</v>
      </c>
      <c r="H22" s="19">
        <f t="shared" si="0"/>
        <v>1470</v>
      </c>
    </row>
    <row r="23" spans="1:8" ht="12" customHeight="1">
      <c r="A23" s="71">
        <v>1994</v>
      </c>
      <c r="B23" s="19" t="s">
        <v>23</v>
      </c>
      <c r="C23" s="19" t="s">
        <v>23</v>
      </c>
      <c r="D23" s="19" t="s">
        <v>23</v>
      </c>
      <c r="E23" s="19" t="s">
        <v>23</v>
      </c>
      <c r="F23" s="19" t="s">
        <v>23</v>
      </c>
      <c r="G23" s="19" t="s">
        <v>23</v>
      </c>
      <c r="H23" s="19" t="s">
        <v>23</v>
      </c>
    </row>
    <row r="24" spans="1:8" ht="12" customHeight="1">
      <c r="A24" s="71">
        <v>1995</v>
      </c>
      <c r="B24" s="19" t="s">
        <v>23</v>
      </c>
      <c r="C24" s="19" t="s">
        <v>23</v>
      </c>
      <c r="D24" s="19" t="s">
        <v>23</v>
      </c>
      <c r="E24" s="19">
        <v>345</v>
      </c>
      <c r="F24" s="19">
        <v>56</v>
      </c>
      <c r="G24" s="19" t="s">
        <v>23</v>
      </c>
      <c r="H24" s="19">
        <f t="shared" ref="H24:H42" si="1">SUM(B24:G24)</f>
        <v>401</v>
      </c>
    </row>
    <row r="25" spans="1:8" ht="12" customHeight="1">
      <c r="A25" s="71">
        <v>1996</v>
      </c>
      <c r="B25" s="19" t="s">
        <v>23</v>
      </c>
      <c r="C25" s="19" t="s">
        <v>23</v>
      </c>
      <c r="D25" s="19">
        <v>108</v>
      </c>
      <c r="E25" s="19">
        <v>147</v>
      </c>
      <c r="F25" s="19" t="s">
        <v>23</v>
      </c>
      <c r="G25" s="19" t="s">
        <v>23</v>
      </c>
      <c r="H25" s="19">
        <f t="shared" si="1"/>
        <v>255</v>
      </c>
    </row>
    <row r="26" spans="1:8" ht="12" customHeight="1">
      <c r="A26" s="71">
        <v>1997</v>
      </c>
      <c r="B26" s="19">
        <v>168</v>
      </c>
      <c r="C26" s="19">
        <v>62</v>
      </c>
      <c r="D26" s="19" t="s">
        <v>23</v>
      </c>
      <c r="E26" s="19" t="s">
        <v>23</v>
      </c>
      <c r="F26" s="19" t="s">
        <v>23</v>
      </c>
      <c r="G26" s="19" t="s">
        <v>23</v>
      </c>
      <c r="H26" s="19">
        <f t="shared" si="1"/>
        <v>230</v>
      </c>
    </row>
    <row r="27" spans="1:8" ht="12" customHeight="1">
      <c r="A27" s="71">
        <v>1998</v>
      </c>
      <c r="B27" s="19">
        <v>87</v>
      </c>
      <c r="C27" s="19">
        <v>8</v>
      </c>
      <c r="D27" s="19" t="s">
        <v>23</v>
      </c>
      <c r="E27" s="19" t="s">
        <v>23</v>
      </c>
      <c r="F27" s="19" t="s">
        <v>23</v>
      </c>
      <c r="G27" s="19" t="s">
        <v>23</v>
      </c>
      <c r="H27" s="19">
        <f t="shared" si="1"/>
        <v>95</v>
      </c>
    </row>
    <row r="28" spans="1:8" ht="12" customHeight="1">
      <c r="A28" s="71">
        <v>1999</v>
      </c>
      <c r="B28" s="19">
        <v>154</v>
      </c>
      <c r="C28" s="19">
        <v>105</v>
      </c>
      <c r="D28" s="19">
        <v>84</v>
      </c>
      <c r="E28" s="19">
        <v>29</v>
      </c>
      <c r="F28" s="19" t="s">
        <v>23</v>
      </c>
      <c r="G28" s="19" t="s">
        <v>23</v>
      </c>
      <c r="H28" s="19">
        <f t="shared" si="1"/>
        <v>372</v>
      </c>
    </row>
    <row r="29" spans="1:8" ht="12" customHeight="1">
      <c r="A29" s="71">
        <v>2000</v>
      </c>
      <c r="B29" s="19">
        <v>149</v>
      </c>
      <c r="C29" s="19">
        <v>75</v>
      </c>
      <c r="D29" s="19" t="s">
        <v>23</v>
      </c>
      <c r="E29" s="19" t="s">
        <v>23</v>
      </c>
      <c r="F29" s="19" t="s">
        <v>23</v>
      </c>
      <c r="G29" s="19" t="s">
        <v>23</v>
      </c>
      <c r="H29" s="19">
        <f t="shared" si="1"/>
        <v>224</v>
      </c>
    </row>
    <row r="30" spans="1:8" ht="12" customHeight="1">
      <c r="A30" s="71">
        <v>2001</v>
      </c>
      <c r="B30" s="19">
        <v>84</v>
      </c>
      <c r="C30" s="19">
        <v>81</v>
      </c>
      <c r="D30" s="19">
        <v>49</v>
      </c>
      <c r="E30" s="19" t="s">
        <v>23</v>
      </c>
      <c r="F30" s="19" t="s">
        <v>23</v>
      </c>
      <c r="G30" s="19" t="s">
        <v>23</v>
      </c>
      <c r="H30" s="19">
        <f t="shared" si="1"/>
        <v>214</v>
      </c>
    </row>
    <row r="31" spans="1:8" ht="12" customHeight="1">
      <c r="A31" s="71">
        <v>2002</v>
      </c>
      <c r="B31" s="19">
        <v>97</v>
      </c>
      <c r="C31" s="19">
        <v>81</v>
      </c>
      <c r="D31" s="54">
        <v>139</v>
      </c>
      <c r="E31" s="54">
        <v>80</v>
      </c>
      <c r="F31" s="54" t="s">
        <v>23</v>
      </c>
      <c r="G31" s="54" t="s">
        <v>23</v>
      </c>
      <c r="H31" s="54">
        <f t="shared" si="1"/>
        <v>397</v>
      </c>
    </row>
    <row r="32" spans="1:8" ht="12" customHeight="1">
      <c r="A32" s="71">
        <v>2003</v>
      </c>
      <c r="B32" s="19">
        <v>280</v>
      </c>
      <c r="C32" s="19">
        <v>92</v>
      </c>
      <c r="D32" s="19">
        <v>150</v>
      </c>
      <c r="E32" s="19">
        <v>132</v>
      </c>
      <c r="F32" s="19">
        <v>14</v>
      </c>
      <c r="G32" s="19" t="s">
        <v>23</v>
      </c>
      <c r="H32" s="19">
        <f t="shared" si="1"/>
        <v>668</v>
      </c>
    </row>
    <row r="33" spans="1:8" ht="12" customHeight="1">
      <c r="A33" s="71">
        <v>2004</v>
      </c>
      <c r="B33" s="19">
        <v>198</v>
      </c>
      <c r="C33" s="19">
        <v>1</v>
      </c>
      <c r="D33" s="19">
        <v>160</v>
      </c>
      <c r="E33" s="19">
        <v>116</v>
      </c>
      <c r="F33" s="19">
        <v>33</v>
      </c>
      <c r="G33" s="19" t="s">
        <v>23</v>
      </c>
      <c r="H33" s="19">
        <f t="shared" si="1"/>
        <v>508</v>
      </c>
    </row>
    <row r="34" spans="1:8" ht="12" customHeight="1">
      <c r="A34" s="71">
        <v>2005</v>
      </c>
      <c r="B34" s="19">
        <v>164</v>
      </c>
      <c r="C34" s="19">
        <v>24</v>
      </c>
      <c r="D34" s="19">
        <v>149</v>
      </c>
      <c r="E34" s="19">
        <v>146</v>
      </c>
      <c r="F34" s="54" t="s">
        <v>23</v>
      </c>
      <c r="G34" s="19" t="s">
        <v>23</v>
      </c>
      <c r="H34" s="19">
        <f t="shared" si="1"/>
        <v>483</v>
      </c>
    </row>
    <row r="35" spans="1:8" ht="12" customHeight="1">
      <c r="A35" s="71">
        <v>2006</v>
      </c>
      <c r="B35" s="19">
        <v>144</v>
      </c>
      <c r="C35" s="19">
        <v>89</v>
      </c>
      <c r="D35" s="19">
        <v>15</v>
      </c>
      <c r="E35" s="19">
        <v>54</v>
      </c>
      <c r="F35" s="54">
        <v>38</v>
      </c>
      <c r="G35" s="19" t="s">
        <v>23</v>
      </c>
      <c r="H35" s="19">
        <f t="shared" si="1"/>
        <v>340</v>
      </c>
    </row>
    <row r="36" spans="1:8" ht="12" customHeight="1">
      <c r="A36" s="71">
        <v>2007</v>
      </c>
      <c r="B36" s="42">
        <v>49</v>
      </c>
      <c r="C36" s="42">
        <v>10</v>
      </c>
      <c r="D36" s="42">
        <v>37</v>
      </c>
      <c r="E36" s="42">
        <v>2</v>
      </c>
      <c r="F36" s="55">
        <v>2</v>
      </c>
      <c r="G36" s="42" t="s">
        <v>23</v>
      </c>
      <c r="H36" s="42">
        <f t="shared" si="1"/>
        <v>100</v>
      </c>
    </row>
    <row r="37" spans="1:8" ht="12" customHeight="1">
      <c r="A37" s="71">
        <v>2008</v>
      </c>
      <c r="B37" s="42">
        <v>34</v>
      </c>
      <c r="C37" s="42">
        <v>65</v>
      </c>
      <c r="D37" s="42">
        <v>1</v>
      </c>
      <c r="E37" s="42">
        <v>9</v>
      </c>
      <c r="F37" s="55">
        <v>0</v>
      </c>
      <c r="G37" s="42" t="s">
        <v>23</v>
      </c>
      <c r="H37" s="42">
        <f t="shared" si="1"/>
        <v>109</v>
      </c>
    </row>
    <row r="38" spans="1:8" ht="12" customHeight="1">
      <c r="A38" s="71">
        <v>2009</v>
      </c>
      <c r="B38" s="42">
        <v>68</v>
      </c>
      <c r="C38" s="42">
        <v>74</v>
      </c>
      <c r="D38" s="42">
        <v>50</v>
      </c>
      <c r="E38" s="42">
        <v>2</v>
      </c>
      <c r="F38" s="55">
        <v>2</v>
      </c>
      <c r="G38" s="42" t="s">
        <v>23</v>
      </c>
      <c r="H38" s="42">
        <f t="shared" si="1"/>
        <v>196</v>
      </c>
    </row>
    <row r="39" spans="1:8" ht="12" customHeight="1">
      <c r="A39" s="71">
        <v>2010</v>
      </c>
      <c r="B39" s="42">
        <v>139</v>
      </c>
      <c r="C39" s="42">
        <v>97</v>
      </c>
      <c r="D39" s="42">
        <v>44</v>
      </c>
      <c r="E39" s="42">
        <v>18</v>
      </c>
      <c r="F39" s="55">
        <v>0</v>
      </c>
      <c r="G39" s="42" t="s">
        <v>23</v>
      </c>
      <c r="H39" s="42">
        <f t="shared" si="1"/>
        <v>298</v>
      </c>
    </row>
    <row r="40" spans="1:8" ht="12" customHeight="1">
      <c r="A40" s="71">
        <v>2011</v>
      </c>
      <c r="B40" s="42">
        <v>107</v>
      </c>
      <c r="C40" s="42">
        <v>34</v>
      </c>
      <c r="D40" s="42">
        <v>17</v>
      </c>
      <c r="E40" s="42">
        <v>3</v>
      </c>
      <c r="F40" s="55">
        <v>9</v>
      </c>
      <c r="G40" s="42" t="s">
        <v>23</v>
      </c>
      <c r="H40" s="42">
        <f t="shared" si="1"/>
        <v>170</v>
      </c>
    </row>
    <row r="41" spans="1:8" ht="12" customHeight="1">
      <c r="A41" s="71">
        <v>2012</v>
      </c>
      <c r="B41" s="42">
        <v>114</v>
      </c>
      <c r="C41" s="42">
        <v>83</v>
      </c>
      <c r="D41" s="42">
        <v>21</v>
      </c>
      <c r="E41" s="42">
        <v>21</v>
      </c>
      <c r="F41" s="55">
        <v>15</v>
      </c>
      <c r="G41" s="42" t="s">
        <v>23</v>
      </c>
      <c r="H41" s="42">
        <f t="shared" si="1"/>
        <v>254</v>
      </c>
    </row>
    <row r="42" spans="1:8" ht="12" customHeight="1">
      <c r="A42" s="71">
        <v>2013</v>
      </c>
      <c r="B42" s="42">
        <v>151</v>
      </c>
      <c r="C42" s="42" t="s">
        <v>23</v>
      </c>
      <c r="D42" s="42">
        <v>90</v>
      </c>
      <c r="E42" s="42">
        <v>4</v>
      </c>
      <c r="F42" s="42" t="s">
        <v>23</v>
      </c>
      <c r="G42" s="42" t="s">
        <v>23</v>
      </c>
      <c r="H42" s="42">
        <f t="shared" si="1"/>
        <v>245</v>
      </c>
    </row>
    <row r="43" spans="1:8" ht="12" customHeight="1">
      <c r="A43" s="71">
        <v>2014</v>
      </c>
      <c r="B43" s="42">
        <v>109</v>
      </c>
      <c r="C43" s="42">
        <v>1</v>
      </c>
      <c r="D43" s="42">
        <v>6</v>
      </c>
      <c r="E43" s="42">
        <v>5</v>
      </c>
      <c r="F43" s="42" t="s">
        <v>23</v>
      </c>
      <c r="G43" s="42" t="s">
        <v>23</v>
      </c>
      <c r="H43" s="42">
        <f t="shared" ref="H43:H50" si="2">SUM(B43:G43)</f>
        <v>121</v>
      </c>
    </row>
    <row r="44" spans="1:8" ht="12" customHeight="1">
      <c r="A44" s="71">
        <v>2015</v>
      </c>
      <c r="B44" s="42">
        <v>180</v>
      </c>
      <c r="C44" s="42">
        <v>66</v>
      </c>
      <c r="D44" s="42">
        <v>14</v>
      </c>
      <c r="E44" s="42">
        <v>3</v>
      </c>
      <c r="F44" s="42">
        <v>3</v>
      </c>
      <c r="G44" s="42" t="s">
        <v>23</v>
      </c>
      <c r="H44" s="42">
        <f t="shared" si="2"/>
        <v>266</v>
      </c>
    </row>
    <row r="45" spans="1:8" ht="12" customHeight="1">
      <c r="A45" s="71">
        <v>2016</v>
      </c>
      <c r="B45" s="42">
        <v>85</v>
      </c>
      <c r="C45" s="42">
        <v>56</v>
      </c>
      <c r="D45" s="42">
        <v>3</v>
      </c>
      <c r="E45" s="42">
        <v>4</v>
      </c>
      <c r="F45" s="42" t="s">
        <v>23</v>
      </c>
      <c r="G45" s="42" t="s">
        <v>23</v>
      </c>
      <c r="H45" s="42">
        <f t="shared" si="2"/>
        <v>148</v>
      </c>
    </row>
    <row r="46" spans="1:8" ht="12" customHeight="1">
      <c r="A46" s="71">
        <v>2017</v>
      </c>
      <c r="B46" s="42">
        <v>41</v>
      </c>
      <c r="C46" s="42">
        <v>40</v>
      </c>
      <c r="D46" s="42">
        <v>140</v>
      </c>
      <c r="E46" s="42">
        <v>112</v>
      </c>
      <c r="F46" s="42">
        <v>34</v>
      </c>
      <c r="G46" s="42" t="s">
        <v>23</v>
      </c>
      <c r="H46" s="42">
        <f t="shared" si="2"/>
        <v>367</v>
      </c>
    </row>
    <row r="47" spans="1:8">
      <c r="A47" s="71">
        <v>2018</v>
      </c>
      <c r="B47" s="42">
        <v>234</v>
      </c>
      <c r="C47" s="42">
        <v>121</v>
      </c>
      <c r="D47" s="42">
        <v>149</v>
      </c>
      <c r="E47" s="42">
        <v>22</v>
      </c>
      <c r="F47" s="42">
        <v>15</v>
      </c>
      <c r="G47" s="42" t="s">
        <v>23</v>
      </c>
      <c r="H47" s="42">
        <f t="shared" si="2"/>
        <v>541</v>
      </c>
    </row>
    <row r="48" spans="1:8">
      <c r="A48" s="71">
        <v>2019</v>
      </c>
      <c r="B48" s="42">
        <v>138</v>
      </c>
      <c r="C48" s="42">
        <v>271</v>
      </c>
      <c r="D48" s="42">
        <v>498</v>
      </c>
      <c r="E48" s="42">
        <v>25</v>
      </c>
      <c r="F48" s="42">
        <v>10</v>
      </c>
      <c r="G48" s="42" t="s">
        <v>23</v>
      </c>
      <c r="H48" s="42">
        <f t="shared" ref="H48:H49" si="3">SUM(B48:G48)</f>
        <v>942</v>
      </c>
    </row>
    <row r="49" spans="1:8">
      <c r="A49" s="71">
        <v>2020</v>
      </c>
      <c r="B49" s="42">
        <v>25</v>
      </c>
      <c r="C49" s="42">
        <v>49</v>
      </c>
      <c r="D49" s="42">
        <v>47</v>
      </c>
      <c r="E49" s="42">
        <v>16</v>
      </c>
      <c r="F49" s="42">
        <v>0</v>
      </c>
      <c r="G49" s="42" t="s">
        <v>23</v>
      </c>
      <c r="H49" s="42">
        <f t="shared" si="3"/>
        <v>137</v>
      </c>
    </row>
    <row r="50" spans="1:8" ht="13">
      <c r="A50" s="71" t="s">
        <v>318</v>
      </c>
      <c r="B50" s="19">
        <v>32</v>
      </c>
      <c r="C50" s="19">
        <v>38</v>
      </c>
      <c r="D50" s="19">
        <v>41</v>
      </c>
      <c r="E50" s="19">
        <v>11</v>
      </c>
      <c r="F50" s="19">
        <v>4</v>
      </c>
      <c r="G50" s="19" t="s">
        <v>23</v>
      </c>
      <c r="H50" s="19">
        <f t="shared" si="2"/>
        <v>126</v>
      </c>
    </row>
    <row r="51" spans="1:8" ht="12" customHeight="1">
      <c r="B51" s="19"/>
      <c r="C51" s="19"/>
      <c r="D51" s="19"/>
      <c r="E51" s="19"/>
      <c r="F51" s="19"/>
      <c r="G51" s="19"/>
      <c r="H51" s="19"/>
    </row>
    <row r="52" spans="1:8" ht="12" customHeight="1">
      <c r="A52" s="102" t="s">
        <v>60</v>
      </c>
      <c r="B52" s="19"/>
      <c r="C52" s="19"/>
      <c r="D52" s="19"/>
      <c r="E52" s="19"/>
      <c r="F52" s="19"/>
      <c r="G52" s="19"/>
      <c r="H52" s="19"/>
    </row>
    <row r="53" spans="1:8" ht="12" customHeight="1">
      <c r="A53" s="71">
        <v>1976</v>
      </c>
      <c r="B53" s="19">
        <v>439</v>
      </c>
      <c r="C53" s="19">
        <v>1513</v>
      </c>
      <c r="D53" s="19">
        <v>4478</v>
      </c>
      <c r="E53" s="19">
        <v>4575</v>
      </c>
      <c r="F53" s="19">
        <v>2069</v>
      </c>
      <c r="G53" s="19" t="s">
        <v>23</v>
      </c>
      <c r="H53" s="19">
        <f t="shared" ref="H53:H70" si="4">SUM(B53:G53)</f>
        <v>13074</v>
      </c>
    </row>
    <row r="54" spans="1:8" ht="12" customHeight="1">
      <c r="A54" s="71">
        <v>1977</v>
      </c>
      <c r="B54" s="19">
        <v>745</v>
      </c>
      <c r="C54" s="19">
        <v>600</v>
      </c>
      <c r="D54" s="19">
        <v>4990</v>
      </c>
      <c r="E54" s="19">
        <v>3612</v>
      </c>
      <c r="F54" s="19">
        <v>1016</v>
      </c>
      <c r="G54" s="19" t="s">
        <v>23</v>
      </c>
      <c r="H54" s="19">
        <f t="shared" si="4"/>
        <v>10963</v>
      </c>
    </row>
    <row r="55" spans="1:8" ht="12" customHeight="1">
      <c r="A55" s="71">
        <v>1978</v>
      </c>
      <c r="B55" s="19">
        <v>412</v>
      </c>
      <c r="C55" s="19">
        <v>486</v>
      </c>
      <c r="D55" s="19">
        <v>3995</v>
      </c>
      <c r="E55" s="19">
        <v>2962</v>
      </c>
      <c r="F55" s="19">
        <v>1442</v>
      </c>
      <c r="G55" s="19" t="s">
        <v>23</v>
      </c>
      <c r="H55" s="19">
        <f t="shared" si="4"/>
        <v>9297</v>
      </c>
    </row>
    <row r="56" spans="1:8" ht="12" customHeight="1">
      <c r="A56" s="71">
        <v>1979</v>
      </c>
      <c r="B56" s="19">
        <v>876</v>
      </c>
      <c r="C56" s="19">
        <v>88</v>
      </c>
      <c r="D56" s="19">
        <v>3112</v>
      </c>
      <c r="E56" s="19">
        <v>4325</v>
      </c>
      <c r="F56" s="19">
        <v>45</v>
      </c>
      <c r="G56" s="19" t="s">
        <v>23</v>
      </c>
      <c r="H56" s="19">
        <f t="shared" si="4"/>
        <v>8446</v>
      </c>
    </row>
    <row r="57" spans="1:8" ht="12" customHeight="1">
      <c r="A57" s="71">
        <v>1980</v>
      </c>
      <c r="B57" s="19">
        <v>380</v>
      </c>
      <c r="C57" s="19">
        <v>16</v>
      </c>
      <c r="D57" s="19">
        <v>2486</v>
      </c>
      <c r="E57" s="19">
        <v>2570</v>
      </c>
      <c r="F57" s="19" t="s">
        <v>23</v>
      </c>
      <c r="G57" s="19" t="s">
        <v>23</v>
      </c>
      <c r="H57" s="19">
        <f t="shared" si="4"/>
        <v>5452</v>
      </c>
    </row>
    <row r="58" spans="1:8" ht="12" customHeight="1">
      <c r="A58" s="71">
        <v>1981</v>
      </c>
      <c r="B58" s="19">
        <v>513</v>
      </c>
      <c r="C58" s="19">
        <v>7</v>
      </c>
      <c r="D58" s="19">
        <v>1786</v>
      </c>
      <c r="E58" s="19">
        <v>1720</v>
      </c>
      <c r="F58" s="19" t="s">
        <v>23</v>
      </c>
      <c r="G58" s="19" t="s">
        <v>23</v>
      </c>
      <c r="H58" s="19">
        <f t="shared" si="4"/>
        <v>4026</v>
      </c>
    </row>
    <row r="59" spans="1:8" ht="12" customHeight="1">
      <c r="A59" s="71">
        <v>1982</v>
      </c>
      <c r="B59" s="19">
        <v>94</v>
      </c>
      <c r="C59" s="19">
        <v>55</v>
      </c>
      <c r="D59" s="19">
        <v>1857</v>
      </c>
      <c r="E59" s="19" t="s">
        <v>23</v>
      </c>
      <c r="F59" s="19" t="s">
        <v>23</v>
      </c>
      <c r="G59" s="19" t="s">
        <v>23</v>
      </c>
      <c r="H59" s="19">
        <f t="shared" si="4"/>
        <v>2006</v>
      </c>
    </row>
    <row r="60" spans="1:8" ht="12" customHeight="1">
      <c r="A60" s="71">
        <v>1983</v>
      </c>
      <c r="B60" s="19">
        <v>208</v>
      </c>
      <c r="C60" s="19">
        <v>14</v>
      </c>
      <c r="D60" s="19">
        <v>504</v>
      </c>
      <c r="E60" s="54">
        <v>156</v>
      </c>
      <c r="F60" s="19" t="s">
        <v>23</v>
      </c>
      <c r="G60" s="19" t="s">
        <v>23</v>
      </c>
      <c r="H60" s="19">
        <f t="shared" si="4"/>
        <v>882</v>
      </c>
    </row>
    <row r="61" spans="1:8" ht="12" customHeight="1">
      <c r="A61" s="71">
        <v>1984</v>
      </c>
      <c r="B61" s="19">
        <v>21</v>
      </c>
      <c r="C61" s="19" t="s">
        <v>23</v>
      </c>
      <c r="D61" s="19" t="s">
        <v>23</v>
      </c>
      <c r="E61" s="19">
        <v>4</v>
      </c>
      <c r="F61" s="19" t="s">
        <v>23</v>
      </c>
      <c r="G61" s="19" t="s">
        <v>23</v>
      </c>
      <c r="H61" s="19">
        <f t="shared" si="4"/>
        <v>25</v>
      </c>
    </row>
    <row r="62" spans="1:8" ht="12" customHeight="1">
      <c r="A62" s="71">
        <v>1985</v>
      </c>
      <c r="B62" s="19">
        <v>37</v>
      </c>
      <c r="C62" s="19" t="s">
        <v>23</v>
      </c>
      <c r="D62" s="19">
        <v>647</v>
      </c>
      <c r="E62" s="19">
        <v>140</v>
      </c>
      <c r="F62" s="19" t="s">
        <v>23</v>
      </c>
      <c r="G62" s="19" t="s">
        <v>23</v>
      </c>
      <c r="H62" s="19">
        <f t="shared" si="4"/>
        <v>824</v>
      </c>
    </row>
    <row r="63" spans="1:8" ht="12" customHeight="1">
      <c r="A63" s="71">
        <v>1986</v>
      </c>
      <c r="B63" s="19">
        <v>141</v>
      </c>
      <c r="C63" s="19">
        <v>9</v>
      </c>
      <c r="D63" s="19" t="s">
        <v>23</v>
      </c>
      <c r="E63" s="19">
        <v>199</v>
      </c>
      <c r="F63" s="19" t="s">
        <v>23</v>
      </c>
      <c r="G63" s="19" t="s">
        <v>23</v>
      </c>
      <c r="H63" s="19">
        <f t="shared" si="4"/>
        <v>349</v>
      </c>
    </row>
    <row r="64" spans="1:8" ht="12" customHeight="1">
      <c r="A64" s="71">
        <v>1987</v>
      </c>
      <c r="B64" s="19">
        <v>126</v>
      </c>
      <c r="C64" s="19" t="s">
        <v>23</v>
      </c>
      <c r="D64" s="19">
        <v>5</v>
      </c>
      <c r="E64" s="19" t="s">
        <v>23</v>
      </c>
      <c r="F64" s="19" t="s">
        <v>23</v>
      </c>
      <c r="G64" s="19" t="s">
        <v>23</v>
      </c>
      <c r="H64" s="19">
        <f t="shared" si="4"/>
        <v>131</v>
      </c>
    </row>
    <row r="65" spans="1:8" ht="12" customHeight="1">
      <c r="A65" s="71">
        <v>1988</v>
      </c>
      <c r="B65" s="19">
        <v>405</v>
      </c>
      <c r="C65" s="19">
        <v>307</v>
      </c>
      <c r="D65" s="19" t="s">
        <v>23</v>
      </c>
      <c r="E65" s="19" t="s">
        <v>23</v>
      </c>
      <c r="F65" s="19" t="s">
        <v>23</v>
      </c>
      <c r="G65" s="19" t="s">
        <v>23</v>
      </c>
      <c r="H65" s="19">
        <f t="shared" si="4"/>
        <v>712</v>
      </c>
    </row>
    <row r="66" spans="1:8" ht="12" customHeight="1">
      <c r="A66" s="71">
        <v>1989</v>
      </c>
      <c r="B66" s="19" t="s">
        <v>23</v>
      </c>
      <c r="C66" s="19" t="s">
        <v>23</v>
      </c>
      <c r="D66" s="19" t="s">
        <v>23</v>
      </c>
      <c r="E66" s="19">
        <v>0</v>
      </c>
      <c r="F66" s="19" t="s">
        <v>23</v>
      </c>
      <c r="G66" s="19" t="s">
        <v>23</v>
      </c>
      <c r="H66" s="19">
        <f t="shared" si="4"/>
        <v>0</v>
      </c>
    </row>
    <row r="67" spans="1:8" ht="12" customHeight="1">
      <c r="A67" s="71">
        <v>1990</v>
      </c>
      <c r="B67" s="19">
        <v>72</v>
      </c>
      <c r="C67" s="19">
        <v>13</v>
      </c>
      <c r="D67" s="19" t="s">
        <v>23</v>
      </c>
      <c r="E67" s="19">
        <v>209</v>
      </c>
      <c r="F67" s="19">
        <v>15</v>
      </c>
      <c r="G67" s="19" t="s">
        <v>23</v>
      </c>
      <c r="H67" s="19">
        <f t="shared" si="4"/>
        <v>309</v>
      </c>
    </row>
    <row r="68" spans="1:8" ht="12" customHeight="1">
      <c r="A68" s="71">
        <v>1991</v>
      </c>
      <c r="B68" s="19">
        <v>70</v>
      </c>
      <c r="C68" s="19">
        <v>39</v>
      </c>
      <c r="D68" s="19" t="s">
        <v>23</v>
      </c>
      <c r="E68" s="19">
        <v>52</v>
      </c>
      <c r="F68" s="19">
        <v>13</v>
      </c>
      <c r="G68" s="19" t="s">
        <v>23</v>
      </c>
      <c r="H68" s="19">
        <f t="shared" si="4"/>
        <v>174</v>
      </c>
    </row>
    <row r="69" spans="1:8" ht="12" customHeight="1">
      <c r="A69" s="71">
        <v>1992</v>
      </c>
      <c r="B69" s="19">
        <v>103</v>
      </c>
      <c r="C69" s="19">
        <v>170</v>
      </c>
      <c r="D69" s="19">
        <v>133</v>
      </c>
      <c r="E69" s="19">
        <v>82</v>
      </c>
      <c r="F69" s="19" t="s">
        <v>23</v>
      </c>
      <c r="G69" s="19" t="s">
        <v>23</v>
      </c>
      <c r="H69" s="19">
        <f t="shared" si="4"/>
        <v>488</v>
      </c>
    </row>
    <row r="70" spans="1:8" ht="12" customHeight="1">
      <c r="A70" s="71">
        <v>1993</v>
      </c>
      <c r="B70" s="19">
        <v>49</v>
      </c>
      <c r="C70" s="19">
        <v>47</v>
      </c>
      <c r="D70" s="19">
        <v>121</v>
      </c>
      <c r="E70" s="19">
        <v>23</v>
      </c>
      <c r="F70" s="19" t="s">
        <v>23</v>
      </c>
      <c r="G70" s="19" t="s">
        <v>23</v>
      </c>
      <c r="H70" s="19">
        <f t="shared" si="4"/>
        <v>240</v>
      </c>
    </row>
    <row r="71" spans="1:8" ht="12" customHeight="1">
      <c r="A71" s="71">
        <v>1994</v>
      </c>
      <c r="B71" s="19" t="s">
        <v>23</v>
      </c>
      <c r="C71" s="19" t="s">
        <v>23</v>
      </c>
      <c r="D71" s="19" t="s">
        <v>23</v>
      </c>
      <c r="E71" s="19" t="s">
        <v>23</v>
      </c>
      <c r="F71" s="19" t="s">
        <v>23</v>
      </c>
      <c r="G71" s="19" t="s">
        <v>23</v>
      </c>
      <c r="H71" s="19" t="s">
        <v>23</v>
      </c>
    </row>
    <row r="72" spans="1:8" ht="12" customHeight="1">
      <c r="A72" s="71">
        <v>1995</v>
      </c>
      <c r="B72" s="19" t="s">
        <v>23</v>
      </c>
      <c r="C72" s="19" t="s">
        <v>23</v>
      </c>
      <c r="D72" s="19" t="s">
        <v>23</v>
      </c>
      <c r="E72" s="19">
        <v>52</v>
      </c>
      <c r="F72" s="19">
        <v>18</v>
      </c>
      <c r="G72" s="19" t="s">
        <v>23</v>
      </c>
      <c r="H72" s="19">
        <f t="shared" ref="H72:H90" si="5">SUM(B72:G72)</f>
        <v>70</v>
      </c>
    </row>
    <row r="73" spans="1:8" ht="12" customHeight="1">
      <c r="A73" s="71">
        <v>1996</v>
      </c>
      <c r="B73" s="19" t="s">
        <v>23</v>
      </c>
      <c r="C73" s="19" t="s">
        <v>23</v>
      </c>
      <c r="D73" s="19">
        <v>11</v>
      </c>
      <c r="E73" s="19">
        <v>7</v>
      </c>
      <c r="F73" s="19" t="s">
        <v>23</v>
      </c>
      <c r="G73" s="19" t="s">
        <v>23</v>
      </c>
      <c r="H73" s="19">
        <f t="shared" si="5"/>
        <v>18</v>
      </c>
    </row>
    <row r="74" spans="1:8" ht="12" customHeight="1">
      <c r="A74" s="71">
        <v>1997</v>
      </c>
      <c r="B74" s="19">
        <v>54</v>
      </c>
      <c r="C74" s="19">
        <v>66</v>
      </c>
      <c r="D74" s="19" t="s">
        <v>23</v>
      </c>
      <c r="E74" s="19" t="s">
        <v>23</v>
      </c>
      <c r="F74" s="19" t="s">
        <v>23</v>
      </c>
      <c r="G74" s="19" t="s">
        <v>23</v>
      </c>
      <c r="H74" s="19">
        <f t="shared" si="5"/>
        <v>120</v>
      </c>
    </row>
    <row r="75" spans="1:8" ht="12" customHeight="1">
      <c r="A75" s="71">
        <v>1998</v>
      </c>
      <c r="B75" s="19">
        <v>34</v>
      </c>
      <c r="C75" s="54">
        <v>4</v>
      </c>
      <c r="D75" s="19" t="s">
        <v>23</v>
      </c>
      <c r="E75" s="19" t="s">
        <v>23</v>
      </c>
      <c r="F75" s="19" t="s">
        <v>23</v>
      </c>
      <c r="G75" s="19" t="s">
        <v>23</v>
      </c>
      <c r="H75" s="19">
        <f t="shared" si="5"/>
        <v>38</v>
      </c>
    </row>
    <row r="76" spans="1:8" ht="12" customHeight="1">
      <c r="A76" s="71">
        <v>1999</v>
      </c>
      <c r="B76" s="19">
        <v>11</v>
      </c>
      <c r="C76" s="54">
        <v>0</v>
      </c>
      <c r="D76" s="19">
        <v>12</v>
      </c>
      <c r="E76" s="19">
        <v>9</v>
      </c>
      <c r="F76" s="19">
        <v>5</v>
      </c>
      <c r="G76" s="19" t="s">
        <v>23</v>
      </c>
      <c r="H76" s="19">
        <f t="shared" si="5"/>
        <v>37</v>
      </c>
    </row>
    <row r="77" spans="1:8" ht="12" customHeight="1">
      <c r="A77" s="71">
        <v>2000</v>
      </c>
      <c r="B77" s="19">
        <v>44</v>
      </c>
      <c r="C77" s="19">
        <v>20</v>
      </c>
      <c r="D77" s="19" t="s">
        <v>23</v>
      </c>
      <c r="E77" s="19" t="s">
        <v>23</v>
      </c>
      <c r="F77" s="19" t="s">
        <v>23</v>
      </c>
      <c r="G77" s="19" t="s">
        <v>23</v>
      </c>
      <c r="H77" s="19">
        <f t="shared" si="5"/>
        <v>64</v>
      </c>
    </row>
    <row r="78" spans="1:8" ht="12" customHeight="1">
      <c r="A78" s="71">
        <v>2001</v>
      </c>
      <c r="B78" s="19">
        <v>29</v>
      </c>
      <c r="C78" s="19">
        <v>4</v>
      </c>
      <c r="D78" s="19">
        <v>6</v>
      </c>
      <c r="E78" s="54" t="s">
        <v>23</v>
      </c>
      <c r="F78" s="19" t="s">
        <v>23</v>
      </c>
      <c r="G78" s="19" t="s">
        <v>23</v>
      </c>
      <c r="H78" s="19">
        <f t="shared" si="5"/>
        <v>39</v>
      </c>
    </row>
    <row r="79" spans="1:8" ht="12" customHeight="1">
      <c r="A79" s="71">
        <v>2002</v>
      </c>
      <c r="B79" s="54">
        <v>0</v>
      </c>
      <c r="C79" s="19">
        <v>3</v>
      </c>
      <c r="D79" s="54">
        <v>53</v>
      </c>
      <c r="E79" s="54">
        <v>38</v>
      </c>
      <c r="F79" s="54" t="s">
        <v>23</v>
      </c>
      <c r="G79" s="54" t="s">
        <v>23</v>
      </c>
      <c r="H79" s="54">
        <f t="shared" si="5"/>
        <v>94</v>
      </c>
    </row>
    <row r="80" spans="1:8" ht="12" customHeight="1">
      <c r="A80" s="71">
        <v>2003</v>
      </c>
      <c r="B80" s="19">
        <v>42</v>
      </c>
      <c r="C80" s="19">
        <v>24</v>
      </c>
      <c r="D80" s="19">
        <v>148</v>
      </c>
      <c r="E80" s="19">
        <v>91</v>
      </c>
      <c r="F80" s="19">
        <v>8</v>
      </c>
      <c r="G80" s="19" t="s">
        <v>23</v>
      </c>
      <c r="H80" s="19">
        <f t="shared" si="5"/>
        <v>313</v>
      </c>
    </row>
    <row r="81" spans="1:8" ht="12" customHeight="1">
      <c r="A81" s="71">
        <v>2004</v>
      </c>
      <c r="B81" s="19">
        <v>17</v>
      </c>
      <c r="C81" s="19">
        <v>4</v>
      </c>
      <c r="D81" s="19">
        <v>105</v>
      </c>
      <c r="E81" s="19">
        <v>99</v>
      </c>
      <c r="F81" s="19">
        <v>21</v>
      </c>
      <c r="G81" s="19" t="s">
        <v>23</v>
      </c>
      <c r="H81" s="19">
        <f t="shared" si="5"/>
        <v>246</v>
      </c>
    </row>
    <row r="82" spans="1:8" ht="12" customHeight="1">
      <c r="A82" s="71">
        <v>2005</v>
      </c>
      <c r="B82" s="19">
        <v>65</v>
      </c>
      <c r="C82" s="19">
        <v>23</v>
      </c>
      <c r="D82" s="19">
        <v>69</v>
      </c>
      <c r="E82" s="19">
        <v>125</v>
      </c>
      <c r="F82" s="19" t="s">
        <v>23</v>
      </c>
      <c r="G82" s="19" t="s">
        <v>23</v>
      </c>
      <c r="H82" s="19">
        <f t="shared" si="5"/>
        <v>282</v>
      </c>
    </row>
    <row r="83" spans="1:8" ht="12" customHeight="1">
      <c r="A83" s="71">
        <v>2006</v>
      </c>
      <c r="B83" s="19">
        <v>39</v>
      </c>
      <c r="C83" s="19">
        <v>179</v>
      </c>
      <c r="D83" s="19">
        <v>63</v>
      </c>
      <c r="E83" s="19">
        <v>209</v>
      </c>
      <c r="F83" s="19">
        <v>107</v>
      </c>
      <c r="G83" s="19" t="s">
        <v>23</v>
      </c>
      <c r="H83" s="19">
        <f t="shared" si="5"/>
        <v>597</v>
      </c>
    </row>
    <row r="84" spans="1:8" ht="12" customHeight="1">
      <c r="A84" s="71">
        <v>2007</v>
      </c>
      <c r="B84" s="42">
        <v>29</v>
      </c>
      <c r="C84" s="42">
        <v>180</v>
      </c>
      <c r="D84" s="42">
        <v>168</v>
      </c>
      <c r="E84" s="42">
        <v>57</v>
      </c>
      <c r="F84" s="42">
        <v>2</v>
      </c>
      <c r="G84" s="42" t="s">
        <v>23</v>
      </c>
      <c r="H84" s="42">
        <f t="shared" si="5"/>
        <v>436</v>
      </c>
    </row>
    <row r="85" spans="1:8" ht="12" customHeight="1">
      <c r="A85" s="71">
        <v>2008</v>
      </c>
      <c r="B85" s="42">
        <v>10</v>
      </c>
      <c r="C85" s="42">
        <v>118</v>
      </c>
      <c r="D85" s="42">
        <v>119</v>
      </c>
      <c r="E85" s="42">
        <v>73</v>
      </c>
      <c r="F85" s="42">
        <v>11</v>
      </c>
      <c r="G85" s="42" t="s">
        <v>23</v>
      </c>
      <c r="H85" s="42">
        <f t="shared" si="5"/>
        <v>331</v>
      </c>
    </row>
    <row r="86" spans="1:8" ht="12" customHeight="1">
      <c r="A86" s="71">
        <v>2009</v>
      </c>
      <c r="B86" s="42">
        <v>123</v>
      </c>
      <c r="C86" s="42">
        <v>114</v>
      </c>
      <c r="D86" s="42">
        <v>173</v>
      </c>
      <c r="E86" s="42">
        <v>124</v>
      </c>
      <c r="F86" s="42">
        <v>30</v>
      </c>
      <c r="G86" s="42" t="s">
        <v>23</v>
      </c>
      <c r="H86" s="42">
        <f t="shared" si="5"/>
        <v>564</v>
      </c>
    </row>
    <row r="87" spans="1:8" ht="12" customHeight="1">
      <c r="A87" s="71">
        <v>2010</v>
      </c>
      <c r="B87" s="42">
        <v>154</v>
      </c>
      <c r="C87" s="42">
        <v>93</v>
      </c>
      <c r="D87" s="42">
        <v>95</v>
      </c>
      <c r="E87" s="42">
        <v>81</v>
      </c>
      <c r="F87" s="42">
        <v>3</v>
      </c>
      <c r="G87" s="42" t="s">
        <v>23</v>
      </c>
      <c r="H87" s="42">
        <f t="shared" si="5"/>
        <v>426</v>
      </c>
    </row>
    <row r="88" spans="1:8" ht="12" customHeight="1">
      <c r="A88" s="71">
        <v>2011</v>
      </c>
      <c r="B88" s="42">
        <v>199</v>
      </c>
      <c r="C88" s="42">
        <v>236</v>
      </c>
      <c r="D88" s="42">
        <v>139</v>
      </c>
      <c r="E88" s="42">
        <v>70</v>
      </c>
      <c r="F88" s="42">
        <v>25</v>
      </c>
      <c r="G88" s="42" t="s">
        <v>23</v>
      </c>
      <c r="H88" s="42">
        <f t="shared" si="5"/>
        <v>669</v>
      </c>
    </row>
    <row r="89" spans="1:8" ht="12" customHeight="1">
      <c r="A89" s="71">
        <v>2012</v>
      </c>
      <c r="B89" s="42">
        <v>124</v>
      </c>
      <c r="C89" s="42">
        <v>286</v>
      </c>
      <c r="D89" s="42">
        <v>229</v>
      </c>
      <c r="E89" s="42">
        <v>246</v>
      </c>
      <c r="F89" s="42">
        <v>160</v>
      </c>
      <c r="G89" s="42" t="s">
        <v>23</v>
      </c>
      <c r="H89" s="42">
        <f t="shared" si="5"/>
        <v>1045</v>
      </c>
    </row>
    <row r="90" spans="1:8" ht="12" customHeight="1">
      <c r="A90" s="71">
        <v>2013</v>
      </c>
      <c r="B90" s="42">
        <v>190</v>
      </c>
      <c r="C90" s="42" t="s">
        <v>23</v>
      </c>
      <c r="D90" s="42">
        <v>175</v>
      </c>
      <c r="E90" s="42">
        <v>70</v>
      </c>
      <c r="F90" s="42" t="s">
        <v>23</v>
      </c>
      <c r="G90" s="42" t="s">
        <v>23</v>
      </c>
      <c r="H90" s="42">
        <f t="shared" si="5"/>
        <v>435</v>
      </c>
    </row>
    <row r="91" spans="1:8" ht="12" customHeight="1">
      <c r="A91" s="71">
        <v>2014</v>
      </c>
      <c r="B91" s="42">
        <v>291</v>
      </c>
      <c r="C91" s="42">
        <v>84</v>
      </c>
      <c r="D91" s="42">
        <v>169</v>
      </c>
      <c r="E91" s="42">
        <v>140</v>
      </c>
      <c r="F91" s="42">
        <v>32</v>
      </c>
      <c r="G91" s="42" t="s">
        <v>23</v>
      </c>
      <c r="H91" s="42">
        <f t="shared" ref="H91:H98" si="6">SUM(B91:G91)</f>
        <v>716</v>
      </c>
    </row>
    <row r="92" spans="1:8" ht="12" customHeight="1">
      <c r="A92" s="71">
        <v>2015</v>
      </c>
      <c r="B92" s="42">
        <v>227</v>
      </c>
      <c r="C92" s="42" t="s">
        <v>23</v>
      </c>
      <c r="D92" s="42">
        <v>194</v>
      </c>
      <c r="E92" s="42">
        <v>174</v>
      </c>
      <c r="F92" s="42">
        <v>62</v>
      </c>
      <c r="G92" s="42" t="s">
        <v>23</v>
      </c>
      <c r="H92" s="42">
        <f t="shared" si="6"/>
        <v>657</v>
      </c>
    </row>
    <row r="93" spans="1:8" ht="12" customHeight="1">
      <c r="A93" s="71">
        <v>2016</v>
      </c>
      <c r="B93" s="42">
        <v>213</v>
      </c>
      <c r="C93" s="42">
        <v>56</v>
      </c>
      <c r="D93" s="42">
        <v>111</v>
      </c>
      <c r="E93" s="42">
        <v>31</v>
      </c>
      <c r="F93" s="42" t="s">
        <v>23</v>
      </c>
      <c r="G93" s="42" t="s">
        <v>23</v>
      </c>
      <c r="H93" s="42">
        <f t="shared" si="6"/>
        <v>411</v>
      </c>
    </row>
    <row r="94" spans="1:8" ht="12" customHeight="1">
      <c r="A94" s="71">
        <v>2017</v>
      </c>
      <c r="B94" s="42">
        <v>194</v>
      </c>
      <c r="C94" s="42">
        <v>89</v>
      </c>
      <c r="D94" s="42">
        <v>33</v>
      </c>
      <c r="E94" s="42">
        <v>129</v>
      </c>
      <c r="F94" s="42">
        <v>57</v>
      </c>
      <c r="G94" s="42" t="s">
        <v>23</v>
      </c>
      <c r="H94" s="42">
        <f t="shared" si="6"/>
        <v>502</v>
      </c>
    </row>
    <row r="95" spans="1:8" ht="12" customHeight="1">
      <c r="A95" s="71">
        <v>2018</v>
      </c>
      <c r="B95" s="42">
        <v>160</v>
      </c>
      <c r="C95" s="42">
        <v>14</v>
      </c>
      <c r="D95" s="42">
        <v>36</v>
      </c>
      <c r="E95" s="42">
        <v>103</v>
      </c>
      <c r="F95" s="42">
        <v>47</v>
      </c>
      <c r="G95" s="42" t="s">
        <v>23</v>
      </c>
      <c r="H95" s="42">
        <f t="shared" si="6"/>
        <v>360</v>
      </c>
    </row>
    <row r="96" spans="1:8" ht="12" customHeight="1">
      <c r="A96" s="71">
        <v>2019</v>
      </c>
      <c r="B96" s="42">
        <v>52</v>
      </c>
      <c r="C96" s="42">
        <v>12</v>
      </c>
      <c r="D96" s="42">
        <v>133</v>
      </c>
      <c r="E96" s="42">
        <v>152</v>
      </c>
      <c r="F96" s="42">
        <v>80</v>
      </c>
      <c r="G96" s="42" t="s">
        <v>23</v>
      </c>
      <c r="H96" s="42">
        <f t="shared" ref="H96:H97" si="7">SUM(B96:G96)</f>
        <v>429</v>
      </c>
    </row>
    <row r="97" spans="1:8" ht="12" customHeight="1">
      <c r="A97" s="71">
        <v>2020</v>
      </c>
      <c r="B97" s="42">
        <v>25</v>
      </c>
      <c r="C97" s="42">
        <v>43</v>
      </c>
      <c r="D97" s="42">
        <v>147</v>
      </c>
      <c r="E97" s="42">
        <v>108</v>
      </c>
      <c r="F97" s="42">
        <v>13</v>
      </c>
      <c r="G97" s="42" t="s">
        <v>23</v>
      </c>
      <c r="H97" s="42">
        <f t="shared" si="7"/>
        <v>336</v>
      </c>
    </row>
    <row r="98" spans="1:8" ht="12" customHeight="1">
      <c r="A98" s="71" t="s">
        <v>318</v>
      </c>
      <c r="B98" s="19">
        <v>41</v>
      </c>
      <c r="C98" s="19">
        <v>43</v>
      </c>
      <c r="D98" s="19">
        <v>95</v>
      </c>
      <c r="E98" s="19">
        <v>74</v>
      </c>
      <c r="F98" s="19">
        <v>48</v>
      </c>
      <c r="G98" s="19" t="s">
        <v>23</v>
      </c>
      <c r="H98" s="19">
        <f t="shared" si="6"/>
        <v>301</v>
      </c>
    </row>
    <row r="99" spans="1:8" ht="12" customHeight="1">
      <c r="B99" s="19"/>
      <c r="C99" s="19"/>
      <c r="D99" s="19"/>
      <c r="E99" s="19"/>
      <c r="F99" s="19"/>
      <c r="G99" s="19"/>
      <c r="H99" s="19"/>
    </row>
    <row r="100" spans="1:8" ht="12" customHeight="1">
      <c r="A100" s="102" t="s">
        <v>58</v>
      </c>
      <c r="B100" s="19"/>
      <c r="C100" s="19"/>
      <c r="D100" s="19"/>
      <c r="E100" s="19"/>
      <c r="F100" s="19"/>
      <c r="G100" s="19"/>
      <c r="H100" s="19"/>
    </row>
    <row r="101" spans="1:8" ht="12" customHeight="1">
      <c r="A101" s="71">
        <v>1976</v>
      </c>
      <c r="B101" s="19">
        <v>2850</v>
      </c>
      <c r="C101" s="19">
        <v>3537</v>
      </c>
      <c r="D101" s="19">
        <v>6288</v>
      </c>
      <c r="E101" s="19">
        <v>4912</v>
      </c>
      <c r="F101" s="19">
        <v>4716</v>
      </c>
      <c r="G101" s="19" t="s">
        <v>23</v>
      </c>
      <c r="H101" s="19">
        <f t="shared" ref="H101:H118" si="8">SUM(B101:G101)</f>
        <v>22303</v>
      </c>
    </row>
    <row r="102" spans="1:8" ht="12" customHeight="1">
      <c r="A102" s="71">
        <v>1977</v>
      </c>
      <c r="B102" s="19">
        <v>2114</v>
      </c>
      <c r="C102" s="19">
        <v>1633</v>
      </c>
      <c r="D102" s="19">
        <v>6410</v>
      </c>
      <c r="E102" s="19">
        <v>4018</v>
      </c>
      <c r="F102" s="19">
        <v>3729</v>
      </c>
      <c r="G102" s="19" t="s">
        <v>23</v>
      </c>
      <c r="H102" s="19">
        <f t="shared" si="8"/>
        <v>17904</v>
      </c>
    </row>
    <row r="103" spans="1:8" ht="12" customHeight="1">
      <c r="A103" s="71">
        <v>1978</v>
      </c>
      <c r="B103" s="19">
        <v>1948</v>
      </c>
      <c r="C103" s="19">
        <v>1405</v>
      </c>
      <c r="D103" s="19">
        <v>4398</v>
      </c>
      <c r="E103" s="19">
        <v>2449</v>
      </c>
      <c r="F103" s="19">
        <v>2620</v>
      </c>
      <c r="G103" s="19" t="s">
        <v>23</v>
      </c>
      <c r="H103" s="19">
        <f t="shared" si="8"/>
        <v>12820</v>
      </c>
    </row>
    <row r="104" spans="1:8" ht="12" customHeight="1">
      <c r="A104" s="71">
        <v>1979</v>
      </c>
      <c r="B104" s="19">
        <v>2107</v>
      </c>
      <c r="C104" s="19">
        <v>11</v>
      </c>
      <c r="D104" s="19">
        <v>4734</v>
      </c>
      <c r="E104" s="19">
        <v>6213</v>
      </c>
      <c r="F104" s="19">
        <v>18</v>
      </c>
      <c r="G104" s="19" t="s">
        <v>23</v>
      </c>
      <c r="H104" s="19">
        <f t="shared" si="8"/>
        <v>13083</v>
      </c>
    </row>
    <row r="105" spans="1:8" ht="12" customHeight="1">
      <c r="A105" s="71">
        <v>1980</v>
      </c>
      <c r="B105" s="19">
        <v>2256</v>
      </c>
      <c r="C105" s="19">
        <v>13</v>
      </c>
      <c r="D105" s="19">
        <v>3170</v>
      </c>
      <c r="E105" s="19">
        <v>3562</v>
      </c>
      <c r="F105" s="19">
        <v>5</v>
      </c>
      <c r="G105" s="19" t="s">
        <v>23</v>
      </c>
      <c r="H105" s="19">
        <f t="shared" si="8"/>
        <v>9006</v>
      </c>
    </row>
    <row r="106" spans="1:8" ht="12" customHeight="1">
      <c r="A106" s="71">
        <v>1981</v>
      </c>
      <c r="B106" s="19">
        <v>2686</v>
      </c>
      <c r="C106" s="19">
        <v>130</v>
      </c>
      <c r="D106" s="19">
        <v>3833</v>
      </c>
      <c r="E106" s="19">
        <v>3210</v>
      </c>
      <c r="F106" s="19" t="s">
        <v>23</v>
      </c>
      <c r="G106" s="19" t="s">
        <v>23</v>
      </c>
      <c r="H106" s="19">
        <f t="shared" si="8"/>
        <v>9859</v>
      </c>
    </row>
    <row r="107" spans="1:8" ht="12" customHeight="1">
      <c r="A107" s="71">
        <v>1982</v>
      </c>
      <c r="B107" s="19">
        <v>2864</v>
      </c>
      <c r="C107" s="19">
        <v>476</v>
      </c>
      <c r="D107" s="19">
        <v>4908</v>
      </c>
      <c r="E107" s="19">
        <v>7</v>
      </c>
      <c r="F107" s="19" t="s">
        <v>23</v>
      </c>
      <c r="G107" s="19" t="s">
        <v>23</v>
      </c>
      <c r="H107" s="19">
        <f t="shared" si="8"/>
        <v>8255</v>
      </c>
    </row>
    <row r="108" spans="1:8" ht="12" customHeight="1">
      <c r="A108" s="71">
        <v>1983</v>
      </c>
      <c r="B108" s="19">
        <v>2687</v>
      </c>
      <c r="C108" s="19">
        <v>375</v>
      </c>
      <c r="D108" s="19">
        <v>1177</v>
      </c>
      <c r="E108" s="19">
        <v>45</v>
      </c>
      <c r="F108" s="19" t="s">
        <v>23</v>
      </c>
      <c r="G108" s="19" t="s">
        <v>23</v>
      </c>
      <c r="H108" s="19">
        <f t="shared" si="8"/>
        <v>4284</v>
      </c>
    </row>
    <row r="109" spans="1:8" ht="12" customHeight="1">
      <c r="A109" s="71">
        <v>1984</v>
      </c>
      <c r="B109" s="19">
        <v>404</v>
      </c>
      <c r="C109" s="19" t="s">
        <v>23</v>
      </c>
      <c r="D109" s="19" t="s">
        <v>23</v>
      </c>
      <c r="E109" s="19" t="s">
        <v>23</v>
      </c>
      <c r="F109" s="19" t="s">
        <v>23</v>
      </c>
      <c r="G109" s="19" t="s">
        <v>23</v>
      </c>
      <c r="H109" s="19">
        <f t="shared" si="8"/>
        <v>404</v>
      </c>
    </row>
    <row r="110" spans="1:8" ht="12" customHeight="1">
      <c r="A110" s="71">
        <v>1985</v>
      </c>
      <c r="B110" s="19">
        <v>1905</v>
      </c>
      <c r="C110" s="19">
        <v>20</v>
      </c>
      <c r="D110" s="19">
        <v>1242</v>
      </c>
      <c r="E110" s="19" t="s">
        <v>23</v>
      </c>
      <c r="F110" s="19" t="s">
        <v>23</v>
      </c>
      <c r="G110" s="19" t="s">
        <v>23</v>
      </c>
      <c r="H110" s="19">
        <f t="shared" si="8"/>
        <v>3167</v>
      </c>
    </row>
    <row r="111" spans="1:8" ht="12" customHeight="1">
      <c r="A111" s="71">
        <v>1986</v>
      </c>
      <c r="B111" s="19">
        <v>1504</v>
      </c>
      <c r="C111" s="19">
        <v>2</v>
      </c>
      <c r="D111" s="19" t="s">
        <v>23</v>
      </c>
      <c r="E111" s="19">
        <v>105</v>
      </c>
      <c r="F111" s="19" t="s">
        <v>23</v>
      </c>
      <c r="G111" s="19" t="s">
        <v>23</v>
      </c>
      <c r="H111" s="19">
        <f t="shared" si="8"/>
        <v>1611</v>
      </c>
    </row>
    <row r="112" spans="1:8" ht="12" customHeight="1">
      <c r="A112" s="71">
        <v>1987</v>
      </c>
      <c r="B112" s="19">
        <v>1379</v>
      </c>
      <c r="C112" s="19" t="s">
        <v>23</v>
      </c>
      <c r="D112" s="19">
        <v>855</v>
      </c>
      <c r="E112" s="19" t="s">
        <v>23</v>
      </c>
      <c r="F112" s="19" t="s">
        <v>23</v>
      </c>
      <c r="G112" s="19" t="s">
        <v>23</v>
      </c>
      <c r="H112" s="19">
        <f t="shared" si="8"/>
        <v>2234</v>
      </c>
    </row>
    <row r="113" spans="1:8" ht="12" customHeight="1">
      <c r="A113" s="71">
        <v>1988</v>
      </c>
      <c r="B113" s="19">
        <v>2443</v>
      </c>
      <c r="C113" s="19">
        <v>1255</v>
      </c>
      <c r="D113" s="19" t="s">
        <v>23</v>
      </c>
      <c r="E113" s="19" t="s">
        <v>23</v>
      </c>
      <c r="F113" s="19" t="s">
        <v>23</v>
      </c>
      <c r="G113" s="19" t="s">
        <v>23</v>
      </c>
      <c r="H113" s="19">
        <f t="shared" si="8"/>
        <v>3698</v>
      </c>
    </row>
    <row r="114" spans="1:8" ht="12" customHeight="1">
      <c r="A114" s="71">
        <v>1989</v>
      </c>
      <c r="B114" s="19">
        <v>2151</v>
      </c>
      <c r="C114" s="19">
        <v>1068</v>
      </c>
      <c r="D114" s="19" t="s">
        <v>23</v>
      </c>
      <c r="E114" s="19">
        <v>2</v>
      </c>
      <c r="F114" s="19" t="s">
        <v>23</v>
      </c>
      <c r="G114" s="19" t="s">
        <v>23</v>
      </c>
      <c r="H114" s="19">
        <f t="shared" si="8"/>
        <v>3221</v>
      </c>
    </row>
    <row r="115" spans="1:8" ht="12" customHeight="1">
      <c r="A115" s="71">
        <v>1990</v>
      </c>
      <c r="B115" s="19">
        <v>1136</v>
      </c>
      <c r="C115" s="19">
        <v>132</v>
      </c>
      <c r="D115" s="19" t="s">
        <v>23</v>
      </c>
      <c r="E115" s="19">
        <v>1063</v>
      </c>
      <c r="F115" s="19" t="s">
        <v>23</v>
      </c>
      <c r="G115" s="19" t="s">
        <v>23</v>
      </c>
      <c r="H115" s="19">
        <f t="shared" si="8"/>
        <v>2331</v>
      </c>
    </row>
    <row r="116" spans="1:8" ht="12" customHeight="1">
      <c r="A116" s="71">
        <v>1991</v>
      </c>
      <c r="B116" s="19">
        <v>755</v>
      </c>
      <c r="C116" s="19">
        <v>603</v>
      </c>
      <c r="D116" s="19" t="s">
        <v>23</v>
      </c>
      <c r="E116" s="54">
        <v>171</v>
      </c>
      <c r="F116" s="19">
        <v>230</v>
      </c>
      <c r="G116" s="19" t="s">
        <v>23</v>
      </c>
      <c r="H116" s="19">
        <f t="shared" si="8"/>
        <v>1759</v>
      </c>
    </row>
    <row r="117" spans="1:8" ht="12" customHeight="1">
      <c r="A117" s="71">
        <v>1992</v>
      </c>
      <c r="B117" s="19">
        <v>1216</v>
      </c>
      <c r="C117" s="19">
        <v>583</v>
      </c>
      <c r="D117" s="19">
        <v>429</v>
      </c>
      <c r="E117" s="19">
        <v>342</v>
      </c>
      <c r="F117" s="19" t="s">
        <v>23</v>
      </c>
      <c r="G117" s="19" t="s">
        <v>23</v>
      </c>
      <c r="H117" s="19">
        <f t="shared" si="8"/>
        <v>2570</v>
      </c>
    </row>
    <row r="118" spans="1:8" ht="12" customHeight="1">
      <c r="A118" s="71">
        <v>1993</v>
      </c>
      <c r="B118" s="19">
        <v>585</v>
      </c>
      <c r="C118" s="19">
        <v>470</v>
      </c>
      <c r="D118" s="19">
        <v>274</v>
      </c>
      <c r="E118" s="19">
        <v>193</v>
      </c>
      <c r="F118" s="19">
        <v>387</v>
      </c>
      <c r="G118" s="19" t="s">
        <v>23</v>
      </c>
      <c r="H118" s="19">
        <f t="shared" si="8"/>
        <v>1909</v>
      </c>
    </row>
    <row r="119" spans="1:8" ht="12" customHeight="1">
      <c r="A119" s="71">
        <v>1994</v>
      </c>
      <c r="B119" s="19" t="s">
        <v>23</v>
      </c>
      <c r="C119" s="19" t="s">
        <v>23</v>
      </c>
      <c r="D119" s="19" t="s">
        <v>23</v>
      </c>
      <c r="E119" s="19" t="s">
        <v>23</v>
      </c>
      <c r="F119" s="19" t="s">
        <v>23</v>
      </c>
      <c r="G119" s="19" t="s">
        <v>23</v>
      </c>
      <c r="H119" s="19" t="s">
        <v>23</v>
      </c>
    </row>
    <row r="120" spans="1:8" ht="12" customHeight="1">
      <c r="A120" s="71">
        <v>1995</v>
      </c>
      <c r="B120" s="19" t="s">
        <v>23</v>
      </c>
      <c r="C120" s="19" t="s">
        <v>23</v>
      </c>
      <c r="D120" s="19" t="s">
        <v>23</v>
      </c>
      <c r="E120" s="19" t="s">
        <v>23</v>
      </c>
      <c r="F120" s="19" t="s">
        <v>23</v>
      </c>
      <c r="G120" s="19" t="s">
        <v>23</v>
      </c>
      <c r="H120" s="19" t="s">
        <v>23</v>
      </c>
    </row>
    <row r="121" spans="1:8" ht="12" customHeight="1">
      <c r="A121" s="71">
        <v>1996</v>
      </c>
      <c r="B121" s="19" t="s">
        <v>23</v>
      </c>
      <c r="C121" s="19" t="s">
        <v>23</v>
      </c>
      <c r="D121" s="19">
        <v>62</v>
      </c>
      <c r="E121" s="19">
        <v>77</v>
      </c>
      <c r="F121" s="19" t="s">
        <v>23</v>
      </c>
      <c r="G121" s="19" t="s">
        <v>23</v>
      </c>
      <c r="H121" s="19">
        <f t="shared" ref="H121:H138" si="9">SUM(B121:G121)</f>
        <v>139</v>
      </c>
    </row>
    <row r="122" spans="1:8" ht="12" customHeight="1">
      <c r="A122" s="71">
        <v>1997</v>
      </c>
      <c r="B122" s="19">
        <v>72</v>
      </c>
      <c r="C122" s="19">
        <v>30</v>
      </c>
      <c r="D122" s="19" t="s">
        <v>23</v>
      </c>
      <c r="E122" s="19" t="s">
        <v>23</v>
      </c>
      <c r="F122" s="19" t="s">
        <v>23</v>
      </c>
      <c r="G122" s="19" t="s">
        <v>23</v>
      </c>
      <c r="H122" s="19">
        <f t="shared" si="9"/>
        <v>102</v>
      </c>
    </row>
    <row r="123" spans="1:8" ht="12" customHeight="1">
      <c r="A123" s="71">
        <v>1998</v>
      </c>
      <c r="B123" s="54">
        <v>6</v>
      </c>
      <c r="C123" s="54">
        <v>0</v>
      </c>
      <c r="D123" s="19" t="s">
        <v>23</v>
      </c>
      <c r="E123" s="19" t="s">
        <v>23</v>
      </c>
      <c r="F123" s="19" t="s">
        <v>23</v>
      </c>
      <c r="G123" s="19" t="s">
        <v>23</v>
      </c>
      <c r="H123" s="19">
        <f t="shared" si="9"/>
        <v>6</v>
      </c>
    </row>
    <row r="124" spans="1:8" ht="12" customHeight="1">
      <c r="A124" s="71">
        <v>1999</v>
      </c>
      <c r="B124" s="54">
        <v>106</v>
      </c>
      <c r="C124" s="54">
        <v>126</v>
      </c>
      <c r="D124" s="19">
        <v>39</v>
      </c>
      <c r="E124" s="19">
        <v>48</v>
      </c>
      <c r="F124" s="19">
        <v>1</v>
      </c>
      <c r="G124" s="19" t="s">
        <v>23</v>
      </c>
      <c r="H124" s="19">
        <f t="shared" si="9"/>
        <v>320</v>
      </c>
    </row>
    <row r="125" spans="1:8" ht="12" customHeight="1">
      <c r="A125" s="71">
        <v>2000</v>
      </c>
      <c r="B125" s="54">
        <v>0</v>
      </c>
      <c r="C125" s="54">
        <v>0</v>
      </c>
      <c r="D125" s="19" t="s">
        <v>23</v>
      </c>
      <c r="E125" s="19">
        <v>71</v>
      </c>
      <c r="F125" s="19">
        <v>3</v>
      </c>
      <c r="G125" s="19" t="s">
        <v>23</v>
      </c>
      <c r="H125" s="19">
        <f t="shared" si="9"/>
        <v>74</v>
      </c>
    </row>
    <row r="126" spans="1:8" ht="12" customHeight="1">
      <c r="A126" s="71">
        <v>2001</v>
      </c>
      <c r="B126" s="19">
        <v>96</v>
      </c>
      <c r="C126" s="19">
        <v>127</v>
      </c>
      <c r="D126" s="19">
        <v>104</v>
      </c>
      <c r="E126" s="19">
        <f>62+8</f>
        <v>70</v>
      </c>
      <c r="F126" s="19">
        <v>38</v>
      </c>
      <c r="G126" s="19" t="s">
        <v>23</v>
      </c>
      <c r="H126" s="19">
        <f t="shared" si="9"/>
        <v>435</v>
      </c>
    </row>
    <row r="127" spans="1:8" ht="12" customHeight="1">
      <c r="A127" s="71">
        <v>2002</v>
      </c>
      <c r="B127" s="19">
        <v>331</v>
      </c>
      <c r="C127" s="19">
        <v>99</v>
      </c>
      <c r="D127" s="19">
        <v>228</v>
      </c>
      <c r="E127" s="19">
        <v>124</v>
      </c>
      <c r="F127" s="19" t="s">
        <v>23</v>
      </c>
      <c r="G127" s="19" t="s">
        <v>23</v>
      </c>
      <c r="H127" s="19">
        <f t="shared" si="9"/>
        <v>782</v>
      </c>
    </row>
    <row r="128" spans="1:8" ht="12" customHeight="1">
      <c r="A128" s="71">
        <v>2003</v>
      </c>
      <c r="B128" s="19">
        <v>99</v>
      </c>
      <c r="C128" s="19">
        <v>79</v>
      </c>
      <c r="D128" s="19">
        <v>178</v>
      </c>
      <c r="E128" s="19">
        <v>192</v>
      </c>
      <c r="F128" s="19">
        <v>55</v>
      </c>
      <c r="G128" s="19" t="s">
        <v>23</v>
      </c>
      <c r="H128" s="19">
        <f t="shared" si="9"/>
        <v>603</v>
      </c>
    </row>
    <row r="129" spans="1:8" ht="12" customHeight="1">
      <c r="A129" s="71">
        <v>2004</v>
      </c>
      <c r="B129" s="19">
        <v>245</v>
      </c>
      <c r="C129" s="19">
        <v>5</v>
      </c>
      <c r="D129" s="19">
        <v>127</v>
      </c>
      <c r="E129" s="19">
        <v>127</v>
      </c>
      <c r="F129" s="19">
        <v>71</v>
      </c>
      <c r="G129" s="19" t="s">
        <v>23</v>
      </c>
      <c r="H129" s="19">
        <f t="shared" si="9"/>
        <v>575</v>
      </c>
    </row>
    <row r="130" spans="1:8" ht="12" customHeight="1">
      <c r="A130" s="71">
        <v>2005</v>
      </c>
      <c r="B130" s="19">
        <v>263</v>
      </c>
      <c r="C130" s="19">
        <v>57</v>
      </c>
      <c r="D130" s="19">
        <v>119</v>
      </c>
      <c r="E130" s="19">
        <v>131</v>
      </c>
      <c r="F130" s="19" t="s">
        <v>23</v>
      </c>
      <c r="G130" s="19" t="s">
        <v>23</v>
      </c>
      <c r="H130" s="19">
        <f t="shared" si="9"/>
        <v>570</v>
      </c>
    </row>
    <row r="131" spans="1:8" ht="12" customHeight="1">
      <c r="A131" s="71">
        <v>2006</v>
      </c>
      <c r="B131" s="19">
        <v>176</v>
      </c>
      <c r="C131" s="19">
        <v>113</v>
      </c>
      <c r="D131" s="19">
        <v>21</v>
      </c>
      <c r="E131" s="19">
        <v>33</v>
      </c>
      <c r="F131" s="19">
        <v>24</v>
      </c>
      <c r="G131" s="19" t="s">
        <v>23</v>
      </c>
      <c r="H131" s="19">
        <f t="shared" si="9"/>
        <v>367</v>
      </c>
    </row>
    <row r="132" spans="1:8" ht="12" customHeight="1">
      <c r="A132" s="71">
        <v>2007</v>
      </c>
      <c r="B132" s="42">
        <v>367</v>
      </c>
      <c r="C132" s="42">
        <v>63</v>
      </c>
      <c r="D132" s="42">
        <v>149</v>
      </c>
      <c r="E132" s="42">
        <v>55</v>
      </c>
      <c r="F132" s="42">
        <v>4</v>
      </c>
      <c r="G132" s="42" t="s">
        <v>23</v>
      </c>
      <c r="H132" s="42">
        <f t="shared" si="9"/>
        <v>638</v>
      </c>
    </row>
    <row r="133" spans="1:8" ht="12" customHeight="1">
      <c r="A133" s="71">
        <v>2008</v>
      </c>
      <c r="B133" s="42">
        <v>202</v>
      </c>
      <c r="C133" s="42">
        <v>170</v>
      </c>
      <c r="D133" s="42">
        <v>103</v>
      </c>
      <c r="E133" s="42">
        <v>131</v>
      </c>
      <c r="F133" s="42">
        <v>49</v>
      </c>
      <c r="G133" s="42" t="s">
        <v>23</v>
      </c>
      <c r="H133" s="42">
        <f t="shared" si="9"/>
        <v>655</v>
      </c>
    </row>
    <row r="134" spans="1:8" ht="12" customHeight="1">
      <c r="A134" s="71">
        <v>2009</v>
      </c>
      <c r="B134" s="42">
        <v>276</v>
      </c>
      <c r="C134" s="42">
        <v>363</v>
      </c>
      <c r="D134" s="42">
        <v>209</v>
      </c>
      <c r="E134" s="42">
        <v>194</v>
      </c>
      <c r="F134" s="42">
        <v>102</v>
      </c>
      <c r="G134" s="42" t="s">
        <v>23</v>
      </c>
      <c r="H134" s="42">
        <f t="shared" si="9"/>
        <v>1144</v>
      </c>
    </row>
    <row r="135" spans="1:8" ht="12" customHeight="1">
      <c r="A135" s="71">
        <v>2010</v>
      </c>
      <c r="B135" s="42">
        <v>218</v>
      </c>
      <c r="C135" s="42">
        <v>668</v>
      </c>
      <c r="D135" s="42">
        <v>362</v>
      </c>
      <c r="E135" s="42">
        <v>329</v>
      </c>
      <c r="F135" s="42">
        <v>43</v>
      </c>
      <c r="G135" s="42" t="s">
        <v>23</v>
      </c>
      <c r="H135" s="42">
        <f t="shared" si="9"/>
        <v>1620</v>
      </c>
    </row>
    <row r="136" spans="1:8" ht="12" customHeight="1">
      <c r="A136" s="71">
        <v>2011</v>
      </c>
      <c r="B136" s="42">
        <v>300</v>
      </c>
      <c r="C136" s="42">
        <v>386</v>
      </c>
      <c r="D136" s="42">
        <v>292</v>
      </c>
      <c r="E136" s="42">
        <v>135</v>
      </c>
      <c r="F136" s="42">
        <v>20</v>
      </c>
      <c r="G136" s="42" t="s">
        <v>23</v>
      </c>
      <c r="H136" s="42">
        <f t="shared" si="9"/>
        <v>1133</v>
      </c>
    </row>
    <row r="137" spans="1:8" ht="12" customHeight="1">
      <c r="A137" s="71">
        <v>2012</v>
      </c>
      <c r="B137" s="42">
        <v>126</v>
      </c>
      <c r="C137" s="42">
        <v>264</v>
      </c>
      <c r="D137" s="42">
        <v>202</v>
      </c>
      <c r="E137" s="42">
        <v>39</v>
      </c>
      <c r="F137" s="42">
        <v>23</v>
      </c>
      <c r="G137" s="42" t="s">
        <v>23</v>
      </c>
      <c r="H137" s="42">
        <f t="shared" si="9"/>
        <v>654</v>
      </c>
    </row>
    <row r="138" spans="1:8" ht="12" customHeight="1">
      <c r="A138" s="71">
        <v>2013</v>
      </c>
      <c r="B138" s="42">
        <v>380</v>
      </c>
      <c r="C138" s="42">
        <v>498</v>
      </c>
      <c r="D138" s="42">
        <v>206</v>
      </c>
      <c r="E138" s="42">
        <v>331</v>
      </c>
      <c r="F138" s="42">
        <v>83</v>
      </c>
      <c r="G138" s="42" t="s">
        <v>23</v>
      </c>
      <c r="H138" s="42">
        <f t="shared" si="9"/>
        <v>1498</v>
      </c>
    </row>
    <row r="139" spans="1:8" ht="12" customHeight="1">
      <c r="A139" s="71">
        <v>2014</v>
      </c>
      <c r="B139" s="42">
        <v>189</v>
      </c>
      <c r="C139" s="42">
        <v>103</v>
      </c>
      <c r="D139" s="42">
        <v>222</v>
      </c>
      <c r="E139" s="42">
        <v>192</v>
      </c>
      <c r="F139" s="42">
        <v>85</v>
      </c>
      <c r="G139" s="42" t="s">
        <v>23</v>
      </c>
      <c r="H139" s="42">
        <f t="shared" ref="H139:H146" si="10">SUM(B139:G139)</f>
        <v>791</v>
      </c>
    </row>
    <row r="140" spans="1:8" ht="12" customHeight="1">
      <c r="A140" s="71">
        <v>2015</v>
      </c>
      <c r="B140" s="42">
        <v>411</v>
      </c>
      <c r="C140" s="42">
        <v>418</v>
      </c>
      <c r="D140" s="42">
        <v>283</v>
      </c>
      <c r="E140" s="42">
        <v>273</v>
      </c>
      <c r="F140" s="42">
        <v>62</v>
      </c>
      <c r="G140" s="42" t="s">
        <v>23</v>
      </c>
      <c r="H140" s="42">
        <f t="shared" si="10"/>
        <v>1447</v>
      </c>
    </row>
    <row r="141" spans="1:8" ht="12" customHeight="1">
      <c r="A141" s="71">
        <v>2016</v>
      </c>
      <c r="B141" s="42">
        <v>349</v>
      </c>
      <c r="C141" s="42">
        <v>247</v>
      </c>
      <c r="D141" s="42">
        <v>134</v>
      </c>
      <c r="E141" s="42">
        <v>151</v>
      </c>
      <c r="F141" s="42" t="s">
        <v>23</v>
      </c>
      <c r="G141" s="42" t="s">
        <v>23</v>
      </c>
      <c r="H141" s="42">
        <f t="shared" si="10"/>
        <v>881</v>
      </c>
    </row>
    <row r="142" spans="1:8" ht="12" customHeight="1">
      <c r="A142" s="71">
        <v>2017</v>
      </c>
      <c r="B142" s="42">
        <v>527</v>
      </c>
      <c r="C142" s="42">
        <v>477</v>
      </c>
      <c r="D142" s="42">
        <v>207</v>
      </c>
      <c r="E142" s="42">
        <v>170</v>
      </c>
      <c r="F142" s="42">
        <v>30</v>
      </c>
      <c r="G142" s="42" t="s">
        <v>23</v>
      </c>
      <c r="H142" s="42">
        <f t="shared" si="10"/>
        <v>1411</v>
      </c>
    </row>
    <row r="143" spans="1:8" ht="12" customHeight="1">
      <c r="A143" s="71">
        <v>2018</v>
      </c>
      <c r="B143" s="42">
        <v>347</v>
      </c>
      <c r="C143" s="42">
        <v>539</v>
      </c>
      <c r="D143" s="42">
        <v>237</v>
      </c>
      <c r="E143" s="42">
        <v>64</v>
      </c>
      <c r="F143" s="42">
        <v>7</v>
      </c>
      <c r="G143" s="42" t="s">
        <v>23</v>
      </c>
      <c r="H143" s="42">
        <f t="shared" si="10"/>
        <v>1194</v>
      </c>
    </row>
    <row r="144" spans="1:8" ht="12" customHeight="1">
      <c r="A144" s="71">
        <v>2019</v>
      </c>
      <c r="B144" s="42">
        <v>171</v>
      </c>
      <c r="C144" s="42">
        <v>52</v>
      </c>
      <c r="D144" s="42">
        <v>30</v>
      </c>
      <c r="E144" s="42">
        <v>14</v>
      </c>
      <c r="F144" s="42">
        <v>23</v>
      </c>
      <c r="G144" s="42" t="s">
        <v>23</v>
      </c>
      <c r="H144" s="42">
        <f t="shared" ref="H144:H145" si="11">SUM(B144:G144)</f>
        <v>290</v>
      </c>
    </row>
    <row r="145" spans="1:8" ht="12" customHeight="1">
      <c r="A145" s="71">
        <v>2020</v>
      </c>
      <c r="B145" s="42">
        <v>23</v>
      </c>
      <c r="C145" s="42">
        <v>44</v>
      </c>
      <c r="D145" s="42">
        <v>270</v>
      </c>
      <c r="E145" s="42">
        <v>103</v>
      </c>
      <c r="F145" s="42">
        <v>6</v>
      </c>
      <c r="G145" s="42" t="s">
        <v>23</v>
      </c>
      <c r="H145" s="42">
        <f t="shared" si="11"/>
        <v>446</v>
      </c>
    </row>
    <row r="146" spans="1:8" ht="12" customHeight="1">
      <c r="A146" s="71" t="s">
        <v>318</v>
      </c>
      <c r="B146" s="19">
        <v>177</v>
      </c>
      <c r="C146" s="19">
        <v>377</v>
      </c>
      <c r="D146" s="19">
        <v>359</v>
      </c>
      <c r="E146" s="19">
        <v>155</v>
      </c>
      <c r="F146" s="19">
        <v>67</v>
      </c>
      <c r="G146" s="19" t="s">
        <v>23</v>
      </c>
      <c r="H146" s="19">
        <f t="shared" si="10"/>
        <v>1135</v>
      </c>
    </row>
    <row r="147" spans="1:8" ht="12" customHeight="1">
      <c r="B147" s="19"/>
      <c r="C147" s="19"/>
      <c r="D147" s="19"/>
      <c r="E147" s="19"/>
      <c r="F147" s="19"/>
      <c r="G147" s="19"/>
      <c r="H147" s="19"/>
    </row>
    <row r="148" spans="1:8" ht="12" customHeight="1">
      <c r="A148" s="102" t="s">
        <v>57</v>
      </c>
      <c r="B148" s="19"/>
      <c r="C148" s="19"/>
      <c r="D148" s="19"/>
      <c r="E148" s="19"/>
      <c r="F148" s="19"/>
      <c r="G148" s="19"/>
      <c r="H148" s="19"/>
    </row>
    <row r="149" spans="1:8" ht="12" customHeight="1">
      <c r="A149" s="71">
        <v>1976</v>
      </c>
      <c r="B149" s="19">
        <v>948</v>
      </c>
      <c r="C149" s="19">
        <v>1852</v>
      </c>
      <c r="D149" s="19">
        <v>4373</v>
      </c>
      <c r="E149" s="19">
        <v>3745</v>
      </c>
      <c r="F149" s="19">
        <v>2977</v>
      </c>
      <c r="G149" s="19" t="s">
        <v>23</v>
      </c>
      <c r="H149" s="19">
        <f t="shared" ref="H149:H166" si="12">SUM(B149:G149)</f>
        <v>13895</v>
      </c>
    </row>
    <row r="150" spans="1:8" ht="12" customHeight="1">
      <c r="A150" s="71">
        <v>1977</v>
      </c>
      <c r="B150" s="19">
        <v>1194</v>
      </c>
      <c r="C150" s="19">
        <v>432</v>
      </c>
      <c r="D150" s="19">
        <v>3958</v>
      </c>
      <c r="E150" s="19">
        <v>3116</v>
      </c>
      <c r="F150" s="19">
        <v>2527</v>
      </c>
      <c r="G150" s="19" t="s">
        <v>23</v>
      </c>
      <c r="H150" s="19">
        <f t="shared" si="12"/>
        <v>11227</v>
      </c>
    </row>
    <row r="151" spans="1:8" ht="12" customHeight="1">
      <c r="A151" s="71">
        <v>1978</v>
      </c>
      <c r="B151" s="19">
        <v>164</v>
      </c>
      <c r="C151" s="19">
        <v>400</v>
      </c>
      <c r="D151" s="19">
        <v>2962</v>
      </c>
      <c r="E151" s="19">
        <v>1622</v>
      </c>
      <c r="F151" s="19">
        <v>2284</v>
      </c>
      <c r="G151" s="19" t="s">
        <v>23</v>
      </c>
      <c r="H151" s="19">
        <f t="shared" si="12"/>
        <v>7432</v>
      </c>
    </row>
    <row r="152" spans="1:8" ht="12" customHeight="1">
      <c r="A152" s="71">
        <v>1979</v>
      </c>
      <c r="B152" s="19">
        <v>511</v>
      </c>
      <c r="C152" s="19">
        <v>8</v>
      </c>
      <c r="D152" s="19">
        <v>3333</v>
      </c>
      <c r="E152" s="19">
        <v>3787</v>
      </c>
      <c r="F152" s="19">
        <v>40</v>
      </c>
      <c r="G152" s="19" t="s">
        <v>23</v>
      </c>
      <c r="H152" s="19">
        <f t="shared" si="12"/>
        <v>7679</v>
      </c>
    </row>
    <row r="153" spans="1:8" ht="12" customHeight="1">
      <c r="A153" s="71">
        <v>1980</v>
      </c>
      <c r="B153" s="19">
        <v>659</v>
      </c>
      <c r="C153" s="19" t="s">
        <v>23</v>
      </c>
      <c r="D153" s="19">
        <v>1367</v>
      </c>
      <c r="E153" s="19">
        <v>2264</v>
      </c>
      <c r="F153" s="19">
        <v>514</v>
      </c>
      <c r="G153" s="19" t="s">
        <v>23</v>
      </c>
      <c r="H153" s="19">
        <f t="shared" si="12"/>
        <v>4804</v>
      </c>
    </row>
    <row r="154" spans="1:8" ht="12" customHeight="1">
      <c r="A154" s="71">
        <v>1981</v>
      </c>
      <c r="B154" s="19">
        <v>859</v>
      </c>
      <c r="C154" s="19">
        <v>7</v>
      </c>
      <c r="D154" s="19">
        <v>1876</v>
      </c>
      <c r="E154" s="19">
        <v>1747</v>
      </c>
      <c r="F154" s="19" t="s">
        <v>23</v>
      </c>
      <c r="G154" s="19" t="s">
        <v>23</v>
      </c>
      <c r="H154" s="19">
        <f t="shared" si="12"/>
        <v>4489</v>
      </c>
    </row>
    <row r="155" spans="1:8" ht="12" customHeight="1">
      <c r="A155" s="71">
        <v>1982</v>
      </c>
      <c r="B155" s="19">
        <v>889</v>
      </c>
      <c r="C155" s="19">
        <v>80</v>
      </c>
      <c r="D155" s="19">
        <v>1286</v>
      </c>
      <c r="E155" s="19" t="s">
        <v>23</v>
      </c>
      <c r="F155" s="19" t="s">
        <v>23</v>
      </c>
      <c r="G155" s="19" t="s">
        <v>23</v>
      </c>
      <c r="H155" s="19">
        <f t="shared" si="12"/>
        <v>2255</v>
      </c>
    </row>
    <row r="156" spans="1:8" ht="12" customHeight="1">
      <c r="A156" s="71">
        <v>1983</v>
      </c>
      <c r="B156" s="19">
        <v>562</v>
      </c>
      <c r="C156" s="19">
        <v>204</v>
      </c>
      <c r="D156" s="19">
        <v>113</v>
      </c>
      <c r="E156" s="54">
        <v>639</v>
      </c>
      <c r="F156" s="54">
        <v>568</v>
      </c>
      <c r="G156" s="19" t="s">
        <v>23</v>
      </c>
      <c r="H156" s="19">
        <f t="shared" si="12"/>
        <v>2086</v>
      </c>
    </row>
    <row r="157" spans="1:8" ht="12" customHeight="1">
      <c r="A157" s="71">
        <v>1984</v>
      </c>
      <c r="B157" s="19">
        <v>47</v>
      </c>
      <c r="C157" s="19" t="s">
        <v>23</v>
      </c>
      <c r="D157" s="19" t="s">
        <v>23</v>
      </c>
      <c r="E157" s="54">
        <v>186</v>
      </c>
      <c r="F157" s="54" t="s">
        <v>23</v>
      </c>
      <c r="G157" s="19" t="s">
        <v>23</v>
      </c>
      <c r="H157" s="19">
        <f t="shared" si="12"/>
        <v>233</v>
      </c>
    </row>
    <row r="158" spans="1:8" ht="12" customHeight="1">
      <c r="A158" s="71">
        <v>1985</v>
      </c>
      <c r="B158" s="19">
        <v>475</v>
      </c>
      <c r="C158" s="19" t="s">
        <v>23</v>
      </c>
      <c r="D158" s="19" t="s">
        <v>23</v>
      </c>
      <c r="E158" s="54">
        <v>269</v>
      </c>
      <c r="F158" s="54" t="s">
        <v>23</v>
      </c>
      <c r="G158" s="19" t="s">
        <v>23</v>
      </c>
      <c r="H158" s="19">
        <f t="shared" si="12"/>
        <v>744</v>
      </c>
    </row>
    <row r="159" spans="1:8" ht="12" customHeight="1">
      <c r="A159" s="71">
        <v>1986</v>
      </c>
      <c r="B159" s="19">
        <v>482</v>
      </c>
      <c r="C159" s="19" t="s">
        <v>23</v>
      </c>
      <c r="D159" s="19" t="s">
        <v>23</v>
      </c>
      <c r="E159" s="19">
        <v>953</v>
      </c>
      <c r="F159" s="19" t="s">
        <v>23</v>
      </c>
      <c r="G159" s="19" t="s">
        <v>23</v>
      </c>
      <c r="H159" s="19">
        <f t="shared" si="12"/>
        <v>1435</v>
      </c>
    </row>
    <row r="160" spans="1:8" ht="12" customHeight="1">
      <c r="A160" s="71">
        <v>1987</v>
      </c>
      <c r="B160" s="19">
        <v>194</v>
      </c>
      <c r="C160" s="19" t="s">
        <v>23</v>
      </c>
      <c r="D160" s="19">
        <v>284</v>
      </c>
      <c r="E160" s="19" t="s">
        <v>23</v>
      </c>
      <c r="F160" s="19" t="s">
        <v>23</v>
      </c>
      <c r="G160" s="19" t="s">
        <v>23</v>
      </c>
      <c r="H160" s="19">
        <f t="shared" si="12"/>
        <v>478</v>
      </c>
    </row>
    <row r="161" spans="1:8" ht="12" customHeight="1">
      <c r="A161" s="71">
        <v>1988</v>
      </c>
      <c r="B161" s="19">
        <v>189</v>
      </c>
      <c r="C161" s="19">
        <v>128</v>
      </c>
      <c r="D161" s="19" t="s">
        <v>23</v>
      </c>
      <c r="E161" s="19" t="s">
        <v>23</v>
      </c>
      <c r="F161" s="19" t="s">
        <v>23</v>
      </c>
      <c r="G161" s="19" t="s">
        <v>23</v>
      </c>
      <c r="H161" s="19">
        <f t="shared" si="12"/>
        <v>317</v>
      </c>
    </row>
    <row r="162" spans="1:8" ht="12" customHeight="1">
      <c r="A162" s="71">
        <v>1989</v>
      </c>
      <c r="B162" s="19">
        <v>98</v>
      </c>
      <c r="C162" s="19">
        <v>42</v>
      </c>
      <c r="D162" s="19" t="s">
        <v>23</v>
      </c>
      <c r="E162" s="19">
        <v>302</v>
      </c>
      <c r="F162" s="19">
        <v>480</v>
      </c>
      <c r="G162" s="19" t="s">
        <v>23</v>
      </c>
      <c r="H162" s="19">
        <f t="shared" si="12"/>
        <v>922</v>
      </c>
    </row>
    <row r="163" spans="1:8" ht="12" customHeight="1">
      <c r="A163" s="71">
        <v>1990</v>
      </c>
      <c r="B163" s="19">
        <v>21</v>
      </c>
      <c r="C163" s="19">
        <v>12</v>
      </c>
      <c r="D163" s="19" t="s">
        <v>23</v>
      </c>
      <c r="E163" s="19">
        <v>495</v>
      </c>
      <c r="F163" s="19">
        <v>675</v>
      </c>
      <c r="G163" s="19" t="s">
        <v>23</v>
      </c>
      <c r="H163" s="19">
        <f t="shared" si="12"/>
        <v>1203</v>
      </c>
    </row>
    <row r="164" spans="1:8" ht="12" customHeight="1">
      <c r="A164" s="71">
        <v>1991</v>
      </c>
      <c r="B164" s="19">
        <v>135</v>
      </c>
      <c r="C164" s="19">
        <v>16</v>
      </c>
      <c r="D164" s="19" t="s">
        <v>23</v>
      </c>
      <c r="E164" s="19">
        <v>438</v>
      </c>
      <c r="F164" s="54">
        <v>56</v>
      </c>
      <c r="G164" s="54" t="s">
        <v>23</v>
      </c>
      <c r="H164" s="19">
        <f t="shared" si="12"/>
        <v>645</v>
      </c>
    </row>
    <row r="165" spans="1:8" ht="12" customHeight="1">
      <c r="A165" s="71">
        <v>1992</v>
      </c>
      <c r="B165" s="19">
        <v>146</v>
      </c>
      <c r="C165" s="19">
        <v>10</v>
      </c>
      <c r="D165" s="19">
        <v>83</v>
      </c>
      <c r="E165" s="19">
        <v>33</v>
      </c>
      <c r="F165" s="19" t="s">
        <v>23</v>
      </c>
      <c r="G165" s="19" t="s">
        <v>23</v>
      </c>
      <c r="H165" s="19">
        <f t="shared" si="12"/>
        <v>272</v>
      </c>
    </row>
    <row r="166" spans="1:8" ht="12" customHeight="1">
      <c r="A166" s="71">
        <v>1993</v>
      </c>
      <c r="B166" s="19">
        <v>3</v>
      </c>
      <c r="C166" s="19">
        <v>2</v>
      </c>
      <c r="D166" s="19">
        <v>43</v>
      </c>
      <c r="E166" s="19">
        <v>9</v>
      </c>
      <c r="F166" s="19">
        <v>31</v>
      </c>
      <c r="G166" s="19" t="s">
        <v>23</v>
      </c>
      <c r="H166" s="19">
        <f t="shared" si="12"/>
        <v>88</v>
      </c>
    </row>
    <row r="167" spans="1:8" ht="12" customHeight="1">
      <c r="A167" s="71">
        <v>1994</v>
      </c>
      <c r="B167" s="19" t="s">
        <v>23</v>
      </c>
      <c r="C167" s="19" t="s">
        <v>23</v>
      </c>
      <c r="D167" s="19" t="s">
        <v>23</v>
      </c>
      <c r="E167" s="19" t="s">
        <v>23</v>
      </c>
      <c r="F167" s="19" t="s">
        <v>23</v>
      </c>
      <c r="G167" s="19" t="s">
        <v>23</v>
      </c>
      <c r="H167" s="19" t="s">
        <v>23</v>
      </c>
    </row>
    <row r="168" spans="1:8" ht="12" customHeight="1">
      <c r="A168" s="71">
        <v>1995</v>
      </c>
      <c r="B168" s="19" t="s">
        <v>23</v>
      </c>
      <c r="C168" s="19" t="s">
        <v>23</v>
      </c>
      <c r="D168" s="19" t="s">
        <v>23</v>
      </c>
      <c r="E168" s="19" t="s">
        <v>23</v>
      </c>
      <c r="F168" s="19" t="s">
        <v>23</v>
      </c>
      <c r="G168" s="19" t="s">
        <v>23</v>
      </c>
      <c r="H168" s="19" t="s">
        <v>23</v>
      </c>
    </row>
    <row r="169" spans="1:8" ht="12" customHeight="1">
      <c r="A169" s="71">
        <v>1996</v>
      </c>
      <c r="B169" s="19" t="s">
        <v>23</v>
      </c>
      <c r="C169" s="19" t="s">
        <v>23</v>
      </c>
      <c r="D169" s="19" t="s">
        <v>23</v>
      </c>
      <c r="E169" s="19" t="s">
        <v>23</v>
      </c>
      <c r="F169" s="19" t="s">
        <v>23</v>
      </c>
      <c r="G169" s="19" t="s">
        <v>23</v>
      </c>
      <c r="H169" s="19" t="s">
        <v>23</v>
      </c>
    </row>
    <row r="170" spans="1:8" ht="12" customHeight="1">
      <c r="A170" s="71">
        <v>1997</v>
      </c>
      <c r="B170" s="54">
        <v>0</v>
      </c>
      <c r="C170" s="54">
        <v>0</v>
      </c>
      <c r="D170" s="19" t="s">
        <v>23</v>
      </c>
      <c r="E170" s="19" t="s">
        <v>23</v>
      </c>
      <c r="F170" s="19" t="s">
        <v>23</v>
      </c>
      <c r="G170" s="19" t="s">
        <v>23</v>
      </c>
      <c r="H170" s="19">
        <f>SUM(B170:G170)</f>
        <v>0</v>
      </c>
    </row>
    <row r="171" spans="1:8" ht="12" customHeight="1">
      <c r="A171" s="71">
        <v>1998</v>
      </c>
      <c r="B171" s="54">
        <v>0</v>
      </c>
      <c r="C171" s="54">
        <v>0</v>
      </c>
      <c r="D171" s="19" t="s">
        <v>23</v>
      </c>
      <c r="E171" s="19" t="s">
        <v>23</v>
      </c>
      <c r="F171" s="19" t="s">
        <v>23</v>
      </c>
      <c r="G171" s="19" t="s">
        <v>23</v>
      </c>
      <c r="H171" s="19" t="s">
        <v>23</v>
      </c>
    </row>
    <row r="172" spans="1:8" ht="12" customHeight="1">
      <c r="A172" s="71">
        <v>1999</v>
      </c>
      <c r="B172" s="54">
        <v>0</v>
      </c>
      <c r="C172" s="54">
        <v>0</v>
      </c>
      <c r="D172" s="19" t="s">
        <v>23</v>
      </c>
      <c r="E172" s="19" t="s">
        <v>23</v>
      </c>
      <c r="F172" s="19" t="s">
        <v>23</v>
      </c>
      <c r="G172" s="19" t="s">
        <v>23</v>
      </c>
      <c r="H172" s="19">
        <f t="shared" ref="H172:H186" si="13">SUM(B172:G172)</f>
        <v>0</v>
      </c>
    </row>
    <row r="173" spans="1:8" ht="12" customHeight="1">
      <c r="A173" s="71">
        <v>2000</v>
      </c>
      <c r="B173" s="54">
        <v>0</v>
      </c>
      <c r="C173" s="54">
        <v>0</v>
      </c>
      <c r="D173" s="19" t="s">
        <v>23</v>
      </c>
      <c r="E173" s="19">
        <v>48</v>
      </c>
      <c r="F173" s="19">
        <v>11</v>
      </c>
      <c r="G173" s="19" t="s">
        <v>23</v>
      </c>
      <c r="H173" s="19">
        <f t="shared" si="13"/>
        <v>59</v>
      </c>
    </row>
    <row r="174" spans="1:8" ht="12" customHeight="1">
      <c r="A174" s="71">
        <v>2001</v>
      </c>
      <c r="B174" s="19">
        <v>24</v>
      </c>
      <c r="C174" s="19">
        <v>1</v>
      </c>
      <c r="D174" s="19">
        <v>13</v>
      </c>
      <c r="E174" s="19">
        <v>26</v>
      </c>
      <c r="F174" s="19">
        <v>12</v>
      </c>
      <c r="G174" s="19" t="s">
        <v>23</v>
      </c>
      <c r="H174" s="19">
        <f t="shared" si="13"/>
        <v>76</v>
      </c>
    </row>
    <row r="175" spans="1:8" ht="12" customHeight="1">
      <c r="A175" s="71">
        <v>2002</v>
      </c>
      <c r="B175" s="19">
        <v>16</v>
      </c>
      <c r="C175" s="19">
        <v>1</v>
      </c>
      <c r="D175" s="19">
        <v>26</v>
      </c>
      <c r="E175" s="19">
        <v>22</v>
      </c>
      <c r="F175" s="19" t="s">
        <v>23</v>
      </c>
      <c r="G175" s="19" t="s">
        <v>23</v>
      </c>
      <c r="H175" s="19">
        <f t="shared" si="13"/>
        <v>65</v>
      </c>
    </row>
    <row r="176" spans="1:8" ht="12" customHeight="1">
      <c r="A176" s="71">
        <v>2003</v>
      </c>
      <c r="B176" s="19">
        <v>18</v>
      </c>
      <c r="C176" s="19">
        <v>4</v>
      </c>
      <c r="D176" s="19">
        <v>41</v>
      </c>
      <c r="E176" s="19">
        <v>32</v>
      </c>
      <c r="F176" s="19">
        <v>19</v>
      </c>
      <c r="G176" s="19" t="s">
        <v>23</v>
      </c>
      <c r="H176" s="19">
        <f t="shared" si="13"/>
        <v>114</v>
      </c>
    </row>
    <row r="177" spans="1:8" ht="12" customHeight="1">
      <c r="A177" s="71">
        <v>2004</v>
      </c>
      <c r="B177" s="19">
        <v>3</v>
      </c>
      <c r="C177" s="19">
        <v>3</v>
      </c>
      <c r="D177" s="19">
        <v>16</v>
      </c>
      <c r="E177" s="19">
        <v>18</v>
      </c>
      <c r="F177" s="19">
        <v>12</v>
      </c>
      <c r="G177" s="19" t="s">
        <v>23</v>
      </c>
      <c r="H177" s="19">
        <f t="shared" si="13"/>
        <v>52</v>
      </c>
    </row>
    <row r="178" spans="1:8" ht="12" customHeight="1">
      <c r="A178" s="71">
        <v>2005</v>
      </c>
      <c r="B178" s="19">
        <v>14</v>
      </c>
      <c r="C178" s="19">
        <v>15</v>
      </c>
      <c r="D178" s="19">
        <v>25</v>
      </c>
      <c r="E178" s="19">
        <v>49</v>
      </c>
      <c r="F178" s="19" t="s">
        <v>23</v>
      </c>
      <c r="G178" s="19" t="s">
        <v>23</v>
      </c>
      <c r="H178" s="19">
        <f t="shared" si="13"/>
        <v>103</v>
      </c>
    </row>
    <row r="179" spans="1:8" ht="12" customHeight="1">
      <c r="A179" s="71">
        <v>2006</v>
      </c>
      <c r="B179" s="19">
        <v>71</v>
      </c>
      <c r="C179" s="19">
        <v>54</v>
      </c>
      <c r="D179" s="19">
        <v>1</v>
      </c>
      <c r="E179" s="19">
        <v>2</v>
      </c>
      <c r="F179" s="19">
        <v>6</v>
      </c>
      <c r="G179" s="19" t="s">
        <v>23</v>
      </c>
      <c r="H179" s="19">
        <f t="shared" si="13"/>
        <v>134</v>
      </c>
    </row>
    <row r="180" spans="1:8" ht="12" customHeight="1">
      <c r="A180" s="71">
        <v>2007</v>
      </c>
      <c r="B180" s="42">
        <v>22</v>
      </c>
      <c r="C180" s="42">
        <v>27</v>
      </c>
      <c r="D180" s="42">
        <v>10</v>
      </c>
      <c r="E180" s="42">
        <v>31</v>
      </c>
      <c r="F180" s="42">
        <v>10</v>
      </c>
      <c r="G180" s="42" t="s">
        <v>23</v>
      </c>
      <c r="H180" s="42">
        <f t="shared" si="13"/>
        <v>100</v>
      </c>
    </row>
    <row r="181" spans="1:8" ht="12" customHeight="1">
      <c r="A181" s="71">
        <v>2008</v>
      </c>
      <c r="B181" s="42">
        <v>34</v>
      </c>
      <c r="C181" s="42">
        <v>80</v>
      </c>
      <c r="D181" s="42">
        <v>3</v>
      </c>
      <c r="E181" s="42">
        <v>8</v>
      </c>
      <c r="F181" s="42">
        <v>3</v>
      </c>
      <c r="G181" s="42" t="s">
        <v>23</v>
      </c>
      <c r="H181" s="42">
        <f t="shared" si="13"/>
        <v>128</v>
      </c>
    </row>
    <row r="182" spans="1:8" ht="12" customHeight="1">
      <c r="A182" s="71">
        <v>2009</v>
      </c>
      <c r="B182" s="42">
        <v>7</v>
      </c>
      <c r="C182" s="42">
        <v>13</v>
      </c>
      <c r="D182" s="42">
        <v>20</v>
      </c>
      <c r="E182" s="42">
        <v>43</v>
      </c>
      <c r="F182" s="42">
        <v>4</v>
      </c>
      <c r="G182" s="42" t="s">
        <v>23</v>
      </c>
      <c r="H182" s="42">
        <f t="shared" si="13"/>
        <v>87</v>
      </c>
    </row>
    <row r="183" spans="1:8" ht="12" customHeight="1">
      <c r="A183" s="71">
        <v>2010</v>
      </c>
      <c r="B183" s="42">
        <v>23</v>
      </c>
      <c r="C183" s="42">
        <v>22</v>
      </c>
      <c r="D183" s="42">
        <v>23</v>
      </c>
      <c r="E183" s="42">
        <v>17</v>
      </c>
      <c r="F183" s="42">
        <v>7</v>
      </c>
      <c r="G183" s="42" t="s">
        <v>23</v>
      </c>
      <c r="H183" s="42">
        <f t="shared" si="13"/>
        <v>92</v>
      </c>
    </row>
    <row r="184" spans="1:8" ht="12" customHeight="1">
      <c r="A184" s="71">
        <v>2011</v>
      </c>
      <c r="B184" s="42">
        <v>42</v>
      </c>
      <c r="C184" s="42">
        <v>43</v>
      </c>
      <c r="D184" s="42">
        <v>1</v>
      </c>
      <c r="E184" s="42">
        <v>3</v>
      </c>
      <c r="F184" s="42">
        <v>3</v>
      </c>
      <c r="G184" s="42" t="s">
        <v>23</v>
      </c>
      <c r="H184" s="42">
        <f t="shared" si="13"/>
        <v>92</v>
      </c>
    </row>
    <row r="185" spans="1:8" ht="12" customHeight="1">
      <c r="A185" s="71">
        <v>2012</v>
      </c>
      <c r="B185" s="42">
        <v>5</v>
      </c>
      <c r="C185" s="42">
        <v>76</v>
      </c>
      <c r="D185" s="42">
        <v>14</v>
      </c>
      <c r="E185" s="42">
        <v>2</v>
      </c>
      <c r="F185" s="42">
        <v>10</v>
      </c>
      <c r="G185" s="42" t="s">
        <v>23</v>
      </c>
      <c r="H185" s="42">
        <f t="shared" si="13"/>
        <v>107</v>
      </c>
    </row>
    <row r="186" spans="1:8" ht="12" customHeight="1">
      <c r="A186" s="71">
        <v>2013</v>
      </c>
      <c r="B186" s="42">
        <v>47</v>
      </c>
      <c r="C186" s="42">
        <v>51</v>
      </c>
      <c r="D186" s="42">
        <v>15</v>
      </c>
      <c r="E186" s="42">
        <v>10</v>
      </c>
      <c r="F186" s="42">
        <v>7</v>
      </c>
      <c r="G186" s="42" t="s">
        <v>23</v>
      </c>
      <c r="H186" s="42">
        <f t="shared" si="13"/>
        <v>130</v>
      </c>
    </row>
    <row r="187" spans="1:8" ht="12" customHeight="1">
      <c r="A187" s="71">
        <v>2014</v>
      </c>
      <c r="B187" s="42">
        <v>250</v>
      </c>
      <c r="C187" s="42">
        <v>49</v>
      </c>
      <c r="D187" s="42">
        <v>42</v>
      </c>
      <c r="E187" s="42">
        <v>35</v>
      </c>
      <c r="F187" s="42">
        <v>18</v>
      </c>
      <c r="G187" s="42" t="s">
        <v>23</v>
      </c>
      <c r="H187" s="42">
        <f t="shared" ref="H187:H194" si="14">SUM(B187:G187)</f>
        <v>394</v>
      </c>
    </row>
    <row r="188" spans="1:8" ht="12" customHeight="1">
      <c r="A188" s="71">
        <v>2015</v>
      </c>
      <c r="B188" s="42">
        <v>177</v>
      </c>
      <c r="C188" s="42">
        <v>26</v>
      </c>
      <c r="D188" s="42">
        <v>11</v>
      </c>
      <c r="E188" s="42">
        <v>26</v>
      </c>
      <c r="F188" s="42">
        <v>35</v>
      </c>
      <c r="G188" s="42" t="s">
        <v>23</v>
      </c>
      <c r="H188" s="42">
        <f t="shared" si="14"/>
        <v>275</v>
      </c>
    </row>
    <row r="189" spans="1:8" ht="12" customHeight="1">
      <c r="A189" s="71">
        <v>2016</v>
      </c>
      <c r="B189" s="42">
        <v>78</v>
      </c>
      <c r="C189" s="42">
        <v>48</v>
      </c>
      <c r="D189" s="42">
        <v>30</v>
      </c>
      <c r="E189" s="42">
        <v>32</v>
      </c>
      <c r="F189" s="42" t="s">
        <v>23</v>
      </c>
      <c r="G189" s="42" t="s">
        <v>23</v>
      </c>
      <c r="H189" s="42">
        <f t="shared" si="14"/>
        <v>188</v>
      </c>
    </row>
    <row r="190" spans="1:8" ht="12" customHeight="1">
      <c r="A190" s="71">
        <v>2017</v>
      </c>
      <c r="B190" s="42">
        <v>16</v>
      </c>
      <c r="C190" s="42">
        <v>24</v>
      </c>
      <c r="D190" s="42">
        <v>15</v>
      </c>
      <c r="E190" s="42">
        <v>15</v>
      </c>
      <c r="F190" s="42">
        <v>23</v>
      </c>
      <c r="G190" s="42" t="s">
        <v>23</v>
      </c>
      <c r="H190" s="42">
        <f t="shared" si="14"/>
        <v>93</v>
      </c>
    </row>
    <row r="191" spans="1:8" ht="12" customHeight="1">
      <c r="A191" s="71">
        <v>2018</v>
      </c>
      <c r="B191" s="42">
        <v>13</v>
      </c>
      <c r="C191" s="42">
        <v>17</v>
      </c>
      <c r="D191" s="42">
        <v>15</v>
      </c>
      <c r="E191" s="42">
        <v>7</v>
      </c>
      <c r="F191" s="42">
        <v>2</v>
      </c>
      <c r="G191" s="42" t="s">
        <v>23</v>
      </c>
      <c r="H191" s="42">
        <f t="shared" si="14"/>
        <v>54</v>
      </c>
    </row>
    <row r="192" spans="1:8" ht="12" customHeight="1">
      <c r="A192" s="71">
        <v>2019</v>
      </c>
      <c r="B192" s="42">
        <v>42</v>
      </c>
      <c r="C192" s="42">
        <v>9</v>
      </c>
      <c r="D192" s="42">
        <v>12</v>
      </c>
      <c r="E192" s="42">
        <v>14</v>
      </c>
      <c r="F192" s="42">
        <v>0</v>
      </c>
      <c r="G192" s="42" t="s">
        <v>23</v>
      </c>
      <c r="H192" s="42">
        <f t="shared" ref="H192:H193" si="15">SUM(B192:G192)</f>
        <v>77</v>
      </c>
    </row>
    <row r="193" spans="1:8" ht="12" customHeight="1">
      <c r="A193" s="71">
        <v>2020</v>
      </c>
      <c r="B193" s="42">
        <v>17</v>
      </c>
      <c r="C193" s="42">
        <v>25</v>
      </c>
      <c r="D193" s="42">
        <v>0</v>
      </c>
      <c r="E193" s="42">
        <v>10</v>
      </c>
      <c r="F193" s="42">
        <v>5</v>
      </c>
      <c r="G193" s="42" t="s">
        <v>23</v>
      </c>
      <c r="H193" s="42">
        <f t="shared" si="15"/>
        <v>57</v>
      </c>
    </row>
    <row r="194" spans="1:8" ht="12" customHeight="1">
      <c r="A194" s="71" t="s">
        <v>318</v>
      </c>
      <c r="B194" s="19">
        <v>8</v>
      </c>
      <c r="C194" s="19">
        <v>15</v>
      </c>
      <c r="D194" s="19">
        <v>1</v>
      </c>
      <c r="E194" s="19">
        <v>5</v>
      </c>
      <c r="F194" s="19">
        <v>9</v>
      </c>
      <c r="G194" s="19" t="s">
        <v>23</v>
      </c>
      <c r="H194" s="19">
        <f t="shared" si="14"/>
        <v>38</v>
      </c>
    </row>
    <row r="195" spans="1:8" ht="12" customHeight="1">
      <c r="B195" s="19"/>
      <c r="C195" s="19"/>
      <c r="D195" s="19"/>
      <c r="E195" s="19"/>
      <c r="F195" s="19"/>
      <c r="G195" s="19"/>
      <c r="H195" s="19"/>
    </row>
    <row r="196" spans="1:8" ht="12" customHeight="1">
      <c r="A196" s="103" t="s">
        <v>101</v>
      </c>
      <c r="B196" s="19"/>
      <c r="C196" s="19"/>
      <c r="D196" s="19"/>
      <c r="E196" s="19"/>
      <c r="F196" s="19"/>
      <c r="G196" s="19"/>
      <c r="H196" s="19"/>
    </row>
    <row r="197" spans="1:8" ht="12" customHeight="1">
      <c r="A197" s="71">
        <v>1976</v>
      </c>
      <c r="B197" s="19">
        <f t="shared" ref="B197:G206" si="16">IF(AND(B149="-",B101="-",B53="-",B5="-"),"-",SUM(B149,B101,B53,B5))</f>
        <v>4381</v>
      </c>
      <c r="C197" s="19">
        <f t="shared" si="16"/>
        <v>7582</v>
      </c>
      <c r="D197" s="19">
        <f t="shared" si="16"/>
        <v>18015</v>
      </c>
      <c r="E197" s="19">
        <f t="shared" si="16"/>
        <v>16992</v>
      </c>
      <c r="F197" s="19">
        <f t="shared" si="16"/>
        <v>11935</v>
      </c>
      <c r="G197" s="19" t="str">
        <f t="shared" si="16"/>
        <v>-</v>
      </c>
      <c r="H197" s="19">
        <f t="shared" ref="H197:H214" si="17">SUM(H149,H101,H53,H5)</f>
        <v>58905</v>
      </c>
    </row>
    <row r="198" spans="1:8" ht="12" customHeight="1">
      <c r="A198" s="71">
        <v>1977</v>
      </c>
      <c r="B198" s="19">
        <f t="shared" si="16"/>
        <v>4459</v>
      </c>
      <c r="C198" s="19">
        <f t="shared" si="16"/>
        <v>3205</v>
      </c>
      <c r="D198" s="19">
        <f t="shared" si="16"/>
        <v>18908</v>
      </c>
      <c r="E198" s="19">
        <f t="shared" si="16"/>
        <v>15532</v>
      </c>
      <c r="F198" s="19">
        <f t="shared" si="16"/>
        <v>9733</v>
      </c>
      <c r="G198" s="19" t="str">
        <f t="shared" si="16"/>
        <v>-</v>
      </c>
      <c r="H198" s="19">
        <f t="shared" si="17"/>
        <v>51837</v>
      </c>
    </row>
    <row r="199" spans="1:8" ht="12" customHeight="1">
      <c r="A199" s="71">
        <v>1978</v>
      </c>
      <c r="B199" s="19">
        <f t="shared" si="16"/>
        <v>2877</v>
      </c>
      <c r="C199" s="19">
        <f t="shared" si="16"/>
        <v>2849</v>
      </c>
      <c r="D199" s="19">
        <f t="shared" si="16"/>
        <v>14602</v>
      </c>
      <c r="E199" s="19">
        <f t="shared" si="16"/>
        <v>10678</v>
      </c>
      <c r="F199" s="19">
        <f t="shared" si="16"/>
        <v>8587</v>
      </c>
      <c r="G199" s="19" t="str">
        <f t="shared" si="16"/>
        <v>-</v>
      </c>
      <c r="H199" s="19">
        <f t="shared" si="17"/>
        <v>39593</v>
      </c>
    </row>
    <row r="200" spans="1:8" ht="12" customHeight="1">
      <c r="A200" s="71">
        <v>1979</v>
      </c>
      <c r="B200" s="19">
        <f t="shared" si="16"/>
        <v>4649</v>
      </c>
      <c r="C200" s="19">
        <f t="shared" si="16"/>
        <v>161</v>
      </c>
      <c r="D200" s="19">
        <f t="shared" si="16"/>
        <v>14887</v>
      </c>
      <c r="E200" s="19">
        <f t="shared" si="16"/>
        <v>20442</v>
      </c>
      <c r="F200" s="19">
        <f t="shared" si="16"/>
        <v>162</v>
      </c>
      <c r="G200" s="19" t="str">
        <f t="shared" si="16"/>
        <v>-</v>
      </c>
      <c r="H200" s="19">
        <f t="shared" si="17"/>
        <v>40301</v>
      </c>
    </row>
    <row r="201" spans="1:8" ht="12" customHeight="1">
      <c r="A201" s="71">
        <v>1980</v>
      </c>
      <c r="B201" s="19">
        <f t="shared" si="16"/>
        <v>4519</v>
      </c>
      <c r="C201" s="19">
        <f t="shared" si="16"/>
        <v>205</v>
      </c>
      <c r="D201" s="19">
        <f t="shared" si="16"/>
        <v>8962</v>
      </c>
      <c r="E201" s="19">
        <f t="shared" si="16"/>
        <v>11078</v>
      </c>
      <c r="F201" s="19">
        <f t="shared" si="16"/>
        <v>519</v>
      </c>
      <c r="G201" s="19" t="str">
        <f t="shared" si="16"/>
        <v>-</v>
      </c>
      <c r="H201" s="19">
        <f t="shared" si="17"/>
        <v>25283</v>
      </c>
    </row>
    <row r="202" spans="1:8" ht="12" customHeight="1">
      <c r="A202" s="71">
        <v>1981</v>
      </c>
      <c r="B202" s="19">
        <f t="shared" si="16"/>
        <v>4978</v>
      </c>
      <c r="C202" s="19">
        <f t="shared" si="16"/>
        <v>207</v>
      </c>
      <c r="D202" s="19">
        <f t="shared" si="16"/>
        <v>10064</v>
      </c>
      <c r="E202" s="19">
        <f t="shared" si="16"/>
        <v>10331</v>
      </c>
      <c r="F202" s="19" t="str">
        <f t="shared" si="16"/>
        <v>-</v>
      </c>
      <c r="G202" s="19" t="str">
        <f t="shared" si="16"/>
        <v>-</v>
      </c>
      <c r="H202" s="19">
        <f t="shared" si="17"/>
        <v>25580</v>
      </c>
    </row>
    <row r="203" spans="1:8" ht="12" customHeight="1">
      <c r="A203" s="71">
        <v>1982</v>
      </c>
      <c r="B203" s="19">
        <f t="shared" si="16"/>
        <v>4203</v>
      </c>
      <c r="C203" s="19">
        <f t="shared" si="16"/>
        <v>676</v>
      </c>
      <c r="D203" s="19">
        <f t="shared" si="16"/>
        <v>10949</v>
      </c>
      <c r="E203" s="19">
        <f t="shared" si="16"/>
        <v>396</v>
      </c>
      <c r="F203" s="19" t="str">
        <f t="shared" si="16"/>
        <v>-</v>
      </c>
      <c r="G203" s="19" t="str">
        <f t="shared" si="16"/>
        <v>-</v>
      </c>
      <c r="H203" s="19">
        <f t="shared" si="17"/>
        <v>16224</v>
      </c>
    </row>
    <row r="204" spans="1:8" ht="12" customHeight="1">
      <c r="A204" s="71">
        <v>1983</v>
      </c>
      <c r="B204" s="19">
        <f t="shared" si="16"/>
        <v>3921</v>
      </c>
      <c r="C204" s="19">
        <f t="shared" si="16"/>
        <v>623</v>
      </c>
      <c r="D204" s="19">
        <f t="shared" si="16"/>
        <v>2821</v>
      </c>
      <c r="E204" s="19">
        <f t="shared" si="16"/>
        <v>1854</v>
      </c>
      <c r="F204" s="19">
        <f t="shared" si="16"/>
        <v>568</v>
      </c>
      <c r="G204" s="19" t="str">
        <f t="shared" si="16"/>
        <v>-</v>
      </c>
      <c r="H204" s="19">
        <f t="shared" si="17"/>
        <v>9787</v>
      </c>
    </row>
    <row r="205" spans="1:8" ht="12" customHeight="1">
      <c r="A205" s="71">
        <v>1984</v>
      </c>
      <c r="B205" s="19">
        <f t="shared" si="16"/>
        <v>593</v>
      </c>
      <c r="C205" s="19" t="str">
        <f t="shared" si="16"/>
        <v>-</v>
      </c>
      <c r="D205" s="19" t="str">
        <f t="shared" si="16"/>
        <v>-</v>
      </c>
      <c r="E205" s="19">
        <f t="shared" si="16"/>
        <v>499</v>
      </c>
      <c r="F205" s="19" t="str">
        <f t="shared" si="16"/>
        <v>-</v>
      </c>
      <c r="G205" s="19" t="str">
        <f t="shared" si="16"/>
        <v>-</v>
      </c>
      <c r="H205" s="19">
        <f t="shared" si="17"/>
        <v>1092</v>
      </c>
    </row>
    <row r="206" spans="1:8" ht="12" customHeight="1">
      <c r="A206" s="71">
        <v>1985</v>
      </c>
      <c r="B206" s="19">
        <f t="shared" si="16"/>
        <v>2637</v>
      </c>
      <c r="C206" s="19">
        <f t="shared" si="16"/>
        <v>20</v>
      </c>
      <c r="D206" s="19">
        <f t="shared" si="16"/>
        <v>2041</v>
      </c>
      <c r="E206" s="19">
        <f t="shared" si="16"/>
        <v>1701</v>
      </c>
      <c r="F206" s="19">
        <f t="shared" si="16"/>
        <v>14</v>
      </c>
      <c r="G206" s="19" t="str">
        <f t="shared" si="16"/>
        <v>-</v>
      </c>
      <c r="H206" s="19">
        <f t="shared" si="17"/>
        <v>6413</v>
      </c>
    </row>
    <row r="207" spans="1:8" ht="12" customHeight="1">
      <c r="A207" s="71">
        <v>1986</v>
      </c>
      <c r="B207" s="19">
        <f t="shared" ref="B207:G216" si="18">IF(AND(B159="-",B111="-",B63="-",B15="-"),"-",SUM(B159,B111,B63,B15))</f>
        <v>2360</v>
      </c>
      <c r="C207" s="19">
        <f t="shared" si="18"/>
        <v>15</v>
      </c>
      <c r="D207" s="19" t="str">
        <f t="shared" si="18"/>
        <v>-</v>
      </c>
      <c r="E207" s="19">
        <f t="shared" si="18"/>
        <v>1880</v>
      </c>
      <c r="F207" s="19" t="str">
        <f t="shared" si="18"/>
        <v>-</v>
      </c>
      <c r="G207" s="19" t="str">
        <f t="shared" si="18"/>
        <v>-</v>
      </c>
      <c r="H207" s="19">
        <f t="shared" si="17"/>
        <v>4255</v>
      </c>
    </row>
    <row r="208" spans="1:8" ht="12" customHeight="1">
      <c r="A208" s="71">
        <v>1987</v>
      </c>
      <c r="B208" s="19">
        <f t="shared" si="18"/>
        <v>1962</v>
      </c>
      <c r="C208" s="19" t="str">
        <f t="shared" si="18"/>
        <v>-</v>
      </c>
      <c r="D208" s="19">
        <f t="shared" si="18"/>
        <v>1156</v>
      </c>
      <c r="E208" s="19">
        <f t="shared" si="18"/>
        <v>7</v>
      </c>
      <c r="F208" s="19" t="str">
        <f t="shared" si="18"/>
        <v>-</v>
      </c>
      <c r="G208" s="19" t="str">
        <f t="shared" si="18"/>
        <v>-</v>
      </c>
      <c r="H208" s="19">
        <f t="shared" si="17"/>
        <v>3125</v>
      </c>
    </row>
    <row r="209" spans="1:9" ht="12" customHeight="1">
      <c r="A209" s="71">
        <v>1988</v>
      </c>
      <c r="B209" s="19">
        <f t="shared" si="18"/>
        <v>3613</v>
      </c>
      <c r="C209" s="19">
        <f t="shared" si="18"/>
        <v>2154</v>
      </c>
      <c r="D209" s="19">
        <f t="shared" si="18"/>
        <v>3</v>
      </c>
      <c r="E209" s="19">
        <f t="shared" si="18"/>
        <v>24</v>
      </c>
      <c r="F209" s="19" t="str">
        <f t="shared" si="18"/>
        <v>-</v>
      </c>
      <c r="G209" s="19" t="str">
        <f t="shared" si="18"/>
        <v>-</v>
      </c>
      <c r="H209" s="19">
        <f t="shared" si="17"/>
        <v>5794</v>
      </c>
    </row>
    <row r="210" spans="1:9" ht="12" customHeight="1">
      <c r="A210" s="71">
        <v>1989</v>
      </c>
      <c r="B210" s="19">
        <f t="shared" si="18"/>
        <v>2249</v>
      </c>
      <c r="C210" s="19">
        <f t="shared" si="18"/>
        <v>1110</v>
      </c>
      <c r="D210" s="19" t="str">
        <f t="shared" si="18"/>
        <v>-</v>
      </c>
      <c r="E210" s="19">
        <f t="shared" si="18"/>
        <v>1165</v>
      </c>
      <c r="F210" s="19">
        <f t="shared" si="18"/>
        <v>480</v>
      </c>
      <c r="G210" s="19" t="str">
        <f t="shared" si="18"/>
        <v>-</v>
      </c>
      <c r="H210" s="19">
        <f t="shared" si="17"/>
        <v>5004</v>
      </c>
    </row>
    <row r="211" spans="1:9" ht="12" customHeight="1">
      <c r="A211" s="71">
        <v>1990</v>
      </c>
      <c r="B211" s="19">
        <f t="shared" si="18"/>
        <v>2077</v>
      </c>
      <c r="C211" s="19">
        <f t="shared" si="18"/>
        <v>223</v>
      </c>
      <c r="D211" s="19" t="str">
        <f t="shared" si="18"/>
        <v>-</v>
      </c>
      <c r="E211" s="19">
        <f t="shared" si="18"/>
        <v>2424</v>
      </c>
      <c r="F211" s="19">
        <f t="shared" si="18"/>
        <v>690</v>
      </c>
      <c r="G211" s="19" t="str">
        <f t="shared" si="18"/>
        <v>-</v>
      </c>
      <c r="H211" s="19">
        <f t="shared" si="17"/>
        <v>5414</v>
      </c>
    </row>
    <row r="212" spans="1:9" ht="12" customHeight="1">
      <c r="A212" s="71">
        <v>1991</v>
      </c>
      <c r="B212" s="19">
        <f t="shared" si="18"/>
        <v>1746</v>
      </c>
      <c r="C212" s="19">
        <f t="shared" si="18"/>
        <v>1001</v>
      </c>
      <c r="D212" s="19" t="str">
        <f t="shared" si="18"/>
        <v>-</v>
      </c>
      <c r="E212" s="19">
        <f t="shared" si="18"/>
        <v>1619</v>
      </c>
      <c r="F212" s="19">
        <f t="shared" si="18"/>
        <v>506</v>
      </c>
      <c r="G212" s="19" t="str">
        <f t="shared" si="18"/>
        <v>-</v>
      </c>
      <c r="H212" s="19">
        <f t="shared" si="17"/>
        <v>4872</v>
      </c>
    </row>
    <row r="213" spans="1:9" ht="12" customHeight="1">
      <c r="A213" s="71">
        <v>1992</v>
      </c>
      <c r="B213" s="19">
        <f t="shared" si="18"/>
        <v>2034</v>
      </c>
      <c r="C213" s="19">
        <f t="shared" si="18"/>
        <v>1249</v>
      </c>
      <c r="D213" s="19">
        <f t="shared" si="18"/>
        <v>935</v>
      </c>
      <c r="E213" s="19">
        <f t="shared" si="18"/>
        <v>631</v>
      </c>
      <c r="F213" s="19" t="str">
        <f t="shared" si="18"/>
        <v>-</v>
      </c>
      <c r="G213" s="19" t="str">
        <f t="shared" si="18"/>
        <v>-</v>
      </c>
      <c r="H213" s="19">
        <f t="shared" si="17"/>
        <v>4849</v>
      </c>
    </row>
    <row r="214" spans="1:9" ht="12" customHeight="1">
      <c r="A214" s="71">
        <v>1993</v>
      </c>
      <c r="B214" s="19">
        <f t="shared" si="18"/>
        <v>1239</v>
      </c>
      <c r="C214" s="19">
        <f t="shared" si="18"/>
        <v>939</v>
      </c>
      <c r="D214" s="19">
        <f t="shared" si="18"/>
        <v>740</v>
      </c>
      <c r="E214" s="19">
        <f t="shared" si="18"/>
        <v>371</v>
      </c>
      <c r="F214" s="19">
        <f t="shared" si="18"/>
        <v>418</v>
      </c>
      <c r="G214" s="19" t="str">
        <f t="shared" si="18"/>
        <v>-</v>
      </c>
      <c r="H214" s="19">
        <f t="shared" si="17"/>
        <v>3707</v>
      </c>
    </row>
    <row r="215" spans="1:9" ht="12" customHeight="1">
      <c r="A215" s="71">
        <v>1994</v>
      </c>
      <c r="B215" s="19" t="str">
        <f t="shared" si="18"/>
        <v>-</v>
      </c>
      <c r="C215" s="19" t="str">
        <f t="shared" si="18"/>
        <v>-</v>
      </c>
      <c r="D215" s="19" t="str">
        <f t="shared" si="18"/>
        <v>-</v>
      </c>
      <c r="E215" s="19" t="str">
        <f t="shared" si="18"/>
        <v>-</v>
      </c>
      <c r="F215" s="19" t="str">
        <f t="shared" si="18"/>
        <v>-</v>
      </c>
      <c r="G215" s="19" t="str">
        <f t="shared" si="18"/>
        <v>-</v>
      </c>
      <c r="H215" s="19" t="s">
        <v>23</v>
      </c>
    </row>
    <row r="216" spans="1:9" ht="12" customHeight="1">
      <c r="A216" s="71">
        <v>1995</v>
      </c>
      <c r="B216" s="19" t="str">
        <f t="shared" si="18"/>
        <v>-</v>
      </c>
      <c r="C216" s="19" t="str">
        <f t="shared" si="18"/>
        <v>-</v>
      </c>
      <c r="D216" s="19" t="str">
        <f t="shared" si="18"/>
        <v>-</v>
      </c>
      <c r="E216" s="19">
        <f t="shared" si="18"/>
        <v>397</v>
      </c>
      <c r="F216" s="19">
        <f t="shared" si="18"/>
        <v>74</v>
      </c>
      <c r="G216" s="19" t="str">
        <f t="shared" si="18"/>
        <v>-</v>
      </c>
      <c r="H216" s="19">
        <f t="shared" ref="H216:H223" si="19">SUM(H168,H120,H72,H24)</f>
        <v>471</v>
      </c>
    </row>
    <row r="217" spans="1:9" ht="12" customHeight="1">
      <c r="A217" s="71">
        <v>1996</v>
      </c>
      <c r="B217" s="19" t="str">
        <f t="shared" ref="B217:G226" si="20">IF(AND(B169="-",B121="-",B73="-",B25="-"),"-",SUM(B169,B121,B73,B25))</f>
        <v>-</v>
      </c>
      <c r="C217" s="19" t="str">
        <f t="shared" si="20"/>
        <v>-</v>
      </c>
      <c r="D217" s="19">
        <f t="shared" si="20"/>
        <v>181</v>
      </c>
      <c r="E217" s="19">
        <f t="shared" si="20"/>
        <v>231</v>
      </c>
      <c r="F217" s="19" t="str">
        <f t="shared" si="20"/>
        <v>-</v>
      </c>
      <c r="G217" s="19" t="str">
        <f t="shared" si="20"/>
        <v>-</v>
      </c>
      <c r="H217" s="19">
        <f t="shared" si="19"/>
        <v>412</v>
      </c>
    </row>
    <row r="218" spans="1:9" ht="12" customHeight="1">
      <c r="A218" s="71">
        <v>1997</v>
      </c>
      <c r="B218" s="19">
        <f t="shared" si="20"/>
        <v>294</v>
      </c>
      <c r="C218" s="19">
        <f t="shared" si="20"/>
        <v>158</v>
      </c>
      <c r="D218" s="19" t="str">
        <f t="shared" si="20"/>
        <v>-</v>
      </c>
      <c r="E218" s="19" t="str">
        <f t="shared" si="20"/>
        <v>-</v>
      </c>
      <c r="F218" s="19" t="str">
        <f t="shared" si="20"/>
        <v>-</v>
      </c>
      <c r="G218" s="19" t="str">
        <f t="shared" si="20"/>
        <v>-</v>
      </c>
      <c r="H218" s="19">
        <f t="shared" si="19"/>
        <v>452</v>
      </c>
    </row>
    <row r="219" spans="1:9" ht="12" customHeight="1">
      <c r="A219" s="71">
        <v>1998</v>
      </c>
      <c r="B219" s="19">
        <f t="shared" si="20"/>
        <v>127</v>
      </c>
      <c r="C219" s="19">
        <f t="shared" si="20"/>
        <v>12</v>
      </c>
      <c r="D219" s="19" t="str">
        <f t="shared" si="20"/>
        <v>-</v>
      </c>
      <c r="E219" s="19" t="str">
        <f t="shared" si="20"/>
        <v>-</v>
      </c>
      <c r="F219" s="19" t="str">
        <f t="shared" si="20"/>
        <v>-</v>
      </c>
      <c r="G219" s="19" t="str">
        <f t="shared" si="20"/>
        <v>-</v>
      </c>
      <c r="H219" s="19">
        <f t="shared" si="19"/>
        <v>139</v>
      </c>
    </row>
    <row r="220" spans="1:9" ht="12" customHeight="1">
      <c r="A220" s="71">
        <v>1999</v>
      </c>
      <c r="B220" s="19">
        <f t="shared" si="20"/>
        <v>271</v>
      </c>
      <c r="C220" s="19">
        <f t="shared" si="20"/>
        <v>231</v>
      </c>
      <c r="D220" s="19">
        <f t="shared" si="20"/>
        <v>135</v>
      </c>
      <c r="E220" s="19">
        <f t="shared" si="20"/>
        <v>86</v>
      </c>
      <c r="F220" s="19">
        <f t="shared" si="20"/>
        <v>6</v>
      </c>
      <c r="G220" s="19" t="str">
        <f t="shared" si="20"/>
        <v>-</v>
      </c>
      <c r="H220" s="19">
        <f t="shared" si="19"/>
        <v>729</v>
      </c>
    </row>
    <row r="221" spans="1:9" ht="12" customHeight="1">
      <c r="A221" s="71">
        <v>2000</v>
      </c>
      <c r="B221" s="19">
        <f t="shared" si="20"/>
        <v>193</v>
      </c>
      <c r="C221" s="19">
        <f t="shared" si="20"/>
        <v>95</v>
      </c>
      <c r="D221" s="19" t="str">
        <f t="shared" si="20"/>
        <v>-</v>
      </c>
      <c r="E221" s="19">
        <f t="shared" si="20"/>
        <v>119</v>
      </c>
      <c r="F221" s="19">
        <f t="shared" si="20"/>
        <v>14</v>
      </c>
      <c r="G221" s="19" t="str">
        <f t="shared" si="20"/>
        <v>-</v>
      </c>
      <c r="H221" s="19">
        <f t="shared" si="19"/>
        <v>421</v>
      </c>
    </row>
    <row r="222" spans="1:9" ht="12" customHeight="1">
      <c r="A222" s="71">
        <v>2001</v>
      </c>
      <c r="B222" s="19">
        <f t="shared" si="20"/>
        <v>233</v>
      </c>
      <c r="C222" s="19">
        <f t="shared" si="20"/>
        <v>213</v>
      </c>
      <c r="D222" s="19">
        <f t="shared" si="20"/>
        <v>172</v>
      </c>
      <c r="E222" s="19">
        <f t="shared" si="20"/>
        <v>96</v>
      </c>
      <c r="F222" s="19">
        <f t="shared" si="20"/>
        <v>50</v>
      </c>
      <c r="G222" s="19" t="str">
        <f t="shared" si="20"/>
        <v>-</v>
      </c>
      <c r="H222" s="19">
        <f t="shared" si="19"/>
        <v>764</v>
      </c>
    </row>
    <row r="223" spans="1:9" ht="12" customHeight="1">
      <c r="A223" s="71">
        <v>2002</v>
      </c>
      <c r="B223" s="42">
        <f t="shared" si="20"/>
        <v>444</v>
      </c>
      <c r="C223" s="42">
        <f t="shared" si="20"/>
        <v>184</v>
      </c>
      <c r="D223" s="54">
        <f t="shared" si="20"/>
        <v>446</v>
      </c>
      <c r="E223" s="54">
        <f t="shared" si="20"/>
        <v>264</v>
      </c>
      <c r="F223" s="54" t="str">
        <f t="shared" si="20"/>
        <v>-</v>
      </c>
      <c r="G223" s="54" t="str">
        <f t="shared" si="20"/>
        <v>-</v>
      </c>
      <c r="H223" s="54">
        <f t="shared" si="19"/>
        <v>1338</v>
      </c>
      <c r="I223" s="32"/>
    </row>
    <row r="224" spans="1:9" ht="12" customHeight="1">
      <c r="A224" s="71">
        <v>2003</v>
      </c>
      <c r="B224" s="42">
        <f t="shared" si="20"/>
        <v>439</v>
      </c>
      <c r="C224" s="42">
        <f t="shared" si="20"/>
        <v>199</v>
      </c>
      <c r="D224" s="42">
        <f t="shared" si="20"/>
        <v>517</v>
      </c>
      <c r="E224" s="42">
        <f t="shared" si="20"/>
        <v>447</v>
      </c>
      <c r="F224" s="42">
        <f t="shared" si="20"/>
        <v>96</v>
      </c>
      <c r="G224" s="42" t="str">
        <f t="shared" si="20"/>
        <v>-</v>
      </c>
      <c r="H224" s="42">
        <f t="shared" ref="H224:H240" si="21">IF(AND(H176="-",H128="-",H80="-",H32="-"),"-",SUM(H176,H128,H80,H32))</f>
        <v>1698</v>
      </c>
    </row>
    <row r="225" spans="1:8" ht="12" customHeight="1">
      <c r="A225" s="71">
        <v>2004</v>
      </c>
      <c r="B225" s="42">
        <f t="shared" si="20"/>
        <v>463</v>
      </c>
      <c r="C225" s="42">
        <f t="shared" si="20"/>
        <v>13</v>
      </c>
      <c r="D225" s="42">
        <f t="shared" si="20"/>
        <v>408</v>
      </c>
      <c r="E225" s="42">
        <f t="shared" si="20"/>
        <v>360</v>
      </c>
      <c r="F225" s="42">
        <f t="shared" si="20"/>
        <v>137</v>
      </c>
      <c r="G225" s="42" t="str">
        <f t="shared" si="20"/>
        <v>-</v>
      </c>
      <c r="H225" s="42">
        <f t="shared" si="21"/>
        <v>1381</v>
      </c>
    </row>
    <row r="226" spans="1:8" ht="12" customHeight="1">
      <c r="A226" s="71">
        <v>2005</v>
      </c>
      <c r="B226" s="42">
        <f t="shared" si="20"/>
        <v>506</v>
      </c>
      <c r="C226" s="42">
        <f t="shared" si="20"/>
        <v>119</v>
      </c>
      <c r="D226" s="42">
        <f t="shared" si="20"/>
        <v>362</v>
      </c>
      <c r="E226" s="42">
        <f t="shared" si="20"/>
        <v>451</v>
      </c>
      <c r="F226" s="42" t="str">
        <f t="shared" si="20"/>
        <v>-</v>
      </c>
      <c r="G226" s="42" t="str">
        <f t="shared" si="20"/>
        <v>-</v>
      </c>
      <c r="H226" s="42">
        <f t="shared" si="21"/>
        <v>1438</v>
      </c>
    </row>
    <row r="227" spans="1:8" ht="12" customHeight="1">
      <c r="A227" s="71">
        <v>2006</v>
      </c>
      <c r="B227" s="42">
        <f t="shared" ref="B227:G236" si="22">IF(AND(B179="-",B131="-",B83="-",B35="-"),"-",SUM(B179,B131,B83,B35))</f>
        <v>430</v>
      </c>
      <c r="C227" s="42">
        <f t="shared" si="22"/>
        <v>435</v>
      </c>
      <c r="D227" s="42">
        <f t="shared" si="22"/>
        <v>100</v>
      </c>
      <c r="E227" s="42">
        <f t="shared" si="22"/>
        <v>298</v>
      </c>
      <c r="F227" s="42">
        <f t="shared" si="22"/>
        <v>175</v>
      </c>
      <c r="G227" s="42" t="str">
        <f t="shared" si="22"/>
        <v>-</v>
      </c>
      <c r="H227" s="42">
        <f t="shared" si="21"/>
        <v>1438</v>
      </c>
    </row>
    <row r="228" spans="1:8" ht="12" customHeight="1">
      <c r="A228" s="71">
        <v>2007</v>
      </c>
      <c r="B228" s="42">
        <f t="shared" si="22"/>
        <v>467</v>
      </c>
      <c r="C228" s="42">
        <f t="shared" si="22"/>
        <v>280</v>
      </c>
      <c r="D228" s="42">
        <f t="shared" si="22"/>
        <v>364</v>
      </c>
      <c r="E228" s="42">
        <f t="shared" si="22"/>
        <v>145</v>
      </c>
      <c r="F228" s="42">
        <f t="shared" si="22"/>
        <v>18</v>
      </c>
      <c r="G228" s="42" t="str">
        <f t="shared" si="22"/>
        <v>-</v>
      </c>
      <c r="H228" s="42">
        <f t="shared" si="21"/>
        <v>1274</v>
      </c>
    </row>
    <row r="229" spans="1:8" ht="12" customHeight="1">
      <c r="A229" s="71">
        <v>2008</v>
      </c>
      <c r="B229" s="42">
        <f t="shared" si="22"/>
        <v>280</v>
      </c>
      <c r="C229" s="42">
        <f t="shared" si="22"/>
        <v>433</v>
      </c>
      <c r="D229" s="42">
        <f t="shared" si="22"/>
        <v>226</v>
      </c>
      <c r="E229" s="42">
        <f t="shared" si="22"/>
        <v>221</v>
      </c>
      <c r="F229" s="42">
        <f t="shared" si="22"/>
        <v>63</v>
      </c>
      <c r="G229" s="42" t="str">
        <f t="shared" si="22"/>
        <v>-</v>
      </c>
      <c r="H229" s="42">
        <f t="shared" si="21"/>
        <v>1223</v>
      </c>
    </row>
    <row r="230" spans="1:8" ht="12" customHeight="1">
      <c r="A230" s="71">
        <v>2009</v>
      </c>
      <c r="B230" s="42">
        <f t="shared" si="22"/>
        <v>474</v>
      </c>
      <c r="C230" s="42">
        <f t="shared" si="22"/>
        <v>564</v>
      </c>
      <c r="D230" s="42">
        <f t="shared" si="22"/>
        <v>452</v>
      </c>
      <c r="E230" s="42">
        <f t="shared" si="22"/>
        <v>363</v>
      </c>
      <c r="F230" s="42">
        <f t="shared" si="22"/>
        <v>138</v>
      </c>
      <c r="G230" s="42" t="str">
        <f t="shared" si="22"/>
        <v>-</v>
      </c>
      <c r="H230" s="42">
        <f t="shared" si="21"/>
        <v>1991</v>
      </c>
    </row>
    <row r="231" spans="1:8" ht="12" customHeight="1">
      <c r="A231" s="71">
        <v>2010</v>
      </c>
      <c r="B231" s="42">
        <f t="shared" si="22"/>
        <v>534</v>
      </c>
      <c r="C231" s="42">
        <f t="shared" si="22"/>
        <v>880</v>
      </c>
      <c r="D231" s="42">
        <f t="shared" si="22"/>
        <v>524</v>
      </c>
      <c r="E231" s="42">
        <f t="shared" si="22"/>
        <v>445</v>
      </c>
      <c r="F231" s="42">
        <f t="shared" si="22"/>
        <v>53</v>
      </c>
      <c r="G231" s="42" t="str">
        <f t="shared" si="22"/>
        <v>-</v>
      </c>
      <c r="H231" s="42">
        <f t="shared" si="21"/>
        <v>2436</v>
      </c>
    </row>
    <row r="232" spans="1:8" ht="12" customHeight="1">
      <c r="A232" s="71">
        <v>2011</v>
      </c>
      <c r="B232" s="42">
        <f t="shared" si="22"/>
        <v>648</v>
      </c>
      <c r="C232" s="42">
        <f t="shared" si="22"/>
        <v>699</v>
      </c>
      <c r="D232" s="42">
        <f t="shared" si="22"/>
        <v>449</v>
      </c>
      <c r="E232" s="42">
        <f t="shared" si="22"/>
        <v>211</v>
      </c>
      <c r="F232" s="42">
        <f t="shared" si="22"/>
        <v>57</v>
      </c>
      <c r="G232" s="42" t="str">
        <f t="shared" si="22"/>
        <v>-</v>
      </c>
      <c r="H232" s="42">
        <f t="shared" si="21"/>
        <v>2064</v>
      </c>
    </row>
    <row r="233" spans="1:8" ht="12" customHeight="1">
      <c r="A233" s="71">
        <v>2012</v>
      </c>
      <c r="B233" s="42">
        <f t="shared" si="22"/>
        <v>369</v>
      </c>
      <c r="C233" s="42">
        <f t="shared" si="22"/>
        <v>709</v>
      </c>
      <c r="D233" s="42">
        <f t="shared" si="22"/>
        <v>466</v>
      </c>
      <c r="E233" s="42">
        <f t="shared" si="22"/>
        <v>308</v>
      </c>
      <c r="F233" s="42">
        <f t="shared" si="22"/>
        <v>208</v>
      </c>
      <c r="G233" s="42" t="str">
        <f t="shared" si="22"/>
        <v>-</v>
      </c>
      <c r="H233" s="42">
        <f t="shared" si="21"/>
        <v>2060</v>
      </c>
    </row>
    <row r="234" spans="1:8" ht="12" customHeight="1">
      <c r="A234" s="71">
        <v>2013</v>
      </c>
      <c r="B234" s="42">
        <f t="shared" si="22"/>
        <v>768</v>
      </c>
      <c r="C234" s="42">
        <f t="shared" si="22"/>
        <v>549</v>
      </c>
      <c r="D234" s="42">
        <f t="shared" si="22"/>
        <v>486</v>
      </c>
      <c r="E234" s="42">
        <f t="shared" si="22"/>
        <v>415</v>
      </c>
      <c r="F234" s="42">
        <f t="shared" si="22"/>
        <v>90</v>
      </c>
      <c r="G234" s="42" t="str">
        <f t="shared" si="22"/>
        <v>-</v>
      </c>
      <c r="H234" s="42">
        <f t="shared" si="21"/>
        <v>2308</v>
      </c>
    </row>
    <row r="235" spans="1:8" ht="12" customHeight="1">
      <c r="A235" s="71">
        <v>2014</v>
      </c>
      <c r="B235" s="42">
        <f t="shared" si="22"/>
        <v>839</v>
      </c>
      <c r="C235" s="42">
        <f t="shared" si="22"/>
        <v>237</v>
      </c>
      <c r="D235" s="42">
        <f t="shared" si="22"/>
        <v>439</v>
      </c>
      <c r="E235" s="42">
        <f t="shared" si="22"/>
        <v>372</v>
      </c>
      <c r="F235" s="42">
        <f t="shared" si="22"/>
        <v>135</v>
      </c>
      <c r="G235" s="42" t="str">
        <f t="shared" si="22"/>
        <v>-</v>
      </c>
      <c r="H235" s="42">
        <f t="shared" si="21"/>
        <v>2022</v>
      </c>
    </row>
    <row r="236" spans="1:8" ht="12" customHeight="1">
      <c r="A236" s="71">
        <v>2015</v>
      </c>
      <c r="B236" s="42">
        <f t="shared" si="22"/>
        <v>995</v>
      </c>
      <c r="C236" s="42">
        <f t="shared" si="22"/>
        <v>510</v>
      </c>
      <c r="D236" s="42">
        <f t="shared" si="22"/>
        <v>502</v>
      </c>
      <c r="E236" s="42">
        <f t="shared" si="22"/>
        <v>476</v>
      </c>
      <c r="F236" s="42">
        <f t="shared" si="22"/>
        <v>162</v>
      </c>
      <c r="G236" s="42" t="str">
        <f t="shared" si="22"/>
        <v>-</v>
      </c>
      <c r="H236" s="42">
        <f t="shared" si="21"/>
        <v>2645</v>
      </c>
    </row>
    <row r="237" spans="1:8" ht="12" customHeight="1">
      <c r="A237" s="71">
        <v>2016</v>
      </c>
      <c r="B237" s="42">
        <f t="shared" ref="B237:G237" si="23">IF(AND(B189="-",B141="-",B93="-",B45="-"),"-",SUM(B189,B141,B93,B45))</f>
        <v>725</v>
      </c>
      <c r="C237" s="42">
        <f t="shared" si="23"/>
        <v>407</v>
      </c>
      <c r="D237" s="42">
        <f t="shared" si="23"/>
        <v>278</v>
      </c>
      <c r="E237" s="42">
        <f t="shared" si="23"/>
        <v>218</v>
      </c>
      <c r="F237" s="42" t="str">
        <f t="shared" si="23"/>
        <v>-</v>
      </c>
      <c r="G237" s="42" t="str">
        <f t="shared" si="23"/>
        <v>-</v>
      </c>
      <c r="H237" s="42">
        <f t="shared" si="21"/>
        <v>1628</v>
      </c>
    </row>
    <row r="238" spans="1:8" ht="12" customHeight="1">
      <c r="A238" s="71">
        <v>2017</v>
      </c>
      <c r="B238" s="42">
        <f t="shared" ref="B238:G238" si="24">IF(AND(B190="-",B142="-",B94="-",B46="-"),"-",SUM(B190,B142,B94,B46))</f>
        <v>778</v>
      </c>
      <c r="C238" s="42">
        <f t="shared" si="24"/>
        <v>630</v>
      </c>
      <c r="D238" s="42">
        <f t="shared" si="24"/>
        <v>395</v>
      </c>
      <c r="E238" s="42">
        <f t="shared" si="24"/>
        <v>426</v>
      </c>
      <c r="F238" s="42">
        <f t="shared" si="24"/>
        <v>144</v>
      </c>
      <c r="G238" s="42" t="str">
        <f t="shared" si="24"/>
        <v>-</v>
      </c>
      <c r="H238" s="42">
        <f t="shared" si="21"/>
        <v>2373</v>
      </c>
    </row>
    <row r="239" spans="1:8" ht="12" customHeight="1">
      <c r="A239" s="71">
        <v>2018</v>
      </c>
      <c r="B239" s="42">
        <f t="shared" ref="B239:G239" si="25">IF(AND(B191="-",B143="-",B95="-",B47="-"),"-",SUM(B191,B143,B95,B47))</f>
        <v>754</v>
      </c>
      <c r="C239" s="42">
        <f t="shared" si="25"/>
        <v>691</v>
      </c>
      <c r="D239" s="42">
        <f t="shared" si="25"/>
        <v>437</v>
      </c>
      <c r="E239" s="42">
        <f t="shared" si="25"/>
        <v>196</v>
      </c>
      <c r="F239" s="42">
        <f t="shared" si="25"/>
        <v>71</v>
      </c>
      <c r="G239" s="42" t="str">
        <f t="shared" si="25"/>
        <v>-</v>
      </c>
      <c r="H239" s="42">
        <f t="shared" si="21"/>
        <v>2149</v>
      </c>
    </row>
    <row r="240" spans="1:8" ht="12" customHeight="1">
      <c r="A240" s="71">
        <v>2019</v>
      </c>
      <c r="B240" s="42">
        <f t="shared" ref="B240:G240" si="26">IF(AND(B192="-",B144="-",B96="-",B48="-"),"-",SUM(B192,B144,B96,B48))</f>
        <v>403</v>
      </c>
      <c r="C240" s="42">
        <f t="shared" si="26"/>
        <v>344</v>
      </c>
      <c r="D240" s="42">
        <f t="shared" si="26"/>
        <v>673</v>
      </c>
      <c r="E240" s="42">
        <f t="shared" si="26"/>
        <v>205</v>
      </c>
      <c r="F240" s="42">
        <f t="shared" si="26"/>
        <v>113</v>
      </c>
      <c r="G240" s="42" t="str">
        <f t="shared" si="26"/>
        <v>-</v>
      </c>
      <c r="H240" s="42">
        <f t="shared" si="21"/>
        <v>1738</v>
      </c>
    </row>
    <row r="241" spans="1:13" ht="12" customHeight="1">
      <c r="A241" s="71">
        <v>2020</v>
      </c>
      <c r="B241" s="42">
        <f t="shared" ref="B241:H242" si="27">IF(AND(B193="-",B145="-",B97="-",B49="-"),"-",SUM(B193,B145,B97,B49))</f>
        <v>90</v>
      </c>
      <c r="C241" s="42">
        <f t="shared" si="27"/>
        <v>161</v>
      </c>
      <c r="D241" s="42">
        <f t="shared" si="27"/>
        <v>464</v>
      </c>
      <c r="E241" s="42">
        <f t="shared" si="27"/>
        <v>237</v>
      </c>
      <c r="F241" s="42">
        <f t="shared" si="27"/>
        <v>24</v>
      </c>
      <c r="G241" s="42" t="str">
        <f t="shared" si="27"/>
        <v>-</v>
      </c>
      <c r="H241" s="42">
        <f t="shared" si="27"/>
        <v>976</v>
      </c>
    </row>
    <row r="242" spans="1:13" ht="12" customHeight="1">
      <c r="A242" s="71" t="s">
        <v>318</v>
      </c>
      <c r="B242" s="43">
        <f t="shared" si="27"/>
        <v>258</v>
      </c>
      <c r="C242" s="43">
        <f t="shared" si="27"/>
        <v>473</v>
      </c>
      <c r="D242" s="43">
        <f t="shared" si="27"/>
        <v>496</v>
      </c>
      <c r="E242" s="43">
        <f t="shared" si="27"/>
        <v>245</v>
      </c>
      <c r="F242" s="43">
        <f t="shared" si="27"/>
        <v>128</v>
      </c>
      <c r="G242" s="43" t="str">
        <f t="shared" si="27"/>
        <v>-</v>
      </c>
      <c r="H242" s="43">
        <f t="shared" si="27"/>
        <v>1600</v>
      </c>
    </row>
    <row r="243" spans="1:13" ht="12" customHeight="1">
      <c r="A243" s="326" t="s">
        <v>70</v>
      </c>
      <c r="B243" s="326"/>
      <c r="C243" s="326"/>
      <c r="D243" s="326"/>
      <c r="E243" s="326"/>
      <c r="F243" s="326"/>
      <c r="G243" s="326"/>
      <c r="H243" s="326"/>
    </row>
    <row r="244" spans="1:13" ht="12" customHeight="1">
      <c r="A244" s="327"/>
      <c r="B244" s="327"/>
      <c r="C244" s="327"/>
      <c r="D244" s="327"/>
      <c r="E244" s="327"/>
      <c r="F244" s="327"/>
      <c r="G244" s="327"/>
      <c r="H244" s="327"/>
    </row>
    <row r="245" spans="1:13" ht="12" customHeight="1">
      <c r="A245" s="283" t="s">
        <v>170</v>
      </c>
      <c r="B245" s="283"/>
      <c r="C245" s="283"/>
      <c r="D245" s="283"/>
      <c r="E245" s="283"/>
      <c r="F245" s="283"/>
      <c r="G245" s="283"/>
      <c r="H245" s="283"/>
    </row>
    <row r="246" spans="1:13" ht="12" customHeight="1">
      <c r="A246" s="283" t="s">
        <v>71</v>
      </c>
      <c r="B246" s="283"/>
      <c r="C246" s="283"/>
      <c r="D246" s="283"/>
      <c r="E246" s="283"/>
      <c r="F246" s="283"/>
      <c r="G246" s="283"/>
      <c r="H246" s="283"/>
    </row>
    <row r="247" spans="1:13" ht="12" customHeight="1">
      <c r="A247" s="283" t="s">
        <v>40</v>
      </c>
      <c r="B247" s="283"/>
      <c r="C247" s="283"/>
      <c r="D247" s="283"/>
      <c r="E247" s="283"/>
      <c r="F247" s="283"/>
      <c r="G247" s="283"/>
      <c r="H247" s="283"/>
    </row>
    <row r="248" spans="1:13" ht="12" customHeight="1">
      <c r="B248" s="19"/>
      <c r="C248" s="19"/>
      <c r="D248" s="19"/>
      <c r="E248" s="19"/>
      <c r="F248" s="19"/>
      <c r="G248" s="19"/>
      <c r="H248" s="19"/>
    </row>
    <row r="249" spans="1:13" ht="12" customHeight="1">
      <c r="B249" s="19"/>
      <c r="C249" s="19"/>
      <c r="D249" s="19"/>
      <c r="E249" s="19"/>
      <c r="F249" s="19"/>
      <c r="G249" s="19"/>
      <c r="H249" s="19"/>
    </row>
    <row r="250" spans="1:13" s="199" customFormat="1" ht="10.5" customHeight="1">
      <c r="A250" s="164"/>
      <c r="B250" s="165"/>
      <c r="C250" s="165"/>
      <c r="D250" s="165"/>
      <c r="E250" s="165"/>
      <c r="F250" s="165"/>
      <c r="G250" s="165"/>
      <c r="H250" s="165"/>
      <c r="I250" s="166"/>
      <c r="J250" s="166"/>
      <c r="K250" s="166"/>
      <c r="L250" s="166"/>
      <c r="M250" s="166"/>
    </row>
    <row r="251" spans="1:13" ht="12" customHeight="1">
      <c r="B251" s="19"/>
      <c r="C251" s="19"/>
      <c r="D251" s="19"/>
      <c r="E251" s="19"/>
      <c r="F251" s="19"/>
      <c r="G251" s="19"/>
      <c r="H251" s="19"/>
    </row>
    <row r="252" spans="1:13" ht="12" customHeight="1">
      <c r="B252" s="19"/>
      <c r="C252" s="19"/>
      <c r="D252" s="19"/>
      <c r="E252" s="19"/>
      <c r="F252" s="19"/>
      <c r="G252" s="19"/>
      <c r="H252" s="19"/>
    </row>
    <row r="253" spans="1:13" ht="12" customHeight="1">
      <c r="B253" s="19"/>
      <c r="C253" s="19"/>
      <c r="D253" s="19"/>
      <c r="E253" s="19"/>
      <c r="F253" s="19"/>
      <c r="G253" s="19"/>
      <c r="H253" s="19"/>
    </row>
    <row r="254" spans="1:13" ht="12" customHeight="1">
      <c r="B254" s="19"/>
      <c r="C254" s="19"/>
      <c r="D254" s="19"/>
      <c r="E254" s="19"/>
      <c r="F254" s="19"/>
      <c r="G254" s="19"/>
      <c r="H254" s="19"/>
    </row>
    <row r="255" spans="1:13" ht="12" customHeight="1">
      <c r="B255" s="19"/>
      <c r="C255" s="19"/>
      <c r="D255" s="19"/>
      <c r="E255" s="19"/>
      <c r="F255" s="19"/>
      <c r="G255" s="19"/>
      <c r="H255" s="19"/>
    </row>
    <row r="256" spans="1:13" ht="12" customHeight="1">
      <c r="B256" s="19"/>
      <c r="C256" s="19"/>
      <c r="D256" s="19"/>
      <c r="E256" s="19"/>
      <c r="F256" s="19"/>
      <c r="G256" s="19"/>
      <c r="H256" s="19"/>
    </row>
    <row r="257" spans="1:8" ht="12" customHeight="1">
      <c r="B257" s="19"/>
      <c r="C257" s="19"/>
      <c r="D257" s="19"/>
      <c r="E257" s="19"/>
      <c r="F257" s="19"/>
      <c r="G257" s="19"/>
      <c r="H257" s="19"/>
    </row>
    <row r="258" spans="1:8" ht="12" customHeight="1">
      <c r="B258" s="19"/>
      <c r="C258" s="19"/>
      <c r="D258" s="19"/>
      <c r="E258" s="19"/>
      <c r="F258" s="19"/>
      <c r="G258" s="19"/>
      <c r="H258" s="19"/>
    </row>
    <row r="259" spans="1:8" ht="12" customHeight="1">
      <c r="B259" s="19"/>
      <c r="C259" s="19"/>
      <c r="D259" s="19"/>
      <c r="E259" s="19"/>
      <c r="F259" s="19"/>
      <c r="G259" s="19"/>
      <c r="H259" s="19"/>
    </row>
    <row r="260" spans="1:8" ht="12" customHeight="1">
      <c r="B260" s="19"/>
      <c r="C260" s="19"/>
      <c r="D260" s="19"/>
      <c r="E260" s="19"/>
      <c r="F260" s="19"/>
      <c r="G260" s="19"/>
      <c r="H260" s="19"/>
    </row>
    <row r="261" spans="1:8" ht="12" customHeight="1"/>
    <row r="262" spans="1:8" ht="21.75" customHeight="1">
      <c r="A262" s="281" t="s">
        <v>257</v>
      </c>
      <c r="B262" s="281"/>
      <c r="C262" s="281"/>
      <c r="D262" s="281"/>
      <c r="E262" s="281"/>
      <c r="F262" s="281"/>
      <c r="G262" s="281"/>
      <c r="H262" s="281"/>
    </row>
    <row r="263" spans="1:8" ht="12" customHeight="1">
      <c r="A263" s="2" t="s">
        <v>27</v>
      </c>
      <c r="B263" s="101" t="s">
        <v>29</v>
      </c>
      <c r="C263" s="101" t="s">
        <v>30</v>
      </c>
      <c r="D263" s="101" t="s">
        <v>31</v>
      </c>
      <c r="E263" s="101" t="s">
        <v>32</v>
      </c>
      <c r="F263" s="101" t="s">
        <v>251</v>
      </c>
      <c r="G263" s="101" t="s">
        <v>34</v>
      </c>
      <c r="H263" s="101" t="s">
        <v>22</v>
      </c>
    </row>
    <row r="264" spans="1:8" ht="14.25" customHeight="1">
      <c r="A264" s="102" t="s">
        <v>192</v>
      </c>
    </row>
    <row r="265" spans="1:8" ht="11.25" customHeight="1">
      <c r="A265" s="71" t="s">
        <v>24</v>
      </c>
      <c r="B265" s="18">
        <f t="shared" ref="B265:H265" si="28">AVERAGE(B10:B14)</f>
        <v>416.2</v>
      </c>
      <c r="C265" s="18">
        <f t="shared" si="28"/>
        <v>52.666666666666664</v>
      </c>
      <c r="D265" s="18">
        <f t="shared" si="28"/>
        <v>1661.5</v>
      </c>
      <c r="E265" s="18">
        <f t="shared" si="28"/>
        <v>1331.6</v>
      </c>
      <c r="F265" s="18">
        <f t="shared" si="28"/>
        <v>14</v>
      </c>
      <c r="G265" s="18" t="str">
        <f>G18</f>
        <v>-</v>
      </c>
      <c r="H265" s="18">
        <f t="shared" si="28"/>
        <v>3111.4</v>
      </c>
    </row>
    <row r="266" spans="1:8" ht="11.25" customHeight="1">
      <c r="A266" s="71" t="s">
        <v>78</v>
      </c>
      <c r="B266" s="18">
        <f t="shared" ref="B266:H266" si="29">AVERAGE(B15:B19)</f>
        <v>480</v>
      </c>
      <c r="C266" s="18">
        <f t="shared" si="29"/>
        <v>178</v>
      </c>
      <c r="D266" s="18">
        <f t="shared" si="29"/>
        <v>7.5</v>
      </c>
      <c r="E266" s="18">
        <f t="shared" si="29"/>
        <v>434.4</v>
      </c>
      <c r="F266" s="18" t="str">
        <f>F19</f>
        <v>-</v>
      </c>
      <c r="G266" s="18" t="str">
        <f>G19</f>
        <v>-</v>
      </c>
      <c r="H266" s="18">
        <f t="shared" si="29"/>
        <v>928.2</v>
      </c>
    </row>
    <row r="267" spans="1:8" ht="11.25" customHeight="1">
      <c r="A267" s="71" t="s">
        <v>10</v>
      </c>
      <c r="B267" s="18">
        <f>AVERAGE(B20:B24)</f>
        <v>652.33333333333337</v>
      </c>
      <c r="C267" s="18">
        <f>AVERAGE(C20:C24)</f>
        <v>416.33333333333331</v>
      </c>
      <c r="D267" s="18">
        <f>AVERAGE(D20:D24)</f>
        <v>296</v>
      </c>
      <c r="E267" s="18">
        <f>AVERAGE(E20:E24)</f>
        <v>405.75</v>
      </c>
      <c r="F267" s="18">
        <f>AVERAGE(F20:F24)</f>
        <v>131.5</v>
      </c>
      <c r="G267" s="18" t="str">
        <f>G20</f>
        <v>-</v>
      </c>
      <c r="H267" s="18">
        <f>AVERAGE(H20:H24)</f>
        <v>1421</v>
      </c>
    </row>
    <row r="268" spans="1:8" ht="11.25" customHeight="1">
      <c r="A268" s="71" t="s">
        <v>144</v>
      </c>
      <c r="B268" s="18">
        <f>AVERAGE(B25:B29)</f>
        <v>139.5</v>
      </c>
      <c r="C268" s="18">
        <f>AVERAGE(C25:C29)</f>
        <v>62.5</v>
      </c>
      <c r="D268" s="18">
        <f>AVERAGE(D25:D29)</f>
        <v>96</v>
      </c>
      <c r="E268" s="18">
        <f>AVERAGE(E25:E29)</f>
        <v>88</v>
      </c>
      <c r="F268" s="18" t="s">
        <v>23</v>
      </c>
      <c r="G268" s="18" t="str">
        <f>G25</f>
        <v>-</v>
      </c>
      <c r="H268" s="18">
        <f>AVERAGE(H25:H29)</f>
        <v>235.2</v>
      </c>
    </row>
    <row r="269" spans="1:8" ht="11.25" customHeight="1">
      <c r="A269" s="71" t="s">
        <v>166</v>
      </c>
      <c r="B269" s="18">
        <f>AVERAGE(B30:B34)</f>
        <v>164.6</v>
      </c>
      <c r="C269" s="18">
        <f>AVERAGE(C30:C34)</f>
        <v>55.8</v>
      </c>
      <c r="D269" s="18">
        <f>AVERAGE(D30:D34)</f>
        <v>129.4</v>
      </c>
      <c r="E269" s="18">
        <f>AVERAGE(E30:E34)</f>
        <v>118.5</v>
      </c>
      <c r="F269" s="18">
        <f>AVERAGE(F30:F34)</f>
        <v>23.5</v>
      </c>
      <c r="G269" s="18" t="str">
        <f>G30</f>
        <v>-</v>
      </c>
      <c r="H269" s="18">
        <f>AVERAGE(H30:H34)</f>
        <v>454</v>
      </c>
    </row>
    <row r="270" spans="1:8" ht="11.25" customHeight="1">
      <c r="A270" s="71" t="s">
        <v>315</v>
      </c>
      <c r="B270" s="18">
        <f>AVERAGE(B35:B39)</f>
        <v>86.8</v>
      </c>
      <c r="C270" s="18">
        <f t="shared" ref="C270:H270" si="30">AVERAGE(C35:C39)</f>
        <v>67</v>
      </c>
      <c r="D270" s="18">
        <f t="shared" si="30"/>
        <v>29.4</v>
      </c>
      <c r="E270" s="18">
        <f t="shared" si="30"/>
        <v>17</v>
      </c>
      <c r="F270" s="18">
        <f t="shared" si="30"/>
        <v>8.4</v>
      </c>
      <c r="G270" s="18" t="str">
        <f>G35</f>
        <v>-</v>
      </c>
      <c r="H270" s="18">
        <f t="shared" si="30"/>
        <v>208.6</v>
      </c>
    </row>
    <row r="271" spans="1:8" ht="11.25" customHeight="1">
      <c r="A271" s="71">
        <v>2011</v>
      </c>
      <c r="B271" s="18">
        <f t="shared" ref="B271:H279" si="31">B40</f>
        <v>107</v>
      </c>
      <c r="C271" s="18">
        <f t="shared" si="31"/>
        <v>34</v>
      </c>
      <c r="D271" s="18">
        <f t="shared" si="31"/>
        <v>17</v>
      </c>
      <c r="E271" s="18">
        <f t="shared" si="31"/>
        <v>3</v>
      </c>
      <c r="F271" s="18">
        <f t="shared" si="31"/>
        <v>9</v>
      </c>
      <c r="G271" s="18" t="str">
        <f t="shared" si="31"/>
        <v>-</v>
      </c>
      <c r="H271" s="18">
        <f t="shared" si="31"/>
        <v>170</v>
      </c>
    </row>
    <row r="272" spans="1:8" ht="11.25" customHeight="1">
      <c r="A272" s="122">
        <v>2012</v>
      </c>
      <c r="B272" s="18">
        <f t="shared" si="31"/>
        <v>114</v>
      </c>
      <c r="C272" s="18">
        <f t="shared" si="31"/>
        <v>83</v>
      </c>
      <c r="D272" s="18">
        <f t="shared" si="31"/>
        <v>21</v>
      </c>
      <c r="E272" s="18">
        <f t="shared" si="31"/>
        <v>21</v>
      </c>
      <c r="F272" s="18">
        <f t="shared" si="31"/>
        <v>15</v>
      </c>
      <c r="G272" s="18" t="str">
        <f t="shared" si="31"/>
        <v>-</v>
      </c>
      <c r="H272" s="18">
        <f t="shared" si="31"/>
        <v>254</v>
      </c>
    </row>
    <row r="273" spans="1:9" ht="11.5" customHeight="1">
      <c r="A273" s="122">
        <v>2013</v>
      </c>
      <c r="B273" s="18">
        <f t="shared" si="31"/>
        <v>151</v>
      </c>
      <c r="C273" s="18" t="str">
        <f t="shared" si="31"/>
        <v>-</v>
      </c>
      <c r="D273" s="18">
        <f t="shared" si="31"/>
        <v>90</v>
      </c>
      <c r="E273" s="18">
        <f t="shared" si="31"/>
        <v>4</v>
      </c>
      <c r="F273" s="18" t="str">
        <f t="shared" si="31"/>
        <v>-</v>
      </c>
      <c r="G273" s="18" t="str">
        <f t="shared" si="31"/>
        <v>-</v>
      </c>
      <c r="H273" s="18">
        <f t="shared" si="31"/>
        <v>245</v>
      </c>
    </row>
    <row r="274" spans="1:9" ht="11.5" customHeight="1">
      <c r="A274" s="122">
        <v>2014</v>
      </c>
      <c r="B274" s="18">
        <f t="shared" si="31"/>
        <v>109</v>
      </c>
      <c r="C274" s="18">
        <f t="shared" si="31"/>
        <v>1</v>
      </c>
      <c r="D274" s="18">
        <f t="shared" si="31"/>
        <v>6</v>
      </c>
      <c r="E274" s="18">
        <f t="shared" si="31"/>
        <v>5</v>
      </c>
      <c r="F274" s="18" t="str">
        <f t="shared" si="31"/>
        <v>-</v>
      </c>
      <c r="G274" s="18" t="str">
        <f t="shared" si="31"/>
        <v>-</v>
      </c>
      <c r="H274" s="18">
        <f t="shared" si="31"/>
        <v>121</v>
      </c>
    </row>
    <row r="275" spans="1:9" ht="11.5" customHeight="1">
      <c r="A275" s="71">
        <v>2015</v>
      </c>
      <c r="B275" s="18">
        <f t="shared" si="31"/>
        <v>180</v>
      </c>
      <c r="C275" s="18">
        <f t="shared" si="31"/>
        <v>66</v>
      </c>
      <c r="D275" s="18">
        <f t="shared" si="31"/>
        <v>14</v>
      </c>
      <c r="E275" s="18">
        <f t="shared" si="31"/>
        <v>3</v>
      </c>
      <c r="F275" s="18">
        <f t="shared" si="31"/>
        <v>3</v>
      </c>
      <c r="G275" s="18" t="str">
        <f t="shared" si="31"/>
        <v>-</v>
      </c>
      <c r="H275" s="18">
        <f t="shared" si="31"/>
        <v>266</v>
      </c>
    </row>
    <row r="276" spans="1:9" ht="11.5" customHeight="1">
      <c r="A276" s="71">
        <v>2016</v>
      </c>
      <c r="B276" s="18">
        <f t="shared" si="31"/>
        <v>85</v>
      </c>
      <c r="C276" s="18">
        <f t="shared" si="31"/>
        <v>56</v>
      </c>
      <c r="D276" s="18">
        <f t="shared" si="31"/>
        <v>3</v>
      </c>
      <c r="E276" s="18">
        <f t="shared" si="31"/>
        <v>4</v>
      </c>
      <c r="F276" s="18" t="str">
        <f t="shared" si="31"/>
        <v>-</v>
      </c>
      <c r="G276" s="18" t="str">
        <f t="shared" si="31"/>
        <v>-</v>
      </c>
      <c r="H276" s="18">
        <f t="shared" si="31"/>
        <v>148</v>
      </c>
    </row>
    <row r="277" spans="1:9" ht="11.25" customHeight="1">
      <c r="A277" s="71">
        <v>2017</v>
      </c>
      <c r="B277" s="18">
        <f t="shared" si="31"/>
        <v>41</v>
      </c>
      <c r="C277" s="18">
        <f t="shared" si="31"/>
        <v>40</v>
      </c>
      <c r="D277" s="18">
        <f t="shared" si="31"/>
        <v>140</v>
      </c>
      <c r="E277" s="18">
        <f t="shared" si="31"/>
        <v>112</v>
      </c>
      <c r="F277" s="18">
        <f t="shared" si="31"/>
        <v>34</v>
      </c>
      <c r="G277" s="18" t="str">
        <f t="shared" si="31"/>
        <v>-</v>
      </c>
      <c r="H277" s="18">
        <f t="shared" si="31"/>
        <v>367</v>
      </c>
    </row>
    <row r="278" spans="1:9" ht="12" customHeight="1">
      <c r="A278" s="71">
        <v>2018</v>
      </c>
      <c r="B278" s="18">
        <f t="shared" si="31"/>
        <v>234</v>
      </c>
      <c r="C278" s="18">
        <f t="shared" si="31"/>
        <v>121</v>
      </c>
      <c r="D278" s="18">
        <f t="shared" si="31"/>
        <v>149</v>
      </c>
      <c r="E278" s="18">
        <f t="shared" si="31"/>
        <v>22</v>
      </c>
      <c r="F278" s="18">
        <f t="shared" si="31"/>
        <v>15</v>
      </c>
      <c r="G278" s="18" t="str">
        <f t="shared" si="31"/>
        <v>-</v>
      </c>
      <c r="H278" s="18">
        <f t="shared" si="31"/>
        <v>541</v>
      </c>
    </row>
    <row r="279" spans="1:9" ht="12" customHeight="1">
      <c r="A279" s="71">
        <v>2019</v>
      </c>
      <c r="B279" s="18">
        <f t="shared" si="31"/>
        <v>138</v>
      </c>
      <c r="C279" s="18">
        <f t="shared" si="31"/>
        <v>271</v>
      </c>
      <c r="D279" s="18">
        <f t="shared" si="31"/>
        <v>498</v>
      </c>
      <c r="E279" s="18">
        <f t="shared" si="31"/>
        <v>25</v>
      </c>
      <c r="F279" s="18">
        <f t="shared" si="31"/>
        <v>10</v>
      </c>
      <c r="G279" s="18" t="str">
        <f t="shared" si="31"/>
        <v>-</v>
      </c>
      <c r="H279" s="18">
        <f t="shared" si="31"/>
        <v>942</v>
      </c>
    </row>
    <row r="280" spans="1:9" ht="12" customHeight="1">
      <c r="A280" s="71">
        <v>2020</v>
      </c>
      <c r="B280" s="18">
        <f t="shared" ref="B280:H281" si="32">B49</f>
        <v>25</v>
      </c>
      <c r="C280" s="18">
        <f t="shared" si="32"/>
        <v>49</v>
      </c>
      <c r="D280" s="18">
        <f t="shared" si="32"/>
        <v>47</v>
      </c>
      <c r="E280" s="18">
        <f t="shared" si="32"/>
        <v>16</v>
      </c>
      <c r="F280" s="18">
        <f t="shared" si="32"/>
        <v>0</v>
      </c>
      <c r="G280" s="18" t="str">
        <f>G49</f>
        <v>-</v>
      </c>
      <c r="H280" s="18">
        <f t="shared" si="32"/>
        <v>137</v>
      </c>
    </row>
    <row r="281" spans="1:9" ht="12" customHeight="1">
      <c r="A281" s="71" t="s">
        <v>318</v>
      </c>
      <c r="B281" s="18">
        <f t="shared" si="32"/>
        <v>32</v>
      </c>
      <c r="C281" s="18">
        <f t="shared" si="32"/>
        <v>38</v>
      </c>
      <c r="D281" s="18">
        <f t="shared" si="32"/>
        <v>41</v>
      </c>
      <c r="E281" s="18">
        <f t="shared" si="32"/>
        <v>11</v>
      </c>
      <c r="F281" s="18">
        <f t="shared" si="32"/>
        <v>4</v>
      </c>
      <c r="G281" s="18" t="str">
        <f>G50</f>
        <v>-</v>
      </c>
      <c r="H281" s="18">
        <f t="shared" si="32"/>
        <v>126</v>
      </c>
    </row>
    <row r="282" spans="1:9" ht="9" customHeight="1"/>
    <row r="283" spans="1:9" ht="11.25" customHeight="1">
      <c r="A283" s="102" t="s">
        <v>60</v>
      </c>
    </row>
    <row r="284" spans="1:9" ht="11.25" customHeight="1">
      <c r="A284" s="71" t="s">
        <v>24</v>
      </c>
      <c r="B284" s="18">
        <f t="shared" ref="B284:H284" si="33">AVERAGE(B58:B62)</f>
        <v>174.6</v>
      </c>
      <c r="C284" s="18">
        <f t="shared" si="33"/>
        <v>25.333333333333332</v>
      </c>
      <c r="D284" s="18">
        <f t="shared" si="33"/>
        <v>1198.5</v>
      </c>
      <c r="E284" s="18">
        <f t="shared" si="33"/>
        <v>505</v>
      </c>
      <c r="F284" s="18" t="str">
        <f>+F66</f>
        <v>-</v>
      </c>
      <c r="G284" s="18" t="str">
        <f>+G66</f>
        <v>-</v>
      </c>
      <c r="H284" s="18">
        <f t="shared" si="33"/>
        <v>1552.6</v>
      </c>
      <c r="I284" s="142"/>
    </row>
    <row r="285" spans="1:9" ht="11.25" customHeight="1">
      <c r="A285" s="71" t="s">
        <v>78</v>
      </c>
      <c r="B285" s="18">
        <f t="shared" ref="B285:H285" si="34">AVERAGE(B63:B67)</f>
        <v>186</v>
      </c>
      <c r="C285" s="18">
        <f t="shared" si="34"/>
        <v>109.66666666666667</v>
      </c>
      <c r="D285" s="18">
        <f t="shared" si="34"/>
        <v>5</v>
      </c>
      <c r="E285" s="18">
        <f t="shared" si="34"/>
        <v>136</v>
      </c>
      <c r="F285" s="18">
        <f t="shared" si="34"/>
        <v>15</v>
      </c>
      <c r="G285" s="18" t="str">
        <f>+G67</f>
        <v>-</v>
      </c>
      <c r="H285" s="18">
        <f t="shared" si="34"/>
        <v>300.2</v>
      </c>
      <c r="I285" s="142"/>
    </row>
    <row r="286" spans="1:9" ht="11.25" customHeight="1">
      <c r="A286" s="71" t="s">
        <v>10</v>
      </c>
      <c r="B286" s="18">
        <f>AVERAGE(B68:B72)</f>
        <v>74</v>
      </c>
      <c r="C286" s="18">
        <f>AVERAGE(C68:C72)</f>
        <v>85.333333333333329</v>
      </c>
      <c r="D286" s="18">
        <f>AVERAGE(D68:D72)</f>
        <v>127</v>
      </c>
      <c r="E286" s="18">
        <f>AVERAGE(E68:E72)</f>
        <v>52.25</v>
      </c>
      <c r="F286" s="18">
        <f>AVERAGE(F68:F72)</f>
        <v>15.5</v>
      </c>
      <c r="G286" s="18" t="str">
        <f>+G68</f>
        <v>-</v>
      </c>
      <c r="H286" s="18">
        <f>AVERAGE(H68:H72)</f>
        <v>243</v>
      </c>
      <c r="I286" s="142"/>
    </row>
    <row r="287" spans="1:9" ht="11.25" customHeight="1">
      <c r="A287" s="71" t="s">
        <v>144</v>
      </c>
      <c r="B287" s="18">
        <f>AVERAGE(B73:B77)</f>
        <v>35.75</v>
      </c>
      <c r="C287" s="18">
        <f>AVERAGE(C73:C77)</f>
        <v>22.5</v>
      </c>
      <c r="D287" s="18">
        <f>AVERAGE(D73:D77)</f>
        <v>11.5</v>
      </c>
      <c r="E287" s="18">
        <f>AVERAGE(E73:E77)</f>
        <v>8</v>
      </c>
      <c r="F287" s="18">
        <f>AVERAGE(F73:F77)</f>
        <v>5</v>
      </c>
      <c r="G287" s="18" t="str">
        <f>+G73</f>
        <v>-</v>
      </c>
      <c r="H287" s="18">
        <f>AVERAGE(H73:H77)</f>
        <v>55.4</v>
      </c>
      <c r="I287" s="142"/>
    </row>
    <row r="288" spans="1:9" ht="11.25" customHeight="1">
      <c r="A288" s="71" t="s">
        <v>166</v>
      </c>
      <c r="B288" s="18">
        <f>AVERAGE(B78:B82)</f>
        <v>30.6</v>
      </c>
      <c r="C288" s="18">
        <f>AVERAGE(C78:C82)</f>
        <v>11.6</v>
      </c>
      <c r="D288" s="18">
        <f>AVERAGE(D78:D82)</f>
        <v>76.2</v>
      </c>
      <c r="E288" s="18">
        <f>AVERAGE(E78:E82)</f>
        <v>88.25</v>
      </c>
      <c r="F288" s="18">
        <f>AVERAGE(F78:F82)</f>
        <v>14.5</v>
      </c>
      <c r="G288" s="18" t="str">
        <f>+G78</f>
        <v>-</v>
      </c>
      <c r="H288" s="18">
        <f>AVERAGE(H78:H82)</f>
        <v>194.8</v>
      </c>
    </row>
    <row r="289" spans="1:9" ht="11.25" customHeight="1">
      <c r="A289" s="71" t="s">
        <v>315</v>
      </c>
      <c r="B289" s="18">
        <f>AVERAGE(B83:B87)</f>
        <v>71</v>
      </c>
      <c r="C289" s="18">
        <f t="shared" ref="C289:H289" si="35">AVERAGE(C83:C87)</f>
        <v>136.80000000000001</v>
      </c>
      <c r="D289" s="18">
        <f t="shared" si="35"/>
        <v>123.6</v>
      </c>
      <c r="E289" s="18">
        <f t="shared" si="35"/>
        <v>108.8</v>
      </c>
      <c r="F289" s="18">
        <f t="shared" si="35"/>
        <v>30.6</v>
      </c>
      <c r="G289" s="18" t="str">
        <f>G83</f>
        <v>-</v>
      </c>
      <c r="H289" s="18">
        <f t="shared" si="35"/>
        <v>470.8</v>
      </c>
    </row>
    <row r="290" spans="1:9" ht="11.25" customHeight="1">
      <c r="A290" s="122">
        <v>2011</v>
      </c>
      <c r="B290" s="18">
        <f t="shared" ref="B290:H298" si="36">+B88</f>
        <v>199</v>
      </c>
      <c r="C290" s="18">
        <f t="shared" si="36"/>
        <v>236</v>
      </c>
      <c r="D290" s="18">
        <f t="shared" si="36"/>
        <v>139</v>
      </c>
      <c r="E290" s="18">
        <f t="shared" si="36"/>
        <v>70</v>
      </c>
      <c r="F290" s="18">
        <f t="shared" si="36"/>
        <v>25</v>
      </c>
      <c r="G290" s="18" t="str">
        <f t="shared" si="36"/>
        <v>-</v>
      </c>
      <c r="H290" s="18">
        <f t="shared" si="36"/>
        <v>669</v>
      </c>
    </row>
    <row r="291" spans="1:9" ht="11.25" customHeight="1">
      <c r="A291" s="122">
        <v>2012</v>
      </c>
      <c r="B291" s="18">
        <f t="shared" si="36"/>
        <v>124</v>
      </c>
      <c r="C291" s="18">
        <f t="shared" si="36"/>
        <v>286</v>
      </c>
      <c r="D291" s="18">
        <f t="shared" si="36"/>
        <v>229</v>
      </c>
      <c r="E291" s="18">
        <f t="shared" si="36"/>
        <v>246</v>
      </c>
      <c r="F291" s="18">
        <f t="shared" si="36"/>
        <v>160</v>
      </c>
      <c r="G291" s="18" t="str">
        <f t="shared" si="36"/>
        <v>-</v>
      </c>
      <c r="H291" s="18">
        <f t="shared" si="36"/>
        <v>1045</v>
      </c>
    </row>
    <row r="292" spans="1:9" ht="11.25" customHeight="1">
      <c r="A292" s="122">
        <v>2013</v>
      </c>
      <c r="B292" s="18">
        <f t="shared" si="36"/>
        <v>190</v>
      </c>
      <c r="C292" s="18" t="str">
        <f t="shared" si="36"/>
        <v>-</v>
      </c>
      <c r="D292" s="18">
        <f t="shared" si="36"/>
        <v>175</v>
      </c>
      <c r="E292" s="18">
        <f t="shared" si="36"/>
        <v>70</v>
      </c>
      <c r="F292" s="18" t="str">
        <f t="shared" si="36"/>
        <v>-</v>
      </c>
      <c r="G292" s="18" t="str">
        <f t="shared" si="36"/>
        <v>-</v>
      </c>
      <c r="H292" s="18">
        <f t="shared" si="36"/>
        <v>435</v>
      </c>
    </row>
    <row r="293" spans="1:9" ht="11.25" customHeight="1">
      <c r="A293" s="122">
        <v>2014</v>
      </c>
      <c r="B293" s="18">
        <f t="shared" si="36"/>
        <v>291</v>
      </c>
      <c r="C293" s="18">
        <f t="shared" si="36"/>
        <v>84</v>
      </c>
      <c r="D293" s="18">
        <f t="shared" si="36"/>
        <v>169</v>
      </c>
      <c r="E293" s="18">
        <f t="shared" si="36"/>
        <v>140</v>
      </c>
      <c r="F293" s="18">
        <f t="shared" si="36"/>
        <v>32</v>
      </c>
      <c r="G293" s="18" t="str">
        <f t="shared" si="36"/>
        <v>-</v>
      </c>
      <c r="H293" s="18">
        <f t="shared" si="36"/>
        <v>716</v>
      </c>
    </row>
    <row r="294" spans="1:9" ht="11.25" customHeight="1">
      <c r="A294" s="71">
        <v>2015</v>
      </c>
      <c r="B294" s="18">
        <f t="shared" si="36"/>
        <v>227</v>
      </c>
      <c r="C294" s="18" t="str">
        <f t="shared" si="36"/>
        <v>-</v>
      </c>
      <c r="D294" s="18">
        <f t="shared" si="36"/>
        <v>194</v>
      </c>
      <c r="E294" s="18">
        <f t="shared" si="36"/>
        <v>174</v>
      </c>
      <c r="F294" s="18">
        <f t="shared" si="36"/>
        <v>62</v>
      </c>
      <c r="G294" s="18" t="str">
        <f t="shared" si="36"/>
        <v>-</v>
      </c>
      <c r="H294" s="18">
        <f t="shared" si="36"/>
        <v>657</v>
      </c>
    </row>
    <row r="295" spans="1:9" ht="11.25" customHeight="1">
      <c r="A295" s="71">
        <v>2016</v>
      </c>
      <c r="B295" s="18">
        <f t="shared" si="36"/>
        <v>213</v>
      </c>
      <c r="C295" s="18">
        <f t="shared" si="36"/>
        <v>56</v>
      </c>
      <c r="D295" s="18">
        <f t="shared" si="36"/>
        <v>111</v>
      </c>
      <c r="E295" s="18">
        <f t="shared" si="36"/>
        <v>31</v>
      </c>
      <c r="F295" s="18" t="str">
        <f t="shared" si="36"/>
        <v>-</v>
      </c>
      <c r="G295" s="18" t="str">
        <f t="shared" si="36"/>
        <v>-</v>
      </c>
      <c r="H295" s="18">
        <f t="shared" si="36"/>
        <v>411</v>
      </c>
    </row>
    <row r="296" spans="1:9" ht="11.25" customHeight="1">
      <c r="A296" s="71">
        <v>2017</v>
      </c>
      <c r="B296" s="18">
        <f t="shared" si="36"/>
        <v>194</v>
      </c>
      <c r="C296" s="18">
        <f t="shared" si="36"/>
        <v>89</v>
      </c>
      <c r="D296" s="18">
        <f t="shared" si="36"/>
        <v>33</v>
      </c>
      <c r="E296" s="18">
        <f t="shared" si="36"/>
        <v>129</v>
      </c>
      <c r="F296" s="18">
        <f t="shared" si="36"/>
        <v>57</v>
      </c>
      <c r="G296" s="18" t="str">
        <f t="shared" si="36"/>
        <v>-</v>
      </c>
      <c r="H296" s="18">
        <f t="shared" si="36"/>
        <v>502</v>
      </c>
    </row>
    <row r="297" spans="1:9" ht="12" customHeight="1">
      <c r="A297" s="71">
        <v>2018</v>
      </c>
      <c r="B297" s="18">
        <f t="shared" si="36"/>
        <v>160</v>
      </c>
      <c r="C297" s="18">
        <f t="shared" si="36"/>
        <v>14</v>
      </c>
      <c r="D297" s="18">
        <f t="shared" si="36"/>
        <v>36</v>
      </c>
      <c r="E297" s="18">
        <f t="shared" si="36"/>
        <v>103</v>
      </c>
      <c r="F297" s="18">
        <f t="shared" si="36"/>
        <v>47</v>
      </c>
      <c r="G297" s="18" t="str">
        <f t="shared" si="36"/>
        <v>-</v>
      </c>
      <c r="H297" s="18">
        <f t="shared" si="36"/>
        <v>360</v>
      </c>
    </row>
    <row r="298" spans="1:9" ht="12" customHeight="1">
      <c r="A298" s="71">
        <v>2019</v>
      </c>
      <c r="B298" s="18">
        <f t="shared" si="36"/>
        <v>52</v>
      </c>
      <c r="C298" s="18">
        <f t="shared" si="36"/>
        <v>12</v>
      </c>
      <c r="D298" s="18">
        <f t="shared" si="36"/>
        <v>133</v>
      </c>
      <c r="E298" s="18">
        <f t="shared" si="36"/>
        <v>152</v>
      </c>
      <c r="F298" s="18">
        <f t="shared" si="36"/>
        <v>80</v>
      </c>
      <c r="G298" s="18" t="str">
        <f t="shared" si="36"/>
        <v>-</v>
      </c>
      <c r="H298" s="18">
        <f t="shared" si="36"/>
        <v>429</v>
      </c>
    </row>
    <row r="299" spans="1:9" ht="12" customHeight="1">
      <c r="A299" s="71">
        <v>2020</v>
      </c>
      <c r="B299" s="18">
        <f t="shared" ref="B299:H300" si="37">+B97</f>
        <v>25</v>
      </c>
      <c r="C299" s="18">
        <f t="shared" si="37"/>
        <v>43</v>
      </c>
      <c r="D299" s="18">
        <f t="shared" si="37"/>
        <v>147</v>
      </c>
      <c r="E299" s="18">
        <f t="shared" si="37"/>
        <v>108</v>
      </c>
      <c r="F299" s="18">
        <f t="shared" si="37"/>
        <v>13</v>
      </c>
      <c r="G299" s="18" t="str">
        <f>+G97</f>
        <v>-</v>
      </c>
      <c r="H299" s="18">
        <f t="shared" si="37"/>
        <v>336</v>
      </c>
    </row>
    <row r="300" spans="1:9" ht="12" customHeight="1">
      <c r="A300" s="71" t="s">
        <v>318</v>
      </c>
      <c r="B300" s="18">
        <f t="shared" si="37"/>
        <v>41</v>
      </c>
      <c r="C300" s="18">
        <f t="shared" si="37"/>
        <v>43</v>
      </c>
      <c r="D300" s="18">
        <f t="shared" si="37"/>
        <v>95</v>
      </c>
      <c r="E300" s="18">
        <f t="shared" si="37"/>
        <v>74</v>
      </c>
      <c r="F300" s="18">
        <f t="shared" si="37"/>
        <v>48</v>
      </c>
      <c r="G300" s="18" t="str">
        <f>+G98</f>
        <v>-</v>
      </c>
      <c r="H300" s="18">
        <f t="shared" si="37"/>
        <v>301</v>
      </c>
    </row>
    <row r="301" spans="1:9" ht="7.5" customHeight="1"/>
    <row r="302" spans="1:9" ht="11.25" customHeight="1">
      <c r="A302" s="102" t="s">
        <v>58</v>
      </c>
    </row>
    <row r="303" spans="1:9" ht="11.25" customHeight="1">
      <c r="A303" s="71" t="s">
        <v>24</v>
      </c>
      <c r="B303" s="18">
        <f t="shared" ref="B303:H303" si="38">AVERAGE(B106:B110)</f>
        <v>2109.1999999999998</v>
      </c>
      <c r="C303" s="18">
        <f t="shared" si="38"/>
        <v>250.25</v>
      </c>
      <c r="D303" s="18">
        <f t="shared" si="38"/>
        <v>2790</v>
      </c>
      <c r="E303" s="18">
        <f t="shared" si="38"/>
        <v>1087.3333333333333</v>
      </c>
      <c r="F303" s="18" t="str">
        <f>+F114</f>
        <v>-</v>
      </c>
      <c r="G303" s="18" t="str">
        <f>+G114</f>
        <v>-</v>
      </c>
      <c r="H303" s="18">
        <f t="shared" si="38"/>
        <v>5193.8</v>
      </c>
      <c r="I303" s="142"/>
    </row>
    <row r="304" spans="1:9" ht="11.25" customHeight="1">
      <c r="A304" s="71" t="s">
        <v>78</v>
      </c>
      <c r="B304" s="18">
        <f t="shared" ref="B304:H304" si="39">AVERAGE(B111:B115)</f>
        <v>1722.6</v>
      </c>
      <c r="C304" s="18">
        <f t="shared" si="39"/>
        <v>614.25</v>
      </c>
      <c r="D304" s="18">
        <f t="shared" si="39"/>
        <v>855</v>
      </c>
      <c r="E304" s="18">
        <f t="shared" si="39"/>
        <v>390</v>
      </c>
      <c r="F304" s="18" t="str">
        <f>+F115</f>
        <v>-</v>
      </c>
      <c r="G304" s="18" t="str">
        <f>+G115</f>
        <v>-</v>
      </c>
      <c r="H304" s="18">
        <f t="shared" si="39"/>
        <v>2619</v>
      </c>
      <c r="I304" s="142"/>
    </row>
    <row r="305" spans="1:9" ht="11.25" customHeight="1">
      <c r="A305" s="71" t="s">
        <v>10</v>
      </c>
      <c r="B305" s="18">
        <f>AVERAGE(B116:B120)</f>
        <v>852</v>
      </c>
      <c r="C305" s="18">
        <f>AVERAGE(C116:C120)</f>
        <v>552</v>
      </c>
      <c r="D305" s="18">
        <f>AVERAGE(D116:D120)</f>
        <v>351.5</v>
      </c>
      <c r="E305" s="18">
        <f>AVERAGE(E116:E120)</f>
        <v>235.33333333333334</v>
      </c>
      <c r="F305" s="18">
        <f>AVERAGE(F116:F120)</f>
        <v>308.5</v>
      </c>
      <c r="G305" s="18" t="str">
        <f>+G116</f>
        <v>-</v>
      </c>
      <c r="H305" s="18">
        <f>AVERAGE(H116:H120)</f>
        <v>2079.3333333333335</v>
      </c>
      <c r="I305" s="142"/>
    </row>
    <row r="306" spans="1:9" ht="11.25" customHeight="1">
      <c r="A306" s="71" t="s">
        <v>144</v>
      </c>
      <c r="B306" s="18">
        <f>AVERAGE(B121:B125)</f>
        <v>46</v>
      </c>
      <c r="C306" s="18">
        <f>AVERAGE(C121:C125)</f>
        <v>39</v>
      </c>
      <c r="D306" s="18">
        <f>AVERAGE(D121:D125)</f>
        <v>50.5</v>
      </c>
      <c r="E306" s="18">
        <f>AVERAGE(E121:E125)</f>
        <v>65.333333333333329</v>
      </c>
      <c r="F306" s="18">
        <f>AVERAGE(F121:F125)</f>
        <v>2</v>
      </c>
      <c r="G306" s="18" t="str">
        <f>+G121</f>
        <v>-</v>
      </c>
      <c r="H306" s="18">
        <f>AVERAGE(H121:H125)</f>
        <v>128.19999999999999</v>
      </c>
      <c r="I306" s="142"/>
    </row>
    <row r="307" spans="1:9" ht="11.25" customHeight="1">
      <c r="A307" s="71" t="s">
        <v>166</v>
      </c>
      <c r="B307" s="18">
        <f>AVERAGE(B126:B130)</f>
        <v>206.8</v>
      </c>
      <c r="C307" s="18">
        <f>AVERAGE(C126:C130)</f>
        <v>73.400000000000006</v>
      </c>
      <c r="D307" s="18">
        <f>AVERAGE(D126:D130)</f>
        <v>151.19999999999999</v>
      </c>
      <c r="E307" s="18">
        <f>AVERAGE(E126:E130)</f>
        <v>128.80000000000001</v>
      </c>
      <c r="F307" s="18">
        <f>AVERAGE(F126:F130)</f>
        <v>54.666666666666664</v>
      </c>
      <c r="G307" s="18" t="str">
        <f>+G126</f>
        <v>-</v>
      </c>
      <c r="H307" s="18">
        <f>AVERAGE(H126:H130)</f>
        <v>593</v>
      </c>
    </row>
    <row r="308" spans="1:9" ht="11.25" customHeight="1">
      <c r="A308" s="71" t="s">
        <v>315</v>
      </c>
      <c r="B308" s="18">
        <f>AVERAGE(B131:B135)</f>
        <v>247.8</v>
      </c>
      <c r="C308" s="18">
        <f t="shared" ref="C308:H308" si="40">AVERAGE(C131:C135)</f>
        <v>275.39999999999998</v>
      </c>
      <c r="D308" s="18">
        <f t="shared" si="40"/>
        <v>168.8</v>
      </c>
      <c r="E308" s="18">
        <f t="shared" si="40"/>
        <v>148.4</v>
      </c>
      <c r="F308" s="18">
        <f t="shared" si="40"/>
        <v>44.4</v>
      </c>
      <c r="G308" s="18" t="str">
        <f>G131</f>
        <v>-</v>
      </c>
      <c r="H308" s="18">
        <f t="shared" si="40"/>
        <v>884.8</v>
      </c>
    </row>
    <row r="309" spans="1:9" ht="11.25" customHeight="1">
      <c r="A309" s="71">
        <v>2011</v>
      </c>
      <c r="B309" s="18">
        <f t="shared" ref="B309:H317" si="41">+B136</f>
        <v>300</v>
      </c>
      <c r="C309" s="18">
        <f t="shared" si="41"/>
        <v>386</v>
      </c>
      <c r="D309" s="18">
        <f t="shared" si="41"/>
        <v>292</v>
      </c>
      <c r="E309" s="18">
        <f t="shared" si="41"/>
        <v>135</v>
      </c>
      <c r="F309" s="18">
        <f t="shared" si="41"/>
        <v>20</v>
      </c>
      <c r="G309" s="18" t="str">
        <f t="shared" si="41"/>
        <v>-</v>
      </c>
      <c r="H309" s="18">
        <f t="shared" si="41"/>
        <v>1133</v>
      </c>
    </row>
    <row r="310" spans="1:9" ht="11.25" customHeight="1">
      <c r="A310" s="122">
        <v>2012</v>
      </c>
      <c r="B310" s="18">
        <f t="shared" si="41"/>
        <v>126</v>
      </c>
      <c r="C310" s="18">
        <f t="shared" si="41"/>
        <v>264</v>
      </c>
      <c r="D310" s="18">
        <f t="shared" si="41"/>
        <v>202</v>
      </c>
      <c r="E310" s="18">
        <f t="shared" si="41"/>
        <v>39</v>
      </c>
      <c r="F310" s="18">
        <f t="shared" si="41"/>
        <v>23</v>
      </c>
      <c r="G310" s="18" t="str">
        <f t="shared" si="41"/>
        <v>-</v>
      </c>
      <c r="H310" s="18">
        <f t="shared" si="41"/>
        <v>654</v>
      </c>
    </row>
    <row r="311" spans="1:9" ht="11.25" customHeight="1">
      <c r="A311" s="122">
        <v>2013</v>
      </c>
      <c r="B311" s="18">
        <f t="shared" si="41"/>
        <v>380</v>
      </c>
      <c r="C311" s="18">
        <f t="shared" si="41"/>
        <v>498</v>
      </c>
      <c r="D311" s="18">
        <f t="shared" si="41"/>
        <v>206</v>
      </c>
      <c r="E311" s="18">
        <f t="shared" si="41"/>
        <v>331</v>
      </c>
      <c r="F311" s="18">
        <f t="shared" si="41"/>
        <v>83</v>
      </c>
      <c r="G311" s="18" t="str">
        <f t="shared" si="41"/>
        <v>-</v>
      </c>
      <c r="H311" s="18">
        <f t="shared" si="41"/>
        <v>1498</v>
      </c>
    </row>
    <row r="312" spans="1:9" ht="11.25" customHeight="1">
      <c r="A312" s="122">
        <v>2014</v>
      </c>
      <c r="B312" s="18">
        <f t="shared" si="41"/>
        <v>189</v>
      </c>
      <c r="C312" s="18">
        <f t="shared" si="41"/>
        <v>103</v>
      </c>
      <c r="D312" s="18">
        <f t="shared" si="41"/>
        <v>222</v>
      </c>
      <c r="E312" s="18">
        <f t="shared" si="41"/>
        <v>192</v>
      </c>
      <c r="F312" s="18">
        <f t="shared" si="41"/>
        <v>85</v>
      </c>
      <c r="G312" s="18" t="str">
        <f t="shared" si="41"/>
        <v>-</v>
      </c>
      <c r="H312" s="18">
        <f t="shared" si="41"/>
        <v>791</v>
      </c>
    </row>
    <row r="313" spans="1:9" ht="11.25" customHeight="1">
      <c r="A313" s="71">
        <v>2015</v>
      </c>
      <c r="B313" s="18">
        <f t="shared" si="41"/>
        <v>411</v>
      </c>
      <c r="C313" s="18">
        <f t="shared" si="41"/>
        <v>418</v>
      </c>
      <c r="D313" s="18">
        <f t="shared" si="41"/>
        <v>283</v>
      </c>
      <c r="E313" s="18">
        <f t="shared" si="41"/>
        <v>273</v>
      </c>
      <c r="F313" s="18">
        <f t="shared" si="41"/>
        <v>62</v>
      </c>
      <c r="G313" s="18" t="str">
        <f t="shared" si="41"/>
        <v>-</v>
      </c>
      <c r="H313" s="18">
        <f t="shared" si="41"/>
        <v>1447</v>
      </c>
    </row>
    <row r="314" spans="1:9" ht="11.25" customHeight="1">
      <c r="A314" s="71">
        <v>2016</v>
      </c>
      <c r="B314" s="18">
        <f t="shared" si="41"/>
        <v>349</v>
      </c>
      <c r="C314" s="18">
        <f t="shared" si="41"/>
        <v>247</v>
      </c>
      <c r="D314" s="18">
        <f t="shared" si="41"/>
        <v>134</v>
      </c>
      <c r="E314" s="18">
        <f t="shared" si="41"/>
        <v>151</v>
      </c>
      <c r="F314" s="18" t="str">
        <f t="shared" si="41"/>
        <v>-</v>
      </c>
      <c r="G314" s="18" t="str">
        <f t="shared" si="41"/>
        <v>-</v>
      </c>
      <c r="H314" s="18">
        <f t="shared" si="41"/>
        <v>881</v>
      </c>
    </row>
    <row r="315" spans="1:9" ht="11.25" customHeight="1">
      <c r="A315" s="71">
        <v>2017</v>
      </c>
      <c r="B315" s="18">
        <f t="shared" si="41"/>
        <v>527</v>
      </c>
      <c r="C315" s="18">
        <f t="shared" si="41"/>
        <v>477</v>
      </c>
      <c r="D315" s="18">
        <f t="shared" si="41"/>
        <v>207</v>
      </c>
      <c r="E315" s="18">
        <f t="shared" si="41"/>
        <v>170</v>
      </c>
      <c r="F315" s="18">
        <f t="shared" si="41"/>
        <v>30</v>
      </c>
      <c r="G315" s="18" t="str">
        <f t="shared" si="41"/>
        <v>-</v>
      </c>
      <c r="H315" s="18">
        <f t="shared" si="41"/>
        <v>1411</v>
      </c>
    </row>
    <row r="316" spans="1:9" ht="12" customHeight="1">
      <c r="A316" s="71">
        <v>2018</v>
      </c>
      <c r="B316" s="18">
        <f t="shared" si="41"/>
        <v>347</v>
      </c>
      <c r="C316" s="18">
        <f t="shared" si="41"/>
        <v>539</v>
      </c>
      <c r="D316" s="18">
        <f t="shared" si="41"/>
        <v>237</v>
      </c>
      <c r="E316" s="18">
        <f t="shared" si="41"/>
        <v>64</v>
      </c>
      <c r="F316" s="18">
        <f t="shared" si="41"/>
        <v>7</v>
      </c>
      <c r="G316" s="18" t="str">
        <f t="shared" si="41"/>
        <v>-</v>
      </c>
      <c r="H316" s="18">
        <f t="shared" si="41"/>
        <v>1194</v>
      </c>
    </row>
    <row r="317" spans="1:9" ht="12" customHeight="1">
      <c r="A317" s="71">
        <v>2019</v>
      </c>
      <c r="B317" s="18">
        <f t="shared" si="41"/>
        <v>171</v>
      </c>
      <c r="C317" s="18">
        <f t="shared" si="41"/>
        <v>52</v>
      </c>
      <c r="D317" s="18">
        <f t="shared" si="41"/>
        <v>30</v>
      </c>
      <c r="E317" s="18">
        <f t="shared" si="41"/>
        <v>14</v>
      </c>
      <c r="F317" s="18">
        <f t="shared" si="41"/>
        <v>23</v>
      </c>
      <c r="G317" s="18" t="str">
        <f t="shared" si="41"/>
        <v>-</v>
      </c>
      <c r="H317" s="18">
        <f t="shared" si="41"/>
        <v>290</v>
      </c>
    </row>
    <row r="318" spans="1:9" ht="12" customHeight="1">
      <c r="A318" s="71">
        <v>2020</v>
      </c>
      <c r="B318" s="18">
        <f t="shared" ref="B318:H319" si="42">+B145</f>
        <v>23</v>
      </c>
      <c r="C318" s="18">
        <f t="shared" si="42"/>
        <v>44</v>
      </c>
      <c r="D318" s="18">
        <f t="shared" si="42"/>
        <v>270</v>
      </c>
      <c r="E318" s="18">
        <f t="shared" si="42"/>
        <v>103</v>
      </c>
      <c r="F318" s="18">
        <f t="shared" si="42"/>
        <v>6</v>
      </c>
      <c r="G318" s="18" t="str">
        <f>+G145</f>
        <v>-</v>
      </c>
      <c r="H318" s="18">
        <f t="shared" si="42"/>
        <v>446</v>
      </c>
    </row>
    <row r="319" spans="1:9" ht="12" customHeight="1">
      <c r="A319" s="71" t="s">
        <v>318</v>
      </c>
      <c r="B319" s="18">
        <f t="shared" si="42"/>
        <v>177</v>
      </c>
      <c r="C319" s="18">
        <f t="shared" si="42"/>
        <v>377</v>
      </c>
      <c r="D319" s="18">
        <f t="shared" si="42"/>
        <v>359</v>
      </c>
      <c r="E319" s="18">
        <f t="shared" si="42"/>
        <v>155</v>
      </c>
      <c r="F319" s="18">
        <f t="shared" si="42"/>
        <v>67</v>
      </c>
      <c r="G319" s="18" t="str">
        <f>+G146</f>
        <v>-</v>
      </c>
      <c r="H319" s="18">
        <f t="shared" si="42"/>
        <v>1135</v>
      </c>
    </row>
    <row r="320" spans="1:9" ht="11.25" customHeight="1">
      <c r="A320" s="122"/>
    </row>
    <row r="321" spans="1:9">
      <c r="A321" s="122"/>
    </row>
    <row r="323" spans="1:9" ht="23.25" customHeight="1">
      <c r="A323" s="281" t="s">
        <v>258</v>
      </c>
      <c r="B323" s="281"/>
      <c r="C323" s="281"/>
      <c r="D323" s="281"/>
      <c r="E323" s="281"/>
      <c r="F323" s="281"/>
      <c r="G323" s="281"/>
      <c r="H323" s="281"/>
    </row>
    <row r="324" spans="1:9" ht="11.25" customHeight="1">
      <c r="A324" s="2" t="s">
        <v>27</v>
      </c>
      <c r="B324" s="196" t="s">
        <v>29</v>
      </c>
      <c r="C324" s="196" t="s">
        <v>30</v>
      </c>
      <c r="D324" s="196" t="s">
        <v>31</v>
      </c>
      <c r="E324" s="196" t="s">
        <v>32</v>
      </c>
      <c r="F324" s="101" t="s">
        <v>251</v>
      </c>
      <c r="G324" s="196" t="s">
        <v>34</v>
      </c>
      <c r="H324" s="196" t="s">
        <v>22</v>
      </c>
    </row>
    <row r="325" spans="1:9">
      <c r="A325" s="102" t="s">
        <v>57</v>
      </c>
    </row>
    <row r="326" spans="1:9" ht="11.25" customHeight="1">
      <c r="A326" s="71" t="s">
        <v>24</v>
      </c>
      <c r="B326" s="18">
        <f t="shared" ref="B326:H326" si="43">AVERAGE(B154:B158)</f>
        <v>566.4</v>
      </c>
      <c r="C326" s="18">
        <f t="shared" si="43"/>
        <v>97</v>
      </c>
      <c r="D326" s="18">
        <f t="shared" si="43"/>
        <v>1091.6666666666667</v>
      </c>
      <c r="E326" s="18">
        <f t="shared" si="43"/>
        <v>710.25</v>
      </c>
      <c r="F326" s="18">
        <f t="shared" si="43"/>
        <v>568</v>
      </c>
      <c r="G326" s="18" t="str">
        <f>+G152</f>
        <v>-</v>
      </c>
      <c r="H326" s="18">
        <f t="shared" si="43"/>
        <v>1961.4</v>
      </c>
      <c r="I326" s="142"/>
    </row>
    <row r="327" spans="1:9" ht="11.25" customHeight="1">
      <c r="A327" s="71" t="s">
        <v>78</v>
      </c>
      <c r="B327" s="18">
        <f t="shared" ref="B327:H327" si="44">AVERAGE(B159:B163)</f>
        <v>196.8</v>
      </c>
      <c r="C327" s="18">
        <f t="shared" si="44"/>
        <v>60.666666666666664</v>
      </c>
      <c r="D327" s="18">
        <f t="shared" si="44"/>
        <v>284</v>
      </c>
      <c r="E327" s="18">
        <f t="shared" si="44"/>
        <v>583.33333333333337</v>
      </c>
      <c r="F327" s="18">
        <f t="shared" si="44"/>
        <v>577.5</v>
      </c>
      <c r="G327" s="18" t="str">
        <f>+G153</f>
        <v>-</v>
      </c>
      <c r="H327" s="18">
        <f t="shared" si="44"/>
        <v>871</v>
      </c>
      <c r="I327" s="142"/>
    </row>
    <row r="328" spans="1:9" ht="11.25" customHeight="1">
      <c r="A328" s="71" t="s">
        <v>10</v>
      </c>
      <c r="B328" s="18">
        <f>AVERAGE(B164:B168)</f>
        <v>94.666666666666671</v>
      </c>
      <c r="C328" s="18">
        <f>AVERAGE(C164:C168)</f>
        <v>9.3333333333333339</v>
      </c>
      <c r="D328" s="18">
        <f>AVERAGE(D164:D168)</f>
        <v>63</v>
      </c>
      <c r="E328" s="18">
        <f>AVERAGE(E164:E168)</f>
        <v>160</v>
      </c>
      <c r="F328" s="18">
        <f>AVERAGE(F164:F168)</f>
        <v>43.5</v>
      </c>
      <c r="G328" s="18" t="str">
        <f>+G154</f>
        <v>-</v>
      </c>
      <c r="H328" s="18">
        <f>AVERAGE(H164:H168)</f>
        <v>335</v>
      </c>
      <c r="I328" s="142"/>
    </row>
    <row r="329" spans="1:9" ht="11.25" customHeight="1">
      <c r="A329" s="71" t="s">
        <v>144</v>
      </c>
      <c r="B329" s="18">
        <f>AVERAGE(B169:B173)</f>
        <v>0</v>
      </c>
      <c r="C329" s="18">
        <f>AVERAGE(C169:C173)</f>
        <v>0</v>
      </c>
      <c r="D329" s="18" t="s">
        <v>23</v>
      </c>
      <c r="E329" s="18">
        <f>AVERAGE(E169:E173)</f>
        <v>48</v>
      </c>
      <c r="F329" s="18">
        <f>AVERAGE(F169:F173)</f>
        <v>11</v>
      </c>
      <c r="G329" s="18" t="str">
        <f>+G159</f>
        <v>-</v>
      </c>
      <c r="H329" s="18">
        <f>AVERAGE(H169:H173)</f>
        <v>19.666666666666668</v>
      </c>
      <c r="I329" s="142"/>
    </row>
    <row r="330" spans="1:9" ht="11.25" customHeight="1">
      <c r="A330" s="71" t="s">
        <v>166</v>
      </c>
      <c r="B330" s="18">
        <f>AVERAGE(B174:B178)</f>
        <v>15</v>
      </c>
      <c r="C330" s="18">
        <f>AVERAGE(C174:C178)</f>
        <v>4.8</v>
      </c>
      <c r="D330" s="18">
        <f>AVERAGE(D174:D178)</f>
        <v>24.2</v>
      </c>
      <c r="E330" s="18">
        <f>AVERAGE(E174:E178)</f>
        <v>29.4</v>
      </c>
      <c r="F330" s="18">
        <f>AVERAGE(F174:F178)</f>
        <v>14.333333333333334</v>
      </c>
      <c r="G330" s="18" t="str">
        <f>+G174</f>
        <v>-</v>
      </c>
      <c r="H330" s="18">
        <f>AVERAGE(H174:H178)</f>
        <v>82</v>
      </c>
    </row>
    <row r="331" spans="1:9" ht="11.25" customHeight="1">
      <c r="A331" s="71" t="s">
        <v>315</v>
      </c>
      <c r="B331" s="18">
        <f>AVERAGE(B179:B183)</f>
        <v>31.4</v>
      </c>
      <c r="C331" s="18">
        <f t="shared" ref="C331:H331" si="45">AVERAGE(C179:C183)</f>
        <v>39.200000000000003</v>
      </c>
      <c r="D331" s="18">
        <f t="shared" si="45"/>
        <v>11.4</v>
      </c>
      <c r="E331" s="18">
        <f t="shared" si="45"/>
        <v>20.2</v>
      </c>
      <c r="F331" s="18">
        <f t="shared" si="45"/>
        <v>6</v>
      </c>
      <c r="G331" s="18" t="str">
        <f>G179</f>
        <v>-</v>
      </c>
      <c r="H331" s="18">
        <f t="shared" si="45"/>
        <v>108.2</v>
      </c>
    </row>
    <row r="332" spans="1:9" ht="11.25" customHeight="1">
      <c r="A332" s="71">
        <v>2011</v>
      </c>
      <c r="B332" s="18">
        <f t="shared" ref="B332:H340" si="46">+B184</f>
        <v>42</v>
      </c>
      <c r="C332" s="18">
        <f t="shared" si="46"/>
        <v>43</v>
      </c>
      <c r="D332" s="18">
        <f t="shared" si="46"/>
        <v>1</v>
      </c>
      <c r="E332" s="18">
        <f t="shared" si="46"/>
        <v>3</v>
      </c>
      <c r="F332" s="18">
        <f t="shared" si="46"/>
        <v>3</v>
      </c>
      <c r="G332" s="18" t="str">
        <f t="shared" si="46"/>
        <v>-</v>
      </c>
      <c r="H332" s="18">
        <f t="shared" si="46"/>
        <v>92</v>
      </c>
    </row>
    <row r="333" spans="1:9" ht="11.25" customHeight="1">
      <c r="A333" s="122">
        <v>2012</v>
      </c>
      <c r="B333" s="18">
        <f t="shared" si="46"/>
        <v>5</v>
      </c>
      <c r="C333" s="18">
        <f t="shared" si="46"/>
        <v>76</v>
      </c>
      <c r="D333" s="18">
        <f t="shared" si="46"/>
        <v>14</v>
      </c>
      <c r="E333" s="18">
        <f t="shared" si="46"/>
        <v>2</v>
      </c>
      <c r="F333" s="18">
        <f t="shared" si="46"/>
        <v>10</v>
      </c>
      <c r="G333" s="18" t="str">
        <f t="shared" si="46"/>
        <v>-</v>
      </c>
      <c r="H333" s="18">
        <f t="shared" si="46"/>
        <v>107</v>
      </c>
    </row>
    <row r="334" spans="1:9" ht="11.25" customHeight="1">
      <c r="A334" s="122">
        <v>2013</v>
      </c>
      <c r="B334" s="18">
        <f t="shared" si="46"/>
        <v>47</v>
      </c>
      <c r="C334" s="18">
        <f t="shared" si="46"/>
        <v>51</v>
      </c>
      <c r="D334" s="18">
        <f t="shared" si="46"/>
        <v>15</v>
      </c>
      <c r="E334" s="18">
        <f t="shared" si="46"/>
        <v>10</v>
      </c>
      <c r="F334" s="18">
        <f t="shared" si="46"/>
        <v>7</v>
      </c>
      <c r="G334" s="18" t="str">
        <f t="shared" si="46"/>
        <v>-</v>
      </c>
      <c r="H334" s="18">
        <f t="shared" si="46"/>
        <v>130</v>
      </c>
    </row>
    <row r="335" spans="1:9" ht="11.25" customHeight="1">
      <c r="A335" s="122">
        <v>2014</v>
      </c>
      <c r="B335" s="18">
        <f t="shared" si="46"/>
        <v>250</v>
      </c>
      <c r="C335" s="18">
        <f t="shared" si="46"/>
        <v>49</v>
      </c>
      <c r="D335" s="18">
        <f t="shared" si="46"/>
        <v>42</v>
      </c>
      <c r="E335" s="18">
        <f t="shared" si="46"/>
        <v>35</v>
      </c>
      <c r="F335" s="18">
        <f t="shared" si="46"/>
        <v>18</v>
      </c>
      <c r="G335" s="18" t="str">
        <f t="shared" si="46"/>
        <v>-</v>
      </c>
      <c r="H335" s="18">
        <f t="shared" si="46"/>
        <v>394</v>
      </c>
    </row>
    <row r="336" spans="1:9" ht="11.25" customHeight="1">
      <c r="A336" s="71">
        <v>2015</v>
      </c>
      <c r="B336" s="18">
        <f t="shared" si="46"/>
        <v>177</v>
      </c>
      <c r="C336" s="18">
        <f t="shared" si="46"/>
        <v>26</v>
      </c>
      <c r="D336" s="18">
        <f t="shared" si="46"/>
        <v>11</v>
      </c>
      <c r="E336" s="18">
        <f t="shared" si="46"/>
        <v>26</v>
      </c>
      <c r="F336" s="18">
        <f t="shared" si="46"/>
        <v>35</v>
      </c>
      <c r="G336" s="18" t="str">
        <f t="shared" si="46"/>
        <v>-</v>
      </c>
      <c r="H336" s="18">
        <f t="shared" si="46"/>
        <v>275</v>
      </c>
    </row>
    <row r="337" spans="1:9" ht="11.25" customHeight="1">
      <c r="A337" s="71">
        <v>2016</v>
      </c>
      <c r="B337" s="18">
        <f t="shared" si="46"/>
        <v>78</v>
      </c>
      <c r="C337" s="18">
        <f t="shared" si="46"/>
        <v>48</v>
      </c>
      <c r="D337" s="18">
        <f t="shared" si="46"/>
        <v>30</v>
      </c>
      <c r="E337" s="18">
        <f t="shared" si="46"/>
        <v>32</v>
      </c>
      <c r="F337" s="18" t="str">
        <f t="shared" si="46"/>
        <v>-</v>
      </c>
      <c r="G337" s="18" t="str">
        <f t="shared" si="46"/>
        <v>-</v>
      </c>
      <c r="H337" s="18">
        <f t="shared" si="46"/>
        <v>188</v>
      </c>
    </row>
    <row r="338" spans="1:9">
      <c r="A338" s="71">
        <v>2017</v>
      </c>
      <c r="B338" s="18">
        <f t="shared" si="46"/>
        <v>16</v>
      </c>
      <c r="C338" s="18">
        <f t="shared" si="46"/>
        <v>24</v>
      </c>
      <c r="D338" s="18">
        <f t="shared" si="46"/>
        <v>15</v>
      </c>
      <c r="E338" s="18">
        <f t="shared" si="46"/>
        <v>15</v>
      </c>
      <c r="F338" s="18">
        <f t="shared" si="46"/>
        <v>23</v>
      </c>
      <c r="G338" s="18" t="str">
        <f t="shared" si="46"/>
        <v>-</v>
      </c>
      <c r="H338" s="18">
        <f t="shared" si="46"/>
        <v>93</v>
      </c>
    </row>
    <row r="339" spans="1:9" ht="12" customHeight="1">
      <c r="A339" s="71">
        <v>2018</v>
      </c>
      <c r="B339" s="18">
        <f t="shared" si="46"/>
        <v>13</v>
      </c>
      <c r="C339" s="18">
        <f t="shared" si="46"/>
        <v>17</v>
      </c>
      <c r="D339" s="18">
        <f t="shared" si="46"/>
        <v>15</v>
      </c>
      <c r="E339" s="18">
        <f t="shared" si="46"/>
        <v>7</v>
      </c>
      <c r="F339" s="18">
        <f t="shared" si="46"/>
        <v>2</v>
      </c>
      <c r="G339" s="18" t="str">
        <f t="shared" si="46"/>
        <v>-</v>
      </c>
      <c r="H339" s="18">
        <f t="shared" si="46"/>
        <v>54</v>
      </c>
    </row>
    <row r="340" spans="1:9" ht="12" customHeight="1">
      <c r="A340" s="71">
        <v>2019</v>
      </c>
      <c r="B340" s="18">
        <f t="shared" si="46"/>
        <v>42</v>
      </c>
      <c r="C340" s="18">
        <f t="shared" si="46"/>
        <v>9</v>
      </c>
      <c r="D340" s="18">
        <f t="shared" si="46"/>
        <v>12</v>
      </c>
      <c r="E340" s="18">
        <f t="shared" si="46"/>
        <v>14</v>
      </c>
      <c r="F340" s="18">
        <f t="shared" si="46"/>
        <v>0</v>
      </c>
      <c r="G340" s="18" t="str">
        <f t="shared" si="46"/>
        <v>-</v>
      </c>
      <c r="H340" s="18">
        <f t="shared" si="46"/>
        <v>77</v>
      </c>
    </row>
    <row r="341" spans="1:9" ht="12" customHeight="1">
      <c r="A341" s="71">
        <v>2020</v>
      </c>
      <c r="B341" s="18">
        <f t="shared" ref="B341:H342" si="47">+B193</f>
        <v>17</v>
      </c>
      <c r="C341" s="18">
        <f t="shared" si="47"/>
        <v>25</v>
      </c>
      <c r="D341" s="18">
        <f t="shared" si="47"/>
        <v>0</v>
      </c>
      <c r="E341" s="18">
        <f t="shared" si="47"/>
        <v>10</v>
      </c>
      <c r="F341" s="18">
        <f t="shared" si="47"/>
        <v>5</v>
      </c>
      <c r="G341" s="18" t="str">
        <f>+G193</f>
        <v>-</v>
      </c>
      <c r="H341" s="18">
        <f t="shared" si="47"/>
        <v>57</v>
      </c>
    </row>
    <row r="342" spans="1:9" ht="12" customHeight="1">
      <c r="A342" s="71" t="s">
        <v>318</v>
      </c>
      <c r="B342" s="18">
        <f t="shared" si="47"/>
        <v>8</v>
      </c>
      <c r="C342" s="18">
        <f t="shared" si="47"/>
        <v>15</v>
      </c>
      <c r="D342" s="18">
        <f t="shared" si="47"/>
        <v>1</v>
      </c>
      <c r="E342" s="18">
        <f t="shared" si="47"/>
        <v>5</v>
      </c>
      <c r="F342" s="18">
        <f t="shared" si="47"/>
        <v>9</v>
      </c>
      <c r="G342" s="18" t="str">
        <f>+G194</f>
        <v>-</v>
      </c>
      <c r="H342" s="18">
        <f t="shared" si="47"/>
        <v>38</v>
      </c>
    </row>
    <row r="343" spans="1:9" ht="6.75" customHeight="1"/>
    <row r="344" spans="1:9" ht="11.25" customHeight="1">
      <c r="A344" s="103" t="s">
        <v>101</v>
      </c>
    </row>
    <row r="345" spans="1:9" ht="11.25" customHeight="1">
      <c r="A345" s="71" t="s">
        <v>24</v>
      </c>
      <c r="B345" s="18">
        <f>AVERAGE(B202:B206)</f>
        <v>3266.4</v>
      </c>
      <c r="C345" s="18">
        <f>AVERAGE(C202:C206)</f>
        <v>381.5</v>
      </c>
      <c r="D345" s="18">
        <f>AVERAGE(D202:D206)</f>
        <v>6468.75</v>
      </c>
      <c r="E345" s="18">
        <f>AVERAGE(E202:E206)</f>
        <v>2956.2</v>
      </c>
      <c r="F345" s="18">
        <f>AVERAGE(F202:F206)</f>
        <v>291</v>
      </c>
      <c r="G345" s="18" t="str">
        <f>+G210</f>
        <v>-</v>
      </c>
      <c r="H345" s="18">
        <f>AVERAGE(H202:H206)</f>
        <v>11819.2</v>
      </c>
      <c r="I345" s="142"/>
    </row>
    <row r="346" spans="1:9" ht="11.25" customHeight="1">
      <c r="A346" s="71" t="s">
        <v>78</v>
      </c>
      <c r="B346" s="18">
        <f t="shared" ref="B346:H346" si="48">AVERAGE(B207:B211)</f>
        <v>2452.1999999999998</v>
      </c>
      <c r="C346" s="18">
        <f t="shared" si="48"/>
        <v>875.5</v>
      </c>
      <c r="D346" s="18">
        <f t="shared" si="48"/>
        <v>579.5</v>
      </c>
      <c r="E346" s="18">
        <f t="shared" si="48"/>
        <v>1100</v>
      </c>
      <c r="F346" s="18">
        <f t="shared" si="48"/>
        <v>585</v>
      </c>
      <c r="G346" s="18" t="str">
        <f>+G211</f>
        <v>-</v>
      </c>
      <c r="H346" s="18">
        <f t="shared" si="48"/>
        <v>4718.3999999999996</v>
      </c>
      <c r="I346" s="142"/>
    </row>
    <row r="347" spans="1:9" ht="11.25" customHeight="1">
      <c r="A347" s="71" t="s">
        <v>10</v>
      </c>
      <c r="B347" s="18">
        <f>AVERAGE(B212:B216)</f>
        <v>1673</v>
      </c>
      <c r="C347" s="18">
        <f>AVERAGE(C212:C216)</f>
        <v>1063</v>
      </c>
      <c r="D347" s="18">
        <f>AVERAGE(D212:D216)</f>
        <v>837.5</v>
      </c>
      <c r="E347" s="18">
        <f>AVERAGE(E212:E216)</f>
        <v>754.5</v>
      </c>
      <c r="F347" s="18">
        <f>AVERAGE(F212:F216)</f>
        <v>332.66666666666669</v>
      </c>
      <c r="G347" s="18" t="str">
        <f>+G212</f>
        <v>-</v>
      </c>
      <c r="H347" s="18">
        <f>AVERAGE(H212:H216)</f>
        <v>3474.75</v>
      </c>
      <c r="I347" s="142"/>
    </row>
    <row r="348" spans="1:9" ht="11.25" customHeight="1">
      <c r="A348" s="71" t="s">
        <v>144</v>
      </c>
      <c r="B348" s="18">
        <f>AVERAGE(B217:B221)</f>
        <v>221.25</v>
      </c>
      <c r="C348" s="18">
        <f>AVERAGE(C217:C221)</f>
        <v>124</v>
      </c>
      <c r="D348" s="18">
        <f>AVERAGE(D217:D221)</f>
        <v>158</v>
      </c>
      <c r="E348" s="18">
        <f>AVERAGE(E217:E221)</f>
        <v>145.33333333333334</v>
      </c>
      <c r="F348" s="18">
        <f>AVERAGE(F217:F221)</f>
        <v>10</v>
      </c>
      <c r="G348" s="18" t="str">
        <f>+G217</f>
        <v>-</v>
      </c>
      <c r="H348" s="18">
        <f>AVERAGE(H217:H221)</f>
        <v>430.6</v>
      </c>
      <c r="I348" s="142"/>
    </row>
    <row r="349" spans="1:9" ht="11.25" customHeight="1">
      <c r="A349" s="71" t="s">
        <v>166</v>
      </c>
      <c r="B349" s="18">
        <f>AVERAGE(B222:B226)</f>
        <v>417</v>
      </c>
      <c r="C349" s="18">
        <f>AVERAGE(C222:C226)</f>
        <v>145.6</v>
      </c>
      <c r="D349" s="18">
        <f>AVERAGE(D222:D226)</f>
        <v>381</v>
      </c>
      <c r="E349" s="18">
        <f>AVERAGE(E222:E226)</f>
        <v>323.60000000000002</v>
      </c>
      <c r="F349" s="18">
        <f>AVERAGE(F222:F226)</f>
        <v>94.333333333333329</v>
      </c>
      <c r="G349" s="18" t="str">
        <f>+G222</f>
        <v>-</v>
      </c>
      <c r="H349" s="18">
        <f>AVERAGE(H222:H226)</f>
        <v>1323.8</v>
      </c>
    </row>
    <row r="350" spans="1:9" ht="11.25" customHeight="1">
      <c r="A350" s="71" t="s">
        <v>315</v>
      </c>
      <c r="B350" s="18">
        <f>AVERAGE(B227:B231)</f>
        <v>437</v>
      </c>
      <c r="C350" s="18">
        <f t="shared" ref="C350:H350" si="49">AVERAGE(C227:C231)</f>
        <v>518.4</v>
      </c>
      <c r="D350" s="18">
        <f t="shared" si="49"/>
        <v>333.2</v>
      </c>
      <c r="E350" s="18">
        <f t="shared" si="49"/>
        <v>294.39999999999998</v>
      </c>
      <c r="F350" s="18">
        <f t="shared" si="49"/>
        <v>89.4</v>
      </c>
      <c r="G350" s="18" t="str">
        <f>G227</f>
        <v>-</v>
      </c>
      <c r="H350" s="18">
        <f t="shared" si="49"/>
        <v>1672.4</v>
      </c>
    </row>
    <row r="351" spans="1:9" ht="11.25" customHeight="1">
      <c r="A351" s="71">
        <v>2011</v>
      </c>
      <c r="B351" s="18">
        <f t="shared" ref="B351:H359" si="50">+B232</f>
        <v>648</v>
      </c>
      <c r="C351" s="18">
        <f t="shared" si="50"/>
        <v>699</v>
      </c>
      <c r="D351" s="18">
        <f t="shared" si="50"/>
        <v>449</v>
      </c>
      <c r="E351" s="18">
        <f t="shared" si="50"/>
        <v>211</v>
      </c>
      <c r="F351" s="18">
        <f t="shared" si="50"/>
        <v>57</v>
      </c>
      <c r="G351" s="18" t="str">
        <f t="shared" si="50"/>
        <v>-</v>
      </c>
      <c r="H351" s="18">
        <f t="shared" si="50"/>
        <v>2064</v>
      </c>
    </row>
    <row r="352" spans="1:9" ht="11.25" customHeight="1">
      <c r="A352" s="122">
        <v>2012</v>
      </c>
      <c r="B352" s="18">
        <f t="shared" si="50"/>
        <v>369</v>
      </c>
      <c r="C352" s="18">
        <f t="shared" si="50"/>
        <v>709</v>
      </c>
      <c r="D352" s="18">
        <f t="shared" si="50"/>
        <v>466</v>
      </c>
      <c r="E352" s="18">
        <f t="shared" si="50"/>
        <v>308</v>
      </c>
      <c r="F352" s="18">
        <f t="shared" si="50"/>
        <v>208</v>
      </c>
      <c r="G352" s="18" t="str">
        <f t="shared" si="50"/>
        <v>-</v>
      </c>
      <c r="H352" s="18">
        <f t="shared" si="50"/>
        <v>2060</v>
      </c>
    </row>
    <row r="353" spans="1:8" ht="11.25" customHeight="1">
      <c r="A353" s="122">
        <v>2013</v>
      </c>
      <c r="B353" s="18">
        <f t="shared" si="50"/>
        <v>768</v>
      </c>
      <c r="C353" s="18">
        <f t="shared" si="50"/>
        <v>549</v>
      </c>
      <c r="D353" s="18">
        <f t="shared" si="50"/>
        <v>486</v>
      </c>
      <c r="E353" s="18">
        <f t="shared" si="50"/>
        <v>415</v>
      </c>
      <c r="F353" s="18">
        <f t="shared" si="50"/>
        <v>90</v>
      </c>
      <c r="G353" s="18" t="str">
        <f t="shared" si="50"/>
        <v>-</v>
      </c>
      <c r="H353" s="18">
        <f t="shared" si="50"/>
        <v>2308</v>
      </c>
    </row>
    <row r="354" spans="1:8" ht="11.25" customHeight="1">
      <c r="A354" s="122">
        <v>2014</v>
      </c>
      <c r="B354" s="18">
        <f t="shared" si="50"/>
        <v>839</v>
      </c>
      <c r="C354" s="18">
        <f t="shared" si="50"/>
        <v>237</v>
      </c>
      <c r="D354" s="18">
        <f t="shared" si="50"/>
        <v>439</v>
      </c>
      <c r="E354" s="18">
        <f t="shared" si="50"/>
        <v>372</v>
      </c>
      <c r="F354" s="18">
        <f t="shared" si="50"/>
        <v>135</v>
      </c>
      <c r="G354" s="18" t="str">
        <f t="shared" si="50"/>
        <v>-</v>
      </c>
      <c r="H354" s="18">
        <f t="shared" si="50"/>
        <v>2022</v>
      </c>
    </row>
    <row r="355" spans="1:8" ht="11.25" customHeight="1">
      <c r="A355" s="71">
        <v>2015</v>
      </c>
      <c r="B355" s="18">
        <f t="shared" si="50"/>
        <v>995</v>
      </c>
      <c r="C355" s="18">
        <f t="shared" si="50"/>
        <v>510</v>
      </c>
      <c r="D355" s="18">
        <f t="shared" si="50"/>
        <v>502</v>
      </c>
      <c r="E355" s="18">
        <f t="shared" si="50"/>
        <v>476</v>
      </c>
      <c r="F355" s="18">
        <f t="shared" si="50"/>
        <v>162</v>
      </c>
      <c r="G355" s="18" t="str">
        <f t="shared" si="50"/>
        <v>-</v>
      </c>
      <c r="H355" s="18">
        <f t="shared" si="50"/>
        <v>2645</v>
      </c>
    </row>
    <row r="356" spans="1:8" ht="11.25" customHeight="1">
      <c r="A356" s="71">
        <v>2016</v>
      </c>
      <c r="B356" s="18">
        <f t="shared" si="50"/>
        <v>725</v>
      </c>
      <c r="C356" s="18">
        <f t="shared" si="50"/>
        <v>407</v>
      </c>
      <c r="D356" s="18">
        <f t="shared" si="50"/>
        <v>278</v>
      </c>
      <c r="E356" s="18">
        <f t="shared" si="50"/>
        <v>218</v>
      </c>
      <c r="F356" s="18" t="str">
        <f t="shared" si="50"/>
        <v>-</v>
      </c>
      <c r="G356" s="18" t="str">
        <f t="shared" si="50"/>
        <v>-</v>
      </c>
      <c r="H356" s="18">
        <f t="shared" si="50"/>
        <v>1628</v>
      </c>
    </row>
    <row r="357" spans="1:8">
      <c r="A357" s="71">
        <v>2017</v>
      </c>
      <c r="B357" s="18">
        <f t="shared" si="50"/>
        <v>778</v>
      </c>
      <c r="C357" s="18">
        <f t="shared" si="50"/>
        <v>630</v>
      </c>
      <c r="D357" s="18">
        <f t="shared" si="50"/>
        <v>395</v>
      </c>
      <c r="E357" s="18">
        <f t="shared" si="50"/>
        <v>426</v>
      </c>
      <c r="F357" s="18">
        <f t="shared" si="50"/>
        <v>144</v>
      </c>
      <c r="G357" s="18" t="str">
        <f t="shared" si="50"/>
        <v>-</v>
      </c>
      <c r="H357" s="18">
        <f t="shared" si="50"/>
        <v>2373</v>
      </c>
    </row>
    <row r="358" spans="1:8" ht="12" customHeight="1">
      <c r="A358" s="71">
        <v>2018</v>
      </c>
      <c r="B358" s="18">
        <f t="shared" si="50"/>
        <v>754</v>
      </c>
      <c r="C358" s="18">
        <f t="shared" si="50"/>
        <v>691</v>
      </c>
      <c r="D358" s="18">
        <f t="shared" si="50"/>
        <v>437</v>
      </c>
      <c r="E358" s="18">
        <f t="shared" si="50"/>
        <v>196</v>
      </c>
      <c r="F358" s="18">
        <f t="shared" si="50"/>
        <v>71</v>
      </c>
      <c r="G358" s="18" t="str">
        <f t="shared" si="50"/>
        <v>-</v>
      </c>
      <c r="H358" s="18">
        <f t="shared" si="50"/>
        <v>2149</v>
      </c>
    </row>
    <row r="359" spans="1:8" ht="12" customHeight="1">
      <c r="A359" s="71">
        <v>2019</v>
      </c>
      <c r="B359" s="18">
        <f t="shared" si="50"/>
        <v>403</v>
      </c>
      <c r="C359" s="18">
        <f t="shared" si="50"/>
        <v>344</v>
      </c>
      <c r="D359" s="18">
        <f t="shared" si="50"/>
        <v>673</v>
      </c>
      <c r="E359" s="18">
        <f t="shared" si="50"/>
        <v>205</v>
      </c>
      <c r="F359" s="18">
        <f t="shared" si="50"/>
        <v>113</v>
      </c>
      <c r="G359" s="18" t="str">
        <f t="shared" si="50"/>
        <v>-</v>
      </c>
      <c r="H359" s="18">
        <f t="shared" si="50"/>
        <v>1738</v>
      </c>
    </row>
    <row r="360" spans="1:8" ht="12" customHeight="1">
      <c r="A360" s="71">
        <v>2020</v>
      </c>
      <c r="B360" s="18">
        <f t="shared" ref="B360:H361" si="51">+B241</f>
        <v>90</v>
      </c>
      <c r="C360" s="18">
        <f t="shared" si="51"/>
        <v>161</v>
      </c>
      <c r="D360" s="18">
        <f t="shared" si="51"/>
        <v>464</v>
      </c>
      <c r="E360" s="18">
        <f t="shared" si="51"/>
        <v>237</v>
      </c>
      <c r="F360" s="18">
        <f t="shared" si="51"/>
        <v>24</v>
      </c>
      <c r="G360" s="18" t="str">
        <f>+G241</f>
        <v>-</v>
      </c>
      <c r="H360" s="18">
        <f t="shared" si="51"/>
        <v>976</v>
      </c>
    </row>
    <row r="361" spans="1:8" ht="12" customHeight="1">
      <c r="A361" s="71" t="s">
        <v>318</v>
      </c>
      <c r="B361" s="30">
        <f t="shared" si="51"/>
        <v>258</v>
      </c>
      <c r="C361" s="30">
        <f t="shared" si="51"/>
        <v>473</v>
      </c>
      <c r="D361" s="30">
        <f t="shared" si="51"/>
        <v>496</v>
      </c>
      <c r="E361" s="30">
        <f t="shared" si="51"/>
        <v>245</v>
      </c>
      <c r="F361" s="30">
        <f t="shared" si="51"/>
        <v>128</v>
      </c>
      <c r="G361" s="30" t="str">
        <f>+G242</f>
        <v>-</v>
      </c>
      <c r="H361" s="30">
        <f t="shared" si="51"/>
        <v>1600</v>
      </c>
    </row>
    <row r="362" spans="1:8" ht="11.25" customHeight="1">
      <c r="A362" s="326" t="str">
        <f>A243</f>
        <v>a/  Summary of Washington Department of Fish and Wildlife fish receiving ticket information by statistical month, excluding Washington landings from Oregon, California, and Alaska.</v>
      </c>
      <c r="B362" s="326"/>
      <c r="C362" s="326"/>
      <c r="D362" s="326"/>
      <c r="E362" s="326"/>
      <c r="F362" s="326"/>
      <c r="G362" s="326"/>
      <c r="H362" s="326"/>
    </row>
    <row r="363" spans="1:8" ht="11.25" customHeight="1">
      <c r="A363" s="327"/>
      <c r="B363" s="327"/>
      <c r="C363" s="327"/>
      <c r="D363" s="327"/>
      <c r="E363" s="327"/>
      <c r="F363" s="327"/>
      <c r="G363" s="327"/>
      <c r="H363" s="327"/>
    </row>
    <row r="364" spans="1:8" ht="11.25" customHeight="1">
      <c r="A364" s="283" t="str">
        <f>A245</f>
        <v>b/  Data for September include any effort after September.</v>
      </c>
      <c r="B364" s="283"/>
      <c r="C364" s="283"/>
      <c r="D364" s="283"/>
      <c r="E364" s="283"/>
      <c r="F364" s="283"/>
      <c r="G364" s="283"/>
      <c r="H364" s="283"/>
    </row>
    <row r="365" spans="1:8" ht="11.25" customHeight="1">
      <c r="A365" s="283" t="str">
        <f>A246</f>
        <v>c/  Neah Bay area includes effort and catches from Strait of Juan de Fuca Area 4B.</v>
      </c>
      <c r="B365" s="283"/>
      <c r="C365" s="283"/>
      <c r="D365" s="283"/>
      <c r="E365" s="283"/>
      <c r="F365" s="283"/>
      <c r="G365" s="283"/>
      <c r="H365" s="283"/>
    </row>
    <row r="366" spans="1:8" ht="11.25" customHeight="1">
      <c r="A366" s="283" t="str">
        <f>A247</f>
        <v>d/  Preliminary.</v>
      </c>
      <c r="B366" s="283"/>
      <c r="C366" s="283"/>
      <c r="D366" s="283"/>
      <c r="E366" s="283"/>
      <c r="F366" s="283"/>
      <c r="G366" s="283"/>
      <c r="H366" s="283"/>
    </row>
    <row r="367" spans="1:8" ht="12" customHeight="1"/>
    <row r="368" spans="1:8" ht="12" customHeight="1">
      <c r="A368" s="222"/>
      <c r="B368" s="221"/>
      <c r="C368" s="221"/>
      <c r="D368" s="221"/>
      <c r="E368" s="221"/>
      <c r="F368" s="221"/>
      <c r="G368" s="221"/>
      <c r="H368" s="221"/>
    </row>
    <row r="369" spans="1:8" ht="12" customHeight="1">
      <c r="A369" s="222"/>
      <c r="B369" s="221"/>
      <c r="C369" s="221"/>
      <c r="D369" s="221"/>
      <c r="E369" s="221"/>
      <c r="F369" s="221"/>
      <c r="G369" s="221"/>
      <c r="H369" s="221"/>
    </row>
    <row r="370" spans="1:8" ht="12" customHeight="1">
      <c r="A370" s="222"/>
      <c r="B370" s="221"/>
      <c r="C370" s="221"/>
      <c r="D370" s="221"/>
      <c r="E370" s="221"/>
      <c r="F370" s="221"/>
      <c r="G370" s="221"/>
      <c r="H370" s="221"/>
    </row>
    <row r="371" spans="1:8" ht="12" customHeight="1">
      <c r="A371" s="222"/>
      <c r="B371" s="221"/>
      <c r="C371" s="221"/>
      <c r="D371" s="221"/>
      <c r="E371" s="221"/>
      <c r="F371" s="221"/>
      <c r="G371" s="221"/>
      <c r="H371" s="221"/>
    </row>
    <row r="372" spans="1:8" ht="12" customHeight="1">
      <c r="A372" s="222"/>
      <c r="B372" s="221"/>
      <c r="C372" s="221"/>
      <c r="D372" s="221"/>
      <c r="E372" s="221"/>
      <c r="F372" s="221"/>
      <c r="G372" s="221"/>
      <c r="H372" s="221"/>
    </row>
    <row r="373" spans="1:8" ht="12" customHeight="1">
      <c r="A373" s="222"/>
      <c r="B373" s="221"/>
      <c r="C373" s="221"/>
      <c r="D373" s="221"/>
      <c r="E373" s="221"/>
      <c r="F373" s="221"/>
      <c r="G373" s="221"/>
      <c r="H373" s="221"/>
    </row>
    <row r="374" spans="1:8" ht="12" customHeight="1">
      <c r="A374" s="222"/>
      <c r="B374" s="221"/>
      <c r="C374" s="221"/>
      <c r="D374" s="221"/>
      <c r="E374" s="221"/>
      <c r="F374" s="221"/>
      <c r="G374" s="221"/>
      <c r="H374" s="221"/>
    </row>
    <row r="375" spans="1:8" ht="12" customHeight="1">
      <c r="A375" s="222"/>
      <c r="B375" s="221"/>
      <c r="C375" s="221"/>
      <c r="D375" s="221"/>
      <c r="E375" s="221"/>
      <c r="F375" s="221"/>
      <c r="G375" s="221"/>
      <c r="H375" s="221"/>
    </row>
    <row r="376" spans="1:8" ht="12" customHeight="1">
      <c r="A376" s="222"/>
      <c r="B376" s="221"/>
      <c r="C376" s="221"/>
      <c r="D376" s="221"/>
      <c r="E376" s="221"/>
      <c r="F376" s="221"/>
      <c r="G376" s="221"/>
      <c r="H376" s="221"/>
    </row>
    <row r="377" spans="1:8" ht="12" customHeight="1">
      <c r="A377" s="222"/>
      <c r="B377" s="221"/>
      <c r="C377" s="221"/>
      <c r="D377" s="221"/>
      <c r="E377" s="221"/>
      <c r="F377" s="221"/>
      <c r="G377" s="221"/>
      <c r="H377" s="221"/>
    </row>
    <row r="378" spans="1:8" ht="12" customHeight="1">
      <c r="A378" s="222"/>
      <c r="B378" s="221"/>
      <c r="C378" s="221"/>
      <c r="D378" s="221"/>
      <c r="E378" s="221"/>
      <c r="F378" s="221"/>
      <c r="G378" s="221"/>
      <c r="H378" s="221"/>
    </row>
    <row r="379" spans="1:8" ht="12" customHeight="1">
      <c r="A379" s="222"/>
      <c r="B379" s="221"/>
      <c r="C379" s="221"/>
      <c r="D379" s="221"/>
      <c r="E379" s="221"/>
      <c r="F379" s="221"/>
      <c r="G379" s="221"/>
      <c r="H379" s="221"/>
    </row>
    <row r="380" spans="1:8" ht="12" customHeight="1">
      <c r="A380" s="222"/>
      <c r="B380" s="221"/>
      <c r="C380" s="221"/>
      <c r="D380" s="221"/>
      <c r="E380" s="221"/>
      <c r="F380" s="221"/>
      <c r="G380" s="221"/>
      <c r="H380" s="221"/>
    </row>
    <row r="381" spans="1:8" ht="12" customHeight="1">
      <c r="A381" s="222"/>
      <c r="B381" s="221"/>
      <c r="C381" s="221"/>
      <c r="D381" s="221"/>
      <c r="E381" s="221"/>
      <c r="F381" s="221"/>
      <c r="G381" s="221"/>
      <c r="H381" s="221"/>
    </row>
    <row r="382" spans="1:8" ht="12" customHeight="1">
      <c r="A382" s="222"/>
      <c r="B382" s="221"/>
      <c r="C382" s="221"/>
      <c r="D382" s="221"/>
      <c r="E382" s="221"/>
      <c r="F382" s="221"/>
      <c r="G382" s="221"/>
      <c r="H382" s="221"/>
    </row>
    <row r="383" spans="1:8" ht="12" customHeight="1">
      <c r="A383" s="222"/>
      <c r="B383" s="221"/>
      <c r="C383" s="221"/>
      <c r="D383" s="221"/>
      <c r="E383" s="221"/>
      <c r="F383" s="221"/>
      <c r="G383" s="221"/>
      <c r="H383" s="221"/>
    </row>
    <row r="384" spans="1:8" ht="12" customHeight="1">
      <c r="A384" s="222"/>
      <c r="B384" s="221"/>
      <c r="C384" s="221"/>
      <c r="D384" s="221"/>
      <c r="E384" s="221"/>
      <c r="F384" s="221"/>
      <c r="G384" s="221"/>
      <c r="H384" s="221"/>
    </row>
    <row r="385" spans="1:8" ht="12" customHeight="1">
      <c r="A385" s="222"/>
      <c r="B385" s="221"/>
      <c r="C385" s="221"/>
      <c r="D385" s="221"/>
      <c r="E385" s="221"/>
      <c r="F385" s="221"/>
      <c r="G385" s="221"/>
      <c r="H385" s="221"/>
    </row>
    <row r="386" spans="1:8" ht="12" customHeight="1">
      <c r="A386" s="222"/>
      <c r="B386" s="221"/>
      <c r="C386" s="221"/>
      <c r="D386" s="221"/>
      <c r="E386" s="221"/>
      <c r="F386" s="221"/>
      <c r="G386" s="221"/>
      <c r="H386" s="221"/>
    </row>
    <row r="387" spans="1:8" ht="12" customHeight="1">
      <c r="A387" s="222"/>
      <c r="B387" s="221"/>
      <c r="C387" s="221"/>
      <c r="D387" s="221"/>
      <c r="E387" s="221"/>
      <c r="F387" s="221"/>
      <c r="G387" s="221"/>
      <c r="H387" s="221"/>
    </row>
    <row r="388" spans="1:8" ht="12" customHeight="1">
      <c r="A388" s="222"/>
      <c r="B388" s="221"/>
      <c r="C388" s="221"/>
      <c r="D388" s="221"/>
      <c r="E388" s="221"/>
      <c r="F388" s="221"/>
      <c r="G388" s="221"/>
      <c r="H388" s="221"/>
    </row>
    <row r="389" spans="1:8" ht="12" customHeight="1">
      <c r="A389" s="222"/>
      <c r="B389" s="221"/>
      <c r="C389" s="221"/>
      <c r="D389" s="221"/>
      <c r="E389" s="221"/>
      <c r="F389" s="221"/>
      <c r="G389" s="221"/>
      <c r="H389" s="221"/>
    </row>
    <row r="390" spans="1:8" ht="12" customHeight="1">
      <c r="A390" s="222"/>
      <c r="B390" s="221"/>
      <c r="C390" s="221"/>
      <c r="D390" s="221"/>
      <c r="E390" s="221"/>
      <c r="F390" s="221"/>
      <c r="G390" s="221"/>
      <c r="H390" s="221"/>
    </row>
    <row r="391" spans="1:8" ht="12" customHeight="1">
      <c r="A391" s="222"/>
      <c r="B391" s="221"/>
      <c r="C391" s="221"/>
      <c r="D391" s="221"/>
      <c r="E391" s="221"/>
      <c r="F391" s="221"/>
      <c r="G391" s="221"/>
      <c r="H391" s="221"/>
    </row>
    <row r="392" spans="1:8" ht="12" customHeight="1">
      <c r="A392" s="222"/>
      <c r="B392" s="221"/>
      <c r="C392" s="221"/>
      <c r="D392" s="221"/>
      <c r="E392" s="221"/>
      <c r="F392" s="221"/>
      <c r="G392" s="221"/>
      <c r="H392" s="221"/>
    </row>
    <row r="393" spans="1:8" ht="12" customHeight="1">
      <c r="A393" s="222"/>
      <c r="B393" s="221"/>
      <c r="C393" s="221"/>
      <c r="D393" s="221"/>
      <c r="E393" s="221"/>
      <c r="F393" s="221"/>
      <c r="G393" s="221"/>
      <c r="H393" s="221"/>
    </row>
    <row r="394" spans="1:8" ht="12" customHeight="1">
      <c r="A394" s="222"/>
      <c r="B394" s="221"/>
      <c r="C394" s="221"/>
      <c r="D394" s="221"/>
      <c r="E394" s="221"/>
      <c r="F394" s="221"/>
      <c r="G394" s="221"/>
      <c r="H394" s="221"/>
    </row>
    <row r="395" spans="1:8" ht="12" customHeight="1">
      <c r="A395" s="222"/>
      <c r="B395" s="221"/>
      <c r="C395" s="221"/>
      <c r="D395" s="221"/>
      <c r="E395" s="221"/>
      <c r="F395" s="221"/>
      <c r="G395" s="221"/>
      <c r="H395" s="221"/>
    </row>
    <row r="396" spans="1:8" ht="12" customHeight="1">
      <c r="A396" s="222"/>
      <c r="B396" s="221"/>
      <c r="C396" s="221"/>
      <c r="D396" s="221"/>
      <c r="E396" s="221"/>
      <c r="F396" s="221"/>
      <c r="G396" s="221"/>
      <c r="H396" s="221"/>
    </row>
    <row r="397" spans="1:8" ht="12" customHeight="1">
      <c r="A397" s="222"/>
      <c r="B397" s="221"/>
      <c r="C397" s="221"/>
      <c r="D397" s="221"/>
      <c r="E397" s="221"/>
      <c r="F397" s="221"/>
      <c r="G397" s="221"/>
      <c r="H397" s="221"/>
    </row>
    <row r="398" spans="1:8" ht="12" customHeight="1">
      <c r="A398" s="222"/>
      <c r="B398" s="221"/>
      <c r="C398" s="221"/>
      <c r="D398" s="221"/>
      <c r="E398" s="221"/>
      <c r="F398" s="221"/>
      <c r="G398" s="221"/>
      <c r="H398" s="221"/>
    </row>
    <row r="399" spans="1:8" ht="12" customHeight="1">
      <c r="A399" s="222"/>
      <c r="B399" s="221"/>
      <c r="C399" s="221"/>
      <c r="D399" s="221"/>
      <c r="E399" s="221"/>
      <c r="F399" s="221"/>
      <c r="G399" s="221"/>
      <c r="H399" s="221"/>
    </row>
    <row r="400" spans="1:8" ht="12" customHeight="1">
      <c r="A400" s="222"/>
      <c r="B400" s="221"/>
      <c r="C400" s="221"/>
      <c r="D400" s="221"/>
      <c r="E400" s="221"/>
      <c r="F400" s="221"/>
      <c r="G400" s="221"/>
      <c r="H400" s="221"/>
    </row>
    <row r="401" spans="1:8" ht="12" customHeight="1">
      <c r="A401" s="222"/>
      <c r="B401" s="221"/>
      <c r="C401" s="221"/>
      <c r="D401" s="221"/>
      <c r="E401" s="221"/>
      <c r="F401" s="221"/>
      <c r="G401" s="221"/>
      <c r="H401" s="221"/>
    </row>
    <row r="402" spans="1:8" ht="12" customHeight="1">
      <c r="A402" s="222"/>
      <c r="B402" s="221"/>
      <c r="C402" s="221"/>
      <c r="D402" s="221"/>
      <c r="E402" s="221"/>
      <c r="F402" s="221"/>
      <c r="G402" s="221"/>
      <c r="H402" s="221"/>
    </row>
    <row r="403" spans="1:8" ht="12" customHeight="1">
      <c r="A403" s="222"/>
      <c r="B403" s="221"/>
      <c r="C403" s="221"/>
      <c r="D403" s="221"/>
      <c r="E403" s="221"/>
      <c r="F403" s="221"/>
      <c r="G403" s="221"/>
      <c r="H403" s="221"/>
    </row>
    <row r="404" spans="1:8" ht="12" customHeight="1">
      <c r="A404" s="222"/>
      <c r="B404" s="221"/>
      <c r="C404" s="221"/>
      <c r="D404" s="221"/>
      <c r="E404" s="221"/>
      <c r="F404" s="221"/>
      <c r="G404" s="221"/>
      <c r="H404" s="221"/>
    </row>
    <row r="405" spans="1:8" ht="12" customHeight="1">
      <c r="A405" s="222"/>
      <c r="B405" s="221"/>
      <c r="C405" s="221"/>
      <c r="D405" s="221"/>
      <c r="E405" s="221"/>
      <c r="F405" s="221"/>
      <c r="G405" s="221"/>
      <c r="H405" s="221"/>
    </row>
    <row r="406" spans="1:8" ht="12" customHeight="1">
      <c r="A406" s="222"/>
      <c r="B406" s="221"/>
      <c r="C406" s="221"/>
      <c r="D406" s="221"/>
      <c r="E406" s="221"/>
      <c r="F406" s="221"/>
      <c r="G406" s="221"/>
      <c r="H406" s="221"/>
    </row>
    <row r="407" spans="1:8" ht="12" customHeight="1">
      <c r="A407" s="222"/>
      <c r="B407" s="221"/>
      <c r="C407" s="221"/>
      <c r="D407" s="221"/>
      <c r="E407" s="221"/>
      <c r="F407" s="221"/>
      <c r="G407" s="221"/>
      <c r="H407" s="221"/>
    </row>
    <row r="408" spans="1:8" ht="12" customHeight="1">
      <c r="A408" s="222"/>
      <c r="B408" s="221"/>
      <c r="C408" s="221"/>
      <c r="D408" s="221"/>
      <c r="E408" s="221"/>
      <c r="F408" s="221"/>
      <c r="G408" s="221"/>
      <c r="H408" s="221"/>
    </row>
    <row r="409" spans="1:8" ht="12" customHeight="1"/>
    <row r="410" spans="1:8" ht="12" customHeight="1"/>
    <row r="411" spans="1:8" ht="12" customHeight="1"/>
    <row r="412" spans="1:8" ht="12" customHeight="1"/>
    <row r="413" spans="1:8" ht="12" customHeight="1"/>
    <row r="414" spans="1:8" ht="12" customHeight="1"/>
    <row r="415" spans="1:8" ht="12" customHeight="1"/>
    <row r="416" spans="1:8" ht="12" customHeight="1"/>
    <row r="417" ht="12" customHeight="1"/>
    <row r="418" ht="12" customHeight="1"/>
    <row r="419" ht="12" customHeight="1"/>
    <row r="420" ht="12" customHeight="1"/>
    <row r="421" ht="12" customHeight="1"/>
    <row r="422" ht="12" customHeight="1"/>
    <row r="423" ht="12" customHeight="1"/>
    <row r="424" ht="12" customHeight="1"/>
    <row r="425" ht="12" customHeight="1"/>
    <row r="426" ht="12" customHeight="1"/>
    <row r="427" ht="12" customHeight="1"/>
    <row r="428" ht="12" customHeight="1"/>
    <row r="429" ht="12" customHeight="1"/>
    <row r="430" ht="12" customHeight="1"/>
    <row r="431" ht="12" customHeight="1"/>
    <row r="432" ht="12" customHeight="1"/>
    <row r="433" ht="12" customHeight="1"/>
    <row r="434" ht="12" customHeight="1"/>
    <row r="435" ht="12" customHeight="1"/>
    <row r="436" ht="12" customHeight="1"/>
    <row r="437" ht="12" customHeight="1"/>
    <row r="438" ht="12" customHeight="1"/>
    <row r="439" ht="12" customHeight="1"/>
    <row r="440" ht="12" customHeight="1"/>
    <row r="441" ht="12" customHeight="1"/>
    <row r="442" ht="12" customHeight="1"/>
    <row r="443" ht="12" customHeight="1"/>
    <row r="444" ht="12" customHeight="1"/>
    <row r="445" ht="12" customHeight="1"/>
    <row r="446" ht="12" customHeight="1"/>
    <row r="447" ht="12" customHeight="1"/>
    <row r="448" ht="12" customHeight="1"/>
    <row r="449" ht="12" customHeight="1"/>
    <row r="450" ht="12" customHeight="1"/>
    <row r="451" ht="12" customHeight="1"/>
  </sheetData>
  <mergeCells count="11">
    <mergeCell ref="A323:H323"/>
    <mergeCell ref="A362:H363"/>
    <mergeCell ref="A364:H364"/>
    <mergeCell ref="A365:H365"/>
    <mergeCell ref="A366:H366"/>
    <mergeCell ref="A262:H262"/>
    <mergeCell ref="A2:H2"/>
    <mergeCell ref="A243:H244"/>
    <mergeCell ref="A245:H245"/>
    <mergeCell ref="A246:H246"/>
    <mergeCell ref="A247:H247"/>
  </mergeCells>
  <pageMargins left="0.7" right="0.7" top="0.75" bottom="0.75" header="0.3" footer="0.3"/>
  <pageSetup scale="93" orientation="portrait" r:id="rId1"/>
  <rowBreaks count="1" manualBreakCount="1">
    <brk id="322" max="7" man="1"/>
  </rowBreak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46"/>
  <dimension ref="A1:AO364"/>
  <sheetViews>
    <sheetView showGridLines="0" tabSelected="1" zoomScale="90" zoomScaleNormal="90" workbookViewId="0">
      <pane xSplit="1" ySplit="4" topLeftCell="B210"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9" defaultRowHeight="11"/>
  <cols>
    <col min="1" max="1" width="8.1640625" style="99" customWidth="1"/>
    <col min="2" max="7" width="5.6640625" style="7" customWidth="1"/>
    <col min="8" max="8" width="1.6640625" style="7" customWidth="1"/>
    <col min="9" max="9" width="5.5" style="142" customWidth="1"/>
    <col min="10" max="13" width="5.6640625" style="142" customWidth="1"/>
    <col min="14" max="14" width="6.6640625" style="142" customWidth="1"/>
    <col min="15" max="15" width="1.6640625" style="142" customWidth="1"/>
    <col min="16" max="20" width="5.6640625" style="142" customWidth="1"/>
    <col min="21" max="21" width="6.1640625" style="142" bestFit="1" customWidth="1"/>
    <col min="22" max="16384" width="9" style="1"/>
  </cols>
  <sheetData>
    <row r="1" spans="1:21" ht="4.5" customHeight="1"/>
    <row r="2" spans="1:21" s="190" customFormat="1" ht="13">
      <c r="A2" s="329" t="s">
        <v>254</v>
      </c>
      <c r="B2" s="329"/>
      <c r="C2" s="329"/>
      <c r="D2" s="329"/>
      <c r="E2" s="329"/>
      <c r="F2" s="329"/>
      <c r="G2" s="329"/>
      <c r="H2" s="329"/>
      <c r="I2" s="329"/>
      <c r="J2" s="329"/>
      <c r="K2" s="329"/>
      <c r="L2" s="329"/>
      <c r="M2" s="329"/>
      <c r="N2" s="329"/>
      <c r="O2" s="329"/>
      <c r="P2" s="329"/>
      <c r="Q2" s="329"/>
      <c r="R2" s="329"/>
      <c r="S2" s="329"/>
      <c r="T2" s="329"/>
      <c r="U2" s="329"/>
    </row>
    <row r="3" spans="1:21" s="195" customFormat="1" ht="12.75" customHeight="1">
      <c r="A3" s="5" t="s">
        <v>27</v>
      </c>
      <c r="B3" s="129" t="s">
        <v>29</v>
      </c>
      <c r="C3" s="129" t="s">
        <v>30</v>
      </c>
      <c r="D3" s="129" t="s">
        <v>31</v>
      </c>
      <c r="E3" s="129" t="s">
        <v>32</v>
      </c>
      <c r="F3" s="141" t="s">
        <v>251</v>
      </c>
      <c r="G3" s="129" t="s">
        <v>22</v>
      </c>
      <c r="H3" s="129"/>
      <c r="I3" s="130" t="s">
        <v>29</v>
      </c>
      <c r="J3" s="130" t="s">
        <v>30</v>
      </c>
      <c r="K3" s="130" t="s">
        <v>31</v>
      </c>
      <c r="L3" s="130" t="s">
        <v>32</v>
      </c>
      <c r="M3" s="141" t="s">
        <v>251</v>
      </c>
      <c r="N3" s="130" t="s">
        <v>22</v>
      </c>
      <c r="O3" s="130"/>
      <c r="P3" s="130" t="s">
        <v>29</v>
      </c>
      <c r="Q3" s="130" t="s">
        <v>30</v>
      </c>
      <c r="R3" s="130" t="s">
        <v>31</v>
      </c>
      <c r="S3" s="130" t="s">
        <v>32</v>
      </c>
      <c r="T3" s="141" t="s">
        <v>251</v>
      </c>
      <c r="U3" s="130" t="s">
        <v>22</v>
      </c>
    </row>
    <row r="4" spans="1:21" ht="9.75" customHeight="1">
      <c r="A4" s="94"/>
      <c r="B4" s="330" t="s">
        <v>61</v>
      </c>
      <c r="C4" s="330"/>
      <c r="D4" s="330"/>
      <c r="E4" s="330"/>
      <c r="F4" s="330"/>
      <c r="G4" s="330"/>
      <c r="H4" s="27"/>
      <c r="I4" s="285" t="s">
        <v>62</v>
      </c>
      <c r="J4" s="285"/>
      <c r="K4" s="285"/>
      <c r="L4" s="285"/>
      <c r="M4" s="285"/>
      <c r="N4" s="285"/>
      <c r="O4" s="14"/>
      <c r="P4" s="285" t="s">
        <v>112</v>
      </c>
      <c r="Q4" s="285"/>
      <c r="R4" s="285"/>
      <c r="S4" s="285"/>
      <c r="T4" s="285"/>
      <c r="U4" s="285"/>
    </row>
    <row r="5" spans="1:21" ht="13">
      <c r="A5" s="94" t="s">
        <v>192</v>
      </c>
      <c r="B5" s="142"/>
      <c r="C5" s="142"/>
      <c r="D5" s="142"/>
      <c r="E5" s="142"/>
      <c r="F5" s="142"/>
      <c r="G5" s="142"/>
    </row>
    <row r="6" spans="1:21">
      <c r="A6" s="99">
        <v>1976</v>
      </c>
      <c r="B6" s="16">
        <f>8+2082</f>
        <v>2090</v>
      </c>
      <c r="C6" s="16">
        <v>8120</v>
      </c>
      <c r="D6" s="16">
        <v>22032</v>
      </c>
      <c r="E6" s="16">
        <v>15232</v>
      </c>
      <c r="F6" s="16">
        <f>2548+1411+13</f>
        <v>3972</v>
      </c>
      <c r="G6" s="16">
        <f t="shared" ref="G6:G23" si="0">SUM(B6:F6)</f>
        <v>51446</v>
      </c>
      <c r="H6" s="56"/>
      <c r="I6" s="16" t="s">
        <v>23</v>
      </c>
      <c r="J6" s="16">
        <v>19014</v>
      </c>
      <c r="K6" s="16">
        <v>99568</v>
      </c>
      <c r="L6" s="16">
        <v>62017</v>
      </c>
      <c r="M6" s="16">
        <f>25350+9909+90</f>
        <v>35349</v>
      </c>
      <c r="N6" s="16">
        <f t="shared" ref="N6:N23" si="1">SUM(I6:M6)</f>
        <v>215948</v>
      </c>
      <c r="O6" s="16"/>
      <c r="U6" s="57"/>
    </row>
    <row r="7" spans="1:21">
      <c r="A7" s="99">
        <v>1977</v>
      </c>
      <c r="B7" s="16">
        <f>10+4072</f>
        <v>4082</v>
      </c>
      <c r="C7" s="16">
        <v>4269</v>
      </c>
      <c r="D7" s="16">
        <v>13463</v>
      </c>
      <c r="E7" s="16">
        <v>12474</v>
      </c>
      <c r="F7" s="16">
        <f>4598+60</f>
        <v>4658</v>
      </c>
      <c r="G7" s="16">
        <f t="shared" si="0"/>
        <v>38946</v>
      </c>
      <c r="H7" s="56"/>
      <c r="I7" s="16" t="s">
        <v>23</v>
      </c>
      <c r="J7" s="16" t="s">
        <v>23</v>
      </c>
      <c r="K7" s="16">
        <v>62622</v>
      </c>
      <c r="L7" s="16">
        <v>74215</v>
      </c>
      <c r="M7" s="16">
        <f>51020+45</f>
        <v>51065</v>
      </c>
      <c r="N7" s="16">
        <f t="shared" si="1"/>
        <v>187902</v>
      </c>
      <c r="O7" s="16"/>
      <c r="P7" s="142">
        <v>61</v>
      </c>
      <c r="Q7" s="142">
        <v>449</v>
      </c>
      <c r="R7" s="142">
        <v>35419</v>
      </c>
      <c r="S7" s="142">
        <v>111756</v>
      </c>
      <c r="T7" s="142">
        <v>7670</v>
      </c>
      <c r="U7" s="16">
        <f>SUM(P7:T7)</f>
        <v>155355</v>
      </c>
    </row>
    <row r="8" spans="1:21">
      <c r="A8" s="99">
        <v>1978</v>
      </c>
      <c r="B8" s="16">
        <v>2932</v>
      </c>
      <c r="C8" s="16">
        <v>4618</v>
      </c>
      <c r="D8" s="16">
        <v>13418</v>
      </c>
      <c r="E8" s="16">
        <v>7352</v>
      </c>
      <c r="F8" s="16">
        <f>1942+3</f>
        <v>1945</v>
      </c>
      <c r="G8" s="16">
        <f t="shared" si="0"/>
        <v>30265</v>
      </c>
      <c r="H8" s="56"/>
      <c r="I8" s="16" t="s">
        <v>23</v>
      </c>
      <c r="J8" s="16" t="s">
        <v>23</v>
      </c>
      <c r="K8" s="16">
        <v>67026</v>
      </c>
      <c r="L8" s="16">
        <v>51430</v>
      </c>
      <c r="M8" s="16">
        <f>45591+23</f>
        <v>45614</v>
      </c>
      <c r="N8" s="16">
        <f t="shared" si="1"/>
        <v>164070</v>
      </c>
      <c r="O8" s="16"/>
      <c r="U8" s="57"/>
    </row>
    <row r="9" spans="1:21">
      <c r="A9" s="99">
        <v>1979</v>
      </c>
      <c r="B9" s="16">
        <f>685+13122</f>
        <v>13807</v>
      </c>
      <c r="C9" s="16">
        <v>71</v>
      </c>
      <c r="D9" s="16">
        <v>7473</v>
      </c>
      <c r="E9" s="16">
        <v>5353</v>
      </c>
      <c r="F9" s="16">
        <v>59</v>
      </c>
      <c r="G9" s="16">
        <f t="shared" si="0"/>
        <v>26763</v>
      </c>
      <c r="H9" s="56"/>
      <c r="I9" s="16" t="s">
        <v>23</v>
      </c>
      <c r="J9" s="16" t="s">
        <v>23</v>
      </c>
      <c r="K9" s="16">
        <v>74852</v>
      </c>
      <c r="L9" s="16">
        <v>69570</v>
      </c>
      <c r="M9" s="57">
        <v>1050</v>
      </c>
      <c r="N9" s="16">
        <f t="shared" si="1"/>
        <v>145472</v>
      </c>
      <c r="O9" s="16"/>
      <c r="P9" s="142">
        <v>28</v>
      </c>
      <c r="Q9" s="142">
        <v>21</v>
      </c>
      <c r="R9" s="142">
        <v>48586</v>
      </c>
      <c r="S9" s="142">
        <v>272581</v>
      </c>
      <c r="T9" s="142">
        <f>416+586</f>
        <v>1002</v>
      </c>
      <c r="U9" s="16">
        <f>SUM(P9:T9)</f>
        <v>322218</v>
      </c>
    </row>
    <row r="10" spans="1:21">
      <c r="A10" s="99">
        <v>1980</v>
      </c>
      <c r="B10" s="16">
        <f>19+10976</f>
        <v>10995</v>
      </c>
      <c r="C10" s="16">
        <v>1947</v>
      </c>
      <c r="D10" s="16">
        <v>5813</v>
      </c>
      <c r="E10" s="16">
        <v>3497</v>
      </c>
      <c r="F10" s="16" t="s">
        <v>23</v>
      </c>
      <c r="G10" s="16">
        <f t="shared" si="0"/>
        <v>22252</v>
      </c>
      <c r="H10" s="56"/>
      <c r="I10" s="16" t="s">
        <v>23</v>
      </c>
      <c r="J10" s="16" t="s">
        <v>23</v>
      </c>
      <c r="K10" s="16">
        <v>32418</v>
      </c>
      <c r="L10" s="16">
        <v>36701</v>
      </c>
      <c r="M10" s="16" t="s">
        <v>23</v>
      </c>
      <c r="N10" s="16">
        <f t="shared" si="1"/>
        <v>69119</v>
      </c>
      <c r="O10" s="16"/>
      <c r="U10" s="57"/>
    </row>
    <row r="11" spans="1:21">
      <c r="A11" s="99">
        <v>1981</v>
      </c>
      <c r="B11" s="16">
        <v>7183</v>
      </c>
      <c r="C11" s="16">
        <v>976</v>
      </c>
      <c r="D11" s="16">
        <v>6092</v>
      </c>
      <c r="E11" s="16">
        <v>3018</v>
      </c>
      <c r="F11" s="16" t="s">
        <v>23</v>
      </c>
      <c r="G11" s="16">
        <f t="shared" si="0"/>
        <v>17269</v>
      </c>
      <c r="H11" s="56"/>
      <c r="I11" s="16" t="s">
        <v>23</v>
      </c>
      <c r="J11" s="16" t="s">
        <v>23</v>
      </c>
      <c r="K11" s="16">
        <v>46005</v>
      </c>
      <c r="L11" s="16">
        <v>48512</v>
      </c>
      <c r="M11" s="16" t="s">
        <v>23</v>
      </c>
      <c r="N11" s="16">
        <f t="shared" si="1"/>
        <v>94517</v>
      </c>
      <c r="O11" s="16"/>
      <c r="P11" s="142">
        <v>339</v>
      </c>
      <c r="Q11" s="142">
        <v>39</v>
      </c>
      <c r="R11" s="142">
        <v>34726</v>
      </c>
      <c r="S11" s="142">
        <v>119037</v>
      </c>
      <c r="T11" s="16" t="s">
        <v>23</v>
      </c>
      <c r="U11" s="16">
        <f>SUM(P11:T11)</f>
        <v>154141</v>
      </c>
    </row>
    <row r="12" spans="1:21">
      <c r="A12" s="99">
        <v>1982</v>
      </c>
      <c r="B12" s="16">
        <v>2767</v>
      </c>
      <c r="C12" s="16">
        <v>527</v>
      </c>
      <c r="D12" s="16">
        <v>13215</v>
      </c>
      <c r="E12" s="16">
        <v>293</v>
      </c>
      <c r="F12" s="16" t="s">
        <v>23</v>
      </c>
      <c r="G12" s="16">
        <f t="shared" si="0"/>
        <v>16802</v>
      </c>
      <c r="H12" s="56"/>
      <c r="I12" s="16" t="s">
        <v>23</v>
      </c>
      <c r="J12" s="16" t="s">
        <v>23</v>
      </c>
      <c r="K12" s="16">
        <v>84110</v>
      </c>
      <c r="L12" s="16">
        <v>13678</v>
      </c>
      <c r="M12" s="57">
        <v>159</v>
      </c>
      <c r="N12" s="16">
        <f t="shared" si="1"/>
        <v>97947</v>
      </c>
      <c r="O12" s="16"/>
      <c r="U12" s="57"/>
    </row>
    <row r="13" spans="1:21">
      <c r="A13" s="99">
        <v>1983</v>
      </c>
      <c r="B13" s="16">
        <f>15+3763</f>
        <v>3778</v>
      </c>
      <c r="C13" s="16">
        <v>94</v>
      </c>
      <c r="D13" s="16">
        <v>5620</v>
      </c>
      <c r="E13" s="16">
        <v>63</v>
      </c>
      <c r="F13" s="16" t="s">
        <v>23</v>
      </c>
      <c r="G13" s="16">
        <f t="shared" si="0"/>
        <v>9555</v>
      </c>
      <c r="H13" s="56"/>
      <c r="I13" s="16" t="s">
        <v>23</v>
      </c>
      <c r="J13" s="16" t="s">
        <v>23</v>
      </c>
      <c r="K13" s="16">
        <v>1780</v>
      </c>
      <c r="L13" s="16">
        <f>575+6</f>
        <v>581</v>
      </c>
      <c r="M13" s="16" t="s">
        <v>23</v>
      </c>
      <c r="N13" s="16">
        <f t="shared" si="1"/>
        <v>2361</v>
      </c>
      <c r="O13" s="16"/>
      <c r="P13" s="142">
        <v>1</v>
      </c>
      <c r="Q13" s="16">
        <v>0</v>
      </c>
      <c r="R13" s="142">
        <v>79078</v>
      </c>
      <c r="S13" s="16" t="s">
        <v>23</v>
      </c>
      <c r="T13" s="68">
        <v>300</v>
      </c>
      <c r="U13" s="16">
        <f>SUM(P13:T13)</f>
        <v>79379</v>
      </c>
    </row>
    <row r="14" spans="1:21">
      <c r="A14" s="99">
        <v>1984</v>
      </c>
      <c r="B14" s="16">
        <v>1093</v>
      </c>
      <c r="C14" s="16" t="s">
        <v>23</v>
      </c>
      <c r="D14" s="16" t="s">
        <v>23</v>
      </c>
      <c r="E14" s="16">
        <v>1236</v>
      </c>
      <c r="F14" s="16" t="s">
        <v>23</v>
      </c>
      <c r="G14" s="16">
        <f t="shared" si="0"/>
        <v>2329</v>
      </c>
      <c r="H14" s="56"/>
      <c r="I14" s="16" t="s">
        <v>23</v>
      </c>
      <c r="J14" s="16" t="s">
        <v>23</v>
      </c>
      <c r="K14" s="16" t="s">
        <v>23</v>
      </c>
      <c r="L14" s="16">
        <v>16441</v>
      </c>
      <c r="M14" s="16" t="s">
        <v>23</v>
      </c>
      <c r="N14" s="16">
        <f t="shared" si="1"/>
        <v>16441</v>
      </c>
      <c r="O14" s="16"/>
      <c r="U14" s="57"/>
    </row>
    <row r="15" spans="1:21">
      <c r="A15" s="99">
        <v>1985</v>
      </c>
      <c r="B15" s="16">
        <f>105+1540</f>
        <v>1645</v>
      </c>
      <c r="C15" s="16" t="s">
        <v>23</v>
      </c>
      <c r="D15" s="16">
        <v>229</v>
      </c>
      <c r="E15" s="16">
        <v>2511</v>
      </c>
      <c r="F15" s="16">
        <v>31</v>
      </c>
      <c r="G15" s="16">
        <f t="shared" si="0"/>
        <v>4416</v>
      </c>
      <c r="H15" s="56"/>
      <c r="I15" s="16" t="s">
        <v>23</v>
      </c>
      <c r="J15" s="16" t="s">
        <v>23</v>
      </c>
      <c r="K15" s="16" t="s">
        <v>23</v>
      </c>
      <c r="L15" s="57">
        <v>54</v>
      </c>
      <c r="M15" s="57">
        <v>40</v>
      </c>
      <c r="N15" s="16">
        <f t="shared" si="1"/>
        <v>94</v>
      </c>
      <c r="O15" s="16"/>
      <c r="P15" s="142">
        <v>0</v>
      </c>
      <c r="Q15" s="16" t="s">
        <v>23</v>
      </c>
      <c r="R15" s="142">
        <v>1593</v>
      </c>
      <c r="S15" s="142">
        <v>87216</v>
      </c>
      <c r="T15" s="142">
        <v>530</v>
      </c>
      <c r="U15" s="16">
        <f>SUM(P15:T15)</f>
        <v>89339</v>
      </c>
    </row>
    <row r="16" spans="1:21">
      <c r="A16" s="99">
        <v>1986</v>
      </c>
      <c r="B16" s="16">
        <f>27+3432</f>
        <v>3459</v>
      </c>
      <c r="C16" s="16">
        <v>50</v>
      </c>
      <c r="D16" s="16" t="s">
        <v>23</v>
      </c>
      <c r="E16" s="16">
        <v>1147</v>
      </c>
      <c r="F16" s="16" t="s">
        <v>23</v>
      </c>
      <c r="G16" s="16">
        <f t="shared" si="0"/>
        <v>4656</v>
      </c>
      <c r="H16" s="56"/>
      <c r="I16" s="16" t="s">
        <v>23</v>
      </c>
      <c r="J16" s="16" t="s">
        <v>23</v>
      </c>
      <c r="K16" s="16" t="s">
        <v>23</v>
      </c>
      <c r="L16" s="16">
        <v>19040</v>
      </c>
      <c r="M16" s="16" t="s">
        <v>23</v>
      </c>
      <c r="N16" s="16">
        <f t="shared" si="1"/>
        <v>19040</v>
      </c>
      <c r="O16" s="16"/>
      <c r="U16" s="57"/>
    </row>
    <row r="17" spans="1:41">
      <c r="A17" s="99">
        <v>1987</v>
      </c>
      <c r="B17" s="16">
        <f>343+4404</f>
        <v>4747</v>
      </c>
      <c r="C17" s="16" t="s">
        <v>23</v>
      </c>
      <c r="D17" s="57">
        <v>91</v>
      </c>
      <c r="E17" s="16" t="s">
        <v>23</v>
      </c>
      <c r="F17" s="16" t="s">
        <v>23</v>
      </c>
      <c r="G17" s="16">
        <f t="shared" si="0"/>
        <v>4838</v>
      </c>
      <c r="H17" s="56"/>
      <c r="I17" s="16" t="s">
        <v>23</v>
      </c>
      <c r="J17" s="16" t="s">
        <v>23</v>
      </c>
      <c r="K17" s="57">
        <f>848+323</f>
        <v>1171</v>
      </c>
      <c r="L17" s="16" t="s">
        <v>23</v>
      </c>
      <c r="M17" s="16" t="s">
        <v>23</v>
      </c>
      <c r="N17" s="16">
        <f t="shared" si="1"/>
        <v>1171</v>
      </c>
      <c r="O17" s="16"/>
      <c r="P17" s="142">
        <v>0</v>
      </c>
      <c r="Q17" s="16" t="s">
        <v>23</v>
      </c>
      <c r="R17" s="142">
        <f>781+743</f>
        <v>1524</v>
      </c>
      <c r="S17" s="16" t="s">
        <v>23</v>
      </c>
      <c r="T17" s="16" t="s">
        <v>23</v>
      </c>
      <c r="U17" s="16">
        <f>SUM(P17:T17)</f>
        <v>1524</v>
      </c>
    </row>
    <row r="18" spans="1:41">
      <c r="A18" s="99">
        <v>1988</v>
      </c>
      <c r="B18" s="16">
        <f>5+10035</f>
        <v>10040</v>
      </c>
      <c r="C18" s="16">
        <v>11602</v>
      </c>
      <c r="D18" s="57">
        <v>57</v>
      </c>
      <c r="E18" s="57">
        <v>242</v>
      </c>
      <c r="F18" s="16" t="s">
        <v>23</v>
      </c>
      <c r="G18" s="16">
        <f t="shared" si="0"/>
        <v>21941</v>
      </c>
      <c r="H18" s="56"/>
      <c r="I18" s="16" t="s">
        <v>23</v>
      </c>
      <c r="J18" s="16" t="s">
        <v>23</v>
      </c>
      <c r="K18" s="57">
        <v>381</v>
      </c>
      <c r="L18" s="57">
        <v>1848</v>
      </c>
      <c r="M18" s="57" t="s">
        <v>23</v>
      </c>
      <c r="N18" s="16">
        <f t="shared" si="1"/>
        <v>2229</v>
      </c>
      <c r="O18" s="16"/>
      <c r="U18" s="57"/>
    </row>
    <row r="19" spans="1:41">
      <c r="A19" s="99">
        <v>1989</v>
      </c>
      <c r="B19" s="16" t="s">
        <v>23</v>
      </c>
      <c r="C19" s="16" t="s">
        <v>23</v>
      </c>
      <c r="D19" s="16" t="s">
        <v>23</v>
      </c>
      <c r="E19" s="16">
        <f>268+14</f>
        <v>282</v>
      </c>
      <c r="F19" s="16" t="s">
        <v>23</v>
      </c>
      <c r="G19" s="16">
        <f t="shared" si="0"/>
        <v>282</v>
      </c>
      <c r="H19" s="56"/>
      <c r="I19" s="16" t="s">
        <v>23</v>
      </c>
      <c r="J19" s="16" t="s">
        <v>23</v>
      </c>
      <c r="K19" s="16" t="s">
        <v>23</v>
      </c>
      <c r="L19" s="16">
        <f>41070+19</f>
        <v>41089</v>
      </c>
      <c r="M19" s="16" t="s">
        <v>23</v>
      </c>
      <c r="N19" s="16">
        <f t="shared" si="1"/>
        <v>41089</v>
      </c>
      <c r="O19" s="16"/>
      <c r="P19" s="16" t="s">
        <v>23</v>
      </c>
      <c r="Q19" s="16" t="s">
        <v>23</v>
      </c>
      <c r="R19" s="16" t="s">
        <v>23</v>
      </c>
      <c r="S19" s="142">
        <v>36263</v>
      </c>
      <c r="T19" s="16" t="s">
        <v>23</v>
      </c>
      <c r="U19" s="16">
        <f>SUM(P19:T19)</f>
        <v>36263</v>
      </c>
    </row>
    <row r="20" spans="1:41">
      <c r="A20" s="99">
        <v>1990</v>
      </c>
      <c r="B20" s="16">
        <f>6054+8327</f>
        <v>14381</v>
      </c>
      <c r="C20" s="16">
        <v>888</v>
      </c>
      <c r="D20" s="16" t="s">
        <v>23</v>
      </c>
      <c r="E20" s="16">
        <v>1017</v>
      </c>
      <c r="F20" s="16" t="s">
        <v>23</v>
      </c>
      <c r="G20" s="16">
        <f t="shared" si="0"/>
        <v>16286</v>
      </c>
      <c r="H20" s="56"/>
      <c r="I20" s="16" t="s">
        <v>23</v>
      </c>
      <c r="J20" s="16" t="s">
        <v>23</v>
      </c>
      <c r="K20" s="16" t="s">
        <v>23</v>
      </c>
      <c r="L20" s="16">
        <v>34287</v>
      </c>
      <c r="M20" s="16" t="s">
        <v>23</v>
      </c>
      <c r="N20" s="16">
        <f t="shared" si="1"/>
        <v>34287</v>
      </c>
      <c r="O20" s="16"/>
      <c r="U20" s="57"/>
    </row>
    <row r="21" spans="1:41">
      <c r="A21" s="99">
        <v>1991</v>
      </c>
      <c r="B21" s="16">
        <v>8814</v>
      </c>
      <c r="C21" s="16">
        <f>5470+9</f>
        <v>5479</v>
      </c>
      <c r="D21" s="16" t="s">
        <v>23</v>
      </c>
      <c r="E21" s="16">
        <v>579</v>
      </c>
      <c r="F21" s="16">
        <v>366</v>
      </c>
      <c r="G21" s="16">
        <f t="shared" si="0"/>
        <v>15238</v>
      </c>
      <c r="H21" s="56"/>
      <c r="I21" s="57" t="s">
        <v>23</v>
      </c>
      <c r="J21" s="57" t="s">
        <v>23</v>
      </c>
      <c r="K21" s="16" t="s">
        <v>23</v>
      </c>
      <c r="L21" s="16">
        <v>18750</v>
      </c>
      <c r="M21" s="16">
        <v>5374</v>
      </c>
      <c r="N21" s="16">
        <f t="shared" si="1"/>
        <v>24124</v>
      </c>
      <c r="O21" s="16"/>
      <c r="P21" s="16">
        <v>3</v>
      </c>
      <c r="Q21" s="16">
        <v>16</v>
      </c>
      <c r="R21" s="16" t="s">
        <v>23</v>
      </c>
      <c r="S21" s="16">
        <f>40636+6</f>
        <v>40642</v>
      </c>
      <c r="T21" s="16">
        <v>282</v>
      </c>
      <c r="U21" s="16">
        <f>SUM(P21:T21)</f>
        <v>40943</v>
      </c>
      <c r="AJ21" s="1">
        <v>3.0000000000000001E-3</v>
      </c>
      <c r="AK21" s="1">
        <v>1.6E-2</v>
      </c>
      <c r="AL21" s="1">
        <v>6.0000000000000001E-3</v>
      </c>
      <c r="AM21" s="1">
        <v>40.636000000000003</v>
      </c>
      <c r="AN21" s="1">
        <v>0.28199999999999997</v>
      </c>
      <c r="AO21" s="1">
        <v>40.942999999999998</v>
      </c>
    </row>
    <row r="22" spans="1:41">
      <c r="A22" s="99">
        <v>1992</v>
      </c>
      <c r="B22" s="16">
        <v>9073</v>
      </c>
      <c r="C22" s="16">
        <v>6191</v>
      </c>
      <c r="D22" s="16">
        <v>979</v>
      </c>
      <c r="E22" s="16">
        <v>833</v>
      </c>
      <c r="F22" s="16" t="s">
        <v>23</v>
      </c>
      <c r="G22" s="16">
        <f t="shared" si="0"/>
        <v>17076</v>
      </c>
      <c r="H22" s="56"/>
      <c r="I22" s="57" t="s">
        <v>23</v>
      </c>
      <c r="J22" s="57" t="s">
        <v>23</v>
      </c>
      <c r="K22" s="16">
        <v>4571</v>
      </c>
      <c r="L22" s="16">
        <v>3093</v>
      </c>
      <c r="M22" s="16" t="s">
        <v>23</v>
      </c>
      <c r="N22" s="16">
        <f t="shared" si="1"/>
        <v>7664</v>
      </c>
      <c r="O22" s="16"/>
      <c r="P22" s="16"/>
      <c r="Q22" s="16"/>
      <c r="R22" s="16"/>
      <c r="S22" s="16"/>
      <c r="T22" s="16"/>
      <c r="U22" s="16"/>
    </row>
    <row r="23" spans="1:41">
      <c r="A23" s="99">
        <v>1993</v>
      </c>
      <c r="B23" s="16">
        <v>8566</v>
      </c>
      <c r="C23" s="16">
        <v>5366</v>
      </c>
      <c r="D23" s="16">
        <v>1797</v>
      </c>
      <c r="E23" s="16">
        <v>281</v>
      </c>
      <c r="F23" s="16" t="s">
        <v>23</v>
      </c>
      <c r="G23" s="16">
        <f t="shared" si="0"/>
        <v>16010</v>
      </c>
      <c r="H23" s="56"/>
      <c r="I23" s="57" t="s">
        <v>23</v>
      </c>
      <c r="J23" s="57" t="s">
        <v>23</v>
      </c>
      <c r="K23" s="16">
        <v>2184</v>
      </c>
      <c r="L23" s="16">
        <v>979</v>
      </c>
      <c r="M23" s="57" t="s">
        <v>23</v>
      </c>
      <c r="N23" s="16">
        <f t="shared" si="1"/>
        <v>3163</v>
      </c>
      <c r="O23" s="16"/>
      <c r="P23" s="16">
        <v>14</v>
      </c>
      <c r="Q23" s="16">
        <v>1</v>
      </c>
      <c r="R23" s="16">
        <v>64</v>
      </c>
      <c r="S23" s="16">
        <f>2726+11</f>
        <v>2737</v>
      </c>
      <c r="T23" s="16" t="s">
        <v>23</v>
      </c>
      <c r="U23" s="16">
        <f>SUM(P23:T23)</f>
        <v>2816</v>
      </c>
      <c r="AJ23" s="1">
        <v>1.4E-2</v>
      </c>
      <c r="AK23" s="1">
        <v>1E-3</v>
      </c>
      <c r="AL23" s="1">
        <v>6.4000000000000001E-2</v>
      </c>
      <c r="AM23" s="1">
        <v>2.726</v>
      </c>
      <c r="AN23" s="1">
        <v>1.0999999999999999E-2</v>
      </c>
      <c r="AO23" s="1">
        <v>2.8159999999999998</v>
      </c>
    </row>
    <row r="24" spans="1:41">
      <c r="A24" s="99">
        <v>1994</v>
      </c>
      <c r="B24" s="16" t="s">
        <v>23</v>
      </c>
      <c r="C24" s="16" t="s">
        <v>23</v>
      </c>
      <c r="D24" s="16" t="s">
        <v>23</v>
      </c>
      <c r="E24" s="16" t="s">
        <v>23</v>
      </c>
      <c r="F24" s="16" t="s">
        <v>23</v>
      </c>
      <c r="G24" s="16" t="s">
        <v>23</v>
      </c>
      <c r="H24" s="56"/>
      <c r="I24" s="57" t="s">
        <v>23</v>
      </c>
      <c r="J24" s="57" t="s">
        <v>23</v>
      </c>
      <c r="K24" s="16" t="s">
        <v>23</v>
      </c>
      <c r="L24" s="16" t="s">
        <v>23</v>
      </c>
      <c r="M24" s="16" t="s">
        <v>23</v>
      </c>
      <c r="N24" s="16" t="s">
        <v>23</v>
      </c>
      <c r="O24" s="16"/>
      <c r="P24" s="16"/>
      <c r="Q24" s="16"/>
      <c r="R24" s="16"/>
      <c r="S24" s="16"/>
      <c r="T24" s="16"/>
      <c r="U24" s="16"/>
    </row>
    <row r="25" spans="1:41">
      <c r="A25" s="99">
        <v>1995</v>
      </c>
      <c r="B25" s="16" t="s">
        <v>23</v>
      </c>
      <c r="C25" s="16" t="s">
        <v>23</v>
      </c>
      <c r="D25" s="16" t="s">
        <v>23</v>
      </c>
      <c r="E25" s="57">
        <v>3</v>
      </c>
      <c r="F25" s="16" t="s">
        <v>23</v>
      </c>
      <c r="G25" s="16">
        <f>SUM(B25:F25)</f>
        <v>3</v>
      </c>
      <c r="H25" s="56"/>
      <c r="I25" s="57" t="s">
        <v>23</v>
      </c>
      <c r="J25" s="57" t="s">
        <v>23</v>
      </c>
      <c r="K25" s="16" t="s">
        <v>23</v>
      </c>
      <c r="L25" s="16">
        <v>15593</v>
      </c>
      <c r="M25" s="16">
        <v>5212</v>
      </c>
      <c r="N25" s="16">
        <f>SUM(I25:M25)</f>
        <v>20805</v>
      </c>
      <c r="O25" s="16"/>
      <c r="P25" s="16" t="s">
        <v>23</v>
      </c>
      <c r="Q25" s="16" t="s">
        <v>23</v>
      </c>
      <c r="R25" s="16" t="s">
        <v>23</v>
      </c>
      <c r="S25" s="16">
        <v>27429</v>
      </c>
      <c r="T25" s="16">
        <v>788</v>
      </c>
      <c r="U25" s="16">
        <f>SUM(P25:T25)</f>
        <v>28217</v>
      </c>
      <c r="AJ25" s="1">
        <v>0</v>
      </c>
      <c r="AK25" s="1">
        <v>0</v>
      </c>
      <c r="AL25" s="1">
        <v>0</v>
      </c>
      <c r="AM25" s="1">
        <v>27.428999999999998</v>
      </c>
      <c r="AN25" s="1">
        <v>0.78800000000000003</v>
      </c>
      <c r="AO25" s="1">
        <v>28.216999999999999</v>
      </c>
    </row>
    <row r="26" spans="1:41">
      <c r="A26" s="99">
        <v>1996</v>
      </c>
      <c r="B26" s="16" t="s">
        <v>23</v>
      </c>
      <c r="C26" s="16" t="s">
        <v>23</v>
      </c>
      <c r="D26" s="16" t="s">
        <v>23</v>
      </c>
      <c r="E26" s="16" t="s">
        <v>23</v>
      </c>
      <c r="F26" s="16" t="s">
        <v>23</v>
      </c>
      <c r="G26" s="16" t="s">
        <v>23</v>
      </c>
      <c r="H26" s="56"/>
      <c r="I26" s="57" t="s">
        <v>23</v>
      </c>
      <c r="J26" s="57" t="s">
        <v>23</v>
      </c>
      <c r="K26" s="16">
        <v>5516</v>
      </c>
      <c r="L26" s="16">
        <v>7526</v>
      </c>
      <c r="M26" s="16" t="s">
        <v>23</v>
      </c>
      <c r="N26" s="16">
        <f>SUM(I26:M26)</f>
        <v>13042</v>
      </c>
      <c r="O26" s="16"/>
      <c r="P26" s="16"/>
      <c r="Q26" s="16"/>
      <c r="R26" s="16"/>
      <c r="S26" s="16"/>
      <c r="T26" s="16"/>
      <c r="U26" s="16"/>
    </row>
    <row r="27" spans="1:41">
      <c r="A27" s="99">
        <v>1997</v>
      </c>
      <c r="B27" s="16">
        <v>3236</v>
      </c>
      <c r="C27" s="16">
        <v>549</v>
      </c>
      <c r="D27" s="16" t="s">
        <v>23</v>
      </c>
      <c r="E27" s="16" t="s">
        <v>23</v>
      </c>
      <c r="F27" s="16" t="s">
        <v>23</v>
      </c>
      <c r="G27" s="16">
        <f t="shared" ref="G27:G51" si="2">SUM(B27:F27)</f>
        <v>3785</v>
      </c>
      <c r="H27" s="56"/>
      <c r="I27" s="57" t="s">
        <v>23</v>
      </c>
      <c r="J27" s="57" t="s">
        <v>23</v>
      </c>
      <c r="K27" s="16" t="s">
        <v>23</v>
      </c>
      <c r="L27" s="16" t="s">
        <v>23</v>
      </c>
      <c r="M27" s="16" t="s">
        <v>23</v>
      </c>
      <c r="N27" s="16" t="s">
        <v>23</v>
      </c>
      <c r="O27" s="16"/>
      <c r="P27" s="16">
        <v>2</v>
      </c>
      <c r="Q27" s="16">
        <v>2</v>
      </c>
      <c r="R27" s="16" t="s">
        <v>23</v>
      </c>
      <c r="S27" s="16" t="s">
        <v>23</v>
      </c>
      <c r="T27" s="16" t="s">
        <v>23</v>
      </c>
      <c r="U27" s="16">
        <f>SUM(P27:T27)</f>
        <v>4</v>
      </c>
      <c r="AJ27" s="1">
        <v>2E-3</v>
      </c>
      <c r="AK27" s="1">
        <v>2E-3</v>
      </c>
      <c r="AL27" s="1">
        <v>0</v>
      </c>
      <c r="AM27" s="1">
        <v>0</v>
      </c>
      <c r="AN27" s="1">
        <v>0</v>
      </c>
      <c r="AO27" s="1">
        <v>4.0000000000000001E-3</v>
      </c>
    </row>
    <row r="28" spans="1:41">
      <c r="A28" s="99">
        <v>1998</v>
      </c>
      <c r="B28" s="16">
        <v>4043</v>
      </c>
      <c r="C28" s="16">
        <v>117</v>
      </c>
      <c r="D28" s="16" t="s">
        <v>23</v>
      </c>
      <c r="E28" s="16" t="s">
        <v>23</v>
      </c>
      <c r="F28" s="16" t="s">
        <v>23</v>
      </c>
      <c r="G28" s="16">
        <f t="shared" si="2"/>
        <v>4160</v>
      </c>
      <c r="H28" s="56"/>
      <c r="I28" s="57" t="s">
        <v>23</v>
      </c>
      <c r="J28" s="57" t="s">
        <v>23</v>
      </c>
      <c r="K28" s="16" t="s">
        <v>23</v>
      </c>
      <c r="L28" s="16" t="s">
        <v>23</v>
      </c>
      <c r="M28" s="16" t="s">
        <v>23</v>
      </c>
      <c r="N28" s="16" t="s">
        <v>23</v>
      </c>
      <c r="O28" s="16"/>
      <c r="P28" s="16"/>
      <c r="Q28" s="16"/>
      <c r="R28" s="16"/>
      <c r="S28" s="16"/>
      <c r="T28" s="16"/>
      <c r="U28" s="16"/>
    </row>
    <row r="29" spans="1:41">
      <c r="A29" s="99">
        <v>1999</v>
      </c>
      <c r="B29" s="16">
        <v>2808</v>
      </c>
      <c r="C29" s="16">
        <v>4938</v>
      </c>
      <c r="D29" s="16">
        <v>3428</v>
      </c>
      <c r="E29" s="16">
        <v>1524</v>
      </c>
      <c r="F29" s="16" t="s">
        <v>23</v>
      </c>
      <c r="G29" s="16">
        <f t="shared" si="2"/>
        <v>12698</v>
      </c>
      <c r="H29" s="56"/>
      <c r="I29" s="57" t="s">
        <v>23</v>
      </c>
      <c r="J29" s="57" t="s">
        <v>23</v>
      </c>
      <c r="K29" s="16">
        <v>477</v>
      </c>
      <c r="L29" s="16">
        <v>1436</v>
      </c>
      <c r="M29" s="16" t="s">
        <v>23</v>
      </c>
      <c r="N29" s="16">
        <f>SUM(I29:M29)</f>
        <v>1913</v>
      </c>
      <c r="O29" s="16"/>
      <c r="P29" s="16">
        <v>0</v>
      </c>
      <c r="Q29" s="16">
        <v>0</v>
      </c>
      <c r="R29" s="16">
        <v>30</v>
      </c>
      <c r="S29" s="16">
        <v>8</v>
      </c>
      <c r="T29" s="16" t="s">
        <v>23</v>
      </c>
      <c r="U29" s="16">
        <f>SUM(P29:T29)</f>
        <v>38</v>
      </c>
      <c r="AJ29" s="1">
        <v>0</v>
      </c>
      <c r="AK29" s="1">
        <v>0</v>
      </c>
      <c r="AL29" s="1">
        <v>0.03</v>
      </c>
      <c r="AM29" s="1">
        <v>8.0000000000000002E-3</v>
      </c>
      <c r="AN29" s="1">
        <v>0</v>
      </c>
      <c r="AO29" s="1">
        <v>3.7999999999999999E-2</v>
      </c>
    </row>
    <row r="30" spans="1:41">
      <c r="A30" s="99">
        <v>2000</v>
      </c>
      <c r="B30" s="57">
        <v>5462</v>
      </c>
      <c r="C30" s="57">
        <v>2086</v>
      </c>
      <c r="D30" s="57" t="s">
        <v>23</v>
      </c>
      <c r="E30" s="57" t="s">
        <v>23</v>
      </c>
      <c r="F30" s="57" t="s">
        <v>23</v>
      </c>
      <c r="G30" s="57">
        <f t="shared" si="2"/>
        <v>7548</v>
      </c>
      <c r="H30" s="69"/>
      <c r="I30" s="57" t="s">
        <v>23</v>
      </c>
      <c r="J30" s="57" t="s">
        <v>23</v>
      </c>
      <c r="K30" s="57" t="s">
        <v>23</v>
      </c>
      <c r="L30" s="57" t="s">
        <v>23</v>
      </c>
      <c r="M30" s="57" t="s">
        <v>23</v>
      </c>
      <c r="N30" s="57" t="s">
        <v>23</v>
      </c>
      <c r="O30" s="57"/>
      <c r="P30" s="57"/>
      <c r="Q30" s="57"/>
      <c r="R30" s="57"/>
      <c r="S30" s="57"/>
      <c r="T30" s="57"/>
      <c r="U30" s="57"/>
    </row>
    <row r="31" spans="1:41">
      <c r="A31" s="99">
        <v>2001</v>
      </c>
      <c r="B31" s="16">
        <v>2072</v>
      </c>
      <c r="C31" s="16">
        <v>2284</v>
      </c>
      <c r="D31" s="16">
        <v>1897</v>
      </c>
      <c r="E31" s="16" t="s">
        <v>23</v>
      </c>
      <c r="F31" s="16" t="s">
        <v>23</v>
      </c>
      <c r="G31" s="16">
        <f t="shared" si="2"/>
        <v>6253</v>
      </c>
      <c r="H31" s="56"/>
      <c r="I31" s="57" t="s">
        <v>23</v>
      </c>
      <c r="J31" s="57" t="s">
        <v>23</v>
      </c>
      <c r="K31" s="16">
        <v>280</v>
      </c>
      <c r="L31" s="16" t="s">
        <v>23</v>
      </c>
      <c r="M31" s="16" t="s">
        <v>23</v>
      </c>
      <c r="N31" s="16">
        <f>SUM(I31:M31)</f>
        <v>280</v>
      </c>
      <c r="O31" s="16"/>
      <c r="P31" s="16">
        <v>1</v>
      </c>
      <c r="Q31" s="16">
        <v>8</v>
      </c>
      <c r="R31" s="16">
        <v>7</v>
      </c>
      <c r="S31" s="16" t="s">
        <v>23</v>
      </c>
      <c r="T31" s="16" t="s">
        <v>23</v>
      </c>
      <c r="U31" s="16">
        <f>SUM(P31:T31)</f>
        <v>16</v>
      </c>
      <c r="AJ31" s="1">
        <v>1E-3</v>
      </c>
      <c r="AK31" s="1">
        <v>8.0000000000000002E-3</v>
      </c>
      <c r="AL31" s="1">
        <v>7.0000000000000001E-3</v>
      </c>
      <c r="AM31" s="1">
        <v>0</v>
      </c>
      <c r="AN31" s="1">
        <v>0</v>
      </c>
      <c r="AO31" s="1">
        <v>1.6E-2</v>
      </c>
    </row>
    <row r="32" spans="1:41">
      <c r="A32" s="99">
        <v>2002</v>
      </c>
      <c r="B32" s="16">
        <v>5626</v>
      </c>
      <c r="C32" s="16">
        <v>4680</v>
      </c>
      <c r="D32" s="16">
        <v>5589</v>
      </c>
      <c r="E32" s="16">
        <v>2813</v>
      </c>
      <c r="F32" s="16" t="s">
        <v>23</v>
      </c>
      <c r="G32" s="16">
        <f t="shared" si="2"/>
        <v>18708</v>
      </c>
      <c r="H32" s="56"/>
      <c r="I32" s="57" t="s">
        <v>23</v>
      </c>
      <c r="J32" s="57" t="s">
        <v>23</v>
      </c>
      <c r="K32" s="57" t="s">
        <v>23</v>
      </c>
      <c r="L32" s="57" t="s">
        <v>23</v>
      </c>
      <c r="M32" s="16" t="s">
        <v>23</v>
      </c>
      <c r="N32" s="57" t="s">
        <v>23</v>
      </c>
      <c r="O32" s="16"/>
      <c r="P32" s="16"/>
      <c r="Q32" s="16"/>
      <c r="R32" s="16"/>
      <c r="S32" s="16"/>
      <c r="T32" s="16"/>
      <c r="U32" s="16"/>
    </row>
    <row r="33" spans="1:41">
      <c r="A33" s="99">
        <v>2003</v>
      </c>
      <c r="B33" s="16">
        <v>13364</v>
      </c>
      <c r="C33" s="16">
        <v>4385</v>
      </c>
      <c r="D33" s="16">
        <v>6554</v>
      </c>
      <c r="E33" s="16">
        <v>5848</v>
      </c>
      <c r="F33" s="16">
        <v>363</v>
      </c>
      <c r="G33" s="16">
        <f t="shared" si="2"/>
        <v>30514</v>
      </c>
      <c r="H33" s="56"/>
      <c r="I33" s="57" t="s">
        <v>23</v>
      </c>
      <c r="J33" s="57" t="s">
        <v>23</v>
      </c>
      <c r="K33" s="16">
        <v>706</v>
      </c>
      <c r="L33" s="16">
        <v>866</v>
      </c>
      <c r="M33" s="16">
        <v>111</v>
      </c>
      <c r="N33" s="16">
        <f t="shared" ref="N33:N45" si="3">SUM(I33:M33)</f>
        <v>1683</v>
      </c>
      <c r="O33" s="16"/>
      <c r="P33" s="16">
        <v>0</v>
      </c>
      <c r="Q33" s="16">
        <v>0</v>
      </c>
      <c r="R33" s="16">
        <v>47</v>
      </c>
      <c r="S33" s="16">
        <v>23</v>
      </c>
      <c r="T33" s="16">
        <v>0</v>
      </c>
      <c r="U33" s="16">
        <f>SUM(P33:T33)</f>
        <v>70</v>
      </c>
      <c r="AJ33" s="1">
        <v>0</v>
      </c>
      <c r="AK33" s="1">
        <v>0</v>
      </c>
      <c r="AL33" s="1">
        <v>4.7E-2</v>
      </c>
      <c r="AM33" s="1">
        <v>2.3E-2</v>
      </c>
      <c r="AN33" s="1">
        <v>0</v>
      </c>
      <c r="AO33" s="1">
        <v>7.0000000000000007E-2</v>
      </c>
    </row>
    <row r="34" spans="1:41">
      <c r="A34" s="99">
        <v>2004</v>
      </c>
      <c r="B34" s="16">
        <v>7128</v>
      </c>
      <c r="C34" s="16">
        <v>510</v>
      </c>
      <c r="D34" s="16">
        <v>4685</v>
      </c>
      <c r="E34" s="16">
        <v>5727</v>
      </c>
      <c r="F34" s="16">
        <v>1034</v>
      </c>
      <c r="G34" s="57">
        <f t="shared" si="2"/>
        <v>19084</v>
      </c>
      <c r="H34" s="56"/>
      <c r="I34" s="57" t="s">
        <v>23</v>
      </c>
      <c r="J34" s="57" t="s">
        <v>23</v>
      </c>
      <c r="K34" s="16">
        <v>647</v>
      </c>
      <c r="L34" s="16">
        <v>1745</v>
      </c>
      <c r="M34" s="16">
        <v>231</v>
      </c>
      <c r="N34" s="57">
        <f t="shared" si="3"/>
        <v>2623</v>
      </c>
      <c r="O34" s="16"/>
      <c r="P34" s="16"/>
      <c r="Q34" s="16"/>
      <c r="R34" s="16"/>
      <c r="S34" s="16"/>
      <c r="T34" s="16"/>
      <c r="U34" s="16"/>
    </row>
    <row r="35" spans="1:41">
      <c r="A35" s="99">
        <v>2005</v>
      </c>
      <c r="B35" s="16">
        <v>4929</v>
      </c>
      <c r="C35" s="16">
        <v>595</v>
      </c>
      <c r="D35" s="16">
        <v>3285</v>
      </c>
      <c r="E35" s="16">
        <v>3182</v>
      </c>
      <c r="F35" s="16" t="s">
        <v>23</v>
      </c>
      <c r="G35" s="16">
        <f t="shared" si="2"/>
        <v>11991</v>
      </c>
      <c r="H35" s="56"/>
      <c r="I35" s="57" t="s">
        <v>23</v>
      </c>
      <c r="J35" s="57" t="s">
        <v>23</v>
      </c>
      <c r="K35" s="16">
        <v>62</v>
      </c>
      <c r="L35" s="16">
        <v>275</v>
      </c>
      <c r="M35" s="16" t="s">
        <v>23</v>
      </c>
      <c r="N35" s="16">
        <f t="shared" si="3"/>
        <v>337</v>
      </c>
      <c r="O35" s="16"/>
      <c r="P35" s="16">
        <v>0</v>
      </c>
      <c r="Q35" s="16">
        <v>0</v>
      </c>
      <c r="R35" s="16">
        <v>0</v>
      </c>
      <c r="S35" s="16">
        <v>0</v>
      </c>
      <c r="T35" s="16" t="s">
        <v>23</v>
      </c>
      <c r="U35" s="16">
        <f>SUM(P35:T35)</f>
        <v>0</v>
      </c>
    </row>
    <row r="36" spans="1:41">
      <c r="A36" s="99">
        <v>2006</v>
      </c>
      <c r="B36" s="16">
        <v>2434</v>
      </c>
      <c r="C36" s="16">
        <v>545</v>
      </c>
      <c r="D36" s="16">
        <v>109</v>
      </c>
      <c r="E36" s="16">
        <v>662</v>
      </c>
      <c r="F36" s="16">
        <v>461</v>
      </c>
      <c r="G36" s="16">
        <f t="shared" si="2"/>
        <v>4211</v>
      </c>
      <c r="H36" s="56"/>
      <c r="I36" s="57" t="s">
        <v>23</v>
      </c>
      <c r="J36" s="57" t="s">
        <v>23</v>
      </c>
      <c r="K36" s="16">
        <v>12</v>
      </c>
      <c r="L36" s="16">
        <v>206</v>
      </c>
      <c r="M36" s="16">
        <v>23</v>
      </c>
      <c r="N36" s="16">
        <f t="shared" si="3"/>
        <v>241</v>
      </c>
      <c r="O36" s="16"/>
      <c r="P36" s="16"/>
      <c r="Q36" s="16"/>
      <c r="R36" s="16"/>
      <c r="S36" s="16"/>
      <c r="T36" s="16"/>
      <c r="U36" s="16"/>
    </row>
    <row r="37" spans="1:41">
      <c r="A37" s="99">
        <v>2007</v>
      </c>
      <c r="B37" s="59">
        <v>223</v>
      </c>
      <c r="C37" s="59">
        <v>122</v>
      </c>
      <c r="D37" s="59">
        <v>171</v>
      </c>
      <c r="E37" s="59">
        <v>20</v>
      </c>
      <c r="F37" s="59">
        <v>18</v>
      </c>
      <c r="G37" s="59">
        <f t="shared" si="2"/>
        <v>554</v>
      </c>
      <c r="H37" s="58"/>
      <c r="I37" s="77" t="s">
        <v>23</v>
      </c>
      <c r="J37" s="77" t="s">
        <v>23</v>
      </c>
      <c r="K37" s="59">
        <v>143</v>
      </c>
      <c r="L37" s="59">
        <v>0</v>
      </c>
      <c r="M37" s="59">
        <v>4</v>
      </c>
      <c r="N37" s="59">
        <f t="shared" si="3"/>
        <v>147</v>
      </c>
      <c r="O37" s="59"/>
      <c r="P37" s="59">
        <v>8</v>
      </c>
      <c r="Q37" s="59">
        <v>0</v>
      </c>
      <c r="R37" s="59">
        <v>16</v>
      </c>
      <c r="S37" s="59">
        <v>0</v>
      </c>
      <c r="T37" s="59">
        <v>0</v>
      </c>
      <c r="U37" s="59">
        <f>SUM(P37:T37)</f>
        <v>24</v>
      </c>
    </row>
    <row r="38" spans="1:41">
      <c r="A38" s="122">
        <v>2008</v>
      </c>
      <c r="B38" s="59">
        <v>47</v>
      </c>
      <c r="C38" s="59">
        <v>434</v>
      </c>
      <c r="D38" s="59">
        <v>1</v>
      </c>
      <c r="E38" s="59">
        <v>17</v>
      </c>
      <c r="F38" s="59">
        <v>0</v>
      </c>
      <c r="G38" s="59">
        <f t="shared" si="2"/>
        <v>499</v>
      </c>
      <c r="H38" s="58"/>
      <c r="I38" s="77" t="s">
        <v>23</v>
      </c>
      <c r="J38" s="77" t="s">
        <v>23</v>
      </c>
      <c r="K38" s="59">
        <v>0</v>
      </c>
      <c r="L38" s="59">
        <v>7</v>
      </c>
      <c r="M38" s="59">
        <v>0</v>
      </c>
      <c r="N38" s="59">
        <f t="shared" si="3"/>
        <v>7</v>
      </c>
      <c r="O38" s="59"/>
      <c r="P38" s="59"/>
      <c r="Q38" s="59"/>
      <c r="R38" s="59"/>
      <c r="S38" s="59"/>
      <c r="T38" s="59"/>
      <c r="U38" s="59"/>
    </row>
    <row r="39" spans="1:41">
      <c r="A39" s="122">
        <v>2009</v>
      </c>
      <c r="B39" s="59">
        <v>597</v>
      </c>
      <c r="C39" s="59">
        <v>461</v>
      </c>
      <c r="D39" s="59">
        <v>138</v>
      </c>
      <c r="E39" s="59">
        <v>3</v>
      </c>
      <c r="F39" s="59">
        <v>2</v>
      </c>
      <c r="G39" s="59">
        <f t="shared" si="2"/>
        <v>1201</v>
      </c>
      <c r="H39" s="58"/>
      <c r="I39" s="77" t="s">
        <v>23</v>
      </c>
      <c r="J39" s="77" t="s">
        <v>23</v>
      </c>
      <c r="K39" s="59">
        <v>458</v>
      </c>
      <c r="L39" s="59">
        <v>102</v>
      </c>
      <c r="M39" s="59">
        <v>24</v>
      </c>
      <c r="N39" s="59">
        <f t="shared" si="3"/>
        <v>584</v>
      </c>
      <c r="O39" s="59"/>
      <c r="P39" s="59">
        <v>1</v>
      </c>
      <c r="Q39" s="59">
        <v>8</v>
      </c>
      <c r="R39" s="59">
        <v>0</v>
      </c>
      <c r="S39" s="59">
        <v>0</v>
      </c>
      <c r="T39" s="59">
        <v>0</v>
      </c>
      <c r="U39" s="59">
        <f>SUM(P39:T39)</f>
        <v>9</v>
      </c>
    </row>
    <row r="40" spans="1:41">
      <c r="A40" s="122">
        <v>2010</v>
      </c>
      <c r="B40" s="59">
        <v>1902</v>
      </c>
      <c r="C40" s="59">
        <v>1529</v>
      </c>
      <c r="D40" s="59">
        <v>368</v>
      </c>
      <c r="E40" s="59">
        <v>332</v>
      </c>
      <c r="F40" s="59">
        <v>0</v>
      </c>
      <c r="G40" s="59">
        <f t="shared" si="2"/>
        <v>4131</v>
      </c>
      <c r="H40" s="58"/>
      <c r="I40" s="77" t="s">
        <v>23</v>
      </c>
      <c r="J40" s="77" t="s">
        <v>23</v>
      </c>
      <c r="K40" s="59">
        <v>69</v>
      </c>
      <c r="L40" s="59">
        <v>18</v>
      </c>
      <c r="M40" s="59">
        <v>0</v>
      </c>
      <c r="N40" s="59">
        <f t="shared" si="3"/>
        <v>87</v>
      </c>
      <c r="O40" s="59"/>
      <c r="P40" s="59"/>
      <c r="Q40" s="59"/>
      <c r="R40" s="59"/>
      <c r="S40" s="59"/>
      <c r="T40" s="59"/>
      <c r="U40" s="59"/>
    </row>
    <row r="41" spans="1:41">
      <c r="A41" s="122">
        <v>2011</v>
      </c>
      <c r="B41" s="59">
        <v>2022</v>
      </c>
      <c r="C41" s="59">
        <v>513</v>
      </c>
      <c r="D41" s="59">
        <v>276</v>
      </c>
      <c r="E41" s="59">
        <v>30</v>
      </c>
      <c r="F41" s="59">
        <v>93</v>
      </c>
      <c r="G41" s="59">
        <f t="shared" si="2"/>
        <v>2934</v>
      </c>
      <c r="H41" s="58"/>
      <c r="I41" s="77" t="s">
        <v>23</v>
      </c>
      <c r="J41" s="77" t="s">
        <v>23</v>
      </c>
      <c r="K41" s="59">
        <v>1</v>
      </c>
      <c r="L41" s="59">
        <v>0</v>
      </c>
      <c r="M41" s="59">
        <v>139</v>
      </c>
      <c r="N41" s="59">
        <f t="shared" si="3"/>
        <v>140</v>
      </c>
      <c r="O41" s="59"/>
      <c r="P41" s="59">
        <v>0</v>
      </c>
      <c r="Q41" s="59">
        <v>0</v>
      </c>
      <c r="R41" s="59">
        <v>7</v>
      </c>
      <c r="S41" s="59">
        <v>0</v>
      </c>
      <c r="T41" s="59">
        <v>0</v>
      </c>
      <c r="U41" s="59">
        <f>SUM(P41:T41)</f>
        <v>7</v>
      </c>
    </row>
    <row r="42" spans="1:41">
      <c r="A42" s="122">
        <v>2012</v>
      </c>
      <c r="B42" s="59">
        <v>4511</v>
      </c>
      <c r="C42" s="59">
        <v>788</v>
      </c>
      <c r="D42" s="59">
        <v>157</v>
      </c>
      <c r="E42" s="59">
        <v>421</v>
      </c>
      <c r="F42" s="59">
        <v>225</v>
      </c>
      <c r="G42" s="59">
        <f t="shared" si="2"/>
        <v>6102</v>
      </c>
      <c r="H42" s="58"/>
      <c r="I42" s="77" t="s">
        <v>23</v>
      </c>
      <c r="J42" s="77" t="s">
        <v>23</v>
      </c>
      <c r="K42" s="59">
        <v>0</v>
      </c>
      <c r="L42" s="59">
        <v>125</v>
      </c>
      <c r="M42" s="59">
        <v>79</v>
      </c>
      <c r="N42" s="59">
        <f t="shared" si="3"/>
        <v>204</v>
      </c>
      <c r="O42" s="59"/>
      <c r="P42" s="59"/>
      <c r="Q42" s="59"/>
      <c r="R42" s="59"/>
      <c r="S42" s="59"/>
      <c r="T42" s="59"/>
      <c r="U42" s="59"/>
    </row>
    <row r="43" spans="1:41">
      <c r="A43" s="122">
        <v>2013</v>
      </c>
      <c r="B43" s="59">
        <v>3984</v>
      </c>
      <c r="C43" s="77" t="s">
        <v>23</v>
      </c>
      <c r="D43" s="59">
        <v>1900</v>
      </c>
      <c r="E43" s="59">
        <v>87</v>
      </c>
      <c r="F43" s="77" t="s">
        <v>23</v>
      </c>
      <c r="G43" s="59">
        <f t="shared" si="2"/>
        <v>5971</v>
      </c>
      <c r="H43" s="58"/>
      <c r="I43" s="77" t="s">
        <v>23</v>
      </c>
      <c r="J43" s="77" t="s">
        <v>23</v>
      </c>
      <c r="K43" s="59">
        <v>279</v>
      </c>
      <c r="L43" s="59">
        <v>30</v>
      </c>
      <c r="M43" s="59" t="s">
        <v>23</v>
      </c>
      <c r="N43" s="59">
        <f t="shared" si="3"/>
        <v>309</v>
      </c>
      <c r="O43" s="59"/>
      <c r="P43" s="59">
        <v>2</v>
      </c>
      <c r="Q43" s="77" t="s">
        <v>23</v>
      </c>
      <c r="R43" s="59">
        <v>2</v>
      </c>
      <c r="S43" s="59">
        <v>23</v>
      </c>
      <c r="T43" s="77" t="s">
        <v>23</v>
      </c>
      <c r="U43" s="59">
        <f>SUM(P43:T43)</f>
        <v>27</v>
      </c>
    </row>
    <row r="44" spans="1:41">
      <c r="A44" s="122">
        <v>2014</v>
      </c>
      <c r="B44" s="59">
        <v>3075</v>
      </c>
      <c r="C44" s="77">
        <v>27</v>
      </c>
      <c r="D44" s="59">
        <v>168</v>
      </c>
      <c r="E44" s="59">
        <v>56</v>
      </c>
      <c r="F44" s="77" t="s">
        <v>23</v>
      </c>
      <c r="G44" s="59">
        <f t="shared" si="2"/>
        <v>3326</v>
      </c>
      <c r="H44" s="58"/>
      <c r="I44" s="77" t="s">
        <v>23</v>
      </c>
      <c r="J44" s="77" t="s">
        <v>23</v>
      </c>
      <c r="K44" s="59">
        <v>19</v>
      </c>
      <c r="L44" s="59">
        <v>22</v>
      </c>
      <c r="M44" s="59" t="s">
        <v>23</v>
      </c>
      <c r="N44" s="59">
        <f t="shared" si="3"/>
        <v>41</v>
      </c>
      <c r="O44" s="59"/>
      <c r="U44" s="59"/>
    </row>
    <row r="45" spans="1:41">
      <c r="A45" s="122">
        <v>2015</v>
      </c>
      <c r="B45" s="59">
        <v>3274</v>
      </c>
      <c r="C45" s="77">
        <v>839</v>
      </c>
      <c r="D45" s="59">
        <v>402</v>
      </c>
      <c r="E45" s="59">
        <v>104</v>
      </c>
      <c r="F45" s="77">
        <v>79</v>
      </c>
      <c r="G45" s="59">
        <f t="shared" si="2"/>
        <v>4698</v>
      </c>
      <c r="H45" s="58"/>
      <c r="I45" s="77" t="s">
        <v>23</v>
      </c>
      <c r="J45" s="77" t="s">
        <v>23</v>
      </c>
      <c r="K45" s="59">
        <v>15</v>
      </c>
      <c r="L45" s="59">
        <v>13</v>
      </c>
      <c r="M45" s="59">
        <v>6</v>
      </c>
      <c r="N45" s="59">
        <f t="shared" si="3"/>
        <v>34</v>
      </c>
      <c r="O45" s="59"/>
      <c r="P45" s="142">
        <v>0</v>
      </c>
      <c r="Q45" s="142">
        <v>20</v>
      </c>
      <c r="R45" s="142">
        <v>0</v>
      </c>
      <c r="S45" s="142">
        <v>0</v>
      </c>
      <c r="T45" s="142">
        <v>0</v>
      </c>
      <c r="U45" s="59">
        <f>SUM(P45:T45)</f>
        <v>20</v>
      </c>
    </row>
    <row r="46" spans="1:41">
      <c r="A46" s="122">
        <v>2016</v>
      </c>
      <c r="B46" s="59">
        <v>948</v>
      </c>
      <c r="C46" s="77">
        <v>794</v>
      </c>
      <c r="D46" s="59">
        <v>39</v>
      </c>
      <c r="E46" s="59">
        <v>7</v>
      </c>
      <c r="F46" s="77" t="s">
        <v>23</v>
      </c>
      <c r="G46" s="59">
        <f>SUM(B46:F46)</f>
        <v>1788</v>
      </c>
      <c r="H46" s="58"/>
      <c r="I46" s="77" t="s">
        <v>23</v>
      </c>
      <c r="J46" s="77" t="s">
        <v>23</v>
      </c>
      <c r="K46" s="77" t="s">
        <v>23</v>
      </c>
      <c r="L46" s="77" t="s">
        <v>23</v>
      </c>
      <c r="M46" s="77" t="s">
        <v>23</v>
      </c>
      <c r="N46" s="77" t="s">
        <v>23</v>
      </c>
      <c r="O46" s="59"/>
      <c r="U46" s="59"/>
    </row>
    <row r="47" spans="1:41">
      <c r="A47" s="122">
        <v>2017</v>
      </c>
      <c r="B47" s="59">
        <v>451</v>
      </c>
      <c r="C47" s="77">
        <v>374</v>
      </c>
      <c r="D47" s="59">
        <v>3058</v>
      </c>
      <c r="E47" s="59">
        <v>2158</v>
      </c>
      <c r="F47" s="77">
        <v>310</v>
      </c>
      <c r="G47" s="59">
        <f>SUM(B47:F47)</f>
        <v>6351</v>
      </c>
      <c r="H47" s="58"/>
      <c r="I47" s="77" t="s">
        <v>23</v>
      </c>
      <c r="J47" s="77" t="s">
        <v>23</v>
      </c>
      <c r="K47" s="77">
        <v>49</v>
      </c>
      <c r="L47" s="77">
        <v>182</v>
      </c>
      <c r="M47" s="77">
        <v>80</v>
      </c>
      <c r="N47" s="59">
        <f>SUM(I47:M47)</f>
        <v>311</v>
      </c>
      <c r="O47" s="59"/>
      <c r="P47" s="142">
        <v>0</v>
      </c>
      <c r="Q47" s="142">
        <v>0</v>
      </c>
      <c r="R47" s="142">
        <v>10</v>
      </c>
      <c r="S47" s="142">
        <v>1</v>
      </c>
      <c r="T47" s="142">
        <v>0</v>
      </c>
      <c r="U47" s="59">
        <f>SUM(P47:T47)</f>
        <v>11</v>
      </c>
    </row>
    <row r="48" spans="1:41">
      <c r="A48" s="122">
        <v>2018</v>
      </c>
      <c r="B48" s="59">
        <v>2797</v>
      </c>
      <c r="C48" s="77">
        <v>1330</v>
      </c>
      <c r="D48" s="59">
        <v>2684</v>
      </c>
      <c r="E48" s="59">
        <v>283</v>
      </c>
      <c r="F48" s="77">
        <v>182</v>
      </c>
      <c r="G48" s="59">
        <f>SUM(B48:F48)</f>
        <v>7276</v>
      </c>
      <c r="H48" s="58"/>
      <c r="I48" s="77" t="s">
        <v>23</v>
      </c>
      <c r="J48" s="77" t="s">
        <v>23</v>
      </c>
      <c r="K48" s="77">
        <v>249</v>
      </c>
      <c r="L48" s="77">
        <v>50</v>
      </c>
      <c r="M48" s="77">
        <v>106</v>
      </c>
      <c r="N48" s="59">
        <f>SUM(I48:M48)</f>
        <v>405</v>
      </c>
      <c r="O48" s="59"/>
      <c r="U48" s="59"/>
    </row>
    <row r="49" spans="1:21">
      <c r="A49" s="122">
        <v>2019</v>
      </c>
      <c r="B49" s="59">
        <v>1430</v>
      </c>
      <c r="C49" s="77">
        <v>2616</v>
      </c>
      <c r="D49" s="59">
        <v>9491</v>
      </c>
      <c r="E49" s="59">
        <v>219</v>
      </c>
      <c r="F49" s="77">
        <v>67</v>
      </c>
      <c r="G49" s="59">
        <f t="shared" ref="G49:G50" si="4">SUM(B49:F49)</f>
        <v>13823</v>
      </c>
      <c r="H49" s="58"/>
      <c r="I49" s="77" t="s">
        <v>23</v>
      </c>
      <c r="J49" s="77" t="s">
        <v>23</v>
      </c>
      <c r="K49" s="77">
        <v>938</v>
      </c>
      <c r="L49" s="77">
        <v>59</v>
      </c>
      <c r="M49" s="77">
        <v>120</v>
      </c>
      <c r="N49" s="59">
        <f t="shared" ref="N49:N51" si="5">SUM(I49:M49)</f>
        <v>1117</v>
      </c>
      <c r="O49" s="59"/>
      <c r="P49" s="142">
        <v>0</v>
      </c>
      <c r="Q49" s="142">
        <v>0</v>
      </c>
      <c r="R49" s="142">
        <v>230</v>
      </c>
      <c r="S49" s="142">
        <v>0</v>
      </c>
      <c r="T49" s="142">
        <v>0</v>
      </c>
      <c r="U49" s="59">
        <f>SUM(P49:T49)</f>
        <v>230</v>
      </c>
    </row>
    <row r="50" spans="1:21">
      <c r="A50" s="122">
        <v>2020</v>
      </c>
      <c r="B50" s="59">
        <v>135</v>
      </c>
      <c r="C50" s="77">
        <v>389</v>
      </c>
      <c r="D50" s="59">
        <v>692</v>
      </c>
      <c r="E50" s="59">
        <v>202</v>
      </c>
      <c r="F50" s="77">
        <v>0</v>
      </c>
      <c r="G50" s="59">
        <f t="shared" si="4"/>
        <v>1418</v>
      </c>
      <c r="H50" s="58"/>
      <c r="I50" s="77" t="s">
        <v>23</v>
      </c>
      <c r="J50" s="77" t="s">
        <v>23</v>
      </c>
      <c r="K50" s="77">
        <v>29</v>
      </c>
      <c r="L50" s="77">
        <v>16</v>
      </c>
      <c r="M50" s="77">
        <v>0</v>
      </c>
      <c r="N50" s="59">
        <f t="shared" si="5"/>
        <v>45</v>
      </c>
      <c r="O50" s="59"/>
      <c r="U50" s="59"/>
    </row>
    <row r="51" spans="1:21" ht="13">
      <c r="A51" s="122" t="s">
        <v>318</v>
      </c>
      <c r="B51" s="16">
        <v>262</v>
      </c>
      <c r="C51" s="57">
        <v>358</v>
      </c>
      <c r="D51" s="16">
        <v>212</v>
      </c>
      <c r="E51" s="16">
        <v>75</v>
      </c>
      <c r="F51" s="57">
        <v>33</v>
      </c>
      <c r="G51" s="16">
        <f t="shared" si="2"/>
        <v>940</v>
      </c>
      <c r="H51" s="56"/>
      <c r="I51" s="57" t="s">
        <v>23</v>
      </c>
      <c r="J51" s="57" t="s">
        <v>23</v>
      </c>
      <c r="K51" s="57">
        <v>7</v>
      </c>
      <c r="L51" s="57">
        <v>10</v>
      </c>
      <c r="M51" s="57">
        <v>50</v>
      </c>
      <c r="N51" s="59">
        <f t="shared" si="5"/>
        <v>67</v>
      </c>
      <c r="O51" s="16"/>
      <c r="P51" s="142">
        <v>0</v>
      </c>
      <c r="Q51" s="142">
        <v>0</v>
      </c>
      <c r="R51" s="142">
        <v>1</v>
      </c>
      <c r="S51" s="142">
        <v>14</v>
      </c>
      <c r="T51" s="142">
        <v>0</v>
      </c>
      <c r="U51" s="59">
        <f>SUM(P51:T51)</f>
        <v>15</v>
      </c>
    </row>
    <row r="52" spans="1:21">
      <c r="B52" s="16"/>
      <c r="C52" s="16"/>
      <c r="D52" s="16"/>
      <c r="E52" s="16"/>
      <c r="F52" s="16"/>
      <c r="G52" s="16"/>
      <c r="H52" s="56"/>
      <c r="I52" s="16"/>
      <c r="J52" s="16"/>
      <c r="K52" s="16"/>
      <c r="L52" s="16"/>
      <c r="M52" s="16"/>
      <c r="N52" s="16"/>
      <c r="O52" s="16"/>
    </row>
    <row r="53" spans="1:21">
      <c r="A53" s="94" t="s">
        <v>60</v>
      </c>
      <c r="B53" s="16"/>
      <c r="C53" s="16"/>
      <c r="D53" s="16"/>
      <c r="E53" s="16"/>
      <c r="F53" s="16"/>
      <c r="G53" s="16"/>
      <c r="H53" s="56"/>
      <c r="I53" s="16"/>
      <c r="J53" s="16"/>
      <c r="K53" s="16"/>
      <c r="L53" s="16"/>
      <c r="M53" s="16"/>
      <c r="N53" s="16"/>
      <c r="O53" s="16"/>
    </row>
    <row r="54" spans="1:21">
      <c r="A54" s="99">
        <v>1976</v>
      </c>
      <c r="B54" s="16">
        <f>24+5716</f>
        <v>5740</v>
      </c>
      <c r="C54" s="16">
        <v>19917</v>
      </c>
      <c r="D54" s="16">
        <v>32272</v>
      </c>
      <c r="E54" s="16">
        <v>21615</v>
      </c>
      <c r="F54" s="16">
        <f>4166+599+1</f>
        <v>4766</v>
      </c>
      <c r="G54" s="16">
        <f t="shared" ref="G54:G71" si="6">SUM(B54:F54)</f>
        <v>84310</v>
      </c>
      <c r="H54" s="56"/>
      <c r="I54" s="57" t="s">
        <v>23</v>
      </c>
      <c r="J54" s="16">
        <v>46357</v>
      </c>
      <c r="K54" s="16">
        <v>207955</v>
      </c>
      <c r="L54" s="16">
        <v>110244</v>
      </c>
      <c r="M54" s="16">
        <f>37231+2011+6</f>
        <v>39248</v>
      </c>
      <c r="N54" s="16">
        <f t="shared" ref="N54:N61" si="7">SUM(I54:M54)</f>
        <v>403804</v>
      </c>
      <c r="O54" s="16"/>
      <c r="U54" s="57"/>
    </row>
    <row r="55" spans="1:21">
      <c r="A55" s="99">
        <v>1977</v>
      </c>
      <c r="B55" s="16">
        <f>122+9882</f>
        <v>10004</v>
      </c>
      <c r="C55" s="16">
        <v>4530</v>
      </c>
      <c r="D55" s="16">
        <v>19014</v>
      </c>
      <c r="E55" s="16">
        <v>7775</v>
      </c>
      <c r="F55" s="16">
        <f>2763+18</f>
        <v>2781</v>
      </c>
      <c r="G55" s="16">
        <f t="shared" si="6"/>
        <v>44104</v>
      </c>
      <c r="H55" s="56"/>
      <c r="I55" s="57" t="s">
        <v>23</v>
      </c>
      <c r="J55" s="57" t="s">
        <v>23</v>
      </c>
      <c r="K55" s="16">
        <f>106108+16+6</f>
        <v>106130</v>
      </c>
      <c r="L55" s="16">
        <v>53667</v>
      </c>
      <c r="M55" s="16">
        <f>19414+4</f>
        <v>19418</v>
      </c>
      <c r="N55" s="16">
        <f t="shared" si="7"/>
        <v>179215</v>
      </c>
      <c r="O55" s="16"/>
      <c r="P55" s="142">
        <v>512</v>
      </c>
      <c r="Q55" s="142">
        <v>311</v>
      </c>
      <c r="R55" s="142">
        <v>45630</v>
      </c>
      <c r="S55" s="142">
        <v>44251</v>
      </c>
      <c r="T55" s="142">
        <v>465</v>
      </c>
      <c r="U55" s="16">
        <f>SUM(P55:T55)</f>
        <v>91169</v>
      </c>
    </row>
    <row r="56" spans="1:21">
      <c r="A56" s="99">
        <v>1978</v>
      </c>
      <c r="B56" s="16">
        <v>3191</v>
      </c>
      <c r="C56" s="16">
        <v>4138</v>
      </c>
      <c r="D56" s="16">
        <v>16998</v>
      </c>
      <c r="E56" s="16">
        <v>12376</v>
      </c>
      <c r="F56" s="16">
        <v>2545</v>
      </c>
      <c r="G56" s="16">
        <f t="shared" si="6"/>
        <v>39248</v>
      </c>
      <c r="H56" s="56"/>
      <c r="I56" s="57" t="s">
        <v>23</v>
      </c>
      <c r="J56" s="57" t="s">
        <v>23</v>
      </c>
      <c r="K56" s="16">
        <v>96918</v>
      </c>
      <c r="L56" s="16">
        <v>34910</v>
      </c>
      <c r="M56" s="16">
        <v>30389</v>
      </c>
      <c r="N56" s="16">
        <f t="shared" si="7"/>
        <v>162217</v>
      </c>
      <c r="O56" s="16"/>
      <c r="U56" s="57"/>
    </row>
    <row r="57" spans="1:21">
      <c r="A57" s="99">
        <v>1979</v>
      </c>
      <c r="B57" s="16">
        <f>1036+8851</f>
        <v>9887</v>
      </c>
      <c r="C57" s="16">
        <v>209</v>
      </c>
      <c r="D57" s="16">
        <v>11589</v>
      </c>
      <c r="E57" s="16">
        <v>6767</v>
      </c>
      <c r="F57" s="16">
        <v>99</v>
      </c>
      <c r="G57" s="16">
        <f t="shared" si="6"/>
        <v>28551</v>
      </c>
      <c r="H57" s="56"/>
      <c r="I57" s="57" t="s">
        <v>23</v>
      </c>
      <c r="J57" s="57" t="s">
        <v>23</v>
      </c>
      <c r="K57" s="16">
        <f>81028+505</f>
        <v>81533</v>
      </c>
      <c r="L57" s="16">
        <v>74158</v>
      </c>
      <c r="M57" s="16">
        <v>758</v>
      </c>
      <c r="N57" s="16">
        <f t="shared" si="7"/>
        <v>156449</v>
      </c>
      <c r="O57" s="16"/>
      <c r="P57" s="142">
        <f>2+48</f>
        <v>50</v>
      </c>
      <c r="Q57" s="57">
        <v>0</v>
      </c>
      <c r="R57" s="142">
        <v>33513</v>
      </c>
      <c r="S57" s="142">
        <v>161702</v>
      </c>
      <c r="T57" s="142">
        <v>120</v>
      </c>
      <c r="U57" s="16">
        <f>SUM(P57:T57)</f>
        <v>195385</v>
      </c>
    </row>
    <row r="58" spans="1:21">
      <c r="A58" s="99">
        <v>1980</v>
      </c>
      <c r="B58" s="16">
        <f>32+3579</f>
        <v>3611</v>
      </c>
      <c r="C58" s="16">
        <v>91</v>
      </c>
      <c r="D58" s="16">
        <v>18498</v>
      </c>
      <c r="E58" s="16">
        <v>6445</v>
      </c>
      <c r="F58" s="16" t="s">
        <v>23</v>
      </c>
      <c r="G58" s="16">
        <f t="shared" si="6"/>
        <v>28645</v>
      </c>
      <c r="H58" s="56"/>
      <c r="I58" s="57" t="s">
        <v>23</v>
      </c>
      <c r="J58" s="57" t="s">
        <v>23</v>
      </c>
      <c r="K58" s="16">
        <v>71079</v>
      </c>
      <c r="L58" s="16">
        <v>43884</v>
      </c>
      <c r="M58" s="57" t="s">
        <v>23</v>
      </c>
      <c r="N58" s="16">
        <f t="shared" si="7"/>
        <v>114963</v>
      </c>
      <c r="O58" s="16"/>
      <c r="U58" s="57"/>
    </row>
    <row r="59" spans="1:21">
      <c r="A59" s="99">
        <v>1981</v>
      </c>
      <c r="B59" s="16">
        <f>1+6001</f>
        <v>6002</v>
      </c>
      <c r="C59" s="16">
        <v>102</v>
      </c>
      <c r="D59" s="16">
        <v>4203</v>
      </c>
      <c r="E59" s="16">
        <v>4042</v>
      </c>
      <c r="F59" s="16" t="s">
        <v>23</v>
      </c>
      <c r="G59" s="16">
        <f t="shared" si="6"/>
        <v>14349</v>
      </c>
      <c r="H59" s="56"/>
      <c r="I59" s="57" t="s">
        <v>23</v>
      </c>
      <c r="J59" s="57" t="s">
        <v>23</v>
      </c>
      <c r="K59" s="16">
        <v>38230</v>
      </c>
      <c r="L59" s="16">
        <v>17380</v>
      </c>
      <c r="M59" s="57" t="s">
        <v>23</v>
      </c>
      <c r="N59" s="16">
        <f t="shared" si="7"/>
        <v>55610</v>
      </c>
      <c r="O59" s="16"/>
      <c r="P59" s="142">
        <v>113</v>
      </c>
      <c r="Q59" s="57">
        <v>0</v>
      </c>
      <c r="R59" s="142">
        <v>18651</v>
      </c>
      <c r="S59" s="142">
        <v>34958</v>
      </c>
      <c r="T59" s="57" t="s">
        <v>23</v>
      </c>
      <c r="U59" s="16">
        <f>SUM(P59:T59)</f>
        <v>53722</v>
      </c>
    </row>
    <row r="60" spans="1:21">
      <c r="A60" s="99">
        <v>1982</v>
      </c>
      <c r="B60" s="16">
        <v>1241</v>
      </c>
      <c r="C60" s="16">
        <v>590</v>
      </c>
      <c r="D60" s="16">
        <v>10695</v>
      </c>
      <c r="E60" s="16" t="s">
        <v>23</v>
      </c>
      <c r="F60" s="16" t="s">
        <v>23</v>
      </c>
      <c r="G60" s="16">
        <f t="shared" si="6"/>
        <v>12526</v>
      </c>
      <c r="H60" s="56"/>
      <c r="I60" s="57" t="s">
        <v>23</v>
      </c>
      <c r="J60" s="57" t="s">
        <v>23</v>
      </c>
      <c r="K60" s="16">
        <v>46684</v>
      </c>
      <c r="L60" s="57" t="s">
        <v>23</v>
      </c>
      <c r="M60" s="57" t="s">
        <v>23</v>
      </c>
      <c r="N60" s="16">
        <f t="shared" si="7"/>
        <v>46684</v>
      </c>
      <c r="O60" s="16"/>
      <c r="U60" s="57"/>
    </row>
    <row r="61" spans="1:21">
      <c r="A61" s="99">
        <v>1983</v>
      </c>
      <c r="B61" s="16">
        <f>10+1536</f>
        <v>1546</v>
      </c>
      <c r="C61" s="16">
        <v>80</v>
      </c>
      <c r="D61" s="16">
        <v>3136</v>
      </c>
      <c r="E61" s="16">
        <v>119</v>
      </c>
      <c r="F61" s="16" t="s">
        <v>23</v>
      </c>
      <c r="G61" s="16">
        <f t="shared" si="6"/>
        <v>4881</v>
      </c>
      <c r="H61" s="56"/>
      <c r="I61" s="57" t="s">
        <v>23</v>
      </c>
      <c r="J61" s="57" t="s">
        <v>23</v>
      </c>
      <c r="K61" s="16">
        <v>1006</v>
      </c>
      <c r="L61" s="16">
        <v>259</v>
      </c>
      <c r="M61" s="57" t="s">
        <v>23</v>
      </c>
      <c r="N61" s="16">
        <f t="shared" si="7"/>
        <v>1265</v>
      </c>
      <c r="O61" s="16"/>
      <c r="P61" s="142">
        <v>0</v>
      </c>
      <c r="Q61" s="57">
        <v>0</v>
      </c>
      <c r="R61" s="142">
        <v>39</v>
      </c>
      <c r="S61" s="142">
        <v>6033</v>
      </c>
      <c r="T61" s="57" t="s">
        <v>23</v>
      </c>
      <c r="U61" s="16">
        <f>SUM(P61:T61)</f>
        <v>6072</v>
      </c>
    </row>
    <row r="62" spans="1:21">
      <c r="A62" s="99">
        <v>1984</v>
      </c>
      <c r="B62" s="16">
        <v>265</v>
      </c>
      <c r="C62" s="16" t="s">
        <v>23</v>
      </c>
      <c r="D62" s="16" t="s">
        <v>23</v>
      </c>
      <c r="E62" s="16">
        <v>8</v>
      </c>
      <c r="F62" s="16" t="s">
        <v>23</v>
      </c>
      <c r="G62" s="16">
        <f t="shared" si="6"/>
        <v>273</v>
      </c>
      <c r="H62" s="56"/>
      <c r="I62" s="57" t="s">
        <v>23</v>
      </c>
      <c r="J62" s="57" t="s">
        <v>23</v>
      </c>
      <c r="K62" s="57" t="s">
        <v>23</v>
      </c>
      <c r="L62" s="57" t="s">
        <v>23</v>
      </c>
      <c r="M62" s="57" t="s">
        <v>23</v>
      </c>
      <c r="N62" s="57" t="s">
        <v>23</v>
      </c>
      <c r="O62" s="16"/>
      <c r="U62" s="16"/>
    </row>
    <row r="63" spans="1:21">
      <c r="A63" s="99">
        <v>1985</v>
      </c>
      <c r="B63" s="16">
        <f>1+342</f>
        <v>343</v>
      </c>
      <c r="C63" s="16" t="s">
        <v>23</v>
      </c>
      <c r="D63" s="16">
        <v>1851</v>
      </c>
      <c r="E63" s="16">
        <v>1082</v>
      </c>
      <c r="F63" s="16" t="s">
        <v>23</v>
      </c>
      <c r="G63" s="16">
        <f t="shared" si="6"/>
        <v>3276</v>
      </c>
      <c r="H63" s="56"/>
      <c r="I63" s="57" t="s">
        <v>23</v>
      </c>
      <c r="J63" s="57" t="s">
        <v>23</v>
      </c>
      <c r="K63" s="16">
        <v>32519</v>
      </c>
      <c r="L63" s="57" t="s">
        <v>23</v>
      </c>
      <c r="M63" s="57" t="s">
        <v>23</v>
      </c>
      <c r="N63" s="16">
        <f>SUM(I63:M63)</f>
        <v>32519</v>
      </c>
      <c r="O63" s="16"/>
      <c r="P63" s="142">
        <v>5</v>
      </c>
      <c r="Q63" s="57" t="s">
        <v>23</v>
      </c>
      <c r="R63" s="142">
        <v>2760</v>
      </c>
      <c r="S63" s="142">
        <v>6184</v>
      </c>
      <c r="T63" s="57" t="s">
        <v>23</v>
      </c>
      <c r="U63" s="16">
        <f>SUM(P63:T63)</f>
        <v>8949</v>
      </c>
    </row>
    <row r="64" spans="1:21">
      <c r="A64" s="99">
        <v>1986</v>
      </c>
      <c r="B64" s="16">
        <f>1+1909</f>
        <v>1910</v>
      </c>
      <c r="C64" s="16">
        <v>85</v>
      </c>
      <c r="D64" s="16" t="s">
        <v>23</v>
      </c>
      <c r="E64" s="16">
        <v>990</v>
      </c>
      <c r="F64" s="16" t="s">
        <v>23</v>
      </c>
      <c r="G64" s="16">
        <f t="shared" si="6"/>
        <v>2985</v>
      </c>
      <c r="H64" s="56"/>
      <c r="I64" s="57" t="s">
        <v>23</v>
      </c>
      <c r="J64" s="57" t="s">
        <v>23</v>
      </c>
      <c r="K64" s="57" t="s">
        <v>23</v>
      </c>
      <c r="L64" s="16">
        <v>7806</v>
      </c>
      <c r="M64" s="57" t="s">
        <v>23</v>
      </c>
      <c r="N64" s="16">
        <f>SUM(I64:M64)</f>
        <v>7806</v>
      </c>
      <c r="O64" s="16"/>
      <c r="U64" s="57"/>
    </row>
    <row r="65" spans="1:21">
      <c r="A65" s="99">
        <v>1987</v>
      </c>
      <c r="B65" s="16">
        <f>66+2262</f>
        <v>2328</v>
      </c>
      <c r="C65" s="16" t="s">
        <v>23</v>
      </c>
      <c r="D65" s="16">
        <v>40</v>
      </c>
      <c r="E65" s="16" t="s">
        <v>23</v>
      </c>
      <c r="F65" s="16" t="s">
        <v>23</v>
      </c>
      <c r="G65" s="16">
        <f t="shared" si="6"/>
        <v>2368</v>
      </c>
      <c r="H65" s="56"/>
      <c r="I65" s="57" t="s">
        <v>23</v>
      </c>
      <c r="J65" s="57" t="s">
        <v>23</v>
      </c>
      <c r="K65" s="16">
        <v>350</v>
      </c>
      <c r="L65" s="57" t="s">
        <v>23</v>
      </c>
      <c r="M65" s="57" t="s">
        <v>23</v>
      </c>
      <c r="N65" s="16">
        <f>SUM(I65:M65)</f>
        <v>350</v>
      </c>
      <c r="O65" s="16"/>
      <c r="P65" s="142">
        <v>0</v>
      </c>
      <c r="Q65" s="57" t="s">
        <v>23</v>
      </c>
      <c r="R65" s="142">
        <v>728</v>
      </c>
      <c r="S65" s="57" t="s">
        <v>23</v>
      </c>
      <c r="T65" s="57" t="s">
        <v>23</v>
      </c>
      <c r="U65" s="16">
        <f>SUM(P65:T65)</f>
        <v>728</v>
      </c>
    </row>
    <row r="66" spans="1:21">
      <c r="A66" s="99">
        <v>1988</v>
      </c>
      <c r="B66" s="16">
        <v>7753</v>
      </c>
      <c r="C66" s="16">
        <v>6480</v>
      </c>
      <c r="D66" s="16" t="s">
        <v>23</v>
      </c>
      <c r="E66" s="16" t="s">
        <v>23</v>
      </c>
      <c r="F66" s="16" t="s">
        <v>23</v>
      </c>
      <c r="G66" s="16">
        <f t="shared" si="6"/>
        <v>14233</v>
      </c>
      <c r="H66" s="56"/>
      <c r="I66" s="57" t="s">
        <v>23</v>
      </c>
      <c r="J66" s="57" t="s">
        <v>23</v>
      </c>
      <c r="K66" s="57" t="s">
        <v>23</v>
      </c>
      <c r="L66" s="57" t="s">
        <v>23</v>
      </c>
      <c r="M66" s="57" t="s">
        <v>23</v>
      </c>
      <c r="N66" s="57" t="s">
        <v>23</v>
      </c>
      <c r="O66" s="16"/>
      <c r="U66" s="57"/>
    </row>
    <row r="67" spans="1:21">
      <c r="A67" s="99">
        <v>1989</v>
      </c>
      <c r="B67" s="16" t="s">
        <v>23</v>
      </c>
      <c r="C67" s="16" t="s">
        <v>23</v>
      </c>
      <c r="D67" s="16" t="s">
        <v>23</v>
      </c>
      <c r="E67" s="16">
        <v>0</v>
      </c>
      <c r="F67" s="16" t="s">
        <v>23</v>
      </c>
      <c r="G67" s="16">
        <f t="shared" si="6"/>
        <v>0</v>
      </c>
      <c r="H67" s="56"/>
      <c r="I67" s="57" t="s">
        <v>23</v>
      </c>
      <c r="J67" s="57" t="s">
        <v>23</v>
      </c>
      <c r="K67" s="57" t="s">
        <v>23</v>
      </c>
      <c r="L67" s="57">
        <v>0</v>
      </c>
      <c r="M67" s="57" t="s">
        <v>23</v>
      </c>
      <c r="N67" s="16">
        <f>SUM(I67:M67)</f>
        <v>0</v>
      </c>
      <c r="O67" s="16"/>
      <c r="P67" s="57" t="s">
        <v>23</v>
      </c>
      <c r="Q67" s="57" t="s">
        <v>23</v>
      </c>
      <c r="R67" s="57" t="s">
        <v>23</v>
      </c>
      <c r="S67" s="57">
        <v>0</v>
      </c>
      <c r="T67" s="57" t="s">
        <v>23</v>
      </c>
      <c r="U67" s="16">
        <f>SUM(P67:T67)</f>
        <v>0</v>
      </c>
    </row>
    <row r="68" spans="1:21">
      <c r="A68" s="99">
        <v>1990</v>
      </c>
      <c r="B68" s="16">
        <f>634+276</f>
        <v>910</v>
      </c>
      <c r="C68" s="16">
        <v>158</v>
      </c>
      <c r="D68" s="16" t="s">
        <v>23</v>
      </c>
      <c r="E68" s="16">
        <v>590</v>
      </c>
      <c r="F68" s="16">
        <f>7+4</f>
        <v>11</v>
      </c>
      <c r="G68" s="16">
        <f t="shared" si="6"/>
        <v>1669</v>
      </c>
      <c r="H68" s="56"/>
      <c r="I68" s="57" t="s">
        <v>23</v>
      </c>
      <c r="J68" s="57" t="s">
        <v>23</v>
      </c>
      <c r="K68" s="57" t="s">
        <v>23</v>
      </c>
      <c r="L68" s="16">
        <v>8385</v>
      </c>
      <c r="M68" s="16">
        <f>15+1</f>
        <v>16</v>
      </c>
      <c r="N68" s="16">
        <f>SUM(I68:M68)</f>
        <v>8401</v>
      </c>
      <c r="O68" s="16"/>
    </row>
    <row r="69" spans="1:21">
      <c r="A69" s="99">
        <v>1991</v>
      </c>
      <c r="B69" s="16">
        <v>414</v>
      </c>
      <c r="C69" s="16">
        <v>399</v>
      </c>
      <c r="D69" s="16" t="s">
        <v>23</v>
      </c>
      <c r="E69" s="16">
        <v>104</v>
      </c>
      <c r="F69" s="16">
        <v>11</v>
      </c>
      <c r="G69" s="16">
        <f t="shared" si="6"/>
        <v>928</v>
      </c>
      <c r="H69" s="56"/>
      <c r="I69" s="16" t="s">
        <v>23</v>
      </c>
      <c r="J69" s="16" t="s">
        <v>23</v>
      </c>
      <c r="K69" s="16" t="s">
        <v>23</v>
      </c>
      <c r="L69" s="16">
        <v>1154</v>
      </c>
      <c r="M69" s="16">
        <v>251</v>
      </c>
      <c r="N69" s="16">
        <f>SUM(I69:M69)</f>
        <v>1405</v>
      </c>
      <c r="O69" s="16"/>
      <c r="P69" s="16">
        <v>0</v>
      </c>
      <c r="Q69" s="16">
        <v>0</v>
      </c>
      <c r="R69" s="16" t="s">
        <v>23</v>
      </c>
      <c r="S69" s="16">
        <v>2566</v>
      </c>
      <c r="T69" s="16">
        <v>8</v>
      </c>
      <c r="U69" s="16">
        <f>SUM(P69:T69)</f>
        <v>2574</v>
      </c>
    </row>
    <row r="70" spans="1:21">
      <c r="A70" s="99">
        <v>1992</v>
      </c>
      <c r="B70" s="16">
        <v>1543</v>
      </c>
      <c r="C70" s="16">
        <v>2027</v>
      </c>
      <c r="D70" s="16">
        <v>1136</v>
      </c>
      <c r="E70" s="16">
        <v>838</v>
      </c>
      <c r="F70" s="16" t="s">
        <v>23</v>
      </c>
      <c r="G70" s="16">
        <f t="shared" si="6"/>
        <v>5544</v>
      </c>
      <c r="H70" s="56"/>
      <c r="I70" s="16" t="s">
        <v>23</v>
      </c>
      <c r="J70" s="16" t="s">
        <v>23</v>
      </c>
      <c r="K70" s="16">
        <v>2202</v>
      </c>
      <c r="L70" s="16">
        <v>1576</v>
      </c>
      <c r="M70" s="16" t="s">
        <v>23</v>
      </c>
      <c r="N70" s="16">
        <f>SUM(I70:M70)</f>
        <v>3778</v>
      </c>
      <c r="O70" s="16"/>
      <c r="U70" s="16"/>
    </row>
    <row r="71" spans="1:21">
      <c r="A71" s="99">
        <v>1993</v>
      </c>
      <c r="B71" s="16">
        <v>805</v>
      </c>
      <c r="C71" s="16">
        <v>635</v>
      </c>
      <c r="D71" s="16">
        <v>332</v>
      </c>
      <c r="E71" s="16">
        <v>63</v>
      </c>
      <c r="F71" s="16" t="s">
        <v>23</v>
      </c>
      <c r="G71" s="16">
        <f t="shared" si="6"/>
        <v>1835</v>
      </c>
      <c r="H71" s="56"/>
      <c r="I71" s="57" t="s">
        <v>23</v>
      </c>
      <c r="J71" s="57" t="s">
        <v>23</v>
      </c>
      <c r="K71" s="16">
        <v>1344</v>
      </c>
      <c r="L71" s="16">
        <v>357</v>
      </c>
      <c r="M71" s="16" t="s">
        <v>23</v>
      </c>
      <c r="N71" s="16">
        <f>SUM(I71:M71)</f>
        <v>1701</v>
      </c>
      <c r="O71" s="16"/>
      <c r="P71" s="16">
        <v>0</v>
      </c>
      <c r="Q71" s="16">
        <v>0</v>
      </c>
      <c r="R71" s="16">
        <v>20</v>
      </c>
      <c r="S71" s="16">
        <v>10</v>
      </c>
      <c r="T71" s="16" t="s">
        <v>23</v>
      </c>
      <c r="U71" s="16">
        <f>SUM(P71:T71)</f>
        <v>30</v>
      </c>
    </row>
    <row r="72" spans="1:21">
      <c r="A72" s="99">
        <v>1994</v>
      </c>
      <c r="B72" s="16" t="s">
        <v>23</v>
      </c>
      <c r="C72" s="16" t="s">
        <v>23</v>
      </c>
      <c r="D72" s="16" t="s">
        <v>23</v>
      </c>
      <c r="E72" s="16" t="s">
        <v>23</v>
      </c>
      <c r="F72" s="16" t="s">
        <v>23</v>
      </c>
      <c r="G72" s="16" t="s">
        <v>23</v>
      </c>
      <c r="H72" s="56"/>
      <c r="I72" s="16" t="s">
        <v>23</v>
      </c>
      <c r="J72" s="16" t="s">
        <v>23</v>
      </c>
      <c r="K72" s="16" t="s">
        <v>23</v>
      </c>
      <c r="L72" s="16" t="s">
        <v>23</v>
      </c>
      <c r="M72" s="16" t="s">
        <v>23</v>
      </c>
      <c r="N72" s="16" t="s">
        <v>23</v>
      </c>
      <c r="O72" s="16"/>
      <c r="U72" s="16"/>
    </row>
    <row r="73" spans="1:21">
      <c r="A73" s="99">
        <v>1995</v>
      </c>
      <c r="B73" s="16" t="s">
        <v>23</v>
      </c>
      <c r="C73" s="16" t="s">
        <v>23</v>
      </c>
      <c r="D73" s="16" t="s">
        <v>23</v>
      </c>
      <c r="E73" s="16" t="s">
        <v>23</v>
      </c>
      <c r="F73" s="16" t="s">
        <v>23</v>
      </c>
      <c r="G73" s="16" t="s">
        <v>23</v>
      </c>
      <c r="H73" s="56"/>
      <c r="I73" s="16" t="s">
        <v>23</v>
      </c>
      <c r="J73" s="16" t="s">
        <v>23</v>
      </c>
      <c r="K73" s="16" t="s">
        <v>23</v>
      </c>
      <c r="L73" s="16">
        <v>2773</v>
      </c>
      <c r="M73" s="16">
        <v>1848</v>
      </c>
      <c r="N73" s="16">
        <f>SUM(I73:M73)</f>
        <v>4621</v>
      </c>
      <c r="O73" s="16"/>
      <c r="P73" s="16" t="s">
        <v>23</v>
      </c>
      <c r="Q73" s="16" t="s">
        <v>23</v>
      </c>
      <c r="R73" s="16" t="s">
        <v>23</v>
      </c>
      <c r="S73" s="16">
        <v>2631</v>
      </c>
      <c r="T73" s="16">
        <v>84</v>
      </c>
      <c r="U73" s="16">
        <f>SUM(P73:T73)</f>
        <v>2715</v>
      </c>
    </row>
    <row r="74" spans="1:21">
      <c r="A74" s="99">
        <v>1996</v>
      </c>
      <c r="B74" s="16" t="s">
        <v>23</v>
      </c>
      <c r="C74" s="16" t="s">
        <v>23</v>
      </c>
      <c r="D74" s="16" t="s">
        <v>23</v>
      </c>
      <c r="E74" s="16" t="s">
        <v>23</v>
      </c>
      <c r="F74" s="16" t="s">
        <v>23</v>
      </c>
      <c r="G74" s="16" t="s">
        <v>23</v>
      </c>
      <c r="H74" s="56"/>
      <c r="I74" s="16" t="s">
        <v>23</v>
      </c>
      <c r="J74" s="16" t="s">
        <v>23</v>
      </c>
      <c r="K74" s="16">
        <v>245</v>
      </c>
      <c r="L74" s="16">
        <v>164</v>
      </c>
      <c r="M74" s="16" t="s">
        <v>23</v>
      </c>
      <c r="N74" s="16">
        <f>SUM(I74:M74)</f>
        <v>409</v>
      </c>
      <c r="O74" s="16"/>
      <c r="U74" s="16"/>
    </row>
    <row r="75" spans="1:21">
      <c r="A75" s="99">
        <v>1997</v>
      </c>
      <c r="B75" s="16">
        <v>1037</v>
      </c>
      <c r="C75" s="16">
        <v>1257</v>
      </c>
      <c r="D75" s="16" t="s">
        <v>23</v>
      </c>
      <c r="E75" s="16" t="s">
        <v>23</v>
      </c>
      <c r="F75" s="16" t="s">
        <v>23</v>
      </c>
      <c r="G75" s="16">
        <f t="shared" ref="G75:G99" si="8">SUM(B75:F75)</f>
        <v>2294</v>
      </c>
      <c r="H75" s="56"/>
      <c r="I75" s="16" t="s">
        <v>23</v>
      </c>
      <c r="J75" s="16" t="s">
        <v>23</v>
      </c>
      <c r="K75" s="16" t="s">
        <v>23</v>
      </c>
      <c r="L75" s="16" t="s">
        <v>23</v>
      </c>
      <c r="M75" s="16" t="s">
        <v>23</v>
      </c>
      <c r="N75" s="16" t="s">
        <v>23</v>
      </c>
      <c r="O75" s="16"/>
      <c r="P75" s="16">
        <v>0</v>
      </c>
      <c r="Q75" s="16">
        <v>0</v>
      </c>
      <c r="R75" s="16" t="s">
        <v>23</v>
      </c>
      <c r="S75" s="16" t="s">
        <v>23</v>
      </c>
      <c r="T75" s="16" t="s">
        <v>23</v>
      </c>
      <c r="U75" s="16">
        <f>SUM(P75:T75)</f>
        <v>0</v>
      </c>
    </row>
    <row r="76" spans="1:21">
      <c r="A76" s="99">
        <v>1998</v>
      </c>
      <c r="B76" s="16">
        <v>1625</v>
      </c>
      <c r="C76" s="16">
        <v>65</v>
      </c>
      <c r="D76" s="16" t="s">
        <v>23</v>
      </c>
      <c r="E76" s="16" t="s">
        <v>23</v>
      </c>
      <c r="F76" s="16" t="s">
        <v>23</v>
      </c>
      <c r="G76" s="16">
        <f t="shared" si="8"/>
        <v>1690</v>
      </c>
      <c r="H76" s="56"/>
      <c r="I76" s="16" t="s">
        <v>23</v>
      </c>
      <c r="J76" s="16" t="s">
        <v>23</v>
      </c>
      <c r="K76" s="16" t="s">
        <v>23</v>
      </c>
      <c r="L76" s="16" t="s">
        <v>23</v>
      </c>
      <c r="M76" s="16" t="s">
        <v>23</v>
      </c>
      <c r="N76" s="16" t="s">
        <v>23</v>
      </c>
      <c r="O76" s="16"/>
      <c r="U76" s="16"/>
    </row>
    <row r="77" spans="1:21">
      <c r="A77" s="99">
        <v>1999</v>
      </c>
      <c r="B77" s="16">
        <v>128</v>
      </c>
      <c r="C77" s="57">
        <v>0</v>
      </c>
      <c r="D77" s="16">
        <v>336</v>
      </c>
      <c r="E77" s="16">
        <v>150</v>
      </c>
      <c r="F77" s="16" t="s">
        <v>23</v>
      </c>
      <c r="G77" s="16">
        <f t="shared" si="8"/>
        <v>614</v>
      </c>
      <c r="H77" s="56"/>
      <c r="I77" s="16" t="s">
        <v>23</v>
      </c>
      <c r="J77" s="16" t="s">
        <v>23</v>
      </c>
      <c r="K77" s="57">
        <v>35</v>
      </c>
      <c r="L77" s="16">
        <v>929</v>
      </c>
      <c r="M77" s="16">
        <v>328</v>
      </c>
      <c r="N77" s="16">
        <f>SUM(I77:M77)</f>
        <v>1292</v>
      </c>
      <c r="O77" s="16"/>
      <c r="P77" s="16">
        <v>0</v>
      </c>
      <c r="Q77" s="16">
        <v>0</v>
      </c>
      <c r="R77" s="16">
        <v>0</v>
      </c>
      <c r="S77" s="16">
        <v>13</v>
      </c>
      <c r="T77" s="16">
        <v>0</v>
      </c>
      <c r="U77" s="16">
        <f>SUM(P77:T77)</f>
        <v>13</v>
      </c>
    </row>
    <row r="78" spans="1:21">
      <c r="A78" s="99">
        <v>2000</v>
      </c>
      <c r="B78" s="16">
        <v>1072</v>
      </c>
      <c r="C78" s="16">
        <v>341</v>
      </c>
      <c r="D78" s="16" t="s">
        <v>23</v>
      </c>
      <c r="E78" s="16" t="s">
        <v>23</v>
      </c>
      <c r="F78" s="16" t="s">
        <v>23</v>
      </c>
      <c r="G78" s="16">
        <f t="shared" si="8"/>
        <v>1413</v>
      </c>
      <c r="H78" s="56"/>
      <c r="I78" s="16" t="s">
        <v>23</v>
      </c>
      <c r="J78" s="16" t="s">
        <v>23</v>
      </c>
      <c r="K78" s="16" t="s">
        <v>23</v>
      </c>
      <c r="L78" s="16" t="s">
        <v>23</v>
      </c>
      <c r="M78" s="16" t="s">
        <v>23</v>
      </c>
      <c r="N78" s="16" t="s">
        <v>23</v>
      </c>
      <c r="O78" s="16"/>
      <c r="U78" s="16"/>
    </row>
    <row r="79" spans="1:21">
      <c r="A79" s="99">
        <v>2001</v>
      </c>
      <c r="B79" s="16">
        <v>843</v>
      </c>
      <c r="C79" s="16">
        <v>106</v>
      </c>
      <c r="D79" s="16">
        <v>180</v>
      </c>
      <c r="E79" s="16" t="s">
        <v>23</v>
      </c>
      <c r="F79" s="16" t="s">
        <v>23</v>
      </c>
      <c r="G79" s="16">
        <f t="shared" si="8"/>
        <v>1129</v>
      </c>
      <c r="H79" s="56"/>
      <c r="I79" s="16" t="s">
        <v>23</v>
      </c>
      <c r="J79" s="16" t="s">
        <v>23</v>
      </c>
      <c r="K79" s="16">
        <v>165</v>
      </c>
      <c r="L79" s="16" t="s">
        <v>23</v>
      </c>
      <c r="M79" s="16" t="s">
        <v>23</v>
      </c>
      <c r="N79" s="16">
        <f>SUM(I79:M79)</f>
        <v>165</v>
      </c>
      <c r="O79" s="16"/>
      <c r="P79" s="16">
        <v>0</v>
      </c>
      <c r="Q79" s="16">
        <v>0</v>
      </c>
      <c r="R79" s="16">
        <v>0</v>
      </c>
      <c r="S79" s="16" t="s">
        <v>23</v>
      </c>
      <c r="T79" s="16" t="s">
        <v>23</v>
      </c>
      <c r="U79" s="16">
        <f>SUM(P79:T79)</f>
        <v>0</v>
      </c>
    </row>
    <row r="80" spans="1:21">
      <c r="A80" s="99">
        <v>2002</v>
      </c>
      <c r="B80" s="57">
        <v>0</v>
      </c>
      <c r="C80" s="16">
        <v>72</v>
      </c>
      <c r="D80" s="16">
        <v>1803</v>
      </c>
      <c r="E80" s="16">
        <v>1151</v>
      </c>
      <c r="F80" s="16" t="s">
        <v>23</v>
      </c>
      <c r="G80" s="16">
        <f t="shared" si="8"/>
        <v>3026</v>
      </c>
      <c r="H80" s="56"/>
      <c r="I80" s="16" t="s">
        <v>23</v>
      </c>
      <c r="J80" s="16" t="s">
        <v>23</v>
      </c>
      <c r="K80" s="16" t="s">
        <v>23</v>
      </c>
      <c r="L80" s="16" t="s">
        <v>23</v>
      </c>
      <c r="M80" s="16" t="s">
        <v>23</v>
      </c>
      <c r="N80" s="16" t="s">
        <v>23</v>
      </c>
      <c r="O80" s="16"/>
      <c r="U80" s="16"/>
    </row>
    <row r="81" spans="1:21">
      <c r="A81" s="99">
        <v>2003</v>
      </c>
      <c r="B81" s="16">
        <v>964</v>
      </c>
      <c r="C81" s="16">
        <v>787</v>
      </c>
      <c r="D81" s="16">
        <v>3564</v>
      </c>
      <c r="E81" s="16">
        <v>1631</v>
      </c>
      <c r="F81" s="16">
        <v>49</v>
      </c>
      <c r="G81" s="16">
        <f t="shared" si="8"/>
        <v>6995</v>
      </c>
      <c r="H81" s="56"/>
      <c r="I81" s="16" t="s">
        <v>23</v>
      </c>
      <c r="J81" s="16" t="s">
        <v>23</v>
      </c>
      <c r="K81" s="16">
        <v>1752</v>
      </c>
      <c r="L81" s="16">
        <v>928</v>
      </c>
      <c r="M81" s="16">
        <v>104</v>
      </c>
      <c r="N81" s="16">
        <f t="shared" ref="N81:N99" si="9">SUM(I81:M81)</f>
        <v>2784</v>
      </c>
      <c r="O81" s="16"/>
      <c r="P81" s="16">
        <v>0</v>
      </c>
      <c r="Q81" s="16">
        <v>0</v>
      </c>
      <c r="R81" s="16">
        <v>63</v>
      </c>
      <c r="S81" s="16">
        <v>35</v>
      </c>
      <c r="T81" s="16">
        <v>10</v>
      </c>
      <c r="U81" s="16">
        <f>SUM(P81:T81)</f>
        <v>108</v>
      </c>
    </row>
    <row r="82" spans="1:21">
      <c r="A82" s="99">
        <v>2004</v>
      </c>
      <c r="B82" s="16">
        <v>237</v>
      </c>
      <c r="C82" s="16">
        <v>273</v>
      </c>
      <c r="D82" s="16">
        <v>1974</v>
      </c>
      <c r="E82" s="16">
        <v>2056</v>
      </c>
      <c r="F82" s="16">
        <v>302</v>
      </c>
      <c r="G82" s="16">
        <f t="shared" si="8"/>
        <v>4842</v>
      </c>
      <c r="H82" s="56"/>
      <c r="I82" s="16" t="s">
        <v>23</v>
      </c>
      <c r="J82" s="16" t="s">
        <v>23</v>
      </c>
      <c r="K82" s="16">
        <v>1059</v>
      </c>
      <c r="L82" s="16">
        <v>1847</v>
      </c>
      <c r="M82" s="16">
        <v>269</v>
      </c>
      <c r="N82" s="16">
        <f t="shared" si="9"/>
        <v>3175</v>
      </c>
      <c r="O82" s="16"/>
      <c r="U82" s="16"/>
    </row>
    <row r="83" spans="1:21">
      <c r="A83" s="99">
        <v>2005</v>
      </c>
      <c r="B83" s="16">
        <f>35+1904</f>
        <v>1939</v>
      </c>
      <c r="C83" s="16">
        <v>450</v>
      </c>
      <c r="D83" s="16">
        <v>1469</v>
      </c>
      <c r="E83" s="16">
        <v>2553</v>
      </c>
      <c r="F83" s="16" t="s">
        <v>23</v>
      </c>
      <c r="G83" s="16">
        <f t="shared" si="8"/>
        <v>6411</v>
      </c>
      <c r="H83" s="56"/>
      <c r="I83" s="57" t="s">
        <v>23</v>
      </c>
      <c r="J83" s="57" t="s">
        <v>23</v>
      </c>
      <c r="K83" s="16">
        <v>2</v>
      </c>
      <c r="L83" s="16">
        <v>92</v>
      </c>
      <c r="M83" s="16" t="s">
        <v>23</v>
      </c>
      <c r="N83" s="16">
        <f t="shared" si="9"/>
        <v>94</v>
      </c>
      <c r="O83" s="16"/>
      <c r="P83" s="16">
        <v>4</v>
      </c>
      <c r="Q83" s="16">
        <v>0</v>
      </c>
      <c r="R83" s="16">
        <v>0</v>
      </c>
      <c r="S83" s="16">
        <v>1</v>
      </c>
      <c r="T83" s="16" t="s">
        <v>23</v>
      </c>
      <c r="U83" s="16">
        <f>SUM(P83:T83)</f>
        <v>5</v>
      </c>
    </row>
    <row r="84" spans="1:21">
      <c r="A84" s="99">
        <v>2006</v>
      </c>
      <c r="B84" s="16">
        <v>723</v>
      </c>
      <c r="C84" s="16">
        <v>2371</v>
      </c>
      <c r="D84" s="16">
        <v>844</v>
      </c>
      <c r="E84" s="16">
        <v>2658</v>
      </c>
      <c r="F84" s="16">
        <v>1281</v>
      </c>
      <c r="G84" s="16">
        <f t="shared" si="8"/>
        <v>7877</v>
      </c>
      <c r="H84" s="56"/>
      <c r="I84" s="57" t="s">
        <v>23</v>
      </c>
      <c r="J84" s="57" t="s">
        <v>23</v>
      </c>
      <c r="K84" s="16">
        <v>100</v>
      </c>
      <c r="L84" s="16">
        <v>551</v>
      </c>
      <c r="M84" s="16">
        <v>115</v>
      </c>
      <c r="N84" s="16">
        <f t="shared" si="9"/>
        <v>766</v>
      </c>
      <c r="O84" s="16"/>
      <c r="P84" s="16"/>
      <c r="Q84" s="16"/>
      <c r="R84" s="16"/>
      <c r="S84" s="16"/>
      <c r="T84" s="16"/>
      <c r="U84" s="16"/>
    </row>
    <row r="85" spans="1:21">
      <c r="A85" s="99">
        <v>2007</v>
      </c>
      <c r="B85" s="59">
        <v>144</v>
      </c>
      <c r="C85" s="59">
        <v>2932</v>
      </c>
      <c r="D85" s="59">
        <v>1588</v>
      </c>
      <c r="E85" s="59">
        <v>437</v>
      </c>
      <c r="F85" s="59">
        <v>2</v>
      </c>
      <c r="G85" s="59">
        <f t="shared" si="8"/>
        <v>5103</v>
      </c>
      <c r="H85" s="58"/>
      <c r="I85" s="77" t="s">
        <v>23</v>
      </c>
      <c r="J85" s="77" t="s">
        <v>23</v>
      </c>
      <c r="K85" s="59">
        <v>803</v>
      </c>
      <c r="L85" s="59">
        <v>286</v>
      </c>
      <c r="M85" s="59">
        <v>2</v>
      </c>
      <c r="N85" s="59">
        <f t="shared" si="9"/>
        <v>1091</v>
      </c>
      <c r="O85" s="59"/>
      <c r="P85" s="59">
        <v>0</v>
      </c>
      <c r="Q85" s="59">
        <v>19</v>
      </c>
      <c r="R85" s="59">
        <v>103</v>
      </c>
      <c r="S85" s="59">
        <v>0</v>
      </c>
      <c r="T85" s="59">
        <v>0</v>
      </c>
      <c r="U85" s="59">
        <f>SUM(P85:T85)</f>
        <v>122</v>
      </c>
    </row>
    <row r="86" spans="1:21">
      <c r="A86" s="122">
        <v>2008</v>
      </c>
      <c r="B86" s="59">
        <v>24</v>
      </c>
      <c r="C86" s="59">
        <v>1259</v>
      </c>
      <c r="D86" s="59">
        <v>501</v>
      </c>
      <c r="E86" s="59">
        <v>380</v>
      </c>
      <c r="F86" s="59">
        <v>58</v>
      </c>
      <c r="G86" s="59">
        <f t="shared" si="8"/>
        <v>2222</v>
      </c>
      <c r="H86" s="58"/>
      <c r="I86" s="77" t="s">
        <v>23</v>
      </c>
      <c r="J86" s="77" t="s">
        <v>23</v>
      </c>
      <c r="K86" s="59">
        <v>186</v>
      </c>
      <c r="L86" s="59">
        <v>265</v>
      </c>
      <c r="M86" s="59">
        <v>39</v>
      </c>
      <c r="N86" s="59">
        <f t="shared" si="9"/>
        <v>490</v>
      </c>
      <c r="O86" s="59"/>
      <c r="P86" s="59"/>
      <c r="Q86" s="59"/>
      <c r="R86" s="59"/>
      <c r="S86" s="59"/>
      <c r="T86" s="59"/>
      <c r="U86" s="59"/>
    </row>
    <row r="87" spans="1:21">
      <c r="A87" s="122">
        <v>2009</v>
      </c>
      <c r="B87" s="59">
        <v>1372</v>
      </c>
      <c r="C87" s="59">
        <v>523</v>
      </c>
      <c r="D87" s="59">
        <v>522</v>
      </c>
      <c r="E87" s="59">
        <v>272</v>
      </c>
      <c r="F87" s="59">
        <v>33</v>
      </c>
      <c r="G87" s="59">
        <f t="shared" si="8"/>
        <v>2722</v>
      </c>
      <c r="H87" s="58"/>
      <c r="I87" s="77" t="s">
        <v>23</v>
      </c>
      <c r="J87" s="77" t="s">
        <v>23</v>
      </c>
      <c r="K87" s="59">
        <v>2466</v>
      </c>
      <c r="L87" s="59">
        <v>3888</v>
      </c>
      <c r="M87" s="59">
        <v>803</v>
      </c>
      <c r="N87" s="59">
        <f t="shared" si="9"/>
        <v>7157</v>
      </c>
      <c r="O87" s="59"/>
      <c r="P87" s="59">
        <v>0</v>
      </c>
      <c r="Q87" s="59">
        <v>2</v>
      </c>
      <c r="R87" s="59">
        <v>80</v>
      </c>
      <c r="S87" s="59">
        <v>34</v>
      </c>
      <c r="T87" s="59">
        <v>1</v>
      </c>
      <c r="U87" s="59">
        <f>SUM(P87:T87)</f>
        <v>117</v>
      </c>
    </row>
    <row r="88" spans="1:21">
      <c r="A88" s="122">
        <v>2010</v>
      </c>
      <c r="B88" s="59">
        <v>2125</v>
      </c>
      <c r="C88" s="59">
        <v>1632</v>
      </c>
      <c r="D88" s="59">
        <v>984</v>
      </c>
      <c r="E88" s="59">
        <v>1147</v>
      </c>
      <c r="F88" s="59">
        <v>23</v>
      </c>
      <c r="G88" s="59">
        <f t="shared" si="8"/>
        <v>5911</v>
      </c>
      <c r="H88" s="58"/>
      <c r="I88" s="77" t="s">
        <v>23</v>
      </c>
      <c r="J88" s="77" t="s">
        <v>23</v>
      </c>
      <c r="K88" s="59">
        <v>121</v>
      </c>
      <c r="L88" s="59">
        <v>87</v>
      </c>
      <c r="M88" s="59">
        <v>1</v>
      </c>
      <c r="N88" s="59">
        <f t="shared" si="9"/>
        <v>209</v>
      </c>
      <c r="O88" s="59"/>
      <c r="P88" s="59"/>
      <c r="Q88" s="59"/>
      <c r="R88" s="59"/>
      <c r="S88" s="59"/>
      <c r="T88" s="59"/>
      <c r="U88" s="59"/>
    </row>
    <row r="89" spans="1:21">
      <c r="A89" s="122">
        <v>2011</v>
      </c>
      <c r="B89" s="59">
        <v>2700</v>
      </c>
      <c r="C89" s="59">
        <v>4075</v>
      </c>
      <c r="D89" s="59">
        <v>2683</v>
      </c>
      <c r="E89" s="59">
        <v>781</v>
      </c>
      <c r="F89" s="59">
        <v>179</v>
      </c>
      <c r="G89" s="59">
        <f t="shared" si="8"/>
        <v>10418</v>
      </c>
      <c r="H89" s="58"/>
      <c r="I89" s="77" t="s">
        <v>23</v>
      </c>
      <c r="J89" s="77" t="s">
        <v>23</v>
      </c>
      <c r="K89" s="59">
        <v>574</v>
      </c>
      <c r="L89" s="59">
        <v>436</v>
      </c>
      <c r="M89" s="59">
        <v>157</v>
      </c>
      <c r="N89" s="59">
        <f t="shared" si="9"/>
        <v>1167</v>
      </c>
      <c r="O89" s="59"/>
      <c r="P89" s="59">
        <v>0</v>
      </c>
      <c r="Q89" s="59">
        <v>2</v>
      </c>
      <c r="R89" s="59">
        <v>58</v>
      </c>
      <c r="S89" s="59">
        <v>37</v>
      </c>
      <c r="T89" s="59">
        <v>1</v>
      </c>
      <c r="U89" s="59">
        <f>SUM(P89:T89)</f>
        <v>98</v>
      </c>
    </row>
    <row r="90" spans="1:21">
      <c r="A90" s="122">
        <v>2012</v>
      </c>
      <c r="B90" s="59">
        <v>4242</v>
      </c>
      <c r="C90" s="59">
        <v>4341</v>
      </c>
      <c r="D90" s="59">
        <v>3524</v>
      </c>
      <c r="E90" s="59">
        <v>5868</v>
      </c>
      <c r="F90" s="59">
        <v>1747</v>
      </c>
      <c r="G90" s="59">
        <f t="shared" si="8"/>
        <v>19722</v>
      </c>
      <c r="H90" s="58"/>
      <c r="I90" s="77" t="s">
        <v>23</v>
      </c>
      <c r="J90" s="77" t="s">
        <v>23</v>
      </c>
      <c r="K90" s="59">
        <v>256</v>
      </c>
      <c r="L90" s="59">
        <v>839</v>
      </c>
      <c r="M90" s="59">
        <v>1024</v>
      </c>
      <c r="N90" s="59">
        <f t="shared" si="9"/>
        <v>2119</v>
      </c>
      <c r="O90" s="59"/>
      <c r="P90" s="59"/>
      <c r="Q90" s="59"/>
      <c r="R90" s="59"/>
      <c r="S90" s="59"/>
      <c r="T90" s="59"/>
      <c r="U90" s="59"/>
    </row>
    <row r="91" spans="1:21">
      <c r="A91" s="122">
        <v>2013</v>
      </c>
      <c r="B91" s="59">
        <v>4186</v>
      </c>
      <c r="C91" s="59" t="s">
        <v>23</v>
      </c>
      <c r="D91" s="59">
        <v>2396</v>
      </c>
      <c r="E91" s="59">
        <v>1806</v>
      </c>
      <c r="F91" s="59" t="s">
        <v>23</v>
      </c>
      <c r="G91" s="59">
        <f t="shared" si="8"/>
        <v>8388</v>
      </c>
      <c r="H91" s="58"/>
      <c r="I91" s="77" t="s">
        <v>23</v>
      </c>
      <c r="J91" s="77" t="s">
        <v>23</v>
      </c>
      <c r="K91" s="59">
        <v>1054</v>
      </c>
      <c r="L91" s="59">
        <v>792</v>
      </c>
      <c r="M91" s="77" t="s">
        <v>23</v>
      </c>
      <c r="N91" s="59">
        <f t="shared" si="9"/>
        <v>1846</v>
      </c>
      <c r="O91" s="59"/>
      <c r="P91" s="59">
        <v>0</v>
      </c>
      <c r="Q91" s="59">
        <v>0</v>
      </c>
      <c r="R91" s="59">
        <v>93</v>
      </c>
      <c r="S91" s="59">
        <v>6</v>
      </c>
      <c r="T91" s="59">
        <v>0</v>
      </c>
      <c r="U91" s="59">
        <f>SUM(P91:T91)</f>
        <v>99</v>
      </c>
    </row>
    <row r="92" spans="1:21">
      <c r="A92" s="122">
        <v>2014</v>
      </c>
      <c r="B92" s="59">
        <v>7553</v>
      </c>
      <c r="C92" s="59">
        <v>1217</v>
      </c>
      <c r="D92" s="59">
        <v>3208</v>
      </c>
      <c r="E92" s="59">
        <v>1672</v>
      </c>
      <c r="F92" s="59">
        <v>201</v>
      </c>
      <c r="G92" s="59">
        <f t="shared" si="8"/>
        <v>13851</v>
      </c>
      <c r="H92" s="58"/>
      <c r="I92" s="77" t="s">
        <v>23</v>
      </c>
      <c r="J92" s="77" t="s">
        <v>23</v>
      </c>
      <c r="K92" s="59">
        <v>1149</v>
      </c>
      <c r="L92" s="59">
        <v>3069</v>
      </c>
      <c r="M92" s="77">
        <v>384</v>
      </c>
      <c r="N92" s="59">
        <f t="shared" si="9"/>
        <v>4602</v>
      </c>
      <c r="O92" s="59"/>
      <c r="U92" s="59"/>
    </row>
    <row r="93" spans="1:21">
      <c r="A93" s="122">
        <v>2015</v>
      </c>
      <c r="B93" s="59">
        <v>4288</v>
      </c>
      <c r="C93" s="59" t="s">
        <v>23</v>
      </c>
      <c r="D93" s="59">
        <v>4292</v>
      </c>
      <c r="E93" s="59">
        <v>3619</v>
      </c>
      <c r="F93" s="59">
        <v>981</v>
      </c>
      <c r="G93" s="59">
        <f t="shared" si="8"/>
        <v>13180</v>
      </c>
      <c r="H93" s="58"/>
      <c r="I93" s="77" t="s">
        <v>23</v>
      </c>
      <c r="J93" s="77" t="s">
        <v>23</v>
      </c>
      <c r="K93" s="59">
        <v>133</v>
      </c>
      <c r="L93" s="59">
        <v>114</v>
      </c>
      <c r="M93" s="77">
        <v>62</v>
      </c>
      <c r="N93" s="59">
        <f t="shared" si="9"/>
        <v>309</v>
      </c>
      <c r="O93" s="59"/>
      <c r="P93" s="142">
        <v>0</v>
      </c>
      <c r="Q93" s="142">
        <v>0</v>
      </c>
      <c r="R93" s="142">
        <v>36</v>
      </c>
      <c r="S93" s="142">
        <v>0</v>
      </c>
      <c r="T93" s="142">
        <v>0</v>
      </c>
      <c r="U93" s="59">
        <f>SUM(P93:T93)</f>
        <v>36</v>
      </c>
    </row>
    <row r="94" spans="1:21">
      <c r="A94" s="122">
        <v>2016</v>
      </c>
      <c r="B94" s="59">
        <v>2228</v>
      </c>
      <c r="C94" s="59">
        <v>551</v>
      </c>
      <c r="D94" s="59">
        <v>1305</v>
      </c>
      <c r="E94" s="59">
        <v>89</v>
      </c>
      <c r="F94" s="59" t="s">
        <v>23</v>
      </c>
      <c r="G94" s="59">
        <f>SUM(B94:F94)</f>
        <v>4173</v>
      </c>
      <c r="H94" s="58"/>
      <c r="I94" s="77" t="s">
        <v>23</v>
      </c>
      <c r="J94" s="77" t="s">
        <v>23</v>
      </c>
      <c r="K94" s="77" t="s">
        <v>23</v>
      </c>
      <c r="L94" s="77" t="s">
        <v>23</v>
      </c>
      <c r="M94" s="77" t="s">
        <v>23</v>
      </c>
      <c r="N94" s="77" t="s">
        <v>23</v>
      </c>
      <c r="O94" s="59"/>
      <c r="U94" s="59"/>
    </row>
    <row r="95" spans="1:21">
      <c r="A95" s="122">
        <v>2017</v>
      </c>
      <c r="B95" s="59">
        <v>2112</v>
      </c>
      <c r="C95" s="59">
        <v>780</v>
      </c>
      <c r="D95" s="59">
        <v>308</v>
      </c>
      <c r="E95" s="59">
        <v>1275</v>
      </c>
      <c r="F95" s="59">
        <v>356</v>
      </c>
      <c r="G95" s="59">
        <f>SUM(B95:F95)</f>
        <v>4831</v>
      </c>
      <c r="H95" s="58"/>
      <c r="I95" s="77" t="s">
        <v>23</v>
      </c>
      <c r="J95" s="77" t="s">
        <v>23</v>
      </c>
      <c r="K95" s="77">
        <v>34</v>
      </c>
      <c r="L95" s="77">
        <v>228</v>
      </c>
      <c r="M95" s="77">
        <v>140</v>
      </c>
      <c r="N95" s="59">
        <f>SUM(I95:M95)</f>
        <v>402</v>
      </c>
      <c r="O95" s="59"/>
      <c r="P95" s="142">
        <v>0</v>
      </c>
      <c r="Q95" s="142">
        <v>0</v>
      </c>
      <c r="R95" s="142">
        <v>0</v>
      </c>
      <c r="S95" s="142">
        <v>2</v>
      </c>
      <c r="T95" s="142">
        <v>0</v>
      </c>
      <c r="U95" s="59">
        <f>SUM(P95:T95)</f>
        <v>2</v>
      </c>
    </row>
    <row r="96" spans="1:21">
      <c r="A96" s="122">
        <v>2018</v>
      </c>
      <c r="B96" s="59">
        <v>1174</v>
      </c>
      <c r="C96" s="59">
        <v>94</v>
      </c>
      <c r="D96" s="59">
        <v>297</v>
      </c>
      <c r="E96" s="59">
        <v>1119</v>
      </c>
      <c r="F96" s="59">
        <v>524</v>
      </c>
      <c r="G96" s="59">
        <f>SUM(B96:F96)</f>
        <v>3208</v>
      </c>
      <c r="H96" s="58"/>
      <c r="I96" s="77" t="s">
        <v>23</v>
      </c>
      <c r="J96" s="77" t="s">
        <v>23</v>
      </c>
      <c r="K96" s="77">
        <v>41</v>
      </c>
      <c r="L96" s="77">
        <v>181</v>
      </c>
      <c r="M96" s="77">
        <v>266</v>
      </c>
      <c r="N96" s="59">
        <f>SUM(I96:M96)</f>
        <v>488</v>
      </c>
      <c r="O96" s="59"/>
      <c r="U96" s="59"/>
    </row>
    <row r="97" spans="1:21">
      <c r="A97" s="122">
        <v>2019</v>
      </c>
      <c r="B97" s="59">
        <v>529</v>
      </c>
      <c r="C97" s="59">
        <v>61</v>
      </c>
      <c r="D97" s="59">
        <v>1838</v>
      </c>
      <c r="E97" s="59">
        <v>2373</v>
      </c>
      <c r="F97" s="59">
        <v>1584</v>
      </c>
      <c r="G97" s="59">
        <f t="shared" ref="G97:G98" si="10">SUM(B97:F97)</f>
        <v>6385</v>
      </c>
      <c r="H97" s="58"/>
      <c r="I97" s="77" t="s">
        <v>23</v>
      </c>
      <c r="J97" s="77" t="s">
        <v>23</v>
      </c>
      <c r="K97" s="77">
        <v>313</v>
      </c>
      <c r="L97" s="77">
        <v>633</v>
      </c>
      <c r="M97" s="77">
        <v>344</v>
      </c>
      <c r="N97" s="59">
        <f t="shared" ref="N97:N98" si="11">SUM(I97:M97)</f>
        <v>1290</v>
      </c>
      <c r="O97" s="59"/>
      <c r="P97" s="142">
        <v>0</v>
      </c>
      <c r="Q97" s="142">
        <v>0</v>
      </c>
      <c r="R97" s="142">
        <v>230</v>
      </c>
      <c r="S97" s="142">
        <v>0</v>
      </c>
      <c r="T97" s="142">
        <v>0</v>
      </c>
      <c r="U97" s="59">
        <f>SUM(P97:T97)</f>
        <v>230</v>
      </c>
    </row>
    <row r="98" spans="1:21">
      <c r="A98" s="122">
        <v>2020</v>
      </c>
      <c r="B98" s="59">
        <v>207</v>
      </c>
      <c r="C98" s="59">
        <v>535</v>
      </c>
      <c r="D98" s="59">
        <v>2386</v>
      </c>
      <c r="E98" s="59">
        <v>1402</v>
      </c>
      <c r="F98" s="59">
        <v>117</v>
      </c>
      <c r="G98" s="59">
        <f t="shared" si="10"/>
        <v>4647</v>
      </c>
      <c r="H98" s="58"/>
      <c r="I98" s="77" t="s">
        <v>23</v>
      </c>
      <c r="J98" s="77" t="s">
        <v>23</v>
      </c>
      <c r="K98" s="77">
        <v>29</v>
      </c>
      <c r="L98" s="77">
        <v>126</v>
      </c>
      <c r="M98" s="77">
        <v>49</v>
      </c>
      <c r="N98" s="59">
        <f t="shared" si="11"/>
        <v>204</v>
      </c>
      <c r="O98" s="59"/>
      <c r="U98" s="59"/>
    </row>
    <row r="99" spans="1:21" ht="13">
      <c r="A99" s="122" t="s">
        <v>318</v>
      </c>
      <c r="B99" s="16">
        <v>410</v>
      </c>
      <c r="C99" s="59">
        <v>232</v>
      </c>
      <c r="D99" s="16">
        <v>978</v>
      </c>
      <c r="E99" s="16">
        <v>1314</v>
      </c>
      <c r="F99" s="16">
        <v>321</v>
      </c>
      <c r="G99" s="16">
        <f t="shared" si="8"/>
        <v>3255</v>
      </c>
      <c r="H99" s="56"/>
      <c r="I99" s="57" t="s">
        <v>23</v>
      </c>
      <c r="J99" s="57" t="s">
        <v>23</v>
      </c>
      <c r="K99" s="57">
        <v>61</v>
      </c>
      <c r="L99" s="57">
        <v>235</v>
      </c>
      <c r="M99" s="57">
        <v>121</v>
      </c>
      <c r="N99" s="16">
        <f t="shared" si="9"/>
        <v>417</v>
      </c>
      <c r="O99" s="16"/>
      <c r="P99" s="142">
        <v>0</v>
      </c>
      <c r="Q99" s="142">
        <v>0</v>
      </c>
      <c r="R99" s="142">
        <v>1</v>
      </c>
      <c r="S99" s="142">
        <v>15</v>
      </c>
      <c r="T99" s="142">
        <v>0</v>
      </c>
      <c r="U99" s="59">
        <f>SUM(P99:T99)</f>
        <v>16</v>
      </c>
    </row>
    <row r="100" spans="1:21">
      <c r="B100" s="16"/>
      <c r="C100" s="16"/>
      <c r="D100" s="16"/>
      <c r="E100" s="16"/>
      <c r="F100" s="16"/>
      <c r="G100" s="16"/>
      <c r="H100" s="56"/>
      <c r="I100" s="16"/>
      <c r="J100" s="16"/>
      <c r="K100" s="16"/>
      <c r="L100" s="16"/>
      <c r="M100" s="16"/>
      <c r="N100" s="16"/>
      <c r="O100" s="16"/>
    </row>
    <row r="101" spans="1:21">
      <c r="A101" s="94" t="s">
        <v>58</v>
      </c>
      <c r="B101" s="16"/>
      <c r="C101" s="16"/>
      <c r="D101" s="16"/>
      <c r="E101" s="16"/>
      <c r="F101" s="16"/>
      <c r="G101" s="16"/>
      <c r="H101" s="56"/>
      <c r="I101" s="16"/>
      <c r="J101" s="16"/>
      <c r="K101" s="16"/>
      <c r="L101" s="16"/>
      <c r="M101" s="16"/>
      <c r="N101" s="16"/>
      <c r="O101" s="16"/>
    </row>
    <row r="102" spans="1:21">
      <c r="A102" s="99">
        <v>1976</v>
      </c>
      <c r="B102" s="16">
        <f>775+48825</f>
        <v>49600</v>
      </c>
      <c r="C102" s="16">
        <v>48285</v>
      </c>
      <c r="D102" s="16">
        <v>27550</v>
      </c>
      <c r="E102" s="16">
        <v>16801</v>
      </c>
      <c r="F102" s="16">
        <f>7939+3020</f>
        <v>10959</v>
      </c>
      <c r="G102" s="16">
        <f t="shared" ref="G102:G119" si="12">SUM(B102:F102)</f>
        <v>153195</v>
      </c>
      <c r="H102" s="56"/>
      <c r="I102" s="57" t="s">
        <v>23</v>
      </c>
      <c r="J102" s="16">
        <f>69481+4</f>
        <v>69485</v>
      </c>
      <c r="K102" s="16">
        <v>191929</v>
      </c>
      <c r="L102" s="16">
        <v>86514</v>
      </c>
      <c r="M102" s="16">
        <f>42714+10709</f>
        <v>53423</v>
      </c>
      <c r="N102" s="16">
        <f t="shared" ref="N102:N109" si="13">SUM(I102:M102)</f>
        <v>401351</v>
      </c>
      <c r="O102" s="16"/>
      <c r="U102" s="57"/>
    </row>
    <row r="103" spans="1:21">
      <c r="A103" s="99">
        <v>1977</v>
      </c>
      <c r="B103" s="16">
        <f>535+32101</f>
        <v>32636</v>
      </c>
      <c r="C103" s="16">
        <v>16654</v>
      </c>
      <c r="D103" s="16">
        <v>23856</v>
      </c>
      <c r="E103" s="16">
        <v>9723</v>
      </c>
      <c r="F103" s="16">
        <f>7083+4167</f>
        <v>11250</v>
      </c>
      <c r="G103" s="16">
        <f t="shared" si="12"/>
        <v>94119</v>
      </c>
      <c r="H103" s="56"/>
      <c r="I103" s="57" t="s">
        <v>23</v>
      </c>
      <c r="J103" s="57" t="s">
        <v>23</v>
      </c>
      <c r="K103" s="16">
        <v>137696</v>
      </c>
      <c r="L103" s="16">
        <v>39714</v>
      </c>
      <c r="M103" s="16">
        <f>9018+3242</f>
        <v>12260</v>
      </c>
      <c r="N103" s="16">
        <f t="shared" si="13"/>
        <v>189670</v>
      </c>
      <c r="O103" s="16"/>
      <c r="P103" s="142">
        <v>473</v>
      </c>
      <c r="Q103" s="142">
        <v>106</v>
      </c>
      <c r="R103" s="142">
        <v>17455</v>
      </c>
      <c r="S103" s="142">
        <v>6976</v>
      </c>
      <c r="T103" s="142">
        <f>206+2</f>
        <v>208</v>
      </c>
      <c r="U103" s="16">
        <f>SUM(P103:T103)</f>
        <v>25218</v>
      </c>
    </row>
    <row r="104" spans="1:21">
      <c r="A104" s="99">
        <v>1978</v>
      </c>
      <c r="B104" s="16">
        <v>17755</v>
      </c>
      <c r="C104" s="16">
        <v>10417</v>
      </c>
      <c r="D104" s="16">
        <v>12017</v>
      </c>
      <c r="E104" s="16">
        <v>5266</v>
      </c>
      <c r="F104" s="16">
        <f>2853+1093+82</f>
        <v>4028</v>
      </c>
      <c r="G104" s="16">
        <f t="shared" si="12"/>
        <v>49483</v>
      </c>
      <c r="H104" s="56"/>
      <c r="I104" s="16" t="s">
        <v>23</v>
      </c>
      <c r="J104" s="16" t="s">
        <v>23</v>
      </c>
      <c r="K104" s="16">
        <v>92777</v>
      </c>
      <c r="L104" s="16">
        <v>13975</v>
      </c>
      <c r="M104" s="16">
        <f>18959+2551+298</f>
        <v>21808</v>
      </c>
      <c r="N104" s="16">
        <f t="shared" si="13"/>
        <v>128560</v>
      </c>
      <c r="O104" s="16"/>
      <c r="U104" s="57"/>
    </row>
    <row r="105" spans="1:21">
      <c r="A105" s="99">
        <v>1979</v>
      </c>
      <c r="B105" s="16">
        <f>4041+15644</f>
        <v>19685</v>
      </c>
      <c r="C105" s="16">
        <v>19</v>
      </c>
      <c r="D105" s="16">
        <v>14741</v>
      </c>
      <c r="E105" s="16">
        <v>22958</v>
      </c>
      <c r="F105" s="16">
        <v>200</v>
      </c>
      <c r="G105" s="16">
        <f t="shared" si="12"/>
        <v>57603</v>
      </c>
      <c r="H105" s="56"/>
      <c r="I105" s="16" t="s">
        <v>23</v>
      </c>
      <c r="J105" s="16" t="s">
        <v>23</v>
      </c>
      <c r="K105" s="16">
        <v>128848</v>
      </c>
      <c r="L105" s="16">
        <v>85759</v>
      </c>
      <c r="M105" s="16">
        <v>747</v>
      </c>
      <c r="N105" s="16">
        <f t="shared" si="13"/>
        <v>215354</v>
      </c>
      <c r="O105" s="16"/>
      <c r="P105" s="142">
        <v>5</v>
      </c>
      <c r="Q105" s="16">
        <v>0</v>
      </c>
      <c r="R105" s="142">
        <v>9141</v>
      </c>
      <c r="S105" s="142">
        <v>20044</v>
      </c>
      <c r="T105" s="142">
        <v>29</v>
      </c>
      <c r="U105" s="16">
        <f>SUM(P105:T105)</f>
        <v>29219</v>
      </c>
    </row>
    <row r="106" spans="1:21">
      <c r="A106" s="99">
        <v>1980</v>
      </c>
      <c r="B106" s="16">
        <f>1630+21161</f>
        <v>22791</v>
      </c>
      <c r="C106" s="16">
        <v>59</v>
      </c>
      <c r="D106" s="16">
        <v>16452</v>
      </c>
      <c r="E106" s="16">
        <v>11780</v>
      </c>
      <c r="F106" s="16">
        <v>17</v>
      </c>
      <c r="G106" s="16">
        <f t="shared" si="12"/>
        <v>51099</v>
      </c>
      <c r="H106" s="56"/>
      <c r="I106" s="57">
        <v>97</v>
      </c>
      <c r="J106" s="16" t="s">
        <v>23</v>
      </c>
      <c r="K106" s="16">
        <v>65284</v>
      </c>
      <c r="L106" s="16">
        <v>37240</v>
      </c>
      <c r="M106" s="16">
        <v>18</v>
      </c>
      <c r="N106" s="16">
        <f t="shared" si="13"/>
        <v>102639</v>
      </c>
      <c r="O106" s="16"/>
      <c r="U106" s="57"/>
    </row>
    <row r="107" spans="1:21">
      <c r="A107" s="99">
        <v>1981</v>
      </c>
      <c r="B107" s="16">
        <f>691+22997</f>
        <v>23688</v>
      </c>
      <c r="C107" s="16">
        <v>1462</v>
      </c>
      <c r="D107" s="16">
        <v>12785</v>
      </c>
      <c r="E107" s="16">
        <v>10257</v>
      </c>
      <c r="F107" s="16" t="s">
        <v>23</v>
      </c>
      <c r="G107" s="16">
        <f t="shared" si="12"/>
        <v>48192</v>
      </c>
      <c r="H107" s="56"/>
      <c r="I107" s="16" t="s">
        <v>23</v>
      </c>
      <c r="J107" s="16" t="s">
        <v>23</v>
      </c>
      <c r="K107" s="16">
        <v>89642</v>
      </c>
      <c r="L107" s="16">
        <v>32581</v>
      </c>
      <c r="M107" s="16" t="s">
        <v>23</v>
      </c>
      <c r="N107" s="16">
        <f t="shared" si="13"/>
        <v>122223</v>
      </c>
      <c r="O107" s="16"/>
      <c r="P107" s="142">
        <f>33+102</f>
        <v>135</v>
      </c>
      <c r="Q107" s="142">
        <v>60</v>
      </c>
      <c r="R107" s="142">
        <v>12449</v>
      </c>
      <c r="S107" s="142">
        <v>7546</v>
      </c>
      <c r="T107" s="16" t="s">
        <v>23</v>
      </c>
      <c r="U107" s="16">
        <f>SUM(P107:T107)</f>
        <v>20190</v>
      </c>
    </row>
    <row r="108" spans="1:21">
      <c r="A108" s="99">
        <v>1982</v>
      </c>
      <c r="B108" s="16">
        <f>2078+37633</f>
        <v>39711</v>
      </c>
      <c r="C108" s="16">
        <v>5988</v>
      </c>
      <c r="D108" s="16">
        <v>27981</v>
      </c>
      <c r="E108" s="16">
        <v>54</v>
      </c>
      <c r="F108" s="16" t="s">
        <v>23</v>
      </c>
      <c r="G108" s="16">
        <f t="shared" si="12"/>
        <v>73734</v>
      </c>
      <c r="H108" s="56"/>
      <c r="I108" s="16" t="s">
        <v>23</v>
      </c>
      <c r="J108" s="16" t="s">
        <v>23</v>
      </c>
      <c r="K108" s="16">
        <v>48858</v>
      </c>
      <c r="L108" s="16">
        <v>240</v>
      </c>
      <c r="M108" s="16" t="s">
        <v>23</v>
      </c>
      <c r="N108" s="16">
        <f t="shared" si="13"/>
        <v>49098</v>
      </c>
      <c r="O108" s="16"/>
      <c r="U108" s="57"/>
    </row>
    <row r="109" spans="1:21">
      <c r="A109" s="99">
        <v>1983</v>
      </c>
      <c r="B109" s="16">
        <f>206+18713</f>
        <v>18919</v>
      </c>
      <c r="C109" s="16">
        <v>3718</v>
      </c>
      <c r="D109" s="16">
        <v>4138</v>
      </c>
      <c r="E109" s="16">
        <v>672</v>
      </c>
      <c r="F109" s="16" t="s">
        <v>23</v>
      </c>
      <c r="G109" s="16">
        <f t="shared" si="12"/>
        <v>27447</v>
      </c>
      <c r="H109" s="56"/>
      <c r="I109" s="16" t="s">
        <v>23</v>
      </c>
      <c r="J109" s="16" t="s">
        <v>23</v>
      </c>
      <c r="K109" s="16">
        <v>1081</v>
      </c>
      <c r="L109" s="16">
        <v>244</v>
      </c>
      <c r="M109" s="16" t="s">
        <v>23</v>
      </c>
      <c r="N109" s="16">
        <f t="shared" si="13"/>
        <v>1325</v>
      </c>
      <c r="O109" s="16"/>
      <c r="P109" s="142">
        <v>0</v>
      </c>
      <c r="Q109" s="16">
        <v>0</v>
      </c>
      <c r="R109" s="142">
        <v>0</v>
      </c>
      <c r="S109" s="16">
        <v>0</v>
      </c>
      <c r="T109" s="16" t="s">
        <v>23</v>
      </c>
      <c r="U109" s="16">
        <f>SUM(P109:T109)</f>
        <v>0</v>
      </c>
    </row>
    <row r="110" spans="1:21">
      <c r="A110" s="99">
        <v>1984</v>
      </c>
      <c r="B110" s="16">
        <v>5822</v>
      </c>
      <c r="C110" s="16" t="s">
        <v>23</v>
      </c>
      <c r="D110" s="16" t="s">
        <v>23</v>
      </c>
      <c r="E110" s="16" t="s">
        <v>23</v>
      </c>
      <c r="F110" s="16" t="s">
        <v>23</v>
      </c>
      <c r="G110" s="16">
        <f t="shared" si="12"/>
        <v>5822</v>
      </c>
      <c r="H110" s="56"/>
      <c r="I110" s="16" t="s">
        <v>23</v>
      </c>
      <c r="J110" s="16" t="s">
        <v>23</v>
      </c>
      <c r="K110" s="16" t="s">
        <v>23</v>
      </c>
      <c r="L110" s="16" t="s">
        <v>23</v>
      </c>
      <c r="M110" s="16" t="s">
        <v>23</v>
      </c>
      <c r="N110" s="57" t="s">
        <v>23</v>
      </c>
      <c r="O110" s="16"/>
      <c r="U110" s="16"/>
    </row>
    <row r="111" spans="1:21">
      <c r="A111" s="99">
        <v>1985</v>
      </c>
      <c r="B111" s="16">
        <f>1861+10111</f>
        <v>11972</v>
      </c>
      <c r="C111" s="16">
        <v>230</v>
      </c>
      <c r="D111" s="16">
        <v>7580</v>
      </c>
      <c r="E111" s="16" t="s">
        <v>23</v>
      </c>
      <c r="F111" s="16" t="s">
        <v>23</v>
      </c>
      <c r="G111" s="16">
        <f t="shared" si="12"/>
        <v>19782</v>
      </c>
      <c r="H111" s="56"/>
      <c r="I111" s="16" t="s">
        <v>23</v>
      </c>
      <c r="J111" s="16" t="s">
        <v>23</v>
      </c>
      <c r="K111" s="57">
        <v>81884</v>
      </c>
      <c r="L111" s="16" t="s">
        <v>23</v>
      </c>
      <c r="M111" s="16" t="s">
        <v>23</v>
      </c>
      <c r="N111" s="16">
        <f>SUM(I111:M111)</f>
        <v>81884</v>
      </c>
      <c r="O111" s="16"/>
      <c r="P111" s="142">
        <f>1+97</f>
        <v>98</v>
      </c>
      <c r="Q111" s="16">
        <v>0</v>
      </c>
      <c r="R111" s="142">
        <v>2478</v>
      </c>
      <c r="S111" s="16" t="s">
        <v>23</v>
      </c>
      <c r="T111" s="16" t="s">
        <v>23</v>
      </c>
      <c r="U111" s="16">
        <f>SUM(P111:T111)</f>
        <v>2576</v>
      </c>
    </row>
    <row r="112" spans="1:21">
      <c r="A112" s="99">
        <v>1986</v>
      </c>
      <c r="B112" s="16">
        <f>959+12223</f>
        <v>13182</v>
      </c>
      <c r="C112" s="16">
        <v>28</v>
      </c>
      <c r="D112" s="16" t="s">
        <v>23</v>
      </c>
      <c r="E112" s="16">
        <v>418</v>
      </c>
      <c r="F112" s="16" t="s">
        <v>23</v>
      </c>
      <c r="G112" s="16">
        <f t="shared" si="12"/>
        <v>13628</v>
      </c>
      <c r="H112" s="56"/>
      <c r="I112" s="16" t="s">
        <v>23</v>
      </c>
      <c r="J112" s="16" t="s">
        <v>23</v>
      </c>
      <c r="K112" s="16" t="s">
        <v>23</v>
      </c>
      <c r="L112" s="16">
        <v>2588</v>
      </c>
      <c r="M112" s="16" t="s">
        <v>23</v>
      </c>
      <c r="N112" s="16">
        <f>SUM(I112:M112)</f>
        <v>2588</v>
      </c>
      <c r="O112" s="16"/>
      <c r="U112" s="57"/>
    </row>
    <row r="113" spans="1:21">
      <c r="A113" s="99">
        <v>1987</v>
      </c>
      <c r="B113" s="16">
        <f>425+24118</f>
        <v>24543</v>
      </c>
      <c r="C113" s="16" t="s">
        <v>23</v>
      </c>
      <c r="D113" s="16">
        <v>17639</v>
      </c>
      <c r="E113" s="16" t="s">
        <v>23</v>
      </c>
      <c r="F113" s="16" t="s">
        <v>23</v>
      </c>
      <c r="G113" s="16">
        <f t="shared" si="12"/>
        <v>42182</v>
      </c>
      <c r="H113" s="56"/>
      <c r="I113" s="16" t="s">
        <v>23</v>
      </c>
      <c r="J113" s="16" t="s">
        <v>23</v>
      </c>
      <c r="K113" s="16">
        <v>34992</v>
      </c>
      <c r="L113" s="16" t="s">
        <v>23</v>
      </c>
      <c r="M113" s="16" t="s">
        <v>23</v>
      </c>
      <c r="N113" s="16">
        <f>SUM(I113:M113)</f>
        <v>34992</v>
      </c>
      <c r="O113" s="16"/>
      <c r="P113" s="142">
        <v>0</v>
      </c>
      <c r="Q113" s="16" t="s">
        <v>23</v>
      </c>
      <c r="R113" s="142">
        <v>390</v>
      </c>
      <c r="S113" s="16" t="s">
        <v>23</v>
      </c>
      <c r="T113" s="16" t="s">
        <v>23</v>
      </c>
      <c r="U113" s="16">
        <f>SUM(P113:T113)</f>
        <v>390</v>
      </c>
    </row>
    <row r="114" spans="1:21">
      <c r="A114" s="99">
        <v>1988</v>
      </c>
      <c r="B114" s="16">
        <f>129+22090</f>
        <v>22219</v>
      </c>
      <c r="C114" s="16">
        <v>10550</v>
      </c>
      <c r="D114" s="16" t="s">
        <v>23</v>
      </c>
      <c r="E114" s="16" t="s">
        <v>23</v>
      </c>
      <c r="F114" s="16" t="s">
        <v>23</v>
      </c>
      <c r="G114" s="16">
        <f t="shared" si="12"/>
        <v>32769</v>
      </c>
      <c r="H114" s="56"/>
      <c r="I114" s="16" t="s">
        <v>23</v>
      </c>
      <c r="J114" s="16" t="s">
        <v>23</v>
      </c>
      <c r="K114" s="16" t="s">
        <v>23</v>
      </c>
      <c r="L114" s="16" t="s">
        <v>23</v>
      </c>
      <c r="M114" s="16" t="s">
        <v>23</v>
      </c>
      <c r="N114" s="57" t="s">
        <v>23</v>
      </c>
      <c r="O114" s="16"/>
      <c r="U114" s="57"/>
    </row>
    <row r="115" spans="1:21">
      <c r="A115" s="99">
        <v>1989</v>
      </c>
      <c r="B115" s="16">
        <v>22220</v>
      </c>
      <c r="C115" s="16">
        <v>14553</v>
      </c>
      <c r="D115" s="16" t="s">
        <v>23</v>
      </c>
      <c r="E115" s="16" t="s">
        <v>23</v>
      </c>
      <c r="F115" s="16" t="s">
        <v>23</v>
      </c>
      <c r="G115" s="16">
        <f t="shared" si="12"/>
        <v>36773</v>
      </c>
      <c r="H115" s="56"/>
      <c r="I115" s="16" t="s">
        <v>23</v>
      </c>
      <c r="J115" s="16" t="s">
        <v>23</v>
      </c>
      <c r="K115" s="16" t="s">
        <v>23</v>
      </c>
      <c r="L115" s="16">
        <v>20</v>
      </c>
      <c r="M115" s="16" t="s">
        <v>23</v>
      </c>
      <c r="N115" s="16">
        <f>SUM(I115:M115)</f>
        <v>20</v>
      </c>
      <c r="O115" s="16"/>
      <c r="P115" s="142">
        <v>229</v>
      </c>
      <c r="Q115" s="142">
        <v>182</v>
      </c>
      <c r="R115" s="16" t="s">
        <v>23</v>
      </c>
      <c r="S115" s="142">
        <v>23</v>
      </c>
      <c r="T115" s="16" t="s">
        <v>23</v>
      </c>
      <c r="U115" s="16">
        <f>SUM(P115:T115)</f>
        <v>434</v>
      </c>
    </row>
    <row r="116" spans="1:21">
      <c r="A116" s="99">
        <v>1990</v>
      </c>
      <c r="B116" s="16">
        <f>1667+6047</f>
        <v>7714</v>
      </c>
      <c r="C116" s="16">
        <v>781</v>
      </c>
      <c r="D116" s="16" t="s">
        <v>23</v>
      </c>
      <c r="E116" s="16">
        <v>2559</v>
      </c>
      <c r="F116" s="16" t="s">
        <v>23</v>
      </c>
      <c r="G116" s="16">
        <f t="shared" si="12"/>
        <v>11054</v>
      </c>
      <c r="H116" s="56"/>
      <c r="I116" s="16" t="s">
        <v>23</v>
      </c>
      <c r="J116" s="16" t="s">
        <v>23</v>
      </c>
      <c r="K116" s="16" t="s">
        <v>23</v>
      </c>
      <c r="L116" s="16">
        <v>24862</v>
      </c>
      <c r="M116" s="16" t="s">
        <v>23</v>
      </c>
      <c r="N116" s="16">
        <f>SUM(I116:M116)</f>
        <v>24862</v>
      </c>
      <c r="O116" s="16"/>
      <c r="U116" s="16"/>
    </row>
    <row r="117" spans="1:21">
      <c r="A117" s="99">
        <v>1991</v>
      </c>
      <c r="B117" s="16">
        <v>4414</v>
      </c>
      <c r="C117" s="16">
        <v>6483</v>
      </c>
      <c r="D117" s="16" t="s">
        <v>23</v>
      </c>
      <c r="E117" s="16" t="s">
        <v>23</v>
      </c>
      <c r="F117" s="16">
        <v>374</v>
      </c>
      <c r="G117" s="16">
        <f t="shared" si="12"/>
        <v>11271</v>
      </c>
      <c r="H117" s="56"/>
      <c r="I117" s="16" t="s">
        <v>23</v>
      </c>
      <c r="J117" s="16" t="s">
        <v>23</v>
      </c>
      <c r="K117" s="16" t="s">
        <v>23</v>
      </c>
      <c r="L117" s="57">
        <v>5526</v>
      </c>
      <c r="M117" s="16">
        <v>6867</v>
      </c>
      <c r="N117" s="16">
        <f>SUM(I117:M117)</f>
        <v>12393</v>
      </c>
      <c r="O117" s="16"/>
      <c r="P117" s="16">
        <v>1</v>
      </c>
      <c r="Q117" s="16">
        <v>1</v>
      </c>
      <c r="R117" s="16" t="s">
        <v>23</v>
      </c>
      <c r="S117" s="16" t="s">
        <v>23</v>
      </c>
      <c r="T117" s="16">
        <v>5</v>
      </c>
      <c r="U117" s="16">
        <f>SUM(P117:T117)</f>
        <v>7</v>
      </c>
    </row>
    <row r="118" spans="1:21">
      <c r="A118" s="99">
        <v>1992</v>
      </c>
      <c r="B118" s="16">
        <v>8961</v>
      </c>
      <c r="C118" s="16">
        <v>4375</v>
      </c>
      <c r="D118" s="16">
        <v>3130</v>
      </c>
      <c r="E118" s="16">
        <v>1812</v>
      </c>
      <c r="F118" s="16" t="s">
        <v>23</v>
      </c>
      <c r="G118" s="16">
        <f t="shared" si="12"/>
        <v>18278</v>
      </c>
      <c r="H118" s="56"/>
      <c r="I118" s="16" t="s">
        <v>23</v>
      </c>
      <c r="J118" s="16" t="s">
        <v>23</v>
      </c>
      <c r="K118" s="16">
        <v>2716</v>
      </c>
      <c r="L118" s="16">
        <v>2437</v>
      </c>
      <c r="M118" s="16" t="s">
        <v>23</v>
      </c>
      <c r="N118" s="16">
        <f>SUM(I118:M118)</f>
        <v>5153</v>
      </c>
      <c r="O118" s="16"/>
      <c r="P118" s="16"/>
      <c r="Q118" s="16"/>
      <c r="R118" s="16"/>
      <c r="S118" s="16"/>
      <c r="T118" s="16"/>
      <c r="U118" s="16"/>
    </row>
    <row r="119" spans="1:21">
      <c r="A119" s="99">
        <v>1993</v>
      </c>
      <c r="B119" s="16">
        <v>4980</v>
      </c>
      <c r="C119" s="16">
        <v>4622</v>
      </c>
      <c r="D119" s="16">
        <v>483</v>
      </c>
      <c r="E119" s="16">
        <v>602</v>
      </c>
      <c r="F119" s="16">
        <v>1484</v>
      </c>
      <c r="G119" s="16">
        <f t="shared" si="12"/>
        <v>12171</v>
      </c>
      <c r="H119" s="56"/>
      <c r="I119" s="57" t="s">
        <v>23</v>
      </c>
      <c r="J119" s="57" t="s">
        <v>23</v>
      </c>
      <c r="K119" s="16">
        <v>1220</v>
      </c>
      <c r="L119" s="16">
        <v>2128</v>
      </c>
      <c r="M119" s="16">
        <v>5173</v>
      </c>
      <c r="N119" s="16">
        <f>SUM(I119:M119)</f>
        <v>8521</v>
      </c>
      <c r="O119" s="16"/>
      <c r="P119" s="16">
        <v>2</v>
      </c>
      <c r="Q119" s="16">
        <v>0</v>
      </c>
      <c r="R119" s="16">
        <v>4</v>
      </c>
      <c r="S119" s="16">
        <v>6</v>
      </c>
      <c r="T119" s="16">
        <v>3</v>
      </c>
      <c r="U119" s="16">
        <f>SUM(P119:T119)</f>
        <v>15</v>
      </c>
    </row>
    <row r="120" spans="1:21">
      <c r="A120" s="99">
        <v>1994</v>
      </c>
      <c r="B120" s="16" t="s">
        <v>23</v>
      </c>
      <c r="C120" s="16" t="s">
        <v>23</v>
      </c>
      <c r="D120" s="16" t="s">
        <v>23</v>
      </c>
      <c r="E120" s="16" t="s">
        <v>23</v>
      </c>
      <c r="F120" s="16" t="s">
        <v>23</v>
      </c>
      <c r="G120" s="16" t="s">
        <v>23</v>
      </c>
      <c r="H120" s="56"/>
      <c r="I120" s="16" t="s">
        <v>23</v>
      </c>
      <c r="J120" s="16" t="s">
        <v>23</v>
      </c>
      <c r="K120" s="16" t="s">
        <v>23</v>
      </c>
      <c r="L120" s="16" t="s">
        <v>23</v>
      </c>
      <c r="M120" s="16" t="s">
        <v>23</v>
      </c>
      <c r="N120" s="16" t="s">
        <v>23</v>
      </c>
      <c r="O120" s="16"/>
      <c r="P120" s="16"/>
      <c r="Q120" s="16"/>
      <c r="R120" s="16"/>
      <c r="S120" s="16"/>
      <c r="T120" s="16"/>
      <c r="U120" s="16"/>
    </row>
    <row r="121" spans="1:21">
      <c r="A121" s="99">
        <v>1995</v>
      </c>
      <c r="B121" s="16" t="s">
        <v>23</v>
      </c>
      <c r="C121" s="16" t="s">
        <v>23</v>
      </c>
      <c r="D121" s="16" t="s">
        <v>23</v>
      </c>
      <c r="E121" s="16" t="s">
        <v>23</v>
      </c>
      <c r="F121" s="16" t="s">
        <v>23</v>
      </c>
      <c r="G121" s="16" t="s">
        <v>23</v>
      </c>
      <c r="H121" s="56"/>
      <c r="I121" s="16" t="s">
        <v>23</v>
      </c>
      <c r="J121" s="16" t="s">
        <v>23</v>
      </c>
      <c r="K121" s="16" t="s">
        <v>23</v>
      </c>
      <c r="L121" s="16" t="s">
        <v>23</v>
      </c>
      <c r="M121" s="16" t="s">
        <v>23</v>
      </c>
      <c r="N121" s="16" t="s">
        <v>23</v>
      </c>
      <c r="O121" s="16"/>
      <c r="P121" s="16" t="s">
        <v>23</v>
      </c>
      <c r="Q121" s="16" t="s">
        <v>23</v>
      </c>
      <c r="R121" s="16" t="s">
        <v>23</v>
      </c>
      <c r="S121" s="16" t="s">
        <v>23</v>
      </c>
      <c r="T121" s="16" t="s">
        <v>23</v>
      </c>
      <c r="U121" s="16" t="s">
        <v>23</v>
      </c>
    </row>
    <row r="122" spans="1:21">
      <c r="A122" s="99">
        <v>1996</v>
      </c>
      <c r="B122" s="16" t="s">
        <v>23</v>
      </c>
      <c r="C122" s="16" t="s">
        <v>23</v>
      </c>
      <c r="D122" s="16" t="s">
        <v>23</v>
      </c>
      <c r="E122" s="16" t="s">
        <v>23</v>
      </c>
      <c r="F122" s="16" t="s">
        <v>23</v>
      </c>
      <c r="G122" s="16" t="s">
        <v>23</v>
      </c>
      <c r="H122" s="56"/>
      <c r="I122" s="16" t="s">
        <v>23</v>
      </c>
      <c r="J122" s="16" t="s">
        <v>23</v>
      </c>
      <c r="K122" s="16">
        <v>1376</v>
      </c>
      <c r="L122" s="16">
        <v>2699</v>
      </c>
      <c r="M122" s="16" t="s">
        <v>23</v>
      </c>
      <c r="N122" s="16">
        <f>SUM(I122:M122)</f>
        <v>4075</v>
      </c>
      <c r="O122" s="16"/>
      <c r="P122" s="16"/>
      <c r="Q122" s="16"/>
      <c r="R122" s="16"/>
      <c r="S122" s="16"/>
      <c r="T122" s="16"/>
      <c r="U122" s="16"/>
    </row>
    <row r="123" spans="1:21">
      <c r="A123" s="99">
        <v>1997</v>
      </c>
      <c r="B123" s="16">
        <v>241</v>
      </c>
      <c r="C123" s="16">
        <v>98</v>
      </c>
      <c r="D123" s="16" t="s">
        <v>23</v>
      </c>
      <c r="E123" s="16" t="s">
        <v>23</v>
      </c>
      <c r="F123" s="16" t="s">
        <v>23</v>
      </c>
      <c r="G123" s="16">
        <f t="shared" ref="G123:G147" si="14">SUM(B123:F123)</f>
        <v>339</v>
      </c>
      <c r="H123" s="56"/>
      <c r="I123" s="16" t="s">
        <v>23</v>
      </c>
      <c r="J123" s="16" t="s">
        <v>23</v>
      </c>
      <c r="K123" s="16" t="s">
        <v>23</v>
      </c>
      <c r="L123" s="16" t="s">
        <v>23</v>
      </c>
      <c r="M123" s="16" t="s">
        <v>23</v>
      </c>
      <c r="N123" s="16" t="s">
        <v>23</v>
      </c>
      <c r="O123" s="16"/>
      <c r="P123" s="16">
        <v>0</v>
      </c>
      <c r="Q123" s="16">
        <v>1</v>
      </c>
      <c r="R123" s="16" t="s">
        <v>23</v>
      </c>
      <c r="S123" s="16" t="s">
        <v>23</v>
      </c>
      <c r="T123" s="16" t="s">
        <v>23</v>
      </c>
      <c r="U123" s="16">
        <f>SUM(P123:T123)</f>
        <v>1</v>
      </c>
    </row>
    <row r="124" spans="1:21">
      <c r="A124" s="99">
        <v>1998</v>
      </c>
      <c r="B124" s="57">
        <v>79</v>
      </c>
      <c r="C124" s="57">
        <v>0</v>
      </c>
      <c r="D124" s="16" t="s">
        <v>23</v>
      </c>
      <c r="E124" s="16" t="s">
        <v>23</v>
      </c>
      <c r="F124" s="16" t="s">
        <v>23</v>
      </c>
      <c r="G124" s="16">
        <f t="shared" si="14"/>
        <v>79</v>
      </c>
      <c r="H124" s="56"/>
      <c r="I124" s="16" t="s">
        <v>23</v>
      </c>
      <c r="J124" s="16" t="s">
        <v>23</v>
      </c>
      <c r="K124" s="16" t="s">
        <v>23</v>
      </c>
      <c r="L124" s="16" t="s">
        <v>23</v>
      </c>
      <c r="M124" s="16" t="s">
        <v>23</v>
      </c>
      <c r="N124" s="16" t="s">
        <v>23</v>
      </c>
      <c r="O124" s="16"/>
      <c r="P124" s="16"/>
      <c r="Q124" s="16"/>
      <c r="R124" s="16"/>
      <c r="S124" s="16"/>
      <c r="T124" s="16"/>
      <c r="U124" s="16"/>
    </row>
    <row r="125" spans="1:21">
      <c r="A125" s="99">
        <v>1999</v>
      </c>
      <c r="B125" s="57">
        <v>1255</v>
      </c>
      <c r="C125" s="57">
        <v>2137</v>
      </c>
      <c r="D125" s="16">
        <v>266</v>
      </c>
      <c r="E125" s="16">
        <v>486</v>
      </c>
      <c r="F125" s="16" t="s">
        <v>23</v>
      </c>
      <c r="G125" s="16">
        <f t="shared" si="14"/>
        <v>4144</v>
      </c>
      <c r="H125" s="56"/>
      <c r="I125" s="16" t="s">
        <v>23</v>
      </c>
      <c r="J125" s="16" t="s">
        <v>23</v>
      </c>
      <c r="K125" s="16">
        <v>161</v>
      </c>
      <c r="L125" s="16">
        <v>448</v>
      </c>
      <c r="M125" s="16">
        <v>9</v>
      </c>
      <c r="N125" s="16">
        <f t="shared" ref="N125:N147" si="15">SUM(I125:M125)</f>
        <v>618</v>
      </c>
      <c r="O125" s="16"/>
      <c r="P125" s="16">
        <v>0</v>
      </c>
      <c r="Q125" s="16">
        <v>1</v>
      </c>
      <c r="R125" s="16">
        <v>1</v>
      </c>
      <c r="S125" s="16">
        <v>0</v>
      </c>
      <c r="T125" s="16">
        <v>0</v>
      </c>
      <c r="U125" s="16">
        <f>SUM(P125:T125)</f>
        <v>2</v>
      </c>
    </row>
    <row r="126" spans="1:21">
      <c r="A126" s="99">
        <v>2000</v>
      </c>
      <c r="B126" s="57">
        <v>0</v>
      </c>
      <c r="C126" s="57">
        <v>0</v>
      </c>
      <c r="D126" s="16" t="s">
        <v>23</v>
      </c>
      <c r="E126" s="16">
        <v>752</v>
      </c>
      <c r="F126" s="16">
        <v>3</v>
      </c>
      <c r="G126" s="16">
        <f t="shared" si="14"/>
        <v>755</v>
      </c>
      <c r="H126" s="56"/>
      <c r="I126" s="16" t="s">
        <v>23</v>
      </c>
      <c r="J126" s="16" t="s">
        <v>23</v>
      </c>
      <c r="K126" s="16" t="s">
        <v>23</v>
      </c>
      <c r="L126" s="16">
        <v>2419</v>
      </c>
      <c r="M126" s="16">
        <v>49</v>
      </c>
      <c r="N126" s="16">
        <f t="shared" si="15"/>
        <v>2468</v>
      </c>
      <c r="O126" s="16"/>
      <c r="P126" s="16"/>
      <c r="Q126" s="16"/>
      <c r="R126" s="16"/>
      <c r="S126" s="16"/>
      <c r="T126" s="16"/>
      <c r="U126" s="16"/>
    </row>
    <row r="127" spans="1:21">
      <c r="A127" s="99">
        <v>2001</v>
      </c>
      <c r="B127" s="16">
        <v>4177</v>
      </c>
      <c r="C127" s="16">
        <v>4798</v>
      </c>
      <c r="D127" s="16">
        <v>2863</v>
      </c>
      <c r="E127" s="16">
        <f>751+95</f>
        <v>846</v>
      </c>
      <c r="F127" s="16">
        <v>219</v>
      </c>
      <c r="G127" s="16">
        <f t="shared" si="14"/>
        <v>12903</v>
      </c>
      <c r="H127" s="56"/>
      <c r="I127" s="16" t="s">
        <v>23</v>
      </c>
      <c r="J127" s="16" t="s">
        <v>23</v>
      </c>
      <c r="K127" s="16">
        <v>1524</v>
      </c>
      <c r="L127" s="16">
        <f>1818+252</f>
        <v>2070</v>
      </c>
      <c r="M127" s="16">
        <v>2615</v>
      </c>
      <c r="N127" s="16">
        <f t="shared" si="15"/>
        <v>6209</v>
      </c>
      <c r="O127" s="16"/>
      <c r="P127" s="16">
        <v>0</v>
      </c>
      <c r="Q127" s="16">
        <v>1</v>
      </c>
      <c r="R127" s="16">
        <v>13</v>
      </c>
      <c r="S127" s="16">
        <v>0</v>
      </c>
      <c r="T127" s="16">
        <v>0</v>
      </c>
      <c r="U127" s="16">
        <f>SUM(P127:T127)</f>
        <v>14</v>
      </c>
    </row>
    <row r="128" spans="1:21">
      <c r="A128" s="99">
        <v>2002</v>
      </c>
      <c r="B128" s="16">
        <v>12384</v>
      </c>
      <c r="C128" s="16">
        <v>6249</v>
      </c>
      <c r="D128" s="16">
        <v>7879</v>
      </c>
      <c r="E128" s="16">
        <v>3817</v>
      </c>
      <c r="F128" s="16" t="s">
        <v>23</v>
      </c>
      <c r="G128" s="16">
        <f t="shared" si="14"/>
        <v>30329</v>
      </c>
      <c r="H128" s="56"/>
      <c r="I128" s="16" t="s">
        <v>23</v>
      </c>
      <c r="J128" s="16" t="s">
        <v>23</v>
      </c>
      <c r="K128" s="16" t="s">
        <v>23</v>
      </c>
      <c r="L128" s="16">
        <v>53</v>
      </c>
      <c r="M128" s="16" t="s">
        <v>23</v>
      </c>
      <c r="N128" s="16">
        <f t="shared" si="15"/>
        <v>53</v>
      </c>
      <c r="O128" s="16"/>
      <c r="P128" s="16"/>
      <c r="Q128" s="16"/>
      <c r="R128" s="16"/>
      <c r="S128" s="16"/>
      <c r="T128" s="16"/>
      <c r="U128" s="16"/>
    </row>
    <row r="129" spans="1:21">
      <c r="A129" s="99">
        <v>2003</v>
      </c>
      <c r="B129" s="16">
        <v>3592</v>
      </c>
      <c r="C129" s="16">
        <v>3636</v>
      </c>
      <c r="D129" s="16">
        <v>4254</v>
      </c>
      <c r="E129" s="16">
        <v>4577</v>
      </c>
      <c r="F129" s="16">
        <v>714</v>
      </c>
      <c r="G129" s="16">
        <f t="shared" si="14"/>
        <v>16773</v>
      </c>
      <c r="H129" s="56"/>
      <c r="I129" s="16" t="s">
        <v>23</v>
      </c>
      <c r="J129" s="16" t="s">
        <v>23</v>
      </c>
      <c r="K129" s="16">
        <v>821</v>
      </c>
      <c r="L129" s="16">
        <v>1961</v>
      </c>
      <c r="M129" s="16">
        <v>418</v>
      </c>
      <c r="N129" s="16">
        <f t="shared" si="15"/>
        <v>3200</v>
      </c>
      <c r="O129" s="16"/>
      <c r="P129" s="16">
        <v>0</v>
      </c>
      <c r="Q129" s="16">
        <v>0</v>
      </c>
      <c r="R129" s="16">
        <v>32</v>
      </c>
      <c r="S129" s="16">
        <v>5</v>
      </c>
      <c r="T129" s="16">
        <v>0</v>
      </c>
      <c r="U129" s="16">
        <f>SUM(P129:T129)</f>
        <v>37</v>
      </c>
    </row>
    <row r="130" spans="1:21">
      <c r="A130" s="99">
        <v>2004</v>
      </c>
      <c r="B130" s="16">
        <v>7889</v>
      </c>
      <c r="C130" s="16">
        <v>374</v>
      </c>
      <c r="D130" s="16">
        <v>1232</v>
      </c>
      <c r="E130" s="16">
        <v>1102</v>
      </c>
      <c r="F130" s="16">
        <v>491</v>
      </c>
      <c r="G130" s="16">
        <f t="shared" si="14"/>
        <v>11088</v>
      </c>
      <c r="H130" s="56"/>
      <c r="I130" s="16" t="s">
        <v>23</v>
      </c>
      <c r="J130" s="16" t="s">
        <v>23</v>
      </c>
      <c r="K130" s="16">
        <v>336</v>
      </c>
      <c r="L130" s="16">
        <v>1060</v>
      </c>
      <c r="M130" s="16">
        <v>4969</v>
      </c>
      <c r="N130" s="16">
        <f t="shared" si="15"/>
        <v>6365</v>
      </c>
      <c r="O130" s="16"/>
      <c r="P130" s="16"/>
      <c r="Q130" s="16"/>
      <c r="R130" s="16"/>
      <c r="S130" s="16"/>
      <c r="T130" s="16"/>
      <c r="U130" s="16"/>
    </row>
    <row r="131" spans="1:21">
      <c r="A131" s="99">
        <v>2005</v>
      </c>
      <c r="B131" s="16">
        <f>99+11327</f>
        <v>11426</v>
      </c>
      <c r="C131" s="16">
        <v>1159</v>
      </c>
      <c r="D131" s="16">
        <v>1255</v>
      </c>
      <c r="E131" s="16">
        <v>1338</v>
      </c>
      <c r="F131" s="16" t="s">
        <v>23</v>
      </c>
      <c r="G131" s="16">
        <f t="shared" si="14"/>
        <v>15178</v>
      </c>
      <c r="H131" s="56"/>
      <c r="I131" s="57" t="s">
        <v>23</v>
      </c>
      <c r="J131" s="57" t="s">
        <v>23</v>
      </c>
      <c r="K131" s="16">
        <v>102</v>
      </c>
      <c r="L131" s="16">
        <v>271</v>
      </c>
      <c r="M131" s="57" t="s">
        <v>23</v>
      </c>
      <c r="N131" s="16">
        <f t="shared" si="15"/>
        <v>373</v>
      </c>
      <c r="O131" s="16"/>
      <c r="P131" s="16">
        <v>0</v>
      </c>
      <c r="Q131" s="16">
        <v>0</v>
      </c>
      <c r="R131" s="16">
        <v>2</v>
      </c>
      <c r="S131" s="16">
        <v>1</v>
      </c>
      <c r="T131" s="16" t="s">
        <v>23</v>
      </c>
      <c r="U131" s="16">
        <f>SUM(P131:T131)</f>
        <v>3</v>
      </c>
    </row>
    <row r="132" spans="1:21">
      <c r="A132" s="99">
        <v>2006</v>
      </c>
      <c r="B132" s="16">
        <v>1578</v>
      </c>
      <c r="C132" s="16">
        <v>632</v>
      </c>
      <c r="D132" s="16">
        <v>120</v>
      </c>
      <c r="E132" s="16">
        <v>138</v>
      </c>
      <c r="F132" s="16">
        <v>89</v>
      </c>
      <c r="G132" s="16">
        <f t="shared" si="14"/>
        <v>2557</v>
      </c>
      <c r="H132" s="56"/>
      <c r="I132" s="57" t="s">
        <v>23</v>
      </c>
      <c r="J132" s="57" t="s">
        <v>23</v>
      </c>
      <c r="K132" s="16">
        <v>10</v>
      </c>
      <c r="L132" s="16">
        <v>59</v>
      </c>
      <c r="M132" s="57">
        <v>115</v>
      </c>
      <c r="N132" s="16">
        <f t="shared" si="15"/>
        <v>184</v>
      </c>
      <c r="O132" s="16"/>
      <c r="P132" s="16"/>
      <c r="Q132" s="16"/>
      <c r="R132" s="16"/>
      <c r="S132" s="16"/>
      <c r="T132" s="16"/>
      <c r="U132" s="16"/>
    </row>
    <row r="133" spans="1:21">
      <c r="A133" s="99">
        <v>2007</v>
      </c>
      <c r="B133" s="59">
        <v>5326</v>
      </c>
      <c r="C133" s="59">
        <v>814</v>
      </c>
      <c r="D133" s="59">
        <v>1700</v>
      </c>
      <c r="E133" s="59">
        <v>264</v>
      </c>
      <c r="F133" s="59">
        <v>7</v>
      </c>
      <c r="G133" s="59">
        <f t="shared" si="14"/>
        <v>8111</v>
      </c>
      <c r="H133" s="58"/>
      <c r="I133" s="77" t="s">
        <v>23</v>
      </c>
      <c r="J133" s="77" t="s">
        <v>23</v>
      </c>
      <c r="K133" s="59">
        <v>998</v>
      </c>
      <c r="L133" s="59">
        <v>757</v>
      </c>
      <c r="M133" s="77">
        <v>28</v>
      </c>
      <c r="N133" s="59">
        <f t="shared" si="15"/>
        <v>1783</v>
      </c>
      <c r="O133" s="59"/>
      <c r="P133" s="59">
        <v>0</v>
      </c>
      <c r="Q133" s="59">
        <v>0</v>
      </c>
      <c r="R133" s="59">
        <v>0</v>
      </c>
      <c r="S133" s="59">
        <v>1</v>
      </c>
      <c r="T133" s="59">
        <v>0</v>
      </c>
      <c r="U133" s="59">
        <f>SUM(P133:T133)</f>
        <v>1</v>
      </c>
    </row>
    <row r="134" spans="1:21">
      <c r="A134" s="122">
        <v>2008</v>
      </c>
      <c r="B134" s="59">
        <v>1380</v>
      </c>
      <c r="C134" s="59">
        <v>1657</v>
      </c>
      <c r="D134" s="59">
        <v>671</v>
      </c>
      <c r="E134" s="59">
        <v>764</v>
      </c>
      <c r="F134" s="59">
        <v>201</v>
      </c>
      <c r="G134" s="59">
        <f t="shared" si="14"/>
        <v>4673</v>
      </c>
      <c r="H134" s="58"/>
      <c r="I134" s="77" t="s">
        <v>23</v>
      </c>
      <c r="J134" s="77" t="s">
        <v>23</v>
      </c>
      <c r="K134" s="59">
        <v>165</v>
      </c>
      <c r="L134" s="59">
        <v>645</v>
      </c>
      <c r="M134" s="77">
        <v>322</v>
      </c>
      <c r="N134" s="59">
        <f t="shared" si="15"/>
        <v>1132</v>
      </c>
      <c r="O134" s="59"/>
      <c r="P134" s="59"/>
      <c r="Q134" s="59"/>
      <c r="R134" s="59"/>
      <c r="S134" s="59"/>
      <c r="T134" s="59"/>
      <c r="U134" s="59"/>
    </row>
    <row r="135" spans="1:21">
      <c r="A135" s="122">
        <v>2009</v>
      </c>
      <c r="B135" s="59">
        <v>3576</v>
      </c>
      <c r="C135" s="59">
        <v>3111</v>
      </c>
      <c r="D135" s="59">
        <v>955</v>
      </c>
      <c r="E135" s="59">
        <v>405</v>
      </c>
      <c r="F135" s="59">
        <v>85</v>
      </c>
      <c r="G135" s="59">
        <f t="shared" si="14"/>
        <v>8132</v>
      </c>
      <c r="H135" s="58"/>
      <c r="I135" s="77" t="s">
        <v>23</v>
      </c>
      <c r="J135" s="77" t="s">
        <v>23</v>
      </c>
      <c r="K135" s="59">
        <v>1933</v>
      </c>
      <c r="L135" s="59">
        <v>5291</v>
      </c>
      <c r="M135" s="77">
        <v>2836</v>
      </c>
      <c r="N135" s="59">
        <f t="shared" si="15"/>
        <v>10060</v>
      </c>
      <c r="O135" s="59"/>
      <c r="P135" s="59">
        <v>0</v>
      </c>
      <c r="Q135" s="59">
        <v>4</v>
      </c>
      <c r="R135" s="59">
        <v>2</v>
      </c>
      <c r="S135" s="59">
        <v>3</v>
      </c>
      <c r="T135" s="59">
        <v>0</v>
      </c>
      <c r="U135" s="59">
        <f>SUM(P135:T135)</f>
        <v>9</v>
      </c>
    </row>
    <row r="136" spans="1:21">
      <c r="A136" s="122">
        <v>2010</v>
      </c>
      <c r="B136" s="59">
        <v>4192</v>
      </c>
      <c r="C136" s="59">
        <v>19171</v>
      </c>
      <c r="D136" s="59">
        <v>4761</v>
      </c>
      <c r="E136" s="59">
        <v>5788</v>
      </c>
      <c r="F136" s="59">
        <v>259</v>
      </c>
      <c r="G136" s="59">
        <f t="shared" si="14"/>
        <v>34171</v>
      </c>
      <c r="H136" s="58"/>
      <c r="I136" s="77" t="s">
        <v>23</v>
      </c>
      <c r="J136" s="77" t="s">
        <v>23</v>
      </c>
      <c r="K136" s="59">
        <v>895</v>
      </c>
      <c r="L136" s="59">
        <v>639</v>
      </c>
      <c r="M136" s="77">
        <v>123</v>
      </c>
      <c r="N136" s="59">
        <f t="shared" si="15"/>
        <v>1657</v>
      </c>
      <c r="O136" s="59"/>
      <c r="P136" s="59"/>
      <c r="Q136" s="59"/>
      <c r="R136" s="59"/>
      <c r="S136" s="59"/>
      <c r="T136" s="59"/>
      <c r="U136" s="59"/>
    </row>
    <row r="137" spans="1:21">
      <c r="A137" s="122">
        <v>2011</v>
      </c>
      <c r="B137" s="59">
        <v>2960</v>
      </c>
      <c r="C137" s="59">
        <v>4727</v>
      </c>
      <c r="D137" s="59">
        <v>3056</v>
      </c>
      <c r="E137" s="59">
        <v>1709</v>
      </c>
      <c r="F137" s="59">
        <v>66</v>
      </c>
      <c r="G137" s="59">
        <f t="shared" si="14"/>
        <v>12518</v>
      </c>
      <c r="H137" s="58"/>
      <c r="I137" s="77" t="s">
        <v>23</v>
      </c>
      <c r="J137" s="77" t="s">
        <v>23</v>
      </c>
      <c r="K137" s="59">
        <v>1055</v>
      </c>
      <c r="L137" s="59">
        <v>456</v>
      </c>
      <c r="M137" s="77">
        <v>197</v>
      </c>
      <c r="N137" s="59">
        <f t="shared" si="15"/>
        <v>1708</v>
      </c>
      <c r="O137" s="59"/>
      <c r="P137" s="59">
        <v>0</v>
      </c>
      <c r="Q137" s="59">
        <v>1</v>
      </c>
      <c r="R137" s="59">
        <v>53</v>
      </c>
      <c r="S137" s="59">
        <v>56</v>
      </c>
      <c r="T137" s="59">
        <v>0</v>
      </c>
      <c r="U137" s="59">
        <f>SUM(P137:T137)</f>
        <v>110</v>
      </c>
    </row>
    <row r="138" spans="1:21">
      <c r="A138" s="122">
        <v>2012</v>
      </c>
      <c r="B138" s="59">
        <v>1613</v>
      </c>
      <c r="C138" s="59">
        <v>5242</v>
      </c>
      <c r="D138" s="59">
        <v>1631</v>
      </c>
      <c r="E138" s="59">
        <v>109</v>
      </c>
      <c r="F138" s="59">
        <v>186</v>
      </c>
      <c r="G138" s="59">
        <f t="shared" si="14"/>
        <v>8781</v>
      </c>
      <c r="H138" s="58"/>
      <c r="I138" s="77" t="s">
        <v>23</v>
      </c>
      <c r="J138" s="77" t="s">
        <v>23</v>
      </c>
      <c r="K138" s="59">
        <v>490</v>
      </c>
      <c r="L138" s="59">
        <v>152</v>
      </c>
      <c r="M138" s="77">
        <v>214</v>
      </c>
      <c r="N138" s="59">
        <f t="shared" si="15"/>
        <v>856</v>
      </c>
      <c r="O138" s="59"/>
      <c r="P138" s="59"/>
      <c r="Q138" s="59"/>
      <c r="R138" s="59"/>
      <c r="S138" s="59"/>
      <c r="T138" s="59"/>
      <c r="U138" s="59"/>
    </row>
    <row r="139" spans="1:21">
      <c r="A139" s="122">
        <v>2013</v>
      </c>
      <c r="B139" s="59">
        <v>2317</v>
      </c>
      <c r="C139" s="59">
        <v>11848</v>
      </c>
      <c r="D139" s="59">
        <v>3520</v>
      </c>
      <c r="E139" s="59">
        <v>6796</v>
      </c>
      <c r="F139" s="59">
        <v>690</v>
      </c>
      <c r="G139" s="59">
        <f t="shared" si="14"/>
        <v>25171</v>
      </c>
      <c r="H139" s="58"/>
      <c r="I139" s="77" t="s">
        <v>23</v>
      </c>
      <c r="J139" s="77" t="s">
        <v>23</v>
      </c>
      <c r="K139" s="59">
        <v>559</v>
      </c>
      <c r="L139" s="59">
        <v>2942</v>
      </c>
      <c r="M139" s="77">
        <v>258</v>
      </c>
      <c r="N139" s="59">
        <f t="shared" si="15"/>
        <v>3759</v>
      </c>
      <c r="O139" s="59"/>
      <c r="P139" s="59">
        <v>0</v>
      </c>
      <c r="Q139" s="59">
        <v>0</v>
      </c>
      <c r="R139" s="59">
        <v>6</v>
      </c>
      <c r="S139" s="59">
        <v>8</v>
      </c>
      <c r="T139" s="59">
        <v>1</v>
      </c>
      <c r="U139" s="59">
        <f>SUM(P139:T139)</f>
        <v>15</v>
      </c>
    </row>
    <row r="140" spans="1:21">
      <c r="A140" s="122">
        <v>2014</v>
      </c>
      <c r="B140" s="59">
        <v>2160</v>
      </c>
      <c r="C140" s="59">
        <v>1313</v>
      </c>
      <c r="D140" s="59">
        <v>4722</v>
      </c>
      <c r="E140" s="59">
        <v>3936</v>
      </c>
      <c r="F140" s="59">
        <v>419</v>
      </c>
      <c r="G140" s="59">
        <f t="shared" si="14"/>
        <v>12550</v>
      </c>
      <c r="H140" s="58"/>
      <c r="I140" s="77" t="s">
        <v>23</v>
      </c>
      <c r="J140" s="77" t="s">
        <v>23</v>
      </c>
      <c r="K140" s="59">
        <v>1739</v>
      </c>
      <c r="L140" s="59">
        <v>2959</v>
      </c>
      <c r="M140" s="77">
        <v>3827</v>
      </c>
      <c r="N140" s="59">
        <f t="shared" si="15"/>
        <v>8525</v>
      </c>
      <c r="O140" s="59"/>
      <c r="U140" s="59"/>
    </row>
    <row r="141" spans="1:21">
      <c r="A141" s="122">
        <v>2015</v>
      </c>
      <c r="B141" s="59">
        <v>5360</v>
      </c>
      <c r="C141" s="59">
        <v>13569</v>
      </c>
      <c r="D141" s="59">
        <v>7916</v>
      </c>
      <c r="E141" s="59">
        <v>6108</v>
      </c>
      <c r="F141" s="59">
        <v>457</v>
      </c>
      <c r="G141" s="59">
        <f t="shared" si="14"/>
        <v>33410</v>
      </c>
      <c r="H141" s="58"/>
      <c r="I141" s="77" t="s">
        <v>23</v>
      </c>
      <c r="J141" s="77" t="s">
        <v>23</v>
      </c>
      <c r="K141" s="59">
        <v>539</v>
      </c>
      <c r="L141" s="59">
        <v>871</v>
      </c>
      <c r="M141" s="77">
        <v>429</v>
      </c>
      <c r="N141" s="59">
        <f t="shared" si="15"/>
        <v>1839</v>
      </c>
      <c r="O141" s="59"/>
      <c r="P141" s="142">
        <v>1</v>
      </c>
      <c r="Q141" s="142">
        <v>0</v>
      </c>
      <c r="R141" s="142">
        <v>11</v>
      </c>
      <c r="S141" s="142">
        <v>0</v>
      </c>
      <c r="T141" s="142">
        <v>0</v>
      </c>
      <c r="U141" s="59">
        <f>SUM(P141:T141)</f>
        <v>12</v>
      </c>
    </row>
    <row r="142" spans="1:21">
      <c r="A142" s="122">
        <v>2016</v>
      </c>
      <c r="B142" s="59">
        <v>3258</v>
      </c>
      <c r="C142" s="59">
        <v>2619</v>
      </c>
      <c r="D142" s="59">
        <v>1981</v>
      </c>
      <c r="E142" s="59">
        <v>1866</v>
      </c>
      <c r="F142" s="59" t="s">
        <v>23</v>
      </c>
      <c r="G142" s="59">
        <f>SUM(B142:F142)</f>
        <v>9724</v>
      </c>
      <c r="H142" s="58"/>
      <c r="I142" s="77" t="s">
        <v>23</v>
      </c>
      <c r="J142" s="77" t="s">
        <v>23</v>
      </c>
      <c r="K142" s="59" t="s">
        <v>23</v>
      </c>
      <c r="L142" s="59" t="s">
        <v>23</v>
      </c>
      <c r="M142" s="77" t="s">
        <v>23</v>
      </c>
      <c r="N142" s="77" t="s">
        <v>23</v>
      </c>
      <c r="O142" s="59"/>
      <c r="U142" s="59"/>
    </row>
    <row r="143" spans="1:21">
      <c r="A143" s="122">
        <v>2017</v>
      </c>
      <c r="B143" s="59">
        <v>10793</v>
      </c>
      <c r="C143" s="59">
        <v>6092</v>
      </c>
      <c r="D143" s="59">
        <v>2340</v>
      </c>
      <c r="E143" s="59">
        <v>1852</v>
      </c>
      <c r="F143" s="59">
        <v>100</v>
      </c>
      <c r="G143" s="59">
        <f>SUM(B143:F143)</f>
        <v>21177</v>
      </c>
      <c r="H143" s="58"/>
      <c r="I143" s="77" t="s">
        <v>23</v>
      </c>
      <c r="J143" s="77" t="s">
        <v>23</v>
      </c>
      <c r="K143" s="59">
        <v>134</v>
      </c>
      <c r="L143" s="59">
        <v>309</v>
      </c>
      <c r="M143" s="77">
        <v>81</v>
      </c>
      <c r="N143" s="59">
        <f>SUM(I143:M143)</f>
        <v>524</v>
      </c>
      <c r="O143" s="59"/>
      <c r="P143" s="142">
        <v>0</v>
      </c>
      <c r="Q143" s="142">
        <v>0</v>
      </c>
      <c r="R143" s="142">
        <v>0</v>
      </c>
      <c r="S143" s="142">
        <v>0</v>
      </c>
      <c r="T143" s="142">
        <v>0</v>
      </c>
      <c r="U143" s="59">
        <f>SUM(P143:T143)</f>
        <v>0</v>
      </c>
    </row>
    <row r="144" spans="1:21">
      <c r="A144" s="122">
        <v>2018</v>
      </c>
      <c r="B144" s="59">
        <v>2682</v>
      </c>
      <c r="C144" s="59">
        <v>7518</v>
      </c>
      <c r="D144" s="59">
        <v>2457</v>
      </c>
      <c r="E144" s="59">
        <v>281</v>
      </c>
      <c r="F144" s="59">
        <v>3</v>
      </c>
      <c r="G144" s="59">
        <f>SUM(B144:F144)</f>
        <v>12941</v>
      </c>
      <c r="H144" s="58"/>
      <c r="I144" s="77" t="s">
        <v>23</v>
      </c>
      <c r="J144" s="77" t="s">
        <v>23</v>
      </c>
      <c r="K144" s="59">
        <v>125</v>
      </c>
      <c r="L144" s="59">
        <v>225</v>
      </c>
      <c r="M144" s="77">
        <v>16</v>
      </c>
      <c r="N144" s="59">
        <f>SUM(I144:M144)</f>
        <v>366</v>
      </c>
      <c r="O144" s="59"/>
      <c r="U144" s="59"/>
    </row>
    <row r="145" spans="1:21">
      <c r="A145" s="122">
        <v>2019</v>
      </c>
      <c r="B145" s="59">
        <v>1803</v>
      </c>
      <c r="C145" s="59">
        <v>341</v>
      </c>
      <c r="D145" s="59">
        <v>65</v>
      </c>
      <c r="E145" s="59">
        <v>49</v>
      </c>
      <c r="F145" s="59">
        <v>81</v>
      </c>
      <c r="G145" s="59">
        <f t="shared" ref="G145:G146" si="16">SUM(B145:F145)</f>
        <v>2339</v>
      </c>
      <c r="H145" s="58"/>
      <c r="I145" s="77" t="s">
        <v>23</v>
      </c>
      <c r="J145" s="77" t="s">
        <v>23</v>
      </c>
      <c r="K145" s="59">
        <v>226</v>
      </c>
      <c r="L145" s="59">
        <v>368</v>
      </c>
      <c r="M145" s="77">
        <v>737</v>
      </c>
      <c r="N145" s="59">
        <f t="shared" ref="N145:N146" si="17">SUM(I145:M145)</f>
        <v>1331</v>
      </c>
      <c r="O145" s="59"/>
      <c r="P145" s="142">
        <v>0</v>
      </c>
      <c r="Q145" s="142">
        <v>0</v>
      </c>
      <c r="R145" s="142">
        <v>23</v>
      </c>
      <c r="S145" s="142">
        <v>0</v>
      </c>
      <c r="T145" s="142">
        <v>0</v>
      </c>
      <c r="U145" s="59">
        <f>SUM(P145:T145)</f>
        <v>23</v>
      </c>
    </row>
    <row r="146" spans="1:21">
      <c r="A146" s="122">
        <v>2020</v>
      </c>
      <c r="B146" s="59">
        <v>136</v>
      </c>
      <c r="C146" s="59">
        <v>251</v>
      </c>
      <c r="D146" s="59">
        <v>4191</v>
      </c>
      <c r="E146" s="59">
        <v>1257</v>
      </c>
      <c r="F146" s="59">
        <v>32</v>
      </c>
      <c r="G146" s="59">
        <f t="shared" si="16"/>
        <v>5867</v>
      </c>
      <c r="H146" s="58"/>
      <c r="I146" s="77" t="s">
        <v>23</v>
      </c>
      <c r="J146" s="77" t="s">
        <v>23</v>
      </c>
      <c r="K146" s="59">
        <v>164</v>
      </c>
      <c r="L146" s="59">
        <v>172</v>
      </c>
      <c r="M146" s="77">
        <v>37</v>
      </c>
      <c r="N146" s="59">
        <f t="shared" si="17"/>
        <v>373</v>
      </c>
      <c r="O146" s="59"/>
      <c r="U146" s="59"/>
    </row>
    <row r="147" spans="1:21" ht="13">
      <c r="A147" s="122" t="s">
        <v>318</v>
      </c>
      <c r="B147" s="16">
        <v>1870</v>
      </c>
      <c r="C147" s="16">
        <v>6612</v>
      </c>
      <c r="D147" s="16">
        <v>4357</v>
      </c>
      <c r="E147" s="16">
        <v>1751</v>
      </c>
      <c r="F147" s="16">
        <v>154</v>
      </c>
      <c r="G147" s="16">
        <f t="shared" si="14"/>
        <v>14744</v>
      </c>
      <c r="H147" s="56"/>
      <c r="I147" s="57" t="s">
        <v>23</v>
      </c>
      <c r="J147" s="57" t="s">
        <v>23</v>
      </c>
      <c r="K147" s="16">
        <v>483</v>
      </c>
      <c r="L147" s="16">
        <v>826</v>
      </c>
      <c r="M147" s="57">
        <v>1454</v>
      </c>
      <c r="N147" s="16">
        <f t="shared" si="15"/>
        <v>2763</v>
      </c>
      <c r="O147" s="16"/>
      <c r="P147" s="142">
        <v>0</v>
      </c>
      <c r="Q147" s="142">
        <v>0</v>
      </c>
      <c r="R147" s="142">
        <v>2</v>
      </c>
      <c r="S147" s="142">
        <v>0</v>
      </c>
      <c r="T147" s="142">
        <v>0</v>
      </c>
      <c r="U147" s="59">
        <f>SUM(P147:T147)</f>
        <v>2</v>
      </c>
    </row>
    <row r="148" spans="1:21">
      <c r="B148" s="16"/>
      <c r="C148" s="16"/>
      <c r="D148" s="16"/>
      <c r="E148" s="16"/>
      <c r="F148" s="16"/>
      <c r="G148" s="16"/>
      <c r="H148" s="56"/>
      <c r="I148" s="16"/>
      <c r="J148" s="16"/>
      <c r="K148" s="16"/>
      <c r="L148" s="16"/>
      <c r="M148" s="16"/>
      <c r="N148" s="16"/>
      <c r="O148" s="16"/>
    </row>
    <row r="149" spans="1:21">
      <c r="A149" s="94" t="s">
        <v>57</v>
      </c>
      <c r="B149" s="16"/>
      <c r="C149" s="16"/>
      <c r="D149" s="16"/>
      <c r="E149" s="16"/>
      <c r="F149" s="16"/>
      <c r="G149" s="16"/>
      <c r="H149" s="56"/>
      <c r="I149" s="16"/>
      <c r="J149" s="16"/>
      <c r="K149" s="16"/>
      <c r="L149" s="16"/>
      <c r="M149" s="16"/>
      <c r="N149" s="16"/>
      <c r="O149" s="16"/>
    </row>
    <row r="150" spans="1:21">
      <c r="A150" s="99">
        <v>1976</v>
      </c>
      <c r="B150" s="16">
        <f>409+13143</f>
        <v>13552</v>
      </c>
      <c r="C150" s="16">
        <v>19736</v>
      </c>
      <c r="D150" s="16">
        <v>5122</v>
      </c>
      <c r="E150" s="16">
        <v>4371</v>
      </c>
      <c r="F150" s="16">
        <f>2860+558</f>
        <v>3418</v>
      </c>
      <c r="G150" s="16">
        <f t="shared" ref="G150:G167" si="18">SUM(B150:F150)</f>
        <v>46199</v>
      </c>
      <c r="H150" s="56"/>
      <c r="I150" s="57" t="s">
        <v>23</v>
      </c>
      <c r="J150" s="16">
        <v>92879</v>
      </c>
      <c r="K150" s="16">
        <v>130115</v>
      </c>
      <c r="L150" s="16">
        <v>62875</v>
      </c>
      <c r="M150" s="16">
        <f>33682+6577</f>
        <v>40259</v>
      </c>
      <c r="N150" s="16">
        <f t="shared" ref="N150:N161" si="19">SUM(I150:M150)</f>
        <v>326128</v>
      </c>
      <c r="O150" s="16"/>
      <c r="U150" s="57"/>
    </row>
    <row r="151" spans="1:21">
      <c r="A151" s="99">
        <v>1977</v>
      </c>
      <c r="B151" s="16">
        <f>112+15316</f>
        <v>15428</v>
      </c>
      <c r="C151" s="16">
        <v>3496</v>
      </c>
      <c r="D151" s="16">
        <v>6524</v>
      </c>
      <c r="E151" s="16">
        <v>4924</v>
      </c>
      <c r="F151" s="16">
        <f>3001+7071</f>
        <v>10072</v>
      </c>
      <c r="G151" s="16">
        <f t="shared" si="18"/>
        <v>40444</v>
      </c>
      <c r="H151" s="56"/>
      <c r="I151" s="57">
        <v>4</v>
      </c>
      <c r="J151" s="57" t="s">
        <v>23</v>
      </c>
      <c r="K151" s="16">
        <v>64538</v>
      </c>
      <c r="L151" s="16">
        <v>18265</v>
      </c>
      <c r="M151" s="16">
        <f>10424+5795</f>
        <v>16219</v>
      </c>
      <c r="N151" s="16">
        <f t="shared" si="19"/>
        <v>99026</v>
      </c>
      <c r="O151" s="16"/>
      <c r="P151" s="142">
        <v>10</v>
      </c>
      <c r="Q151" s="142">
        <v>10</v>
      </c>
      <c r="R151" s="142">
        <v>2094</v>
      </c>
      <c r="S151" s="142">
        <v>1060</v>
      </c>
      <c r="T151" s="142">
        <f>696+90</f>
        <v>786</v>
      </c>
      <c r="U151" s="16">
        <f>SUM(P151:T151)</f>
        <v>3960</v>
      </c>
    </row>
    <row r="152" spans="1:21">
      <c r="A152" s="99">
        <v>1978</v>
      </c>
      <c r="B152" s="16">
        <v>788</v>
      </c>
      <c r="C152" s="16">
        <v>2234</v>
      </c>
      <c r="D152" s="16">
        <v>4494</v>
      </c>
      <c r="E152" s="16">
        <v>1438</v>
      </c>
      <c r="F152" s="16">
        <f>765+806+6</f>
        <v>1577</v>
      </c>
      <c r="G152" s="16">
        <f t="shared" si="18"/>
        <v>10531</v>
      </c>
      <c r="H152" s="56"/>
      <c r="I152" s="57" t="s">
        <v>23</v>
      </c>
      <c r="J152" s="57" t="s">
        <v>23</v>
      </c>
      <c r="K152" s="16">
        <v>56234</v>
      </c>
      <c r="L152" s="16">
        <v>12116</v>
      </c>
      <c r="M152" s="16">
        <f>17090+6356+11</f>
        <v>23457</v>
      </c>
      <c r="N152" s="16">
        <f t="shared" si="19"/>
        <v>91807</v>
      </c>
      <c r="O152" s="16"/>
      <c r="U152" s="57"/>
    </row>
    <row r="153" spans="1:21">
      <c r="A153" s="99">
        <v>1979</v>
      </c>
      <c r="B153" s="16">
        <f>646+2411</f>
        <v>3057</v>
      </c>
      <c r="C153" s="16">
        <v>10</v>
      </c>
      <c r="D153" s="16">
        <v>2561</v>
      </c>
      <c r="E153" s="16">
        <v>3601</v>
      </c>
      <c r="F153" s="16">
        <v>429</v>
      </c>
      <c r="G153" s="16">
        <f t="shared" si="18"/>
        <v>9658</v>
      </c>
      <c r="H153" s="56"/>
      <c r="I153" s="57">
        <v>7</v>
      </c>
      <c r="J153" s="57" t="s">
        <v>23</v>
      </c>
      <c r="K153" s="16">
        <v>79358</v>
      </c>
      <c r="L153" s="16">
        <v>31548</v>
      </c>
      <c r="M153" s="16">
        <v>1666</v>
      </c>
      <c r="N153" s="16">
        <f t="shared" si="19"/>
        <v>112579</v>
      </c>
      <c r="O153" s="16"/>
      <c r="P153" s="142">
        <v>0</v>
      </c>
      <c r="Q153" s="57">
        <v>0</v>
      </c>
      <c r="R153" s="142">
        <v>1540</v>
      </c>
      <c r="S153" s="142">
        <v>1636</v>
      </c>
      <c r="T153" s="142">
        <v>60</v>
      </c>
      <c r="U153" s="16">
        <f>SUM(P153:T153)</f>
        <v>3236</v>
      </c>
    </row>
    <row r="154" spans="1:21">
      <c r="A154" s="99">
        <v>1980</v>
      </c>
      <c r="B154" s="16">
        <f>12+7113</f>
        <v>7125</v>
      </c>
      <c r="C154" s="16" t="s">
        <v>23</v>
      </c>
      <c r="D154" s="16">
        <v>963</v>
      </c>
      <c r="E154" s="16">
        <v>2226</v>
      </c>
      <c r="F154" s="16">
        <v>446</v>
      </c>
      <c r="G154" s="16">
        <f t="shared" si="18"/>
        <v>10760</v>
      </c>
      <c r="H154" s="56"/>
      <c r="I154" s="57" t="s">
        <v>23</v>
      </c>
      <c r="J154" s="57" t="s">
        <v>23</v>
      </c>
      <c r="K154" s="16">
        <v>30259</v>
      </c>
      <c r="L154" s="16">
        <v>20173</v>
      </c>
      <c r="M154" s="16">
        <v>4656</v>
      </c>
      <c r="N154" s="16">
        <f t="shared" si="19"/>
        <v>55088</v>
      </c>
      <c r="O154" s="16"/>
      <c r="U154" s="57"/>
    </row>
    <row r="155" spans="1:21">
      <c r="A155" s="99">
        <v>1981</v>
      </c>
      <c r="B155" s="16">
        <f>267+9019</f>
        <v>9286</v>
      </c>
      <c r="C155" s="16">
        <v>28</v>
      </c>
      <c r="D155" s="16">
        <v>1147</v>
      </c>
      <c r="E155" s="16">
        <v>1289</v>
      </c>
      <c r="F155" s="16" t="s">
        <v>23</v>
      </c>
      <c r="G155" s="16">
        <f t="shared" si="18"/>
        <v>11750</v>
      </c>
      <c r="H155" s="56"/>
      <c r="I155" s="57" t="s">
        <v>23</v>
      </c>
      <c r="J155" s="57" t="s">
        <v>23</v>
      </c>
      <c r="K155" s="16">
        <v>45195</v>
      </c>
      <c r="L155" s="16">
        <f>29905+1866</f>
        <v>31771</v>
      </c>
      <c r="M155" s="57" t="s">
        <v>23</v>
      </c>
      <c r="N155" s="16">
        <f t="shared" si="19"/>
        <v>76966</v>
      </c>
      <c r="O155" s="16"/>
      <c r="P155" s="142">
        <v>8</v>
      </c>
      <c r="Q155" s="57">
        <v>0</v>
      </c>
      <c r="R155" s="142">
        <v>1862</v>
      </c>
      <c r="S155" s="142">
        <v>933</v>
      </c>
      <c r="T155" s="57" t="s">
        <v>23</v>
      </c>
      <c r="U155" s="16">
        <f>SUM(P155:T155)</f>
        <v>2803</v>
      </c>
    </row>
    <row r="156" spans="1:21">
      <c r="A156" s="99">
        <v>1982</v>
      </c>
      <c r="B156" s="16">
        <f>476+11406</f>
        <v>11882</v>
      </c>
      <c r="C156" s="16">
        <v>1577</v>
      </c>
      <c r="D156" s="16">
        <v>5501</v>
      </c>
      <c r="E156" s="16" t="s">
        <v>23</v>
      </c>
      <c r="F156" s="16" t="s">
        <v>23</v>
      </c>
      <c r="G156" s="16">
        <f t="shared" si="18"/>
        <v>18960</v>
      </c>
      <c r="H156" s="56"/>
      <c r="I156" s="57" t="s">
        <v>23</v>
      </c>
      <c r="J156" s="57" t="s">
        <v>23</v>
      </c>
      <c r="K156" s="16">
        <v>44104</v>
      </c>
      <c r="L156" s="57" t="s">
        <v>23</v>
      </c>
      <c r="M156" s="57" t="s">
        <v>23</v>
      </c>
      <c r="N156" s="16">
        <f t="shared" si="19"/>
        <v>44104</v>
      </c>
      <c r="O156" s="16"/>
      <c r="U156" s="57"/>
    </row>
    <row r="157" spans="1:21">
      <c r="A157" s="99">
        <v>1983</v>
      </c>
      <c r="B157" s="16">
        <f>31+3863</f>
        <v>3894</v>
      </c>
      <c r="C157" s="16">
        <v>2185</v>
      </c>
      <c r="D157" s="16">
        <v>278</v>
      </c>
      <c r="E157" s="57">
        <v>357</v>
      </c>
      <c r="F157" s="57">
        <v>418</v>
      </c>
      <c r="G157" s="16">
        <f t="shared" si="18"/>
        <v>7132</v>
      </c>
      <c r="H157" s="56"/>
      <c r="I157" s="57" t="s">
        <v>23</v>
      </c>
      <c r="J157" s="57" t="s">
        <v>23</v>
      </c>
      <c r="K157" s="57">
        <v>103</v>
      </c>
      <c r="L157" s="57">
        <v>4900</v>
      </c>
      <c r="M157" s="70">
        <v>13373</v>
      </c>
      <c r="N157" s="16">
        <f t="shared" si="19"/>
        <v>18376</v>
      </c>
      <c r="O157" s="16"/>
      <c r="P157" s="142">
        <v>0</v>
      </c>
      <c r="Q157" s="57">
        <v>0</v>
      </c>
      <c r="R157" s="142">
        <v>0</v>
      </c>
      <c r="S157" s="142">
        <v>8</v>
      </c>
      <c r="T157" s="57" t="s">
        <v>23</v>
      </c>
      <c r="U157" s="16">
        <f>SUM(P157:T157)</f>
        <v>8</v>
      </c>
    </row>
    <row r="158" spans="1:21">
      <c r="A158" s="99">
        <v>1984</v>
      </c>
      <c r="B158" s="16">
        <v>896</v>
      </c>
      <c r="C158" s="16" t="s">
        <v>23</v>
      </c>
      <c r="D158" s="16" t="s">
        <v>23</v>
      </c>
      <c r="E158" s="57">
        <v>312</v>
      </c>
      <c r="F158" s="57" t="s">
        <v>23</v>
      </c>
      <c r="G158" s="16">
        <f t="shared" si="18"/>
        <v>1208</v>
      </c>
      <c r="H158" s="56"/>
      <c r="I158" s="57" t="s">
        <v>23</v>
      </c>
      <c r="J158" s="57" t="s">
        <v>23</v>
      </c>
      <c r="K158" s="57" t="s">
        <v>23</v>
      </c>
      <c r="L158" s="70">
        <v>6649</v>
      </c>
      <c r="M158" s="57" t="s">
        <v>23</v>
      </c>
      <c r="N158" s="16">
        <f t="shared" si="19"/>
        <v>6649</v>
      </c>
      <c r="O158" s="16"/>
      <c r="U158" s="16"/>
    </row>
    <row r="159" spans="1:21">
      <c r="A159" s="99">
        <v>1985</v>
      </c>
      <c r="B159" s="16">
        <f>270+6090</f>
        <v>6360</v>
      </c>
      <c r="C159" s="16" t="s">
        <v>23</v>
      </c>
      <c r="D159" s="16" t="s">
        <v>23</v>
      </c>
      <c r="E159" s="57">
        <v>452</v>
      </c>
      <c r="F159" s="57" t="s">
        <v>23</v>
      </c>
      <c r="G159" s="16">
        <f t="shared" si="18"/>
        <v>6812</v>
      </c>
      <c r="H159" s="56"/>
      <c r="I159" s="57" t="s">
        <v>23</v>
      </c>
      <c r="J159" s="57" t="s">
        <v>23</v>
      </c>
      <c r="K159" s="57" t="s">
        <v>23</v>
      </c>
      <c r="L159" s="70">
        <v>14339</v>
      </c>
      <c r="M159" s="57" t="s">
        <v>23</v>
      </c>
      <c r="N159" s="16">
        <f t="shared" si="19"/>
        <v>14339</v>
      </c>
      <c r="O159" s="16"/>
      <c r="P159" s="142">
        <v>3</v>
      </c>
      <c r="Q159" s="57" t="s">
        <v>23</v>
      </c>
      <c r="R159" s="57" t="s">
        <v>23</v>
      </c>
      <c r="S159" s="68">
        <v>1001</v>
      </c>
      <c r="T159" s="57" t="s">
        <v>23</v>
      </c>
      <c r="U159" s="16">
        <f>SUM(P159:T159)</f>
        <v>1004</v>
      </c>
    </row>
    <row r="160" spans="1:21">
      <c r="A160" s="99">
        <v>1986</v>
      </c>
      <c r="B160" s="16">
        <f>229+7906</f>
        <v>8135</v>
      </c>
      <c r="C160" s="16" t="s">
        <v>23</v>
      </c>
      <c r="D160" s="16" t="s">
        <v>23</v>
      </c>
      <c r="E160" s="16">
        <v>3436</v>
      </c>
      <c r="F160" s="16" t="s">
        <v>23</v>
      </c>
      <c r="G160" s="16">
        <f t="shared" si="18"/>
        <v>11571</v>
      </c>
      <c r="H160" s="56"/>
      <c r="I160" s="57" t="s">
        <v>23</v>
      </c>
      <c r="J160" s="57" t="s">
        <v>23</v>
      </c>
      <c r="K160" s="57" t="s">
        <v>23</v>
      </c>
      <c r="L160" s="16">
        <v>45602</v>
      </c>
      <c r="M160" s="57" t="s">
        <v>23</v>
      </c>
      <c r="N160" s="16">
        <f t="shared" si="19"/>
        <v>45602</v>
      </c>
      <c r="O160" s="16"/>
      <c r="U160" s="16"/>
    </row>
    <row r="161" spans="1:21">
      <c r="A161" s="99">
        <v>1987</v>
      </c>
      <c r="B161" s="16">
        <f>15+3999</f>
        <v>4014</v>
      </c>
      <c r="C161" s="16" t="s">
        <v>23</v>
      </c>
      <c r="D161" s="16">
        <v>1324</v>
      </c>
      <c r="E161" s="16" t="s">
        <v>23</v>
      </c>
      <c r="F161" s="16" t="s">
        <v>23</v>
      </c>
      <c r="G161" s="16">
        <f t="shared" si="18"/>
        <v>5338</v>
      </c>
      <c r="H161" s="56"/>
      <c r="I161" s="57" t="s">
        <v>23</v>
      </c>
      <c r="J161" s="57" t="s">
        <v>23</v>
      </c>
      <c r="K161" s="16">
        <v>10844</v>
      </c>
      <c r="L161" s="57" t="s">
        <v>23</v>
      </c>
      <c r="M161" s="57" t="s">
        <v>23</v>
      </c>
      <c r="N161" s="16">
        <f t="shared" si="19"/>
        <v>10844</v>
      </c>
      <c r="O161" s="16"/>
      <c r="P161" s="142">
        <v>0</v>
      </c>
      <c r="Q161" s="57" t="s">
        <v>23</v>
      </c>
      <c r="R161" s="142">
        <v>87</v>
      </c>
      <c r="S161" s="57" t="s">
        <v>23</v>
      </c>
      <c r="T161" s="57" t="s">
        <v>23</v>
      </c>
      <c r="U161" s="16">
        <f>SUM(P161:T161)</f>
        <v>87</v>
      </c>
    </row>
    <row r="162" spans="1:21">
      <c r="A162" s="99">
        <v>1988</v>
      </c>
      <c r="B162" s="16">
        <f>19+1643</f>
        <v>1662</v>
      </c>
      <c r="C162" s="16">
        <v>1620</v>
      </c>
      <c r="D162" s="16" t="s">
        <v>23</v>
      </c>
      <c r="E162" s="16" t="s">
        <v>23</v>
      </c>
      <c r="F162" s="16" t="s">
        <v>23</v>
      </c>
      <c r="G162" s="16">
        <f t="shared" si="18"/>
        <v>3282</v>
      </c>
      <c r="H162" s="56"/>
      <c r="I162" s="57" t="s">
        <v>23</v>
      </c>
      <c r="J162" s="57" t="s">
        <v>23</v>
      </c>
      <c r="K162" s="57" t="s">
        <v>23</v>
      </c>
      <c r="L162" s="57" t="s">
        <v>23</v>
      </c>
      <c r="M162" s="57" t="s">
        <v>23</v>
      </c>
      <c r="N162" s="57" t="s">
        <v>23</v>
      </c>
      <c r="O162" s="16"/>
      <c r="U162" s="16"/>
    </row>
    <row r="163" spans="1:21">
      <c r="A163" s="99">
        <v>1989</v>
      </c>
      <c r="B163" s="16">
        <v>1044</v>
      </c>
      <c r="C163" s="16">
        <v>917</v>
      </c>
      <c r="D163" s="16" t="s">
        <v>23</v>
      </c>
      <c r="E163" s="16">
        <v>496</v>
      </c>
      <c r="F163" s="16">
        <v>703</v>
      </c>
      <c r="G163" s="16">
        <f t="shared" si="18"/>
        <v>3160</v>
      </c>
      <c r="H163" s="58"/>
      <c r="I163" s="57" t="s">
        <v>23</v>
      </c>
      <c r="J163" s="57" t="s">
        <v>23</v>
      </c>
      <c r="K163" s="57" t="s">
        <v>23</v>
      </c>
      <c r="L163" s="59">
        <v>5398</v>
      </c>
      <c r="M163" s="59">
        <v>10638</v>
      </c>
      <c r="N163" s="16">
        <f>SUM(I163:M163)</f>
        <v>16036</v>
      </c>
      <c r="O163" s="59"/>
      <c r="P163" s="142">
        <v>0</v>
      </c>
      <c r="Q163" s="142">
        <v>0</v>
      </c>
      <c r="R163" s="57" t="s">
        <v>23</v>
      </c>
      <c r="S163" s="142">
        <v>1</v>
      </c>
      <c r="T163" s="142">
        <v>1</v>
      </c>
      <c r="U163" s="16">
        <f>SUM(P163:T163)</f>
        <v>2</v>
      </c>
    </row>
    <row r="164" spans="1:21">
      <c r="A164" s="99">
        <v>1990</v>
      </c>
      <c r="B164" s="16">
        <f>94+41</f>
        <v>135</v>
      </c>
      <c r="C164" s="16">
        <v>166</v>
      </c>
      <c r="D164" s="16" t="s">
        <v>23</v>
      </c>
      <c r="E164" s="16">
        <v>623</v>
      </c>
      <c r="F164" s="16">
        <f>1096+75</f>
        <v>1171</v>
      </c>
      <c r="G164" s="16">
        <f t="shared" si="18"/>
        <v>2095</v>
      </c>
      <c r="H164" s="58"/>
      <c r="I164" s="57" t="s">
        <v>23</v>
      </c>
      <c r="J164" s="57" t="s">
        <v>23</v>
      </c>
      <c r="K164" s="57" t="s">
        <v>23</v>
      </c>
      <c r="L164" s="59">
        <v>7163</v>
      </c>
      <c r="M164" s="59">
        <f>14639+774</f>
        <v>15413</v>
      </c>
      <c r="N164" s="16">
        <f>SUM(I164:M164)</f>
        <v>22576</v>
      </c>
      <c r="O164" s="59"/>
    </row>
    <row r="165" spans="1:21">
      <c r="A165" s="99">
        <v>1991</v>
      </c>
      <c r="B165" s="16">
        <v>848</v>
      </c>
      <c r="C165" s="16">
        <v>66</v>
      </c>
      <c r="D165" s="16" t="s">
        <v>23</v>
      </c>
      <c r="E165" s="16">
        <v>447</v>
      </c>
      <c r="F165" s="57">
        <v>11</v>
      </c>
      <c r="G165" s="16">
        <f t="shared" si="18"/>
        <v>1372</v>
      </c>
      <c r="H165" s="31"/>
      <c r="I165" s="16" t="s">
        <v>23</v>
      </c>
      <c r="J165" s="16" t="s">
        <v>23</v>
      </c>
      <c r="K165" s="16" t="s">
        <v>23</v>
      </c>
      <c r="L165" s="142">
        <v>14595</v>
      </c>
      <c r="M165" s="142">
        <v>1653</v>
      </c>
      <c r="N165" s="16">
        <f>SUM(I165:M165)</f>
        <v>16248</v>
      </c>
      <c r="P165" s="142">
        <v>0</v>
      </c>
      <c r="Q165" s="142">
        <v>0</v>
      </c>
      <c r="R165" s="57" t="s">
        <v>23</v>
      </c>
      <c r="S165" s="142">
        <v>59</v>
      </c>
      <c r="T165" s="57">
        <v>0</v>
      </c>
      <c r="U165" s="16">
        <f>SUM(P165:T165)</f>
        <v>59</v>
      </c>
    </row>
    <row r="166" spans="1:21">
      <c r="A166" s="99">
        <v>1992</v>
      </c>
      <c r="B166" s="16">
        <v>2584</v>
      </c>
      <c r="C166" s="16">
        <v>38</v>
      </c>
      <c r="D166" s="16">
        <v>93</v>
      </c>
      <c r="E166" s="16">
        <v>15</v>
      </c>
      <c r="F166" s="16" t="s">
        <v>23</v>
      </c>
      <c r="G166" s="16">
        <f t="shared" si="18"/>
        <v>2730</v>
      </c>
      <c r="I166" s="16" t="s">
        <v>23</v>
      </c>
      <c r="J166" s="16" t="s">
        <v>23</v>
      </c>
      <c r="K166" s="142">
        <v>783</v>
      </c>
      <c r="L166" s="142">
        <v>301</v>
      </c>
      <c r="M166" s="16" t="s">
        <v>23</v>
      </c>
      <c r="N166" s="16">
        <f>SUM(I166:M166)</f>
        <v>1084</v>
      </c>
    </row>
    <row r="167" spans="1:21">
      <c r="A167" s="99">
        <v>1993</v>
      </c>
      <c r="B167" s="16">
        <v>8</v>
      </c>
      <c r="C167" s="16">
        <v>3</v>
      </c>
      <c r="D167" s="16">
        <v>20</v>
      </c>
      <c r="E167" s="16">
        <v>7</v>
      </c>
      <c r="F167" s="16">
        <v>18</v>
      </c>
      <c r="G167" s="16">
        <f t="shared" si="18"/>
        <v>56</v>
      </c>
      <c r="I167" s="16" t="s">
        <v>23</v>
      </c>
      <c r="J167" s="16" t="s">
        <v>23</v>
      </c>
      <c r="K167" s="142">
        <v>170</v>
      </c>
      <c r="L167" s="142">
        <v>161</v>
      </c>
      <c r="M167" s="142">
        <v>207</v>
      </c>
      <c r="N167" s="16">
        <f>SUM(I167:M167)</f>
        <v>538</v>
      </c>
      <c r="P167" s="142">
        <v>0</v>
      </c>
      <c r="Q167" s="142">
        <v>0</v>
      </c>
      <c r="R167" s="142">
        <v>0</v>
      </c>
      <c r="S167" s="142">
        <v>0</v>
      </c>
      <c r="T167" s="142">
        <v>0</v>
      </c>
      <c r="U167" s="16">
        <f>SUM(P167:T167)</f>
        <v>0</v>
      </c>
    </row>
    <row r="168" spans="1:21">
      <c r="A168" s="99">
        <v>1994</v>
      </c>
      <c r="B168" s="16" t="s">
        <v>23</v>
      </c>
      <c r="C168" s="16" t="s">
        <v>23</v>
      </c>
      <c r="D168" s="16" t="s">
        <v>23</v>
      </c>
      <c r="E168" s="16" t="s">
        <v>23</v>
      </c>
      <c r="F168" s="16" t="s">
        <v>23</v>
      </c>
      <c r="G168" s="16" t="s">
        <v>23</v>
      </c>
      <c r="I168" s="16" t="s">
        <v>23</v>
      </c>
      <c r="J168" s="16" t="s">
        <v>23</v>
      </c>
      <c r="K168" s="16" t="s">
        <v>23</v>
      </c>
      <c r="L168" s="16" t="s">
        <v>23</v>
      </c>
      <c r="M168" s="16" t="s">
        <v>23</v>
      </c>
      <c r="N168" s="16" t="s">
        <v>23</v>
      </c>
    </row>
    <row r="169" spans="1:21">
      <c r="A169" s="99">
        <v>1995</v>
      </c>
      <c r="B169" s="16" t="s">
        <v>23</v>
      </c>
      <c r="C169" s="16" t="s">
        <v>23</v>
      </c>
      <c r="D169" s="16" t="s">
        <v>23</v>
      </c>
      <c r="E169" s="16" t="s">
        <v>23</v>
      </c>
      <c r="F169" s="16" t="s">
        <v>23</v>
      </c>
      <c r="G169" s="16" t="s">
        <v>23</v>
      </c>
      <c r="I169" s="16" t="s">
        <v>23</v>
      </c>
      <c r="J169" s="16" t="s">
        <v>23</v>
      </c>
      <c r="K169" s="16" t="s">
        <v>23</v>
      </c>
      <c r="L169" s="16" t="s">
        <v>23</v>
      </c>
      <c r="M169" s="16" t="s">
        <v>23</v>
      </c>
      <c r="N169" s="16" t="s">
        <v>23</v>
      </c>
      <c r="P169" s="57" t="s">
        <v>23</v>
      </c>
      <c r="Q169" s="57" t="s">
        <v>23</v>
      </c>
      <c r="R169" s="57" t="s">
        <v>23</v>
      </c>
      <c r="S169" s="57" t="s">
        <v>23</v>
      </c>
      <c r="T169" s="57" t="s">
        <v>23</v>
      </c>
      <c r="U169" s="57" t="s">
        <v>23</v>
      </c>
    </row>
    <row r="170" spans="1:21">
      <c r="A170" s="99">
        <v>1996</v>
      </c>
      <c r="B170" s="16" t="s">
        <v>23</v>
      </c>
      <c r="C170" s="16" t="s">
        <v>23</v>
      </c>
      <c r="D170" s="16" t="s">
        <v>23</v>
      </c>
      <c r="E170" s="16" t="s">
        <v>23</v>
      </c>
      <c r="F170" s="16" t="s">
        <v>23</v>
      </c>
      <c r="G170" s="16" t="s">
        <v>23</v>
      </c>
      <c r="I170" s="16" t="s">
        <v>23</v>
      </c>
      <c r="J170" s="16" t="s">
        <v>23</v>
      </c>
      <c r="K170" s="16" t="s">
        <v>23</v>
      </c>
      <c r="L170" s="16" t="s">
        <v>23</v>
      </c>
      <c r="M170" s="16" t="s">
        <v>23</v>
      </c>
      <c r="N170" s="16" t="s">
        <v>23</v>
      </c>
    </row>
    <row r="171" spans="1:21">
      <c r="A171" s="99">
        <v>1997</v>
      </c>
      <c r="B171" s="16">
        <v>0</v>
      </c>
      <c r="C171" s="16">
        <v>0</v>
      </c>
      <c r="D171" s="16" t="s">
        <v>23</v>
      </c>
      <c r="E171" s="16" t="s">
        <v>23</v>
      </c>
      <c r="F171" s="16" t="s">
        <v>23</v>
      </c>
      <c r="G171" s="16">
        <f>SUM(B171:F171)</f>
        <v>0</v>
      </c>
      <c r="I171" s="16" t="s">
        <v>23</v>
      </c>
      <c r="J171" s="16" t="s">
        <v>23</v>
      </c>
      <c r="K171" s="16" t="s">
        <v>23</v>
      </c>
      <c r="L171" s="16" t="s">
        <v>23</v>
      </c>
      <c r="M171" s="16" t="s">
        <v>23</v>
      </c>
      <c r="N171" s="16" t="s">
        <v>23</v>
      </c>
      <c r="P171" s="142">
        <v>0</v>
      </c>
      <c r="Q171" s="142">
        <v>0</v>
      </c>
      <c r="R171" s="57" t="s">
        <v>23</v>
      </c>
      <c r="S171" s="57" t="s">
        <v>23</v>
      </c>
      <c r="T171" s="57" t="s">
        <v>23</v>
      </c>
      <c r="U171" s="16">
        <f>SUM(P171:T171)</f>
        <v>0</v>
      </c>
    </row>
    <row r="172" spans="1:21">
      <c r="A172" s="99">
        <v>1998</v>
      </c>
      <c r="B172" s="16">
        <v>0</v>
      </c>
      <c r="C172" s="16">
        <v>0</v>
      </c>
      <c r="D172" s="16" t="s">
        <v>23</v>
      </c>
      <c r="E172" s="16" t="s">
        <v>23</v>
      </c>
      <c r="F172" s="16" t="s">
        <v>23</v>
      </c>
      <c r="G172" s="16" t="s">
        <v>23</v>
      </c>
      <c r="I172" s="16" t="s">
        <v>23</v>
      </c>
      <c r="J172" s="16" t="s">
        <v>23</v>
      </c>
      <c r="K172" s="16" t="s">
        <v>23</v>
      </c>
      <c r="L172" s="16" t="s">
        <v>23</v>
      </c>
      <c r="M172" s="16" t="s">
        <v>23</v>
      </c>
      <c r="N172" s="16" t="s">
        <v>23</v>
      </c>
    </row>
    <row r="173" spans="1:21">
      <c r="A173" s="99">
        <v>1999</v>
      </c>
      <c r="B173" s="16">
        <v>0</v>
      </c>
      <c r="C173" s="16">
        <v>0</v>
      </c>
      <c r="D173" s="16" t="s">
        <v>23</v>
      </c>
      <c r="E173" s="16" t="s">
        <v>23</v>
      </c>
      <c r="F173" s="16" t="s">
        <v>23</v>
      </c>
      <c r="G173" s="16">
        <f t="shared" ref="G173:G189" si="20">SUM(B173:F173)</f>
        <v>0</v>
      </c>
      <c r="I173" s="16" t="s">
        <v>23</v>
      </c>
      <c r="J173" s="16" t="s">
        <v>23</v>
      </c>
      <c r="K173" s="16" t="s">
        <v>23</v>
      </c>
      <c r="L173" s="142">
        <v>27</v>
      </c>
      <c r="M173" s="16" t="s">
        <v>23</v>
      </c>
      <c r="N173" s="16">
        <f t="shared" ref="N173:N195" si="21">SUM(I173:M173)</f>
        <v>27</v>
      </c>
      <c r="P173" s="142">
        <v>0</v>
      </c>
      <c r="Q173" s="142">
        <v>0</v>
      </c>
      <c r="R173" s="16" t="s">
        <v>23</v>
      </c>
      <c r="S173" s="16" t="s">
        <v>23</v>
      </c>
      <c r="T173" s="16" t="s">
        <v>23</v>
      </c>
      <c r="U173" s="16">
        <v>0</v>
      </c>
    </row>
    <row r="174" spans="1:21">
      <c r="A174" s="99">
        <v>2000</v>
      </c>
      <c r="B174" s="16">
        <v>0</v>
      </c>
      <c r="C174" s="16">
        <v>0</v>
      </c>
      <c r="D174" s="16" t="s">
        <v>23</v>
      </c>
      <c r="E174" s="16">
        <v>513</v>
      </c>
      <c r="F174" s="16">
        <v>40</v>
      </c>
      <c r="G174" s="16">
        <f t="shared" si="20"/>
        <v>553</v>
      </c>
      <c r="I174" s="16" t="s">
        <v>23</v>
      </c>
      <c r="J174" s="16" t="s">
        <v>23</v>
      </c>
      <c r="K174" s="16" t="s">
        <v>23</v>
      </c>
      <c r="L174" s="142">
        <v>2414</v>
      </c>
      <c r="M174" s="142">
        <v>385</v>
      </c>
      <c r="N174" s="16">
        <f t="shared" si="21"/>
        <v>2799</v>
      </c>
    </row>
    <row r="175" spans="1:21">
      <c r="A175" s="99">
        <v>2001</v>
      </c>
      <c r="B175" s="16">
        <v>518</v>
      </c>
      <c r="C175" s="16">
        <v>9</v>
      </c>
      <c r="D175" s="16">
        <v>111</v>
      </c>
      <c r="E175" s="16">
        <v>148</v>
      </c>
      <c r="F175" s="16">
        <v>158</v>
      </c>
      <c r="G175" s="16">
        <f t="shared" si="20"/>
        <v>944</v>
      </c>
      <c r="I175" s="16" t="s">
        <v>23</v>
      </c>
      <c r="J175" s="16" t="s">
        <v>23</v>
      </c>
      <c r="K175" s="142">
        <v>351</v>
      </c>
      <c r="L175" s="142">
        <v>594</v>
      </c>
      <c r="M175" s="142">
        <v>513</v>
      </c>
      <c r="N175" s="16">
        <f t="shared" si="21"/>
        <v>1458</v>
      </c>
      <c r="P175" s="142">
        <v>0</v>
      </c>
      <c r="Q175" s="142">
        <v>0</v>
      </c>
      <c r="R175" s="142">
        <v>0</v>
      </c>
      <c r="S175" s="142">
        <v>2</v>
      </c>
      <c r="T175" s="142">
        <v>0</v>
      </c>
      <c r="U175" s="16">
        <f>SUM(P175:T175)</f>
        <v>2</v>
      </c>
    </row>
    <row r="176" spans="1:21">
      <c r="A176" s="99">
        <v>2002</v>
      </c>
      <c r="B176" s="16">
        <v>371</v>
      </c>
      <c r="C176" s="16">
        <v>48</v>
      </c>
      <c r="D176" s="16">
        <v>855</v>
      </c>
      <c r="E176" s="16">
        <v>482</v>
      </c>
      <c r="F176" s="16" t="s">
        <v>23</v>
      </c>
      <c r="G176" s="16">
        <f t="shared" si="20"/>
        <v>1756</v>
      </c>
      <c r="I176" s="16" t="s">
        <v>23</v>
      </c>
      <c r="J176" s="16" t="s">
        <v>23</v>
      </c>
      <c r="K176" s="16" t="s">
        <v>23</v>
      </c>
      <c r="L176" s="142">
        <v>127</v>
      </c>
      <c r="M176" s="16" t="s">
        <v>23</v>
      </c>
      <c r="N176" s="16">
        <f t="shared" si="21"/>
        <v>127</v>
      </c>
    </row>
    <row r="177" spans="1:21">
      <c r="A177" s="99">
        <v>2003</v>
      </c>
      <c r="B177" s="16">
        <v>790</v>
      </c>
      <c r="C177" s="16">
        <v>110</v>
      </c>
      <c r="D177" s="16">
        <v>486</v>
      </c>
      <c r="E177" s="16">
        <v>383</v>
      </c>
      <c r="F177" s="16">
        <v>151</v>
      </c>
      <c r="G177" s="16">
        <f t="shared" si="20"/>
        <v>1920</v>
      </c>
      <c r="I177" s="16" t="s">
        <v>23</v>
      </c>
      <c r="J177" s="16" t="s">
        <v>23</v>
      </c>
      <c r="K177" s="142">
        <v>417</v>
      </c>
      <c r="L177" s="142">
        <v>512</v>
      </c>
      <c r="M177" s="142">
        <v>361</v>
      </c>
      <c r="N177" s="16">
        <f t="shared" si="21"/>
        <v>1290</v>
      </c>
      <c r="P177" s="142">
        <v>0</v>
      </c>
      <c r="Q177" s="142">
        <v>0</v>
      </c>
      <c r="R177" s="142">
        <v>34</v>
      </c>
      <c r="S177" s="142">
        <v>2</v>
      </c>
      <c r="T177" s="142">
        <v>0</v>
      </c>
      <c r="U177" s="16">
        <f>SUM(P177:T177)</f>
        <v>36</v>
      </c>
    </row>
    <row r="178" spans="1:21">
      <c r="A178" s="99">
        <v>2004</v>
      </c>
      <c r="B178" s="16">
        <v>56</v>
      </c>
      <c r="C178" s="16">
        <v>77</v>
      </c>
      <c r="D178" s="16">
        <v>72</v>
      </c>
      <c r="E178" s="16">
        <v>99</v>
      </c>
      <c r="F178" s="16">
        <v>54</v>
      </c>
      <c r="G178" s="16">
        <f t="shared" si="20"/>
        <v>358</v>
      </c>
      <c r="I178" s="16" t="s">
        <v>23</v>
      </c>
      <c r="J178" s="16" t="s">
        <v>23</v>
      </c>
      <c r="K178" s="142">
        <v>188</v>
      </c>
      <c r="L178" s="142">
        <v>309</v>
      </c>
      <c r="M178" s="142">
        <v>633</v>
      </c>
      <c r="N178" s="16">
        <f t="shared" si="21"/>
        <v>1130</v>
      </c>
    </row>
    <row r="179" spans="1:21">
      <c r="A179" s="99">
        <v>2005</v>
      </c>
      <c r="B179" s="16">
        <f>19+235</f>
        <v>254</v>
      </c>
      <c r="C179" s="16">
        <v>308</v>
      </c>
      <c r="D179" s="16">
        <v>262</v>
      </c>
      <c r="E179" s="16">
        <v>662</v>
      </c>
      <c r="F179" s="16" t="s">
        <v>23</v>
      </c>
      <c r="G179" s="16">
        <f t="shared" si="20"/>
        <v>1486</v>
      </c>
      <c r="H179" s="56"/>
      <c r="I179" s="57" t="s">
        <v>23</v>
      </c>
      <c r="J179" s="57" t="s">
        <v>23</v>
      </c>
      <c r="K179" s="16">
        <v>154</v>
      </c>
      <c r="L179" s="16">
        <v>484</v>
      </c>
      <c r="M179" s="57" t="s">
        <v>23</v>
      </c>
      <c r="N179" s="16">
        <f t="shared" si="21"/>
        <v>638</v>
      </c>
      <c r="O179" s="16"/>
      <c r="P179" s="16">
        <v>0</v>
      </c>
      <c r="Q179" s="16">
        <v>0</v>
      </c>
      <c r="R179" s="16">
        <v>0</v>
      </c>
      <c r="S179" s="16">
        <v>0</v>
      </c>
      <c r="T179" s="16" t="s">
        <v>23</v>
      </c>
      <c r="U179" s="16">
        <f>SUM(P179:T179)</f>
        <v>0</v>
      </c>
    </row>
    <row r="180" spans="1:21">
      <c r="A180" s="99">
        <v>2006</v>
      </c>
      <c r="B180" s="16">
        <v>1746</v>
      </c>
      <c r="C180" s="16">
        <v>364</v>
      </c>
      <c r="D180" s="16">
        <v>0</v>
      </c>
      <c r="E180" s="16">
        <v>1</v>
      </c>
      <c r="F180" s="16">
        <v>13</v>
      </c>
      <c r="G180" s="16">
        <f t="shared" si="20"/>
        <v>2124</v>
      </c>
      <c r="H180" s="56"/>
      <c r="I180" s="57" t="s">
        <v>23</v>
      </c>
      <c r="J180" s="57" t="s">
        <v>23</v>
      </c>
      <c r="K180" s="16">
        <v>7</v>
      </c>
      <c r="L180" s="16">
        <v>29</v>
      </c>
      <c r="M180" s="57">
        <v>38</v>
      </c>
      <c r="N180" s="16">
        <f t="shared" si="21"/>
        <v>74</v>
      </c>
      <c r="O180" s="16"/>
      <c r="P180" s="16"/>
      <c r="Q180" s="16"/>
      <c r="R180" s="16"/>
      <c r="S180" s="16"/>
      <c r="T180" s="16"/>
      <c r="U180" s="16"/>
    </row>
    <row r="181" spans="1:21">
      <c r="A181" s="99">
        <v>2007</v>
      </c>
      <c r="B181" s="59">
        <v>173</v>
      </c>
      <c r="C181" s="59">
        <v>226</v>
      </c>
      <c r="D181" s="59">
        <v>43</v>
      </c>
      <c r="E181" s="59">
        <v>50</v>
      </c>
      <c r="F181" s="59">
        <v>8</v>
      </c>
      <c r="G181" s="59">
        <f t="shared" si="20"/>
        <v>500</v>
      </c>
      <c r="H181" s="58"/>
      <c r="I181" s="77" t="s">
        <v>23</v>
      </c>
      <c r="J181" s="77" t="s">
        <v>23</v>
      </c>
      <c r="K181" s="59">
        <v>338</v>
      </c>
      <c r="L181" s="59">
        <v>2401</v>
      </c>
      <c r="M181" s="77">
        <v>126</v>
      </c>
      <c r="N181" s="59">
        <f t="shared" si="21"/>
        <v>2865</v>
      </c>
      <c r="O181" s="59"/>
      <c r="P181" s="59">
        <v>0</v>
      </c>
      <c r="Q181" s="59">
        <v>0</v>
      </c>
      <c r="R181" s="59">
        <v>0</v>
      </c>
      <c r="S181" s="59">
        <v>0</v>
      </c>
      <c r="T181" s="59">
        <v>0</v>
      </c>
      <c r="U181" s="59">
        <f>SUM(P181:T181)</f>
        <v>0</v>
      </c>
    </row>
    <row r="182" spans="1:21">
      <c r="A182" s="122">
        <v>2008</v>
      </c>
      <c r="B182" s="59">
        <v>361</v>
      </c>
      <c r="C182" s="59">
        <v>847</v>
      </c>
      <c r="D182" s="59">
        <v>7</v>
      </c>
      <c r="E182" s="59">
        <v>24</v>
      </c>
      <c r="F182" s="59">
        <v>3</v>
      </c>
      <c r="G182" s="59">
        <f t="shared" si="20"/>
        <v>1242</v>
      </c>
      <c r="H182" s="58"/>
      <c r="I182" s="77" t="s">
        <v>23</v>
      </c>
      <c r="J182" s="77" t="s">
        <v>23</v>
      </c>
      <c r="K182" s="59">
        <v>4</v>
      </c>
      <c r="L182" s="59">
        <v>65</v>
      </c>
      <c r="M182" s="77">
        <v>8</v>
      </c>
      <c r="N182" s="59">
        <f t="shared" si="21"/>
        <v>77</v>
      </c>
      <c r="O182" s="59"/>
      <c r="P182" s="59"/>
      <c r="Q182" s="59"/>
      <c r="R182" s="59"/>
      <c r="S182" s="59"/>
      <c r="T182" s="59"/>
      <c r="U182" s="59"/>
    </row>
    <row r="183" spans="1:21">
      <c r="A183" s="122">
        <v>2009</v>
      </c>
      <c r="B183" s="59">
        <v>146</v>
      </c>
      <c r="C183" s="59">
        <v>49</v>
      </c>
      <c r="D183" s="59">
        <v>20</v>
      </c>
      <c r="E183" s="59">
        <v>46</v>
      </c>
      <c r="F183" s="59"/>
      <c r="G183" s="59">
        <f t="shared" si="20"/>
        <v>261</v>
      </c>
      <c r="H183" s="58"/>
      <c r="I183" s="77" t="s">
        <v>23</v>
      </c>
      <c r="J183" s="77" t="s">
        <v>23</v>
      </c>
      <c r="K183" s="59">
        <v>587</v>
      </c>
      <c r="L183" s="59">
        <v>1667</v>
      </c>
      <c r="M183" s="77">
        <v>0</v>
      </c>
      <c r="N183" s="59">
        <f t="shared" si="21"/>
        <v>2254</v>
      </c>
      <c r="O183" s="59"/>
      <c r="P183" s="59">
        <v>0</v>
      </c>
      <c r="Q183" s="59">
        <v>0</v>
      </c>
      <c r="R183" s="59">
        <v>0</v>
      </c>
      <c r="S183" s="59">
        <v>0</v>
      </c>
      <c r="T183" s="59">
        <v>0</v>
      </c>
      <c r="U183" s="59">
        <f>SUM(P183:T183)</f>
        <v>0</v>
      </c>
    </row>
    <row r="184" spans="1:21">
      <c r="A184" s="122">
        <v>2010</v>
      </c>
      <c r="B184" s="59">
        <v>210</v>
      </c>
      <c r="C184" s="59">
        <v>230</v>
      </c>
      <c r="D184" s="59">
        <v>168</v>
      </c>
      <c r="E184" s="59">
        <v>237</v>
      </c>
      <c r="F184" s="59">
        <v>41</v>
      </c>
      <c r="G184" s="59">
        <f t="shared" si="20"/>
        <v>886</v>
      </c>
      <c r="H184" s="58"/>
      <c r="I184" s="77" t="s">
        <v>23</v>
      </c>
      <c r="J184" s="77" t="s">
        <v>23</v>
      </c>
      <c r="K184" s="59">
        <v>99</v>
      </c>
      <c r="L184" s="59">
        <v>38</v>
      </c>
      <c r="M184" s="77">
        <v>14</v>
      </c>
      <c r="N184" s="59">
        <f t="shared" si="21"/>
        <v>151</v>
      </c>
      <c r="O184" s="59"/>
      <c r="P184" s="59"/>
      <c r="Q184" s="59"/>
      <c r="R184" s="59"/>
      <c r="S184" s="59"/>
      <c r="T184" s="59"/>
      <c r="U184" s="59"/>
    </row>
    <row r="185" spans="1:21">
      <c r="A185" s="122">
        <v>2011</v>
      </c>
      <c r="B185" s="59">
        <v>472</v>
      </c>
      <c r="C185" s="59">
        <v>543</v>
      </c>
      <c r="D185" s="59">
        <v>1</v>
      </c>
      <c r="E185" s="59">
        <v>12</v>
      </c>
      <c r="F185" s="59">
        <v>4</v>
      </c>
      <c r="G185" s="59">
        <f t="shared" si="20"/>
        <v>1032</v>
      </c>
      <c r="H185" s="58"/>
      <c r="I185" s="77" t="s">
        <v>23</v>
      </c>
      <c r="J185" s="77" t="s">
        <v>23</v>
      </c>
      <c r="K185" s="59">
        <v>1</v>
      </c>
      <c r="L185" s="59">
        <v>25</v>
      </c>
      <c r="M185" s="77">
        <v>12</v>
      </c>
      <c r="N185" s="59">
        <f t="shared" si="21"/>
        <v>38</v>
      </c>
      <c r="O185" s="59"/>
      <c r="P185" s="59">
        <v>0</v>
      </c>
      <c r="Q185" s="59">
        <v>0</v>
      </c>
      <c r="R185" s="59">
        <v>0</v>
      </c>
      <c r="S185" s="59">
        <v>0</v>
      </c>
      <c r="T185" s="59">
        <v>0</v>
      </c>
      <c r="U185" s="59">
        <f>SUM(P185:T185)</f>
        <v>0</v>
      </c>
    </row>
    <row r="186" spans="1:21">
      <c r="A186" s="122">
        <v>2012</v>
      </c>
      <c r="B186" s="59">
        <v>263</v>
      </c>
      <c r="C186" s="59">
        <v>1687</v>
      </c>
      <c r="D186" s="59">
        <v>66</v>
      </c>
      <c r="E186" s="59">
        <v>0</v>
      </c>
      <c r="F186" s="59">
        <v>234</v>
      </c>
      <c r="G186" s="59">
        <f t="shared" si="20"/>
        <v>2250</v>
      </c>
      <c r="H186" s="58"/>
      <c r="I186" s="77" t="s">
        <v>23</v>
      </c>
      <c r="J186" s="77" t="s">
        <v>23</v>
      </c>
      <c r="K186" s="59">
        <v>23</v>
      </c>
      <c r="L186" s="59">
        <v>2</v>
      </c>
      <c r="M186" s="77">
        <v>64</v>
      </c>
      <c r="N186" s="59">
        <f t="shared" si="21"/>
        <v>89</v>
      </c>
      <c r="O186" s="59"/>
      <c r="P186" s="59"/>
      <c r="Q186" s="59"/>
      <c r="R186" s="59"/>
      <c r="S186" s="59"/>
      <c r="T186" s="59"/>
      <c r="U186" s="59"/>
    </row>
    <row r="187" spans="1:21">
      <c r="A187" s="122">
        <v>2013</v>
      </c>
      <c r="B187" s="59">
        <v>102</v>
      </c>
      <c r="C187" s="59">
        <v>358</v>
      </c>
      <c r="D187" s="59">
        <v>42</v>
      </c>
      <c r="E187" s="59">
        <v>19</v>
      </c>
      <c r="F187" s="59">
        <v>39</v>
      </c>
      <c r="G187" s="59">
        <f t="shared" si="20"/>
        <v>560</v>
      </c>
      <c r="H187" s="58"/>
      <c r="I187" s="77" t="s">
        <v>23</v>
      </c>
      <c r="J187" s="77" t="s">
        <v>23</v>
      </c>
      <c r="K187" s="59">
        <v>28</v>
      </c>
      <c r="L187" s="59">
        <v>80</v>
      </c>
      <c r="M187" s="77">
        <v>19</v>
      </c>
      <c r="N187" s="59">
        <f t="shared" si="21"/>
        <v>127</v>
      </c>
      <c r="O187" s="59"/>
      <c r="P187" s="59">
        <v>0</v>
      </c>
      <c r="Q187" s="59">
        <v>0</v>
      </c>
      <c r="R187" s="59">
        <v>0</v>
      </c>
      <c r="S187" s="59">
        <v>0</v>
      </c>
      <c r="T187" s="59">
        <v>0</v>
      </c>
      <c r="U187" s="59">
        <f>SUM(P187:T187)</f>
        <v>0</v>
      </c>
    </row>
    <row r="188" spans="1:21">
      <c r="A188" s="122">
        <v>2014</v>
      </c>
      <c r="B188" s="59">
        <v>7438</v>
      </c>
      <c r="C188" s="59">
        <v>553</v>
      </c>
      <c r="D188" s="59">
        <v>598</v>
      </c>
      <c r="E188" s="59">
        <v>297</v>
      </c>
      <c r="F188" s="59">
        <v>94</v>
      </c>
      <c r="G188" s="59">
        <f t="shared" si="20"/>
        <v>8980</v>
      </c>
      <c r="H188" s="58"/>
      <c r="I188" s="77" t="s">
        <v>23</v>
      </c>
      <c r="J188" s="77" t="s">
        <v>23</v>
      </c>
      <c r="K188" s="59">
        <v>534</v>
      </c>
      <c r="L188" s="59">
        <v>822</v>
      </c>
      <c r="M188" s="77">
        <v>883</v>
      </c>
      <c r="N188" s="59">
        <f t="shared" si="21"/>
        <v>2239</v>
      </c>
      <c r="O188" s="59"/>
      <c r="U188" s="59"/>
    </row>
    <row r="189" spans="1:21">
      <c r="A189" s="122">
        <v>2015</v>
      </c>
      <c r="B189" s="59">
        <v>2681</v>
      </c>
      <c r="C189" s="59">
        <v>650</v>
      </c>
      <c r="D189" s="59">
        <v>96</v>
      </c>
      <c r="E189" s="59">
        <v>337</v>
      </c>
      <c r="F189" s="59">
        <v>261</v>
      </c>
      <c r="G189" s="59">
        <f t="shared" si="20"/>
        <v>4025</v>
      </c>
      <c r="H189" s="58"/>
      <c r="I189" s="77" t="s">
        <v>23</v>
      </c>
      <c r="J189" s="77" t="s">
        <v>23</v>
      </c>
      <c r="K189" s="59">
        <v>41</v>
      </c>
      <c r="L189" s="59">
        <v>171</v>
      </c>
      <c r="M189" s="77">
        <v>478</v>
      </c>
      <c r="N189" s="59">
        <f t="shared" si="21"/>
        <v>690</v>
      </c>
      <c r="O189" s="59"/>
      <c r="P189" s="59">
        <v>0</v>
      </c>
      <c r="Q189" s="59">
        <v>0</v>
      </c>
      <c r="R189" s="59">
        <v>0</v>
      </c>
      <c r="S189" s="59">
        <v>0</v>
      </c>
      <c r="T189" s="59">
        <v>0</v>
      </c>
      <c r="U189" s="59">
        <f>SUM(P189:T189)</f>
        <v>0</v>
      </c>
    </row>
    <row r="190" spans="1:21">
      <c r="A190" s="122">
        <v>2016</v>
      </c>
      <c r="B190" s="59">
        <v>656</v>
      </c>
      <c r="C190" s="59">
        <v>346</v>
      </c>
      <c r="D190" s="59">
        <v>259</v>
      </c>
      <c r="E190" s="59">
        <v>398</v>
      </c>
      <c r="F190" s="59" t="s">
        <v>23</v>
      </c>
      <c r="G190" s="59">
        <f>SUM(B190:F190)</f>
        <v>1659</v>
      </c>
      <c r="H190" s="58"/>
      <c r="I190" s="77" t="s">
        <v>23</v>
      </c>
      <c r="J190" s="77" t="s">
        <v>23</v>
      </c>
      <c r="K190" s="77" t="s">
        <v>23</v>
      </c>
      <c r="L190" s="77" t="s">
        <v>23</v>
      </c>
      <c r="M190" s="77" t="s">
        <v>23</v>
      </c>
      <c r="N190" s="77" t="s">
        <v>23</v>
      </c>
      <c r="O190" s="59"/>
      <c r="P190" s="59"/>
      <c r="Q190" s="59"/>
      <c r="R190" s="59"/>
      <c r="S190" s="59"/>
      <c r="T190" s="59"/>
      <c r="U190" s="59"/>
    </row>
    <row r="191" spans="1:21">
      <c r="A191" s="122">
        <v>2017</v>
      </c>
      <c r="B191" s="59">
        <v>148</v>
      </c>
      <c r="C191" s="59">
        <v>222</v>
      </c>
      <c r="D191" s="59">
        <v>74</v>
      </c>
      <c r="E191" s="59">
        <v>21</v>
      </c>
      <c r="F191" s="59">
        <v>109</v>
      </c>
      <c r="G191" s="59">
        <f>SUM(B191:F191)</f>
        <v>574</v>
      </c>
      <c r="H191" s="58"/>
      <c r="I191" s="77" t="s">
        <v>23</v>
      </c>
      <c r="J191" s="77" t="s">
        <v>23</v>
      </c>
      <c r="K191" s="77">
        <v>14</v>
      </c>
      <c r="L191" s="77">
        <v>50</v>
      </c>
      <c r="M191" s="77">
        <v>67</v>
      </c>
      <c r="N191" s="59">
        <f>SUM(I191:M191)</f>
        <v>131</v>
      </c>
      <c r="O191" s="59"/>
      <c r="P191" s="59">
        <v>0</v>
      </c>
      <c r="Q191" s="59">
        <v>0</v>
      </c>
      <c r="R191" s="59">
        <v>0</v>
      </c>
      <c r="S191" s="59">
        <v>0</v>
      </c>
      <c r="T191" s="59">
        <v>0</v>
      </c>
      <c r="U191" s="59">
        <f>SUM(P191:T191)</f>
        <v>0</v>
      </c>
    </row>
    <row r="192" spans="1:21">
      <c r="A192" s="122">
        <v>2018</v>
      </c>
      <c r="B192" s="59">
        <v>20</v>
      </c>
      <c r="C192" s="59">
        <v>68</v>
      </c>
      <c r="D192" s="59">
        <v>20</v>
      </c>
      <c r="E192" s="59">
        <v>19</v>
      </c>
      <c r="F192" s="59">
        <v>4</v>
      </c>
      <c r="G192" s="59">
        <f>SUM(B192:F192)</f>
        <v>131</v>
      </c>
      <c r="H192" s="58"/>
      <c r="I192" s="77" t="s">
        <v>23</v>
      </c>
      <c r="J192" s="77" t="s">
        <v>23</v>
      </c>
      <c r="K192" s="77">
        <v>32</v>
      </c>
      <c r="L192" s="77">
        <v>1</v>
      </c>
      <c r="M192" s="77" t="s">
        <v>23</v>
      </c>
      <c r="N192" s="59">
        <f>SUM(I192:M192)</f>
        <v>33</v>
      </c>
      <c r="O192" s="59"/>
      <c r="P192" s="59"/>
      <c r="Q192" s="59"/>
      <c r="R192" s="59"/>
      <c r="S192" s="59"/>
      <c r="T192" s="59"/>
      <c r="U192" s="59"/>
    </row>
    <row r="193" spans="1:21">
      <c r="A193" s="122">
        <v>2019</v>
      </c>
      <c r="B193" s="59">
        <v>139</v>
      </c>
      <c r="C193" s="59">
        <v>26</v>
      </c>
      <c r="D193" s="59">
        <v>36</v>
      </c>
      <c r="E193" s="59">
        <v>28</v>
      </c>
      <c r="F193" s="59">
        <v>0</v>
      </c>
      <c r="G193" s="59">
        <f t="shared" ref="G193:G194" si="22">SUM(B193:F193)</f>
        <v>229</v>
      </c>
      <c r="H193" s="58"/>
      <c r="I193" s="77" t="s">
        <v>23</v>
      </c>
      <c r="J193" s="77" t="s">
        <v>23</v>
      </c>
      <c r="K193" s="77">
        <v>161</v>
      </c>
      <c r="L193" s="77">
        <v>98</v>
      </c>
      <c r="M193" s="77">
        <v>0</v>
      </c>
      <c r="N193" s="59">
        <f t="shared" ref="N193:N194" si="23">SUM(I193:M193)</f>
        <v>259</v>
      </c>
      <c r="O193" s="59"/>
      <c r="P193" s="59">
        <v>0</v>
      </c>
      <c r="Q193" s="59">
        <v>0</v>
      </c>
      <c r="R193" s="59">
        <v>0</v>
      </c>
      <c r="S193" s="59">
        <v>2</v>
      </c>
      <c r="T193" s="59">
        <v>0</v>
      </c>
      <c r="U193" s="59">
        <f>SUM(P193:T193)</f>
        <v>2</v>
      </c>
    </row>
    <row r="194" spans="1:21">
      <c r="A194" s="122">
        <v>2020</v>
      </c>
      <c r="B194" s="59">
        <v>147</v>
      </c>
      <c r="C194" s="59">
        <v>132</v>
      </c>
      <c r="D194" s="59">
        <v>0</v>
      </c>
      <c r="E194" s="59">
        <v>88</v>
      </c>
      <c r="F194" s="59">
        <v>11</v>
      </c>
      <c r="G194" s="59">
        <f t="shared" si="22"/>
        <v>378</v>
      </c>
      <c r="H194" s="58"/>
      <c r="I194" s="77" t="s">
        <v>23</v>
      </c>
      <c r="J194" s="77" t="s">
        <v>23</v>
      </c>
      <c r="K194" s="77">
        <v>0</v>
      </c>
      <c r="L194" s="77">
        <v>0</v>
      </c>
      <c r="M194" s="77">
        <v>15</v>
      </c>
      <c r="N194" s="59">
        <f t="shared" si="23"/>
        <v>15</v>
      </c>
      <c r="O194" s="59"/>
      <c r="P194" s="59"/>
      <c r="Q194" s="59"/>
      <c r="R194" s="59"/>
      <c r="S194" s="59"/>
      <c r="T194" s="59"/>
      <c r="U194" s="59"/>
    </row>
    <row r="195" spans="1:21" ht="13">
      <c r="A195" s="122" t="s">
        <v>318</v>
      </c>
      <c r="B195" s="16">
        <v>24</v>
      </c>
      <c r="C195" s="16">
        <v>77</v>
      </c>
      <c r="D195" s="16">
        <v>2</v>
      </c>
      <c r="E195" s="16">
        <v>33</v>
      </c>
      <c r="F195" s="16">
        <v>10</v>
      </c>
      <c r="G195" s="16">
        <f>SUM(B195:F195)</f>
        <v>146</v>
      </c>
      <c r="H195" s="56"/>
      <c r="I195" s="57" t="s">
        <v>23</v>
      </c>
      <c r="J195" s="57" t="s">
        <v>23</v>
      </c>
      <c r="K195" s="57">
        <v>0</v>
      </c>
      <c r="L195" s="57">
        <v>43</v>
      </c>
      <c r="M195" s="57">
        <v>80</v>
      </c>
      <c r="N195" s="59">
        <f t="shared" si="21"/>
        <v>123</v>
      </c>
      <c r="O195" s="16"/>
      <c r="P195" s="59">
        <v>0</v>
      </c>
      <c r="Q195" s="59">
        <v>0</v>
      </c>
      <c r="R195" s="59">
        <v>0</v>
      </c>
      <c r="S195" s="59">
        <v>0</v>
      </c>
      <c r="T195" s="59">
        <v>0</v>
      </c>
      <c r="U195" s="59">
        <f>SUM(P195:T195)</f>
        <v>0</v>
      </c>
    </row>
    <row r="196" spans="1:21">
      <c r="B196" s="16"/>
      <c r="C196" s="16"/>
      <c r="D196" s="16"/>
      <c r="E196" s="16"/>
      <c r="F196" s="16"/>
      <c r="G196" s="16"/>
    </row>
    <row r="197" spans="1:21">
      <c r="A197" s="97" t="s">
        <v>101</v>
      </c>
      <c r="B197" s="16"/>
      <c r="C197" s="16"/>
      <c r="D197" s="16"/>
      <c r="E197" s="16"/>
      <c r="F197" s="16"/>
      <c r="G197" s="16"/>
    </row>
    <row r="198" spans="1:21">
      <c r="A198" s="99">
        <v>1976</v>
      </c>
      <c r="B198" s="59">
        <f t="shared" ref="B198:G207" si="24">IF(AND(B150="-",B102="-",B54="-",B6="-"),"-",SUM(B150,B102,B54,B6))</f>
        <v>70982</v>
      </c>
      <c r="C198" s="59">
        <f t="shared" si="24"/>
        <v>96058</v>
      </c>
      <c r="D198" s="59">
        <f t="shared" si="24"/>
        <v>86976</v>
      </c>
      <c r="E198" s="59">
        <f t="shared" si="24"/>
        <v>58019</v>
      </c>
      <c r="F198" s="59">
        <f t="shared" si="24"/>
        <v>23115</v>
      </c>
      <c r="G198" s="59">
        <f t="shared" si="24"/>
        <v>335150</v>
      </c>
      <c r="I198" s="59" t="str">
        <f t="shared" ref="I198:N207" si="25">IF(AND(I150="-",I102="-",I54="-",I6="-"),"-",SUM(I150,I102,I54,I6))</f>
        <v>-</v>
      </c>
      <c r="J198" s="59">
        <f t="shared" si="25"/>
        <v>227735</v>
      </c>
      <c r="K198" s="59">
        <f t="shared" si="25"/>
        <v>629567</v>
      </c>
      <c r="L198" s="59">
        <f t="shared" si="25"/>
        <v>321650</v>
      </c>
      <c r="M198" s="59">
        <f t="shared" si="25"/>
        <v>168279</v>
      </c>
      <c r="N198" s="59">
        <f t="shared" si="25"/>
        <v>1347231</v>
      </c>
      <c r="P198" s="59"/>
      <c r="Q198" s="59"/>
      <c r="R198" s="59"/>
      <c r="S198" s="59"/>
      <c r="T198" s="59"/>
      <c r="U198" s="59"/>
    </row>
    <row r="199" spans="1:21">
      <c r="A199" s="99">
        <v>1977</v>
      </c>
      <c r="B199" s="59">
        <f t="shared" si="24"/>
        <v>62150</v>
      </c>
      <c r="C199" s="59">
        <f t="shared" si="24"/>
        <v>28949</v>
      </c>
      <c r="D199" s="59">
        <f t="shared" si="24"/>
        <v>62857</v>
      </c>
      <c r="E199" s="59">
        <f t="shared" si="24"/>
        <v>34896</v>
      </c>
      <c r="F199" s="59">
        <f t="shared" si="24"/>
        <v>28761</v>
      </c>
      <c r="G199" s="59">
        <f t="shared" si="24"/>
        <v>217613</v>
      </c>
      <c r="I199" s="59">
        <f t="shared" si="25"/>
        <v>4</v>
      </c>
      <c r="J199" s="59" t="str">
        <f t="shared" si="25"/>
        <v>-</v>
      </c>
      <c r="K199" s="59">
        <f t="shared" si="25"/>
        <v>370986</v>
      </c>
      <c r="L199" s="59">
        <f t="shared" si="25"/>
        <v>185861</v>
      </c>
      <c r="M199" s="59">
        <f t="shared" si="25"/>
        <v>98962</v>
      </c>
      <c r="N199" s="59">
        <f t="shared" si="25"/>
        <v>655813</v>
      </c>
      <c r="P199" s="59">
        <f t="shared" ref="P199:U199" si="26">IF(AND(P151="-",P103="-",P55="-",P7="-"),"-",SUM(P151,P103,P55,P7))</f>
        <v>1056</v>
      </c>
      <c r="Q199" s="59">
        <f t="shared" si="26"/>
        <v>876</v>
      </c>
      <c r="R199" s="59">
        <f t="shared" si="26"/>
        <v>100598</v>
      </c>
      <c r="S199" s="59">
        <f t="shared" si="26"/>
        <v>164043</v>
      </c>
      <c r="T199" s="59">
        <f t="shared" si="26"/>
        <v>9129</v>
      </c>
      <c r="U199" s="59">
        <f t="shared" si="26"/>
        <v>275702</v>
      </c>
    </row>
    <row r="200" spans="1:21">
      <c r="A200" s="99">
        <v>1978</v>
      </c>
      <c r="B200" s="59">
        <f t="shared" si="24"/>
        <v>24666</v>
      </c>
      <c r="C200" s="59">
        <f t="shared" si="24"/>
        <v>21407</v>
      </c>
      <c r="D200" s="59">
        <f t="shared" si="24"/>
        <v>46927</v>
      </c>
      <c r="E200" s="59">
        <f t="shared" si="24"/>
        <v>26432</v>
      </c>
      <c r="F200" s="59">
        <f t="shared" si="24"/>
        <v>10095</v>
      </c>
      <c r="G200" s="59">
        <f t="shared" si="24"/>
        <v>129527</v>
      </c>
      <c r="I200" s="59" t="str">
        <f t="shared" si="25"/>
        <v>-</v>
      </c>
      <c r="J200" s="59" t="str">
        <f t="shared" si="25"/>
        <v>-</v>
      </c>
      <c r="K200" s="59">
        <f t="shared" si="25"/>
        <v>312955</v>
      </c>
      <c r="L200" s="59">
        <f t="shared" si="25"/>
        <v>112431</v>
      </c>
      <c r="M200" s="59">
        <f t="shared" si="25"/>
        <v>121268</v>
      </c>
      <c r="N200" s="59">
        <f t="shared" si="25"/>
        <v>546654</v>
      </c>
      <c r="P200" s="59"/>
      <c r="Q200" s="59"/>
      <c r="R200" s="59"/>
      <c r="S200" s="59"/>
      <c r="T200" s="59"/>
      <c r="U200" s="59"/>
    </row>
    <row r="201" spans="1:21">
      <c r="A201" s="99">
        <v>1979</v>
      </c>
      <c r="B201" s="59">
        <f t="shared" si="24"/>
        <v>46436</v>
      </c>
      <c r="C201" s="59">
        <f t="shared" si="24"/>
        <v>309</v>
      </c>
      <c r="D201" s="59">
        <f t="shared" si="24"/>
        <v>36364</v>
      </c>
      <c r="E201" s="59">
        <f t="shared" si="24"/>
        <v>38679</v>
      </c>
      <c r="F201" s="59">
        <f t="shared" si="24"/>
        <v>787</v>
      </c>
      <c r="G201" s="59">
        <f t="shared" si="24"/>
        <v>122575</v>
      </c>
      <c r="I201" s="59">
        <f t="shared" si="25"/>
        <v>7</v>
      </c>
      <c r="J201" s="59" t="str">
        <f t="shared" si="25"/>
        <v>-</v>
      </c>
      <c r="K201" s="59">
        <f t="shared" si="25"/>
        <v>364591</v>
      </c>
      <c r="L201" s="59">
        <f t="shared" si="25"/>
        <v>261035</v>
      </c>
      <c r="M201" s="59">
        <f t="shared" si="25"/>
        <v>4221</v>
      </c>
      <c r="N201" s="59">
        <f t="shared" si="25"/>
        <v>629854</v>
      </c>
      <c r="P201" s="59">
        <f t="shared" ref="P201:U201" si="27">IF(AND(P153="-",P105="-",P57="-",P9="-"),"-",SUM(P153,P105,P57,P9))</f>
        <v>83</v>
      </c>
      <c r="Q201" s="59">
        <f t="shared" si="27"/>
        <v>21</v>
      </c>
      <c r="R201" s="59">
        <f t="shared" si="27"/>
        <v>92780</v>
      </c>
      <c r="S201" s="59">
        <f t="shared" si="27"/>
        <v>455963</v>
      </c>
      <c r="T201" s="59">
        <f t="shared" si="27"/>
        <v>1211</v>
      </c>
      <c r="U201" s="59">
        <f t="shared" si="27"/>
        <v>550058</v>
      </c>
    </row>
    <row r="202" spans="1:21">
      <c r="A202" s="99">
        <v>1980</v>
      </c>
      <c r="B202" s="59">
        <f t="shared" si="24"/>
        <v>44522</v>
      </c>
      <c r="C202" s="59">
        <f t="shared" si="24"/>
        <v>2097</v>
      </c>
      <c r="D202" s="59">
        <f t="shared" si="24"/>
        <v>41726</v>
      </c>
      <c r="E202" s="59">
        <f t="shared" si="24"/>
        <v>23948</v>
      </c>
      <c r="F202" s="59">
        <f t="shared" si="24"/>
        <v>463</v>
      </c>
      <c r="G202" s="59">
        <f t="shared" si="24"/>
        <v>112756</v>
      </c>
      <c r="I202" s="59">
        <f t="shared" si="25"/>
        <v>97</v>
      </c>
      <c r="J202" s="59" t="str">
        <f t="shared" si="25"/>
        <v>-</v>
      </c>
      <c r="K202" s="59">
        <f t="shared" si="25"/>
        <v>199040</v>
      </c>
      <c r="L202" s="59">
        <f t="shared" si="25"/>
        <v>137998</v>
      </c>
      <c r="M202" s="59">
        <f t="shared" si="25"/>
        <v>4674</v>
      </c>
      <c r="N202" s="59">
        <f t="shared" si="25"/>
        <v>341809</v>
      </c>
      <c r="P202" s="59"/>
      <c r="Q202" s="59"/>
      <c r="R202" s="59"/>
      <c r="S202" s="59"/>
      <c r="T202" s="59"/>
      <c r="U202" s="59"/>
    </row>
    <row r="203" spans="1:21">
      <c r="A203" s="99">
        <v>1981</v>
      </c>
      <c r="B203" s="59">
        <f t="shared" si="24"/>
        <v>46159</v>
      </c>
      <c r="C203" s="59">
        <f t="shared" si="24"/>
        <v>2568</v>
      </c>
      <c r="D203" s="59">
        <f t="shared" si="24"/>
        <v>24227</v>
      </c>
      <c r="E203" s="59">
        <f t="shared" si="24"/>
        <v>18606</v>
      </c>
      <c r="F203" s="59" t="str">
        <f t="shared" si="24"/>
        <v>-</v>
      </c>
      <c r="G203" s="59">
        <f t="shared" si="24"/>
        <v>91560</v>
      </c>
      <c r="I203" s="59" t="str">
        <f t="shared" si="25"/>
        <v>-</v>
      </c>
      <c r="J203" s="59" t="str">
        <f t="shared" si="25"/>
        <v>-</v>
      </c>
      <c r="K203" s="59">
        <f t="shared" si="25"/>
        <v>219072</v>
      </c>
      <c r="L203" s="59">
        <f t="shared" si="25"/>
        <v>130244</v>
      </c>
      <c r="M203" s="59" t="str">
        <f t="shared" si="25"/>
        <v>-</v>
      </c>
      <c r="N203" s="59">
        <f t="shared" si="25"/>
        <v>349316</v>
      </c>
      <c r="P203" s="59">
        <f t="shared" ref="P203:U203" si="28">IF(AND(P155="-",P107="-",P59="-",P11="-"),"-",SUM(P155,P107,P59,P11))</f>
        <v>595</v>
      </c>
      <c r="Q203" s="59">
        <f t="shared" si="28"/>
        <v>99</v>
      </c>
      <c r="R203" s="59">
        <f t="shared" si="28"/>
        <v>67688</v>
      </c>
      <c r="S203" s="59">
        <f t="shared" si="28"/>
        <v>162474</v>
      </c>
      <c r="T203" s="59" t="str">
        <f t="shared" si="28"/>
        <v>-</v>
      </c>
      <c r="U203" s="59">
        <f t="shared" si="28"/>
        <v>230856</v>
      </c>
    </row>
    <row r="204" spans="1:21">
      <c r="A204" s="99">
        <v>1982</v>
      </c>
      <c r="B204" s="59">
        <f t="shared" si="24"/>
        <v>55601</v>
      </c>
      <c r="C204" s="59">
        <f t="shared" si="24"/>
        <v>8682</v>
      </c>
      <c r="D204" s="59">
        <f t="shared" si="24"/>
        <v>57392</v>
      </c>
      <c r="E204" s="59">
        <f t="shared" si="24"/>
        <v>347</v>
      </c>
      <c r="F204" s="59" t="str">
        <f t="shared" si="24"/>
        <v>-</v>
      </c>
      <c r="G204" s="59">
        <f t="shared" si="24"/>
        <v>122022</v>
      </c>
      <c r="I204" s="59" t="str">
        <f t="shared" si="25"/>
        <v>-</v>
      </c>
      <c r="J204" s="59" t="str">
        <f t="shared" si="25"/>
        <v>-</v>
      </c>
      <c r="K204" s="59">
        <f t="shared" si="25"/>
        <v>223756</v>
      </c>
      <c r="L204" s="59">
        <f t="shared" si="25"/>
        <v>13918</v>
      </c>
      <c r="M204" s="59">
        <f t="shared" si="25"/>
        <v>159</v>
      </c>
      <c r="N204" s="59">
        <f t="shared" si="25"/>
        <v>237833</v>
      </c>
      <c r="P204" s="59"/>
      <c r="Q204" s="59"/>
      <c r="R204" s="59"/>
      <c r="S204" s="59"/>
      <c r="T204" s="59"/>
      <c r="U204" s="59"/>
    </row>
    <row r="205" spans="1:21">
      <c r="A205" s="99">
        <v>1983</v>
      </c>
      <c r="B205" s="59">
        <f t="shared" si="24"/>
        <v>28137</v>
      </c>
      <c r="C205" s="59">
        <f t="shared" si="24"/>
        <v>6077</v>
      </c>
      <c r="D205" s="59">
        <f t="shared" si="24"/>
        <v>13172</v>
      </c>
      <c r="E205" s="59">
        <f t="shared" si="24"/>
        <v>1211</v>
      </c>
      <c r="F205" s="59">
        <f t="shared" si="24"/>
        <v>418</v>
      </c>
      <c r="G205" s="59">
        <f t="shared" si="24"/>
        <v>49015</v>
      </c>
      <c r="I205" s="59" t="str">
        <f t="shared" si="25"/>
        <v>-</v>
      </c>
      <c r="J205" s="59" t="str">
        <f t="shared" si="25"/>
        <v>-</v>
      </c>
      <c r="K205" s="59">
        <f t="shared" si="25"/>
        <v>3970</v>
      </c>
      <c r="L205" s="59">
        <f t="shared" si="25"/>
        <v>5984</v>
      </c>
      <c r="M205" s="59">
        <f t="shared" si="25"/>
        <v>13373</v>
      </c>
      <c r="N205" s="59">
        <f t="shared" si="25"/>
        <v>23327</v>
      </c>
      <c r="P205" s="59">
        <f t="shared" ref="P205:U205" si="29">IF(AND(P157="-",P109="-",P61="-",P13="-"),"-",SUM(P157,P109,P61,P13))</f>
        <v>1</v>
      </c>
      <c r="Q205" s="59">
        <f t="shared" si="29"/>
        <v>0</v>
      </c>
      <c r="R205" s="59">
        <f t="shared" si="29"/>
        <v>79117</v>
      </c>
      <c r="S205" s="59">
        <f t="shared" si="29"/>
        <v>6041</v>
      </c>
      <c r="T205" s="59">
        <f t="shared" si="29"/>
        <v>300</v>
      </c>
      <c r="U205" s="59">
        <f t="shared" si="29"/>
        <v>85459</v>
      </c>
    </row>
    <row r="206" spans="1:21">
      <c r="A206" s="99">
        <v>1984</v>
      </c>
      <c r="B206" s="59">
        <f t="shared" si="24"/>
        <v>8076</v>
      </c>
      <c r="C206" s="59" t="str">
        <f t="shared" si="24"/>
        <v>-</v>
      </c>
      <c r="D206" s="59" t="str">
        <f t="shared" si="24"/>
        <v>-</v>
      </c>
      <c r="E206" s="59">
        <f t="shared" si="24"/>
        <v>1556</v>
      </c>
      <c r="F206" s="59" t="str">
        <f t="shared" si="24"/>
        <v>-</v>
      </c>
      <c r="G206" s="59">
        <f t="shared" si="24"/>
        <v>9632</v>
      </c>
      <c r="I206" s="59" t="str">
        <f t="shared" si="25"/>
        <v>-</v>
      </c>
      <c r="J206" s="59" t="str">
        <f t="shared" si="25"/>
        <v>-</v>
      </c>
      <c r="K206" s="59" t="str">
        <f t="shared" si="25"/>
        <v>-</v>
      </c>
      <c r="L206" s="59">
        <f t="shared" si="25"/>
        <v>23090</v>
      </c>
      <c r="M206" s="59" t="str">
        <f t="shared" si="25"/>
        <v>-</v>
      </c>
      <c r="N206" s="59">
        <f t="shared" si="25"/>
        <v>23090</v>
      </c>
      <c r="P206" s="59"/>
      <c r="Q206" s="59"/>
      <c r="R206" s="59"/>
      <c r="S206" s="59"/>
      <c r="T206" s="59"/>
      <c r="U206" s="59"/>
    </row>
    <row r="207" spans="1:21">
      <c r="A207" s="99">
        <v>1985</v>
      </c>
      <c r="B207" s="59">
        <f t="shared" si="24"/>
        <v>20320</v>
      </c>
      <c r="C207" s="59">
        <f t="shared" si="24"/>
        <v>230</v>
      </c>
      <c r="D207" s="59">
        <f t="shared" si="24"/>
        <v>9660</v>
      </c>
      <c r="E207" s="59">
        <f t="shared" si="24"/>
        <v>4045</v>
      </c>
      <c r="F207" s="59">
        <f t="shared" si="24"/>
        <v>31</v>
      </c>
      <c r="G207" s="59">
        <f t="shared" si="24"/>
        <v>34286</v>
      </c>
      <c r="I207" s="59" t="str">
        <f t="shared" si="25"/>
        <v>-</v>
      </c>
      <c r="J207" s="59" t="str">
        <f t="shared" si="25"/>
        <v>-</v>
      </c>
      <c r="K207" s="59">
        <f t="shared" si="25"/>
        <v>114403</v>
      </c>
      <c r="L207" s="59">
        <f t="shared" si="25"/>
        <v>14393</v>
      </c>
      <c r="M207" s="59">
        <f t="shared" si="25"/>
        <v>40</v>
      </c>
      <c r="N207" s="59">
        <f t="shared" si="25"/>
        <v>128836</v>
      </c>
      <c r="P207" s="59">
        <f t="shared" ref="P207:U207" si="30">IF(AND(P159="-",P111="-",P63="-",P15="-"),"-",SUM(P159,P111,P63,P15))</f>
        <v>106</v>
      </c>
      <c r="Q207" s="59">
        <f t="shared" si="30"/>
        <v>0</v>
      </c>
      <c r="R207" s="59">
        <f t="shared" si="30"/>
        <v>6831</v>
      </c>
      <c r="S207" s="59">
        <f t="shared" si="30"/>
        <v>94401</v>
      </c>
      <c r="T207" s="59">
        <f t="shared" si="30"/>
        <v>530</v>
      </c>
      <c r="U207" s="59">
        <f t="shared" si="30"/>
        <v>101868</v>
      </c>
    </row>
    <row r="208" spans="1:21">
      <c r="A208" s="99">
        <v>1986</v>
      </c>
      <c r="B208" s="59">
        <f t="shared" ref="B208:G217" si="31">IF(AND(B160="-",B112="-",B64="-",B16="-"),"-",SUM(B160,B112,B64,B16))</f>
        <v>26686</v>
      </c>
      <c r="C208" s="59">
        <f t="shared" si="31"/>
        <v>163</v>
      </c>
      <c r="D208" s="59" t="str">
        <f t="shared" si="31"/>
        <v>-</v>
      </c>
      <c r="E208" s="59">
        <f t="shared" si="31"/>
        <v>5991</v>
      </c>
      <c r="F208" s="59" t="str">
        <f t="shared" si="31"/>
        <v>-</v>
      </c>
      <c r="G208" s="59">
        <f t="shared" si="31"/>
        <v>32840</v>
      </c>
      <c r="I208" s="59" t="str">
        <f t="shared" ref="I208:N217" si="32">IF(AND(I160="-",I112="-",I64="-",I16="-"),"-",SUM(I160,I112,I64,I16))</f>
        <v>-</v>
      </c>
      <c r="J208" s="59" t="str">
        <f t="shared" si="32"/>
        <v>-</v>
      </c>
      <c r="K208" s="59" t="str">
        <f t="shared" si="32"/>
        <v>-</v>
      </c>
      <c r="L208" s="59">
        <f t="shared" si="32"/>
        <v>75036</v>
      </c>
      <c r="M208" s="59" t="str">
        <f t="shared" si="32"/>
        <v>-</v>
      </c>
      <c r="N208" s="59">
        <f t="shared" si="32"/>
        <v>75036</v>
      </c>
      <c r="P208" s="59"/>
      <c r="Q208" s="59"/>
      <c r="R208" s="59"/>
      <c r="S208" s="59"/>
      <c r="T208" s="59"/>
      <c r="U208" s="59"/>
    </row>
    <row r="209" spans="1:21">
      <c r="A209" s="99">
        <v>1987</v>
      </c>
      <c r="B209" s="59">
        <f t="shared" si="31"/>
        <v>35632</v>
      </c>
      <c r="C209" s="59" t="str">
        <f t="shared" si="31"/>
        <v>-</v>
      </c>
      <c r="D209" s="59">
        <f t="shared" si="31"/>
        <v>19094</v>
      </c>
      <c r="E209" s="59" t="str">
        <f t="shared" si="31"/>
        <v>-</v>
      </c>
      <c r="F209" s="59" t="str">
        <f t="shared" si="31"/>
        <v>-</v>
      </c>
      <c r="G209" s="59">
        <f t="shared" si="31"/>
        <v>54726</v>
      </c>
      <c r="I209" s="59" t="str">
        <f t="shared" si="32"/>
        <v>-</v>
      </c>
      <c r="J209" s="59" t="str">
        <f t="shared" si="32"/>
        <v>-</v>
      </c>
      <c r="K209" s="59">
        <f t="shared" si="32"/>
        <v>47357</v>
      </c>
      <c r="L209" s="59" t="str">
        <f t="shared" si="32"/>
        <v>-</v>
      </c>
      <c r="M209" s="59" t="str">
        <f t="shared" si="32"/>
        <v>-</v>
      </c>
      <c r="N209" s="59">
        <f t="shared" si="32"/>
        <v>47357</v>
      </c>
      <c r="P209" s="59">
        <f t="shared" ref="P209:U209" si="33">IF(AND(P161="-",P113="-",P65="-",P17="-"),"-",SUM(P161,P113,P65,P17))</f>
        <v>0</v>
      </c>
      <c r="Q209" s="59" t="str">
        <f t="shared" si="33"/>
        <v>-</v>
      </c>
      <c r="R209" s="59">
        <f t="shared" si="33"/>
        <v>2729</v>
      </c>
      <c r="S209" s="59" t="str">
        <f t="shared" si="33"/>
        <v>-</v>
      </c>
      <c r="T209" s="59" t="str">
        <f t="shared" si="33"/>
        <v>-</v>
      </c>
      <c r="U209" s="59">
        <f t="shared" si="33"/>
        <v>2729</v>
      </c>
    </row>
    <row r="210" spans="1:21">
      <c r="A210" s="99">
        <v>1988</v>
      </c>
      <c r="B210" s="59">
        <f t="shared" si="31"/>
        <v>41674</v>
      </c>
      <c r="C210" s="59">
        <f t="shared" si="31"/>
        <v>30252</v>
      </c>
      <c r="D210" s="59">
        <f t="shared" si="31"/>
        <v>57</v>
      </c>
      <c r="E210" s="59">
        <f t="shared" si="31"/>
        <v>242</v>
      </c>
      <c r="F210" s="59" t="str">
        <f t="shared" si="31"/>
        <v>-</v>
      </c>
      <c r="G210" s="59">
        <f t="shared" si="31"/>
        <v>72225</v>
      </c>
      <c r="I210" s="59" t="str">
        <f t="shared" si="32"/>
        <v>-</v>
      </c>
      <c r="J210" s="59" t="str">
        <f t="shared" si="32"/>
        <v>-</v>
      </c>
      <c r="K210" s="59">
        <f t="shared" si="32"/>
        <v>381</v>
      </c>
      <c r="L210" s="59">
        <f t="shared" si="32"/>
        <v>1848</v>
      </c>
      <c r="M210" s="59" t="str">
        <f t="shared" si="32"/>
        <v>-</v>
      </c>
      <c r="N210" s="59">
        <f t="shared" si="32"/>
        <v>2229</v>
      </c>
      <c r="P210" s="59"/>
      <c r="Q210" s="59"/>
      <c r="R210" s="59"/>
      <c r="S210" s="59"/>
      <c r="T210" s="59"/>
      <c r="U210" s="59"/>
    </row>
    <row r="211" spans="1:21">
      <c r="A211" s="99">
        <v>1989</v>
      </c>
      <c r="B211" s="59">
        <f t="shared" si="31"/>
        <v>23264</v>
      </c>
      <c r="C211" s="59">
        <f t="shared" si="31"/>
        <v>15470</v>
      </c>
      <c r="D211" s="59" t="str">
        <f t="shared" si="31"/>
        <v>-</v>
      </c>
      <c r="E211" s="59">
        <f t="shared" si="31"/>
        <v>778</v>
      </c>
      <c r="F211" s="59">
        <f t="shared" si="31"/>
        <v>703</v>
      </c>
      <c r="G211" s="59">
        <f t="shared" si="31"/>
        <v>40215</v>
      </c>
      <c r="I211" s="59" t="str">
        <f t="shared" si="32"/>
        <v>-</v>
      </c>
      <c r="J211" s="59" t="str">
        <f t="shared" si="32"/>
        <v>-</v>
      </c>
      <c r="K211" s="59" t="str">
        <f t="shared" si="32"/>
        <v>-</v>
      </c>
      <c r="L211" s="59">
        <f t="shared" si="32"/>
        <v>46507</v>
      </c>
      <c r="M211" s="59">
        <f t="shared" si="32"/>
        <v>10638</v>
      </c>
      <c r="N211" s="59">
        <f t="shared" si="32"/>
        <v>57145</v>
      </c>
      <c r="P211" s="59">
        <f t="shared" ref="P211:U211" si="34">IF(AND(P163="-",P115="-",P67="-",P19="-"),"-",SUM(P163,P115,P67,P19))</f>
        <v>229</v>
      </c>
      <c r="Q211" s="59">
        <f t="shared" si="34"/>
        <v>182</v>
      </c>
      <c r="R211" s="59" t="str">
        <f t="shared" si="34"/>
        <v>-</v>
      </c>
      <c r="S211" s="59">
        <f t="shared" si="34"/>
        <v>36287</v>
      </c>
      <c r="T211" s="59">
        <f t="shared" si="34"/>
        <v>1</v>
      </c>
      <c r="U211" s="59">
        <f t="shared" si="34"/>
        <v>36699</v>
      </c>
    </row>
    <row r="212" spans="1:21">
      <c r="A212" s="99">
        <v>1990</v>
      </c>
      <c r="B212" s="59">
        <f t="shared" si="31"/>
        <v>23140</v>
      </c>
      <c r="C212" s="59">
        <f t="shared" si="31"/>
        <v>1993</v>
      </c>
      <c r="D212" s="59" t="str">
        <f t="shared" si="31"/>
        <v>-</v>
      </c>
      <c r="E212" s="59">
        <f t="shared" si="31"/>
        <v>4789</v>
      </c>
      <c r="F212" s="59">
        <f t="shared" si="31"/>
        <v>1182</v>
      </c>
      <c r="G212" s="59">
        <f t="shared" si="31"/>
        <v>31104</v>
      </c>
      <c r="I212" s="59" t="str">
        <f t="shared" si="32"/>
        <v>-</v>
      </c>
      <c r="J212" s="59" t="str">
        <f t="shared" si="32"/>
        <v>-</v>
      </c>
      <c r="K212" s="59" t="str">
        <f t="shared" si="32"/>
        <v>-</v>
      </c>
      <c r="L212" s="59">
        <f t="shared" si="32"/>
        <v>74697</v>
      </c>
      <c r="M212" s="59">
        <f t="shared" si="32"/>
        <v>15429</v>
      </c>
      <c r="N212" s="59">
        <f t="shared" si="32"/>
        <v>90126</v>
      </c>
      <c r="P212" s="59"/>
      <c r="Q212" s="59"/>
      <c r="R212" s="59"/>
      <c r="S212" s="59"/>
      <c r="T212" s="59"/>
      <c r="U212" s="59"/>
    </row>
    <row r="213" spans="1:21">
      <c r="A213" s="99">
        <v>1991</v>
      </c>
      <c r="B213" s="59">
        <f t="shared" si="31"/>
        <v>14490</v>
      </c>
      <c r="C213" s="59">
        <f t="shared" si="31"/>
        <v>12427</v>
      </c>
      <c r="D213" s="59" t="str">
        <f t="shared" si="31"/>
        <v>-</v>
      </c>
      <c r="E213" s="59">
        <f t="shared" si="31"/>
        <v>1130</v>
      </c>
      <c r="F213" s="59">
        <f t="shared" si="31"/>
        <v>762</v>
      </c>
      <c r="G213" s="59">
        <f t="shared" si="31"/>
        <v>28809</v>
      </c>
      <c r="I213" s="59" t="str">
        <f t="shared" si="32"/>
        <v>-</v>
      </c>
      <c r="J213" s="59" t="str">
        <f t="shared" si="32"/>
        <v>-</v>
      </c>
      <c r="K213" s="59" t="str">
        <f t="shared" si="32"/>
        <v>-</v>
      </c>
      <c r="L213" s="59">
        <f t="shared" si="32"/>
        <v>40025</v>
      </c>
      <c r="M213" s="59">
        <f t="shared" si="32"/>
        <v>14145</v>
      </c>
      <c r="N213" s="59">
        <f t="shared" si="32"/>
        <v>54170</v>
      </c>
      <c r="P213" s="59">
        <f t="shared" ref="P213:U213" si="35">IF(AND(P165="-",P117="-",P69="-",P21="-"),"-",SUM(P165,P117,P69,P21))</f>
        <v>4</v>
      </c>
      <c r="Q213" s="59">
        <f t="shared" si="35"/>
        <v>17</v>
      </c>
      <c r="R213" s="59" t="str">
        <f t="shared" si="35"/>
        <v>-</v>
      </c>
      <c r="S213" s="59">
        <f t="shared" si="35"/>
        <v>43267</v>
      </c>
      <c r="T213" s="59">
        <f t="shared" si="35"/>
        <v>295</v>
      </c>
      <c r="U213" s="59">
        <f t="shared" si="35"/>
        <v>43583</v>
      </c>
    </row>
    <row r="214" spans="1:21">
      <c r="A214" s="99">
        <v>1992</v>
      </c>
      <c r="B214" s="59">
        <f t="shared" si="31"/>
        <v>22161</v>
      </c>
      <c r="C214" s="59">
        <f t="shared" si="31"/>
        <v>12631</v>
      </c>
      <c r="D214" s="59">
        <f t="shared" si="31"/>
        <v>5338</v>
      </c>
      <c r="E214" s="59">
        <f t="shared" si="31"/>
        <v>3498</v>
      </c>
      <c r="F214" s="59" t="str">
        <f t="shared" si="31"/>
        <v>-</v>
      </c>
      <c r="G214" s="59">
        <f t="shared" si="31"/>
        <v>43628</v>
      </c>
      <c r="I214" s="59" t="str">
        <f t="shared" si="32"/>
        <v>-</v>
      </c>
      <c r="J214" s="59" t="str">
        <f t="shared" si="32"/>
        <v>-</v>
      </c>
      <c r="K214" s="59">
        <f t="shared" si="32"/>
        <v>10272</v>
      </c>
      <c r="L214" s="59">
        <f t="shared" si="32"/>
        <v>7407</v>
      </c>
      <c r="M214" s="59" t="str">
        <f t="shared" si="32"/>
        <v>-</v>
      </c>
      <c r="N214" s="59">
        <f t="shared" si="32"/>
        <v>17679</v>
      </c>
      <c r="P214" s="59"/>
      <c r="Q214" s="59"/>
      <c r="R214" s="59"/>
      <c r="S214" s="59"/>
      <c r="T214" s="59"/>
      <c r="U214" s="59"/>
    </row>
    <row r="215" spans="1:21">
      <c r="A215" s="99">
        <v>1993</v>
      </c>
      <c r="B215" s="59">
        <f t="shared" si="31"/>
        <v>14359</v>
      </c>
      <c r="C215" s="59">
        <f t="shared" si="31"/>
        <v>10626</v>
      </c>
      <c r="D215" s="59">
        <f t="shared" si="31"/>
        <v>2632</v>
      </c>
      <c r="E215" s="59">
        <f t="shared" si="31"/>
        <v>953</v>
      </c>
      <c r="F215" s="59">
        <f t="shared" si="31"/>
        <v>1502</v>
      </c>
      <c r="G215" s="59">
        <f t="shared" si="31"/>
        <v>30072</v>
      </c>
      <c r="I215" s="59" t="str">
        <f t="shared" si="32"/>
        <v>-</v>
      </c>
      <c r="J215" s="59" t="str">
        <f t="shared" si="32"/>
        <v>-</v>
      </c>
      <c r="K215" s="59">
        <f t="shared" si="32"/>
        <v>4918</v>
      </c>
      <c r="L215" s="59">
        <f t="shared" si="32"/>
        <v>3625</v>
      </c>
      <c r="M215" s="59">
        <f t="shared" si="32"/>
        <v>5380</v>
      </c>
      <c r="N215" s="59">
        <f t="shared" si="32"/>
        <v>13923</v>
      </c>
      <c r="P215" s="59">
        <f t="shared" ref="P215:U215" si="36">IF(AND(P167="-",P119="-",P71="-",P23="-"),"-",SUM(P167,P119,P71,P23))</f>
        <v>16</v>
      </c>
      <c r="Q215" s="59">
        <f t="shared" si="36"/>
        <v>1</v>
      </c>
      <c r="R215" s="59">
        <f t="shared" si="36"/>
        <v>88</v>
      </c>
      <c r="S215" s="59">
        <f t="shared" si="36"/>
        <v>2753</v>
      </c>
      <c r="T215" s="59">
        <f t="shared" si="36"/>
        <v>3</v>
      </c>
      <c r="U215" s="59">
        <f t="shared" si="36"/>
        <v>2861</v>
      </c>
    </row>
    <row r="216" spans="1:21">
      <c r="A216" s="99">
        <v>1994</v>
      </c>
      <c r="B216" s="59" t="str">
        <f t="shared" si="31"/>
        <v>-</v>
      </c>
      <c r="C216" s="59" t="str">
        <f t="shared" si="31"/>
        <v>-</v>
      </c>
      <c r="D216" s="59" t="str">
        <f t="shared" si="31"/>
        <v>-</v>
      </c>
      <c r="E216" s="59" t="str">
        <f t="shared" si="31"/>
        <v>-</v>
      </c>
      <c r="F216" s="59" t="str">
        <f t="shared" si="31"/>
        <v>-</v>
      </c>
      <c r="G216" s="59" t="str">
        <f t="shared" si="31"/>
        <v>-</v>
      </c>
      <c r="I216" s="59" t="str">
        <f t="shared" si="32"/>
        <v>-</v>
      </c>
      <c r="J216" s="59" t="str">
        <f t="shared" si="32"/>
        <v>-</v>
      </c>
      <c r="K216" s="59" t="str">
        <f t="shared" si="32"/>
        <v>-</v>
      </c>
      <c r="L216" s="59" t="str">
        <f t="shared" si="32"/>
        <v>-</v>
      </c>
      <c r="M216" s="59" t="str">
        <f t="shared" si="32"/>
        <v>-</v>
      </c>
      <c r="N216" s="59" t="str">
        <f t="shared" si="32"/>
        <v>-</v>
      </c>
      <c r="P216" s="59"/>
      <c r="Q216" s="59"/>
      <c r="R216" s="59"/>
      <c r="S216" s="59"/>
      <c r="T216" s="59"/>
      <c r="U216" s="59"/>
    </row>
    <row r="217" spans="1:21">
      <c r="A217" s="99">
        <v>1995</v>
      </c>
      <c r="B217" s="59" t="str">
        <f t="shared" si="31"/>
        <v>-</v>
      </c>
      <c r="C217" s="59" t="str">
        <f t="shared" si="31"/>
        <v>-</v>
      </c>
      <c r="D217" s="59" t="str">
        <f t="shared" si="31"/>
        <v>-</v>
      </c>
      <c r="E217" s="59">
        <f t="shared" si="31"/>
        <v>3</v>
      </c>
      <c r="F217" s="59" t="str">
        <f t="shared" si="31"/>
        <v>-</v>
      </c>
      <c r="G217" s="59">
        <f t="shared" si="31"/>
        <v>3</v>
      </c>
      <c r="I217" s="59" t="str">
        <f t="shared" si="32"/>
        <v>-</v>
      </c>
      <c r="J217" s="59" t="str">
        <f t="shared" si="32"/>
        <v>-</v>
      </c>
      <c r="K217" s="59" t="str">
        <f t="shared" si="32"/>
        <v>-</v>
      </c>
      <c r="L217" s="59">
        <f t="shared" si="32"/>
        <v>18366</v>
      </c>
      <c r="M217" s="59">
        <f t="shared" si="32"/>
        <v>7060</v>
      </c>
      <c r="N217" s="59">
        <f t="shared" si="32"/>
        <v>25426</v>
      </c>
      <c r="P217" s="59" t="str">
        <f t="shared" ref="P217:U217" si="37">IF(AND(P169="-",P121="-",P73="-",P25="-"),"-",SUM(P169,P121,P73,P25))</f>
        <v>-</v>
      </c>
      <c r="Q217" s="59" t="str">
        <f t="shared" si="37"/>
        <v>-</v>
      </c>
      <c r="R217" s="59" t="str">
        <f t="shared" si="37"/>
        <v>-</v>
      </c>
      <c r="S217" s="59">
        <f t="shared" si="37"/>
        <v>30060</v>
      </c>
      <c r="T217" s="59">
        <f t="shared" si="37"/>
        <v>872</v>
      </c>
      <c r="U217" s="59">
        <f t="shared" si="37"/>
        <v>30932</v>
      </c>
    </row>
    <row r="218" spans="1:21">
      <c r="A218" s="99">
        <v>1996</v>
      </c>
      <c r="B218" s="59" t="str">
        <f t="shared" ref="B218:G227" si="38">IF(AND(B170="-",B122="-",B74="-",B26="-"),"-",SUM(B170,B122,B74,B26))</f>
        <v>-</v>
      </c>
      <c r="C218" s="59" t="str">
        <f t="shared" si="38"/>
        <v>-</v>
      </c>
      <c r="D218" s="59" t="str">
        <f t="shared" si="38"/>
        <v>-</v>
      </c>
      <c r="E218" s="59" t="str">
        <f t="shared" si="38"/>
        <v>-</v>
      </c>
      <c r="F218" s="59" t="str">
        <f t="shared" si="38"/>
        <v>-</v>
      </c>
      <c r="G218" s="59" t="str">
        <f t="shared" si="38"/>
        <v>-</v>
      </c>
      <c r="I218" s="59" t="str">
        <f t="shared" ref="I218:N227" si="39">IF(AND(I170="-",I122="-",I74="-",I26="-"),"-",SUM(I170,I122,I74,I26))</f>
        <v>-</v>
      </c>
      <c r="J218" s="59" t="str">
        <f t="shared" si="39"/>
        <v>-</v>
      </c>
      <c r="K218" s="59">
        <f t="shared" si="39"/>
        <v>7137</v>
      </c>
      <c r="L218" s="59">
        <f t="shared" si="39"/>
        <v>10389</v>
      </c>
      <c r="M218" s="59" t="str">
        <f t="shared" si="39"/>
        <v>-</v>
      </c>
      <c r="N218" s="59">
        <f t="shared" si="39"/>
        <v>17526</v>
      </c>
      <c r="P218" s="59"/>
      <c r="Q218" s="59"/>
      <c r="R218" s="59"/>
      <c r="S218" s="59"/>
      <c r="T218" s="59"/>
      <c r="U218" s="59"/>
    </row>
    <row r="219" spans="1:21">
      <c r="A219" s="99">
        <v>1997</v>
      </c>
      <c r="B219" s="59">
        <f t="shared" si="38"/>
        <v>4514</v>
      </c>
      <c r="C219" s="59">
        <f t="shared" si="38"/>
        <v>1904</v>
      </c>
      <c r="D219" s="59" t="str">
        <f t="shared" si="38"/>
        <v>-</v>
      </c>
      <c r="E219" s="59" t="str">
        <f t="shared" si="38"/>
        <v>-</v>
      </c>
      <c r="F219" s="59" t="str">
        <f t="shared" si="38"/>
        <v>-</v>
      </c>
      <c r="G219" s="59">
        <f t="shared" si="38"/>
        <v>6418</v>
      </c>
      <c r="I219" s="59" t="str">
        <f t="shared" si="39"/>
        <v>-</v>
      </c>
      <c r="J219" s="59" t="str">
        <f t="shared" si="39"/>
        <v>-</v>
      </c>
      <c r="K219" s="59" t="str">
        <f t="shared" si="39"/>
        <v>-</v>
      </c>
      <c r="L219" s="59" t="str">
        <f t="shared" si="39"/>
        <v>-</v>
      </c>
      <c r="M219" s="59" t="str">
        <f t="shared" si="39"/>
        <v>-</v>
      </c>
      <c r="N219" s="59" t="str">
        <f t="shared" si="39"/>
        <v>-</v>
      </c>
      <c r="P219" s="59">
        <f t="shared" ref="P219:U219" si="40">IF(AND(P171="-",P123="-",P75="-",P27="-"),"-",SUM(P171,P123,P75,P27))</f>
        <v>2</v>
      </c>
      <c r="Q219" s="59">
        <f t="shared" si="40"/>
        <v>3</v>
      </c>
      <c r="R219" s="59" t="str">
        <f t="shared" si="40"/>
        <v>-</v>
      </c>
      <c r="S219" s="59" t="str">
        <f t="shared" si="40"/>
        <v>-</v>
      </c>
      <c r="T219" s="59" t="str">
        <f t="shared" si="40"/>
        <v>-</v>
      </c>
      <c r="U219" s="59">
        <f t="shared" si="40"/>
        <v>5</v>
      </c>
    </row>
    <row r="220" spans="1:21">
      <c r="A220" s="99">
        <v>1998</v>
      </c>
      <c r="B220" s="59">
        <f t="shared" si="38"/>
        <v>5747</v>
      </c>
      <c r="C220" s="59">
        <f t="shared" si="38"/>
        <v>182</v>
      </c>
      <c r="D220" s="59" t="str">
        <f t="shared" si="38"/>
        <v>-</v>
      </c>
      <c r="E220" s="59" t="str">
        <f t="shared" si="38"/>
        <v>-</v>
      </c>
      <c r="F220" s="59" t="str">
        <f t="shared" si="38"/>
        <v>-</v>
      </c>
      <c r="G220" s="59">
        <f t="shared" si="38"/>
        <v>5929</v>
      </c>
      <c r="I220" s="59" t="str">
        <f t="shared" si="39"/>
        <v>-</v>
      </c>
      <c r="J220" s="59" t="str">
        <f t="shared" si="39"/>
        <v>-</v>
      </c>
      <c r="K220" s="59" t="str">
        <f t="shared" si="39"/>
        <v>-</v>
      </c>
      <c r="L220" s="59" t="str">
        <f t="shared" si="39"/>
        <v>-</v>
      </c>
      <c r="M220" s="59" t="str">
        <f t="shared" si="39"/>
        <v>-</v>
      </c>
      <c r="N220" s="59" t="str">
        <f t="shared" si="39"/>
        <v>-</v>
      </c>
      <c r="P220" s="59"/>
      <c r="Q220" s="59"/>
      <c r="R220" s="59"/>
      <c r="S220" s="59"/>
      <c r="T220" s="59"/>
      <c r="U220" s="59"/>
    </row>
    <row r="221" spans="1:21">
      <c r="A221" s="99">
        <v>1999</v>
      </c>
      <c r="B221" s="59">
        <f t="shared" si="38"/>
        <v>4191</v>
      </c>
      <c r="C221" s="59">
        <f t="shared" si="38"/>
        <v>7075</v>
      </c>
      <c r="D221" s="59">
        <f t="shared" si="38"/>
        <v>4030</v>
      </c>
      <c r="E221" s="59">
        <f t="shared" si="38"/>
        <v>2160</v>
      </c>
      <c r="F221" s="59" t="str">
        <f t="shared" si="38"/>
        <v>-</v>
      </c>
      <c r="G221" s="59">
        <f t="shared" si="38"/>
        <v>17456</v>
      </c>
      <c r="I221" s="59" t="str">
        <f t="shared" si="39"/>
        <v>-</v>
      </c>
      <c r="J221" s="59" t="str">
        <f t="shared" si="39"/>
        <v>-</v>
      </c>
      <c r="K221" s="59">
        <f t="shared" si="39"/>
        <v>673</v>
      </c>
      <c r="L221" s="59">
        <f t="shared" si="39"/>
        <v>2840</v>
      </c>
      <c r="M221" s="59">
        <f t="shared" si="39"/>
        <v>337</v>
      </c>
      <c r="N221" s="59">
        <f t="shared" si="39"/>
        <v>3850</v>
      </c>
      <c r="P221" s="59">
        <f t="shared" ref="P221:U221" si="41">IF(AND(P173="-",P125="-",P77="-",P29="-"),"-",SUM(P173,P125,P77,P29))</f>
        <v>0</v>
      </c>
      <c r="Q221" s="59">
        <f t="shared" si="41"/>
        <v>1</v>
      </c>
      <c r="R221" s="59">
        <f t="shared" si="41"/>
        <v>31</v>
      </c>
      <c r="S221" s="59">
        <f t="shared" si="41"/>
        <v>21</v>
      </c>
      <c r="T221" s="59">
        <f t="shared" si="41"/>
        <v>0</v>
      </c>
      <c r="U221" s="59">
        <f t="shared" si="41"/>
        <v>53</v>
      </c>
    </row>
    <row r="222" spans="1:21">
      <c r="A222" s="99">
        <v>2000</v>
      </c>
      <c r="B222" s="59">
        <f t="shared" si="38"/>
        <v>6534</v>
      </c>
      <c r="C222" s="59">
        <f t="shared" si="38"/>
        <v>2427</v>
      </c>
      <c r="D222" s="59" t="str">
        <f t="shared" si="38"/>
        <v>-</v>
      </c>
      <c r="E222" s="59">
        <f t="shared" si="38"/>
        <v>1265</v>
      </c>
      <c r="F222" s="59">
        <f t="shared" si="38"/>
        <v>43</v>
      </c>
      <c r="G222" s="59">
        <f t="shared" si="38"/>
        <v>10269</v>
      </c>
      <c r="I222" s="59" t="str">
        <f t="shared" si="39"/>
        <v>-</v>
      </c>
      <c r="J222" s="59" t="str">
        <f t="shared" si="39"/>
        <v>-</v>
      </c>
      <c r="K222" s="59" t="str">
        <f t="shared" si="39"/>
        <v>-</v>
      </c>
      <c r="L222" s="59">
        <f t="shared" si="39"/>
        <v>4833</v>
      </c>
      <c r="M222" s="59">
        <f t="shared" si="39"/>
        <v>434</v>
      </c>
      <c r="N222" s="59">
        <f t="shared" si="39"/>
        <v>5267</v>
      </c>
      <c r="P222" s="59"/>
      <c r="Q222" s="59"/>
      <c r="R222" s="59"/>
      <c r="S222" s="59"/>
      <c r="T222" s="59"/>
      <c r="U222" s="59"/>
    </row>
    <row r="223" spans="1:21">
      <c r="A223" s="99">
        <v>2001</v>
      </c>
      <c r="B223" s="59">
        <f t="shared" si="38"/>
        <v>7610</v>
      </c>
      <c r="C223" s="59">
        <f t="shared" si="38"/>
        <v>7197</v>
      </c>
      <c r="D223" s="59">
        <f t="shared" si="38"/>
        <v>5051</v>
      </c>
      <c r="E223" s="59">
        <f t="shared" si="38"/>
        <v>994</v>
      </c>
      <c r="F223" s="59">
        <f t="shared" si="38"/>
        <v>377</v>
      </c>
      <c r="G223" s="59">
        <f t="shared" si="38"/>
        <v>21229</v>
      </c>
      <c r="I223" s="59" t="str">
        <f t="shared" si="39"/>
        <v>-</v>
      </c>
      <c r="J223" s="59" t="str">
        <f t="shared" si="39"/>
        <v>-</v>
      </c>
      <c r="K223" s="59">
        <f t="shared" si="39"/>
        <v>2320</v>
      </c>
      <c r="L223" s="59">
        <f t="shared" si="39"/>
        <v>2664</v>
      </c>
      <c r="M223" s="59">
        <f t="shared" si="39"/>
        <v>3128</v>
      </c>
      <c r="N223" s="59">
        <f t="shared" si="39"/>
        <v>8112</v>
      </c>
      <c r="P223" s="59">
        <f t="shared" ref="P223:U223" si="42">IF(AND(P175="-",P127="-",P79="-",P31="-"),"-",SUM(P175,P127,P79,P31))</f>
        <v>1</v>
      </c>
      <c r="Q223" s="59">
        <f t="shared" si="42"/>
        <v>9</v>
      </c>
      <c r="R223" s="59">
        <f t="shared" si="42"/>
        <v>20</v>
      </c>
      <c r="S223" s="59">
        <f t="shared" si="42"/>
        <v>2</v>
      </c>
      <c r="T223" s="59">
        <f t="shared" si="42"/>
        <v>0</v>
      </c>
      <c r="U223" s="59">
        <f t="shared" si="42"/>
        <v>32</v>
      </c>
    </row>
    <row r="224" spans="1:21">
      <c r="A224" s="99">
        <v>2002</v>
      </c>
      <c r="B224" s="59">
        <f t="shared" si="38"/>
        <v>18381</v>
      </c>
      <c r="C224" s="59">
        <f t="shared" si="38"/>
        <v>11049</v>
      </c>
      <c r="D224" s="59">
        <f t="shared" si="38"/>
        <v>16126</v>
      </c>
      <c r="E224" s="59">
        <f t="shared" si="38"/>
        <v>8263</v>
      </c>
      <c r="F224" s="59" t="str">
        <f t="shared" si="38"/>
        <v>-</v>
      </c>
      <c r="G224" s="59">
        <f t="shared" si="38"/>
        <v>53819</v>
      </c>
      <c r="I224" s="59" t="str">
        <f t="shared" si="39"/>
        <v>-</v>
      </c>
      <c r="J224" s="59" t="str">
        <f t="shared" si="39"/>
        <v>-</v>
      </c>
      <c r="K224" s="59" t="str">
        <f t="shared" si="39"/>
        <v>-</v>
      </c>
      <c r="L224" s="59">
        <f t="shared" si="39"/>
        <v>180</v>
      </c>
      <c r="M224" s="59" t="str">
        <f t="shared" si="39"/>
        <v>-</v>
      </c>
      <c r="N224" s="59">
        <f t="shared" si="39"/>
        <v>180</v>
      </c>
      <c r="P224" s="59"/>
      <c r="Q224" s="59"/>
      <c r="R224" s="59"/>
      <c r="S224" s="59"/>
      <c r="T224" s="59"/>
      <c r="U224" s="59"/>
    </row>
    <row r="225" spans="1:21">
      <c r="A225" s="99">
        <v>2003</v>
      </c>
      <c r="B225" s="59">
        <f t="shared" si="38"/>
        <v>18710</v>
      </c>
      <c r="C225" s="59">
        <f t="shared" si="38"/>
        <v>8918</v>
      </c>
      <c r="D225" s="59">
        <f t="shared" si="38"/>
        <v>14858</v>
      </c>
      <c r="E225" s="59">
        <f t="shared" si="38"/>
        <v>12439</v>
      </c>
      <c r="F225" s="59">
        <f t="shared" si="38"/>
        <v>1277</v>
      </c>
      <c r="G225" s="59">
        <f t="shared" si="38"/>
        <v>56202</v>
      </c>
      <c r="I225" s="59" t="str">
        <f t="shared" si="39"/>
        <v>-</v>
      </c>
      <c r="J225" s="59" t="str">
        <f t="shared" si="39"/>
        <v>-</v>
      </c>
      <c r="K225" s="59">
        <f t="shared" si="39"/>
        <v>3696</v>
      </c>
      <c r="L225" s="59">
        <f t="shared" si="39"/>
        <v>4267</v>
      </c>
      <c r="M225" s="59">
        <f t="shared" si="39"/>
        <v>994</v>
      </c>
      <c r="N225" s="59">
        <f t="shared" si="39"/>
        <v>8957</v>
      </c>
      <c r="P225" s="59">
        <f t="shared" ref="P225:U225" si="43">IF(AND(P177="-",P129="-",P81="-",P33="-"),"-",SUM(P177,P129,P81,P33))</f>
        <v>0</v>
      </c>
      <c r="Q225" s="59">
        <f t="shared" si="43"/>
        <v>0</v>
      </c>
      <c r="R225" s="59">
        <f t="shared" si="43"/>
        <v>176</v>
      </c>
      <c r="S225" s="59">
        <f t="shared" si="43"/>
        <v>65</v>
      </c>
      <c r="T225" s="59">
        <f t="shared" si="43"/>
        <v>10</v>
      </c>
      <c r="U225" s="59">
        <f t="shared" si="43"/>
        <v>251</v>
      </c>
    </row>
    <row r="226" spans="1:21">
      <c r="A226" s="99">
        <v>2004</v>
      </c>
      <c r="B226" s="59">
        <f t="shared" si="38"/>
        <v>15310</v>
      </c>
      <c r="C226" s="59">
        <f t="shared" si="38"/>
        <v>1234</v>
      </c>
      <c r="D226" s="59">
        <f t="shared" si="38"/>
        <v>7963</v>
      </c>
      <c r="E226" s="59">
        <f t="shared" si="38"/>
        <v>8984</v>
      </c>
      <c r="F226" s="59">
        <f t="shared" si="38"/>
        <v>1881</v>
      </c>
      <c r="G226" s="59">
        <f t="shared" si="38"/>
        <v>35372</v>
      </c>
      <c r="I226" s="59" t="str">
        <f t="shared" si="39"/>
        <v>-</v>
      </c>
      <c r="J226" s="59" t="str">
        <f t="shared" si="39"/>
        <v>-</v>
      </c>
      <c r="K226" s="59">
        <f t="shared" si="39"/>
        <v>2230</v>
      </c>
      <c r="L226" s="59">
        <f t="shared" si="39"/>
        <v>4961</v>
      </c>
      <c r="M226" s="59">
        <f t="shared" si="39"/>
        <v>6102</v>
      </c>
      <c r="N226" s="59">
        <f t="shared" si="39"/>
        <v>13293</v>
      </c>
      <c r="P226" s="59"/>
      <c r="Q226" s="59"/>
      <c r="R226" s="59"/>
      <c r="S226" s="59"/>
      <c r="T226" s="59"/>
      <c r="U226" s="59"/>
    </row>
    <row r="227" spans="1:21">
      <c r="A227" s="99">
        <v>2005</v>
      </c>
      <c r="B227" s="59">
        <f t="shared" si="38"/>
        <v>18548</v>
      </c>
      <c r="C227" s="59">
        <f t="shared" si="38"/>
        <v>2512</v>
      </c>
      <c r="D227" s="59">
        <f t="shared" si="38"/>
        <v>6271</v>
      </c>
      <c r="E227" s="59">
        <f t="shared" si="38"/>
        <v>7735</v>
      </c>
      <c r="F227" s="59" t="str">
        <f t="shared" si="38"/>
        <v>-</v>
      </c>
      <c r="G227" s="59">
        <f t="shared" si="38"/>
        <v>35066</v>
      </c>
      <c r="I227" s="59" t="str">
        <f t="shared" si="39"/>
        <v>-</v>
      </c>
      <c r="J227" s="59" t="str">
        <f t="shared" si="39"/>
        <v>-</v>
      </c>
      <c r="K227" s="59">
        <f t="shared" si="39"/>
        <v>320</v>
      </c>
      <c r="L227" s="59">
        <f t="shared" si="39"/>
        <v>1122</v>
      </c>
      <c r="M227" s="59" t="str">
        <f t="shared" si="39"/>
        <v>-</v>
      </c>
      <c r="N227" s="59">
        <f t="shared" si="39"/>
        <v>1442</v>
      </c>
      <c r="P227" s="59">
        <f t="shared" ref="P227:U227" si="44">IF(AND(P179="-",P131="-",P83="-",P35="-"),"-",SUM(P179,P131,P83,P35))</f>
        <v>4</v>
      </c>
      <c r="Q227" s="59">
        <f t="shared" si="44"/>
        <v>0</v>
      </c>
      <c r="R227" s="59">
        <f t="shared" si="44"/>
        <v>2</v>
      </c>
      <c r="S227" s="59">
        <f t="shared" si="44"/>
        <v>2</v>
      </c>
      <c r="T227" s="59" t="str">
        <f t="shared" si="44"/>
        <v>-</v>
      </c>
      <c r="U227" s="59">
        <f t="shared" si="44"/>
        <v>8</v>
      </c>
    </row>
    <row r="228" spans="1:21">
      <c r="A228" s="99">
        <v>2006</v>
      </c>
      <c r="B228" s="59">
        <f t="shared" ref="B228:G237" si="45">IF(AND(B180="-",B132="-",B84="-",B36="-"),"-",SUM(B180,B132,B84,B36))</f>
        <v>6481</v>
      </c>
      <c r="C228" s="59">
        <f t="shared" si="45"/>
        <v>3912</v>
      </c>
      <c r="D228" s="59">
        <f t="shared" si="45"/>
        <v>1073</v>
      </c>
      <c r="E228" s="59">
        <f t="shared" si="45"/>
        <v>3459</v>
      </c>
      <c r="F228" s="59">
        <f t="shared" si="45"/>
        <v>1844</v>
      </c>
      <c r="G228" s="59">
        <f t="shared" si="45"/>
        <v>16769</v>
      </c>
      <c r="I228" s="59" t="str">
        <f t="shared" ref="I228:N237" si="46">IF(AND(I180="-",I132="-",I84="-",I36="-"),"-",SUM(I180,I132,I84,I36))</f>
        <v>-</v>
      </c>
      <c r="J228" s="59" t="str">
        <f t="shared" si="46"/>
        <v>-</v>
      </c>
      <c r="K228" s="59">
        <f t="shared" si="46"/>
        <v>129</v>
      </c>
      <c r="L228" s="59">
        <f t="shared" si="46"/>
        <v>845</v>
      </c>
      <c r="M228" s="59">
        <f t="shared" si="46"/>
        <v>291</v>
      </c>
      <c r="N228" s="59">
        <f t="shared" si="46"/>
        <v>1265</v>
      </c>
      <c r="P228" s="59"/>
      <c r="Q228" s="59"/>
      <c r="R228" s="59"/>
      <c r="S228" s="59"/>
      <c r="T228" s="59"/>
      <c r="U228" s="59"/>
    </row>
    <row r="229" spans="1:21">
      <c r="A229" s="99">
        <v>2007</v>
      </c>
      <c r="B229" s="59">
        <f t="shared" si="45"/>
        <v>5866</v>
      </c>
      <c r="C229" s="59">
        <f t="shared" si="45"/>
        <v>4094</v>
      </c>
      <c r="D229" s="59">
        <f t="shared" si="45"/>
        <v>3502</v>
      </c>
      <c r="E229" s="59">
        <f t="shared" si="45"/>
        <v>771</v>
      </c>
      <c r="F229" s="59">
        <f t="shared" si="45"/>
        <v>35</v>
      </c>
      <c r="G229" s="59">
        <f t="shared" si="45"/>
        <v>14268</v>
      </c>
      <c r="I229" s="59" t="str">
        <f t="shared" si="46"/>
        <v>-</v>
      </c>
      <c r="J229" s="59" t="str">
        <f t="shared" si="46"/>
        <v>-</v>
      </c>
      <c r="K229" s="59">
        <f t="shared" si="46"/>
        <v>2282</v>
      </c>
      <c r="L229" s="59">
        <f t="shared" si="46"/>
        <v>3444</v>
      </c>
      <c r="M229" s="59">
        <f t="shared" si="46"/>
        <v>160</v>
      </c>
      <c r="N229" s="59">
        <f t="shared" si="46"/>
        <v>5886</v>
      </c>
      <c r="P229" s="59">
        <f t="shared" ref="P229:U229" si="47">IF(AND(P181="-",P133="-",P85="-",P37="-"),"-",SUM(P181,P133,P85,P37))</f>
        <v>8</v>
      </c>
      <c r="Q229" s="59">
        <f t="shared" si="47"/>
        <v>19</v>
      </c>
      <c r="R229" s="59">
        <f t="shared" si="47"/>
        <v>119</v>
      </c>
      <c r="S229" s="59">
        <f t="shared" si="47"/>
        <v>1</v>
      </c>
      <c r="T229" s="59">
        <f t="shared" si="47"/>
        <v>0</v>
      </c>
      <c r="U229" s="59">
        <f t="shared" si="47"/>
        <v>147</v>
      </c>
    </row>
    <row r="230" spans="1:21">
      <c r="A230" s="122">
        <v>2008</v>
      </c>
      <c r="B230" s="59">
        <f t="shared" si="45"/>
        <v>1812</v>
      </c>
      <c r="C230" s="59">
        <f t="shared" si="45"/>
        <v>4197</v>
      </c>
      <c r="D230" s="59">
        <f t="shared" si="45"/>
        <v>1180</v>
      </c>
      <c r="E230" s="59">
        <f t="shared" si="45"/>
        <v>1185</v>
      </c>
      <c r="F230" s="59">
        <f t="shared" si="45"/>
        <v>262</v>
      </c>
      <c r="G230" s="59">
        <f t="shared" si="45"/>
        <v>8636</v>
      </c>
      <c r="I230" s="59" t="str">
        <f t="shared" si="46"/>
        <v>-</v>
      </c>
      <c r="J230" s="59" t="str">
        <f t="shared" si="46"/>
        <v>-</v>
      </c>
      <c r="K230" s="59">
        <f t="shared" si="46"/>
        <v>355</v>
      </c>
      <c r="L230" s="59">
        <f t="shared" si="46"/>
        <v>982</v>
      </c>
      <c r="M230" s="59">
        <f t="shared" si="46"/>
        <v>369</v>
      </c>
      <c r="N230" s="59">
        <f t="shared" si="46"/>
        <v>1706</v>
      </c>
      <c r="P230" s="59"/>
      <c r="Q230" s="59"/>
      <c r="R230" s="59"/>
      <c r="S230" s="59"/>
      <c r="T230" s="59"/>
      <c r="U230" s="59"/>
    </row>
    <row r="231" spans="1:21">
      <c r="A231" s="122">
        <v>2009</v>
      </c>
      <c r="B231" s="59">
        <f t="shared" si="45"/>
        <v>5691</v>
      </c>
      <c r="C231" s="59">
        <f t="shared" si="45"/>
        <v>4144</v>
      </c>
      <c r="D231" s="59">
        <f t="shared" si="45"/>
        <v>1635</v>
      </c>
      <c r="E231" s="59">
        <f t="shared" si="45"/>
        <v>726</v>
      </c>
      <c r="F231" s="59">
        <f t="shared" si="45"/>
        <v>120</v>
      </c>
      <c r="G231" s="59">
        <f t="shared" si="45"/>
        <v>12316</v>
      </c>
      <c r="I231" s="59" t="str">
        <f t="shared" si="46"/>
        <v>-</v>
      </c>
      <c r="J231" s="59" t="str">
        <f t="shared" si="46"/>
        <v>-</v>
      </c>
      <c r="K231" s="59">
        <f t="shared" si="46"/>
        <v>5444</v>
      </c>
      <c r="L231" s="59">
        <f t="shared" si="46"/>
        <v>10948</v>
      </c>
      <c r="M231" s="59">
        <f t="shared" si="46"/>
        <v>3663</v>
      </c>
      <c r="N231" s="59">
        <f t="shared" si="46"/>
        <v>20055</v>
      </c>
      <c r="P231" s="59">
        <f t="shared" ref="P231:U231" si="48">IF(AND(P183="-",P135="-",P87="-",P39="-"),"-",SUM(P183,P135,P87,P39))</f>
        <v>1</v>
      </c>
      <c r="Q231" s="59">
        <f t="shared" si="48"/>
        <v>14</v>
      </c>
      <c r="R231" s="59">
        <f t="shared" si="48"/>
        <v>82</v>
      </c>
      <c r="S231" s="59">
        <f t="shared" si="48"/>
        <v>37</v>
      </c>
      <c r="T231" s="59">
        <f t="shared" si="48"/>
        <v>1</v>
      </c>
      <c r="U231" s="59">
        <f t="shared" si="48"/>
        <v>135</v>
      </c>
    </row>
    <row r="232" spans="1:21">
      <c r="A232" s="122">
        <v>2010</v>
      </c>
      <c r="B232" s="59">
        <f t="shared" si="45"/>
        <v>8429</v>
      </c>
      <c r="C232" s="59">
        <f t="shared" si="45"/>
        <v>22562</v>
      </c>
      <c r="D232" s="59">
        <f t="shared" si="45"/>
        <v>6281</v>
      </c>
      <c r="E232" s="59">
        <f t="shared" si="45"/>
        <v>7504</v>
      </c>
      <c r="F232" s="59">
        <f t="shared" si="45"/>
        <v>323</v>
      </c>
      <c r="G232" s="59">
        <f t="shared" si="45"/>
        <v>45099</v>
      </c>
      <c r="I232" s="59" t="str">
        <f t="shared" si="46"/>
        <v>-</v>
      </c>
      <c r="J232" s="59" t="str">
        <f t="shared" si="46"/>
        <v>-</v>
      </c>
      <c r="K232" s="59">
        <f t="shared" si="46"/>
        <v>1184</v>
      </c>
      <c r="L232" s="59">
        <f t="shared" si="46"/>
        <v>782</v>
      </c>
      <c r="M232" s="59">
        <f t="shared" si="46"/>
        <v>138</v>
      </c>
      <c r="N232" s="59">
        <f t="shared" si="46"/>
        <v>2104</v>
      </c>
      <c r="P232" s="59"/>
      <c r="Q232" s="59"/>
      <c r="R232" s="59"/>
      <c r="S232" s="59"/>
      <c r="T232" s="59"/>
      <c r="U232" s="59"/>
    </row>
    <row r="233" spans="1:21">
      <c r="A233" s="122">
        <v>2011</v>
      </c>
      <c r="B233" s="59">
        <f t="shared" si="45"/>
        <v>8154</v>
      </c>
      <c r="C233" s="59">
        <f t="shared" si="45"/>
        <v>9858</v>
      </c>
      <c r="D233" s="59">
        <f t="shared" si="45"/>
        <v>6016</v>
      </c>
      <c r="E233" s="59">
        <f t="shared" si="45"/>
        <v>2532</v>
      </c>
      <c r="F233" s="59">
        <f t="shared" si="45"/>
        <v>342</v>
      </c>
      <c r="G233" s="59">
        <f t="shared" si="45"/>
        <v>26902</v>
      </c>
      <c r="I233" s="59" t="str">
        <f t="shared" si="46"/>
        <v>-</v>
      </c>
      <c r="J233" s="59" t="str">
        <f t="shared" si="46"/>
        <v>-</v>
      </c>
      <c r="K233" s="59">
        <f t="shared" si="46"/>
        <v>1631</v>
      </c>
      <c r="L233" s="59">
        <f t="shared" si="46"/>
        <v>917</v>
      </c>
      <c r="M233" s="59">
        <f t="shared" si="46"/>
        <v>505</v>
      </c>
      <c r="N233" s="59">
        <f t="shared" si="46"/>
        <v>3053</v>
      </c>
      <c r="P233" s="59">
        <f t="shared" ref="P233:U233" si="49">IF(AND(P185="-",P137="-",P89="-",P41="-"),"-",SUM(P185,P137,P89,P41))</f>
        <v>0</v>
      </c>
      <c r="Q233" s="59">
        <f t="shared" si="49"/>
        <v>3</v>
      </c>
      <c r="R233" s="59">
        <f t="shared" si="49"/>
        <v>118</v>
      </c>
      <c r="S233" s="59">
        <f t="shared" si="49"/>
        <v>93</v>
      </c>
      <c r="T233" s="59">
        <f t="shared" si="49"/>
        <v>1</v>
      </c>
      <c r="U233" s="59">
        <f t="shared" si="49"/>
        <v>215</v>
      </c>
    </row>
    <row r="234" spans="1:21">
      <c r="A234" s="122">
        <v>2012</v>
      </c>
      <c r="B234" s="59">
        <f t="shared" si="45"/>
        <v>10629</v>
      </c>
      <c r="C234" s="59">
        <f t="shared" si="45"/>
        <v>12058</v>
      </c>
      <c r="D234" s="59">
        <f t="shared" si="45"/>
        <v>5378</v>
      </c>
      <c r="E234" s="59">
        <f t="shared" si="45"/>
        <v>6398</v>
      </c>
      <c r="F234" s="59">
        <f t="shared" si="45"/>
        <v>2392</v>
      </c>
      <c r="G234" s="59">
        <f t="shared" si="45"/>
        <v>36855</v>
      </c>
      <c r="I234" s="59" t="str">
        <f t="shared" si="46"/>
        <v>-</v>
      </c>
      <c r="J234" s="59" t="str">
        <f t="shared" si="46"/>
        <v>-</v>
      </c>
      <c r="K234" s="59">
        <f t="shared" si="46"/>
        <v>769</v>
      </c>
      <c r="L234" s="59">
        <f t="shared" si="46"/>
        <v>1118</v>
      </c>
      <c r="M234" s="59">
        <f t="shared" si="46"/>
        <v>1381</v>
      </c>
      <c r="N234" s="59">
        <f t="shared" si="46"/>
        <v>3268</v>
      </c>
      <c r="P234" s="59"/>
      <c r="Q234" s="59"/>
      <c r="R234" s="59"/>
      <c r="S234" s="59"/>
      <c r="T234" s="59"/>
      <c r="U234" s="59"/>
    </row>
    <row r="235" spans="1:21">
      <c r="A235" s="122">
        <v>2013</v>
      </c>
      <c r="B235" s="59">
        <f t="shared" si="45"/>
        <v>10589</v>
      </c>
      <c r="C235" s="59">
        <f t="shared" si="45"/>
        <v>12206</v>
      </c>
      <c r="D235" s="59">
        <f t="shared" si="45"/>
        <v>7858</v>
      </c>
      <c r="E235" s="59">
        <f t="shared" si="45"/>
        <v>8708</v>
      </c>
      <c r="F235" s="59">
        <f t="shared" si="45"/>
        <v>729</v>
      </c>
      <c r="G235" s="59">
        <f t="shared" si="45"/>
        <v>40090</v>
      </c>
      <c r="I235" s="59" t="str">
        <f t="shared" si="46"/>
        <v>-</v>
      </c>
      <c r="J235" s="59" t="str">
        <f t="shared" si="46"/>
        <v>-</v>
      </c>
      <c r="K235" s="59">
        <f t="shared" si="46"/>
        <v>1920</v>
      </c>
      <c r="L235" s="59">
        <f t="shared" si="46"/>
        <v>3844</v>
      </c>
      <c r="M235" s="59">
        <f t="shared" si="46"/>
        <v>277</v>
      </c>
      <c r="N235" s="59">
        <f t="shared" si="46"/>
        <v>6041</v>
      </c>
      <c r="P235" s="59">
        <f t="shared" ref="P235:U235" si="50">IF(AND(P187="-",P139="-",P91="-",P43="-"),"-",SUM(P187,P139,P91,P43))</f>
        <v>2</v>
      </c>
      <c r="Q235" s="59">
        <f t="shared" si="50"/>
        <v>0</v>
      </c>
      <c r="R235" s="59">
        <f t="shared" si="50"/>
        <v>101</v>
      </c>
      <c r="S235" s="59">
        <f t="shared" si="50"/>
        <v>37</v>
      </c>
      <c r="T235" s="59">
        <f t="shared" si="50"/>
        <v>1</v>
      </c>
      <c r="U235" s="59">
        <f t="shared" si="50"/>
        <v>141</v>
      </c>
    </row>
    <row r="236" spans="1:21">
      <c r="A236" s="122">
        <v>2014</v>
      </c>
      <c r="B236" s="59">
        <f t="shared" si="45"/>
        <v>20226</v>
      </c>
      <c r="C236" s="59">
        <f t="shared" si="45"/>
        <v>3110</v>
      </c>
      <c r="D236" s="59">
        <f t="shared" si="45"/>
        <v>8696</v>
      </c>
      <c r="E236" s="59">
        <f t="shared" si="45"/>
        <v>5961</v>
      </c>
      <c r="F236" s="59">
        <f t="shared" si="45"/>
        <v>714</v>
      </c>
      <c r="G236" s="59">
        <f t="shared" si="45"/>
        <v>38707</v>
      </c>
      <c r="I236" s="59" t="str">
        <f t="shared" si="46"/>
        <v>-</v>
      </c>
      <c r="J236" s="59" t="str">
        <f t="shared" si="46"/>
        <v>-</v>
      </c>
      <c r="K236" s="59">
        <f t="shared" si="46"/>
        <v>3441</v>
      </c>
      <c r="L236" s="59">
        <f t="shared" si="46"/>
        <v>6872</v>
      </c>
      <c r="M236" s="59">
        <f t="shared" si="46"/>
        <v>5094</v>
      </c>
      <c r="N236" s="59">
        <f t="shared" si="46"/>
        <v>15407</v>
      </c>
      <c r="U236" s="59"/>
    </row>
    <row r="237" spans="1:21">
      <c r="A237" s="122">
        <v>2015</v>
      </c>
      <c r="B237" s="59">
        <f t="shared" si="45"/>
        <v>15603</v>
      </c>
      <c r="C237" s="59">
        <f t="shared" si="45"/>
        <v>15058</v>
      </c>
      <c r="D237" s="59">
        <f t="shared" si="45"/>
        <v>12706</v>
      </c>
      <c r="E237" s="59">
        <f t="shared" si="45"/>
        <v>10168</v>
      </c>
      <c r="F237" s="59">
        <f t="shared" si="45"/>
        <v>1778</v>
      </c>
      <c r="G237" s="59">
        <f t="shared" si="45"/>
        <v>55313</v>
      </c>
      <c r="I237" s="59" t="str">
        <f t="shared" si="46"/>
        <v>-</v>
      </c>
      <c r="J237" s="59" t="str">
        <f t="shared" si="46"/>
        <v>-</v>
      </c>
      <c r="K237" s="59">
        <f t="shared" si="46"/>
        <v>728</v>
      </c>
      <c r="L237" s="59">
        <f t="shared" si="46"/>
        <v>1169</v>
      </c>
      <c r="M237" s="59">
        <f t="shared" si="46"/>
        <v>975</v>
      </c>
      <c r="N237" s="59">
        <f t="shared" si="46"/>
        <v>2872</v>
      </c>
      <c r="P237" s="59">
        <f t="shared" ref="P237:U237" si="51">IF(AND(P189="-",P141="-",P93="-",P45="-"),"-",SUM(P189,P141,P93,P45))</f>
        <v>1</v>
      </c>
      <c r="Q237" s="59">
        <f t="shared" si="51"/>
        <v>20</v>
      </c>
      <c r="R237" s="59">
        <f t="shared" si="51"/>
        <v>47</v>
      </c>
      <c r="S237" s="59">
        <f t="shared" si="51"/>
        <v>0</v>
      </c>
      <c r="T237" s="59">
        <f t="shared" si="51"/>
        <v>0</v>
      </c>
      <c r="U237" s="59">
        <f t="shared" si="51"/>
        <v>68</v>
      </c>
    </row>
    <row r="238" spans="1:21">
      <c r="A238" s="122">
        <v>2016</v>
      </c>
      <c r="B238" s="59">
        <f t="shared" ref="B238:G238" si="52">IF(AND(B190="-",B142="-",B94="-",B46="-"),"-",SUM(B190,B142,B94,B46))</f>
        <v>7090</v>
      </c>
      <c r="C238" s="59">
        <f t="shared" si="52"/>
        <v>4310</v>
      </c>
      <c r="D238" s="59">
        <f t="shared" si="52"/>
        <v>3584</v>
      </c>
      <c r="E238" s="59">
        <f t="shared" si="52"/>
        <v>2360</v>
      </c>
      <c r="F238" s="59" t="str">
        <f t="shared" si="52"/>
        <v>-</v>
      </c>
      <c r="G238" s="59">
        <f t="shared" si="52"/>
        <v>17344</v>
      </c>
      <c r="I238" s="59" t="str">
        <f t="shared" ref="I238:N238" si="53">IF(AND(I190="-",I142="-",I94="-",I46="-"),"-",SUM(I190,I142,I94,I46))</f>
        <v>-</v>
      </c>
      <c r="J238" s="59" t="str">
        <f t="shared" si="53"/>
        <v>-</v>
      </c>
      <c r="K238" s="59" t="str">
        <f t="shared" si="53"/>
        <v>-</v>
      </c>
      <c r="L238" s="59" t="str">
        <f t="shared" si="53"/>
        <v>-</v>
      </c>
      <c r="M238" s="59" t="str">
        <f t="shared" si="53"/>
        <v>-</v>
      </c>
      <c r="N238" s="59" t="str">
        <f t="shared" si="53"/>
        <v>-</v>
      </c>
      <c r="P238" s="59"/>
      <c r="Q238" s="59"/>
      <c r="R238" s="59"/>
      <c r="S238" s="59"/>
      <c r="T238" s="59"/>
      <c r="U238" s="59"/>
    </row>
    <row r="239" spans="1:21">
      <c r="A239" s="122">
        <v>2017</v>
      </c>
      <c r="B239" s="59">
        <f t="shared" ref="B239:G239" si="54">IF(AND(B191="-",B143="-",B95="-",B47="-"),"-",SUM(B191,B143,B95,B47))</f>
        <v>13504</v>
      </c>
      <c r="C239" s="59">
        <f t="shared" si="54"/>
        <v>7468</v>
      </c>
      <c r="D239" s="59">
        <f t="shared" si="54"/>
        <v>5780</v>
      </c>
      <c r="E239" s="59">
        <f t="shared" si="54"/>
        <v>5306</v>
      </c>
      <c r="F239" s="59">
        <f t="shared" si="54"/>
        <v>875</v>
      </c>
      <c r="G239" s="59">
        <f t="shared" si="54"/>
        <v>32933</v>
      </c>
      <c r="I239" s="59" t="str">
        <f t="shared" ref="I239:N239" si="55">IF(AND(I191="-",I143="-",I95="-",I47="-"),"-",SUM(I191,I143,I95,I47))</f>
        <v>-</v>
      </c>
      <c r="J239" s="59" t="str">
        <f t="shared" si="55"/>
        <v>-</v>
      </c>
      <c r="K239" s="59">
        <f t="shared" si="55"/>
        <v>231</v>
      </c>
      <c r="L239" s="59">
        <f t="shared" si="55"/>
        <v>769</v>
      </c>
      <c r="M239" s="59">
        <f t="shared" si="55"/>
        <v>368</v>
      </c>
      <c r="N239" s="59">
        <f t="shared" si="55"/>
        <v>1368</v>
      </c>
      <c r="P239" s="59">
        <f t="shared" ref="P239:U239" si="56">IF(AND(P191="-",P143="-",P95="-",P47="-"),"-",SUM(P191,P143,P95,P47))</f>
        <v>0</v>
      </c>
      <c r="Q239" s="59">
        <f t="shared" si="56"/>
        <v>0</v>
      </c>
      <c r="R239" s="59">
        <f t="shared" si="56"/>
        <v>10</v>
      </c>
      <c r="S239" s="59">
        <f t="shared" si="56"/>
        <v>3</v>
      </c>
      <c r="T239" s="59">
        <f t="shared" si="56"/>
        <v>0</v>
      </c>
      <c r="U239" s="59">
        <f t="shared" si="56"/>
        <v>13</v>
      </c>
    </row>
    <row r="240" spans="1:21">
      <c r="A240" s="122">
        <v>2018</v>
      </c>
      <c r="B240" s="59">
        <f t="shared" ref="B240:G240" si="57">IF(AND(B192="-",B144="-",B96="-",B48="-"),"-",SUM(B192,B144,B96,B48))</f>
        <v>6673</v>
      </c>
      <c r="C240" s="59">
        <f t="shared" si="57"/>
        <v>9010</v>
      </c>
      <c r="D240" s="59">
        <f t="shared" si="57"/>
        <v>5458</v>
      </c>
      <c r="E240" s="59">
        <f t="shared" si="57"/>
        <v>1702</v>
      </c>
      <c r="F240" s="59">
        <f t="shared" si="57"/>
        <v>713</v>
      </c>
      <c r="G240" s="59">
        <f t="shared" si="57"/>
        <v>23556</v>
      </c>
      <c r="I240" s="59" t="str">
        <f t="shared" ref="I240:N240" si="58">IF(AND(I192="-",I144="-",I96="-",I48="-"),"-",SUM(I192,I144,I96,I48))</f>
        <v>-</v>
      </c>
      <c r="J240" s="59" t="str">
        <f t="shared" si="58"/>
        <v>-</v>
      </c>
      <c r="K240" s="59">
        <f t="shared" si="58"/>
        <v>447</v>
      </c>
      <c r="L240" s="59">
        <f t="shared" si="58"/>
        <v>457</v>
      </c>
      <c r="M240" s="59">
        <f t="shared" si="58"/>
        <v>388</v>
      </c>
      <c r="N240" s="59">
        <f t="shared" si="58"/>
        <v>1292</v>
      </c>
      <c r="P240" s="59"/>
      <c r="Q240" s="59"/>
      <c r="R240" s="59"/>
      <c r="S240" s="59"/>
      <c r="T240" s="59"/>
      <c r="U240" s="59"/>
    </row>
    <row r="241" spans="1:21">
      <c r="A241" s="122">
        <v>2019</v>
      </c>
      <c r="B241" s="59">
        <f t="shared" ref="B241:G241" si="59">IF(AND(B193="-",B145="-",B97="-",B49="-"),"-",SUM(B193,B145,B97,B49))</f>
        <v>3901</v>
      </c>
      <c r="C241" s="59">
        <f t="shared" si="59"/>
        <v>3044</v>
      </c>
      <c r="D241" s="59">
        <f t="shared" si="59"/>
        <v>11430</v>
      </c>
      <c r="E241" s="59">
        <f t="shared" si="59"/>
        <v>2669</v>
      </c>
      <c r="F241" s="59">
        <f t="shared" si="59"/>
        <v>1732</v>
      </c>
      <c r="G241" s="59">
        <f t="shared" si="59"/>
        <v>22776</v>
      </c>
      <c r="I241" s="59" t="str">
        <f t="shared" ref="I241:N241" si="60">IF(AND(I193="-",I145="-",I97="-",I49="-"),"-",SUM(I193,I145,I97,I49))</f>
        <v>-</v>
      </c>
      <c r="J241" s="59" t="str">
        <f t="shared" si="60"/>
        <v>-</v>
      </c>
      <c r="K241" s="59">
        <f t="shared" si="60"/>
        <v>1638</v>
      </c>
      <c r="L241" s="59">
        <f t="shared" si="60"/>
        <v>1158</v>
      </c>
      <c r="M241" s="59">
        <f t="shared" si="60"/>
        <v>1201</v>
      </c>
      <c r="N241" s="59">
        <f t="shared" si="60"/>
        <v>3997</v>
      </c>
      <c r="P241" s="59">
        <f t="shared" ref="P241:U243" si="61">IF(AND(P193="-",P145="-",P97="-",P49="-"),"-",SUM(P193,P145,P97,P49))</f>
        <v>0</v>
      </c>
      <c r="Q241" s="59">
        <f t="shared" si="61"/>
        <v>0</v>
      </c>
      <c r="R241" s="59">
        <f t="shared" si="61"/>
        <v>483</v>
      </c>
      <c r="S241" s="59">
        <f t="shared" si="61"/>
        <v>2</v>
      </c>
      <c r="T241" s="59">
        <f t="shared" si="61"/>
        <v>0</v>
      </c>
      <c r="U241" s="59">
        <f t="shared" si="61"/>
        <v>485</v>
      </c>
    </row>
    <row r="242" spans="1:21">
      <c r="A242" s="122">
        <v>2020</v>
      </c>
      <c r="B242" s="59">
        <f t="shared" ref="B242:G243" si="62">IF(AND(B194="-",B146="-",B98="-",B50="-"),"-",SUM(B194,B146,B98,B50))</f>
        <v>625</v>
      </c>
      <c r="C242" s="59">
        <f t="shared" si="62"/>
        <v>1307</v>
      </c>
      <c r="D242" s="59">
        <f t="shared" si="62"/>
        <v>7269</v>
      </c>
      <c r="E242" s="59">
        <f t="shared" si="62"/>
        <v>2949</v>
      </c>
      <c r="F242" s="59">
        <f t="shared" si="62"/>
        <v>160</v>
      </c>
      <c r="G242" s="59">
        <f t="shared" si="62"/>
        <v>12310</v>
      </c>
      <c r="I242" s="59" t="str">
        <f t="shared" ref="I242:N243" si="63">IF(AND(I194="-",I146="-",I98="-",I50="-"),"-",SUM(I194,I146,I98,I50))</f>
        <v>-</v>
      </c>
      <c r="J242" s="59" t="str">
        <f t="shared" si="63"/>
        <v>-</v>
      </c>
      <c r="K242" s="59">
        <f t="shared" si="63"/>
        <v>222</v>
      </c>
      <c r="L242" s="59">
        <f t="shared" si="63"/>
        <v>314</v>
      </c>
      <c r="M242" s="59">
        <f t="shared" si="63"/>
        <v>101</v>
      </c>
      <c r="N242" s="59">
        <f t="shared" si="63"/>
        <v>637</v>
      </c>
      <c r="P242" s="59"/>
      <c r="Q242" s="59"/>
      <c r="R242" s="59"/>
      <c r="S242" s="59"/>
      <c r="T242" s="59"/>
      <c r="U242" s="59"/>
    </row>
    <row r="243" spans="1:21" ht="13">
      <c r="A243" s="122" t="s">
        <v>318</v>
      </c>
      <c r="B243" s="59">
        <f t="shared" si="62"/>
        <v>2566</v>
      </c>
      <c r="C243" s="59">
        <f t="shared" si="62"/>
        <v>7279</v>
      </c>
      <c r="D243" s="59">
        <f t="shared" si="62"/>
        <v>5549</v>
      </c>
      <c r="E243" s="59">
        <f t="shared" si="62"/>
        <v>3173</v>
      </c>
      <c r="F243" s="59">
        <f t="shared" si="62"/>
        <v>518</v>
      </c>
      <c r="G243" s="59">
        <f t="shared" si="62"/>
        <v>19085</v>
      </c>
      <c r="I243" s="59" t="str">
        <f t="shared" si="63"/>
        <v>-</v>
      </c>
      <c r="J243" s="59" t="str">
        <f t="shared" si="63"/>
        <v>-</v>
      </c>
      <c r="K243" s="59">
        <f t="shared" si="63"/>
        <v>551</v>
      </c>
      <c r="L243" s="59">
        <f t="shared" si="63"/>
        <v>1114</v>
      </c>
      <c r="M243" s="59">
        <f t="shared" si="63"/>
        <v>1705</v>
      </c>
      <c r="N243" s="59">
        <f t="shared" si="63"/>
        <v>3370</v>
      </c>
      <c r="P243" s="59">
        <f t="shared" si="61"/>
        <v>0</v>
      </c>
      <c r="Q243" s="59">
        <f t="shared" si="61"/>
        <v>0</v>
      </c>
      <c r="R243" s="59">
        <f t="shared" si="61"/>
        <v>4</v>
      </c>
      <c r="S243" s="59">
        <f t="shared" si="61"/>
        <v>29</v>
      </c>
      <c r="T243" s="59">
        <f t="shared" si="61"/>
        <v>0</v>
      </c>
      <c r="U243" s="59">
        <f t="shared" si="61"/>
        <v>33</v>
      </c>
    </row>
    <row r="244" spans="1:21" ht="12.75" customHeight="1">
      <c r="A244" s="331" t="s">
        <v>63</v>
      </c>
      <c r="B244" s="331"/>
      <c r="C244" s="331"/>
      <c r="D244" s="331"/>
      <c r="E244" s="331"/>
      <c r="F244" s="331"/>
      <c r="G244" s="331"/>
      <c r="H244" s="331"/>
      <c r="I244" s="331"/>
      <c r="J244" s="331"/>
      <c r="K244" s="331"/>
      <c r="L244" s="331"/>
      <c r="M244" s="331"/>
      <c r="N244" s="331"/>
      <c r="O244" s="331"/>
      <c r="P244" s="331"/>
      <c r="Q244" s="331"/>
      <c r="R244" s="331"/>
      <c r="S244" s="331"/>
      <c r="T244" s="331"/>
      <c r="U244" s="331"/>
    </row>
    <row r="245" spans="1:21">
      <c r="A245" s="332" t="s">
        <v>64</v>
      </c>
      <c r="B245" s="332"/>
      <c r="C245" s="332"/>
      <c r="D245" s="332"/>
      <c r="E245" s="332"/>
      <c r="F245" s="332"/>
      <c r="G245" s="332"/>
      <c r="H245" s="332"/>
      <c r="I245" s="332"/>
      <c r="J245" s="332"/>
      <c r="K245" s="332"/>
      <c r="L245" s="332"/>
      <c r="M245" s="332"/>
      <c r="N245" s="332"/>
      <c r="O245" s="332"/>
      <c r="P245" s="332"/>
      <c r="Q245" s="332"/>
      <c r="R245" s="332"/>
      <c r="S245" s="332"/>
      <c r="T245" s="332"/>
      <c r="U245" s="332"/>
    </row>
    <row r="246" spans="1:21">
      <c r="A246" s="332" t="s">
        <v>71</v>
      </c>
      <c r="B246" s="332"/>
      <c r="C246" s="332"/>
      <c r="D246" s="332"/>
      <c r="E246" s="332"/>
      <c r="F246" s="332"/>
      <c r="G246" s="332"/>
      <c r="H246" s="332"/>
      <c r="I246" s="332"/>
      <c r="J246" s="332"/>
      <c r="K246" s="332"/>
      <c r="L246" s="332"/>
      <c r="M246" s="332"/>
      <c r="N246" s="332"/>
      <c r="O246" s="332"/>
      <c r="P246" s="332"/>
      <c r="Q246" s="332"/>
      <c r="R246" s="332"/>
      <c r="S246" s="332"/>
      <c r="T246" s="332"/>
      <c r="U246" s="332"/>
    </row>
    <row r="247" spans="1:21">
      <c r="A247" s="332" t="s">
        <v>40</v>
      </c>
      <c r="B247" s="332"/>
      <c r="C247" s="332"/>
      <c r="D247" s="332"/>
      <c r="E247" s="332"/>
      <c r="F247" s="332"/>
      <c r="G247" s="332"/>
      <c r="H247" s="332"/>
      <c r="I247" s="332"/>
      <c r="J247" s="332"/>
      <c r="K247" s="332"/>
      <c r="L247" s="332"/>
      <c r="M247" s="332"/>
      <c r="N247" s="332"/>
      <c r="O247" s="332"/>
      <c r="P247" s="332"/>
      <c r="Q247" s="332"/>
      <c r="R247" s="332"/>
      <c r="S247" s="332"/>
      <c r="T247" s="332"/>
      <c r="U247" s="332"/>
    </row>
    <row r="248" spans="1:21">
      <c r="A248" s="332"/>
      <c r="B248" s="332"/>
      <c r="C248" s="332"/>
      <c r="D248" s="332"/>
      <c r="E248" s="332"/>
      <c r="F248" s="332"/>
      <c r="G248" s="332"/>
      <c r="H248" s="332"/>
      <c r="I248" s="332"/>
      <c r="J248" s="332"/>
      <c r="K248" s="332"/>
      <c r="L248" s="332"/>
      <c r="M248" s="332"/>
      <c r="N248" s="332"/>
      <c r="O248" s="332"/>
      <c r="P248" s="332"/>
      <c r="Q248" s="332"/>
      <c r="R248" s="332"/>
      <c r="S248" s="332"/>
      <c r="T248" s="332"/>
      <c r="U248" s="332"/>
    </row>
    <row r="249" spans="1:21">
      <c r="A249" s="332"/>
      <c r="B249" s="332"/>
      <c r="C249" s="332"/>
      <c r="D249" s="332"/>
      <c r="E249" s="332"/>
      <c r="F249" s="332"/>
      <c r="G249" s="332"/>
      <c r="H249" s="332"/>
      <c r="I249" s="332"/>
      <c r="J249" s="332"/>
      <c r="K249" s="332"/>
      <c r="L249" s="332"/>
      <c r="M249" s="332"/>
      <c r="N249" s="332"/>
      <c r="O249" s="332"/>
      <c r="P249" s="332"/>
      <c r="Q249" s="332"/>
      <c r="R249" s="332"/>
      <c r="S249" s="332"/>
      <c r="T249" s="332"/>
      <c r="U249" s="332"/>
    </row>
    <row r="250" spans="1:21" s="199" customFormat="1">
      <c r="A250" s="158"/>
      <c r="B250" s="171"/>
      <c r="C250" s="171"/>
      <c r="D250" s="171"/>
      <c r="E250" s="171"/>
      <c r="F250" s="171"/>
      <c r="G250" s="171"/>
      <c r="H250" s="172"/>
      <c r="I250" s="159"/>
      <c r="J250" s="159"/>
      <c r="K250" s="159"/>
      <c r="L250" s="159"/>
      <c r="M250" s="159"/>
      <c r="N250" s="159"/>
      <c r="O250" s="159"/>
      <c r="P250" s="159"/>
      <c r="Q250" s="159"/>
      <c r="R250" s="159"/>
      <c r="S250" s="159"/>
      <c r="T250" s="159"/>
      <c r="U250" s="159"/>
    </row>
    <row r="251" spans="1:21">
      <c r="B251" s="16"/>
      <c r="C251" s="16"/>
      <c r="D251" s="16"/>
      <c r="E251" s="16"/>
      <c r="F251" s="16"/>
      <c r="G251" s="16"/>
    </row>
    <row r="252" spans="1:21">
      <c r="B252" s="16"/>
      <c r="C252" s="16"/>
      <c r="D252" s="16"/>
      <c r="E252" s="16"/>
      <c r="F252" s="16"/>
      <c r="G252" s="16"/>
    </row>
    <row r="253" spans="1:21">
      <c r="B253" s="16"/>
      <c r="C253" s="16"/>
      <c r="D253" s="16"/>
      <c r="E253" s="16"/>
      <c r="F253" s="16"/>
      <c r="G253" s="16"/>
    </row>
    <row r="254" spans="1:21">
      <c r="B254" s="16"/>
      <c r="C254" s="16"/>
      <c r="D254" s="16"/>
      <c r="E254" s="16"/>
      <c r="F254" s="16"/>
      <c r="G254" s="16"/>
    </row>
    <row r="255" spans="1:21">
      <c r="B255" s="142"/>
      <c r="C255" s="142"/>
      <c r="D255" s="142"/>
      <c r="E255" s="142"/>
      <c r="F255" s="142"/>
      <c r="G255" s="142"/>
    </row>
    <row r="256" spans="1:21" ht="13">
      <c r="A256" s="328" t="s">
        <v>259</v>
      </c>
      <c r="B256" s="328"/>
      <c r="C256" s="328"/>
      <c r="D256" s="328"/>
      <c r="E256" s="328"/>
      <c r="F256" s="328"/>
      <c r="G256" s="328"/>
      <c r="H256" s="328"/>
      <c r="I256" s="328"/>
      <c r="J256" s="328"/>
      <c r="K256" s="328"/>
      <c r="L256" s="328"/>
      <c r="M256" s="328"/>
      <c r="N256" s="328"/>
      <c r="O256" s="328"/>
      <c r="P256" s="328"/>
      <c r="Q256" s="328"/>
      <c r="R256" s="328"/>
      <c r="S256" s="328"/>
      <c r="T256" s="328"/>
      <c r="U256" s="328"/>
    </row>
    <row r="257" spans="1:24" ht="12" customHeight="1">
      <c r="A257" s="2" t="s">
        <v>27</v>
      </c>
      <c r="B257" s="230" t="s">
        <v>29</v>
      </c>
      <c r="C257" s="230" t="s">
        <v>30</v>
      </c>
      <c r="D257" s="230" t="s">
        <v>31</v>
      </c>
      <c r="E257" s="230" t="s">
        <v>32</v>
      </c>
      <c r="F257" s="141" t="s">
        <v>251</v>
      </c>
      <c r="G257" s="230" t="s">
        <v>22</v>
      </c>
      <c r="H257" s="230"/>
      <c r="I257" s="196" t="s">
        <v>29</v>
      </c>
      <c r="J257" s="196" t="s">
        <v>30</v>
      </c>
      <c r="K257" s="196" t="s">
        <v>31</v>
      </c>
      <c r="L257" s="196" t="s">
        <v>32</v>
      </c>
      <c r="M257" s="141" t="s">
        <v>251</v>
      </c>
      <c r="N257" s="196" t="s">
        <v>22</v>
      </c>
      <c r="O257" s="196"/>
      <c r="P257" s="196" t="s">
        <v>29</v>
      </c>
      <c r="Q257" s="196" t="s">
        <v>30</v>
      </c>
      <c r="R257" s="196" t="s">
        <v>31</v>
      </c>
      <c r="S257" s="196" t="s">
        <v>32</v>
      </c>
      <c r="T257" s="141" t="s">
        <v>251</v>
      </c>
      <c r="U257" s="196" t="s">
        <v>22</v>
      </c>
    </row>
    <row r="258" spans="1:24" ht="12" customHeight="1">
      <c r="A258" s="94"/>
      <c r="B258" s="333" t="s">
        <v>61</v>
      </c>
      <c r="C258" s="333"/>
      <c r="D258" s="333"/>
      <c r="E258" s="333"/>
      <c r="F258" s="333"/>
      <c r="G258" s="333"/>
      <c r="H258" s="27"/>
      <c r="I258" s="334" t="s">
        <v>62</v>
      </c>
      <c r="J258" s="334"/>
      <c r="K258" s="334"/>
      <c r="L258" s="334"/>
      <c r="M258" s="334"/>
      <c r="N258" s="334"/>
      <c r="O258" s="14"/>
      <c r="P258" s="334" t="s">
        <v>112</v>
      </c>
      <c r="Q258" s="334"/>
      <c r="R258" s="334"/>
      <c r="S258" s="334"/>
      <c r="T258" s="334"/>
      <c r="U258" s="334"/>
    </row>
    <row r="259" spans="1:24" ht="12" customHeight="1">
      <c r="A259" s="94" t="s">
        <v>192</v>
      </c>
      <c r="B259" s="142"/>
      <c r="C259" s="142"/>
      <c r="D259" s="142"/>
      <c r="E259" s="142"/>
      <c r="F259" s="142"/>
      <c r="G259" s="142"/>
    </row>
    <row r="260" spans="1:24" ht="12" customHeight="1">
      <c r="A260" s="99" t="s">
        <v>24</v>
      </c>
      <c r="B260" s="142">
        <f t="shared" ref="B260:G260" si="64">AVERAGE(B11:B15)</f>
        <v>3293.2</v>
      </c>
      <c r="C260" s="142">
        <f t="shared" si="64"/>
        <v>532.33333333333337</v>
      </c>
      <c r="D260" s="142">
        <f t="shared" si="64"/>
        <v>6289</v>
      </c>
      <c r="E260" s="142">
        <f t="shared" si="64"/>
        <v>1424.2</v>
      </c>
      <c r="F260" s="142">
        <f t="shared" si="64"/>
        <v>31</v>
      </c>
      <c r="G260" s="142">
        <f t="shared" si="64"/>
        <v>10074.200000000001</v>
      </c>
      <c r="I260" s="142" t="s">
        <v>23</v>
      </c>
      <c r="J260" s="142" t="s">
        <v>23</v>
      </c>
      <c r="K260" s="142">
        <f>AVERAGE(K11:K15)</f>
        <v>43965</v>
      </c>
      <c r="L260" s="142">
        <f>AVERAGE(L11:L15)</f>
        <v>15853.2</v>
      </c>
      <c r="M260" s="142">
        <f>AVERAGE(M11:M15)</f>
        <v>99.5</v>
      </c>
      <c r="N260" s="142">
        <f>AVERAGE(N11:N15)</f>
        <v>42272</v>
      </c>
      <c r="P260" s="142">
        <f>AVERAGE(P11:P15)</f>
        <v>113.33333333333333</v>
      </c>
      <c r="Q260" s="142">
        <f t="shared" ref="Q260:U260" si="65">AVERAGE(Q11:Q15)</f>
        <v>19.5</v>
      </c>
      <c r="R260" s="142">
        <f t="shared" si="65"/>
        <v>38465.666666666664</v>
      </c>
      <c r="S260" s="142">
        <f t="shared" si="65"/>
        <v>103126.5</v>
      </c>
      <c r="T260" s="142">
        <f t="shared" si="65"/>
        <v>415</v>
      </c>
      <c r="U260" s="142">
        <f t="shared" si="65"/>
        <v>107619.66666666667</v>
      </c>
    </row>
    <row r="261" spans="1:24" ht="12" customHeight="1">
      <c r="A261" s="99" t="s">
        <v>78</v>
      </c>
      <c r="B261" s="142">
        <f>AVERAGE(B16:B20)</f>
        <v>8156.75</v>
      </c>
      <c r="C261" s="142">
        <f>AVERAGE(C16:C20)</f>
        <v>4180</v>
      </c>
      <c r="D261" s="142">
        <f>AVERAGE(D16:D20)</f>
        <v>74</v>
      </c>
      <c r="E261" s="142">
        <f>AVERAGE(E16:E20)</f>
        <v>672</v>
      </c>
      <c r="F261" s="142" t="s">
        <v>23</v>
      </c>
      <c r="G261" s="142">
        <f>AVERAGE(G16:G20)</f>
        <v>9600.6</v>
      </c>
      <c r="I261" s="142" t="s">
        <v>23</v>
      </c>
      <c r="J261" s="142" t="s">
        <v>23</v>
      </c>
      <c r="K261" s="142">
        <f>AVERAGE(K16:K20)</f>
        <v>776</v>
      </c>
      <c r="L261" s="142">
        <f>AVERAGE(L16:L20)</f>
        <v>24066</v>
      </c>
      <c r="M261" s="142" t="s">
        <v>23</v>
      </c>
      <c r="N261" s="142">
        <f>AVERAGE(N16:N20)</f>
        <v>19563.2</v>
      </c>
      <c r="P261" s="142">
        <f>AVERAGE(P16:P20)</f>
        <v>0</v>
      </c>
      <c r="Q261" s="142" t="s">
        <v>23</v>
      </c>
      <c r="R261" s="142">
        <f>AVERAGE(R16:R20)</f>
        <v>1524</v>
      </c>
      <c r="S261" s="142">
        <f>AVERAGE(S16:S20)</f>
        <v>36263</v>
      </c>
      <c r="T261" s="142" t="s">
        <v>23</v>
      </c>
      <c r="U261" s="142">
        <f>AVERAGE(U16:U20)</f>
        <v>18893.5</v>
      </c>
    </row>
    <row r="262" spans="1:24" ht="12" customHeight="1">
      <c r="A262" s="99" t="s">
        <v>10</v>
      </c>
      <c r="B262" s="142">
        <f t="shared" ref="B262:G262" si="66">AVERAGE(B21:B25)</f>
        <v>8817.6666666666661</v>
      </c>
      <c r="C262" s="142">
        <f t="shared" si="66"/>
        <v>5678.666666666667</v>
      </c>
      <c r="D262" s="142">
        <f t="shared" si="66"/>
        <v>1388</v>
      </c>
      <c r="E262" s="142">
        <f t="shared" si="66"/>
        <v>424</v>
      </c>
      <c r="F262" s="142">
        <f t="shared" si="66"/>
        <v>366</v>
      </c>
      <c r="G262" s="142">
        <f t="shared" si="66"/>
        <v>12081.75</v>
      </c>
      <c r="I262" s="142" t="s">
        <v>23</v>
      </c>
      <c r="J262" s="142" t="s">
        <v>23</v>
      </c>
      <c r="K262" s="142">
        <f>AVERAGE(K21:K25)</f>
        <v>3377.5</v>
      </c>
      <c r="L262" s="142">
        <f>AVERAGE(L21:L25)</f>
        <v>9603.75</v>
      </c>
      <c r="M262" s="142">
        <f>AVERAGE(M21:M25)</f>
        <v>5293</v>
      </c>
      <c r="N262" s="142">
        <f>AVERAGE(N21:N25)</f>
        <v>13939</v>
      </c>
      <c r="P262" s="142">
        <f t="shared" ref="P262:U262" si="67">AVERAGE(P21:P25)</f>
        <v>8.5</v>
      </c>
      <c r="Q262" s="142">
        <f t="shared" si="67"/>
        <v>8.5</v>
      </c>
      <c r="R262" s="142">
        <f t="shared" si="67"/>
        <v>64</v>
      </c>
      <c r="S262" s="142">
        <f t="shared" si="67"/>
        <v>23602.666666666668</v>
      </c>
      <c r="T262" s="142">
        <f t="shared" si="67"/>
        <v>535</v>
      </c>
      <c r="U262" s="142">
        <f t="shared" si="67"/>
        <v>23992</v>
      </c>
    </row>
    <row r="263" spans="1:24" ht="12" customHeight="1">
      <c r="A263" s="99" t="s">
        <v>144</v>
      </c>
      <c r="B263" s="142">
        <f>AVERAGE(B26:B30)</f>
        <v>3887.25</v>
      </c>
      <c r="C263" s="142">
        <f>AVERAGE(C26:C30)</f>
        <v>1922.5</v>
      </c>
      <c r="D263" s="142">
        <f>AVERAGE(D26:D30)</f>
        <v>3428</v>
      </c>
      <c r="E263" s="142">
        <f>AVERAGE(E26:E30)</f>
        <v>1524</v>
      </c>
      <c r="F263" s="142" t="s">
        <v>23</v>
      </c>
      <c r="G263" s="142">
        <f>AVERAGE(G26:G30)</f>
        <v>7047.75</v>
      </c>
      <c r="I263" s="142" t="s">
        <v>23</v>
      </c>
      <c r="J263" s="142" t="s">
        <v>23</v>
      </c>
      <c r="K263" s="142">
        <f>AVERAGE(K26:K30)</f>
        <v>2996.5</v>
      </c>
      <c r="L263" s="142">
        <f>AVERAGE(L26:L30)</f>
        <v>4481</v>
      </c>
      <c r="M263" s="142" t="s">
        <v>23</v>
      </c>
      <c r="N263" s="142">
        <f>AVERAGE(N26:N30)</f>
        <v>7477.5</v>
      </c>
      <c r="P263" s="142">
        <f>AVERAGE(P26:P30)</f>
        <v>1</v>
      </c>
      <c r="Q263" s="142">
        <f>AVERAGE(Q26:Q30)</f>
        <v>1</v>
      </c>
      <c r="R263" s="142">
        <f>AVERAGE(R26:R30)</f>
        <v>30</v>
      </c>
      <c r="S263" s="142">
        <f>AVERAGE(S26:S30)</f>
        <v>8</v>
      </c>
      <c r="T263" s="142" t="s">
        <v>23</v>
      </c>
      <c r="U263" s="142">
        <f>AVERAGE(U26:U30)</f>
        <v>21</v>
      </c>
    </row>
    <row r="264" spans="1:24" ht="12" customHeight="1">
      <c r="A264" s="99" t="s">
        <v>166</v>
      </c>
      <c r="B264" s="142">
        <f t="shared" ref="B264:G264" si="68">AVERAGE(B31:B35)</f>
        <v>6623.8</v>
      </c>
      <c r="C264" s="142">
        <f t="shared" si="68"/>
        <v>2490.8000000000002</v>
      </c>
      <c r="D264" s="142">
        <f t="shared" si="68"/>
        <v>4402</v>
      </c>
      <c r="E264" s="142">
        <f t="shared" si="68"/>
        <v>4392.5</v>
      </c>
      <c r="F264" s="142">
        <f t="shared" si="68"/>
        <v>698.5</v>
      </c>
      <c r="G264" s="142">
        <f t="shared" si="68"/>
        <v>17310</v>
      </c>
      <c r="I264" s="142" t="str">
        <f>I31</f>
        <v>-</v>
      </c>
      <c r="J264" s="142" t="str">
        <f>J31</f>
        <v>-</v>
      </c>
      <c r="K264" s="142">
        <f>AVERAGE(K31:K35)</f>
        <v>423.75</v>
      </c>
      <c r="L264" s="142">
        <f>AVERAGE(L31:L35)</f>
        <v>962</v>
      </c>
      <c r="M264" s="142">
        <f>AVERAGE(M31:M35)</f>
        <v>171</v>
      </c>
      <c r="N264" s="142">
        <f>AVERAGE(N31:N35)</f>
        <v>1230.75</v>
      </c>
      <c r="P264" s="142">
        <f t="shared" ref="P264:U264" si="69">AVERAGE(P31:P35)</f>
        <v>0.33333333333333331</v>
      </c>
      <c r="Q264" s="142">
        <f t="shared" si="69"/>
        <v>2.6666666666666665</v>
      </c>
      <c r="R264" s="142">
        <f t="shared" si="69"/>
        <v>18</v>
      </c>
      <c r="S264" s="142">
        <f t="shared" si="69"/>
        <v>11.5</v>
      </c>
      <c r="T264" s="142">
        <f t="shared" si="69"/>
        <v>0</v>
      </c>
      <c r="U264" s="142">
        <f t="shared" si="69"/>
        <v>28.666666666666668</v>
      </c>
    </row>
    <row r="265" spans="1:24" ht="12" customHeight="1">
      <c r="A265" s="99" t="s">
        <v>315</v>
      </c>
      <c r="B265" s="142">
        <f>AVERAGE(B36:B40)</f>
        <v>1040.5999999999999</v>
      </c>
      <c r="C265" s="142">
        <f t="shared" ref="C265:G265" si="70">AVERAGE(C36:C40)</f>
        <v>618.20000000000005</v>
      </c>
      <c r="D265" s="142">
        <f t="shared" si="70"/>
        <v>157.4</v>
      </c>
      <c r="E265" s="142">
        <f t="shared" si="70"/>
        <v>206.8</v>
      </c>
      <c r="F265" s="142">
        <f t="shared" si="70"/>
        <v>96.2</v>
      </c>
      <c r="G265" s="142">
        <f t="shared" si="70"/>
        <v>2119.1999999999998</v>
      </c>
      <c r="I265" s="142" t="str">
        <f>I36</f>
        <v>-</v>
      </c>
      <c r="J265" s="142" t="str">
        <f>J36</f>
        <v>-</v>
      </c>
      <c r="K265" s="142">
        <f t="shared" ref="K265:N265" si="71">AVERAGE(K36:K40)</f>
        <v>136.4</v>
      </c>
      <c r="L265" s="142">
        <f t="shared" si="71"/>
        <v>66.599999999999994</v>
      </c>
      <c r="M265" s="142">
        <f t="shared" si="71"/>
        <v>10.199999999999999</v>
      </c>
      <c r="N265" s="142">
        <f t="shared" si="71"/>
        <v>213.2</v>
      </c>
      <c r="P265" s="142">
        <f t="shared" ref="P265:U265" si="72">AVERAGE(P36:P40)</f>
        <v>4.5</v>
      </c>
      <c r="Q265" s="142">
        <f t="shared" si="72"/>
        <v>4</v>
      </c>
      <c r="R265" s="142">
        <f t="shared" si="72"/>
        <v>8</v>
      </c>
      <c r="S265" s="142">
        <f t="shared" si="72"/>
        <v>0</v>
      </c>
      <c r="T265" s="142">
        <f t="shared" si="72"/>
        <v>0</v>
      </c>
      <c r="U265" s="142">
        <f t="shared" si="72"/>
        <v>16.5</v>
      </c>
    </row>
    <row r="266" spans="1:24" ht="12" customHeight="1">
      <c r="A266" s="99">
        <v>2011</v>
      </c>
      <c r="B266" s="142">
        <f t="shared" ref="B266:G274" si="73">B41</f>
        <v>2022</v>
      </c>
      <c r="C266" s="142">
        <f t="shared" si="73"/>
        <v>513</v>
      </c>
      <c r="D266" s="142">
        <f t="shared" si="73"/>
        <v>276</v>
      </c>
      <c r="E266" s="142">
        <f t="shared" si="73"/>
        <v>30</v>
      </c>
      <c r="F266" s="142">
        <f t="shared" si="73"/>
        <v>93</v>
      </c>
      <c r="G266" s="142">
        <f t="shared" si="73"/>
        <v>2934</v>
      </c>
      <c r="I266" s="142" t="str">
        <f t="shared" ref="I266:N274" si="74">I41</f>
        <v>-</v>
      </c>
      <c r="J266" s="142" t="str">
        <f t="shared" si="74"/>
        <v>-</v>
      </c>
      <c r="K266" s="142">
        <f t="shared" si="74"/>
        <v>1</v>
      </c>
      <c r="L266" s="142">
        <f t="shared" si="74"/>
        <v>0</v>
      </c>
      <c r="M266" s="142">
        <f t="shared" si="74"/>
        <v>139</v>
      </c>
      <c r="N266" s="142">
        <f t="shared" si="74"/>
        <v>140</v>
      </c>
      <c r="P266" s="142">
        <f t="shared" ref="P266:U266" si="75">P41</f>
        <v>0</v>
      </c>
      <c r="Q266" s="142">
        <f t="shared" si="75"/>
        <v>0</v>
      </c>
      <c r="R266" s="142">
        <f t="shared" si="75"/>
        <v>7</v>
      </c>
      <c r="S266" s="142">
        <f t="shared" si="75"/>
        <v>0</v>
      </c>
      <c r="T266" s="142">
        <f t="shared" si="75"/>
        <v>0</v>
      </c>
      <c r="U266" s="142">
        <f t="shared" si="75"/>
        <v>7</v>
      </c>
    </row>
    <row r="267" spans="1:24" ht="12" customHeight="1">
      <c r="A267" s="99">
        <v>2012</v>
      </c>
      <c r="B267" s="142">
        <f t="shared" si="73"/>
        <v>4511</v>
      </c>
      <c r="C267" s="142">
        <f t="shared" si="73"/>
        <v>788</v>
      </c>
      <c r="D267" s="142">
        <f t="shared" si="73"/>
        <v>157</v>
      </c>
      <c r="E267" s="142">
        <f t="shared" si="73"/>
        <v>421</v>
      </c>
      <c r="F267" s="142">
        <f t="shared" si="73"/>
        <v>225</v>
      </c>
      <c r="G267" s="142">
        <f t="shared" si="73"/>
        <v>6102</v>
      </c>
      <c r="I267" s="142" t="str">
        <f t="shared" si="74"/>
        <v>-</v>
      </c>
      <c r="J267" s="142" t="str">
        <f t="shared" si="74"/>
        <v>-</v>
      </c>
      <c r="K267" s="142">
        <f t="shared" si="74"/>
        <v>0</v>
      </c>
      <c r="L267" s="142">
        <f t="shared" si="74"/>
        <v>125</v>
      </c>
      <c r="M267" s="142">
        <f t="shared" si="74"/>
        <v>79</v>
      </c>
      <c r="N267" s="142">
        <f t="shared" si="74"/>
        <v>204</v>
      </c>
      <c r="P267" s="59"/>
      <c r="Q267" s="59"/>
      <c r="R267" s="59"/>
      <c r="S267" s="59"/>
      <c r="T267" s="59"/>
      <c r="U267" s="59"/>
    </row>
    <row r="268" spans="1:24" ht="12" customHeight="1">
      <c r="A268" s="99">
        <v>2013</v>
      </c>
      <c r="B268" s="142">
        <f t="shared" si="73"/>
        <v>3984</v>
      </c>
      <c r="C268" s="142" t="str">
        <f t="shared" si="73"/>
        <v>-</v>
      </c>
      <c r="D268" s="142">
        <f t="shared" si="73"/>
        <v>1900</v>
      </c>
      <c r="E268" s="142">
        <f t="shared" si="73"/>
        <v>87</v>
      </c>
      <c r="F268" s="142" t="str">
        <f t="shared" si="73"/>
        <v>-</v>
      </c>
      <c r="G268" s="142">
        <f t="shared" si="73"/>
        <v>5971</v>
      </c>
      <c r="I268" s="142" t="str">
        <f t="shared" si="74"/>
        <v>-</v>
      </c>
      <c r="J268" s="142" t="str">
        <f t="shared" si="74"/>
        <v>-</v>
      </c>
      <c r="K268" s="142">
        <f t="shared" si="74"/>
        <v>279</v>
      </c>
      <c r="L268" s="142">
        <f t="shared" si="74"/>
        <v>30</v>
      </c>
      <c r="M268" s="142" t="str">
        <f t="shared" si="74"/>
        <v>-</v>
      </c>
      <c r="N268" s="142">
        <f t="shared" si="74"/>
        <v>309</v>
      </c>
      <c r="P268" s="142">
        <f t="shared" ref="P268:U268" si="76">P43</f>
        <v>2</v>
      </c>
      <c r="Q268" s="142" t="str">
        <f t="shared" si="76"/>
        <v>-</v>
      </c>
      <c r="R268" s="142">
        <f t="shared" si="76"/>
        <v>2</v>
      </c>
      <c r="S268" s="142">
        <f t="shared" si="76"/>
        <v>23</v>
      </c>
      <c r="T268" s="142" t="str">
        <f t="shared" si="76"/>
        <v>-</v>
      </c>
      <c r="U268" s="142">
        <f t="shared" si="76"/>
        <v>27</v>
      </c>
    </row>
    <row r="269" spans="1:24" ht="12" customHeight="1">
      <c r="A269" s="99">
        <v>2014</v>
      </c>
      <c r="B269" s="142">
        <f t="shared" si="73"/>
        <v>3075</v>
      </c>
      <c r="C269" s="142">
        <f t="shared" si="73"/>
        <v>27</v>
      </c>
      <c r="D269" s="142">
        <f t="shared" si="73"/>
        <v>168</v>
      </c>
      <c r="E269" s="142">
        <f t="shared" si="73"/>
        <v>56</v>
      </c>
      <c r="F269" s="142" t="str">
        <f t="shared" si="73"/>
        <v>-</v>
      </c>
      <c r="G269" s="142">
        <f t="shared" si="73"/>
        <v>3326</v>
      </c>
      <c r="I269" s="142" t="str">
        <f t="shared" si="74"/>
        <v>-</v>
      </c>
      <c r="J269" s="142" t="str">
        <f t="shared" si="74"/>
        <v>-</v>
      </c>
      <c r="K269" s="142">
        <f t="shared" si="74"/>
        <v>19</v>
      </c>
      <c r="L269" s="142">
        <f t="shared" si="74"/>
        <v>22</v>
      </c>
      <c r="M269" s="142" t="str">
        <f t="shared" si="74"/>
        <v>-</v>
      </c>
      <c r="N269" s="142">
        <f t="shared" si="74"/>
        <v>41</v>
      </c>
      <c r="P269" s="59"/>
      <c r="Q269" s="59"/>
      <c r="R269" s="59"/>
      <c r="S269" s="59"/>
      <c r="T269" s="59"/>
      <c r="U269" s="59"/>
    </row>
    <row r="270" spans="1:24" ht="12" customHeight="1">
      <c r="A270" s="122">
        <v>2015</v>
      </c>
      <c r="B270" s="142">
        <f t="shared" si="73"/>
        <v>3274</v>
      </c>
      <c r="C270" s="142">
        <f t="shared" si="73"/>
        <v>839</v>
      </c>
      <c r="D270" s="142">
        <f t="shared" si="73"/>
        <v>402</v>
      </c>
      <c r="E270" s="142">
        <f t="shared" si="73"/>
        <v>104</v>
      </c>
      <c r="F270" s="142">
        <f t="shared" si="73"/>
        <v>79</v>
      </c>
      <c r="G270" s="142">
        <f t="shared" si="73"/>
        <v>4698</v>
      </c>
      <c r="I270" s="142" t="str">
        <f t="shared" si="74"/>
        <v>-</v>
      </c>
      <c r="J270" s="142" t="str">
        <f t="shared" si="74"/>
        <v>-</v>
      </c>
      <c r="K270" s="142">
        <f t="shared" si="74"/>
        <v>15</v>
      </c>
      <c r="L270" s="142">
        <f t="shared" si="74"/>
        <v>13</v>
      </c>
      <c r="M270" s="142">
        <f t="shared" si="74"/>
        <v>6</v>
      </c>
      <c r="N270" s="142">
        <f t="shared" si="74"/>
        <v>34</v>
      </c>
      <c r="P270" s="142">
        <f t="shared" ref="P270:U270" si="77">P45</f>
        <v>0</v>
      </c>
      <c r="Q270" s="142">
        <f t="shared" si="77"/>
        <v>20</v>
      </c>
      <c r="R270" s="142">
        <f t="shared" si="77"/>
        <v>0</v>
      </c>
      <c r="S270" s="142">
        <f t="shared" si="77"/>
        <v>0</v>
      </c>
      <c r="T270" s="142">
        <f t="shared" si="77"/>
        <v>0</v>
      </c>
      <c r="U270" s="142">
        <f t="shared" si="77"/>
        <v>20</v>
      </c>
    </row>
    <row r="271" spans="1:24" ht="12" customHeight="1">
      <c r="A271" s="122">
        <v>2016</v>
      </c>
      <c r="B271" s="142">
        <f t="shared" si="73"/>
        <v>948</v>
      </c>
      <c r="C271" s="142">
        <f t="shared" si="73"/>
        <v>794</v>
      </c>
      <c r="D271" s="142">
        <f t="shared" si="73"/>
        <v>39</v>
      </c>
      <c r="E271" s="142">
        <f t="shared" si="73"/>
        <v>7</v>
      </c>
      <c r="F271" s="142" t="str">
        <f t="shared" si="73"/>
        <v>-</v>
      </c>
      <c r="G271" s="142">
        <f t="shared" si="73"/>
        <v>1788</v>
      </c>
      <c r="I271" s="142" t="str">
        <f t="shared" si="74"/>
        <v>-</v>
      </c>
      <c r="J271" s="142" t="str">
        <f t="shared" si="74"/>
        <v>-</v>
      </c>
      <c r="K271" s="142" t="str">
        <f t="shared" si="74"/>
        <v>-</v>
      </c>
      <c r="L271" s="142" t="str">
        <f t="shared" si="74"/>
        <v>-</v>
      </c>
      <c r="M271" s="142" t="str">
        <f t="shared" si="74"/>
        <v>-</v>
      </c>
      <c r="N271" s="142" t="str">
        <f t="shared" si="74"/>
        <v>-</v>
      </c>
      <c r="X271" s="122"/>
    </row>
    <row r="272" spans="1:24" ht="12" customHeight="1">
      <c r="A272" s="122">
        <v>2017</v>
      </c>
      <c r="B272" s="142">
        <f t="shared" si="73"/>
        <v>451</v>
      </c>
      <c r="C272" s="142">
        <f t="shared" si="73"/>
        <v>374</v>
      </c>
      <c r="D272" s="142">
        <f t="shared" si="73"/>
        <v>3058</v>
      </c>
      <c r="E272" s="142">
        <f t="shared" si="73"/>
        <v>2158</v>
      </c>
      <c r="F272" s="142">
        <f t="shared" si="73"/>
        <v>310</v>
      </c>
      <c r="G272" s="142">
        <f t="shared" si="73"/>
        <v>6351</v>
      </c>
      <c r="I272" s="142" t="str">
        <f t="shared" si="74"/>
        <v>-</v>
      </c>
      <c r="J272" s="142" t="str">
        <f t="shared" si="74"/>
        <v>-</v>
      </c>
      <c r="K272" s="142">
        <f t="shared" si="74"/>
        <v>49</v>
      </c>
      <c r="L272" s="142">
        <f t="shared" si="74"/>
        <v>182</v>
      </c>
      <c r="M272" s="142">
        <f t="shared" si="74"/>
        <v>80</v>
      </c>
      <c r="N272" s="142">
        <f t="shared" si="74"/>
        <v>311</v>
      </c>
      <c r="P272" s="142">
        <f t="shared" ref="P272:U272" si="78">P47</f>
        <v>0</v>
      </c>
      <c r="Q272" s="142">
        <f t="shared" si="78"/>
        <v>0</v>
      </c>
      <c r="R272" s="142">
        <f t="shared" si="78"/>
        <v>10</v>
      </c>
      <c r="S272" s="142">
        <f t="shared" si="78"/>
        <v>1</v>
      </c>
      <c r="T272" s="142">
        <f t="shared" si="78"/>
        <v>0</v>
      </c>
      <c r="U272" s="142">
        <f t="shared" si="78"/>
        <v>11</v>
      </c>
    </row>
    <row r="273" spans="1:21" ht="12" customHeight="1">
      <c r="A273" s="122">
        <v>2018</v>
      </c>
      <c r="B273" s="142">
        <f t="shared" si="73"/>
        <v>2797</v>
      </c>
      <c r="C273" s="142">
        <f t="shared" si="73"/>
        <v>1330</v>
      </c>
      <c r="D273" s="142">
        <f t="shared" si="73"/>
        <v>2684</v>
      </c>
      <c r="E273" s="142">
        <f t="shared" si="73"/>
        <v>283</v>
      </c>
      <c r="F273" s="142">
        <f t="shared" si="73"/>
        <v>182</v>
      </c>
      <c r="G273" s="142">
        <f t="shared" si="73"/>
        <v>7276</v>
      </c>
      <c r="I273" s="142" t="str">
        <f t="shared" si="74"/>
        <v>-</v>
      </c>
      <c r="J273" s="142" t="str">
        <f t="shared" si="74"/>
        <v>-</v>
      </c>
      <c r="K273" s="142">
        <f t="shared" si="74"/>
        <v>249</v>
      </c>
      <c r="L273" s="142">
        <f t="shared" si="74"/>
        <v>50</v>
      </c>
      <c r="M273" s="142">
        <f t="shared" si="74"/>
        <v>106</v>
      </c>
      <c r="N273" s="142">
        <f t="shared" si="74"/>
        <v>405</v>
      </c>
    </row>
    <row r="274" spans="1:21" ht="12" customHeight="1">
      <c r="A274" s="122">
        <v>2019</v>
      </c>
      <c r="B274" s="142">
        <f t="shared" si="73"/>
        <v>1430</v>
      </c>
      <c r="C274" s="142">
        <f t="shared" si="73"/>
        <v>2616</v>
      </c>
      <c r="D274" s="142">
        <f t="shared" si="73"/>
        <v>9491</v>
      </c>
      <c r="E274" s="142">
        <f t="shared" si="73"/>
        <v>219</v>
      </c>
      <c r="F274" s="142">
        <f t="shared" si="73"/>
        <v>67</v>
      </c>
      <c r="G274" s="142">
        <f t="shared" si="73"/>
        <v>13823</v>
      </c>
      <c r="I274" s="142" t="str">
        <f t="shared" si="74"/>
        <v>-</v>
      </c>
      <c r="J274" s="142" t="str">
        <f t="shared" si="74"/>
        <v>-</v>
      </c>
      <c r="K274" s="142">
        <f t="shared" si="74"/>
        <v>938</v>
      </c>
      <c r="L274" s="142">
        <f t="shared" si="74"/>
        <v>59</v>
      </c>
      <c r="M274" s="142">
        <f t="shared" si="74"/>
        <v>120</v>
      </c>
      <c r="N274" s="142">
        <f t="shared" si="74"/>
        <v>1117</v>
      </c>
      <c r="P274" s="142">
        <f t="shared" ref="P274:U276" si="79">P49</f>
        <v>0</v>
      </c>
      <c r="Q274" s="142">
        <f t="shared" si="79"/>
        <v>0</v>
      </c>
      <c r="R274" s="142">
        <f t="shared" si="79"/>
        <v>230</v>
      </c>
      <c r="S274" s="142">
        <f t="shared" si="79"/>
        <v>0</v>
      </c>
      <c r="T274" s="142">
        <f t="shared" si="79"/>
        <v>0</v>
      </c>
      <c r="U274" s="142">
        <f t="shared" si="79"/>
        <v>230</v>
      </c>
    </row>
    <row r="275" spans="1:21" ht="12" customHeight="1">
      <c r="A275" s="122">
        <v>2020</v>
      </c>
      <c r="B275" s="142">
        <f t="shared" ref="B275:G276" si="80">B50</f>
        <v>135</v>
      </c>
      <c r="C275" s="142">
        <f t="shared" si="80"/>
        <v>389</v>
      </c>
      <c r="D275" s="142">
        <f t="shared" si="80"/>
        <v>692</v>
      </c>
      <c r="E275" s="142">
        <f t="shared" si="80"/>
        <v>202</v>
      </c>
      <c r="F275" s="142">
        <f t="shared" si="80"/>
        <v>0</v>
      </c>
      <c r="G275" s="142">
        <f t="shared" si="80"/>
        <v>1418</v>
      </c>
      <c r="I275" s="142" t="str">
        <f t="shared" ref="I275:N276" si="81">I50</f>
        <v>-</v>
      </c>
      <c r="J275" s="142" t="str">
        <f t="shared" si="81"/>
        <v>-</v>
      </c>
      <c r="K275" s="142">
        <f t="shared" si="81"/>
        <v>29</v>
      </c>
      <c r="L275" s="142">
        <f t="shared" si="81"/>
        <v>16</v>
      </c>
      <c r="M275" s="142">
        <f t="shared" si="81"/>
        <v>0</v>
      </c>
      <c r="N275" s="142">
        <f t="shared" si="81"/>
        <v>45</v>
      </c>
    </row>
    <row r="276" spans="1:21" ht="12" customHeight="1">
      <c r="A276" s="122" t="s">
        <v>318</v>
      </c>
      <c r="B276" s="142">
        <f t="shared" si="80"/>
        <v>262</v>
      </c>
      <c r="C276" s="142">
        <f t="shared" si="80"/>
        <v>358</v>
      </c>
      <c r="D276" s="142">
        <f t="shared" si="80"/>
        <v>212</v>
      </c>
      <c r="E276" s="142">
        <f t="shared" si="80"/>
        <v>75</v>
      </c>
      <c r="F276" s="142">
        <f t="shared" si="80"/>
        <v>33</v>
      </c>
      <c r="G276" s="142">
        <f t="shared" si="80"/>
        <v>940</v>
      </c>
      <c r="I276" s="142" t="str">
        <f t="shared" si="81"/>
        <v>-</v>
      </c>
      <c r="J276" s="142" t="str">
        <f t="shared" si="81"/>
        <v>-</v>
      </c>
      <c r="K276" s="142">
        <f t="shared" si="81"/>
        <v>7</v>
      </c>
      <c r="L276" s="142">
        <f t="shared" si="81"/>
        <v>10</v>
      </c>
      <c r="M276" s="142">
        <f t="shared" si="81"/>
        <v>50</v>
      </c>
      <c r="N276" s="142">
        <f t="shared" si="81"/>
        <v>67</v>
      </c>
      <c r="P276" s="142">
        <f t="shared" si="79"/>
        <v>0</v>
      </c>
      <c r="Q276" s="142">
        <f t="shared" si="79"/>
        <v>0</v>
      </c>
      <c r="R276" s="142">
        <f t="shared" si="79"/>
        <v>1</v>
      </c>
      <c r="S276" s="142">
        <f t="shared" si="79"/>
        <v>14</v>
      </c>
      <c r="T276" s="142">
        <f t="shared" si="79"/>
        <v>0</v>
      </c>
      <c r="U276" s="142">
        <f t="shared" si="79"/>
        <v>15</v>
      </c>
    </row>
    <row r="277" spans="1:21" ht="12" customHeight="1">
      <c r="B277" s="142"/>
      <c r="C277" s="142"/>
      <c r="D277" s="142"/>
      <c r="E277" s="142"/>
      <c r="F277" s="142"/>
      <c r="G277" s="142"/>
    </row>
    <row r="278" spans="1:21" ht="12" customHeight="1">
      <c r="A278" s="94" t="s">
        <v>60</v>
      </c>
      <c r="B278" s="142"/>
      <c r="C278" s="142"/>
      <c r="D278" s="142"/>
      <c r="E278" s="142"/>
      <c r="F278" s="142"/>
      <c r="G278" s="142"/>
    </row>
    <row r="279" spans="1:21" ht="12" customHeight="1">
      <c r="A279" s="99" t="s">
        <v>24</v>
      </c>
      <c r="B279" s="142">
        <f>AVERAGE(B59:B63)</f>
        <v>1879.4</v>
      </c>
      <c r="C279" s="142">
        <f>AVERAGE(C59:C63)</f>
        <v>257.33333333333331</v>
      </c>
      <c r="D279" s="142">
        <f>AVERAGE(D59:D63)</f>
        <v>4971.25</v>
      </c>
      <c r="E279" s="142">
        <f>AVERAGE(E59:E63)</f>
        <v>1312.75</v>
      </c>
      <c r="F279" s="142" t="s">
        <v>23</v>
      </c>
      <c r="G279" s="142">
        <f>AVERAGE(G59:G63)</f>
        <v>7061</v>
      </c>
      <c r="I279" s="142" t="s">
        <v>23</v>
      </c>
      <c r="J279" s="142" t="s">
        <v>23</v>
      </c>
      <c r="K279" s="142">
        <f>AVERAGE(K59:K63)</f>
        <v>29609.75</v>
      </c>
      <c r="L279" s="142">
        <f>AVERAGE(L59:L63)</f>
        <v>8819.5</v>
      </c>
      <c r="M279" s="142" t="s">
        <v>23</v>
      </c>
      <c r="N279" s="142">
        <f>AVERAGE(N59:N63)</f>
        <v>34019.5</v>
      </c>
      <c r="P279" s="142">
        <f>AVERAGE(P59:P63)</f>
        <v>39.333333333333336</v>
      </c>
      <c r="Q279" s="142" t="s">
        <v>23</v>
      </c>
      <c r="R279" s="142">
        <f>AVERAGE(R59:R63)</f>
        <v>7150</v>
      </c>
      <c r="S279" s="142">
        <f>AVERAGE(S59:S63)</f>
        <v>15725</v>
      </c>
      <c r="T279" s="142" t="s">
        <v>23</v>
      </c>
      <c r="U279" s="142">
        <f>AVERAGE(U59:U63)</f>
        <v>22914.333333333332</v>
      </c>
    </row>
    <row r="280" spans="1:21" ht="12" customHeight="1">
      <c r="A280" s="99" t="s">
        <v>78</v>
      </c>
      <c r="B280" s="142">
        <f t="shared" ref="B280:G280" si="82">AVERAGE(B64:B68)</f>
        <v>3225.25</v>
      </c>
      <c r="C280" s="142">
        <f t="shared" si="82"/>
        <v>2241</v>
      </c>
      <c r="D280" s="142">
        <f t="shared" si="82"/>
        <v>40</v>
      </c>
      <c r="E280" s="142">
        <f t="shared" si="82"/>
        <v>526.66666666666663</v>
      </c>
      <c r="F280" s="142">
        <f t="shared" si="82"/>
        <v>11</v>
      </c>
      <c r="G280" s="142">
        <f t="shared" si="82"/>
        <v>4251</v>
      </c>
      <c r="I280" s="142" t="s">
        <v>23</v>
      </c>
      <c r="J280" s="142" t="s">
        <v>23</v>
      </c>
      <c r="K280" s="142">
        <f>AVERAGE(K64:K68)</f>
        <v>350</v>
      </c>
      <c r="L280" s="142">
        <f>AVERAGE(L64:L68)</f>
        <v>5397</v>
      </c>
      <c r="M280" s="142">
        <f>AVERAGE(M64:M68)</f>
        <v>16</v>
      </c>
      <c r="N280" s="142">
        <f>AVERAGE(N64:N68)</f>
        <v>4139.25</v>
      </c>
      <c r="P280" s="142">
        <f>AVERAGE(P64:P68)</f>
        <v>0</v>
      </c>
      <c r="Q280" s="142" t="s">
        <v>23</v>
      </c>
      <c r="R280" s="142">
        <f>AVERAGE(R64:R68)</f>
        <v>728</v>
      </c>
      <c r="S280" s="142">
        <f>AVERAGE(S64:S68)</f>
        <v>0</v>
      </c>
      <c r="T280" s="142" t="s">
        <v>23</v>
      </c>
      <c r="U280" s="142">
        <f>AVERAGE(U64:U68)</f>
        <v>364</v>
      </c>
    </row>
    <row r="281" spans="1:21" ht="12" customHeight="1">
      <c r="A281" s="99" t="s">
        <v>10</v>
      </c>
      <c r="B281" s="142">
        <f t="shared" ref="B281:G281" si="83">AVERAGE(B69:B73)</f>
        <v>920.66666666666663</v>
      </c>
      <c r="C281" s="142">
        <f t="shared" si="83"/>
        <v>1020.3333333333334</v>
      </c>
      <c r="D281" s="142">
        <f t="shared" si="83"/>
        <v>734</v>
      </c>
      <c r="E281" s="142">
        <f t="shared" si="83"/>
        <v>335</v>
      </c>
      <c r="F281" s="142">
        <f t="shared" si="83"/>
        <v>11</v>
      </c>
      <c r="G281" s="142">
        <f t="shared" si="83"/>
        <v>2769</v>
      </c>
      <c r="I281" s="142" t="s">
        <v>23</v>
      </c>
      <c r="J281" s="142" t="s">
        <v>23</v>
      </c>
      <c r="K281" s="142">
        <f>AVERAGE(K69:K73)</f>
        <v>1773</v>
      </c>
      <c r="L281" s="142">
        <f>AVERAGE(L69:L73)</f>
        <v>1465</v>
      </c>
      <c r="M281" s="142">
        <f>AVERAGE(M69:M73)</f>
        <v>1049.5</v>
      </c>
      <c r="N281" s="142">
        <f>AVERAGE(N69:N73)</f>
        <v>2876.25</v>
      </c>
      <c r="P281" s="142">
        <f t="shared" ref="P281:U281" si="84">AVERAGE(P69:P73)</f>
        <v>0</v>
      </c>
      <c r="Q281" s="142">
        <f t="shared" si="84"/>
        <v>0</v>
      </c>
      <c r="R281" s="142">
        <f t="shared" si="84"/>
        <v>20</v>
      </c>
      <c r="S281" s="142">
        <f t="shared" si="84"/>
        <v>1735.6666666666667</v>
      </c>
      <c r="T281" s="142">
        <f t="shared" si="84"/>
        <v>46</v>
      </c>
      <c r="U281" s="142">
        <f t="shared" si="84"/>
        <v>1773</v>
      </c>
    </row>
    <row r="282" spans="1:21" ht="12" customHeight="1">
      <c r="A282" s="99" t="s">
        <v>144</v>
      </c>
      <c r="B282" s="142">
        <f>AVERAGE(B74:B78)</f>
        <v>965.5</v>
      </c>
      <c r="C282" s="142">
        <f>AVERAGE(C74:C78)</f>
        <v>415.75</v>
      </c>
      <c r="D282" s="142">
        <f>AVERAGE(D74:D78)</f>
        <v>336</v>
      </c>
      <c r="E282" s="142">
        <f>AVERAGE(E74:E78)</f>
        <v>150</v>
      </c>
      <c r="F282" s="142" t="s">
        <v>23</v>
      </c>
      <c r="G282" s="142">
        <f>AVERAGE(G74:G78)</f>
        <v>1502.75</v>
      </c>
      <c r="I282" s="142" t="s">
        <v>23</v>
      </c>
      <c r="J282" s="142" t="s">
        <v>23</v>
      </c>
      <c r="K282" s="142">
        <f>AVERAGE(K74:K78)</f>
        <v>140</v>
      </c>
      <c r="L282" s="142">
        <f>AVERAGE(L74:L78)</f>
        <v>546.5</v>
      </c>
      <c r="M282" s="142">
        <f>AVERAGE(M74:M78)</f>
        <v>328</v>
      </c>
      <c r="N282" s="142">
        <f>AVERAGE(N74:N78)</f>
        <v>850.5</v>
      </c>
      <c r="P282" s="142">
        <f t="shared" ref="P282:U282" si="85">AVERAGE(P74:P78)</f>
        <v>0</v>
      </c>
      <c r="Q282" s="142">
        <f t="shared" si="85"/>
        <v>0</v>
      </c>
      <c r="R282" s="142">
        <f t="shared" si="85"/>
        <v>0</v>
      </c>
      <c r="S282" s="142">
        <f t="shared" si="85"/>
        <v>13</v>
      </c>
      <c r="T282" s="142">
        <f t="shared" si="85"/>
        <v>0</v>
      </c>
      <c r="U282" s="142">
        <f t="shared" si="85"/>
        <v>6.5</v>
      </c>
    </row>
    <row r="283" spans="1:21" ht="12" customHeight="1">
      <c r="A283" s="99" t="s">
        <v>166</v>
      </c>
      <c r="B283" s="142">
        <f t="shared" ref="B283:G283" si="86">AVERAGE(B79:B83)</f>
        <v>796.6</v>
      </c>
      <c r="C283" s="142">
        <f t="shared" si="86"/>
        <v>337.6</v>
      </c>
      <c r="D283" s="142">
        <f t="shared" si="86"/>
        <v>1798</v>
      </c>
      <c r="E283" s="142">
        <f t="shared" si="86"/>
        <v>1847.75</v>
      </c>
      <c r="F283" s="142">
        <f t="shared" si="86"/>
        <v>175.5</v>
      </c>
      <c r="G283" s="142">
        <f t="shared" si="86"/>
        <v>4480.6000000000004</v>
      </c>
      <c r="I283" s="142" t="str">
        <f>+I79</f>
        <v>-</v>
      </c>
      <c r="J283" s="142" t="str">
        <f>+J79</f>
        <v>-</v>
      </c>
      <c r="K283" s="142">
        <f>AVERAGE(K79:K83)</f>
        <v>744.5</v>
      </c>
      <c r="L283" s="142">
        <f>AVERAGE(L79:L83)</f>
        <v>955.66666666666663</v>
      </c>
      <c r="M283" s="142">
        <f>AVERAGE(M79:M83)</f>
        <v>186.5</v>
      </c>
      <c r="N283" s="142">
        <f>AVERAGE(N79:N83)</f>
        <v>1554.5</v>
      </c>
      <c r="P283" s="142">
        <f t="shared" ref="P283:U283" si="87">AVERAGE(P79:P83)</f>
        <v>1.3333333333333333</v>
      </c>
      <c r="Q283" s="142">
        <f t="shared" si="87"/>
        <v>0</v>
      </c>
      <c r="R283" s="142">
        <f t="shared" si="87"/>
        <v>21</v>
      </c>
      <c r="S283" s="142">
        <f t="shared" si="87"/>
        <v>18</v>
      </c>
      <c r="T283" s="142">
        <f t="shared" si="87"/>
        <v>10</v>
      </c>
      <c r="U283" s="142">
        <f t="shared" si="87"/>
        <v>37.666666666666664</v>
      </c>
    </row>
    <row r="284" spans="1:21" ht="12" customHeight="1">
      <c r="A284" s="99" t="s">
        <v>315</v>
      </c>
      <c r="B284" s="142">
        <f>AVERAGE(B84:B88)</f>
        <v>877.6</v>
      </c>
      <c r="C284" s="142">
        <f t="shared" ref="C284:G284" si="88">AVERAGE(C84:C88)</f>
        <v>1743.4</v>
      </c>
      <c r="D284" s="142">
        <f t="shared" si="88"/>
        <v>887.8</v>
      </c>
      <c r="E284" s="142">
        <f t="shared" si="88"/>
        <v>978.8</v>
      </c>
      <c r="F284" s="142">
        <f t="shared" si="88"/>
        <v>279.39999999999998</v>
      </c>
      <c r="G284" s="142">
        <f t="shared" si="88"/>
        <v>4767</v>
      </c>
      <c r="I284" s="142" t="str">
        <f>I84</f>
        <v>-</v>
      </c>
      <c r="J284" s="142" t="str">
        <f>J84</f>
        <v>-</v>
      </c>
      <c r="K284" s="142">
        <f t="shared" ref="K284:U284" si="89">AVERAGE(K84:K88)</f>
        <v>735.2</v>
      </c>
      <c r="L284" s="142">
        <f t="shared" si="89"/>
        <v>1015.4</v>
      </c>
      <c r="M284" s="142">
        <f t="shared" si="89"/>
        <v>192</v>
      </c>
      <c r="N284" s="142">
        <f t="shared" si="89"/>
        <v>1942.6</v>
      </c>
      <c r="P284" s="142">
        <f t="shared" si="89"/>
        <v>0</v>
      </c>
      <c r="Q284" s="142">
        <f t="shared" si="89"/>
        <v>10.5</v>
      </c>
      <c r="R284" s="142">
        <f t="shared" si="89"/>
        <v>91.5</v>
      </c>
      <c r="S284" s="142">
        <f t="shared" si="89"/>
        <v>17</v>
      </c>
      <c r="T284" s="142">
        <f t="shared" si="89"/>
        <v>0.5</v>
      </c>
      <c r="U284" s="142">
        <f t="shared" si="89"/>
        <v>119.5</v>
      </c>
    </row>
    <row r="285" spans="1:21" ht="12" customHeight="1">
      <c r="A285" s="99">
        <v>2011</v>
      </c>
      <c r="B285" s="142">
        <f t="shared" ref="B285:G293" si="90">+B89</f>
        <v>2700</v>
      </c>
      <c r="C285" s="142">
        <f t="shared" si="90"/>
        <v>4075</v>
      </c>
      <c r="D285" s="142">
        <f t="shared" si="90"/>
        <v>2683</v>
      </c>
      <c r="E285" s="142">
        <f t="shared" si="90"/>
        <v>781</v>
      </c>
      <c r="F285" s="142">
        <f t="shared" si="90"/>
        <v>179</v>
      </c>
      <c r="G285" s="142">
        <f t="shared" si="90"/>
        <v>10418</v>
      </c>
      <c r="I285" s="142" t="str">
        <f t="shared" ref="I285:N293" si="91">+I89</f>
        <v>-</v>
      </c>
      <c r="J285" s="142" t="str">
        <f t="shared" si="91"/>
        <v>-</v>
      </c>
      <c r="K285" s="142">
        <f t="shared" si="91"/>
        <v>574</v>
      </c>
      <c r="L285" s="142">
        <f t="shared" si="91"/>
        <v>436</v>
      </c>
      <c r="M285" s="142">
        <f t="shared" si="91"/>
        <v>157</v>
      </c>
      <c r="N285" s="142">
        <f t="shared" si="91"/>
        <v>1167</v>
      </c>
      <c r="P285" s="142">
        <f t="shared" ref="P285:U285" si="92">+P89</f>
        <v>0</v>
      </c>
      <c r="Q285" s="142">
        <f t="shared" si="92"/>
        <v>2</v>
      </c>
      <c r="R285" s="142">
        <f t="shared" si="92"/>
        <v>58</v>
      </c>
      <c r="S285" s="142">
        <f t="shared" si="92"/>
        <v>37</v>
      </c>
      <c r="T285" s="142">
        <f t="shared" si="92"/>
        <v>1</v>
      </c>
      <c r="U285" s="142">
        <f t="shared" si="92"/>
        <v>98</v>
      </c>
    </row>
    <row r="286" spans="1:21" ht="12" customHeight="1">
      <c r="A286" s="99">
        <v>2012</v>
      </c>
      <c r="B286" s="142">
        <f t="shared" si="90"/>
        <v>4242</v>
      </c>
      <c r="C286" s="142">
        <f t="shared" si="90"/>
        <v>4341</v>
      </c>
      <c r="D286" s="142">
        <f t="shared" si="90"/>
        <v>3524</v>
      </c>
      <c r="E286" s="142">
        <f t="shared" si="90"/>
        <v>5868</v>
      </c>
      <c r="F286" s="142">
        <f t="shared" si="90"/>
        <v>1747</v>
      </c>
      <c r="G286" s="142">
        <f t="shared" si="90"/>
        <v>19722</v>
      </c>
      <c r="I286" s="142" t="str">
        <f t="shared" si="91"/>
        <v>-</v>
      </c>
      <c r="J286" s="142" t="str">
        <f t="shared" si="91"/>
        <v>-</v>
      </c>
      <c r="K286" s="142">
        <f t="shared" si="91"/>
        <v>256</v>
      </c>
      <c r="L286" s="142">
        <f t="shared" si="91"/>
        <v>839</v>
      </c>
      <c r="M286" s="142">
        <f t="shared" si="91"/>
        <v>1024</v>
      </c>
      <c r="N286" s="142">
        <f t="shared" si="91"/>
        <v>2119</v>
      </c>
    </row>
    <row r="287" spans="1:21" ht="12" customHeight="1">
      <c r="A287" s="99">
        <v>2013</v>
      </c>
      <c r="B287" s="142">
        <f t="shared" si="90"/>
        <v>4186</v>
      </c>
      <c r="C287" s="142" t="str">
        <f t="shared" si="90"/>
        <v>-</v>
      </c>
      <c r="D287" s="142">
        <f t="shared" si="90"/>
        <v>2396</v>
      </c>
      <c r="E287" s="142">
        <f t="shared" si="90"/>
        <v>1806</v>
      </c>
      <c r="F287" s="142" t="str">
        <f t="shared" si="90"/>
        <v>-</v>
      </c>
      <c r="G287" s="142">
        <f t="shared" si="90"/>
        <v>8388</v>
      </c>
      <c r="I287" s="142" t="str">
        <f t="shared" si="91"/>
        <v>-</v>
      </c>
      <c r="J287" s="142" t="str">
        <f t="shared" si="91"/>
        <v>-</v>
      </c>
      <c r="K287" s="142">
        <f t="shared" si="91"/>
        <v>1054</v>
      </c>
      <c r="L287" s="142">
        <f t="shared" si="91"/>
        <v>792</v>
      </c>
      <c r="M287" s="142" t="str">
        <f t="shared" si="91"/>
        <v>-</v>
      </c>
      <c r="N287" s="142">
        <f t="shared" si="91"/>
        <v>1846</v>
      </c>
      <c r="P287" s="142">
        <f t="shared" ref="P287:U287" si="93">+P91</f>
        <v>0</v>
      </c>
      <c r="Q287" s="142">
        <f t="shared" si="93"/>
        <v>0</v>
      </c>
      <c r="R287" s="142">
        <f t="shared" si="93"/>
        <v>93</v>
      </c>
      <c r="S287" s="142">
        <f t="shared" si="93"/>
        <v>6</v>
      </c>
      <c r="T287" s="142">
        <f t="shared" si="93"/>
        <v>0</v>
      </c>
      <c r="U287" s="142">
        <f t="shared" si="93"/>
        <v>99</v>
      </c>
    </row>
    <row r="288" spans="1:21" ht="12" customHeight="1">
      <c r="A288" s="99">
        <v>2014</v>
      </c>
      <c r="B288" s="142">
        <f t="shared" si="90"/>
        <v>7553</v>
      </c>
      <c r="C288" s="142">
        <f t="shared" si="90"/>
        <v>1217</v>
      </c>
      <c r="D288" s="142">
        <f t="shared" si="90"/>
        <v>3208</v>
      </c>
      <c r="E288" s="142">
        <f t="shared" si="90"/>
        <v>1672</v>
      </c>
      <c r="F288" s="142">
        <f t="shared" si="90"/>
        <v>201</v>
      </c>
      <c r="G288" s="142">
        <f t="shared" si="90"/>
        <v>13851</v>
      </c>
      <c r="I288" s="142" t="str">
        <f t="shared" si="91"/>
        <v>-</v>
      </c>
      <c r="J288" s="142" t="str">
        <f t="shared" si="91"/>
        <v>-</v>
      </c>
      <c r="K288" s="142">
        <f t="shared" si="91"/>
        <v>1149</v>
      </c>
      <c r="L288" s="142">
        <f t="shared" si="91"/>
        <v>3069</v>
      </c>
      <c r="M288" s="142">
        <f t="shared" si="91"/>
        <v>384</v>
      </c>
      <c r="N288" s="142">
        <f t="shared" si="91"/>
        <v>4602</v>
      </c>
      <c r="P288" s="59"/>
      <c r="Q288" s="59"/>
      <c r="R288" s="59"/>
      <c r="S288" s="59"/>
      <c r="T288" s="59"/>
      <c r="U288" s="59"/>
    </row>
    <row r="289" spans="1:21" ht="12" customHeight="1">
      <c r="A289" s="122">
        <v>2015</v>
      </c>
      <c r="B289" s="142">
        <f t="shared" si="90"/>
        <v>4288</v>
      </c>
      <c r="C289" s="142" t="str">
        <f t="shared" si="90"/>
        <v>-</v>
      </c>
      <c r="D289" s="142">
        <f t="shared" si="90"/>
        <v>4292</v>
      </c>
      <c r="E289" s="142">
        <f t="shared" si="90"/>
        <v>3619</v>
      </c>
      <c r="F289" s="142">
        <f t="shared" si="90"/>
        <v>981</v>
      </c>
      <c r="G289" s="142">
        <f t="shared" si="90"/>
        <v>13180</v>
      </c>
      <c r="I289" s="142" t="str">
        <f t="shared" si="91"/>
        <v>-</v>
      </c>
      <c r="J289" s="142" t="str">
        <f t="shared" si="91"/>
        <v>-</v>
      </c>
      <c r="K289" s="142">
        <f t="shared" si="91"/>
        <v>133</v>
      </c>
      <c r="L289" s="142">
        <f t="shared" si="91"/>
        <v>114</v>
      </c>
      <c r="M289" s="142">
        <f t="shared" si="91"/>
        <v>62</v>
      </c>
      <c r="N289" s="142">
        <f t="shared" si="91"/>
        <v>309</v>
      </c>
      <c r="P289" s="142">
        <f t="shared" ref="P289:U289" si="94">+P93</f>
        <v>0</v>
      </c>
      <c r="Q289" s="142">
        <f t="shared" si="94"/>
        <v>0</v>
      </c>
      <c r="R289" s="142">
        <f t="shared" si="94"/>
        <v>36</v>
      </c>
      <c r="S289" s="142">
        <f t="shared" si="94"/>
        <v>0</v>
      </c>
      <c r="T289" s="142">
        <f t="shared" si="94"/>
        <v>0</v>
      </c>
      <c r="U289" s="142">
        <f t="shared" si="94"/>
        <v>36</v>
      </c>
    </row>
    <row r="290" spans="1:21" ht="12" customHeight="1">
      <c r="A290" s="122">
        <v>2016</v>
      </c>
      <c r="B290" s="142">
        <f t="shared" si="90"/>
        <v>2228</v>
      </c>
      <c r="C290" s="142">
        <f t="shared" si="90"/>
        <v>551</v>
      </c>
      <c r="D290" s="142">
        <f t="shared" si="90"/>
        <v>1305</v>
      </c>
      <c r="E290" s="142">
        <f t="shared" si="90"/>
        <v>89</v>
      </c>
      <c r="F290" s="142" t="str">
        <f t="shared" si="90"/>
        <v>-</v>
      </c>
      <c r="G290" s="142">
        <f t="shared" si="90"/>
        <v>4173</v>
      </c>
      <c r="I290" s="142" t="str">
        <f t="shared" si="91"/>
        <v>-</v>
      </c>
      <c r="J290" s="142" t="str">
        <f t="shared" si="91"/>
        <v>-</v>
      </c>
      <c r="K290" s="142" t="str">
        <f t="shared" si="91"/>
        <v>-</v>
      </c>
      <c r="L290" s="142" t="str">
        <f t="shared" si="91"/>
        <v>-</v>
      </c>
      <c r="M290" s="142" t="str">
        <f t="shared" si="91"/>
        <v>-</v>
      </c>
      <c r="N290" s="142" t="str">
        <f t="shared" si="91"/>
        <v>-</v>
      </c>
    </row>
    <row r="291" spans="1:21" ht="12" customHeight="1">
      <c r="A291" s="122">
        <v>2017</v>
      </c>
      <c r="B291" s="142">
        <f t="shared" si="90"/>
        <v>2112</v>
      </c>
      <c r="C291" s="142">
        <f t="shared" si="90"/>
        <v>780</v>
      </c>
      <c r="D291" s="142">
        <f t="shared" si="90"/>
        <v>308</v>
      </c>
      <c r="E291" s="142">
        <f t="shared" si="90"/>
        <v>1275</v>
      </c>
      <c r="F291" s="142">
        <f t="shared" si="90"/>
        <v>356</v>
      </c>
      <c r="G291" s="142">
        <f t="shared" si="90"/>
        <v>4831</v>
      </c>
      <c r="I291" s="142" t="str">
        <f t="shared" si="91"/>
        <v>-</v>
      </c>
      <c r="J291" s="142" t="str">
        <f t="shared" si="91"/>
        <v>-</v>
      </c>
      <c r="K291" s="142">
        <f t="shared" si="91"/>
        <v>34</v>
      </c>
      <c r="L291" s="142">
        <f t="shared" si="91"/>
        <v>228</v>
      </c>
      <c r="M291" s="142">
        <f t="shared" si="91"/>
        <v>140</v>
      </c>
      <c r="N291" s="142">
        <f t="shared" si="91"/>
        <v>402</v>
      </c>
      <c r="P291" s="142">
        <f t="shared" ref="P291:U291" si="95">+P95</f>
        <v>0</v>
      </c>
      <c r="Q291" s="142">
        <f t="shared" si="95"/>
        <v>0</v>
      </c>
      <c r="R291" s="142">
        <f t="shared" si="95"/>
        <v>0</v>
      </c>
      <c r="S291" s="142">
        <f t="shared" si="95"/>
        <v>2</v>
      </c>
      <c r="T291" s="142">
        <f t="shared" si="95"/>
        <v>0</v>
      </c>
      <c r="U291" s="142">
        <f t="shared" si="95"/>
        <v>2</v>
      </c>
    </row>
    <row r="292" spans="1:21" ht="12" customHeight="1">
      <c r="A292" s="122">
        <v>2018</v>
      </c>
      <c r="B292" s="142">
        <f t="shared" si="90"/>
        <v>1174</v>
      </c>
      <c r="C292" s="142">
        <f t="shared" si="90"/>
        <v>94</v>
      </c>
      <c r="D292" s="142">
        <f t="shared" si="90"/>
        <v>297</v>
      </c>
      <c r="E292" s="142">
        <f t="shared" si="90"/>
        <v>1119</v>
      </c>
      <c r="F292" s="142">
        <f t="shared" si="90"/>
        <v>524</v>
      </c>
      <c r="G292" s="142">
        <f t="shared" si="90"/>
        <v>3208</v>
      </c>
      <c r="I292" s="142" t="str">
        <f t="shared" si="91"/>
        <v>-</v>
      </c>
      <c r="J292" s="142" t="str">
        <f t="shared" si="91"/>
        <v>-</v>
      </c>
      <c r="K292" s="142">
        <f t="shared" si="91"/>
        <v>41</v>
      </c>
      <c r="L292" s="142">
        <f t="shared" si="91"/>
        <v>181</v>
      </c>
      <c r="M292" s="142">
        <f t="shared" si="91"/>
        <v>266</v>
      </c>
      <c r="N292" s="142">
        <f t="shared" si="91"/>
        <v>488</v>
      </c>
    </row>
    <row r="293" spans="1:21" ht="12" customHeight="1">
      <c r="A293" s="122">
        <v>2019</v>
      </c>
      <c r="B293" s="142">
        <f t="shared" si="90"/>
        <v>529</v>
      </c>
      <c r="C293" s="142">
        <f t="shared" si="90"/>
        <v>61</v>
      </c>
      <c r="D293" s="142">
        <f t="shared" si="90"/>
        <v>1838</v>
      </c>
      <c r="E293" s="142">
        <f t="shared" si="90"/>
        <v>2373</v>
      </c>
      <c r="F293" s="142">
        <f t="shared" si="90"/>
        <v>1584</v>
      </c>
      <c r="G293" s="142">
        <f t="shared" si="90"/>
        <v>6385</v>
      </c>
      <c r="I293" s="142" t="str">
        <f t="shared" si="91"/>
        <v>-</v>
      </c>
      <c r="J293" s="142" t="str">
        <f t="shared" si="91"/>
        <v>-</v>
      </c>
      <c r="K293" s="142">
        <f t="shared" si="91"/>
        <v>313</v>
      </c>
      <c r="L293" s="142">
        <f t="shared" si="91"/>
        <v>633</v>
      </c>
      <c r="M293" s="142">
        <f t="shared" si="91"/>
        <v>344</v>
      </c>
      <c r="N293" s="142">
        <f t="shared" si="91"/>
        <v>1290</v>
      </c>
      <c r="P293" s="142">
        <f t="shared" ref="P293:U295" si="96">+P97</f>
        <v>0</v>
      </c>
      <c r="Q293" s="142">
        <f t="shared" si="96"/>
        <v>0</v>
      </c>
      <c r="R293" s="142">
        <f t="shared" si="96"/>
        <v>230</v>
      </c>
      <c r="S293" s="142">
        <f t="shared" si="96"/>
        <v>0</v>
      </c>
      <c r="T293" s="142">
        <f t="shared" si="96"/>
        <v>0</v>
      </c>
      <c r="U293" s="142">
        <f t="shared" si="96"/>
        <v>230</v>
      </c>
    </row>
    <row r="294" spans="1:21" ht="12" customHeight="1">
      <c r="A294" s="122">
        <v>2020</v>
      </c>
      <c r="B294" s="142">
        <f t="shared" ref="B294:G295" si="97">+B98</f>
        <v>207</v>
      </c>
      <c r="C294" s="142">
        <f t="shared" si="97"/>
        <v>535</v>
      </c>
      <c r="D294" s="142">
        <f t="shared" si="97"/>
        <v>2386</v>
      </c>
      <c r="E294" s="142">
        <f t="shared" si="97"/>
        <v>1402</v>
      </c>
      <c r="F294" s="142">
        <f t="shared" si="97"/>
        <v>117</v>
      </c>
      <c r="G294" s="142">
        <f t="shared" si="97"/>
        <v>4647</v>
      </c>
      <c r="I294" s="142" t="str">
        <f t="shared" ref="I294:N295" si="98">+I98</f>
        <v>-</v>
      </c>
      <c r="J294" s="142" t="str">
        <f t="shared" si="98"/>
        <v>-</v>
      </c>
      <c r="K294" s="142">
        <f t="shared" si="98"/>
        <v>29</v>
      </c>
      <c r="L294" s="142">
        <f t="shared" si="98"/>
        <v>126</v>
      </c>
      <c r="M294" s="142">
        <f t="shared" si="98"/>
        <v>49</v>
      </c>
      <c r="N294" s="142">
        <f t="shared" si="98"/>
        <v>204</v>
      </c>
    </row>
    <row r="295" spans="1:21" ht="12" customHeight="1">
      <c r="A295" s="122" t="s">
        <v>318</v>
      </c>
      <c r="B295" s="142">
        <f t="shared" si="97"/>
        <v>410</v>
      </c>
      <c r="C295" s="142">
        <f t="shared" si="97"/>
        <v>232</v>
      </c>
      <c r="D295" s="142">
        <f t="shared" si="97"/>
        <v>978</v>
      </c>
      <c r="E295" s="142">
        <f t="shared" si="97"/>
        <v>1314</v>
      </c>
      <c r="F295" s="142">
        <f t="shared" si="97"/>
        <v>321</v>
      </c>
      <c r="G295" s="142">
        <f t="shared" si="97"/>
        <v>3255</v>
      </c>
      <c r="I295" s="142" t="str">
        <f t="shared" si="98"/>
        <v>-</v>
      </c>
      <c r="J295" s="142" t="str">
        <f t="shared" si="98"/>
        <v>-</v>
      </c>
      <c r="K295" s="142">
        <f t="shared" si="98"/>
        <v>61</v>
      </c>
      <c r="L295" s="142">
        <f t="shared" si="98"/>
        <v>235</v>
      </c>
      <c r="M295" s="142">
        <f t="shared" si="98"/>
        <v>121</v>
      </c>
      <c r="N295" s="142">
        <f t="shared" si="98"/>
        <v>417</v>
      </c>
      <c r="P295" s="142">
        <f t="shared" si="96"/>
        <v>0</v>
      </c>
      <c r="Q295" s="142">
        <f t="shared" si="96"/>
        <v>0</v>
      </c>
      <c r="R295" s="142">
        <f t="shared" si="96"/>
        <v>1</v>
      </c>
      <c r="S295" s="142">
        <f t="shared" si="96"/>
        <v>15</v>
      </c>
      <c r="T295" s="142">
        <f t="shared" si="96"/>
        <v>0</v>
      </c>
      <c r="U295" s="142">
        <f t="shared" si="96"/>
        <v>16</v>
      </c>
    </row>
    <row r="296" spans="1:21" ht="12" customHeight="1">
      <c r="B296" s="142"/>
      <c r="C296" s="142"/>
      <c r="D296" s="142"/>
      <c r="E296" s="142"/>
      <c r="F296" s="142"/>
      <c r="G296" s="142"/>
      <c r="P296" s="59"/>
      <c r="Q296" s="59"/>
      <c r="R296" s="59"/>
      <c r="S296" s="59"/>
      <c r="T296" s="59"/>
      <c r="U296" s="59"/>
    </row>
    <row r="297" spans="1:21" ht="12" customHeight="1">
      <c r="A297" s="328" t="s">
        <v>260</v>
      </c>
      <c r="B297" s="328"/>
      <c r="C297" s="328"/>
      <c r="D297" s="328"/>
      <c r="E297" s="328"/>
      <c r="F297" s="328"/>
      <c r="G297" s="328"/>
      <c r="H297" s="328"/>
      <c r="I297" s="328"/>
      <c r="J297" s="328"/>
      <c r="K297" s="328"/>
      <c r="L297" s="328"/>
      <c r="M297" s="328"/>
      <c r="N297" s="328"/>
      <c r="O297" s="328"/>
      <c r="P297" s="328"/>
      <c r="Q297" s="328"/>
      <c r="R297" s="328"/>
      <c r="S297" s="328"/>
      <c r="T297" s="328"/>
      <c r="U297" s="328"/>
    </row>
    <row r="298" spans="1:21" ht="12.75" customHeight="1">
      <c r="A298" s="2" t="s">
        <v>27</v>
      </c>
      <c r="B298" s="230" t="s">
        <v>29</v>
      </c>
      <c r="C298" s="230" t="s">
        <v>30</v>
      </c>
      <c r="D298" s="230" t="s">
        <v>31</v>
      </c>
      <c r="E298" s="230" t="s">
        <v>32</v>
      </c>
      <c r="F298" s="141" t="s">
        <v>251</v>
      </c>
      <c r="G298" s="230" t="s">
        <v>22</v>
      </c>
      <c r="H298" s="230"/>
      <c r="I298" s="196" t="s">
        <v>29</v>
      </c>
      <c r="J298" s="196" t="s">
        <v>30</v>
      </c>
      <c r="K298" s="196" t="s">
        <v>31</v>
      </c>
      <c r="L298" s="196" t="s">
        <v>32</v>
      </c>
      <c r="M298" s="141" t="s">
        <v>251</v>
      </c>
      <c r="N298" s="196" t="s">
        <v>22</v>
      </c>
      <c r="O298" s="196"/>
      <c r="P298" s="196" t="s">
        <v>29</v>
      </c>
      <c r="Q298" s="196" t="s">
        <v>30</v>
      </c>
      <c r="R298" s="196" t="s">
        <v>31</v>
      </c>
      <c r="S298" s="196" t="s">
        <v>32</v>
      </c>
      <c r="T298" s="141" t="s">
        <v>251</v>
      </c>
      <c r="U298" s="196" t="s">
        <v>22</v>
      </c>
    </row>
    <row r="299" spans="1:21" ht="12" customHeight="1">
      <c r="A299" s="94"/>
      <c r="B299" s="335" t="s">
        <v>61</v>
      </c>
      <c r="C299" s="335"/>
      <c r="D299" s="335"/>
      <c r="E299" s="335"/>
      <c r="F299" s="335"/>
      <c r="G299" s="335"/>
      <c r="H299" s="27"/>
      <c r="I299" s="336" t="s">
        <v>62</v>
      </c>
      <c r="J299" s="336"/>
      <c r="K299" s="336"/>
      <c r="L299" s="336"/>
      <c r="M299" s="336"/>
      <c r="N299" s="336"/>
      <c r="O299" s="14"/>
      <c r="P299" s="336" t="s">
        <v>112</v>
      </c>
      <c r="Q299" s="336"/>
      <c r="R299" s="336"/>
      <c r="S299" s="336"/>
      <c r="T299" s="336"/>
      <c r="U299" s="336"/>
    </row>
    <row r="300" spans="1:21" ht="12" customHeight="1">
      <c r="A300" s="94" t="s">
        <v>58</v>
      </c>
      <c r="B300" s="142"/>
      <c r="C300" s="142"/>
      <c r="D300" s="142"/>
      <c r="E300" s="142"/>
      <c r="F300" s="142"/>
      <c r="G300" s="142"/>
    </row>
    <row r="301" spans="1:21" ht="12" customHeight="1">
      <c r="A301" s="99" t="s">
        <v>24</v>
      </c>
      <c r="B301" s="142">
        <f>AVERAGE(B107:B111)</f>
        <v>20022.400000000001</v>
      </c>
      <c r="C301" s="142">
        <f t="shared" ref="C301:U301" si="99">AVERAGE(C107:C111)</f>
        <v>2849.5</v>
      </c>
      <c r="D301" s="142">
        <f t="shared" si="99"/>
        <v>13121</v>
      </c>
      <c r="E301" s="142">
        <f t="shared" si="99"/>
        <v>3661</v>
      </c>
      <c r="F301" s="142" t="s">
        <v>23</v>
      </c>
      <c r="G301" s="142">
        <f t="shared" si="99"/>
        <v>34995.4</v>
      </c>
      <c r="I301" s="142" t="s">
        <v>23</v>
      </c>
      <c r="J301" s="142" t="s">
        <v>23</v>
      </c>
      <c r="K301" s="142">
        <f t="shared" si="99"/>
        <v>55366.25</v>
      </c>
      <c r="L301" s="142">
        <f t="shared" si="99"/>
        <v>11021.666666666666</v>
      </c>
      <c r="M301" s="142" t="s">
        <v>23</v>
      </c>
      <c r="N301" s="142">
        <f>AVERAGE(N107:N111)</f>
        <v>63632.5</v>
      </c>
      <c r="P301" s="142">
        <f t="shared" si="99"/>
        <v>77.666666666666671</v>
      </c>
      <c r="Q301" s="142">
        <f t="shared" si="99"/>
        <v>20</v>
      </c>
      <c r="R301" s="142">
        <f t="shared" si="99"/>
        <v>4975.666666666667</v>
      </c>
      <c r="S301" s="142">
        <f t="shared" si="99"/>
        <v>3773</v>
      </c>
      <c r="T301" s="142" t="s">
        <v>23</v>
      </c>
      <c r="U301" s="142">
        <f t="shared" si="99"/>
        <v>7588.666666666667</v>
      </c>
    </row>
    <row r="302" spans="1:21" ht="12" customHeight="1">
      <c r="A302" s="99" t="s">
        <v>78</v>
      </c>
      <c r="B302" s="142">
        <f>AVERAGE(B112:B116)</f>
        <v>17975.599999999999</v>
      </c>
      <c r="C302" s="142">
        <f>AVERAGE(C112:C116)</f>
        <v>6478</v>
      </c>
      <c r="D302" s="142">
        <f>AVERAGE(D112:D116)</f>
        <v>17639</v>
      </c>
      <c r="E302" s="142">
        <f>AVERAGE(E112:E116)</f>
        <v>1488.5</v>
      </c>
      <c r="F302" s="142" t="s">
        <v>23</v>
      </c>
      <c r="G302" s="142">
        <f>AVERAGE(G112:G116)</f>
        <v>27281.200000000001</v>
      </c>
      <c r="I302" s="142" t="s">
        <v>23</v>
      </c>
      <c r="J302" s="142" t="s">
        <v>23</v>
      </c>
      <c r="K302" s="142">
        <f>AVERAGE(K112:K116)</f>
        <v>34992</v>
      </c>
      <c r="L302" s="142">
        <f>AVERAGE(L112:L116)</f>
        <v>9156.6666666666661</v>
      </c>
      <c r="M302" s="142" t="s">
        <v>23</v>
      </c>
      <c r="N302" s="142">
        <f>AVERAGE(N112:N116)</f>
        <v>15615.5</v>
      </c>
      <c r="P302" s="142">
        <f>AVERAGE(P112:P116)</f>
        <v>114.5</v>
      </c>
      <c r="Q302" s="142">
        <f>AVERAGE(Q112:Q116)</f>
        <v>182</v>
      </c>
      <c r="R302" s="142">
        <f>AVERAGE(R112:R116)</f>
        <v>390</v>
      </c>
      <c r="S302" s="142">
        <f>AVERAGE(S112:S116)</f>
        <v>23</v>
      </c>
      <c r="T302" s="142" t="s">
        <v>23</v>
      </c>
      <c r="U302" s="142">
        <f>AVERAGE(U112:U116)</f>
        <v>412</v>
      </c>
    </row>
    <row r="303" spans="1:21" ht="12" customHeight="1">
      <c r="A303" s="99" t="s">
        <v>10</v>
      </c>
      <c r="B303" s="142">
        <f t="shared" ref="B303:G303" si="100">AVERAGE(B117:B121)</f>
        <v>6118.333333333333</v>
      </c>
      <c r="C303" s="142">
        <f t="shared" si="100"/>
        <v>5160</v>
      </c>
      <c r="D303" s="142">
        <f t="shared" si="100"/>
        <v>1806.5</v>
      </c>
      <c r="E303" s="142">
        <f t="shared" si="100"/>
        <v>1207</v>
      </c>
      <c r="F303" s="142">
        <f t="shared" si="100"/>
        <v>929</v>
      </c>
      <c r="G303" s="142">
        <f t="shared" si="100"/>
        <v>13906.666666666666</v>
      </c>
      <c r="I303" s="142" t="s">
        <v>23</v>
      </c>
      <c r="J303" s="142" t="s">
        <v>23</v>
      </c>
      <c r="K303" s="142">
        <f>AVERAGE(K117:K121)</f>
        <v>1968</v>
      </c>
      <c r="L303" s="142">
        <f>AVERAGE(L117:L121)</f>
        <v>3363.6666666666665</v>
      </c>
      <c r="M303" s="142">
        <f>AVERAGE(M117:M121)</f>
        <v>6020</v>
      </c>
      <c r="N303" s="142">
        <f>AVERAGE(N117:N121)</f>
        <v>8689</v>
      </c>
      <c r="P303" s="142">
        <f t="shared" ref="P303:U303" si="101">AVERAGE(P117:P121)</f>
        <v>1.5</v>
      </c>
      <c r="Q303" s="142">
        <f t="shared" si="101"/>
        <v>0.5</v>
      </c>
      <c r="R303" s="142">
        <f t="shared" si="101"/>
        <v>4</v>
      </c>
      <c r="S303" s="142">
        <f t="shared" si="101"/>
        <v>6</v>
      </c>
      <c r="T303" s="142">
        <f t="shared" si="101"/>
        <v>4</v>
      </c>
      <c r="U303" s="142">
        <f t="shared" si="101"/>
        <v>11</v>
      </c>
    </row>
    <row r="304" spans="1:21" ht="12" customHeight="1">
      <c r="A304" s="99" t="s">
        <v>144</v>
      </c>
      <c r="B304" s="142">
        <f t="shared" ref="B304:G304" si="102">AVERAGE(B122:B126)</f>
        <v>393.75</v>
      </c>
      <c r="C304" s="142">
        <f t="shared" si="102"/>
        <v>558.75</v>
      </c>
      <c r="D304" s="142">
        <f t="shared" si="102"/>
        <v>266</v>
      </c>
      <c r="E304" s="142">
        <f t="shared" si="102"/>
        <v>619</v>
      </c>
      <c r="F304" s="142">
        <f t="shared" si="102"/>
        <v>3</v>
      </c>
      <c r="G304" s="142">
        <f t="shared" si="102"/>
        <v>1329.25</v>
      </c>
      <c r="I304" s="142" t="s">
        <v>23</v>
      </c>
      <c r="J304" s="142" t="s">
        <v>23</v>
      </c>
      <c r="K304" s="142">
        <f>AVERAGE(K122:K126)</f>
        <v>768.5</v>
      </c>
      <c r="L304" s="142">
        <f>AVERAGE(L122:L126)</f>
        <v>1855.3333333333333</v>
      </c>
      <c r="M304" s="142">
        <f>AVERAGE(M122:M126)</f>
        <v>29</v>
      </c>
      <c r="N304" s="142">
        <f>AVERAGE(N122:N126)</f>
        <v>2387</v>
      </c>
      <c r="P304" s="142">
        <f t="shared" ref="P304:U304" si="103">AVERAGE(P122:P126)</f>
        <v>0</v>
      </c>
      <c r="Q304" s="142">
        <f t="shared" si="103"/>
        <v>1</v>
      </c>
      <c r="R304" s="142">
        <f t="shared" si="103"/>
        <v>1</v>
      </c>
      <c r="S304" s="142">
        <f t="shared" si="103"/>
        <v>0</v>
      </c>
      <c r="T304" s="142">
        <f t="shared" si="103"/>
        <v>0</v>
      </c>
      <c r="U304" s="142">
        <f t="shared" si="103"/>
        <v>1.5</v>
      </c>
    </row>
    <row r="305" spans="1:21" ht="12" customHeight="1">
      <c r="A305" s="99" t="s">
        <v>166</v>
      </c>
      <c r="B305" s="142">
        <f t="shared" ref="B305:G305" si="104">AVERAGE(B127:B131)</f>
        <v>7893.6</v>
      </c>
      <c r="C305" s="142">
        <f t="shared" si="104"/>
        <v>3243.2</v>
      </c>
      <c r="D305" s="142">
        <f t="shared" si="104"/>
        <v>3496.6</v>
      </c>
      <c r="E305" s="142">
        <f t="shared" si="104"/>
        <v>2336</v>
      </c>
      <c r="F305" s="142">
        <f t="shared" si="104"/>
        <v>474.66666666666669</v>
      </c>
      <c r="G305" s="142">
        <f t="shared" si="104"/>
        <v>17254.2</v>
      </c>
      <c r="I305" s="142" t="str">
        <f>+I127</f>
        <v>-</v>
      </c>
      <c r="J305" s="142" t="str">
        <f>+J127</f>
        <v>-</v>
      </c>
      <c r="K305" s="142">
        <f>AVERAGE(K127:K131)</f>
        <v>695.75</v>
      </c>
      <c r="L305" s="142">
        <f>AVERAGE(L127:L131)</f>
        <v>1083</v>
      </c>
      <c r="M305" s="142">
        <f>AVERAGE(M127:M131)</f>
        <v>2667.3333333333335</v>
      </c>
      <c r="N305" s="142">
        <f>AVERAGE(N127:N131)</f>
        <v>3240</v>
      </c>
      <c r="P305" s="142">
        <f t="shared" ref="P305:U305" si="105">AVERAGE(P127:P131)</f>
        <v>0</v>
      </c>
      <c r="Q305" s="142">
        <f t="shared" si="105"/>
        <v>0.33333333333333331</v>
      </c>
      <c r="R305" s="142">
        <f t="shared" si="105"/>
        <v>15.666666666666666</v>
      </c>
      <c r="S305" s="142">
        <f t="shared" si="105"/>
        <v>2</v>
      </c>
      <c r="T305" s="142">
        <f t="shared" si="105"/>
        <v>0</v>
      </c>
      <c r="U305" s="142">
        <f t="shared" si="105"/>
        <v>18</v>
      </c>
    </row>
    <row r="306" spans="1:21" ht="12" customHeight="1">
      <c r="A306" s="99" t="s">
        <v>315</v>
      </c>
      <c r="B306" s="142">
        <f>AVERAGE(B132:B136)</f>
        <v>3210.4</v>
      </c>
      <c r="C306" s="142">
        <f t="shared" ref="C306:G306" si="106">AVERAGE(C132:C136)</f>
        <v>5077</v>
      </c>
      <c r="D306" s="142">
        <f t="shared" si="106"/>
        <v>1641.4</v>
      </c>
      <c r="E306" s="142">
        <f t="shared" si="106"/>
        <v>1471.8</v>
      </c>
      <c r="F306" s="142">
        <f t="shared" si="106"/>
        <v>128.19999999999999</v>
      </c>
      <c r="G306" s="142">
        <f t="shared" si="106"/>
        <v>11528.8</v>
      </c>
      <c r="I306" s="142" t="str">
        <f>I132</f>
        <v>-</v>
      </c>
      <c r="J306" s="142" t="str">
        <f>J132</f>
        <v>-</v>
      </c>
      <c r="K306" s="142">
        <f t="shared" ref="K306:U306" si="107">AVERAGE(K132:K136)</f>
        <v>800.2</v>
      </c>
      <c r="L306" s="142">
        <f t="shared" si="107"/>
        <v>1478.2</v>
      </c>
      <c r="M306" s="142">
        <f t="shared" si="107"/>
        <v>684.8</v>
      </c>
      <c r="N306" s="142">
        <f t="shared" si="107"/>
        <v>2963.2</v>
      </c>
      <c r="P306" s="142">
        <f t="shared" si="107"/>
        <v>0</v>
      </c>
      <c r="Q306" s="142">
        <f t="shared" si="107"/>
        <v>2</v>
      </c>
      <c r="R306" s="142">
        <f t="shared" si="107"/>
        <v>1</v>
      </c>
      <c r="S306" s="142">
        <f t="shared" si="107"/>
        <v>2</v>
      </c>
      <c r="T306" s="142">
        <f t="shared" si="107"/>
        <v>0</v>
      </c>
      <c r="U306" s="142">
        <f t="shared" si="107"/>
        <v>5</v>
      </c>
    </row>
    <row r="307" spans="1:21" ht="12" customHeight="1">
      <c r="A307" s="99">
        <v>2011</v>
      </c>
      <c r="B307" s="142">
        <f t="shared" ref="B307:G315" si="108">+B137</f>
        <v>2960</v>
      </c>
      <c r="C307" s="142">
        <f t="shared" si="108"/>
        <v>4727</v>
      </c>
      <c r="D307" s="142">
        <f t="shared" si="108"/>
        <v>3056</v>
      </c>
      <c r="E307" s="142">
        <f t="shared" si="108"/>
        <v>1709</v>
      </c>
      <c r="F307" s="142">
        <f t="shared" si="108"/>
        <v>66</v>
      </c>
      <c r="G307" s="142">
        <f t="shared" si="108"/>
        <v>12518</v>
      </c>
      <c r="I307" s="142" t="str">
        <f t="shared" ref="I307:N315" si="109">+I137</f>
        <v>-</v>
      </c>
      <c r="J307" s="142" t="str">
        <f t="shared" si="109"/>
        <v>-</v>
      </c>
      <c r="K307" s="142">
        <f t="shared" si="109"/>
        <v>1055</v>
      </c>
      <c r="L307" s="142">
        <f t="shared" si="109"/>
        <v>456</v>
      </c>
      <c r="M307" s="142">
        <f t="shared" si="109"/>
        <v>197</v>
      </c>
      <c r="N307" s="142">
        <f t="shared" si="109"/>
        <v>1708</v>
      </c>
      <c r="P307" s="142">
        <f t="shared" ref="P307:U307" si="110">+P137</f>
        <v>0</v>
      </c>
      <c r="Q307" s="142">
        <f t="shared" si="110"/>
        <v>1</v>
      </c>
      <c r="R307" s="142">
        <f t="shared" si="110"/>
        <v>53</v>
      </c>
      <c r="S307" s="142">
        <f t="shared" si="110"/>
        <v>56</v>
      </c>
      <c r="T307" s="142">
        <f t="shared" si="110"/>
        <v>0</v>
      </c>
      <c r="U307" s="142">
        <f t="shared" si="110"/>
        <v>110</v>
      </c>
    </row>
    <row r="308" spans="1:21" ht="12" customHeight="1">
      <c r="A308" s="99">
        <v>2012</v>
      </c>
      <c r="B308" s="142">
        <f t="shared" si="108"/>
        <v>1613</v>
      </c>
      <c r="C308" s="142">
        <f t="shared" si="108"/>
        <v>5242</v>
      </c>
      <c r="D308" s="142">
        <f t="shared" si="108"/>
        <v>1631</v>
      </c>
      <c r="E308" s="142">
        <f t="shared" si="108"/>
        <v>109</v>
      </c>
      <c r="F308" s="142">
        <f t="shared" si="108"/>
        <v>186</v>
      </c>
      <c r="G308" s="142">
        <f t="shared" si="108"/>
        <v>8781</v>
      </c>
      <c r="I308" s="142" t="str">
        <f t="shared" si="109"/>
        <v>-</v>
      </c>
      <c r="J308" s="142" t="str">
        <f t="shared" si="109"/>
        <v>-</v>
      </c>
      <c r="K308" s="142">
        <f t="shared" si="109"/>
        <v>490</v>
      </c>
      <c r="L308" s="142">
        <f t="shared" si="109"/>
        <v>152</v>
      </c>
      <c r="M308" s="142">
        <f t="shared" si="109"/>
        <v>214</v>
      </c>
      <c r="N308" s="142">
        <f t="shared" si="109"/>
        <v>856</v>
      </c>
    </row>
    <row r="309" spans="1:21" ht="12" customHeight="1">
      <c r="A309" s="99">
        <v>2013</v>
      </c>
      <c r="B309" s="142">
        <f t="shared" si="108"/>
        <v>2317</v>
      </c>
      <c r="C309" s="142">
        <f t="shared" si="108"/>
        <v>11848</v>
      </c>
      <c r="D309" s="142">
        <f t="shared" si="108"/>
        <v>3520</v>
      </c>
      <c r="E309" s="142">
        <f t="shared" si="108"/>
        <v>6796</v>
      </c>
      <c r="F309" s="142">
        <f t="shared" si="108"/>
        <v>690</v>
      </c>
      <c r="G309" s="142">
        <f t="shared" si="108"/>
        <v>25171</v>
      </c>
      <c r="I309" s="142" t="str">
        <f t="shared" si="109"/>
        <v>-</v>
      </c>
      <c r="J309" s="142" t="str">
        <f t="shared" si="109"/>
        <v>-</v>
      </c>
      <c r="K309" s="142">
        <f t="shared" si="109"/>
        <v>559</v>
      </c>
      <c r="L309" s="142">
        <f t="shared" si="109"/>
        <v>2942</v>
      </c>
      <c r="M309" s="142">
        <f t="shared" si="109"/>
        <v>258</v>
      </c>
      <c r="N309" s="142">
        <f t="shared" si="109"/>
        <v>3759</v>
      </c>
      <c r="P309" s="142">
        <f t="shared" ref="P309:U309" si="111">+P139</f>
        <v>0</v>
      </c>
      <c r="Q309" s="142">
        <f t="shared" si="111"/>
        <v>0</v>
      </c>
      <c r="R309" s="142">
        <f t="shared" si="111"/>
        <v>6</v>
      </c>
      <c r="S309" s="142">
        <f t="shared" si="111"/>
        <v>8</v>
      </c>
      <c r="T309" s="142">
        <f t="shared" si="111"/>
        <v>1</v>
      </c>
      <c r="U309" s="142">
        <f t="shared" si="111"/>
        <v>15</v>
      </c>
    </row>
    <row r="310" spans="1:21" ht="12" customHeight="1">
      <c r="A310" s="99">
        <v>2014</v>
      </c>
      <c r="B310" s="142">
        <f t="shared" si="108"/>
        <v>2160</v>
      </c>
      <c r="C310" s="142">
        <f t="shared" si="108"/>
        <v>1313</v>
      </c>
      <c r="D310" s="142">
        <f t="shared" si="108"/>
        <v>4722</v>
      </c>
      <c r="E310" s="142">
        <f t="shared" si="108"/>
        <v>3936</v>
      </c>
      <c r="F310" s="142">
        <f t="shared" si="108"/>
        <v>419</v>
      </c>
      <c r="G310" s="142">
        <f t="shared" si="108"/>
        <v>12550</v>
      </c>
      <c r="I310" s="142" t="str">
        <f t="shared" si="109"/>
        <v>-</v>
      </c>
      <c r="J310" s="142" t="str">
        <f t="shared" si="109"/>
        <v>-</v>
      </c>
      <c r="K310" s="142">
        <f t="shared" si="109"/>
        <v>1739</v>
      </c>
      <c r="L310" s="142">
        <f t="shared" si="109"/>
        <v>2959</v>
      </c>
      <c r="M310" s="142">
        <f t="shared" si="109"/>
        <v>3827</v>
      </c>
      <c r="N310" s="142">
        <f t="shared" si="109"/>
        <v>8525</v>
      </c>
      <c r="P310" s="59"/>
      <c r="Q310" s="59"/>
      <c r="R310" s="59"/>
      <c r="S310" s="59"/>
      <c r="T310" s="59"/>
      <c r="U310" s="59"/>
    </row>
    <row r="311" spans="1:21" ht="12" customHeight="1">
      <c r="A311" s="122">
        <v>2015</v>
      </c>
      <c r="B311" s="142">
        <f t="shared" si="108"/>
        <v>5360</v>
      </c>
      <c r="C311" s="142">
        <f t="shared" si="108"/>
        <v>13569</v>
      </c>
      <c r="D311" s="142">
        <f t="shared" si="108"/>
        <v>7916</v>
      </c>
      <c r="E311" s="142">
        <f t="shared" si="108"/>
        <v>6108</v>
      </c>
      <c r="F311" s="142">
        <f t="shared" si="108"/>
        <v>457</v>
      </c>
      <c r="G311" s="142">
        <f t="shared" si="108"/>
        <v>33410</v>
      </c>
      <c r="I311" s="142" t="str">
        <f t="shared" si="109"/>
        <v>-</v>
      </c>
      <c r="J311" s="142" t="str">
        <f t="shared" si="109"/>
        <v>-</v>
      </c>
      <c r="K311" s="142">
        <f t="shared" si="109"/>
        <v>539</v>
      </c>
      <c r="L311" s="142">
        <f t="shared" si="109"/>
        <v>871</v>
      </c>
      <c r="M311" s="142">
        <f t="shared" si="109"/>
        <v>429</v>
      </c>
      <c r="N311" s="142">
        <f t="shared" si="109"/>
        <v>1839</v>
      </c>
      <c r="P311" s="142">
        <f t="shared" ref="P311:U311" si="112">+P141</f>
        <v>1</v>
      </c>
      <c r="Q311" s="142">
        <f t="shared" si="112"/>
        <v>0</v>
      </c>
      <c r="R311" s="142">
        <f t="shared" si="112"/>
        <v>11</v>
      </c>
      <c r="S311" s="142">
        <f t="shared" si="112"/>
        <v>0</v>
      </c>
      <c r="T311" s="142">
        <f t="shared" si="112"/>
        <v>0</v>
      </c>
      <c r="U311" s="142">
        <f t="shared" si="112"/>
        <v>12</v>
      </c>
    </row>
    <row r="312" spans="1:21" ht="12" customHeight="1">
      <c r="A312" s="122">
        <v>2016</v>
      </c>
      <c r="B312" s="142">
        <f t="shared" si="108"/>
        <v>3258</v>
      </c>
      <c r="C312" s="142">
        <f t="shared" si="108"/>
        <v>2619</v>
      </c>
      <c r="D312" s="142">
        <f t="shared" si="108"/>
        <v>1981</v>
      </c>
      <c r="E312" s="142">
        <f t="shared" si="108"/>
        <v>1866</v>
      </c>
      <c r="F312" s="142" t="str">
        <f t="shared" si="108"/>
        <v>-</v>
      </c>
      <c r="G312" s="142">
        <f t="shared" si="108"/>
        <v>9724</v>
      </c>
      <c r="I312" s="142" t="str">
        <f t="shared" si="109"/>
        <v>-</v>
      </c>
      <c r="J312" s="142" t="str">
        <f t="shared" si="109"/>
        <v>-</v>
      </c>
      <c r="K312" s="142" t="str">
        <f t="shared" si="109"/>
        <v>-</v>
      </c>
      <c r="L312" s="142" t="str">
        <f t="shared" si="109"/>
        <v>-</v>
      </c>
      <c r="M312" s="142" t="str">
        <f t="shared" si="109"/>
        <v>-</v>
      </c>
      <c r="N312" s="142" t="str">
        <f t="shared" si="109"/>
        <v>-</v>
      </c>
    </row>
    <row r="313" spans="1:21" ht="12" customHeight="1">
      <c r="A313" s="122">
        <v>2017</v>
      </c>
      <c r="B313" s="142">
        <f t="shared" si="108"/>
        <v>10793</v>
      </c>
      <c r="C313" s="142">
        <f t="shared" si="108"/>
        <v>6092</v>
      </c>
      <c r="D313" s="142">
        <f t="shared" si="108"/>
        <v>2340</v>
      </c>
      <c r="E313" s="142">
        <f t="shared" si="108"/>
        <v>1852</v>
      </c>
      <c r="F313" s="142">
        <f t="shared" si="108"/>
        <v>100</v>
      </c>
      <c r="G313" s="142">
        <f t="shared" si="108"/>
        <v>21177</v>
      </c>
      <c r="I313" s="142" t="str">
        <f t="shared" si="109"/>
        <v>-</v>
      </c>
      <c r="J313" s="142" t="str">
        <f t="shared" si="109"/>
        <v>-</v>
      </c>
      <c r="K313" s="142">
        <f t="shared" si="109"/>
        <v>134</v>
      </c>
      <c r="L313" s="142">
        <f t="shared" si="109"/>
        <v>309</v>
      </c>
      <c r="M313" s="142">
        <f t="shared" si="109"/>
        <v>81</v>
      </c>
      <c r="N313" s="142">
        <f t="shared" si="109"/>
        <v>524</v>
      </c>
      <c r="P313" s="142">
        <f t="shared" ref="P313:U313" si="113">+P143</f>
        <v>0</v>
      </c>
      <c r="Q313" s="142">
        <f t="shared" si="113"/>
        <v>0</v>
      </c>
      <c r="R313" s="142">
        <f t="shared" si="113"/>
        <v>0</v>
      </c>
      <c r="S313" s="142">
        <f t="shared" si="113"/>
        <v>0</v>
      </c>
      <c r="T313" s="142">
        <f t="shared" si="113"/>
        <v>0</v>
      </c>
      <c r="U313" s="142">
        <f t="shared" si="113"/>
        <v>0</v>
      </c>
    </row>
    <row r="314" spans="1:21" ht="12" customHeight="1">
      <c r="A314" s="122">
        <v>2018</v>
      </c>
      <c r="B314" s="142">
        <f t="shared" si="108"/>
        <v>2682</v>
      </c>
      <c r="C314" s="142">
        <f t="shared" si="108"/>
        <v>7518</v>
      </c>
      <c r="D314" s="142">
        <f t="shared" si="108"/>
        <v>2457</v>
      </c>
      <c r="E314" s="142">
        <f t="shared" si="108"/>
        <v>281</v>
      </c>
      <c r="F314" s="142">
        <f t="shared" si="108"/>
        <v>3</v>
      </c>
      <c r="G314" s="142">
        <f t="shared" si="108"/>
        <v>12941</v>
      </c>
      <c r="I314" s="142" t="str">
        <f t="shared" si="109"/>
        <v>-</v>
      </c>
      <c r="J314" s="142" t="str">
        <f t="shared" si="109"/>
        <v>-</v>
      </c>
      <c r="K314" s="142">
        <f t="shared" si="109"/>
        <v>125</v>
      </c>
      <c r="L314" s="142">
        <f t="shared" si="109"/>
        <v>225</v>
      </c>
      <c r="M314" s="142">
        <f t="shared" si="109"/>
        <v>16</v>
      </c>
      <c r="N314" s="142">
        <f t="shared" si="109"/>
        <v>366</v>
      </c>
    </row>
    <row r="315" spans="1:21" ht="12" customHeight="1">
      <c r="A315" s="122">
        <v>2019</v>
      </c>
      <c r="B315" s="142">
        <f t="shared" si="108"/>
        <v>1803</v>
      </c>
      <c r="C315" s="142">
        <f t="shared" si="108"/>
        <v>341</v>
      </c>
      <c r="D315" s="142">
        <f t="shared" si="108"/>
        <v>65</v>
      </c>
      <c r="E315" s="142">
        <f t="shared" si="108"/>
        <v>49</v>
      </c>
      <c r="F315" s="142">
        <f t="shared" si="108"/>
        <v>81</v>
      </c>
      <c r="G315" s="142">
        <f t="shared" si="108"/>
        <v>2339</v>
      </c>
      <c r="I315" s="142" t="str">
        <f t="shared" si="109"/>
        <v>-</v>
      </c>
      <c r="J315" s="142" t="str">
        <f t="shared" si="109"/>
        <v>-</v>
      </c>
      <c r="K315" s="142">
        <f t="shared" si="109"/>
        <v>226</v>
      </c>
      <c r="L315" s="142">
        <f t="shared" si="109"/>
        <v>368</v>
      </c>
      <c r="M315" s="142">
        <f t="shared" si="109"/>
        <v>737</v>
      </c>
      <c r="N315" s="142">
        <f t="shared" si="109"/>
        <v>1331</v>
      </c>
      <c r="P315" s="142">
        <f t="shared" ref="P315:U317" si="114">+P145</f>
        <v>0</v>
      </c>
      <c r="Q315" s="142">
        <f t="shared" si="114"/>
        <v>0</v>
      </c>
      <c r="R315" s="142">
        <f t="shared" si="114"/>
        <v>23</v>
      </c>
      <c r="S315" s="142">
        <f t="shared" si="114"/>
        <v>0</v>
      </c>
      <c r="T315" s="142">
        <f t="shared" si="114"/>
        <v>0</v>
      </c>
      <c r="U315" s="142">
        <f t="shared" si="114"/>
        <v>23</v>
      </c>
    </row>
    <row r="316" spans="1:21" ht="12" customHeight="1">
      <c r="A316" s="122">
        <v>2020</v>
      </c>
      <c r="B316" s="142">
        <f t="shared" ref="B316:G317" si="115">+B146</f>
        <v>136</v>
      </c>
      <c r="C316" s="142">
        <f t="shared" si="115"/>
        <v>251</v>
      </c>
      <c r="D316" s="142">
        <f t="shared" si="115"/>
        <v>4191</v>
      </c>
      <c r="E316" s="142">
        <f t="shared" si="115"/>
        <v>1257</v>
      </c>
      <c r="F316" s="142">
        <f t="shared" si="115"/>
        <v>32</v>
      </c>
      <c r="G316" s="142">
        <f t="shared" si="115"/>
        <v>5867</v>
      </c>
      <c r="I316" s="142" t="str">
        <f t="shared" ref="I316:N317" si="116">+I146</f>
        <v>-</v>
      </c>
      <c r="J316" s="142" t="str">
        <f t="shared" si="116"/>
        <v>-</v>
      </c>
      <c r="K316" s="142">
        <f t="shared" si="116"/>
        <v>164</v>
      </c>
      <c r="L316" s="142">
        <f t="shared" si="116"/>
        <v>172</v>
      </c>
      <c r="M316" s="142">
        <f t="shared" si="116"/>
        <v>37</v>
      </c>
      <c r="N316" s="142">
        <f t="shared" si="116"/>
        <v>373</v>
      </c>
    </row>
    <row r="317" spans="1:21" ht="12" customHeight="1">
      <c r="A317" s="122" t="s">
        <v>318</v>
      </c>
      <c r="B317" s="142">
        <f t="shared" si="115"/>
        <v>1870</v>
      </c>
      <c r="C317" s="142">
        <f t="shared" si="115"/>
        <v>6612</v>
      </c>
      <c r="D317" s="142">
        <f t="shared" si="115"/>
        <v>4357</v>
      </c>
      <c r="E317" s="142">
        <f t="shared" si="115"/>
        <v>1751</v>
      </c>
      <c r="F317" s="142">
        <f t="shared" si="115"/>
        <v>154</v>
      </c>
      <c r="G317" s="142">
        <f t="shared" si="115"/>
        <v>14744</v>
      </c>
      <c r="I317" s="142" t="str">
        <f t="shared" si="116"/>
        <v>-</v>
      </c>
      <c r="J317" s="142" t="str">
        <f t="shared" si="116"/>
        <v>-</v>
      </c>
      <c r="K317" s="142">
        <f t="shared" si="116"/>
        <v>483</v>
      </c>
      <c r="L317" s="142">
        <f t="shared" si="116"/>
        <v>826</v>
      </c>
      <c r="M317" s="142">
        <f t="shared" si="116"/>
        <v>1454</v>
      </c>
      <c r="N317" s="142">
        <f t="shared" si="116"/>
        <v>2763</v>
      </c>
      <c r="P317" s="142">
        <f t="shared" si="114"/>
        <v>0</v>
      </c>
      <c r="Q317" s="142">
        <f t="shared" si="114"/>
        <v>0</v>
      </c>
      <c r="R317" s="142">
        <f t="shared" si="114"/>
        <v>2</v>
      </c>
      <c r="S317" s="142">
        <f t="shared" si="114"/>
        <v>0</v>
      </c>
      <c r="T317" s="142">
        <f t="shared" si="114"/>
        <v>0</v>
      </c>
      <c r="U317" s="142">
        <f t="shared" si="114"/>
        <v>2</v>
      </c>
    </row>
    <row r="318" spans="1:21" ht="12" customHeight="1">
      <c r="B318" s="142"/>
      <c r="C318" s="142"/>
      <c r="D318" s="142"/>
      <c r="E318" s="142"/>
      <c r="F318" s="142"/>
      <c r="G318" s="142"/>
    </row>
    <row r="319" spans="1:21" ht="12" customHeight="1">
      <c r="A319" s="94" t="s">
        <v>57</v>
      </c>
      <c r="B319" s="142"/>
      <c r="C319" s="142"/>
      <c r="D319" s="142"/>
      <c r="E319" s="142"/>
      <c r="F319" s="142"/>
      <c r="G319" s="142"/>
    </row>
    <row r="320" spans="1:21" ht="12" customHeight="1">
      <c r="A320" s="99" t="s">
        <v>24</v>
      </c>
      <c r="B320" s="142">
        <f t="shared" ref="B320:G320" si="117">AVERAGE(B155:B159)</f>
        <v>6463.6</v>
      </c>
      <c r="C320" s="142">
        <f t="shared" si="117"/>
        <v>1263.3333333333333</v>
      </c>
      <c r="D320" s="142">
        <f t="shared" si="117"/>
        <v>2308.6666666666665</v>
      </c>
      <c r="E320" s="142">
        <f t="shared" si="117"/>
        <v>602.5</v>
      </c>
      <c r="F320" s="142">
        <f t="shared" si="117"/>
        <v>418</v>
      </c>
      <c r="G320" s="142">
        <f t="shared" si="117"/>
        <v>9172.4</v>
      </c>
      <c r="I320" s="142" t="s">
        <v>23</v>
      </c>
      <c r="J320" s="142" t="s">
        <v>23</v>
      </c>
      <c r="K320" s="142">
        <f>AVERAGE(K155:K159)</f>
        <v>29800.666666666668</v>
      </c>
      <c r="L320" s="142">
        <f>AVERAGE(L155:L159)</f>
        <v>14414.75</v>
      </c>
      <c r="M320" s="142">
        <f>AVERAGE(M155:M159)</f>
        <v>13373</v>
      </c>
      <c r="N320" s="142">
        <f>AVERAGE(N155:N159)</f>
        <v>32086.799999999999</v>
      </c>
      <c r="P320" s="142">
        <f>AVERAGE(P155:P159)</f>
        <v>3.6666666666666665</v>
      </c>
      <c r="Q320" s="142" t="s">
        <v>23</v>
      </c>
      <c r="R320" s="142">
        <f>AVERAGE(R155:R159)</f>
        <v>931</v>
      </c>
      <c r="S320" s="142">
        <f>AVERAGE(S155:S159)</f>
        <v>647.33333333333337</v>
      </c>
      <c r="T320" s="142" t="s">
        <v>23</v>
      </c>
      <c r="U320" s="142">
        <f>AVERAGE(U155:U159)</f>
        <v>1271.6666666666667</v>
      </c>
    </row>
    <row r="321" spans="1:21" ht="12" customHeight="1">
      <c r="A321" s="99" t="s">
        <v>78</v>
      </c>
      <c r="B321" s="142">
        <f t="shared" ref="B321:G321" si="118">AVERAGE(B160:B164)</f>
        <v>2998</v>
      </c>
      <c r="C321" s="142">
        <f t="shared" si="118"/>
        <v>901</v>
      </c>
      <c r="D321" s="142">
        <f t="shared" si="118"/>
        <v>1324</v>
      </c>
      <c r="E321" s="142">
        <f t="shared" si="118"/>
        <v>1518.3333333333333</v>
      </c>
      <c r="F321" s="142">
        <f t="shared" si="118"/>
        <v>937</v>
      </c>
      <c r="G321" s="142">
        <f t="shared" si="118"/>
        <v>5089.2</v>
      </c>
      <c r="I321" s="142" t="s">
        <v>23</v>
      </c>
      <c r="J321" s="142" t="s">
        <v>23</v>
      </c>
      <c r="K321" s="142">
        <f>AVERAGE(K160:K164)</f>
        <v>10844</v>
      </c>
      <c r="L321" s="142">
        <f>AVERAGE(L160:L164)</f>
        <v>19387.666666666668</v>
      </c>
      <c r="M321" s="142">
        <f>AVERAGE(M160:M164)</f>
        <v>13025.5</v>
      </c>
      <c r="N321" s="142">
        <f>AVERAGE(N160:N164)</f>
        <v>23764.5</v>
      </c>
      <c r="P321" s="142">
        <f t="shared" ref="P321:U321" si="119">AVERAGE(P160:P164)</f>
        <v>0</v>
      </c>
      <c r="Q321" s="142">
        <f t="shared" si="119"/>
        <v>0</v>
      </c>
      <c r="R321" s="142">
        <f t="shared" si="119"/>
        <v>87</v>
      </c>
      <c r="S321" s="142">
        <f t="shared" si="119"/>
        <v>1</v>
      </c>
      <c r="T321" s="142">
        <f t="shared" si="119"/>
        <v>1</v>
      </c>
      <c r="U321" s="142">
        <f t="shared" si="119"/>
        <v>44.5</v>
      </c>
    </row>
    <row r="322" spans="1:21" ht="12" customHeight="1">
      <c r="A322" s="99" t="s">
        <v>10</v>
      </c>
      <c r="B322" s="142">
        <f t="shared" ref="B322:G322" si="120">AVERAGE(B165:B169)</f>
        <v>1146.6666666666667</v>
      </c>
      <c r="C322" s="142">
        <f t="shared" si="120"/>
        <v>35.666666666666664</v>
      </c>
      <c r="D322" s="142">
        <f t="shared" si="120"/>
        <v>56.5</v>
      </c>
      <c r="E322" s="142">
        <f t="shared" si="120"/>
        <v>156.33333333333334</v>
      </c>
      <c r="F322" s="142">
        <f t="shared" si="120"/>
        <v>14.5</v>
      </c>
      <c r="G322" s="142">
        <f t="shared" si="120"/>
        <v>1386</v>
      </c>
      <c r="I322" s="142" t="s">
        <v>23</v>
      </c>
      <c r="J322" s="142" t="s">
        <v>23</v>
      </c>
      <c r="K322" s="142">
        <f>AVERAGE(K165:K169)</f>
        <v>476.5</v>
      </c>
      <c r="L322" s="142">
        <f>AVERAGE(L165:L169)</f>
        <v>5019</v>
      </c>
      <c r="M322" s="142">
        <f>AVERAGE(M165:M169)</f>
        <v>930</v>
      </c>
      <c r="N322" s="142">
        <f>AVERAGE(N165:N169)</f>
        <v>5956.666666666667</v>
      </c>
      <c r="P322" s="142">
        <f t="shared" ref="P322:U322" si="121">AVERAGE(P165:P169)</f>
        <v>0</v>
      </c>
      <c r="Q322" s="142">
        <f t="shared" si="121"/>
        <v>0</v>
      </c>
      <c r="R322" s="142">
        <f t="shared" si="121"/>
        <v>0</v>
      </c>
      <c r="S322" s="142">
        <f t="shared" si="121"/>
        <v>29.5</v>
      </c>
      <c r="T322" s="142">
        <f t="shared" si="121"/>
        <v>0</v>
      </c>
      <c r="U322" s="142">
        <f t="shared" si="121"/>
        <v>29.5</v>
      </c>
    </row>
    <row r="323" spans="1:21" ht="12" customHeight="1">
      <c r="A323" s="99" t="s">
        <v>144</v>
      </c>
      <c r="B323" s="142">
        <f>AVERAGE(B170:B174)</f>
        <v>0</v>
      </c>
      <c r="C323" s="142">
        <f>AVERAGE(C170:C174)</f>
        <v>0</v>
      </c>
      <c r="D323" s="142" t="s">
        <v>23</v>
      </c>
      <c r="E323" s="142">
        <f>AVERAGE(E170:E174)</f>
        <v>513</v>
      </c>
      <c r="F323" s="142">
        <f>AVERAGE(F170:F174)</f>
        <v>40</v>
      </c>
      <c r="G323" s="142">
        <f>AVERAGE(G170:G174)</f>
        <v>184.33333333333334</v>
      </c>
      <c r="I323" s="142" t="s">
        <v>23</v>
      </c>
      <c r="J323" s="142" t="s">
        <v>23</v>
      </c>
      <c r="K323" s="142" t="s">
        <v>23</v>
      </c>
      <c r="L323" s="142">
        <f>AVERAGE(L170:L174)</f>
        <v>1220.5</v>
      </c>
      <c r="M323" s="142">
        <f>AVERAGE(M170:M174)</f>
        <v>385</v>
      </c>
      <c r="N323" s="142">
        <f>AVERAGE(N170:N174)</f>
        <v>1413</v>
      </c>
      <c r="P323" s="142">
        <f>AVERAGE(P170:P174)</f>
        <v>0</v>
      </c>
      <c r="Q323" s="142">
        <f>AVERAGE(Q170:Q174)</f>
        <v>0</v>
      </c>
      <c r="R323" s="142" t="s">
        <v>23</v>
      </c>
      <c r="S323" s="142" t="s">
        <v>23</v>
      </c>
      <c r="T323" s="142" t="s">
        <v>23</v>
      </c>
      <c r="U323" s="142">
        <f>AVERAGE(U170:U174)</f>
        <v>0</v>
      </c>
    </row>
    <row r="324" spans="1:21" ht="12" customHeight="1">
      <c r="A324" s="99" t="s">
        <v>166</v>
      </c>
      <c r="B324" s="142">
        <f t="shared" ref="B324:G324" si="122">AVERAGE(B175:B179)</f>
        <v>397.8</v>
      </c>
      <c r="C324" s="142">
        <f t="shared" si="122"/>
        <v>110.4</v>
      </c>
      <c r="D324" s="142">
        <f t="shared" si="122"/>
        <v>357.2</v>
      </c>
      <c r="E324" s="142">
        <f t="shared" si="122"/>
        <v>354.8</v>
      </c>
      <c r="F324" s="142">
        <f t="shared" si="122"/>
        <v>121</v>
      </c>
      <c r="G324" s="142">
        <f t="shared" si="122"/>
        <v>1292.8</v>
      </c>
      <c r="I324" s="142" t="str">
        <f>+I175</f>
        <v>-</v>
      </c>
      <c r="J324" s="142" t="str">
        <f>+J175</f>
        <v>-</v>
      </c>
      <c r="K324" s="142">
        <f>AVERAGE(K175:K179)</f>
        <v>277.5</v>
      </c>
      <c r="L324" s="142">
        <f>AVERAGE(L175:L179)</f>
        <v>405.2</v>
      </c>
      <c r="M324" s="142">
        <f>AVERAGE(M175:M179)</f>
        <v>502.33333333333331</v>
      </c>
      <c r="N324" s="142">
        <f>AVERAGE(N175:N179)</f>
        <v>928.6</v>
      </c>
      <c r="P324" s="142">
        <f t="shared" ref="P324:U324" si="123">AVERAGE(P175:P179)</f>
        <v>0</v>
      </c>
      <c r="Q324" s="142">
        <f t="shared" si="123"/>
        <v>0</v>
      </c>
      <c r="R324" s="142">
        <f t="shared" si="123"/>
        <v>11.333333333333334</v>
      </c>
      <c r="S324" s="142">
        <f t="shared" si="123"/>
        <v>1.3333333333333333</v>
      </c>
      <c r="T324" s="142">
        <f t="shared" si="123"/>
        <v>0</v>
      </c>
      <c r="U324" s="142">
        <f t="shared" si="123"/>
        <v>12.666666666666666</v>
      </c>
    </row>
    <row r="325" spans="1:21" ht="12" customHeight="1">
      <c r="A325" s="99" t="s">
        <v>315</v>
      </c>
      <c r="B325" s="142">
        <f>AVERAGE(B180:B184)</f>
        <v>527.20000000000005</v>
      </c>
      <c r="C325" s="142">
        <f t="shared" ref="C325:G325" si="124">AVERAGE(C180:C184)</f>
        <v>343.2</v>
      </c>
      <c r="D325" s="142">
        <f t="shared" si="124"/>
        <v>47.6</v>
      </c>
      <c r="E325" s="142">
        <f t="shared" si="124"/>
        <v>71.599999999999994</v>
      </c>
      <c r="F325" s="142">
        <f t="shared" si="124"/>
        <v>16.25</v>
      </c>
      <c r="G325" s="142">
        <f t="shared" si="124"/>
        <v>1002.6</v>
      </c>
      <c r="I325" s="142" t="str">
        <f>I180</f>
        <v>-</v>
      </c>
      <c r="J325" s="142" t="str">
        <f>J180</f>
        <v>-</v>
      </c>
      <c r="K325" s="142">
        <f t="shared" ref="K325:U325" si="125">AVERAGE(K180:K184)</f>
        <v>207</v>
      </c>
      <c r="L325" s="142">
        <f t="shared" si="125"/>
        <v>840</v>
      </c>
      <c r="M325" s="142">
        <f t="shared" si="125"/>
        <v>37.200000000000003</v>
      </c>
      <c r="N325" s="142">
        <f t="shared" si="125"/>
        <v>1084.2</v>
      </c>
      <c r="P325" s="142">
        <f t="shared" si="125"/>
        <v>0</v>
      </c>
      <c r="Q325" s="142">
        <f t="shared" si="125"/>
        <v>0</v>
      </c>
      <c r="R325" s="142">
        <f t="shared" si="125"/>
        <v>0</v>
      </c>
      <c r="S325" s="142">
        <f t="shared" si="125"/>
        <v>0</v>
      </c>
      <c r="T325" s="142">
        <f t="shared" si="125"/>
        <v>0</v>
      </c>
      <c r="U325" s="142">
        <f t="shared" si="125"/>
        <v>0</v>
      </c>
    </row>
    <row r="326" spans="1:21" ht="12" customHeight="1">
      <c r="A326" s="99">
        <v>2011</v>
      </c>
      <c r="B326" s="142">
        <f t="shared" ref="B326:G334" si="126">+B185</f>
        <v>472</v>
      </c>
      <c r="C326" s="142">
        <f t="shared" si="126"/>
        <v>543</v>
      </c>
      <c r="D326" s="142">
        <f t="shared" si="126"/>
        <v>1</v>
      </c>
      <c r="E326" s="142">
        <f t="shared" si="126"/>
        <v>12</v>
      </c>
      <c r="F326" s="142">
        <f t="shared" si="126"/>
        <v>4</v>
      </c>
      <c r="G326" s="142">
        <f t="shared" si="126"/>
        <v>1032</v>
      </c>
      <c r="I326" s="142" t="str">
        <f t="shared" ref="I326:N334" si="127">+I185</f>
        <v>-</v>
      </c>
      <c r="J326" s="142" t="str">
        <f t="shared" si="127"/>
        <v>-</v>
      </c>
      <c r="K326" s="142">
        <f t="shared" si="127"/>
        <v>1</v>
      </c>
      <c r="L326" s="142">
        <f t="shared" si="127"/>
        <v>25</v>
      </c>
      <c r="M326" s="142">
        <f t="shared" si="127"/>
        <v>12</v>
      </c>
      <c r="N326" s="142">
        <f t="shared" si="127"/>
        <v>38</v>
      </c>
      <c r="P326" s="142">
        <f t="shared" ref="P326:U326" si="128">+P185</f>
        <v>0</v>
      </c>
      <c r="Q326" s="142">
        <f t="shared" si="128"/>
        <v>0</v>
      </c>
      <c r="R326" s="142">
        <f t="shared" si="128"/>
        <v>0</v>
      </c>
      <c r="S326" s="142">
        <f t="shared" si="128"/>
        <v>0</v>
      </c>
      <c r="T326" s="142">
        <f t="shared" si="128"/>
        <v>0</v>
      </c>
      <c r="U326" s="142">
        <f t="shared" si="128"/>
        <v>0</v>
      </c>
    </row>
    <row r="327" spans="1:21" ht="12" customHeight="1">
      <c r="A327" s="99">
        <v>2012</v>
      </c>
      <c r="B327" s="142">
        <f t="shared" si="126"/>
        <v>263</v>
      </c>
      <c r="C327" s="142">
        <f t="shared" si="126"/>
        <v>1687</v>
      </c>
      <c r="D327" s="142">
        <f t="shared" si="126"/>
        <v>66</v>
      </c>
      <c r="E327" s="142">
        <f t="shared" si="126"/>
        <v>0</v>
      </c>
      <c r="F327" s="142">
        <f t="shared" si="126"/>
        <v>234</v>
      </c>
      <c r="G327" s="142">
        <f t="shared" si="126"/>
        <v>2250</v>
      </c>
      <c r="I327" s="142" t="str">
        <f t="shared" si="127"/>
        <v>-</v>
      </c>
      <c r="J327" s="142" t="str">
        <f t="shared" si="127"/>
        <v>-</v>
      </c>
      <c r="K327" s="142">
        <f t="shared" si="127"/>
        <v>23</v>
      </c>
      <c r="L327" s="142">
        <f t="shared" si="127"/>
        <v>2</v>
      </c>
      <c r="M327" s="142">
        <f t="shared" si="127"/>
        <v>64</v>
      </c>
      <c r="N327" s="142">
        <f t="shared" si="127"/>
        <v>89</v>
      </c>
    </row>
    <row r="328" spans="1:21" ht="12" customHeight="1">
      <c r="A328" s="99">
        <v>2013</v>
      </c>
      <c r="B328" s="142">
        <f t="shared" si="126"/>
        <v>102</v>
      </c>
      <c r="C328" s="142">
        <f t="shared" si="126"/>
        <v>358</v>
      </c>
      <c r="D328" s="142">
        <f t="shared" si="126"/>
        <v>42</v>
      </c>
      <c r="E328" s="142">
        <f t="shared" si="126"/>
        <v>19</v>
      </c>
      <c r="F328" s="142">
        <f t="shared" si="126"/>
        <v>39</v>
      </c>
      <c r="G328" s="142">
        <f t="shared" si="126"/>
        <v>560</v>
      </c>
      <c r="I328" s="142" t="str">
        <f t="shared" si="127"/>
        <v>-</v>
      </c>
      <c r="J328" s="142" t="str">
        <f t="shared" si="127"/>
        <v>-</v>
      </c>
      <c r="K328" s="142">
        <f t="shared" si="127"/>
        <v>28</v>
      </c>
      <c r="L328" s="142">
        <f t="shared" si="127"/>
        <v>80</v>
      </c>
      <c r="M328" s="142">
        <f t="shared" si="127"/>
        <v>19</v>
      </c>
      <c r="N328" s="142">
        <f t="shared" si="127"/>
        <v>127</v>
      </c>
      <c r="P328" s="142">
        <f t="shared" ref="P328:U328" si="129">+P187</f>
        <v>0</v>
      </c>
      <c r="Q328" s="142">
        <f t="shared" si="129"/>
        <v>0</v>
      </c>
      <c r="R328" s="142">
        <f t="shared" si="129"/>
        <v>0</v>
      </c>
      <c r="S328" s="142">
        <f t="shared" si="129"/>
        <v>0</v>
      </c>
      <c r="T328" s="142">
        <f t="shared" si="129"/>
        <v>0</v>
      </c>
      <c r="U328" s="142">
        <f t="shared" si="129"/>
        <v>0</v>
      </c>
    </row>
    <row r="329" spans="1:21" ht="12" customHeight="1">
      <c r="A329" s="99">
        <v>2014</v>
      </c>
      <c r="B329" s="142">
        <f t="shared" si="126"/>
        <v>7438</v>
      </c>
      <c r="C329" s="142">
        <f t="shared" si="126"/>
        <v>553</v>
      </c>
      <c r="D329" s="142">
        <f t="shared" si="126"/>
        <v>598</v>
      </c>
      <c r="E329" s="142">
        <f t="shared" si="126"/>
        <v>297</v>
      </c>
      <c r="F329" s="142">
        <f t="shared" si="126"/>
        <v>94</v>
      </c>
      <c r="G329" s="142">
        <f t="shared" si="126"/>
        <v>8980</v>
      </c>
      <c r="I329" s="142" t="str">
        <f t="shared" si="127"/>
        <v>-</v>
      </c>
      <c r="J329" s="142" t="str">
        <f t="shared" si="127"/>
        <v>-</v>
      </c>
      <c r="K329" s="142">
        <f t="shared" si="127"/>
        <v>534</v>
      </c>
      <c r="L329" s="142">
        <f t="shared" si="127"/>
        <v>822</v>
      </c>
      <c r="M329" s="142">
        <f t="shared" si="127"/>
        <v>883</v>
      </c>
      <c r="N329" s="142">
        <f t="shared" si="127"/>
        <v>2239</v>
      </c>
      <c r="P329" s="59"/>
      <c r="Q329" s="59"/>
      <c r="R329" s="59"/>
      <c r="S329" s="59"/>
      <c r="T329" s="59"/>
      <c r="U329" s="59"/>
    </row>
    <row r="330" spans="1:21" ht="12" customHeight="1">
      <c r="A330" s="122">
        <v>2015</v>
      </c>
      <c r="B330" s="142">
        <f t="shared" si="126"/>
        <v>2681</v>
      </c>
      <c r="C330" s="142">
        <f t="shared" si="126"/>
        <v>650</v>
      </c>
      <c r="D330" s="142">
        <f t="shared" si="126"/>
        <v>96</v>
      </c>
      <c r="E330" s="142">
        <f t="shared" si="126"/>
        <v>337</v>
      </c>
      <c r="F330" s="142">
        <f t="shared" si="126"/>
        <v>261</v>
      </c>
      <c r="G330" s="142">
        <f t="shared" si="126"/>
        <v>4025</v>
      </c>
      <c r="I330" s="142" t="str">
        <f t="shared" si="127"/>
        <v>-</v>
      </c>
      <c r="J330" s="142" t="str">
        <f t="shared" si="127"/>
        <v>-</v>
      </c>
      <c r="K330" s="142">
        <f t="shared" si="127"/>
        <v>41</v>
      </c>
      <c r="L330" s="142">
        <f t="shared" si="127"/>
        <v>171</v>
      </c>
      <c r="M330" s="142">
        <f t="shared" si="127"/>
        <v>478</v>
      </c>
      <c r="N330" s="142">
        <f t="shared" si="127"/>
        <v>690</v>
      </c>
      <c r="P330" s="142">
        <f t="shared" ref="P330:U330" si="130">+P189</f>
        <v>0</v>
      </c>
      <c r="Q330" s="142">
        <f t="shared" si="130"/>
        <v>0</v>
      </c>
      <c r="R330" s="142">
        <f t="shared" si="130"/>
        <v>0</v>
      </c>
      <c r="S330" s="142">
        <f t="shared" si="130"/>
        <v>0</v>
      </c>
      <c r="T330" s="142">
        <f t="shared" si="130"/>
        <v>0</v>
      </c>
      <c r="U330" s="142">
        <f t="shared" si="130"/>
        <v>0</v>
      </c>
    </row>
    <row r="331" spans="1:21" ht="12" customHeight="1">
      <c r="A331" s="122">
        <v>2016</v>
      </c>
      <c r="B331" s="142">
        <f t="shared" si="126"/>
        <v>656</v>
      </c>
      <c r="C331" s="142">
        <f t="shared" si="126"/>
        <v>346</v>
      </c>
      <c r="D331" s="142">
        <f t="shared" si="126"/>
        <v>259</v>
      </c>
      <c r="E331" s="142">
        <f t="shared" si="126"/>
        <v>398</v>
      </c>
      <c r="F331" s="142" t="str">
        <f t="shared" si="126"/>
        <v>-</v>
      </c>
      <c r="G331" s="142">
        <f t="shared" si="126"/>
        <v>1659</v>
      </c>
      <c r="I331" s="142" t="str">
        <f t="shared" si="127"/>
        <v>-</v>
      </c>
      <c r="J331" s="142" t="str">
        <f t="shared" si="127"/>
        <v>-</v>
      </c>
      <c r="K331" s="142" t="str">
        <f t="shared" si="127"/>
        <v>-</v>
      </c>
      <c r="L331" s="142" t="str">
        <f t="shared" si="127"/>
        <v>-</v>
      </c>
      <c r="M331" s="142" t="str">
        <f t="shared" si="127"/>
        <v>-</v>
      </c>
      <c r="N331" s="142" t="str">
        <f t="shared" si="127"/>
        <v>-</v>
      </c>
    </row>
    <row r="332" spans="1:21" ht="12" customHeight="1">
      <c r="A332" s="122">
        <v>2017</v>
      </c>
      <c r="B332" s="142">
        <f t="shared" si="126"/>
        <v>148</v>
      </c>
      <c r="C332" s="142">
        <f t="shared" si="126"/>
        <v>222</v>
      </c>
      <c r="D332" s="142">
        <f t="shared" si="126"/>
        <v>74</v>
      </c>
      <c r="E332" s="142">
        <f t="shared" si="126"/>
        <v>21</v>
      </c>
      <c r="F332" s="142">
        <f t="shared" si="126"/>
        <v>109</v>
      </c>
      <c r="G332" s="142">
        <f t="shared" si="126"/>
        <v>574</v>
      </c>
      <c r="I332" s="142" t="str">
        <f t="shared" si="127"/>
        <v>-</v>
      </c>
      <c r="J332" s="142" t="str">
        <f t="shared" si="127"/>
        <v>-</v>
      </c>
      <c r="K332" s="142">
        <f t="shared" si="127"/>
        <v>14</v>
      </c>
      <c r="L332" s="142">
        <f t="shared" si="127"/>
        <v>50</v>
      </c>
      <c r="M332" s="142">
        <f t="shared" si="127"/>
        <v>67</v>
      </c>
      <c r="N332" s="142">
        <f t="shared" si="127"/>
        <v>131</v>
      </c>
      <c r="P332" s="142">
        <f t="shared" ref="P332:U332" si="131">+P191</f>
        <v>0</v>
      </c>
      <c r="Q332" s="142">
        <f t="shared" si="131"/>
        <v>0</v>
      </c>
      <c r="R332" s="142">
        <f t="shared" si="131"/>
        <v>0</v>
      </c>
      <c r="S332" s="142">
        <f t="shared" si="131"/>
        <v>0</v>
      </c>
      <c r="T332" s="142">
        <f t="shared" si="131"/>
        <v>0</v>
      </c>
      <c r="U332" s="142">
        <f t="shared" si="131"/>
        <v>0</v>
      </c>
    </row>
    <row r="333" spans="1:21" ht="12" customHeight="1">
      <c r="A333" s="122">
        <v>2018</v>
      </c>
      <c r="B333" s="142">
        <f t="shared" si="126"/>
        <v>20</v>
      </c>
      <c r="C333" s="142">
        <f t="shared" si="126"/>
        <v>68</v>
      </c>
      <c r="D333" s="142">
        <f t="shared" si="126"/>
        <v>20</v>
      </c>
      <c r="E333" s="142">
        <f t="shared" si="126"/>
        <v>19</v>
      </c>
      <c r="F333" s="142">
        <f t="shared" si="126"/>
        <v>4</v>
      </c>
      <c r="G333" s="142">
        <f t="shared" si="126"/>
        <v>131</v>
      </c>
      <c r="I333" s="142" t="str">
        <f t="shared" si="127"/>
        <v>-</v>
      </c>
      <c r="J333" s="142" t="str">
        <f t="shared" si="127"/>
        <v>-</v>
      </c>
      <c r="K333" s="142">
        <f t="shared" si="127"/>
        <v>32</v>
      </c>
      <c r="L333" s="142">
        <f t="shared" si="127"/>
        <v>1</v>
      </c>
      <c r="M333" s="142" t="str">
        <f t="shared" si="127"/>
        <v>-</v>
      </c>
      <c r="N333" s="142">
        <f t="shared" si="127"/>
        <v>33</v>
      </c>
    </row>
    <row r="334" spans="1:21" ht="12" customHeight="1">
      <c r="A334" s="122">
        <v>2019</v>
      </c>
      <c r="B334" s="142">
        <f t="shared" si="126"/>
        <v>139</v>
      </c>
      <c r="C334" s="142">
        <f t="shared" si="126"/>
        <v>26</v>
      </c>
      <c r="D334" s="142">
        <f t="shared" si="126"/>
        <v>36</v>
      </c>
      <c r="E334" s="142">
        <f t="shared" si="126"/>
        <v>28</v>
      </c>
      <c r="F334" s="142">
        <f t="shared" si="126"/>
        <v>0</v>
      </c>
      <c r="G334" s="142">
        <f t="shared" si="126"/>
        <v>229</v>
      </c>
      <c r="I334" s="142" t="str">
        <f t="shared" si="127"/>
        <v>-</v>
      </c>
      <c r="J334" s="142" t="str">
        <f t="shared" si="127"/>
        <v>-</v>
      </c>
      <c r="K334" s="142">
        <f t="shared" si="127"/>
        <v>161</v>
      </c>
      <c r="L334" s="142">
        <f t="shared" si="127"/>
        <v>98</v>
      </c>
      <c r="M334" s="142">
        <f t="shared" si="127"/>
        <v>0</v>
      </c>
      <c r="N334" s="142">
        <f t="shared" si="127"/>
        <v>259</v>
      </c>
      <c r="P334" s="142">
        <f t="shared" ref="P334:U336" si="132">+P193</f>
        <v>0</v>
      </c>
      <c r="Q334" s="142">
        <f t="shared" si="132"/>
        <v>0</v>
      </c>
      <c r="R334" s="142">
        <f t="shared" si="132"/>
        <v>0</v>
      </c>
      <c r="S334" s="142">
        <f t="shared" si="132"/>
        <v>2</v>
      </c>
      <c r="T334" s="142">
        <f t="shared" si="132"/>
        <v>0</v>
      </c>
      <c r="U334" s="142">
        <f t="shared" si="132"/>
        <v>2</v>
      </c>
    </row>
    <row r="335" spans="1:21" ht="12" customHeight="1">
      <c r="A335" s="122">
        <v>2020</v>
      </c>
      <c r="B335" s="142">
        <f t="shared" ref="B335:G336" si="133">+B194</f>
        <v>147</v>
      </c>
      <c r="C335" s="142">
        <f t="shared" si="133"/>
        <v>132</v>
      </c>
      <c r="D335" s="142">
        <f t="shared" si="133"/>
        <v>0</v>
      </c>
      <c r="E335" s="142">
        <f t="shared" si="133"/>
        <v>88</v>
      </c>
      <c r="F335" s="142">
        <f t="shared" si="133"/>
        <v>11</v>
      </c>
      <c r="G335" s="142">
        <f t="shared" si="133"/>
        <v>378</v>
      </c>
      <c r="I335" s="142" t="str">
        <f t="shared" ref="I335:N336" si="134">+I194</f>
        <v>-</v>
      </c>
      <c r="J335" s="142" t="str">
        <f t="shared" si="134"/>
        <v>-</v>
      </c>
      <c r="K335" s="142">
        <f t="shared" si="134"/>
        <v>0</v>
      </c>
      <c r="L335" s="142">
        <f t="shared" si="134"/>
        <v>0</v>
      </c>
      <c r="M335" s="142">
        <f t="shared" si="134"/>
        <v>15</v>
      </c>
      <c r="N335" s="142">
        <f t="shared" si="134"/>
        <v>15</v>
      </c>
    </row>
    <row r="336" spans="1:21" ht="12" customHeight="1">
      <c r="A336" s="122" t="s">
        <v>318</v>
      </c>
      <c r="B336" s="142">
        <f t="shared" si="133"/>
        <v>24</v>
      </c>
      <c r="C336" s="142">
        <f t="shared" si="133"/>
        <v>77</v>
      </c>
      <c r="D336" s="142">
        <f t="shared" si="133"/>
        <v>2</v>
      </c>
      <c r="E336" s="142">
        <f t="shared" si="133"/>
        <v>33</v>
      </c>
      <c r="F336" s="142">
        <f t="shared" si="133"/>
        <v>10</v>
      </c>
      <c r="G336" s="142">
        <f t="shared" si="133"/>
        <v>146</v>
      </c>
      <c r="I336" s="142" t="str">
        <f t="shared" si="134"/>
        <v>-</v>
      </c>
      <c r="J336" s="142" t="str">
        <f t="shared" si="134"/>
        <v>-</v>
      </c>
      <c r="K336" s="142">
        <f t="shared" si="134"/>
        <v>0</v>
      </c>
      <c r="L336" s="142">
        <f t="shared" si="134"/>
        <v>43</v>
      </c>
      <c r="M336" s="142">
        <f t="shared" si="134"/>
        <v>80</v>
      </c>
      <c r="N336" s="142">
        <f t="shared" si="134"/>
        <v>123</v>
      </c>
      <c r="P336" s="142">
        <f t="shared" si="132"/>
        <v>0</v>
      </c>
      <c r="Q336" s="142">
        <f t="shared" si="132"/>
        <v>0</v>
      </c>
      <c r="R336" s="142">
        <f t="shared" si="132"/>
        <v>0</v>
      </c>
      <c r="S336" s="142">
        <f t="shared" si="132"/>
        <v>0</v>
      </c>
      <c r="T336" s="142">
        <f t="shared" si="132"/>
        <v>0</v>
      </c>
      <c r="U336" s="142">
        <f t="shared" si="132"/>
        <v>0</v>
      </c>
    </row>
    <row r="337" spans="1:21" ht="12" customHeight="1">
      <c r="B337" s="142"/>
      <c r="C337" s="142"/>
      <c r="D337" s="142"/>
      <c r="E337" s="142"/>
      <c r="F337" s="142"/>
      <c r="G337" s="142"/>
      <c r="P337" s="59"/>
      <c r="Q337" s="59"/>
      <c r="R337" s="59"/>
      <c r="S337" s="59"/>
      <c r="T337" s="59"/>
      <c r="U337" s="59"/>
    </row>
    <row r="338" spans="1:21" ht="12" customHeight="1">
      <c r="A338" s="328" t="s">
        <v>261</v>
      </c>
      <c r="B338" s="328"/>
      <c r="C338" s="328"/>
      <c r="D338" s="328"/>
      <c r="E338" s="328"/>
      <c r="F338" s="328"/>
      <c r="G338" s="328"/>
      <c r="H338" s="328"/>
      <c r="I338" s="328"/>
      <c r="J338" s="328"/>
      <c r="K338" s="328"/>
      <c r="L338" s="328"/>
      <c r="M338" s="328"/>
      <c r="N338" s="328"/>
      <c r="O338" s="328"/>
      <c r="P338" s="328"/>
      <c r="Q338" s="328"/>
      <c r="R338" s="328"/>
      <c r="S338" s="328"/>
      <c r="T338" s="328"/>
      <c r="U338" s="328"/>
    </row>
    <row r="339" spans="1:21" ht="12" customHeight="1">
      <c r="A339" s="2" t="s">
        <v>27</v>
      </c>
      <c r="B339" s="230" t="s">
        <v>29</v>
      </c>
      <c r="C339" s="230" t="s">
        <v>30</v>
      </c>
      <c r="D339" s="230" t="s">
        <v>31</v>
      </c>
      <c r="E339" s="230" t="s">
        <v>32</v>
      </c>
      <c r="F339" s="141" t="s">
        <v>251</v>
      </c>
      <c r="G339" s="230" t="s">
        <v>22</v>
      </c>
      <c r="H339" s="230"/>
      <c r="I339" s="196" t="s">
        <v>29</v>
      </c>
      <c r="J339" s="196" t="s">
        <v>30</v>
      </c>
      <c r="K339" s="196" t="s">
        <v>31</v>
      </c>
      <c r="L339" s="196" t="s">
        <v>32</v>
      </c>
      <c r="M339" s="141" t="s">
        <v>251</v>
      </c>
      <c r="N339" s="196" t="s">
        <v>22</v>
      </c>
      <c r="O339" s="196"/>
      <c r="P339" s="196" t="s">
        <v>29</v>
      </c>
      <c r="Q339" s="196" t="s">
        <v>30</v>
      </c>
      <c r="R339" s="196" t="s">
        <v>31</v>
      </c>
      <c r="S339" s="196" t="s">
        <v>32</v>
      </c>
      <c r="T339" s="141" t="s">
        <v>251</v>
      </c>
      <c r="U339" s="196" t="s">
        <v>22</v>
      </c>
    </row>
    <row r="340" spans="1:21" ht="12" customHeight="1">
      <c r="A340" s="94"/>
      <c r="B340" s="335" t="s">
        <v>61</v>
      </c>
      <c r="C340" s="335"/>
      <c r="D340" s="335"/>
      <c r="E340" s="335"/>
      <c r="F340" s="335"/>
      <c r="G340" s="335"/>
      <c r="H340" s="27"/>
      <c r="I340" s="336" t="s">
        <v>62</v>
      </c>
      <c r="J340" s="336"/>
      <c r="K340" s="336"/>
      <c r="L340" s="336"/>
      <c r="M340" s="336"/>
      <c r="N340" s="336"/>
      <c r="O340" s="14"/>
      <c r="P340" s="336" t="s">
        <v>112</v>
      </c>
      <c r="Q340" s="336"/>
      <c r="R340" s="336"/>
      <c r="S340" s="336"/>
      <c r="T340" s="336"/>
      <c r="U340" s="336"/>
    </row>
    <row r="341" spans="1:21" ht="12" customHeight="1">
      <c r="A341" s="97" t="s">
        <v>101</v>
      </c>
      <c r="B341" s="142"/>
      <c r="C341" s="142"/>
      <c r="D341" s="142"/>
      <c r="E341" s="142"/>
      <c r="F341" s="142"/>
      <c r="G341" s="142"/>
    </row>
    <row r="342" spans="1:21" ht="12" customHeight="1">
      <c r="A342" s="99" t="s">
        <v>24</v>
      </c>
      <c r="B342" s="142">
        <f t="shared" ref="B342:G342" si="135">AVERAGE(B203:B207)</f>
        <v>31658.6</v>
      </c>
      <c r="C342" s="142">
        <f t="shared" si="135"/>
        <v>4389.25</v>
      </c>
      <c r="D342" s="142">
        <f t="shared" si="135"/>
        <v>26112.75</v>
      </c>
      <c r="E342" s="142">
        <f t="shared" si="135"/>
        <v>5153</v>
      </c>
      <c r="F342" s="142">
        <f t="shared" si="135"/>
        <v>224.5</v>
      </c>
      <c r="G342" s="142">
        <f t="shared" si="135"/>
        <v>61303</v>
      </c>
      <c r="I342" s="142" t="s">
        <v>23</v>
      </c>
      <c r="J342" s="142" t="s">
        <v>23</v>
      </c>
      <c r="K342" s="142">
        <f>AVERAGE(K203:K207)</f>
        <v>140300.25</v>
      </c>
      <c r="L342" s="142">
        <f>AVERAGE(L203:L207)</f>
        <v>37525.800000000003</v>
      </c>
      <c r="M342" s="142">
        <f>AVERAGE(M203:M207)</f>
        <v>4524</v>
      </c>
      <c r="N342" s="142">
        <f>AVERAGE(N203:N207)</f>
        <v>152480.4</v>
      </c>
      <c r="P342" s="142">
        <f t="shared" ref="P342:U342" si="136">AVERAGE(P203:P207)</f>
        <v>234</v>
      </c>
      <c r="Q342" s="142">
        <f t="shared" si="136"/>
        <v>33</v>
      </c>
      <c r="R342" s="142">
        <f t="shared" si="136"/>
        <v>51212</v>
      </c>
      <c r="S342" s="142">
        <f t="shared" si="136"/>
        <v>87638.666666666672</v>
      </c>
      <c r="T342" s="142">
        <f t="shared" si="136"/>
        <v>415</v>
      </c>
      <c r="U342" s="142">
        <f t="shared" si="136"/>
        <v>139394.33333333334</v>
      </c>
    </row>
    <row r="343" spans="1:21" ht="12" customHeight="1">
      <c r="A343" s="99" t="s">
        <v>78</v>
      </c>
      <c r="B343" s="142">
        <f t="shared" ref="B343:G343" si="137">AVERAGE(B208:B212)</f>
        <v>30079.200000000001</v>
      </c>
      <c r="C343" s="142">
        <f t="shared" si="137"/>
        <v>11969.5</v>
      </c>
      <c r="D343" s="142">
        <f t="shared" si="137"/>
        <v>9575.5</v>
      </c>
      <c r="E343" s="142">
        <f t="shared" si="137"/>
        <v>2950</v>
      </c>
      <c r="F343" s="142">
        <f t="shared" si="137"/>
        <v>942.5</v>
      </c>
      <c r="G343" s="142">
        <f t="shared" si="137"/>
        <v>46222</v>
      </c>
      <c r="I343" s="142" t="s">
        <v>23</v>
      </c>
      <c r="J343" s="142" t="s">
        <v>23</v>
      </c>
      <c r="K343" s="142">
        <f>AVERAGE(K208:K212)</f>
        <v>23869</v>
      </c>
      <c r="L343" s="142">
        <f>AVERAGE(L208:L212)</f>
        <v>49522</v>
      </c>
      <c r="M343" s="142">
        <f>AVERAGE(M208:M212)</f>
        <v>13033.5</v>
      </c>
      <c r="N343" s="142">
        <f>AVERAGE(N208:N212)</f>
        <v>54378.6</v>
      </c>
      <c r="P343" s="142">
        <f t="shared" ref="P343:U343" si="138">AVERAGE(P208:P212)</f>
        <v>114.5</v>
      </c>
      <c r="Q343" s="142">
        <f t="shared" si="138"/>
        <v>182</v>
      </c>
      <c r="R343" s="142">
        <f t="shared" si="138"/>
        <v>2729</v>
      </c>
      <c r="S343" s="142">
        <f t="shared" si="138"/>
        <v>36287</v>
      </c>
      <c r="T343" s="142">
        <f t="shared" si="138"/>
        <v>1</v>
      </c>
      <c r="U343" s="142">
        <f t="shared" si="138"/>
        <v>19714</v>
      </c>
    </row>
    <row r="344" spans="1:21" ht="12" customHeight="1">
      <c r="A344" s="99" t="s">
        <v>10</v>
      </c>
      <c r="B344" s="142">
        <f t="shared" ref="B344:G344" si="139">AVERAGE(B213:B217)</f>
        <v>17003.333333333332</v>
      </c>
      <c r="C344" s="142">
        <f t="shared" si="139"/>
        <v>11894.666666666666</v>
      </c>
      <c r="D344" s="142">
        <f t="shared" si="139"/>
        <v>3985</v>
      </c>
      <c r="E344" s="142">
        <f t="shared" si="139"/>
        <v>1396</v>
      </c>
      <c r="F344" s="142">
        <f t="shared" si="139"/>
        <v>1132</v>
      </c>
      <c r="G344" s="142">
        <f t="shared" si="139"/>
        <v>25628</v>
      </c>
      <c r="I344" s="142" t="s">
        <v>23</v>
      </c>
      <c r="J344" s="142" t="s">
        <v>23</v>
      </c>
      <c r="K344" s="142">
        <f>AVERAGE(K213:K217)</f>
        <v>7595</v>
      </c>
      <c r="L344" s="142">
        <f>AVERAGE(L213:L217)</f>
        <v>17355.75</v>
      </c>
      <c r="M344" s="142">
        <f>AVERAGE(M213:M217)</f>
        <v>8861.6666666666661</v>
      </c>
      <c r="N344" s="142">
        <f>AVERAGE(N213:N217)</f>
        <v>27799.5</v>
      </c>
      <c r="P344" s="142">
        <f t="shared" ref="P344:U344" si="140">AVERAGE(P213:P217)</f>
        <v>10</v>
      </c>
      <c r="Q344" s="142">
        <f t="shared" si="140"/>
        <v>9</v>
      </c>
      <c r="R344" s="142">
        <f t="shared" si="140"/>
        <v>88</v>
      </c>
      <c r="S344" s="142">
        <f t="shared" si="140"/>
        <v>25360</v>
      </c>
      <c r="T344" s="142">
        <f t="shared" si="140"/>
        <v>390</v>
      </c>
      <c r="U344" s="142">
        <f t="shared" si="140"/>
        <v>25792</v>
      </c>
    </row>
    <row r="345" spans="1:21" ht="12" customHeight="1">
      <c r="A345" s="99" t="s">
        <v>144</v>
      </c>
      <c r="B345" s="142">
        <f t="shared" ref="B345:G345" si="141">AVERAGE(B218:B222)</f>
        <v>5246.5</v>
      </c>
      <c r="C345" s="142">
        <f t="shared" si="141"/>
        <v>2897</v>
      </c>
      <c r="D345" s="142">
        <f t="shared" si="141"/>
        <v>4030</v>
      </c>
      <c r="E345" s="142">
        <f t="shared" si="141"/>
        <v>1712.5</v>
      </c>
      <c r="F345" s="142">
        <f t="shared" si="141"/>
        <v>43</v>
      </c>
      <c r="G345" s="142">
        <f t="shared" si="141"/>
        <v>10018</v>
      </c>
      <c r="I345" s="142" t="s">
        <v>23</v>
      </c>
      <c r="J345" s="142" t="s">
        <v>23</v>
      </c>
      <c r="K345" s="142">
        <f>AVERAGE(K218:K222)</f>
        <v>3905</v>
      </c>
      <c r="L345" s="142">
        <f>AVERAGE(L218:L222)</f>
        <v>6020.666666666667</v>
      </c>
      <c r="M345" s="142">
        <f>AVERAGE(M218:M222)</f>
        <v>385.5</v>
      </c>
      <c r="N345" s="142">
        <f>AVERAGE(N218:N222)</f>
        <v>8881</v>
      </c>
      <c r="P345" s="142">
        <f t="shared" ref="P345:U345" si="142">AVERAGE(P218:P222)</f>
        <v>1</v>
      </c>
      <c r="Q345" s="142">
        <f t="shared" si="142"/>
        <v>2</v>
      </c>
      <c r="R345" s="142">
        <f t="shared" si="142"/>
        <v>31</v>
      </c>
      <c r="S345" s="142">
        <f t="shared" si="142"/>
        <v>21</v>
      </c>
      <c r="T345" s="142">
        <f t="shared" si="142"/>
        <v>0</v>
      </c>
      <c r="U345" s="142">
        <f t="shared" si="142"/>
        <v>29</v>
      </c>
    </row>
    <row r="346" spans="1:21" ht="12" customHeight="1">
      <c r="A346" s="99" t="s">
        <v>166</v>
      </c>
      <c r="B346" s="142">
        <f t="shared" ref="B346:G346" si="143">AVERAGE(B223:B227)</f>
        <v>15711.8</v>
      </c>
      <c r="C346" s="142">
        <f t="shared" si="143"/>
        <v>6182</v>
      </c>
      <c r="D346" s="142">
        <f t="shared" si="143"/>
        <v>10053.799999999999</v>
      </c>
      <c r="E346" s="142">
        <f t="shared" si="143"/>
        <v>7683</v>
      </c>
      <c r="F346" s="142">
        <f t="shared" si="143"/>
        <v>1178.3333333333333</v>
      </c>
      <c r="G346" s="142">
        <f t="shared" si="143"/>
        <v>40337.599999999999</v>
      </c>
      <c r="I346" s="142" t="str">
        <f>+I223</f>
        <v>-</v>
      </c>
      <c r="J346" s="142" t="str">
        <f>+J223</f>
        <v>-</v>
      </c>
      <c r="K346" s="142">
        <f>AVERAGE(K223:K227)</f>
        <v>2141.5</v>
      </c>
      <c r="L346" s="142">
        <f>AVERAGE(L223:L227)</f>
        <v>2638.8</v>
      </c>
      <c r="M346" s="142">
        <f>AVERAGE(M223:M227)</f>
        <v>3408</v>
      </c>
      <c r="N346" s="142">
        <f>AVERAGE(N223:N227)</f>
        <v>6396.8</v>
      </c>
      <c r="P346" s="142">
        <f t="shared" ref="P346:U346" si="144">AVERAGE(P223:P227)</f>
        <v>1.6666666666666667</v>
      </c>
      <c r="Q346" s="142">
        <f t="shared" si="144"/>
        <v>3</v>
      </c>
      <c r="R346" s="142">
        <f t="shared" si="144"/>
        <v>66</v>
      </c>
      <c r="S346" s="142">
        <f t="shared" si="144"/>
        <v>23</v>
      </c>
      <c r="T346" s="142">
        <f t="shared" si="144"/>
        <v>5</v>
      </c>
      <c r="U346" s="142">
        <f t="shared" si="144"/>
        <v>97</v>
      </c>
    </row>
    <row r="347" spans="1:21" ht="12" customHeight="1">
      <c r="A347" s="99" t="s">
        <v>315</v>
      </c>
      <c r="B347" s="142">
        <f>AVERAGE(B228:B232)</f>
        <v>5655.8</v>
      </c>
      <c r="C347" s="142">
        <f t="shared" ref="C347:G347" si="145">AVERAGE(C228:C232)</f>
        <v>7781.8</v>
      </c>
      <c r="D347" s="142">
        <f t="shared" si="145"/>
        <v>2734.2</v>
      </c>
      <c r="E347" s="142">
        <f t="shared" si="145"/>
        <v>2729</v>
      </c>
      <c r="F347" s="142">
        <f t="shared" si="145"/>
        <v>516.79999999999995</v>
      </c>
      <c r="G347" s="142">
        <f t="shared" si="145"/>
        <v>19417.599999999999</v>
      </c>
      <c r="I347" s="142" t="str">
        <f>I228</f>
        <v>-</v>
      </c>
      <c r="J347" s="142" t="str">
        <f>J228</f>
        <v>-</v>
      </c>
      <c r="K347" s="142">
        <f t="shared" ref="K347:U347" si="146">AVERAGE(K228:K232)</f>
        <v>1878.8</v>
      </c>
      <c r="L347" s="142">
        <f t="shared" si="146"/>
        <v>3400.2</v>
      </c>
      <c r="M347" s="142">
        <f t="shared" si="146"/>
        <v>924.2</v>
      </c>
      <c r="N347" s="142">
        <f t="shared" si="146"/>
        <v>6203.2</v>
      </c>
      <c r="P347" s="142">
        <f t="shared" si="146"/>
        <v>4.5</v>
      </c>
      <c r="Q347" s="142">
        <f t="shared" si="146"/>
        <v>16.5</v>
      </c>
      <c r="R347" s="142">
        <f t="shared" si="146"/>
        <v>100.5</v>
      </c>
      <c r="S347" s="142">
        <f t="shared" si="146"/>
        <v>19</v>
      </c>
      <c r="T347" s="142">
        <f t="shared" si="146"/>
        <v>0.5</v>
      </c>
      <c r="U347" s="142">
        <f t="shared" si="146"/>
        <v>141</v>
      </c>
    </row>
    <row r="348" spans="1:21" ht="12" customHeight="1">
      <c r="A348" s="99">
        <v>2011</v>
      </c>
      <c r="B348" s="142">
        <f t="shared" ref="B348:G354" si="147">+B233</f>
        <v>8154</v>
      </c>
      <c r="C348" s="142">
        <f t="shared" si="147"/>
        <v>9858</v>
      </c>
      <c r="D348" s="142">
        <f t="shared" si="147"/>
        <v>6016</v>
      </c>
      <c r="E348" s="142">
        <f t="shared" si="147"/>
        <v>2532</v>
      </c>
      <c r="F348" s="142">
        <f t="shared" si="147"/>
        <v>342</v>
      </c>
      <c r="G348" s="142">
        <f t="shared" si="147"/>
        <v>26902</v>
      </c>
      <c r="I348" s="142" t="str">
        <f t="shared" ref="I348:N354" si="148">+I233</f>
        <v>-</v>
      </c>
      <c r="J348" s="142" t="str">
        <f t="shared" si="148"/>
        <v>-</v>
      </c>
      <c r="K348" s="142">
        <f t="shared" si="148"/>
        <v>1631</v>
      </c>
      <c r="L348" s="142">
        <f t="shared" si="148"/>
        <v>917</v>
      </c>
      <c r="M348" s="142">
        <f t="shared" si="148"/>
        <v>505</v>
      </c>
      <c r="N348" s="142">
        <f t="shared" si="148"/>
        <v>3053</v>
      </c>
      <c r="P348" s="142">
        <f t="shared" ref="P348:U348" si="149">+P233</f>
        <v>0</v>
      </c>
      <c r="Q348" s="142">
        <f t="shared" si="149"/>
        <v>3</v>
      </c>
      <c r="R348" s="142">
        <f t="shared" si="149"/>
        <v>118</v>
      </c>
      <c r="S348" s="142">
        <f t="shared" si="149"/>
        <v>93</v>
      </c>
      <c r="T348" s="142">
        <f t="shared" si="149"/>
        <v>1</v>
      </c>
      <c r="U348" s="142">
        <f t="shared" si="149"/>
        <v>215</v>
      </c>
    </row>
    <row r="349" spans="1:21" ht="12" customHeight="1">
      <c r="A349" s="99">
        <v>2012</v>
      </c>
      <c r="B349" s="142">
        <f t="shared" si="147"/>
        <v>10629</v>
      </c>
      <c r="C349" s="142">
        <f t="shared" si="147"/>
        <v>12058</v>
      </c>
      <c r="D349" s="142">
        <f t="shared" si="147"/>
        <v>5378</v>
      </c>
      <c r="E349" s="142">
        <f t="shared" si="147"/>
        <v>6398</v>
      </c>
      <c r="F349" s="142">
        <f t="shared" si="147"/>
        <v>2392</v>
      </c>
      <c r="G349" s="142">
        <f t="shared" si="147"/>
        <v>36855</v>
      </c>
      <c r="I349" s="142" t="str">
        <f t="shared" si="148"/>
        <v>-</v>
      </c>
      <c r="J349" s="142" t="str">
        <f t="shared" si="148"/>
        <v>-</v>
      </c>
      <c r="K349" s="142">
        <f t="shared" si="148"/>
        <v>769</v>
      </c>
      <c r="L349" s="142">
        <f t="shared" si="148"/>
        <v>1118</v>
      </c>
      <c r="M349" s="142">
        <f t="shared" si="148"/>
        <v>1381</v>
      </c>
      <c r="N349" s="142">
        <f t="shared" si="148"/>
        <v>3268</v>
      </c>
    </row>
    <row r="350" spans="1:21" ht="12" customHeight="1">
      <c r="A350" s="99">
        <v>2013</v>
      </c>
      <c r="B350" s="142">
        <f t="shared" si="147"/>
        <v>10589</v>
      </c>
      <c r="C350" s="142">
        <f t="shared" si="147"/>
        <v>12206</v>
      </c>
      <c r="D350" s="142">
        <f t="shared" si="147"/>
        <v>7858</v>
      </c>
      <c r="E350" s="142">
        <f t="shared" si="147"/>
        <v>8708</v>
      </c>
      <c r="F350" s="142">
        <f t="shared" si="147"/>
        <v>729</v>
      </c>
      <c r="G350" s="142">
        <f t="shared" si="147"/>
        <v>40090</v>
      </c>
      <c r="I350" s="142" t="str">
        <f t="shared" si="148"/>
        <v>-</v>
      </c>
      <c r="J350" s="142" t="str">
        <f t="shared" si="148"/>
        <v>-</v>
      </c>
      <c r="K350" s="142">
        <f t="shared" si="148"/>
        <v>1920</v>
      </c>
      <c r="L350" s="142">
        <f t="shared" si="148"/>
        <v>3844</v>
      </c>
      <c r="M350" s="142">
        <f t="shared" si="148"/>
        <v>277</v>
      </c>
      <c r="N350" s="142">
        <f t="shared" si="148"/>
        <v>6041</v>
      </c>
      <c r="P350" s="142">
        <f t="shared" ref="P350:U350" si="150">+P235</f>
        <v>2</v>
      </c>
      <c r="Q350" s="142">
        <f t="shared" si="150"/>
        <v>0</v>
      </c>
      <c r="R350" s="142">
        <f t="shared" si="150"/>
        <v>101</v>
      </c>
      <c r="S350" s="142">
        <f t="shared" si="150"/>
        <v>37</v>
      </c>
      <c r="T350" s="142">
        <f t="shared" si="150"/>
        <v>1</v>
      </c>
      <c r="U350" s="142">
        <f t="shared" si="150"/>
        <v>141</v>
      </c>
    </row>
    <row r="351" spans="1:21" ht="12" customHeight="1">
      <c r="A351" s="99">
        <v>2014</v>
      </c>
      <c r="B351" s="142">
        <f t="shared" si="147"/>
        <v>20226</v>
      </c>
      <c r="C351" s="142">
        <f t="shared" si="147"/>
        <v>3110</v>
      </c>
      <c r="D351" s="142">
        <f t="shared" si="147"/>
        <v>8696</v>
      </c>
      <c r="E351" s="142">
        <f t="shared" si="147"/>
        <v>5961</v>
      </c>
      <c r="F351" s="142">
        <f t="shared" si="147"/>
        <v>714</v>
      </c>
      <c r="G351" s="142">
        <f t="shared" si="147"/>
        <v>38707</v>
      </c>
      <c r="I351" s="142" t="str">
        <f t="shared" si="148"/>
        <v>-</v>
      </c>
      <c r="J351" s="142" t="str">
        <f t="shared" si="148"/>
        <v>-</v>
      </c>
      <c r="K351" s="142">
        <f t="shared" si="148"/>
        <v>3441</v>
      </c>
      <c r="L351" s="142">
        <f t="shared" si="148"/>
        <v>6872</v>
      </c>
      <c r="M351" s="142">
        <f t="shared" si="148"/>
        <v>5094</v>
      </c>
      <c r="N351" s="142">
        <f t="shared" si="148"/>
        <v>15407</v>
      </c>
      <c r="P351" s="59"/>
      <c r="Q351" s="59"/>
      <c r="R351" s="59"/>
      <c r="S351" s="59"/>
      <c r="T351" s="59"/>
      <c r="U351" s="59"/>
    </row>
    <row r="352" spans="1:21" ht="12" customHeight="1">
      <c r="A352" s="122">
        <v>2015</v>
      </c>
      <c r="B352" s="142">
        <f t="shared" si="147"/>
        <v>15603</v>
      </c>
      <c r="C352" s="142">
        <f t="shared" si="147"/>
        <v>15058</v>
      </c>
      <c r="D352" s="142">
        <f t="shared" si="147"/>
        <v>12706</v>
      </c>
      <c r="E352" s="142">
        <f t="shared" si="147"/>
        <v>10168</v>
      </c>
      <c r="F352" s="142">
        <f t="shared" si="147"/>
        <v>1778</v>
      </c>
      <c r="G352" s="142">
        <f t="shared" si="147"/>
        <v>55313</v>
      </c>
      <c r="I352" s="142" t="str">
        <f t="shared" si="148"/>
        <v>-</v>
      </c>
      <c r="J352" s="142" t="str">
        <f t="shared" si="148"/>
        <v>-</v>
      </c>
      <c r="K352" s="142">
        <f t="shared" si="148"/>
        <v>728</v>
      </c>
      <c r="L352" s="142">
        <f t="shared" si="148"/>
        <v>1169</v>
      </c>
      <c r="M352" s="142">
        <f t="shared" si="148"/>
        <v>975</v>
      </c>
      <c r="N352" s="142">
        <f t="shared" si="148"/>
        <v>2872</v>
      </c>
      <c r="P352" s="142">
        <f t="shared" ref="P352:U352" si="151">+P237</f>
        <v>1</v>
      </c>
      <c r="Q352" s="142">
        <f t="shared" si="151"/>
        <v>20</v>
      </c>
      <c r="R352" s="142">
        <f t="shared" si="151"/>
        <v>47</v>
      </c>
      <c r="S352" s="142">
        <f t="shared" si="151"/>
        <v>0</v>
      </c>
      <c r="T352" s="142">
        <f t="shared" si="151"/>
        <v>0</v>
      </c>
      <c r="U352" s="142">
        <f t="shared" si="151"/>
        <v>68</v>
      </c>
    </row>
    <row r="353" spans="1:21" ht="12" customHeight="1">
      <c r="A353" s="122">
        <v>2016</v>
      </c>
      <c r="B353" s="142">
        <f t="shared" si="147"/>
        <v>7090</v>
      </c>
      <c r="C353" s="142">
        <f t="shared" si="147"/>
        <v>4310</v>
      </c>
      <c r="D353" s="142">
        <f t="shared" si="147"/>
        <v>3584</v>
      </c>
      <c r="E353" s="142">
        <f t="shared" si="147"/>
        <v>2360</v>
      </c>
      <c r="F353" s="142" t="str">
        <f t="shared" si="147"/>
        <v>-</v>
      </c>
      <c r="G353" s="142">
        <f t="shared" si="147"/>
        <v>17344</v>
      </c>
      <c r="I353" s="142" t="str">
        <f t="shared" si="148"/>
        <v>-</v>
      </c>
      <c r="J353" s="142" t="str">
        <f t="shared" si="148"/>
        <v>-</v>
      </c>
      <c r="K353" s="142" t="str">
        <f t="shared" si="148"/>
        <v>-</v>
      </c>
      <c r="L353" s="142" t="str">
        <f t="shared" si="148"/>
        <v>-</v>
      </c>
      <c r="M353" s="142" t="str">
        <f t="shared" si="148"/>
        <v>-</v>
      </c>
      <c r="N353" s="142" t="str">
        <f t="shared" si="148"/>
        <v>-</v>
      </c>
    </row>
    <row r="354" spans="1:21" ht="12" customHeight="1">
      <c r="A354" s="122">
        <v>2017</v>
      </c>
      <c r="B354" s="142">
        <f t="shared" si="147"/>
        <v>13504</v>
      </c>
      <c r="C354" s="142">
        <f t="shared" si="147"/>
        <v>7468</v>
      </c>
      <c r="D354" s="142">
        <f t="shared" si="147"/>
        <v>5780</v>
      </c>
      <c r="E354" s="142">
        <f t="shared" si="147"/>
        <v>5306</v>
      </c>
      <c r="F354" s="142">
        <f t="shared" si="147"/>
        <v>875</v>
      </c>
      <c r="G354" s="142">
        <f t="shared" si="147"/>
        <v>32933</v>
      </c>
      <c r="I354" s="142" t="str">
        <f t="shared" si="148"/>
        <v>-</v>
      </c>
      <c r="J354" s="142" t="str">
        <f t="shared" si="148"/>
        <v>-</v>
      </c>
      <c r="K354" s="142">
        <f t="shared" si="148"/>
        <v>231</v>
      </c>
      <c r="L354" s="142">
        <f t="shared" si="148"/>
        <v>769</v>
      </c>
      <c r="M354" s="142">
        <f t="shared" si="148"/>
        <v>368</v>
      </c>
      <c r="N354" s="142">
        <f t="shared" si="148"/>
        <v>1368</v>
      </c>
      <c r="P354" s="142">
        <f t="shared" ref="P354:U354" si="152">+P239</f>
        <v>0</v>
      </c>
      <c r="Q354" s="142">
        <f t="shared" si="152"/>
        <v>0</v>
      </c>
      <c r="R354" s="142">
        <f t="shared" si="152"/>
        <v>10</v>
      </c>
      <c r="S354" s="142">
        <f t="shared" si="152"/>
        <v>3</v>
      </c>
      <c r="T354" s="142">
        <f t="shared" si="152"/>
        <v>0</v>
      </c>
      <c r="U354" s="142">
        <f t="shared" si="152"/>
        <v>13</v>
      </c>
    </row>
    <row r="355" spans="1:21" ht="12" customHeight="1">
      <c r="A355" s="122">
        <v>2018</v>
      </c>
      <c r="B355" s="142">
        <f t="shared" ref="B355:G355" si="153">+B240</f>
        <v>6673</v>
      </c>
      <c r="C355" s="142">
        <f t="shared" si="153"/>
        <v>9010</v>
      </c>
      <c r="D355" s="142">
        <f t="shared" si="153"/>
        <v>5458</v>
      </c>
      <c r="E355" s="142">
        <f t="shared" si="153"/>
        <v>1702</v>
      </c>
      <c r="F355" s="142">
        <f t="shared" si="153"/>
        <v>713</v>
      </c>
      <c r="G355" s="142">
        <f t="shared" si="153"/>
        <v>23556</v>
      </c>
      <c r="I355" s="142" t="str">
        <f t="shared" ref="I355:N355" si="154">+I240</f>
        <v>-</v>
      </c>
      <c r="J355" s="142" t="str">
        <f t="shared" si="154"/>
        <v>-</v>
      </c>
      <c r="K355" s="142">
        <f t="shared" si="154"/>
        <v>447</v>
      </c>
      <c r="L355" s="142">
        <f t="shared" si="154"/>
        <v>457</v>
      </c>
      <c r="M355" s="142">
        <f t="shared" si="154"/>
        <v>388</v>
      </c>
      <c r="N355" s="142">
        <f t="shared" si="154"/>
        <v>1292</v>
      </c>
    </row>
    <row r="356" spans="1:21" ht="12" customHeight="1">
      <c r="A356" s="122">
        <v>2019</v>
      </c>
      <c r="B356" s="142">
        <f t="shared" ref="B356:G356" si="155">+B241</f>
        <v>3901</v>
      </c>
      <c r="C356" s="142">
        <f t="shared" si="155"/>
        <v>3044</v>
      </c>
      <c r="D356" s="142">
        <f t="shared" si="155"/>
        <v>11430</v>
      </c>
      <c r="E356" s="142">
        <f t="shared" si="155"/>
        <v>2669</v>
      </c>
      <c r="F356" s="142">
        <f t="shared" si="155"/>
        <v>1732</v>
      </c>
      <c r="G356" s="142">
        <f t="shared" si="155"/>
        <v>22776</v>
      </c>
      <c r="I356" s="142" t="str">
        <f t="shared" ref="I356:N356" si="156">+I241</f>
        <v>-</v>
      </c>
      <c r="J356" s="142" t="str">
        <f t="shared" si="156"/>
        <v>-</v>
      </c>
      <c r="K356" s="142">
        <f t="shared" si="156"/>
        <v>1638</v>
      </c>
      <c r="L356" s="142">
        <f t="shared" si="156"/>
        <v>1158</v>
      </c>
      <c r="M356" s="142">
        <f t="shared" si="156"/>
        <v>1201</v>
      </c>
      <c r="N356" s="142">
        <f t="shared" si="156"/>
        <v>3997</v>
      </c>
      <c r="P356" s="142">
        <f t="shared" ref="P356:U358" si="157">+P241</f>
        <v>0</v>
      </c>
      <c r="Q356" s="142">
        <f t="shared" si="157"/>
        <v>0</v>
      </c>
      <c r="R356" s="142">
        <f t="shared" si="157"/>
        <v>483</v>
      </c>
      <c r="S356" s="142">
        <f t="shared" si="157"/>
        <v>2</v>
      </c>
      <c r="T356" s="142">
        <f t="shared" si="157"/>
        <v>0</v>
      </c>
      <c r="U356" s="142">
        <f t="shared" si="157"/>
        <v>485</v>
      </c>
    </row>
    <row r="357" spans="1:21" ht="12" customHeight="1">
      <c r="A357" s="122">
        <v>2020</v>
      </c>
      <c r="B357" s="142">
        <f t="shared" ref="B357:G358" si="158">+B242</f>
        <v>625</v>
      </c>
      <c r="C357" s="142">
        <f t="shared" si="158"/>
        <v>1307</v>
      </c>
      <c r="D357" s="142">
        <f t="shared" si="158"/>
        <v>7269</v>
      </c>
      <c r="E357" s="142">
        <f t="shared" si="158"/>
        <v>2949</v>
      </c>
      <c r="F357" s="142">
        <f t="shared" si="158"/>
        <v>160</v>
      </c>
      <c r="G357" s="142">
        <f t="shared" si="158"/>
        <v>12310</v>
      </c>
      <c r="I357" s="142" t="str">
        <f t="shared" ref="I357:N358" si="159">+I242</f>
        <v>-</v>
      </c>
      <c r="J357" s="142" t="str">
        <f t="shared" si="159"/>
        <v>-</v>
      </c>
      <c r="K357" s="142">
        <f t="shared" si="159"/>
        <v>222</v>
      </c>
      <c r="L357" s="142">
        <f t="shared" si="159"/>
        <v>314</v>
      </c>
      <c r="M357" s="142">
        <f t="shared" si="159"/>
        <v>101</v>
      </c>
      <c r="N357" s="142">
        <f t="shared" si="159"/>
        <v>637</v>
      </c>
    </row>
    <row r="358" spans="1:21" ht="12" customHeight="1">
      <c r="A358" s="122" t="s">
        <v>318</v>
      </c>
      <c r="B358" s="142">
        <f t="shared" si="158"/>
        <v>2566</v>
      </c>
      <c r="C358" s="142">
        <f t="shared" si="158"/>
        <v>7279</v>
      </c>
      <c r="D358" s="142">
        <f t="shared" si="158"/>
        <v>5549</v>
      </c>
      <c r="E358" s="142">
        <f t="shared" si="158"/>
        <v>3173</v>
      </c>
      <c r="F358" s="142">
        <f t="shared" si="158"/>
        <v>518</v>
      </c>
      <c r="G358" s="142">
        <f t="shared" si="158"/>
        <v>19085</v>
      </c>
      <c r="I358" s="142" t="str">
        <f t="shared" si="159"/>
        <v>-</v>
      </c>
      <c r="J358" s="142" t="str">
        <f t="shared" si="159"/>
        <v>-</v>
      </c>
      <c r="K358" s="142">
        <f t="shared" si="159"/>
        <v>551</v>
      </c>
      <c r="L358" s="142">
        <f t="shared" si="159"/>
        <v>1114</v>
      </c>
      <c r="M358" s="142">
        <f t="shared" si="159"/>
        <v>1705</v>
      </c>
      <c r="N358" s="142">
        <f t="shared" si="159"/>
        <v>3370</v>
      </c>
      <c r="P358" s="142">
        <f t="shared" si="157"/>
        <v>0</v>
      </c>
      <c r="Q358" s="142">
        <f t="shared" si="157"/>
        <v>0</v>
      </c>
      <c r="R358" s="142">
        <f t="shared" si="157"/>
        <v>4</v>
      </c>
      <c r="S358" s="142">
        <f t="shared" si="157"/>
        <v>29</v>
      </c>
      <c r="T358" s="142">
        <f t="shared" si="157"/>
        <v>0</v>
      </c>
      <c r="U358" s="142">
        <f t="shared" si="157"/>
        <v>33</v>
      </c>
    </row>
    <row r="359" spans="1:21" ht="12" customHeight="1">
      <c r="A359" s="331" t="str">
        <f>A244</f>
        <v>a/  Summary of Washington Department of Fish and Wildlife fish receiving ticket information by statistical month excluding Washington landings from Oregon, California, and Alaska.</v>
      </c>
      <c r="B359" s="331"/>
      <c r="C359" s="331"/>
      <c r="D359" s="331"/>
      <c r="E359" s="331"/>
      <c r="F359" s="331"/>
      <c r="G359" s="331"/>
      <c r="H359" s="331"/>
      <c r="I359" s="331"/>
      <c r="J359" s="331"/>
      <c r="K359" s="331"/>
      <c r="L359" s="331"/>
      <c r="M359" s="331"/>
      <c r="N359" s="331"/>
      <c r="O359" s="331"/>
      <c r="P359" s="331"/>
      <c r="Q359" s="331"/>
      <c r="R359" s="331"/>
      <c r="S359" s="331"/>
      <c r="T359" s="331"/>
      <c r="U359" s="331"/>
    </row>
    <row r="360" spans="1:21" ht="12" customHeight="1">
      <c r="A360" s="332" t="str">
        <f>A245</f>
        <v>b/  Data for September include any catch after September.</v>
      </c>
      <c r="B360" s="332"/>
      <c r="C360" s="332"/>
      <c r="D360" s="332"/>
      <c r="E360" s="332"/>
      <c r="F360" s="332"/>
      <c r="G360" s="332"/>
      <c r="H360" s="332"/>
      <c r="I360" s="332"/>
      <c r="J360" s="332"/>
      <c r="K360" s="332"/>
      <c r="L360" s="332"/>
      <c r="M360" s="332"/>
      <c r="N360" s="332"/>
      <c r="O360" s="332"/>
      <c r="P360" s="332"/>
      <c r="Q360" s="332"/>
      <c r="R360" s="332"/>
      <c r="S360" s="332"/>
      <c r="T360" s="332"/>
      <c r="U360" s="332"/>
    </row>
    <row r="361" spans="1:21" ht="12" customHeight="1">
      <c r="A361" s="332" t="str">
        <f>A246</f>
        <v>c/  Neah Bay area includes effort and catches from Strait of Juan de Fuca Area 4B.</v>
      </c>
      <c r="B361" s="332"/>
      <c r="C361" s="332"/>
      <c r="D361" s="332"/>
      <c r="E361" s="332"/>
      <c r="F361" s="332"/>
      <c r="G361" s="332"/>
      <c r="H361" s="332"/>
      <c r="I361" s="332"/>
      <c r="J361" s="332"/>
      <c r="K361" s="332"/>
      <c r="L361" s="332"/>
      <c r="M361" s="332"/>
      <c r="N361" s="332"/>
      <c r="O361" s="332"/>
      <c r="P361" s="332"/>
      <c r="Q361" s="332"/>
      <c r="R361" s="332"/>
      <c r="S361" s="332"/>
      <c r="T361" s="332"/>
      <c r="U361" s="332"/>
    </row>
    <row r="362" spans="1:21" ht="12" customHeight="1">
      <c r="A362" s="332" t="str">
        <f>A247</f>
        <v>d/  Preliminary.</v>
      </c>
      <c r="B362" s="332"/>
      <c r="C362" s="332"/>
      <c r="D362" s="332"/>
      <c r="E362" s="332"/>
      <c r="F362" s="332"/>
      <c r="G362" s="332"/>
      <c r="H362" s="332"/>
      <c r="I362" s="332"/>
      <c r="J362" s="332"/>
      <c r="K362" s="332"/>
      <c r="L362" s="332"/>
      <c r="M362" s="332"/>
      <c r="N362" s="332"/>
      <c r="O362" s="332"/>
      <c r="P362" s="332"/>
      <c r="Q362" s="332"/>
      <c r="R362" s="332"/>
      <c r="S362" s="332"/>
      <c r="T362" s="332"/>
      <c r="U362" s="332"/>
    </row>
    <row r="363" spans="1:21" ht="12" customHeight="1">
      <c r="A363" s="332"/>
      <c r="B363" s="332"/>
      <c r="C363" s="332"/>
      <c r="D363" s="332"/>
      <c r="E363" s="332"/>
      <c r="F363" s="332"/>
      <c r="G363" s="332"/>
      <c r="H363" s="332"/>
      <c r="I363" s="332"/>
      <c r="J363" s="332"/>
      <c r="K363" s="332"/>
      <c r="L363" s="332"/>
      <c r="M363" s="332"/>
      <c r="N363" s="332"/>
      <c r="O363" s="332"/>
      <c r="P363" s="332"/>
      <c r="Q363" s="332"/>
      <c r="R363" s="332"/>
      <c r="S363" s="332"/>
      <c r="T363" s="332"/>
      <c r="U363" s="332"/>
    </row>
    <row r="364" spans="1:21" ht="12" customHeight="1">
      <c r="A364" s="332"/>
      <c r="B364" s="332"/>
      <c r="C364" s="332"/>
      <c r="D364" s="332"/>
      <c r="E364" s="332"/>
      <c r="F364" s="332"/>
      <c r="G364" s="332"/>
      <c r="H364" s="332"/>
      <c r="I364" s="332"/>
      <c r="J364" s="332"/>
      <c r="K364" s="332"/>
      <c r="L364" s="332"/>
      <c r="M364" s="332"/>
      <c r="N364" s="332"/>
      <c r="O364" s="332"/>
      <c r="P364" s="332"/>
      <c r="Q364" s="332"/>
      <c r="R364" s="332"/>
      <c r="S364" s="332"/>
      <c r="T364" s="332"/>
      <c r="U364" s="332"/>
    </row>
  </sheetData>
  <mergeCells count="28">
    <mergeCell ref="A364:U364"/>
    <mergeCell ref="B299:G299"/>
    <mergeCell ref="I299:N299"/>
    <mergeCell ref="P299:U299"/>
    <mergeCell ref="A338:U338"/>
    <mergeCell ref="B340:G340"/>
    <mergeCell ref="I340:N340"/>
    <mergeCell ref="P340:U340"/>
    <mergeCell ref="A359:U359"/>
    <mergeCell ref="A360:U360"/>
    <mergeCell ref="A361:U361"/>
    <mergeCell ref="A362:U362"/>
    <mergeCell ref="A363:U363"/>
    <mergeCell ref="A297:U297"/>
    <mergeCell ref="A2:U2"/>
    <mergeCell ref="B4:G4"/>
    <mergeCell ref="I4:N4"/>
    <mergeCell ref="P4:U4"/>
    <mergeCell ref="A244:U244"/>
    <mergeCell ref="A245:U245"/>
    <mergeCell ref="A246:U246"/>
    <mergeCell ref="A247:U247"/>
    <mergeCell ref="A248:U248"/>
    <mergeCell ref="A249:U249"/>
    <mergeCell ref="A256:U256"/>
    <mergeCell ref="B258:G258"/>
    <mergeCell ref="I258:N258"/>
    <mergeCell ref="P258:U258"/>
  </mergeCells>
  <pageMargins left="0.7" right="0.7" top="0.75" bottom="0.75" header="0.3" footer="0.3"/>
  <pageSetup scale="93" orientation="landscape" r:id="rId1"/>
  <rowBreaks count="2" manualBreakCount="2">
    <brk id="296" max="20" man="1"/>
    <brk id="337" max="20" man="1"/>
  </rowBreak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7"/>
  <dimension ref="A1:L363"/>
  <sheetViews>
    <sheetView showGridLines="0" topLeftCell="A13" zoomScaleNormal="100" workbookViewId="0">
      <selection activeCell="N421" sqref="N421"/>
    </sheetView>
  </sheetViews>
  <sheetFormatPr baseColWidth="10" defaultColWidth="9" defaultRowHeight="11"/>
  <cols>
    <col min="1" max="1" width="7.6640625" style="99" customWidth="1"/>
    <col min="2" max="11" width="7" style="18" customWidth="1"/>
    <col min="12" max="16384" width="9" style="1"/>
  </cols>
  <sheetData>
    <row r="1" spans="1:12" ht="15.75" customHeight="1">
      <c r="A1" s="279" t="s">
        <v>128</v>
      </c>
      <c r="B1" s="279"/>
      <c r="C1" s="279"/>
      <c r="D1" s="279"/>
      <c r="E1" s="279"/>
      <c r="F1" s="279"/>
      <c r="G1" s="279"/>
      <c r="H1" s="279"/>
      <c r="I1" s="279"/>
      <c r="J1" s="279"/>
      <c r="K1" s="279"/>
    </row>
    <row r="2" spans="1:12" ht="12" customHeight="1">
      <c r="A2" s="339" t="s">
        <v>27</v>
      </c>
      <c r="B2" s="14"/>
      <c r="C2" s="14"/>
      <c r="D2" s="14"/>
      <c r="E2" s="14"/>
      <c r="F2" s="14"/>
      <c r="G2" s="14"/>
      <c r="H2" s="14"/>
      <c r="I2" s="14"/>
      <c r="J2" s="341" t="s">
        <v>55</v>
      </c>
      <c r="K2" s="341"/>
    </row>
    <row r="3" spans="1:12" ht="12" customHeight="1">
      <c r="A3" s="340"/>
      <c r="B3" s="225" t="s">
        <v>65</v>
      </c>
      <c r="C3" s="225" t="s">
        <v>29</v>
      </c>
      <c r="D3" s="225" t="s">
        <v>30</v>
      </c>
      <c r="E3" s="225" t="s">
        <v>31</v>
      </c>
      <c r="F3" s="225" t="s">
        <v>32</v>
      </c>
      <c r="G3" s="225" t="s">
        <v>33</v>
      </c>
      <c r="H3" s="225" t="s">
        <v>34</v>
      </c>
      <c r="I3" s="225" t="s">
        <v>67</v>
      </c>
      <c r="J3" s="225" t="s">
        <v>68</v>
      </c>
      <c r="K3" s="225" t="s">
        <v>46</v>
      </c>
    </row>
    <row r="4" spans="1:12" ht="12" customHeight="1">
      <c r="A4" s="94" t="s">
        <v>66</v>
      </c>
      <c r="B4" s="20"/>
      <c r="L4" s="4"/>
    </row>
    <row r="5" spans="1:12" ht="12" customHeight="1">
      <c r="A5" s="99">
        <v>1976</v>
      </c>
      <c r="B5" s="24">
        <v>516</v>
      </c>
      <c r="C5" s="24">
        <v>47</v>
      </c>
      <c r="D5" s="24">
        <v>36</v>
      </c>
      <c r="E5" s="24">
        <v>28</v>
      </c>
      <c r="F5" s="24">
        <v>18</v>
      </c>
      <c r="G5" s="24">
        <v>6</v>
      </c>
      <c r="H5" s="24">
        <v>1</v>
      </c>
      <c r="I5" s="24">
        <v>63</v>
      </c>
      <c r="J5" s="24">
        <f t="shared" ref="J5:J46" si="0">SUM(C5:G5)</f>
        <v>135</v>
      </c>
      <c r="K5" s="24">
        <f t="shared" ref="K5:K45" si="1">SUM(B5:I5)</f>
        <v>715</v>
      </c>
      <c r="L5" s="4"/>
    </row>
    <row r="6" spans="1:12" ht="12" customHeight="1">
      <c r="A6" s="99">
        <v>1977</v>
      </c>
      <c r="B6" s="24">
        <v>90</v>
      </c>
      <c r="C6" s="24">
        <v>26</v>
      </c>
      <c r="D6" s="24">
        <v>45</v>
      </c>
      <c r="E6" s="24">
        <v>41</v>
      </c>
      <c r="F6" s="24">
        <v>70</v>
      </c>
      <c r="G6" s="24">
        <v>43</v>
      </c>
      <c r="H6" s="24">
        <v>2</v>
      </c>
      <c r="I6" s="24">
        <v>27</v>
      </c>
      <c r="J6" s="24">
        <f t="shared" si="0"/>
        <v>225</v>
      </c>
      <c r="K6" s="24">
        <f t="shared" si="1"/>
        <v>344</v>
      </c>
      <c r="L6" s="4"/>
    </row>
    <row r="7" spans="1:12" ht="12" customHeight="1">
      <c r="A7" s="99">
        <v>1978</v>
      </c>
      <c r="B7" s="24">
        <v>212</v>
      </c>
      <c r="C7" s="24">
        <v>49</v>
      </c>
      <c r="D7" s="24">
        <v>57</v>
      </c>
      <c r="E7" s="24">
        <v>29</v>
      </c>
      <c r="F7" s="24">
        <v>54</v>
      </c>
      <c r="G7" s="24">
        <v>29</v>
      </c>
      <c r="H7" s="24">
        <v>6</v>
      </c>
      <c r="I7" s="24">
        <v>34</v>
      </c>
      <c r="J7" s="24">
        <f t="shared" si="0"/>
        <v>218</v>
      </c>
      <c r="K7" s="24">
        <f t="shared" si="1"/>
        <v>470</v>
      </c>
      <c r="L7" s="4"/>
    </row>
    <row r="8" spans="1:12" ht="12" customHeight="1">
      <c r="A8" s="99">
        <v>1979</v>
      </c>
      <c r="B8" s="24">
        <v>111</v>
      </c>
      <c r="C8" s="24">
        <v>29</v>
      </c>
      <c r="D8" s="24">
        <v>56</v>
      </c>
      <c r="E8" s="24">
        <v>66</v>
      </c>
      <c r="F8" s="24">
        <v>67</v>
      </c>
      <c r="G8" s="24">
        <v>23</v>
      </c>
      <c r="H8" s="24">
        <v>6</v>
      </c>
      <c r="I8" s="24">
        <v>30</v>
      </c>
      <c r="J8" s="24">
        <f t="shared" si="0"/>
        <v>241</v>
      </c>
      <c r="K8" s="24">
        <f t="shared" si="1"/>
        <v>388</v>
      </c>
      <c r="L8" s="4"/>
    </row>
    <row r="9" spans="1:12" ht="12" customHeight="1">
      <c r="A9" s="99">
        <v>1980</v>
      </c>
      <c r="B9" s="24">
        <v>104</v>
      </c>
      <c r="C9" s="24">
        <v>12</v>
      </c>
      <c r="D9" s="24">
        <v>10</v>
      </c>
      <c r="E9" s="24">
        <v>19</v>
      </c>
      <c r="F9" s="24">
        <v>13</v>
      </c>
      <c r="G9" s="24">
        <v>11</v>
      </c>
      <c r="H9" s="24">
        <v>5</v>
      </c>
      <c r="I9" s="24">
        <v>30</v>
      </c>
      <c r="J9" s="24">
        <f t="shared" si="0"/>
        <v>65</v>
      </c>
      <c r="K9" s="24">
        <f t="shared" si="1"/>
        <v>204</v>
      </c>
      <c r="L9" s="4"/>
    </row>
    <row r="10" spans="1:12" ht="12" customHeight="1">
      <c r="A10" s="99">
        <v>1981</v>
      </c>
      <c r="B10" s="24">
        <v>114</v>
      </c>
      <c r="C10" s="24">
        <v>69</v>
      </c>
      <c r="D10" s="24">
        <v>47</v>
      </c>
      <c r="E10" s="24">
        <v>47</v>
      </c>
      <c r="F10" s="24">
        <v>61</v>
      </c>
      <c r="G10" s="24">
        <v>21</v>
      </c>
      <c r="H10" s="24">
        <v>5</v>
      </c>
      <c r="I10" s="24">
        <v>49</v>
      </c>
      <c r="J10" s="24">
        <f t="shared" si="0"/>
        <v>245</v>
      </c>
      <c r="K10" s="24">
        <f t="shared" si="1"/>
        <v>413</v>
      </c>
      <c r="L10" s="4"/>
    </row>
    <row r="11" spans="1:12" ht="12" customHeight="1">
      <c r="A11" s="99">
        <v>1982</v>
      </c>
      <c r="B11" s="24">
        <v>161</v>
      </c>
      <c r="C11" s="24">
        <v>37</v>
      </c>
      <c r="D11" s="24">
        <v>51</v>
      </c>
      <c r="E11" s="24">
        <v>62</v>
      </c>
      <c r="F11" s="24">
        <v>78</v>
      </c>
      <c r="G11" s="24">
        <v>36</v>
      </c>
      <c r="H11" s="24">
        <v>20</v>
      </c>
      <c r="I11" s="24">
        <v>32</v>
      </c>
      <c r="J11" s="24">
        <f t="shared" si="0"/>
        <v>264</v>
      </c>
      <c r="K11" s="24">
        <f t="shared" si="1"/>
        <v>477</v>
      </c>
      <c r="L11" s="4"/>
    </row>
    <row r="12" spans="1:12" ht="12" customHeight="1">
      <c r="A12" s="99">
        <v>1983</v>
      </c>
      <c r="B12" s="24">
        <v>254</v>
      </c>
      <c r="C12" s="24">
        <v>88</v>
      </c>
      <c r="D12" s="24">
        <v>93</v>
      </c>
      <c r="E12" s="24">
        <v>97</v>
      </c>
      <c r="F12" s="24">
        <v>134</v>
      </c>
      <c r="G12" s="24">
        <v>13</v>
      </c>
      <c r="H12" s="24">
        <v>10</v>
      </c>
      <c r="I12" s="24">
        <v>31</v>
      </c>
      <c r="J12" s="24">
        <f t="shared" si="0"/>
        <v>425</v>
      </c>
      <c r="K12" s="24">
        <f t="shared" si="1"/>
        <v>720</v>
      </c>
      <c r="L12" s="4"/>
    </row>
    <row r="13" spans="1:12" ht="12" customHeight="1">
      <c r="A13" s="99">
        <v>1984</v>
      </c>
      <c r="B13" s="24">
        <v>166</v>
      </c>
      <c r="C13" s="24">
        <v>35</v>
      </c>
      <c r="D13" s="24">
        <v>22</v>
      </c>
      <c r="E13" s="24">
        <v>30</v>
      </c>
      <c r="F13" s="24">
        <v>6</v>
      </c>
      <c r="G13" s="24">
        <v>0</v>
      </c>
      <c r="H13" s="24">
        <v>12</v>
      </c>
      <c r="I13" s="24">
        <v>27</v>
      </c>
      <c r="J13" s="24">
        <f t="shared" si="0"/>
        <v>93</v>
      </c>
      <c r="K13" s="24">
        <f t="shared" si="1"/>
        <v>298</v>
      </c>
      <c r="L13" s="4"/>
    </row>
    <row r="14" spans="1:12" ht="12" customHeight="1">
      <c r="A14" s="99">
        <v>1985</v>
      </c>
      <c r="B14" s="24">
        <v>139</v>
      </c>
      <c r="C14" s="24">
        <v>36</v>
      </c>
      <c r="D14" s="24">
        <v>2</v>
      </c>
      <c r="E14" s="24">
        <v>36</v>
      </c>
      <c r="F14" s="24">
        <v>6</v>
      </c>
      <c r="G14" s="24">
        <v>11</v>
      </c>
      <c r="H14" s="24">
        <v>22</v>
      </c>
      <c r="I14" s="24">
        <v>19</v>
      </c>
      <c r="J14" s="24">
        <f t="shared" si="0"/>
        <v>91</v>
      </c>
      <c r="K14" s="24">
        <f t="shared" si="1"/>
        <v>271</v>
      </c>
      <c r="L14" s="4"/>
    </row>
    <row r="15" spans="1:12" ht="12" customHeight="1">
      <c r="A15" s="99">
        <v>1986</v>
      </c>
      <c r="B15" s="24">
        <v>109</v>
      </c>
      <c r="C15" s="24">
        <v>44</v>
      </c>
      <c r="D15" s="24">
        <v>58</v>
      </c>
      <c r="E15" s="24">
        <v>63</v>
      </c>
      <c r="F15" s="24">
        <v>35</v>
      </c>
      <c r="G15" s="24">
        <v>1</v>
      </c>
      <c r="H15" s="24">
        <v>0</v>
      </c>
      <c r="I15" s="24">
        <v>23</v>
      </c>
      <c r="J15" s="24">
        <f t="shared" si="0"/>
        <v>201</v>
      </c>
      <c r="K15" s="24">
        <f t="shared" si="1"/>
        <v>333</v>
      </c>
      <c r="L15" s="4"/>
    </row>
    <row r="16" spans="1:12" ht="12" customHeight="1">
      <c r="A16" s="99">
        <v>1987</v>
      </c>
      <c r="B16" s="24">
        <v>166</v>
      </c>
      <c r="C16" s="24">
        <v>46</v>
      </c>
      <c r="D16" s="24">
        <v>0</v>
      </c>
      <c r="E16" s="24">
        <v>78</v>
      </c>
      <c r="F16" s="24">
        <v>71</v>
      </c>
      <c r="G16" s="24">
        <v>0</v>
      </c>
      <c r="H16" s="24">
        <v>6</v>
      </c>
      <c r="I16" s="24">
        <v>44</v>
      </c>
      <c r="J16" s="24">
        <f t="shared" si="0"/>
        <v>195</v>
      </c>
      <c r="K16" s="24">
        <f t="shared" si="1"/>
        <v>411</v>
      </c>
      <c r="L16" s="4"/>
    </row>
    <row r="17" spans="1:12" ht="12" customHeight="1">
      <c r="A17" s="99">
        <v>1988</v>
      </c>
      <c r="B17" s="24">
        <v>157</v>
      </c>
      <c r="C17" s="24">
        <v>92</v>
      </c>
      <c r="D17" s="24">
        <v>76</v>
      </c>
      <c r="E17" s="24">
        <v>42</v>
      </c>
      <c r="F17" s="24">
        <v>74</v>
      </c>
      <c r="G17" s="24">
        <v>4</v>
      </c>
      <c r="H17" s="24">
        <v>0</v>
      </c>
      <c r="I17" s="24">
        <v>45</v>
      </c>
      <c r="J17" s="24">
        <f t="shared" si="0"/>
        <v>288</v>
      </c>
      <c r="K17" s="24">
        <f t="shared" si="1"/>
        <v>490</v>
      </c>
      <c r="L17" s="4"/>
    </row>
    <row r="18" spans="1:12" ht="12" customHeight="1">
      <c r="A18" s="99">
        <v>1989</v>
      </c>
      <c r="B18" s="24">
        <v>300</v>
      </c>
      <c r="C18" s="24">
        <v>65</v>
      </c>
      <c r="D18" s="24">
        <v>53</v>
      </c>
      <c r="E18" s="24">
        <v>139</v>
      </c>
      <c r="F18" s="24">
        <v>123</v>
      </c>
      <c r="G18" s="24">
        <v>75</v>
      </c>
      <c r="H18" s="24">
        <v>0</v>
      </c>
      <c r="I18" s="24">
        <v>71</v>
      </c>
      <c r="J18" s="24">
        <f t="shared" si="0"/>
        <v>455</v>
      </c>
      <c r="K18" s="24">
        <f t="shared" si="1"/>
        <v>826</v>
      </c>
    </row>
    <row r="19" spans="1:12" ht="12" customHeight="1">
      <c r="A19" s="99">
        <v>1990</v>
      </c>
      <c r="B19" s="24">
        <v>105</v>
      </c>
      <c r="C19" s="24">
        <v>69</v>
      </c>
      <c r="D19" s="24">
        <v>79</v>
      </c>
      <c r="E19" s="24">
        <v>55</v>
      </c>
      <c r="F19" s="24">
        <v>159</v>
      </c>
      <c r="G19" s="24">
        <v>42</v>
      </c>
      <c r="H19" s="24">
        <v>2</v>
      </c>
      <c r="I19" s="24">
        <v>31</v>
      </c>
      <c r="J19" s="24">
        <f t="shared" si="0"/>
        <v>404</v>
      </c>
      <c r="K19" s="24">
        <f t="shared" si="1"/>
        <v>542</v>
      </c>
    </row>
    <row r="20" spans="1:12" ht="12" customHeight="1">
      <c r="A20" s="99">
        <v>1991</v>
      </c>
      <c r="B20" s="24">
        <v>127</v>
      </c>
      <c r="C20" s="24">
        <v>46</v>
      </c>
      <c r="D20" s="24">
        <v>27</v>
      </c>
      <c r="E20" s="24">
        <v>48</v>
      </c>
      <c r="F20" s="24">
        <v>137</v>
      </c>
      <c r="G20" s="24">
        <v>0</v>
      </c>
      <c r="H20" s="24">
        <v>50</v>
      </c>
      <c r="I20" s="24">
        <v>33</v>
      </c>
      <c r="J20" s="24">
        <f t="shared" si="0"/>
        <v>258</v>
      </c>
      <c r="K20" s="24">
        <f t="shared" si="1"/>
        <v>468</v>
      </c>
    </row>
    <row r="21" spans="1:12" ht="12" customHeight="1">
      <c r="A21" s="99">
        <v>1992</v>
      </c>
      <c r="B21" s="24">
        <v>80</v>
      </c>
      <c r="C21" s="24">
        <v>26</v>
      </c>
      <c r="D21" s="24">
        <v>43</v>
      </c>
      <c r="E21" s="24">
        <v>25</v>
      </c>
      <c r="F21" s="24">
        <v>65</v>
      </c>
      <c r="G21" s="24">
        <v>0</v>
      </c>
      <c r="H21" s="24">
        <v>1</v>
      </c>
      <c r="I21" s="24">
        <v>56</v>
      </c>
      <c r="J21" s="24">
        <f t="shared" si="0"/>
        <v>159</v>
      </c>
      <c r="K21" s="24">
        <f t="shared" si="1"/>
        <v>296</v>
      </c>
    </row>
    <row r="22" spans="1:12" ht="12" customHeight="1">
      <c r="A22" s="99">
        <v>1993</v>
      </c>
      <c r="B22" s="24">
        <v>98</v>
      </c>
      <c r="C22" s="24">
        <v>78</v>
      </c>
      <c r="D22" s="24">
        <v>44</v>
      </c>
      <c r="E22" s="24">
        <v>74</v>
      </c>
      <c r="F22" s="24">
        <v>52</v>
      </c>
      <c r="G22" s="24">
        <v>17</v>
      </c>
      <c r="H22" s="24" t="s">
        <v>23</v>
      </c>
      <c r="I22" s="24">
        <v>18</v>
      </c>
      <c r="J22" s="24">
        <f t="shared" si="0"/>
        <v>265</v>
      </c>
      <c r="K22" s="24">
        <f t="shared" si="1"/>
        <v>381</v>
      </c>
    </row>
    <row r="23" spans="1:12" ht="12" customHeight="1">
      <c r="A23" s="99">
        <v>1994</v>
      </c>
      <c r="B23" s="24">
        <v>55</v>
      </c>
      <c r="C23" s="24">
        <v>19</v>
      </c>
      <c r="D23" s="24">
        <v>19</v>
      </c>
      <c r="E23" s="24">
        <v>0</v>
      </c>
      <c r="F23" s="24">
        <v>0</v>
      </c>
      <c r="G23" s="24">
        <v>0</v>
      </c>
      <c r="H23" s="24" t="s">
        <v>23</v>
      </c>
      <c r="I23" s="24">
        <v>4</v>
      </c>
      <c r="J23" s="24">
        <f t="shared" si="0"/>
        <v>38</v>
      </c>
      <c r="K23" s="24">
        <f t="shared" si="1"/>
        <v>97</v>
      </c>
    </row>
    <row r="24" spans="1:12" ht="12" customHeight="1">
      <c r="A24" s="99">
        <v>1995</v>
      </c>
      <c r="B24" s="24">
        <v>16</v>
      </c>
      <c r="C24" s="24">
        <v>5</v>
      </c>
      <c r="D24" s="24">
        <v>0</v>
      </c>
      <c r="E24" s="24">
        <v>0</v>
      </c>
      <c r="F24" s="24">
        <v>65</v>
      </c>
      <c r="G24" s="24">
        <v>0</v>
      </c>
      <c r="H24" s="24" t="s">
        <v>23</v>
      </c>
      <c r="I24" s="24">
        <v>19</v>
      </c>
      <c r="J24" s="24">
        <f t="shared" si="0"/>
        <v>70</v>
      </c>
      <c r="K24" s="24">
        <f t="shared" si="1"/>
        <v>105</v>
      </c>
    </row>
    <row r="25" spans="1:12" ht="12" customHeight="1">
      <c r="A25" s="99">
        <v>1996</v>
      </c>
      <c r="B25" s="24">
        <v>45</v>
      </c>
      <c r="C25" s="24">
        <v>7</v>
      </c>
      <c r="D25" s="24">
        <v>21</v>
      </c>
      <c r="E25" s="24">
        <v>2</v>
      </c>
      <c r="F25" s="24">
        <v>20</v>
      </c>
      <c r="G25" s="24">
        <v>10</v>
      </c>
      <c r="H25" s="24" t="s">
        <v>23</v>
      </c>
      <c r="I25" s="24">
        <v>4</v>
      </c>
      <c r="J25" s="24">
        <f t="shared" si="0"/>
        <v>60</v>
      </c>
      <c r="K25" s="24">
        <f t="shared" si="1"/>
        <v>109</v>
      </c>
    </row>
    <row r="26" spans="1:12" ht="12" customHeight="1">
      <c r="A26" s="99">
        <v>1997</v>
      </c>
      <c r="B26" s="24">
        <v>9</v>
      </c>
      <c r="C26" s="24">
        <v>17</v>
      </c>
      <c r="D26" s="24">
        <v>21</v>
      </c>
      <c r="E26" s="24">
        <v>0</v>
      </c>
      <c r="F26" s="24">
        <v>46</v>
      </c>
      <c r="G26" s="24">
        <v>10</v>
      </c>
      <c r="H26" s="24" t="s">
        <v>23</v>
      </c>
      <c r="I26" s="24">
        <v>2</v>
      </c>
      <c r="J26" s="24">
        <f t="shared" si="0"/>
        <v>94</v>
      </c>
      <c r="K26" s="24">
        <f t="shared" si="1"/>
        <v>105</v>
      </c>
    </row>
    <row r="27" spans="1:12" ht="12" customHeight="1">
      <c r="A27" s="99">
        <v>1998</v>
      </c>
      <c r="B27" s="24">
        <v>6</v>
      </c>
      <c r="C27" s="24">
        <v>7</v>
      </c>
      <c r="D27" s="24">
        <v>2</v>
      </c>
      <c r="E27" s="24">
        <v>0</v>
      </c>
      <c r="F27" s="24">
        <v>11</v>
      </c>
      <c r="G27" s="24">
        <v>8</v>
      </c>
      <c r="H27" s="24" t="s">
        <v>23</v>
      </c>
      <c r="I27" s="24">
        <v>2</v>
      </c>
      <c r="J27" s="24">
        <f t="shared" si="0"/>
        <v>28</v>
      </c>
      <c r="K27" s="24">
        <f t="shared" si="1"/>
        <v>36</v>
      </c>
    </row>
    <row r="28" spans="1:12" ht="12" customHeight="1">
      <c r="A28" s="99">
        <v>1999</v>
      </c>
      <c r="B28" s="24">
        <v>6</v>
      </c>
      <c r="C28" s="24">
        <v>19</v>
      </c>
      <c r="D28" s="24">
        <v>12</v>
      </c>
      <c r="E28" s="24">
        <v>0</v>
      </c>
      <c r="F28" s="24">
        <v>35</v>
      </c>
      <c r="G28" s="24">
        <v>2</v>
      </c>
      <c r="H28" s="24" t="s">
        <v>23</v>
      </c>
      <c r="I28" s="24">
        <v>1</v>
      </c>
      <c r="J28" s="24">
        <f t="shared" si="0"/>
        <v>68</v>
      </c>
      <c r="K28" s="24">
        <f t="shared" si="1"/>
        <v>75</v>
      </c>
    </row>
    <row r="29" spans="1:12" ht="12" customHeight="1">
      <c r="A29" s="99">
        <v>2000</v>
      </c>
      <c r="B29" s="24">
        <v>5</v>
      </c>
      <c r="C29" s="24">
        <v>11</v>
      </c>
      <c r="D29" s="24">
        <v>16</v>
      </c>
      <c r="E29" s="24">
        <v>1</v>
      </c>
      <c r="F29" s="24">
        <v>11</v>
      </c>
      <c r="G29" s="24">
        <v>0</v>
      </c>
      <c r="H29" s="24" t="s">
        <v>23</v>
      </c>
      <c r="I29" s="24">
        <v>1</v>
      </c>
      <c r="J29" s="24">
        <f t="shared" si="0"/>
        <v>39</v>
      </c>
      <c r="K29" s="24">
        <f t="shared" si="1"/>
        <v>45</v>
      </c>
    </row>
    <row r="30" spans="1:12" ht="12" customHeight="1">
      <c r="A30" s="99">
        <v>2001</v>
      </c>
      <c r="B30" s="24">
        <v>22</v>
      </c>
      <c r="C30" s="24">
        <v>42</v>
      </c>
      <c r="D30" s="24">
        <v>33</v>
      </c>
      <c r="E30" s="24">
        <v>47</v>
      </c>
      <c r="F30" s="24">
        <v>60</v>
      </c>
      <c r="G30" s="24">
        <v>23</v>
      </c>
      <c r="H30" s="24" t="s">
        <v>23</v>
      </c>
      <c r="I30" s="24">
        <v>5</v>
      </c>
      <c r="J30" s="24">
        <f t="shared" si="0"/>
        <v>205</v>
      </c>
      <c r="K30" s="24">
        <f t="shared" si="1"/>
        <v>232</v>
      </c>
    </row>
    <row r="31" spans="1:12" ht="12" customHeight="1">
      <c r="A31" s="99">
        <v>2002</v>
      </c>
      <c r="B31" s="24">
        <v>13</v>
      </c>
      <c r="C31" s="24">
        <v>8</v>
      </c>
      <c r="D31" s="24">
        <v>12</v>
      </c>
      <c r="E31" s="24">
        <v>5</v>
      </c>
      <c r="F31" s="24">
        <v>1</v>
      </c>
      <c r="G31" s="24">
        <v>0</v>
      </c>
      <c r="H31" s="24" t="s">
        <v>23</v>
      </c>
      <c r="I31" s="24">
        <v>3</v>
      </c>
      <c r="J31" s="24">
        <f t="shared" si="0"/>
        <v>26</v>
      </c>
      <c r="K31" s="24">
        <f t="shared" si="1"/>
        <v>42</v>
      </c>
    </row>
    <row r="32" spans="1:12" ht="12" customHeight="1">
      <c r="A32" s="99">
        <v>2003</v>
      </c>
      <c r="B32" s="24">
        <v>5</v>
      </c>
      <c r="C32" s="24">
        <v>2</v>
      </c>
      <c r="D32" s="24">
        <v>1</v>
      </c>
      <c r="E32" s="24">
        <v>2</v>
      </c>
      <c r="F32" s="24">
        <v>0</v>
      </c>
      <c r="G32" s="24">
        <v>3</v>
      </c>
      <c r="H32" s="24" t="s">
        <v>23</v>
      </c>
      <c r="I32" s="24">
        <v>2</v>
      </c>
      <c r="J32" s="24">
        <f t="shared" si="0"/>
        <v>8</v>
      </c>
      <c r="K32" s="24">
        <f t="shared" si="1"/>
        <v>15</v>
      </c>
    </row>
    <row r="33" spans="1:11" ht="12" customHeight="1">
      <c r="A33" s="99">
        <v>2004</v>
      </c>
      <c r="B33" s="24">
        <v>28</v>
      </c>
      <c r="C33" s="24">
        <v>0</v>
      </c>
      <c r="D33" s="24">
        <v>12</v>
      </c>
      <c r="E33" s="24">
        <v>38</v>
      </c>
      <c r="F33" s="24">
        <v>68</v>
      </c>
      <c r="G33" s="24">
        <v>22</v>
      </c>
      <c r="H33" s="24" t="s">
        <v>23</v>
      </c>
      <c r="I33" s="24">
        <v>107</v>
      </c>
      <c r="J33" s="24">
        <f t="shared" si="0"/>
        <v>140</v>
      </c>
      <c r="K33" s="24">
        <f t="shared" si="1"/>
        <v>275</v>
      </c>
    </row>
    <row r="34" spans="1:11" ht="12" customHeight="1">
      <c r="A34" s="99">
        <v>2005</v>
      </c>
      <c r="B34" s="24">
        <v>103</v>
      </c>
      <c r="C34" s="24">
        <v>21</v>
      </c>
      <c r="D34" s="24">
        <v>32</v>
      </c>
      <c r="E34" s="24">
        <v>45</v>
      </c>
      <c r="F34" s="24">
        <v>5</v>
      </c>
      <c r="G34" s="24">
        <v>3</v>
      </c>
      <c r="H34" s="24" t="s">
        <v>23</v>
      </c>
      <c r="I34" s="24">
        <v>206</v>
      </c>
      <c r="J34" s="24">
        <f t="shared" si="0"/>
        <v>106</v>
      </c>
      <c r="K34" s="24">
        <f t="shared" si="1"/>
        <v>415</v>
      </c>
    </row>
    <row r="35" spans="1:11" ht="12" customHeight="1">
      <c r="A35" s="99">
        <v>2006</v>
      </c>
      <c r="B35" s="24">
        <v>28</v>
      </c>
      <c r="C35" s="24">
        <v>13</v>
      </c>
      <c r="D35" s="24">
        <v>157</v>
      </c>
      <c r="E35" s="24">
        <v>16</v>
      </c>
      <c r="F35" s="24">
        <v>15</v>
      </c>
      <c r="G35" s="24">
        <v>10</v>
      </c>
      <c r="H35" s="24" t="s">
        <v>23</v>
      </c>
      <c r="I35" s="24">
        <v>39</v>
      </c>
      <c r="J35" s="24">
        <f t="shared" si="0"/>
        <v>211</v>
      </c>
      <c r="K35" s="24">
        <f t="shared" si="1"/>
        <v>278</v>
      </c>
    </row>
    <row r="36" spans="1:11" ht="12" customHeight="1">
      <c r="A36" s="99">
        <v>2007</v>
      </c>
      <c r="B36" s="24">
        <v>179</v>
      </c>
      <c r="C36" s="24">
        <v>9</v>
      </c>
      <c r="D36" s="24">
        <v>29</v>
      </c>
      <c r="E36" s="24">
        <v>48</v>
      </c>
      <c r="F36" s="24">
        <v>18</v>
      </c>
      <c r="G36" s="24">
        <v>0</v>
      </c>
      <c r="H36" s="24" t="s">
        <v>23</v>
      </c>
      <c r="I36" s="24">
        <v>129</v>
      </c>
      <c r="J36" s="24">
        <f t="shared" si="0"/>
        <v>104</v>
      </c>
      <c r="K36" s="24">
        <f t="shared" si="1"/>
        <v>412</v>
      </c>
    </row>
    <row r="37" spans="1:11" ht="12" customHeight="1">
      <c r="A37" s="99">
        <v>2008</v>
      </c>
      <c r="B37" s="24">
        <v>52</v>
      </c>
      <c r="C37" s="24">
        <v>9</v>
      </c>
      <c r="D37" s="24">
        <v>21</v>
      </c>
      <c r="E37" s="24">
        <v>59</v>
      </c>
      <c r="F37" s="24">
        <v>110</v>
      </c>
      <c r="G37" s="24">
        <v>13</v>
      </c>
      <c r="H37" s="24" t="s">
        <v>23</v>
      </c>
      <c r="I37" s="24">
        <v>51</v>
      </c>
      <c r="J37" s="24">
        <f t="shared" si="0"/>
        <v>212</v>
      </c>
      <c r="K37" s="24">
        <f t="shared" si="1"/>
        <v>315</v>
      </c>
    </row>
    <row r="38" spans="1:11" ht="12" customHeight="1">
      <c r="A38" s="99">
        <v>2009</v>
      </c>
      <c r="B38" s="24">
        <v>76</v>
      </c>
      <c r="C38" s="24">
        <v>48</v>
      </c>
      <c r="D38" s="24">
        <v>202</v>
      </c>
      <c r="E38" s="24">
        <v>101</v>
      </c>
      <c r="F38" s="24">
        <v>124</v>
      </c>
      <c r="G38" s="24">
        <v>4</v>
      </c>
      <c r="H38" s="24" t="s">
        <v>23</v>
      </c>
      <c r="I38" s="24">
        <v>18</v>
      </c>
      <c r="J38" s="24">
        <f t="shared" si="0"/>
        <v>479</v>
      </c>
      <c r="K38" s="24">
        <f t="shared" si="1"/>
        <v>573</v>
      </c>
    </row>
    <row r="39" spans="1:11" ht="12" customHeight="1">
      <c r="A39" s="99">
        <v>2010</v>
      </c>
      <c r="B39" s="24">
        <v>145</v>
      </c>
      <c r="C39" s="24">
        <v>143</v>
      </c>
      <c r="D39" s="24">
        <v>200</v>
      </c>
      <c r="E39" s="24">
        <v>25</v>
      </c>
      <c r="F39" s="24">
        <v>7</v>
      </c>
      <c r="G39" s="24">
        <v>1</v>
      </c>
      <c r="H39" s="24" t="s">
        <v>23</v>
      </c>
      <c r="I39" s="24">
        <v>51</v>
      </c>
      <c r="J39" s="24">
        <f t="shared" si="0"/>
        <v>376</v>
      </c>
      <c r="K39" s="24">
        <f t="shared" si="1"/>
        <v>572</v>
      </c>
    </row>
    <row r="40" spans="1:11" ht="12" customHeight="1">
      <c r="A40" s="99">
        <v>2011</v>
      </c>
      <c r="B40" s="24">
        <v>303</v>
      </c>
      <c r="C40" s="24">
        <v>68</v>
      </c>
      <c r="D40" s="24">
        <v>51</v>
      </c>
      <c r="E40" s="24">
        <v>7</v>
      </c>
      <c r="F40" s="24">
        <v>1</v>
      </c>
      <c r="G40" s="24">
        <v>0</v>
      </c>
      <c r="H40" s="24" t="s">
        <v>23</v>
      </c>
      <c r="I40" s="24">
        <v>22</v>
      </c>
      <c r="J40" s="24">
        <f t="shared" si="0"/>
        <v>127</v>
      </c>
      <c r="K40" s="24">
        <f t="shared" si="1"/>
        <v>452</v>
      </c>
    </row>
    <row r="41" spans="1:11" ht="12" customHeight="1">
      <c r="A41" s="99">
        <v>2012</v>
      </c>
      <c r="B41" s="24">
        <v>182</v>
      </c>
      <c r="C41" s="24">
        <v>75</v>
      </c>
      <c r="D41" s="24">
        <v>78</v>
      </c>
      <c r="E41" s="24">
        <v>67</v>
      </c>
      <c r="F41" s="24">
        <v>16</v>
      </c>
      <c r="G41" s="24">
        <v>8</v>
      </c>
      <c r="H41" s="24" t="s">
        <v>23</v>
      </c>
      <c r="I41" s="24">
        <v>29</v>
      </c>
      <c r="J41" s="24">
        <f t="shared" si="0"/>
        <v>244</v>
      </c>
      <c r="K41" s="24">
        <f t="shared" si="1"/>
        <v>455</v>
      </c>
    </row>
    <row r="42" spans="1:11" ht="12" customHeight="1">
      <c r="A42" s="99">
        <v>2013</v>
      </c>
      <c r="B42" s="24">
        <v>270</v>
      </c>
      <c r="C42" s="24">
        <v>141</v>
      </c>
      <c r="D42" s="24">
        <v>74</v>
      </c>
      <c r="E42" s="24">
        <v>64</v>
      </c>
      <c r="F42" s="24">
        <v>46</v>
      </c>
      <c r="G42" s="24">
        <v>13</v>
      </c>
      <c r="H42" s="24" t="s">
        <v>23</v>
      </c>
      <c r="I42" s="24">
        <v>124</v>
      </c>
      <c r="J42" s="24">
        <f t="shared" si="0"/>
        <v>338</v>
      </c>
      <c r="K42" s="24">
        <f t="shared" si="1"/>
        <v>732</v>
      </c>
    </row>
    <row r="43" spans="1:11" ht="12" customHeight="1">
      <c r="A43" s="99">
        <v>2014</v>
      </c>
      <c r="B43" s="24">
        <v>419</v>
      </c>
      <c r="C43" s="24">
        <v>45</v>
      </c>
      <c r="D43" s="24">
        <v>167</v>
      </c>
      <c r="E43" s="24">
        <v>6</v>
      </c>
      <c r="F43" s="24">
        <v>6</v>
      </c>
      <c r="G43" s="24">
        <v>6</v>
      </c>
      <c r="H43" s="24" t="s">
        <v>23</v>
      </c>
      <c r="I43" s="24">
        <v>34</v>
      </c>
      <c r="J43" s="24">
        <f t="shared" si="0"/>
        <v>230</v>
      </c>
      <c r="K43" s="24">
        <f t="shared" si="1"/>
        <v>683</v>
      </c>
    </row>
    <row r="44" spans="1:11" ht="12" customHeight="1">
      <c r="A44" s="99">
        <v>2015</v>
      </c>
      <c r="B44" s="24">
        <v>384</v>
      </c>
      <c r="C44" s="24">
        <v>255</v>
      </c>
      <c r="D44" s="24">
        <v>173</v>
      </c>
      <c r="E44" s="24">
        <v>4</v>
      </c>
      <c r="F44" s="24">
        <v>40</v>
      </c>
      <c r="G44" s="24">
        <v>28</v>
      </c>
      <c r="H44" s="210" t="s">
        <v>23</v>
      </c>
      <c r="I44" s="24">
        <v>7</v>
      </c>
      <c r="J44" s="24">
        <f t="shared" si="0"/>
        <v>500</v>
      </c>
      <c r="K44" s="24">
        <f t="shared" si="1"/>
        <v>891</v>
      </c>
    </row>
    <row r="45" spans="1:11" ht="12" customHeight="1">
      <c r="A45" s="99">
        <v>2016</v>
      </c>
      <c r="B45" s="24">
        <v>35</v>
      </c>
      <c r="C45" s="24">
        <v>167</v>
      </c>
      <c r="D45" s="24">
        <v>40</v>
      </c>
      <c r="E45" s="24">
        <v>22</v>
      </c>
      <c r="F45" s="24">
        <v>27</v>
      </c>
      <c r="G45" s="24">
        <v>2</v>
      </c>
      <c r="H45" s="24" t="s">
        <v>23</v>
      </c>
      <c r="I45" s="24">
        <v>34</v>
      </c>
      <c r="J45" s="24">
        <f t="shared" si="0"/>
        <v>258</v>
      </c>
      <c r="K45" s="24">
        <f t="shared" si="1"/>
        <v>327</v>
      </c>
    </row>
    <row r="46" spans="1:11" ht="12" customHeight="1">
      <c r="A46" s="99">
        <v>2017</v>
      </c>
      <c r="B46" s="24">
        <v>149</v>
      </c>
      <c r="C46" s="24">
        <v>9</v>
      </c>
      <c r="D46" s="24">
        <v>57</v>
      </c>
      <c r="E46" s="24">
        <v>19</v>
      </c>
      <c r="F46" s="24">
        <v>22</v>
      </c>
      <c r="G46" s="24">
        <v>25</v>
      </c>
      <c r="H46" s="24" t="s">
        <v>23</v>
      </c>
      <c r="I46" s="24">
        <v>3</v>
      </c>
      <c r="J46" s="24">
        <f t="shared" si="0"/>
        <v>132</v>
      </c>
      <c r="K46" s="24">
        <f>SUM(B46:I46)</f>
        <v>284</v>
      </c>
    </row>
    <row r="47" spans="1:11" ht="12" customHeight="1">
      <c r="A47" s="99">
        <v>2018</v>
      </c>
      <c r="B47" s="24">
        <v>93</v>
      </c>
      <c r="C47" s="24">
        <v>73</v>
      </c>
      <c r="D47" s="24">
        <v>114</v>
      </c>
      <c r="E47" s="24">
        <v>86</v>
      </c>
      <c r="F47" s="24">
        <v>21</v>
      </c>
      <c r="G47" s="24">
        <v>22</v>
      </c>
      <c r="H47" s="210" t="s">
        <v>23</v>
      </c>
      <c r="I47" s="24">
        <f>19+7</f>
        <v>26</v>
      </c>
      <c r="J47" s="24">
        <f t="shared" ref="J47:J50" si="2">SUM(C47:G47)</f>
        <v>316</v>
      </c>
      <c r="K47" s="24">
        <f t="shared" ref="K47:K50" si="3">SUM(B47:I47)</f>
        <v>435</v>
      </c>
    </row>
    <row r="48" spans="1:11" ht="12" customHeight="1">
      <c r="A48" s="99">
        <v>2019</v>
      </c>
      <c r="B48" s="24">
        <v>100</v>
      </c>
      <c r="C48" s="24">
        <v>49</v>
      </c>
      <c r="D48" s="24">
        <v>33</v>
      </c>
      <c r="E48" s="24">
        <v>28</v>
      </c>
      <c r="F48" s="24">
        <v>5</v>
      </c>
      <c r="G48" s="24">
        <v>2</v>
      </c>
      <c r="H48" s="210" t="s">
        <v>23</v>
      </c>
      <c r="I48" s="24">
        <v>13</v>
      </c>
      <c r="J48" s="24">
        <f t="shared" si="2"/>
        <v>117</v>
      </c>
      <c r="K48" s="24">
        <f t="shared" si="3"/>
        <v>230</v>
      </c>
    </row>
    <row r="49" spans="1:11" ht="12" customHeight="1">
      <c r="A49" s="99">
        <v>2020</v>
      </c>
      <c r="B49" s="24">
        <v>68</v>
      </c>
      <c r="C49" s="24">
        <v>0</v>
      </c>
      <c r="D49" s="24">
        <v>0</v>
      </c>
      <c r="E49" s="24">
        <v>10</v>
      </c>
      <c r="F49" s="24">
        <v>14</v>
      </c>
      <c r="G49" s="24">
        <v>1</v>
      </c>
      <c r="H49" s="210" t="s">
        <v>23</v>
      </c>
      <c r="I49" s="24">
        <v>0</v>
      </c>
      <c r="J49" s="24">
        <f t="shared" si="2"/>
        <v>25</v>
      </c>
      <c r="K49" s="24">
        <f t="shared" si="3"/>
        <v>93</v>
      </c>
    </row>
    <row r="50" spans="1:11" ht="12" customHeight="1">
      <c r="A50" s="99" t="s">
        <v>317</v>
      </c>
      <c r="B50" s="24">
        <v>18</v>
      </c>
      <c r="C50" s="24">
        <v>21</v>
      </c>
      <c r="D50" s="24">
        <v>84</v>
      </c>
      <c r="E50" s="24">
        <v>116</v>
      </c>
      <c r="F50" s="24">
        <v>19</v>
      </c>
      <c r="G50" s="24">
        <v>3</v>
      </c>
      <c r="H50" s="210" t="s">
        <v>23</v>
      </c>
      <c r="I50" s="24">
        <v>0</v>
      </c>
      <c r="J50" s="24">
        <f t="shared" si="2"/>
        <v>243</v>
      </c>
      <c r="K50" s="24">
        <f t="shared" si="3"/>
        <v>261</v>
      </c>
    </row>
    <row r="51" spans="1:11" ht="12" customHeight="1">
      <c r="C51" s="54"/>
      <c r="D51" s="54"/>
      <c r="E51" s="54"/>
      <c r="F51" s="54"/>
      <c r="G51" s="54"/>
      <c r="H51" s="54"/>
      <c r="I51" s="54"/>
      <c r="J51" s="54"/>
      <c r="K51" s="54"/>
    </row>
    <row r="52" spans="1:11" ht="12" customHeight="1">
      <c r="A52" s="94" t="s">
        <v>59</v>
      </c>
      <c r="B52" s="20"/>
      <c r="C52" s="54"/>
      <c r="D52" s="54"/>
      <c r="E52" s="54"/>
      <c r="F52" s="54"/>
      <c r="G52" s="54"/>
      <c r="H52" s="54"/>
      <c r="I52" s="54"/>
      <c r="J52" s="54"/>
      <c r="K52" s="54"/>
    </row>
    <row r="53" spans="1:11" ht="12" customHeight="1">
      <c r="A53" s="99">
        <v>1976</v>
      </c>
      <c r="B53" s="24">
        <v>0</v>
      </c>
      <c r="C53" s="24">
        <v>3</v>
      </c>
      <c r="D53" s="24">
        <v>112</v>
      </c>
      <c r="E53" s="24">
        <v>274</v>
      </c>
      <c r="F53" s="24">
        <v>136</v>
      </c>
      <c r="G53" s="24">
        <v>44</v>
      </c>
      <c r="H53" s="24">
        <v>6</v>
      </c>
      <c r="I53" s="24">
        <v>11</v>
      </c>
      <c r="J53" s="24">
        <f t="shared" ref="J53:J94" si="4">SUM(C53:G53)</f>
        <v>569</v>
      </c>
      <c r="K53" s="24">
        <f t="shared" ref="K53:K93" si="5">SUM(B53:I53)</f>
        <v>586</v>
      </c>
    </row>
    <row r="54" spans="1:11" ht="12" customHeight="1">
      <c r="A54" s="99">
        <v>1977</v>
      </c>
      <c r="B54" s="24">
        <v>9</v>
      </c>
      <c r="C54" s="24">
        <v>47</v>
      </c>
      <c r="D54" s="24">
        <v>58</v>
      </c>
      <c r="E54" s="24">
        <v>52</v>
      </c>
      <c r="F54" s="24">
        <v>95</v>
      </c>
      <c r="G54" s="24">
        <v>27</v>
      </c>
      <c r="H54" s="24">
        <v>0</v>
      </c>
      <c r="I54" s="24">
        <v>0</v>
      </c>
      <c r="J54" s="24">
        <f t="shared" si="4"/>
        <v>279</v>
      </c>
      <c r="K54" s="24">
        <f t="shared" si="5"/>
        <v>288</v>
      </c>
    </row>
    <row r="55" spans="1:11" ht="12" customHeight="1">
      <c r="A55" s="99">
        <v>1978</v>
      </c>
      <c r="B55" s="24">
        <v>1</v>
      </c>
      <c r="C55" s="24">
        <v>3</v>
      </c>
      <c r="D55" s="24">
        <v>55</v>
      </c>
      <c r="E55" s="24">
        <v>45</v>
      </c>
      <c r="F55" s="24">
        <v>13</v>
      </c>
      <c r="G55" s="24">
        <v>9</v>
      </c>
      <c r="H55" s="24">
        <v>0</v>
      </c>
      <c r="I55" s="24">
        <v>0</v>
      </c>
      <c r="J55" s="24">
        <f t="shared" si="4"/>
        <v>125</v>
      </c>
      <c r="K55" s="24">
        <f t="shared" si="5"/>
        <v>126</v>
      </c>
    </row>
    <row r="56" spans="1:11" ht="12" customHeight="1">
      <c r="A56" s="99">
        <v>1979</v>
      </c>
      <c r="B56" s="24">
        <v>2</v>
      </c>
      <c r="C56" s="24">
        <v>13</v>
      </c>
      <c r="D56" s="24">
        <v>19</v>
      </c>
      <c r="E56" s="24">
        <v>41</v>
      </c>
      <c r="F56" s="24">
        <v>63</v>
      </c>
      <c r="G56" s="24">
        <v>7</v>
      </c>
      <c r="H56" s="24">
        <v>2</v>
      </c>
      <c r="I56" s="24">
        <v>0</v>
      </c>
      <c r="J56" s="24">
        <f t="shared" si="4"/>
        <v>143</v>
      </c>
      <c r="K56" s="24">
        <f t="shared" si="5"/>
        <v>147</v>
      </c>
    </row>
    <row r="57" spans="1:11" ht="12" customHeight="1">
      <c r="A57" s="99">
        <v>1980</v>
      </c>
      <c r="B57" s="24">
        <v>0</v>
      </c>
      <c r="C57" s="24">
        <v>5</v>
      </c>
      <c r="D57" s="24">
        <v>49</v>
      </c>
      <c r="E57" s="24">
        <v>54</v>
      </c>
      <c r="F57" s="24">
        <v>18</v>
      </c>
      <c r="G57" s="24">
        <v>9</v>
      </c>
      <c r="H57" s="24">
        <v>4</v>
      </c>
      <c r="I57" s="24">
        <v>0</v>
      </c>
      <c r="J57" s="24">
        <f t="shared" si="4"/>
        <v>135</v>
      </c>
      <c r="K57" s="24">
        <f t="shared" si="5"/>
        <v>139</v>
      </c>
    </row>
    <row r="58" spans="1:11" ht="12" customHeight="1">
      <c r="A58" s="99">
        <v>1981</v>
      </c>
      <c r="B58" s="24">
        <v>0</v>
      </c>
      <c r="C58" s="24">
        <v>2</v>
      </c>
      <c r="D58" s="24">
        <v>34</v>
      </c>
      <c r="E58" s="24">
        <v>68</v>
      </c>
      <c r="F58" s="24">
        <v>70</v>
      </c>
      <c r="G58" s="24">
        <v>29</v>
      </c>
      <c r="H58" s="24">
        <v>2</v>
      </c>
      <c r="I58" s="24">
        <v>1</v>
      </c>
      <c r="J58" s="24">
        <f t="shared" si="4"/>
        <v>203</v>
      </c>
      <c r="K58" s="24">
        <f t="shared" si="5"/>
        <v>206</v>
      </c>
    </row>
    <row r="59" spans="1:11" ht="12" customHeight="1">
      <c r="A59" s="99">
        <v>1982</v>
      </c>
      <c r="B59" s="24">
        <v>0</v>
      </c>
      <c r="C59" s="24">
        <v>6</v>
      </c>
      <c r="D59" s="24">
        <v>82</v>
      </c>
      <c r="E59" s="24">
        <v>118</v>
      </c>
      <c r="F59" s="24">
        <v>136</v>
      </c>
      <c r="G59" s="24">
        <v>157</v>
      </c>
      <c r="H59" s="24">
        <v>6</v>
      </c>
      <c r="I59" s="24">
        <v>0</v>
      </c>
      <c r="J59" s="24">
        <f t="shared" si="4"/>
        <v>499</v>
      </c>
      <c r="K59" s="24">
        <f t="shared" si="5"/>
        <v>505</v>
      </c>
    </row>
    <row r="60" spans="1:11" ht="12" customHeight="1">
      <c r="A60" s="99">
        <v>1983</v>
      </c>
      <c r="B60" s="24">
        <v>0</v>
      </c>
      <c r="C60" s="24">
        <v>9</v>
      </c>
      <c r="D60" s="24">
        <v>108</v>
      </c>
      <c r="E60" s="24">
        <v>142</v>
      </c>
      <c r="F60" s="24">
        <v>240</v>
      </c>
      <c r="G60" s="24">
        <v>169</v>
      </c>
      <c r="H60" s="24">
        <v>0</v>
      </c>
      <c r="I60" s="24">
        <v>0</v>
      </c>
      <c r="J60" s="24">
        <f t="shared" si="4"/>
        <v>668</v>
      </c>
      <c r="K60" s="24">
        <f t="shared" si="5"/>
        <v>668</v>
      </c>
    </row>
    <row r="61" spans="1:11" ht="12" customHeight="1">
      <c r="A61" s="99">
        <v>1984</v>
      </c>
      <c r="B61" s="24">
        <v>0</v>
      </c>
      <c r="C61" s="24">
        <v>17</v>
      </c>
      <c r="D61" s="24">
        <v>15</v>
      </c>
      <c r="E61" s="24">
        <v>81</v>
      </c>
      <c r="F61" s="24">
        <v>89</v>
      </c>
      <c r="G61" s="24">
        <v>0</v>
      </c>
      <c r="H61" s="24">
        <v>7</v>
      </c>
      <c r="I61" s="24">
        <v>0</v>
      </c>
      <c r="J61" s="24">
        <f t="shared" si="4"/>
        <v>202</v>
      </c>
      <c r="K61" s="24">
        <f t="shared" si="5"/>
        <v>209</v>
      </c>
    </row>
    <row r="62" spans="1:11" ht="12" customHeight="1">
      <c r="A62" s="99">
        <v>1985</v>
      </c>
      <c r="B62" s="24">
        <v>1</v>
      </c>
      <c r="C62" s="24">
        <v>19</v>
      </c>
      <c r="D62" s="24">
        <v>56</v>
      </c>
      <c r="E62" s="24">
        <v>164</v>
      </c>
      <c r="F62" s="24">
        <v>164</v>
      </c>
      <c r="G62" s="24">
        <v>144</v>
      </c>
      <c r="H62" s="24">
        <v>1</v>
      </c>
      <c r="I62" s="24">
        <v>0</v>
      </c>
      <c r="J62" s="24">
        <f t="shared" si="4"/>
        <v>547</v>
      </c>
      <c r="K62" s="24">
        <f t="shared" si="5"/>
        <v>549</v>
      </c>
    </row>
    <row r="63" spans="1:11" ht="12" customHeight="1">
      <c r="A63" s="99">
        <v>1986</v>
      </c>
      <c r="B63" s="24">
        <v>0</v>
      </c>
      <c r="C63" s="24">
        <v>29</v>
      </c>
      <c r="D63" s="24">
        <v>68</v>
      </c>
      <c r="E63" s="24">
        <v>174</v>
      </c>
      <c r="F63" s="24">
        <v>74</v>
      </c>
      <c r="G63" s="24">
        <v>0</v>
      </c>
      <c r="H63" s="24">
        <v>0</v>
      </c>
      <c r="I63" s="24">
        <v>0</v>
      </c>
      <c r="J63" s="24">
        <f t="shared" si="4"/>
        <v>345</v>
      </c>
      <c r="K63" s="24">
        <f t="shared" si="5"/>
        <v>345</v>
      </c>
    </row>
    <row r="64" spans="1:11" ht="12" customHeight="1">
      <c r="A64" s="99">
        <v>1987</v>
      </c>
      <c r="B64" s="24">
        <v>0</v>
      </c>
      <c r="C64" s="24">
        <v>65</v>
      </c>
      <c r="D64" s="24">
        <v>0</v>
      </c>
      <c r="E64" s="24">
        <v>205</v>
      </c>
      <c r="F64" s="24">
        <v>203</v>
      </c>
      <c r="G64" s="24">
        <v>0</v>
      </c>
      <c r="H64" s="24">
        <v>0</v>
      </c>
      <c r="I64" s="24">
        <v>0</v>
      </c>
      <c r="J64" s="24">
        <f t="shared" si="4"/>
        <v>473</v>
      </c>
      <c r="K64" s="24">
        <f t="shared" si="5"/>
        <v>473</v>
      </c>
    </row>
    <row r="65" spans="1:11" ht="12" customHeight="1">
      <c r="A65" s="99">
        <v>1988</v>
      </c>
      <c r="B65" s="24">
        <v>3</v>
      </c>
      <c r="C65" s="24">
        <v>28</v>
      </c>
      <c r="D65" s="24">
        <v>76</v>
      </c>
      <c r="E65" s="24">
        <v>150</v>
      </c>
      <c r="F65" s="24">
        <v>173</v>
      </c>
      <c r="G65" s="24">
        <v>116</v>
      </c>
      <c r="H65" s="24">
        <v>0</v>
      </c>
      <c r="I65" s="24">
        <v>0</v>
      </c>
      <c r="J65" s="24">
        <f t="shared" si="4"/>
        <v>543</v>
      </c>
      <c r="K65" s="24">
        <f t="shared" si="5"/>
        <v>546</v>
      </c>
    </row>
    <row r="66" spans="1:11" ht="12" customHeight="1">
      <c r="A66" s="99">
        <v>1989</v>
      </c>
      <c r="B66" s="24">
        <v>0</v>
      </c>
      <c r="C66" s="24">
        <v>52</v>
      </c>
      <c r="D66" s="24">
        <v>70</v>
      </c>
      <c r="E66" s="24">
        <v>196</v>
      </c>
      <c r="F66" s="24">
        <v>173</v>
      </c>
      <c r="G66" s="24">
        <v>156</v>
      </c>
      <c r="H66" s="24">
        <v>0</v>
      </c>
      <c r="I66" s="24">
        <v>0</v>
      </c>
      <c r="J66" s="24">
        <f t="shared" si="4"/>
        <v>647</v>
      </c>
      <c r="K66" s="24">
        <f t="shared" si="5"/>
        <v>647</v>
      </c>
    </row>
    <row r="67" spans="1:11" ht="12" customHeight="1">
      <c r="A67" s="99">
        <v>1990</v>
      </c>
      <c r="B67" s="24">
        <v>0</v>
      </c>
      <c r="C67" s="24">
        <v>47</v>
      </c>
      <c r="D67" s="24">
        <v>45</v>
      </c>
      <c r="E67" s="24">
        <v>108</v>
      </c>
      <c r="F67" s="24">
        <v>123</v>
      </c>
      <c r="G67" s="24">
        <v>101</v>
      </c>
      <c r="H67" s="24">
        <v>0</v>
      </c>
      <c r="I67" s="24">
        <v>1</v>
      </c>
      <c r="J67" s="24">
        <f t="shared" si="4"/>
        <v>424</v>
      </c>
      <c r="K67" s="24">
        <f t="shared" si="5"/>
        <v>425</v>
      </c>
    </row>
    <row r="68" spans="1:11" ht="12" customHeight="1">
      <c r="A68" s="99">
        <v>1991</v>
      </c>
      <c r="B68" s="24">
        <v>0</v>
      </c>
      <c r="C68" s="24">
        <v>50</v>
      </c>
      <c r="D68" s="24">
        <v>53</v>
      </c>
      <c r="E68" s="24">
        <v>167</v>
      </c>
      <c r="F68" s="24">
        <v>135</v>
      </c>
      <c r="G68" s="24">
        <v>0</v>
      </c>
      <c r="H68" s="24">
        <v>0</v>
      </c>
      <c r="I68" s="24">
        <v>0</v>
      </c>
      <c r="J68" s="24">
        <f t="shared" si="4"/>
        <v>405</v>
      </c>
      <c r="K68" s="24">
        <f t="shared" si="5"/>
        <v>405</v>
      </c>
    </row>
    <row r="69" spans="1:11" ht="12" customHeight="1">
      <c r="A69" s="99">
        <v>1992</v>
      </c>
      <c r="B69" s="24">
        <v>0</v>
      </c>
      <c r="C69" s="24">
        <v>43</v>
      </c>
      <c r="D69" s="24">
        <v>40</v>
      </c>
      <c r="E69" s="24">
        <v>104</v>
      </c>
      <c r="F69" s="24">
        <v>79</v>
      </c>
      <c r="G69" s="24">
        <v>0</v>
      </c>
      <c r="H69" s="24">
        <v>0</v>
      </c>
      <c r="I69" s="24">
        <v>7</v>
      </c>
      <c r="J69" s="24">
        <f t="shared" si="4"/>
        <v>266</v>
      </c>
      <c r="K69" s="24">
        <f t="shared" si="5"/>
        <v>273</v>
      </c>
    </row>
    <row r="70" spans="1:11" ht="12" customHeight="1">
      <c r="A70" s="99">
        <v>1993</v>
      </c>
      <c r="B70" s="24">
        <v>0</v>
      </c>
      <c r="C70" s="24">
        <v>43</v>
      </c>
      <c r="D70" s="24">
        <v>48</v>
      </c>
      <c r="E70" s="24">
        <v>140</v>
      </c>
      <c r="F70" s="24">
        <v>139</v>
      </c>
      <c r="G70" s="24">
        <v>142</v>
      </c>
      <c r="H70" s="24">
        <v>0</v>
      </c>
      <c r="I70" s="24">
        <v>0</v>
      </c>
      <c r="J70" s="24">
        <f t="shared" si="4"/>
        <v>512</v>
      </c>
      <c r="K70" s="24">
        <f t="shared" si="5"/>
        <v>512</v>
      </c>
    </row>
    <row r="71" spans="1:11" ht="12" customHeight="1">
      <c r="A71" s="99">
        <v>1994</v>
      </c>
      <c r="B71" s="24">
        <v>0</v>
      </c>
      <c r="C71" s="24">
        <v>6</v>
      </c>
      <c r="D71" s="24">
        <v>27</v>
      </c>
      <c r="E71" s="24">
        <v>1</v>
      </c>
      <c r="F71" s="24">
        <v>0</v>
      </c>
      <c r="G71" s="24">
        <v>0</v>
      </c>
      <c r="H71" s="24">
        <v>0</v>
      </c>
      <c r="I71" s="24">
        <v>0</v>
      </c>
      <c r="J71" s="24">
        <f t="shared" si="4"/>
        <v>34</v>
      </c>
      <c r="K71" s="24">
        <f t="shared" si="5"/>
        <v>34</v>
      </c>
    </row>
    <row r="72" spans="1:11" ht="12" customHeight="1">
      <c r="A72" s="99">
        <v>1995</v>
      </c>
      <c r="B72" s="24">
        <v>0</v>
      </c>
      <c r="C72" s="24">
        <v>5</v>
      </c>
      <c r="D72" s="24">
        <v>0</v>
      </c>
      <c r="E72" s="24">
        <v>1</v>
      </c>
      <c r="F72" s="24">
        <v>123</v>
      </c>
      <c r="G72" s="24">
        <v>0</v>
      </c>
      <c r="H72" s="24">
        <v>0</v>
      </c>
      <c r="I72" s="24">
        <v>0</v>
      </c>
      <c r="J72" s="24">
        <f t="shared" si="4"/>
        <v>129</v>
      </c>
      <c r="K72" s="24">
        <f t="shared" si="5"/>
        <v>129</v>
      </c>
    </row>
    <row r="73" spans="1:11" ht="12" customHeight="1">
      <c r="A73" s="99">
        <v>1996</v>
      </c>
      <c r="B73" s="24">
        <v>1</v>
      </c>
      <c r="C73" s="24">
        <v>5</v>
      </c>
      <c r="D73" s="24">
        <v>13</v>
      </c>
      <c r="E73" s="24">
        <v>0</v>
      </c>
      <c r="F73" s="24">
        <v>53</v>
      </c>
      <c r="G73" s="24">
        <v>70</v>
      </c>
      <c r="H73" s="24" t="s">
        <v>23</v>
      </c>
      <c r="I73" s="24">
        <v>0</v>
      </c>
      <c r="J73" s="24">
        <f t="shared" si="4"/>
        <v>141</v>
      </c>
      <c r="K73" s="24">
        <f t="shared" si="5"/>
        <v>142</v>
      </c>
    </row>
    <row r="74" spans="1:11" ht="12" customHeight="1">
      <c r="A74" s="99">
        <v>1997</v>
      </c>
      <c r="B74" s="24">
        <v>0</v>
      </c>
      <c r="C74" s="24">
        <v>8</v>
      </c>
      <c r="D74" s="24">
        <v>26</v>
      </c>
      <c r="E74" s="24">
        <v>0</v>
      </c>
      <c r="F74" s="24">
        <v>74</v>
      </c>
      <c r="G74" s="24">
        <v>40</v>
      </c>
      <c r="H74" s="24" t="s">
        <v>23</v>
      </c>
      <c r="I74" s="24">
        <v>0</v>
      </c>
      <c r="J74" s="24">
        <f t="shared" si="4"/>
        <v>148</v>
      </c>
      <c r="K74" s="24">
        <f t="shared" si="5"/>
        <v>148</v>
      </c>
    </row>
    <row r="75" spans="1:11" ht="12" customHeight="1">
      <c r="A75" s="99">
        <v>1998</v>
      </c>
      <c r="B75" s="24">
        <v>0</v>
      </c>
      <c r="C75" s="24">
        <v>22</v>
      </c>
      <c r="D75" s="24">
        <v>15</v>
      </c>
      <c r="E75" s="24">
        <v>3</v>
      </c>
      <c r="F75" s="24">
        <v>19</v>
      </c>
      <c r="G75" s="24">
        <v>34</v>
      </c>
      <c r="H75" s="24" t="s">
        <v>23</v>
      </c>
      <c r="I75" s="24">
        <v>1</v>
      </c>
      <c r="J75" s="24">
        <f t="shared" si="4"/>
        <v>93</v>
      </c>
      <c r="K75" s="24">
        <f t="shared" si="5"/>
        <v>94</v>
      </c>
    </row>
    <row r="76" spans="1:11" ht="12" customHeight="1">
      <c r="A76" s="99">
        <v>1999</v>
      </c>
      <c r="B76" s="24">
        <v>0</v>
      </c>
      <c r="C76" s="24">
        <v>23</v>
      </c>
      <c r="D76" s="24">
        <v>25</v>
      </c>
      <c r="E76" s="24">
        <v>5</v>
      </c>
      <c r="F76" s="24">
        <v>78</v>
      </c>
      <c r="G76" s="24">
        <v>69</v>
      </c>
      <c r="H76" s="24" t="s">
        <v>23</v>
      </c>
      <c r="I76" s="24">
        <v>0</v>
      </c>
      <c r="J76" s="24">
        <f t="shared" si="4"/>
        <v>200</v>
      </c>
      <c r="K76" s="24">
        <f t="shared" si="5"/>
        <v>200</v>
      </c>
    </row>
    <row r="77" spans="1:11" ht="12" customHeight="1">
      <c r="A77" s="99">
        <v>2000</v>
      </c>
      <c r="B77" s="24">
        <v>0</v>
      </c>
      <c r="C77" s="24">
        <v>32</v>
      </c>
      <c r="D77" s="24">
        <v>23</v>
      </c>
      <c r="E77" s="24">
        <v>4</v>
      </c>
      <c r="F77" s="24">
        <v>38</v>
      </c>
      <c r="G77" s="24">
        <v>0</v>
      </c>
      <c r="H77" s="24" t="s">
        <v>23</v>
      </c>
      <c r="I77" s="24">
        <v>0</v>
      </c>
      <c r="J77" s="24">
        <f t="shared" si="4"/>
        <v>97</v>
      </c>
      <c r="K77" s="24">
        <f t="shared" si="5"/>
        <v>97</v>
      </c>
    </row>
    <row r="78" spans="1:11" ht="12" customHeight="1">
      <c r="A78" s="99">
        <v>2001</v>
      </c>
      <c r="B78" s="24">
        <v>0</v>
      </c>
      <c r="C78" s="24">
        <v>11</v>
      </c>
      <c r="D78" s="24">
        <v>31</v>
      </c>
      <c r="E78" s="24">
        <v>74</v>
      </c>
      <c r="F78" s="24">
        <v>112</v>
      </c>
      <c r="G78" s="24">
        <v>79</v>
      </c>
      <c r="H78" s="24" t="s">
        <v>23</v>
      </c>
      <c r="I78" s="24">
        <v>0</v>
      </c>
      <c r="J78" s="24">
        <f t="shared" si="4"/>
        <v>307</v>
      </c>
      <c r="K78" s="24">
        <f t="shared" si="5"/>
        <v>307</v>
      </c>
    </row>
    <row r="79" spans="1:11" ht="12" customHeight="1">
      <c r="A79" s="99">
        <v>2002</v>
      </c>
      <c r="B79" s="24">
        <v>1</v>
      </c>
      <c r="C79" s="24">
        <v>23</v>
      </c>
      <c r="D79" s="24">
        <v>29</v>
      </c>
      <c r="E79" s="24">
        <v>54</v>
      </c>
      <c r="F79" s="24">
        <v>44</v>
      </c>
      <c r="G79" s="24">
        <v>41</v>
      </c>
      <c r="H79" s="24" t="s">
        <v>23</v>
      </c>
      <c r="I79" s="24">
        <v>0</v>
      </c>
      <c r="J79" s="24">
        <f t="shared" si="4"/>
        <v>191</v>
      </c>
      <c r="K79" s="24">
        <f t="shared" si="5"/>
        <v>192</v>
      </c>
    </row>
    <row r="80" spans="1:11" ht="12" customHeight="1">
      <c r="A80" s="99">
        <v>2003</v>
      </c>
      <c r="B80" s="24">
        <v>2</v>
      </c>
      <c r="C80" s="24">
        <v>21</v>
      </c>
      <c r="D80" s="24">
        <v>25</v>
      </c>
      <c r="E80" s="24">
        <v>61</v>
      </c>
      <c r="F80" s="24">
        <v>53</v>
      </c>
      <c r="G80" s="24">
        <v>40</v>
      </c>
      <c r="H80" s="24" t="s">
        <v>23</v>
      </c>
      <c r="I80" s="24">
        <v>0</v>
      </c>
      <c r="J80" s="24">
        <f t="shared" si="4"/>
        <v>200</v>
      </c>
      <c r="K80" s="24">
        <f t="shared" si="5"/>
        <v>202</v>
      </c>
    </row>
    <row r="81" spans="1:11" ht="12" customHeight="1">
      <c r="A81" s="99">
        <v>2004</v>
      </c>
      <c r="B81" s="24">
        <v>0</v>
      </c>
      <c r="C81" s="24">
        <v>26</v>
      </c>
      <c r="D81" s="24">
        <v>37</v>
      </c>
      <c r="E81" s="24">
        <v>86</v>
      </c>
      <c r="F81" s="24">
        <v>78</v>
      </c>
      <c r="G81" s="24">
        <v>52</v>
      </c>
      <c r="H81" s="24" t="s">
        <v>23</v>
      </c>
      <c r="I81" s="24">
        <v>0</v>
      </c>
      <c r="J81" s="24">
        <f t="shared" si="4"/>
        <v>279</v>
      </c>
      <c r="K81" s="24">
        <f t="shared" si="5"/>
        <v>279</v>
      </c>
    </row>
    <row r="82" spans="1:11" ht="12" customHeight="1">
      <c r="A82" s="99">
        <v>2005</v>
      </c>
      <c r="B82" s="24">
        <v>0</v>
      </c>
      <c r="C82" s="24">
        <v>67</v>
      </c>
      <c r="D82" s="24">
        <v>110</v>
      </c>
      <c r="E82" s="24">
        <v>78</v>
      </c>
      <c r="F82" s="24">
        <v>133</v>
      </c>
      <c r="G82" s="24">
        <v>67</v>
      </c>
      <c r="H82" s="24" t="s">
        <v>23</v>
      </c>
      <c r="I82" s="24">
        <v>0</v>
      </c>
      <c r="J82" s="24">
        <f t="shared" si="4"/>
        <v>455</v>
      </c>
      <c r="K82" s="24">
        <f t="shared" si="5"/>
        <v>455</v>
      </c>
    </row>
    <row r="83" spans="1:11" ht="12" customHeight="1">
      <c r="A83" s="99">
        <v>2006</v>
      </c>
      <c r="B83" s="24">
        <v>1</v>
      </c>
      <c r="C83" s="24">
        <v>78</v>
      </c>
      <c r="D83" s="24">
        <v>118</v>
      </c>
      <c r="E83" s="24">
        <v>138</v>
      </c>
      <c r="F83" s="24">
        <v>112</v>
      </c>
      <c r="G83" s="24">
        <v>101</v>
      </c>
      <c r="H83" s="24" t="s">
        <v>23</v>
      </c>
      <c r="I83" s="24">
        <v>2</v>
      </c>
      <c r="J83" s="24">
        <f t="shared" si="4"/>
        <v>547</v>
      </c>
      <c r="K83" s="24">
        <f t="shared" si="5"/>
        <v>550</v>
      </c>
    </row>
    <row r="84" spans="1:11" ht="12" customHeight="1">
      <c r="A84" s="99">
        <v>2007</v>
      </c>
      <c r="B84" s="24">
        <v>0</v>
      </c>
      <c r="C84" s="24">
        <v>13</v>
      </c>
      <c r="D84" s="24">
        <v>161</v>
      </c>
      <c r="E84" s="24">
        <v>135</v>
      </c>
      <c r="F84" s="24">
        <v>125</v>
      </c>
      <c r="G84" s="24">
        <v>4</v>
      </c>
      <c r="H84" s="24" t="s">
        <v>23</v>
      </c>
      <c r="I84" s="24">
        <v>0</v>
      </c>
      <c r="J84" s="24">
        <f t="shared" si="4"/>
        <v>438</v>
      </c>
      <c r="K84" s="24">
        <f t="shared" si="5"/>
        <v>438</v>
      </c>
    </row>
    <row r="85" spans="1:11" ht="12" customHeight="1">
      <c r="A85" s="99">
        <v>2008</v>
      </c>
      <c r="B85" s="24">
        <v>2</v>
      </c>
      <c r="C85" s="24">
        <v>14</v>
      </c>
      <c r="D85" s="24">
        <v>74</v>
      </c>
      <c r="E85" s="24">
        <v>30</v>
      </c>
      <c r="F85" s="24">
        <v>83</v>
      </c>
      <c r="G85" s="24">
        <v>74</v>
      </c>
      <c r="H85" s="24" t="s">
        <v>23</v>
      </c>
      <c r="I85" s="24">
        <v>0</v>
      </c>
      <c r="J85" s="24">
        <f t="shared" si="4"/>
        <v>275</v>
      </c>
      <c r="K85" s="24">
        <f t="shared" si="5"/>
        <v>277</v>
      </c>
    </row>
    <row r="86" spans="1:11" ht="12" customHeight="1">
      <c r="A86" s="99">
        <v>2009</v>
      </c>
      <c r="B86" s="24">
        <v>0</v>
      </c>
      <c r="C86" s="24">
        <v>26</v>
      </c>
      <c r="D86" s="24">
        <v>27</v>
      </c>
      <c r="E86" s="24">
        <v>122</v>
      </c>
      <c r="F86" s="24">
        <v>110</v>
      </c>
      <c r="G86" s="24">
        <v>0</v>
      </c>
      <c r="H86" s="24" t="s">
        <v>23</v>
      </c>
      <c r="I86" s="24">
        <v>0</v>
      </c>
      <c r="J86" s="24">
        <f t="shared" si="4"/>
        <v>285</v>
      </c>
      <c r="K86" s="24">
        <f t="shared" si="5"/>
        <v>285</v>
      </c>
    </row>
    <row r="87" spans="1:11" ht="12" customHeight="1">
      <c r="A87" s="99">
        <v>2010</v>
      </c>
      <c r="B87" s="24">
        <v>0</v>
      </c>
      <c r="C87" s="24">
        <v>5</v>
      </c>
      <c r="D87" s="24">
        <v>94</v>
      </c>
      <c r="E87" s="24">
        <v>63</v>
      </c>
      <c r="F87" s="24">
        <v>99</v>
      </c>
      <c r="G87" s="24">
        <v>41</v>
      </c>
      <c r="H87" s="24" t="s">
        <v>23</v>
      </c>
      <c r="I87" s="24">
        <v>0</v>
      </c>
      <c r="J87" s="24">
        <f t="shared" si="4"/>
        <v>302</v>
      </c>
      <c r="K87" s="24">
        <f t="shared" si="5"/>
        <v>302</v>
      </c>
    </row>
    <row r="88" spans="1:11" ht="12" customHeight="1">
      <c r="A88" s="99">
        <v>2011</v>
      </c>
      <c r="B88" s="24">
        <v>0</v>
      </c>
      <c r="C88" s="24">
        <v>24</v>
      </c>
      <c r="D88" s="24">
        <v>130</v>
      </c>
      <c r="E88" s="24">
        <v>122</v>
      </c>
      <c r="F88" s="24">
        <v>95</v>
      </c>
      <c r="G88" s="24">
        <v>21</v>
      </c>
      <c r="H88" s="24" t="s">
        <v>23</v>
      </c>
      <c r="I88" s="24">
        <v>0</v>
      </c>
      <c r="J88" s="24">
        <f t="shared" si="4"/>
        <v>392</v>
      </c>
      <c r="K88" s="24">
        <f t="shared" si="5"/>
        <v>392</v>
      </c>
    </row>
    <row r="89" spans="1:11" ht="12" customHeight="1">
      <c r="A89" s="99">
        <v>2012</v>
      </c>
      <c r="B89" s="24">
        <v>0</v>
      </c>
      <c r="C89" s="24">
        <v>56</v>
      </c>
      <c r="D89" s="24">
        <v>175</v>
      </c>
      <c r="E89" s="24">
        <v>134</v>
      </c>
      <c r="F89" s="24">
        <v>190</v>
      </c>
      <c r="G89" s="24">
        <v>94</v>
      </c>
      <c r="H89" s="24" t="s">
        <v>23</v>
      </c>
      <c r="I89" s="24">
        <v>0</v>
      </c>
      <c r="J89" s="24">
        <f t="shared" si="4"/>
        <v>649</v>
      </c>
      <c r="K89" s="24">
        <f t="shared" si="5"/>
        <v>649</v>
      </c>
    </row>
    <row r="90" spans="1:11" ht="12" customHeight="1">
      <c r="A90" s="99">
        <v>2013</v>
      </c>
      <c r="B90" s="24">
        <v>0</v>
      </c>
      <c r="C90" s="24">
        <v>131</v>
      </c>
      <c r="D90" s="24">
        <v>106</v>
      </c>
      <c r="E90" s="24">
        <v>270</v>
      </c>
      <c r="F90" s="24">
        <v>495</v>
      </c>
      <c r="G90" s="24">
        <v>107</v>
      </c>
      <c r="H90" s="24" t="s">
        <v>23</v>
      </c>
      <c r="I90" s="24">
        <v>0</v>
      </c>
      <c r="J90" s="24">
        <f t="shared" si="4"/>
        <v>1109</v>
      </c>
      <c r="K90" s="24">
        <f t="shared" si="5"/>
        <v>1109</v>
      </c>
    </row>
    <row r="91" spans="1:11" ht="12" customHeight="1">
      <c r="A91" s="99">
        <v>2014</v>
      </c>
      <c r="B91" s="24">
        <v>0</v>
      </c>
      <c r="C91" s="24">
        <v>103</v>
      </c>
      <c r="D91" s="24">
        <v>62</v>
      </c>
      <c r="E91" s="24">
        <v>141</v>
      </c>
      <c r="F91" s="24">
        <v>137</v>
      </c>
      <c r="G91" s="24">
        <v>36</v>
      </c>
      <c r="H91" s="24" t="s">
        <v>23</v>
      </c>
      <c r="I91" s="24">
        <v>0</v>
      </c>
      <c r="J91" s="24">
        <f t="shared" si="4"/>
        <v>479</v>
      </c>
      <c r="K91" s="24">
        <f t="shared" si="5"/>
        <v>479</v>
      </c>
    </row>
    <row r="92" spans="1:11" ht="12" customHeight="1">
      <c r="A92" s="99">
        <v>2015</v>
      </c>
      <c r="B92" s="24">
        <v>0</v>
      </c>
      <c r="C92" s="24">
        <v>24</v>
      </c>
      <c r="D92" s="24">
        <v>173</v>
      </c>
      <c r="E92" s="24">
        <v>143</v>
      </c>
      <c r="F92" s="24">
        <v>85</v>
      </c>
      <c r="G92" s="24">
        <v>22</v>
      </c>
      <c r="H92" s="24" t="s">
        <v>23</v>
      </c>
      <c r="I92" s="24">
        <v>0</v>
      </c>
      <c r="J92" s="24">
        <f t="shared" si="4"/>
        <v>447</v>
      </c>
      <c r="K92" s="24">
        <f t="shared" si="5"/>
        <v>447</v>
      </c>
    </row>
    <row r="93" spans="1:11" ht="12" customHeight="1">
      <c r="A93" s="99">
        <v>2016</v>
      </c>
      <c r="B93" s="24">
        <v>0</v>
      </c>
      <c r="C93" s="24">
        <v>12</v>
      </c>
      <c r="D93" s="24">
        <v>171</v>
      </c>
      <c r="E93" s="24">
        <v>105</v>
      </c>
      <c r="F93" s="24">
        <v>57</v>
      </c>
      <c r="G93" s="24">
        <v>0</v>
      </c>
      <c r="H93" s="24" t="s">
        <v>23</v>
      </c>
      <c r="I93" s="24">
        <v>0</v>
      </c>
      <c r="J93" s="24">
        <f t="shared" si="4"/>
        <v>345</v>
      </c>
      <c r="K93" s="24">
        <f t="shared" si="5"/>
        <v>345</v>
      </c>
    </row>
    <row r="94" spans="1:11" ht="12" customHeight="1">
      <c r="A94" s="99">
        <v>2017</v>
      </c>
      <c r="B94" s="24">
        <v>0</v>
      </c>
      <c r="C94" s="24">
        <v>15</v>
      </c>
      <c r="D94" s="24">
        <v>29</v>
      </c>
      <c r="E94" s="24">
        <v>293</v>
      </c>
      <c r="F94" s="24">
        <v>320</v>
      </c>
      <c r="G94" s="24">
        <v>139</v>
      </c>
      <c r="H94" s="24" t="s">
        <v>23</v>
      </c>
      <c r="I94" s="24">
        <v>0</v>
      </c>
      <c r="J94" s="24">
        <f t="shared" si="4"/>
        <v>796</v>
      </c>
      <c r="K94" s="24">
        <f>SUM(B94:I94)</f>
        <v>796</v>
      </c>
    </row>
    <row r="95" spans="1:11" ht="12" customHeight="1">
      <c r="A95" s="99">
        <v>2018</v>
      </c>
      <c r="B95" s="24">
        <v>0</v>
      </c>
      <c r="C95" s="24">
        <v>21</v>
      </c>
      <c r="D95" s="24">
        <v>133</v>
      </c>
      <c r="E95" s="24">
        <v>185</v>
      </c>
      <c r="F95" s="24">
        <v>108</v>
      </c>
      <c r="G95" s="24">
        <v>80</v>
      </c>
      <c r="H95" s="24" t="s">
        <v>23</v>
      </c>
      <c r="I95" s="24">
        <v>0</v>
      </c>
      <c r="J95" s="24">
        <f>SUM(C95:G95)</f>
        <v>527</v>
      </c>
      <c r="K95" s="24">
        <f>SUM(B95:I95)</f>
        <v>527</v>
      </c>
    </row>
    <row r="96" spans="1:11" ht="12" customHeight="1">
      <c r="A96" s="99">
        <v>2019</v>
      </c>
      <c r="B96" s="24">
        <v>0</v>
      </c>
      <c r="C96" s="24">
        <v>11</v>
      </c>
      <c r="D96" s="24">
        <v>36</v>
      </c>
      <c r="E96" s="24">
        <v>327</v>
      </c>
      <c r="F96" s="24">
        <v>255</v>
      </c>
      <c r="G96" s="24">
        <v>105</v>
      </c>
      <c r="H96" s="24" t="s">
        <v>23</v>
      </c>
      <c r="I96" s="24">
        <v>0</v>
      </c>
      <c r="J96" s="24">
        <f t="shared" ref="J96:J98" si="6">SUM(C96:G96)</f>
        <v>734</v>
      </c>
      <c r="K96" s="24">
        <f t="shared" ref="K96:K98" si="7">SUM(B96:I96)</f>
        <v>734</v>
      </c>
    </row>
    <row r="97" spans="1:11" ht="12" customHeight="1">
      <c r="A97" s="99">
        <v>2020</v>
      </c>
      <c r="B97" s="24">
        <v>0</v>
      </c>
      <c r="C97" s="24">
        <v>0</v>
      </c>
      <c r="D97" s="24">
        <v>0</v>
      </c>
      <c r="E97" s="24">
        <v>13</v>
      </c>
      <c r="F97" s="24">
        <v>101</v>
      </c>
      <c r="G97" s="24">
        <v>27</v>
      </c>
      <c r="H97" s="24" t="s">
        <v>23</v>
      </c>
      <c r="I97" s="24">
        <v>0</v>
      </c>
      <c r="J97" s="24">
        <f t="shared" si="6"/>
        <v>141</v>
      </c>
      <c r="K97" s="24">
        <f t="shared" si="7"/>
        <v>141</v>
      </c>
    </row>
    <row r="98" spans="1:11" ht="12" customHeight="1">
      <c r="A98" s="99" t="s">
        <v>317</v>
      </c>
      <c r="B98" s="24">
        <v>0</v>
      </c>
      <c r="C98" s="24">
        <v>3</v>
      </c>
      <c r="D98" s="24">
        <v>12</v>
      </c>
      <c r="E98" s="24">
        <v>14</v>
      </c>
      <c r="F98" s="24">
        <v>69</v>
      </c>
      <c r="G98" s="24">
        <v>63</v>
      </c>
      <c r="H98" s="24" t="s">
        <v>23</v>
      </c>
      <c r="I98" s="24">
        <v>0</v>
      </c>
      <c r="J98" s="24">
        <f t="shared" si="6"/>
        <v>161</v>
      </c>
      <c r="K98" s="24">
        <f t="shared" si="7"/>
        <v>161</v>
      </c>
    </row>
    <row r="99" spans="1:11" ht="12" customHeight="1">
      <c r="C99" s="54"/>
      <c r="D99" s="54"/>
      <c r="E99" s="54"/>
      <c r="F99" s="54"/>
      <c r="G99" s="54"/>
      <c r="H99" s="54"/>
      <c r="I99" s="54"/>
      <c r="J99" s="54"/>
      <c r="K99" s="54"/>
    </row>
    <row r="100" spans="1:11" ht="12" customHeight="1">
      <c r="A100" s="94" t="s">
        <v>220</v>
      </c>
      <c r="B100" s="20"/>
      <c r="C100" s="54"/>
      <c r="D100" s="54"/>
      <c r="E100" s="54"/>
      <c r="F100" s="54"/>
      <c r="G100" s="54"/>
      <c r="H100" s="54"/>
      <c r="I100" s="54"/>
      <c r="J100" s="54"/>
      <c r="K100" s="54"/>
    </row>
    <row r="101" spans="1:11" ht="12" customHeight="1">
      <c r="A101" s="99">
        <v>1976</v>
      </c>
      <c r="B101" s="24">
        <v>0</v>
      </c>
      <c r="C101" s="24">
        <v>2</v>
      </c>
      <c r="D101" s="24">
        <v>36</v>
      </c>
      <c r="E101" s="24">
        <v>62</v>
      </c>
      <c r="F101" s="24">
        <v>35</v>
      </c>
      <c r="G101" s="24">
        <v>14</v>
      </c>
      <c r="H101" s="24">
        <v>0</v>
      </c>
      <c r="I101" s="24">
        <v>0</v>
      </c>
      <c r="J101" s="24">
        <f t="shared" ref="J101:J146" si="8">SUM(C101:G101)</f>
        <v>149</v>
      </c>
      <c r="K101" s="24">
        <f t="shared" ref="K101:K146" si="9">SUM(B101:I101)</f>
        <v>149</v>
      </c>
    </row>
    <row r="102" spans="1:11" ht="12" customHeight="1">
      <c r="A102" s="99">
        <v>1977</v>
      </c>
      <c r="B102" s="24">
        <v>0</v>
      </c>
      <c r="C102" s="24">
        <v>5</v>
      </c>
      <c r="D102" s="24">
        <v>16</v>
      </c>
      <c r="E102" s="24">
        <v>71</v>
      </c>
      <c r="F102" s="24">
        <v>65</v>
      </c>
      <c r="G102" s="24">
        <v>18</v>
      </c>
      <c r="H102" s="24">
        <v>0</v>
      </c>
      <c r="I102" s="24">
        <v>0</v>
      </c>
      <c r="J102" s="24">
        <f t="shared" si="8"/>
        <v>175</v>
      </c>
      <c r="K102" s="24">
        <f t="shared" si="9"/>
        <v>175</v>
      </c>
    </row>
    <row r="103" spans="1:11" ht="12" customHeight="1">
      <c r="A103" s="99">
        <v>1978</v>
      </c>
      <c r="B103" s="24">
        <v>0</v>
      </c>
      <c r="C103" s="24">
        <v>12</v>
      </c>
      <c r="D103" s="24">
        <v>30</v>
      </c>
      <c r="E103" s="24">
        <v>28</v>
      </c>
      <c r="F103" s="24">
        <v>27</v>
      </c>
      <c r="G103" s="24">
        <v>10</v>
      </c>
      <c r="H103" s="24">
        <v>0</v>
      </c>
      <c r="I103" s="24">
        <v>0</v>
      </c>
      <c r="J103" s="24">
        <f t="shared" si="8"/>
        <v>107</v>
      </c>
      <c r="K103" s="24">
        <f t="shared" si="9"/>
        <v>107</v>
      </c>
    </row>
    <row r="104" spans="1:11" ht="12" customHeight="1">
      <c r="A104" s="99">
        <v>1979</v>
      </c>
      <c r="B104" s="24">
        <v>0</v>
      </c>
      <c r="C104" s="24">
        <v>19</v>
      </c>
      <c r="D104" s="24">
        <v>39</v>
      </c>
      <c r="E104" s="24">
        <v>51</v>
      </c>
      <c r="F104" s="24">
        <v>60</v>
      </c>
      <c r="G104" s="24">
        <v>0</v>
      </c>
      <c r="H104" s="24">
        <v>0</v>
      </c>
      <c r="I104" s="24">
        <v>0</v>
      </c>
      <c r="J104" s="24">
        <f t="shared" si="8"/>
        <v>169</v>
      </c>
      <c r="K104" s="24">
        <f t="shared" si="9"/>
        <v>169</v>
      </c>
    </row>
    <row r="105" spans="1:11" ht="12" customHeight="1">
      <c r="A105" s="99">
        <v>1980</v>
      </c>
      <c r="B105" s="24">
        <v>0</v>
      </c>
      <c r="C105" s="24">
        <v>30</v>
      </c>
      <c r="D105" s="24">
        <v>63</v>
      </c>
      <c r="E105" s="24">
        <v>59</v>
      </c>
      <c r="F105" s="24">
        <v>28</v>
      </c>
      <c r="G105" s="24">
        <v>0</v>
      </c>
      <c r="H105" s="24">
        <v>0</v>
      </c>
      <c r="I105" s="24">
        <v>0</v>
      </c>
      <c r="J105" s="24">
        <f t="shared" si="8"/>
        <v>180</v>
      </c>
      <c r="K105" s="24">
        <f t="shared" si="9"/>
        <v>180</v>
      </c>
    </row>
    <row r="106" spans="1:11" ht="12" customHeight="1">
      <c r="A106" s="99">
        <v>1981</v>
      </c>
      <c r="B106" s="24">
        <v>0</v>
      </c>
      <c r="C106" s="24">
        <v>26</v>
      </c>
      <c r="D106" s="24">
        <v>47</v>
      </c>
      <c r="E106" s="24">
        <v>97</v>
      </c>
      <c r="F106" s="24">
        <v>50</v>
      </c>
      <c r="G106" s="24">
        <v>62</v>
      </c>
      <c r="H106" s="24">
        <v>0</v>
      </c>
      <c r="I106" s="24">
        <v>0</v>
      </c>
      <c r="J106" s="24">
        <f t="shared" si="8"/>
        <v>282</v>
      </c>
      <c r="K106" s="24">
        <f t="shared" si="9"/>
        <v>282</v>
      </c>
    </row>
    <row r="107" spans="1:11" ht="12" customHeight="1">
      <c r="A107" s="99">
        <v>1982</v>
      </c>
      <c r="B107" s="24">
        <v>0</v>
      </c>
      <c r="C107" s="24">
        <v>6</v>
      </c>
      <c r="D107" s="24">
        <v>27</v>
      </c>
      <c r="E107" s="24">
        <v>44</v>
      </c>
      <c r="F107" s="24">
        <v>101</v>
      </c>
      <c r="G107" s="24">
        <v>33</v>
      </c>
      <c r="H107" s="24" t="s">
        <v>23</v>
      </c>
      <c r="I107" s="24" t="s">
        <v>23</v>
      </c>
      <c r="J107" s="24">
        <f t="shared" si="8"/>
        <v>211</v>
      </c>
      <c r="K107" s="24">
        <f t="shared" si="9"/>
        <v>211</v>
      </c>
    </row>
    <row r="108" spans="1:11" ht="12" customHeight="1">
      <c r="A108" s="99">
        <v>1983</v>
      </c>
      <c r="B108" s="24">
        <v>0</v>
      </c>
      <c r="C108" s="24">
        <v>15</v>
      </c>
      <c r="D108" s="24">
        <v>40</v>
      </c>
      <c r="E108" s="24">
        <v>75</v>
      </c>
      <c r="F108" s="24">
        <v>97</v>
      </c>
      <c r="G108" s="24">
        <v>0</v>
      </c>
      <c r="H108" s="24" t="s">
        <v>23</v>
      </c>
      <c r="I108" s="24" t="s">
        <v>23</v>
      </c>
      <c r="J108" s="24">
        <f t="shared" si="8"/>
        <v>227</v>
      </c>
      <c r="K108" s="24">
        <f t="shared" si="9"/>
        <v>227</v>
      </c>
    </row>
    <row r="109" spans="1:11" ht="12" customHeight="1">
      <c r="A109" s="99">
        <v>1984</v>
      </c>
      <c r="B109" s="24">
        <v>0</v>
      </c>
      <c r="C109" s="24">
        <v>1</v>
      </c>
      <c r="D109" s="24">
        <v>1</v>
      </c>
      <c r="E109" s="24">
        <v>30</v>
      </c>
      <c r="F109" s="24">
        <v>88</v>
      </c>
      <c r="G109" s="24">
        <v>0</v>
      </c>
      <c r="H109" s="24" t="s">
        <v>23</v>
      </c>
      <c r="I109" s="24" t="s">
        <v>23</v>
      </c>
      <c r="J109" s="24">
        <f t="shared" si="8"/>
        <v>120</v>
      </c>
      <c r="K109" s="24">
        <f t="shared" si="9"/>
        <v>120</v>
      </c>
    </row>
    <row r="110" spans="1:11" ht="12" customHeight="1">
      <c r="A110" s="99">
        <v>1985</v>
      </c>
      <c r="B110" s="24">
        <v>0</v>
      </c>
      <c r="C110" s="24">
        <v>1</v>
      </c>
      <c r="D110" s="24">
        <v>16</v>
      </c>
      <c r="E110" s="24">
        <v>182</v>
      </c>
      <c r="F110" s="24">
        <v>130</v>
      </c>
      <c r="G110" s="24">
        <v>48</v>
      </c>
      <c r="H110" s="24" t="s">
        <v>23</v>
      </c>
      <c r="I110" s="24" t="s">
        <v>23</v>
      </c>
      <c r="J110" s="24">
        <f t="shared" si="8"/>
        <v>377</v>
      </c>
      <c r="K110" s="24">
        <f t="shared" si="9"/>
        <v>377</v>
      </c>
    </row>
    <row r="111" spans="1:11" ht="12" customHeight="1">
      <c r="A111" s="99">
        <v>1986</v>
      </c>
      <c r="B111" s="24">
        <v>0</v>
      </c>
      <c r="C111" s="24">
        <v>11</v>
      </c>
      <c r="D111" s="24">
        <v>137</v>
      </c>
      <c r="E111" s="24">
        <v>165</v>
      </c>
      <c r="F111" s="24">
        <v>50</v>
      </c>
      <c r="G111" s="24">
        <v>0</v>
      </c>
      <c r="H111" s="24" t="s">
        <v>23</v>
      </c>
      <c r="I111" s="24" t="s">
        <v>23</v>
      </c>
      <c r="J111" s="24">
        <f t="shared" si="8"/>
        <v>363</v>
      </c>
      <c r="K111" s="24">
        <f t="shared" si="9"/>
        <v>363</v>
      </c>
    </row>
    <row r="112" spans="1:11" ht="12" customHeight="1">
      <c r="A112" s="99">
        <v>1987</v>
      </c>
      <c r="B112" s="24">
        <v>0</v>
      </c>
      <c r="C112" s="24">
        <v>13</v>
      </c>
      <c r="D112" s="24">
        <v>0</v>
      </c>
      <c r="E112" s="24">
        <v>92</v>
      </c>
      <c r="F112" s="24">
        <v>270</v>
      </c>
      <c r="G112" s="24">
        <v>0</v>
      </c>
      <c r="H112" s="24" t="s">
        <v>23</v>
      </c>
      <c r="I112" s="24" t="s">
        <v>23</v>
      </c>
      <c r="J112" s="24">
        <f t="shared" si="8"/>
        <v>375</v>
      </c>
      <c r="K112" s="24">
        <f t="shared" si="9"/>
        <v>375</v>
      </c>
    </row>
    <row r="113" spans="1:11" ht="12" customHeight="1">
      <c r="A113" s="99">
        <v>1988</v>
      </c>
      <c r="B113" s="24">
        <v>0</v>
      </c>
      <c r="C113" s="24">
        <v>49</v>
      </c>
      <c r="D113" s="24">
        <v>32</v>
      </c>
      <c r="E113" s="24">
        <v>47</v>
      </c>
      <c r="F113" s="24">
        <v>69</v>
      </c>
      <c r="G113" s="24">
        <v>13</v>
      </c>
      <c r="H113" s="24" t="s">
        <v>23</v>
      </c>
      <c r="I113" s="24" t="s">
        <v>23</v>
      </c>
      <c r="J113" s="24">
        <f t="shared" si="8"/>
        <v>210</v>
      </c>
      <c r="K113" s="24">
        <f t="shared" si="9"/>
        <v>210</v>
      </c>
    </row>
    <row r="114" spans="1:11" ht="12" customHeight="1">
      <c r="A114" s="99">
        <v>1989</v>
      </c>
      <c r="B114" s="24">
        <v>0</v>
      </c>
      <c r="C114" s="24">
        <v>9</v>
      </c>
      <c r="D114" s="24">
        <v>7</v>
      </c>
      <c r="E114" s="24">
        <v>109</v>
      </c>
      <c r="F114" s="24">
        <v>91</v>
      </c>
      <c r="G114" s="24">
        <v>90</v>
      </c>
      <c r="H114" s="24" t="s">
        <v>23</v>
      </c>
      <c r="I114" s="24" t="s">
        <v>23</v>
      </c>
      <c r="J114" s="24">
        <f t="shared" si="8"/>
        <v>306</v>
      </c>
      <c r="K114" s="24">
        <f t="shared" si="9"/>
        <v>306</v>
      </c>
    </row>
    <row r="115" spans="1:11" ht="12" customHeight="1">
      <c r="A115" s="99">
        <v>1990</v>
      </c>
      <c r="B115" s="24">
        <v>0</v>
      </c>
      <c r="C115" s="24">
        <v>23</v>
      </c>
      <c r="D115" s="24">
        <v>18</v>
      </c>
      <c r="E115" s="24">
        <v>182</v>
      </c>
      <c r="F115" s="24">
        <v>271</v>
      </c>
      <c r="G115" s="24">
        <v>83</v>
      </c>
      <c r="H115" s="24" t="s">
        <v>23</v>
      </c>
      <c r="I115" s="24" t="s">
        <v>23</v>
      </c>
      <c r="J115" s="24">
        <f t="shared" si="8"/>
        <v>577</v>
      </c>
      <c r="K115" s="24">
        <f t="shared" si="9"/>
        <v>577</v>
      </c>
    </row>
    <row r="116" spans="1:11" ht="12" customHeight="1">
      <c r="A116" s="99">
        <v>1991</v>
      </c>
      <c r="B116" s="24">
        <v>0</v>
      </c>
      <c r="C116" s="24">
        <v>13</v>
      </c>
      <c r="D116" s="24">
        <v>13</v>
      </c>
      <c r="E116" s="24">
        <v>81</v>
      </c>
      <c r="F116" s="24">
        <v>299</v>
      </c>
      <c r="G116" s="24">
        <v>0</v>
      </c>
      <c r="H116" s="24" t="s">
        <v>23</v>
      </c>
      <c r="I116" s="24" t="s">
        <v>23</v>
      </c>
      <c r="J116" s="24">
        <f t="shared" si="8"/>
        <v>406</v>
      </c>
      <c r="K116" s="24">
        <f t="shared" si="9"/>
        <v>406</v>
      </c>
    </row>
    <row r="117" spans="1:11" ht="12" customHeight="1">
      <c r="A117" s="99">
        <v>1992</v>
      </c>
      <c r="B117" s="24">
        <v>0</v>
      </c>
      <c r="C117" s="24">
        <v>0</v>
      </c>
      <c r="D117" s="24">
        <v>3</v>
      </c>
      <c r="E117" s="24">
        <v>96</v>
      </c>
      <c r="F117" s="24">
        <v>89</v>
      </c>
      <c r="G117" s="24">
        <v>0</v>
      </c>
      <c r="H117" s="24" t="s">
        <v>23</v>
      </c>
      <c r="I117" s="24" t="s">
        <v>23</v>
      </c>
      <c r="J117" s="24">
        <f t="shared" si="8"/>
        <v>188</v>
      </c>
      <c r="K117" s="24">
        <f t="shared" si="9"/>
        <v>188</v>
      </c>
    </row>
    <row r="118" spans="1:11" ht="12" customHeight="1">
      <c r="A118" s="99">
        <v>1993</v>
      </c>
      <c r="B118" s="24">
        <v>0</v>
      </c>
      <c r="C118" s="24">
        <v>1</v>
      </c>
      <c r="D118" s="24">
        <v>2</v>
      </c>
      <c r="E118" s="24">
        <v>43</v>
      </c>
      <c r="F118" s="24">
        <v>97</v>
      </c>
      <c r="G118" s="24">
        <v>27</v>
      </c>
      <c r="H118" s="24" t="s">
        <v>23</v>
      </c>
      <c r="I118" s="24" t="s">
        <v>23</v>
      </c>
      <c r="J118" s="24">
        <f t="shared" si="8"/>
        <v>170</v>
      </c>
      <c r="K118" s="24">
        <f t="shared" si="9"/>
        <v>170</v>
      </c>
    </row>
    <row r="119" spans="1:11" ht="12" customHeight="1">
      <c r="A119" s="99">
        <v>1994</v>
      </c>
      <c r="B119" s="24">
        <v>0</v>
      </c>
      <c r="C119" s="24">
        <v>3</v>
      </c>
      <c r="D119" s="24">
        <v>17</v>
      </c>
      <c r="E119" s="24">
        <v>1</v>
      </c>
      <c r="F119" s="24">
        <v>0</v>
      </c>
      <c r="G119" s="24">
        <v>0</v>
      </c>
      <c r="H119" s="24" t="s">
        <v>23</v>
      </c>
      <c r="I119" s="24" t="s">
        <v>23</v>
      </c>
      <c r="J119" s="24">
        <f t="shared" si="8"/>
        <v>21</v>
      </c>
      <c r="K119" s="24">
        <f t="shared" si="9"/>
        <v>21</v>
      </c>
    </row>
    <row r="120" spans="1:11" ht="12" customHeight="1">
      <c r="A120" s="99">
        <v>1995</v>
      </c>
      <c r="B120" s="24">
        <v>0</v>
      </c>
      <c r="C120" s="24">
        <v>0</v>
      </c>
      <c r="D120" s="24">
        <v>0</v>
      </c>
      <c r="E120" s="24">
        <v>0</v>
      </c>
      <c r="F120" s="24">
        <v>14</v>
      </c>
      <c r="G120" s="24">
        <v>0</v>
      </c>
      <c r="H120" s="24" t="s">
        <v>23</v>
      </c>
      <c r="I120" s="24" t="s">
        <v>23</v>
      </c>
      <c r="J120" s="24">
        <f t="shared" si="8"/>
        <v>14</v>
      </c>
      <c r="K120" s="24">
        <f t="shared" si="9"/>
        <v>14</v>
      </c>
    </row>
    <row r="121" spans="1:11" ht="12" customHeight="1">
      <c r="A121" s="99">
        <v>1996</v>
      </c>
      <c r="B121" s="24">
        <v>0</v>
      </c>
      <c r="C121" s="24">
        <v>0</v>
      </c>
      <c r="D121" s="24">
        <v>0</v>
      </c>
      <c r="E121" s="24">
        <v>0</v>
      </c>
      <c r="F121" s="24">
        <v>6</v>
      </c>
      <c r="G121" s="24">
        <v>10</v>
      </c>
      <c r="H121" s="24" t="s">
        <v>23</v>
      </c>
      <c r="I121" s="24" t="s">
        <v>23</v>
      </c>
      <c r="J121" s="24">
        <f t="shared" si="8"/>
        <v>16</v>
      </c>
      <c r="K121" s="24">
        <f t="shared" si="9"/>
        <v>16</v>
      </c>
    </row>
    <row r="122" spans="1:11" ht="12" customHeight="1">
      <c r="A122" s="99">
        <v>1997</v>
      </c>
      <c r="B122" s="24">
        <v>0</v>
      </c>
      <c r="C122" s="24">
        <v>0</v>
      </c>
      <c r="D122" s="24">
        <v>0</v>
      </c>
      <c r="E122" s="24">
        <v>0</v>
      </c>
      <c r="F122" s="24">
        <v>0</v>
      </c>
      <c r="G122" s="24">
        <v>0</v>
      </c>
      <c r="H122" s="24" t="s">
        <v>23</v>
      </c>
      <c r="I122" s="24" t="s">
        <v>23</v>
      </c>
      <c r="J122" s="24">
        <f t="shared" si="8"/>
        <v>0</v>
      </c>
      <c r="K122" s="24">
        <f t="shared" si="9"/>
        <v>0</v>
      </c>
    </row>
    <row r="123" spans="1:11" ht="12" customHeight="1">
      <c r="A123" s="99">
        <v>1998</v>
      </c>
      <c r="B123" s="24">
        <v>0</v>
      </c>
      <c r="C123" s="24">
        <v>0</v>
      </c>
      <c r="D123" s="24">
        <v>1</v>
      </c>
      <c r="E123" s="24">
        <v>0</v>
      </c>
      <c r="F123" s="24">
        <v>7</v>
      </c>
      <c r="G123" s="24">
        <v>0</v>
      </c>
      <c r="H123" s="24" t="s">
        <v>23</v>
      </c>
      <c r="I123" s="24" t="s">
        <v>23</v>
      </c>
      <c r="J123" s="24">
        <f t="shared" si="8"/>
        <v>8</v>
      </c>
      <c r="K123" s="24">
        <f t="shared" si="9"/>
        <v>8</v>
      </c>
    </row>
    <row r="124" spans="1:11" ht="12" customHeight="1">
      <c r="A124" s="99">
        <v>1999</v>
      </c>
      <c r="B124" s="24">
        <v>0</v>
      </c>
      <c r="C124" s="24">
        <v>0</v>
      </c>
      <c r="D124" s="24">
        <v>2</v>
      </c>
      <c r="E124" s="24">
        <v>0</v>
      </c>
      <c r="F124" s="24">
        <v>3</v>
      </c>
      <c r="G124" s="24">
        <v>0</v>
      </c>
      <c r="H124" s="24" t="s">
        <v>23</v>
      </c>
      <c r="I124" s="24" t="s">
        <v>23</v>
      </c>
      <c r="J124" s="24">
        <f t="shared" si="8"/>
        <v>5</v>
      </c>
      <c r="K124" s="24">
        <f t="shared" si="9"/>
        <v>5</v>
      </c>
    </row>
    <row r="125" spans="1:11" ht="12" customHeight="1">
      <c r="A125" s="99">
        <v>2000</v>
      </c>
      <c r="B125" s="24">
        <v>0</v>
      </c>
      <c r="C125" s="24">
        <v>0</v>
      </c>
      <c r="D125" s="24">
        <v>1</v>
      </c>
      <c r="E125" s="24">
        <v>0</v>
      </c>
      <c r="F125" s="24">
        <v>1</v>
      </c>
      <c r="G125" s="24">
        <v>0</v>
      </c>
      <c r="H125" s="24" t="s">
        <v>23</v>
      </c>
      <c r="I125" s="24" t="s">
        <v>23</v>
      </c>
      <c r="J125" s="24">
        <f t="shared" si="8"/>
        <v>2</v>
      </c>
      <c r="K125" s="24">
        <f t="shared" si="9"/>
        <v>2</v>
      </c>
    </row>
    <row r="126" spans="1:11" ht="12" customHeight="1">
      <c r="A126" s="99">
        <v>2001</v>
      </c>
      <c r="B126" s="24">
        <v>0</v>
      </c>
      <c r="C126" s="24">
        <v>0</v>
      </c>
      <c r="D126" s="24">
        <v>0</v>
      </c>
      <c r="E126" s="24">
        <v>0</v>
      </c>
      <c r="F126" s="24">
        <v>0</v>
      </c>
      <c r="G126" s="24">
        <v>2</v>
      </c>
      <c r="H126" s="24" t="s">
        <v>23</v>
      </c>
      <c r="I126" s="24" t="s">
        <v>23</v>
      </c>
      <c r="J126" s="24">
        <f t="shared" si="8"/>
        <v>2</v>
      </c>
      <c r="K126" s="24">
        <f t="shared" si="9"/>
        <v>2</v>
      </c>
    </row>
    <row r="127" spans="1:11" ht="12" customHeight="1">
      <c r="A127" s="99">
        <v>2002</v>
      </c>
      <c r="B127" s="24">
        <v>0</v>
      </c>
      <c r="C127" s="24">
        <v>0</v>
      </c>
      <c r="D127" s="24">
        <v>0</v>
      </c>
      <c r="E127" s="24">
        <v>1</v>
      </c>
      <c r="F127" s="24">
        <v>2</v>
      </c>
      <c r="G127" s="24">
        <v>0</v>
      </c>
      <c r="H127" s="24">
        <v>10</v>
      </c>
      <c r="I127" s="24" t="s">
        <v>23</v>
      </c>
      <c r="J127" s="24">
        <f t="shared" si="8"/>
        <v>3</v>
      </c>
      <c r="K127" s="24">
        <f t="shared" si="9"/>
        <v>13</v>
      </c>
    </row>
    <row r="128" spans="1:11" ht="12" customHeight="1">
      <c r="A128" s="99">
        <v>2003</v>
      </c>
      <c r="B128" s="24">
        <v>0</v>
      </c>
      <c r="C128" s="24">
        <v>0</v>
      </c>
      <c r="D128" s="24">
        <v>1</v>
      </c>
      <c r="E128" s="24">
        <v>0</v>
      </c>
      <c r="F128" s="24">
        <v>0</v>
      </c>
      <c r="G128" s="24">
        <v>0</v>
      </c>
      <c r="H128" s="24">
        <v>15</v>
      </c>
      <c r="I128" s="24" t="s">
        <v>23</v>
      </c>
      <c r="J128" s="24">
        <f t="shared" si="8"/>
        <v>1</v>
      </c>
      <c r="K128" s="24">
        <f t="shared" si="9"/>
        <v>16</v>
      </c>
    </row>
    <row r="129" spans="1:11" ht="12" customHeight="1">
      <c r="A129" s="99">
        <v>2004</v>
      </c>
      <c r="B129" s="24">
        <v>0</v>
      </c>
      <c r="C129" s="24">
        <v>0</v>
      </c>
      <c r="D129" s="24">
        <v>0</v>
      </c>
      <c r="E129" s="24">
        <v>2</v>
      </c>
      <c r="F129" s="24">
        <v>2</v>
      </c>
      <c r="G129" s="24">
        <v>0</v>
      </c>
      <c r="H129" s="24">
        <v>15</v>
      </c>
      <c r="I129" s="24" t="s">
        <v>23</v>
      </c>
      <c r="J129" s="24">
        <f t="shared" si="8"/>
        <v>4</v>
      </c>
      <c r="K129" s="24">
        <f t="shared" si="9"/>
        <v>19</v>
      </c>
    </row>
    <row r="130" spans="1:11" ht="12" customHeight="1">
      <c r="A130" s="99">
        <v>2005</v>
      </c>
      <c r="B130" s="24">
        <v>0</v>
      </c>
      <c r="C130" s="24">
        <v>1</v>
      </c>
      <c r="D130" s="24">
        <v>1</v>
      </c>
      <c r="E130" s="24">
        <v>3</v>
      </c>
      <c r="F130" s="24">
        <v>3</v>
      </c>
      <c r="G130" s="24">
        <v>1</v>
      </c>
      <c r="H130" s="24">
        <v>0</v>
      </c>
      <c r="I130" s="24" t="s">
        <v>23</v>
      </c>
      <c r="J130" s="24">
        <f t="shared" si="8"/>
        <v>9</v>
      </c>
      <c r="K130" s="24">
        <f t="shared" si="9"/>
        <v>9</v>
      </c>
    </row>
    <row r="131" spans="1:11" ht="12" customHeight="1">
      <c r="A131" s="99">
        <v>2006</v>
      </c>
      <c r="B131" s="24">
        <v>0</v>
      </c>
      <c r="C131" s="24">
        <v>2</v>
      </c>
      <c r="D131" s="24">
        <v>7</v>
      </c>
      <c r="E131" s="24">
        <v>11</v>
      </c>
      <c r="F131" s="24">
        <v>8</v>
      </c>
      <c r="G131" s="24">
        <v>3</v>
      </c>
      <c r="H131" s="24">
        <v>5</v>
      </c>
      <c r="I131" s="24" t="s">
        <v>23</v>
      </c>
      <c r="J131" s="24">
        <f t="shared" si="8"/>
        <v>31</v>
      </c>
      <c r="K131" s="24">
        <f t="shared" si="9"/>
        <v>36</v>
      </c>
    </row>
    <row r="132" spans="1:11" ht="12" customHeight="1">
      <c r="A132" s="99">
        <v>2007</v>
      </c>
      <c r="B132" s="24">
        <v>0</v>
      </c>
      <c r="C132" s="24">
        <v>0</v>
      </c>
      <c r="D132" s="24">
        <v>15</v>
      </c>
      <c r="E132" s="24">
        <v>2</v>
      </c>
      <c r="F132" s="24">
        <v>13</v>
      </c>
      <c r="G132" s="24">
        <v>1</v>
      </c>
      <c r="H132" s="24">
        <v>0</v>
      </c>
      <c r="I132" s="24" t="s">
        <v>23</v>
      </c>
      <c r="J132" s="24">
        <f t="shared" si="8"/>
        <v>31</v>
      </c>
      <c r="K132" s="24">
        <f t="shared" si="9"/>
        <v>31</v>
      </c>
    </row>
    <row r="133" spans="1:11" ht="12" customHeight="1">
      <c r="A133" s="99">
        <v>2008</v>
      </c>
      <c r="B133" s="24">
        <v>0</v>
      </c>
      <c r="C133" s="24">
        <v>4</v>
      </c>
      <c r="D133" s="24">
        <v>26</v>
      </c>
      <c r="E133" s="24">
        <v>11</v>
      </c>
      <c r="F133" s="24">
        <v>9</v>
      </c>
      <c r="G133" s="24">
        <v>2</v>
      </c>
      <c r="H133" s="24">
        <v>1</v>
      </c>
      <c r="I133" s="24" t="s">
        <v>23</v>
      </c>
      <c r="J133" s="24">
        <f t="shared" si="8"/>
        <v>52</v>
      </c>
      <c r="K133" s="24">
        <f t="shared" si="9"/>
        <v>53</v>
      </c>
    </row>
    <row r="134" spans="1:11" ht="12" customHeight="1">
      <c r="A134" s="99">
        <v>2009</v>
      </c>
      <c r="B134" s="24">
        <v>0</v>
      </c>
      <c r="C134" s="24">
        <v>2</v>
      </c>
      <c r="D134" s="24">
        <v>3</v>
      </c>
      <c r="E134" s="24">
        <v>2</v>
      </c>
      <c r="F134" s="24">
        <v>6</v>
      </c>
      <c r="G134" s="24">
        <v>0</v>
      </c>
      <c r="H134" s="24">
        <v>4</v>
      </c>
      <c r="I134" s="24" t="s">
        <v>23</v>
      </c>
      <c r="J134" s="24">
        <f t="shared" si="8"/>
        <v>13</v>
      </c>
      <c r="K134" s="24">
        <f t="shared" si="9"/>
        <v>17</v>
      </c>
    </row>
    <row r="135" spans="1:11" ht="12" customHeight="1">
      <c r="A135" s="99">
        <v>2010</v>
      </c>
      <c r="B135" s="24">
        <v>0</v>
      </c>
      <c r="C135" s="24">
        <v>3</v>
      </c>
      <c r="D135" s="24">
        <v>1</v>
      </c>
      <c r="E135" s="24">
        <v>11</v>
      </c>
      <c r="F135" s="24">
        <v>12</v>
      </c>
      <c r="G135" s="24">
        <v>2</v>
      </c>
      <c r="H135" s="24">
        <v>4</v>
      </c>
      <c r="I135" s="24" t="s">
        <v>23</v>
      </c>
      <c r="J135" s="24">
        <f t="shared" si="8"/>
        <v>29</v>
      </c>
      <c r="K135" s="24">
        <f t="shared" si="9"/>
        <v>33</v>
      </c>
    </row>
    <row r="136" spans="1:11" ht="12" customHeight="1">
      <c r="A136" s="99">
        <v>2011</v>
      </c>
      <c r="B136" s="24">
        <v>0</v>
      </c>
      <c r="C136" s="24">
        <v>0</v>
      </c>
      <c r="D136" s="24">
        <v>3</v>
      </c>
      <c r="E136" s="24">
        <v>0</v>
      </c>
      <c r="F136" s="24">
        <v>3</v>
      </c>
      <c r="G136" s="24">
        <v>2</v>
      </c>
      <c r="H136" s="24">
        <v>1</v>
      </c>
      <c r="I136" s="24" t="s">
        <v>23</v>
      </c>
      <c r="J136" s="24">
        <f t="shared" si="8"/>
        <v>8</v>
      </c>
      <c r="K136" s="24">
        <f t="shared" si="9"/>
        <v>9</v>
      </c>
    </row>
    <row r="137" spans="1:11" ht="12" customHeight="1">
      <c r="A137" s="99">
        <v>2012</v>
      </c>
      <c r="B137" s="24">
        <v>0</v>
      </c>
      <c r="C137" s="24">
        <v>8</v>
      </c>
      <c r="D137" s="24">
        <v>3</v>
      </c>
      <c r="E137" s="24">
        <v>5</v>
      </c>
      <c r="F137" s="24">
        <v>12</v>
      </c>
      <c r="G137" s="24">
        <v>2</v>
      </c>
      <c r="H137" s="24">
        <v>4</v>
      </c>
      <c r="I137" s="24" t="s">
        <v>23</v>
      </c>
      <c r="J137" s="24">
        <f t="shared" si="8"/>
        <v>30</v>
      </c>
      <c r="K137" s="24">
        <f t="shared" si="9"/>
        <v>34</v>
      </c>
    </row>
    <row r="138" spans="1:11" ht="12" customHeight="1">
      <c r="A138" s="99">
        <v>2013</v>
      </c>
      <c r="B138" s="24">
        <v>0</v>
      </c>
      <c r="C138" s="24">
        <v>6</v>
      </c>
      <c r="D138" s="24">
        <v>18</v>
      </c>
      <c r="E138" s="24">
        <v>30</v>
      </c>
      <c r="F138" s="24">
        <v>13</v>
      </c>
      <c r="G138" s="24">
        <v>35</v>
      </c>
      <c r="H138" s="24">
        <v>0</v>
      </c>
      <c r="I138" s="24" t="s">
        <v>23</v>
      </c>
      <c r="J138" s="24">
        <f t="shared" si="8"/>
        <v>102</v>
      </c>
      <c r="K138" s="24">
        <f t="shared" si="9"/>
        <v>102</v>
      </c>
    </row>
    <row r="139" spans="1:11" ht="12" customHeight="1">
      <c r="A139" s="99">
        <v>2014</v>
      </c>
      <c r="B139" s="24">
        <v>0</v>
      </c>
      <c r="C139" s="24">
        <v>41</v>
      </c>
      <c r="D139" s="24">
        <v>61</v>
      </c>
      <c r="E139" s="24">
        <v>304</v>
      </c>
      <c r="F139" s="24">
        <v>253</v>
      </c>
      <c r="G139" s="24">
        <v>82</v>
      </c>
      <c r="H139" s="24">
        <v>0</v>
      </c>
      <c r="I139" s="24" t="s">
        <v>23</v>
      </c>
      <c r="J139" s="24">
        <f t="shared" si="8"/>
        <v>741</v>
      </c>
      <c r="K139" s="24">
        <f t="shared" si="9"/>
        <v>741</v>
      </c>
    </row>
    <row r="140" spans="1:11" ht="12" customHeight="1">
      <c r="A140" s="99">
        <v>2015</v>
      </c>
      <c r="B140" s="24">
        <v>0</v>
      </c>
      <c r="C140" s="24">
        <v>38</v>
      </c>
      <c r="D140" s="24">
        <v>23</v>
      </c>
      <c r="E140" s="24">
        <v>205</v>
      </c>
      <c r="F140" s="24">
        <v>115</v>
      </c>
      <c r="G140" s="24">
        <v>54</v>
      </c>
      <c r="H140" s="24">
        <v>0</v>
      </c>
      <c r="I140" s="24" t="s">
        <v>23</v>
      </c>
      <c r="J140" s="24">
        <f t="shared" si="8"/>
        <v>435</v>
      </c>
      <c r="K140" s="24">
        <f t="shared" si="9"/>
        <v>435</v>
      </c>
    </row>
    <row r="141" spans="1:11" ht="12" customHeight="1">
      <c r="A141" s="99">
        <v>2016</v>
      </c>
      <c r="B141" s="24">
        <v>0</v>
      </c>
      <c r="C141" s="24">
        <v>21</v>
      </c>
      <c r="D141" s="24">
        <v>15</v>
      </c>
      <c r="E141" s="24">
        <v>4</v>
      </c>
      <c r="F141" s="24">
        <v>1</v>
      </c>
      <c r="G141" s="24">
        <v>0</v>
      </c>
      <c r="H141" s="24">
        <v>0</v>
      </c>
      <c r="I141" s="24" t="s">
        <v>23</v>
      </c>
      <c r="J141" s="24">
        <f t="shared" si="8"/>
        <v>41</v>
      </c>
      <c r="K141" s="24">
        <f t="shared" si="9"/>
        <v>41</v>
      </c>
    </row>
    <row r="142" spans="1:11" ht="12" customHeight="1">
      <c r="A142" s="99">
        <v>2017</v>
      </c>
      <c r="B142" s="24">
        <v>0</v>
      </c>
      <c r="C142" s="24">
        <v>0</v>
      </c>
      <c r="D142" s="24">
        <v>1</v>
      </c>
      <c r="E142" s="24">
        <v>2</v>
      </c>
      <c r="F142" s="24">
        <v>3</v>
      </c>
      <c r="G142" s="24">
        <v>2</v>
      </c>
      <c r="H142" s="24">
        <v>0</v>
      </c>
      <c r="I142" s="24" t="s">
        <v>23</v>
      </c>
      <c r="J142" s="24">
        <f t="shared" si="8"/>
        <v>8</v>
      </c>
      <c r="K142" s="24">
        <f t="shared" si="9"/>
        <v>8</v>
      </c>
    </row>
    <row r="143" spans="1:11" ht="12" customHeight="1">
      <c r="A143" s="99">
        <v>2018</v>
      </c>
      <c r="B143" s="24">
        <v>0</v>
      </c>
      <c r="C143" s="24">
        <v>0</v>
      </c>
      <c r="D143" s="24">
        <v>1</v>
      </c>
      <c r="E143" s="24">
        <v>0</v>
      </c>
      <c r="F143" s="24">
        <v>0</v>
      </c>
      <c r="G143" s="24">
        <v>3</v>
      </c>
      <c r="H143" s="24">
        <v>0</v>
      </c>
      <c r="I143" s="24" t="s">
        <v>23</v>
      </c>
      <c r="J143" s="24">
        <f>SUM(C143:G143)</f>
        <v>4</v>
      </c>
      <c r="K143" s="24">
        <f>SUM(B143:I143)</f>
        <v>4</v>
      </c>
    </row>
    <row r="144" spans="1:11" ht="12" customHeight="1">
      <c r="A144" s="99">
        <v>2019</v>
      </c>
      <c r="B144" s="24">
        <v>0</v>
      </c>
      <c r="C144" s="24">
        <v>0</v>
      </c>
      <c r="D144" s="24">
        <v>0</v>
      </c>
      <c r="E144" s="24">
        <v>0</v>
      </c>
      <c r="F144" s="24">
        <v>2</v>
      </c>
      <c r="G144" s="24">
        <v>5</v>
      </c>
      <c r="H144" s="24">
        <v>0</v>
      </c>
      <c r="I144" s="24" t="s">
        <v>23</v>
      </c>
      <c r="J144" s="24">
        <f t="shared" ref="J144:J145" si="10">SUM(C144:G144)</f>
        <v>7</v>
      </c>
      <c r="K144" s="24">
        <f t="shared" ref="K144:K145" si="11">SUM(B144:I144)</f>
        <v>7</v>
      </c>
    </row>
    <row r="145" spans="1:11" ht="12" customHeight="1">
      <c r="A145" s="99">
        <v>2020</v>
      </c>
      <c r="B145" s="24">
        <v>0</v>
      </c>
      <c r="C145" s="24">
        <v>0</v>
      </c>
      <c r="D145" s="24">
        <v>0</v>
      </c>
      <c r="E145" s="24">
        <v>0</v>
      </c>
      <c r="F145" s="24">
        <v>1</v>
      </c>
      <c r="G145" s="24">
        <v>0</v>
      </c>
      <c r="H145" s="24">
        <v>0</v>
      </c>
      <c r="I145" s="24" t="s">
        <v>23</v>
      </c>
      <c r="J145" s="24">
        <f t="shared" si="10"/>
        <v>1</v>
      </c>
      <c r="K145" s="24">
        <f t="shared" si="11"/>
        <v>1</v>
      </c>
    </row>
    <row r="146" spans="1:11" ht="12" customHeight="1">
      <c r="A146" s="99" t="s">
        <v>317</v>
      </c>
      <c r="B146" s="24">
        <v>0</v>
      </c>
      <c r="C146" s="24">
        <v>0</v>
      </c>
      <c r="D146" s="24">
        <v>0</v>
      </c>
      <c r="E146" s="24">
        <v>4</v>
      </c>
      <c r="F146" s="24">
        <v>8</v>
      </c>
      <c r="G146" s="24">
        <v>0</v>
      </c>
      <c r="H146" s="24">
        <v>0</v>
      </c>
      <c r="I146" s="24" t="s">
        <v>23</v>
      </c>
      <c r="J146" s="24">
        <f t="shared" si="8"/>
        <v>12</v>
      </c>
      <c r="K146" s="24">
        <f t="shared" si="9"/>
        <v>12</v>
      </c>
    </row>
    <row r="147" spans="1:11" ht="12" customHeight="1">
      <c r="C147" s="54"/>
      <c r="D147" s="54"/>
      <c r="E147" s="54"/>
      <c r="F147" s="54"/>
      <c r="G147" s="54"/>
      <c r="H147" s="54"/>
      <c r="I147" s="54"/>
      <c r="J147" s="54"/>
      <c r="K147" s="54"/>
    </row>
    <row r="148" spans="1:11" ht="12" customHeight="1">
      <c r="A148" s="94" t="s">
        <v>58</v>
      </c>
      <c r="B148" s="20"/>
      <c r="C148" s="54"/>
      <c r="D148" s="54"/>
      <c r="E148" s="54"/>
      <c r="F148" s="54"/>
      <c r="G148" s="54"/>
      <c r="H148" s="54"/>
      <c r="I148" s="54"/>
      <c r="J148" s="54"/>
      <c r="K148" s="54"/>
    </row>
    <row r="149" spans="1:11" ht="12" customHeight="1">
      <c r="A149" s="99">
        <v>1976</v>
      </c>
      <c r="B149" s="24">
        <v>0</v>
      </c>
      <c r="C149" s="24">
        <v>4</v>
      </c>
      <c r="D149" s="24">
        <v>4</v>
      </c>
      <c r="E149" s="24">
        <v>5</v>
      </c>
      <c r="F149" s="24">
        <v>0</v>
      </c>
      <c r="G149" s="24">
        <v>0</v>
      </c>
      <c r="H149" s="24">
        <v>0</v>
      </c>
      <c r="I149" s="24">
        <v>0</v>
      </c>
      <c r="J149" s="24">
        <f t="shared" ref="J149:J194" si="12">SUM(C149:G149)</f>
        <v>13</v>
      </c>
      <c r="K149" s="24">
        <f t="shared" ref="K149:K194" si="13">SUM(B149:I149)</f>
        <v>13</v>
      </c>
    </row>
    <row r="150" spans="1:11" ht="12" customHeight="1">
      <c r="A150" s="99">
        <v>1977</v>
      </c>
      <c r="B150" s="24">
        <v>0</v>
      </c>
      <c r="C150" s="24">
        <v>0</v>
      </c>
      <c r="D150" s="24">
        <v>0</v>
      </c>
      <c r="E150" s="24">
        <v>0</v>
      </c>
      <c r="F150" s="24">
        <v>7</v>
      </c>
      <c r="G150" s="24">
        <v>1</v>
      </c>
      <c r="H150" s="24">
        <v>0</v>
      </c>
      <c r="I150" s="24">
        <v>0</v>
      </c>
      <c r="J150" s="24">
        <f t="shared" si="12"/>
        <v>8</v>
      </c>
      <c r="K150" s="24">
        <f t="shared" si="13"/>
        <v>8</v>
      </c>
    </row>
    <row r="151" spans="1:11" ht="12" customHeight="1">
      <c r="A151" s="99">
        <v>1978</v>
      </c>
      <c r="B151" s="24">
        <v>0</v>
      </c>
      <c r="C151" s="24">
        <v>0</v>
      </c>
      <c r="D151" s="24">
        <v>0</v>
      </c>
      <c r="E151" s="24">
        <v>0</v>
      </c>
      <c r="F151" s="24">
        <v>0</v>
      </c>
      <c r="G151" s="24">
        <v>0</v>
      </c>
      <c r="H151" s="24">
        <v>0</v>
      </c>
      <c r="I151" s="24">
        <v>0</v>
      </c>
      <c r="J151" s="24">
        <f t="shared" si="12"/>
        <v>0</v>
      </c>
      <c r="K151" s="24">
        <f t="shared" si="13"/>
        <v>0</v>
      </c>
    </row>
    <row r="152" spans="1:11" ht="12" customHeight="1">
      <c r="A152" s="99">
        <v>1979</v>
      </c>
      <c r="B152" s="24">
        <v>0</v>
      </c>
      <c r="C152" s="24">
        <v>1</v>
      </c>
      <c r="D152" s="24">
        <v>0</v>
      </c>
      <c r="E152" s="24">
        <v>27</v>
      </c>
      <c r="F152" s="24">
        <v>29</v>
      </c>
      <c r="G152" s="24">
        <v>0</v>
      </c>
      <c r="H152" s="24">
        <v>0</v>
      </c>
      <c r="I152" s="24">
        <v>0</v>
      </c>
      <c r="J152" s="24">
        <f t="shared" si="12"/>
        <v>57</v>
      </c>
      <c r="K152" s="24">
        <f t="shared" si="13"/>
        <v>57</v>
      </c>
    </row>
    <row r="153" spans="1:11" ht="12" customHeight="1">
      <c r="A153" s="99">
        <v>1980</v>
      </c>
      <c r="B153" s="24">
        <v>0</v>
      </c>
      <c r="C153" s="24">
        <v>0</v>
      </c>
      <c r="D153" s="24">
        <v>0</v>
      </c>
      <c r="E153" s="24">
        <v>10</v>
      </c>
      <c r="F153" s="24">
        <v>13</v>
      </c>
      <c r="G153" s="24">
        <v>0</v>
      </c>
      <c r="H153" s="24">
        <v>0</v>
      </c>
      <c r="I153" s="24">
        <v>0</v>
      </c>
      <c r="J153" s="24">
        <f t="shared" si="12"/>
        <v>23</v>
      </c>
      <c r="K153" s="24">
        <f t="shared" si="13"/>
        <v>23</v>
      </c>
    </row>
    <row r="154" spans="1:11" ht="12" customHeight="1">
      <c r="A154" s="99">
        <v>1981</v>
      </c>
      <c r="B154" s="24">
        <v>0</v>
      </c>
      <c r="C154" s="24">
        <v>5</v>
      </c>
      <c r="D154" s="24">
        <v>28</v>
      </c>
      <c r="E154" s="24">
        <v>74</v>
      </c>
      <c r="F154" s="24">
        <v>19</v>
      </c>
      <c r="G154" s="24">
        <v>0</v>
      </c>
      <c r="H154" s="24">
        <v>0</v>
      </c>
      <c r="I154" s="24">
        <v>0</v>
      </c>
      <c r="J154" s="24">
        <f t="shared" si="12"/>
        <v>126</v>
      </c>
      <c r="K154" s="24">
        <f t="shared" si="13"/>
        <v>126</v>
      </c>
    </row>
    <row r="155" spans="1:11" ht="12" customHeight="1">
      <c r="A155" s="99">
        <v>1982</v>
      </c>
      <c r="B155" s="24">
        <v>0</v>
      </c>
      <c r="C155" s="24">
        <v>5</v>
      </c>
      <c r="D155" s="24">
        <v>19</v>
      </c>
      <c r="E155" s="24">
        <v>34</v>
      </c>
      <c r="F155" s="24">
        <v>21</v>
      </c>
      <c r="G155" s="24">
        <v>8</v>
      </c>
      <c r="H155" s="24" t="s">
        <v>23</v>
      </c>
      <c r="I155" s="24" t="s">
        <v>23</v>
      </c>
      <c r="J155" s="24">
        <f t="shared" si="12"/>
        <v>87</v>
      </c>
      <c r="K155" s="24">
        <f t="shared" si="13"/>
        <v>87</v>
      </c>
    </row>
    <row r="156" spans="1:11" ht="12" customHeight="1">
      <c r="A156" s="99">
        <v>1983</v>
      </c>
      <c r="B156" s="24">
        <v>0</v>
      </c>
      <c r="C156" s="24">
        <v>7</v>
      </c>
      <c r="D156" s="24">
        <v>7</v>
      </c>
      <c r="E156" s="24">
        <v>2</v>
      </c>
      <c r="F156" s="24">
        <v>2</v>
      </c>
      <c r="G156" s="24">
        <v>0</v>
      </c>
      <c r="H156" s="24" t="s">
        <v>23</v>
      </c>
      <c r="I156" s="24" t="s">
        <v>23</v>
      </c>
      <c r="J156" s="24">
        <f t="shared" si="12"/>
        <v>18</v>
      </c>
      <c r="K156" s="24">
        <f t="shared" si="13"/>
        <v>18</v>
      </c>
    </row>
    <row r="157" spans="1:11" ht="12" customHeight="1">
      <c r="A157" s="99">
        <v>1984</v>
      </c>
      <c r="B157" s="24">
        <v>0</v>
      </c>
      <c r="C157" s="24">
        <v>3</v>
      </c>
      <c r="D157" s="24">
        <v>1</v>
      </c>
      <c r="E157" s="24">
        <v>4</v>
      </c>
      <c r="F157" s="24">
        <v>29</v>
      </c>
      <c r="G157" s="24">
        <v>0</v>
      </c>
      <c r="H157" s="24" t="s">
        <v>23</v>
      </c>
      <c r="I157" s="24" t="s">
        <v>23</v>
      </c>
      <c r="J157" s="24">
        <f t="shared" si="12"/>
        <v>37</v>
      </c>
      <c r="K157" s="24">
        <f t="shared" si="13"/>
        <v>37</v>
      </c>
    </row>
    <row r="158" spans="1:11" ht="12" customHeight="1">
      <c r="A158" s="99">
        <v>1985</v>
      </c>
      <c r="B158" s="24">
        <v>0</v>
      </c>
      <c r="C158" s="24">
        <v>8</v>
      </c>
      <c r="D158" s="24">
        <v>7</v>
      </c>
      <c r="E158" s="24">
        <v>35</v>
      </c>
      <c r="F158" s="24">
        <v>43</v>
      </c>
      <c r="G158" s="24">
        <v>0</v>
      </c>
      <c r="H158" s="24" t="s">
        <v>23</v>
      </c>
      <c r="I158" s="24" t="s">
        <v>23</v>
      </c>
      <c r="J158" s="24">
        <f t="shared" si="12"/>
        <v>93</v>
      </c>
      <c r="K158" s="24">
        <f t="shared" si="13"/>
        <v>93</v>
      </c>
    </row>
    <row r="159" spans="1:11" ht="12" customHeight="1">
      <c r="A159" s="99">
        <v>1986</v>
      </c>
      <c r="B159" s="24">
        <v>0</v>
      </c>
      <c r="C159" s="24">
        <v>7</v>
      </c>
      <c r="D159" s="24">
        <v>71</v>
      </c>
      <c r="E159" s="24">
        <v>51</v>
      </c>
      <c r="F159" s="24">
        <v>0</v>
      </c>
      <c r="G159" s="24">
        <v>0</v>
      </c>
      <c r="H159" s="24" t="s">
        <v>23</v>
      </c>
      <c r="I159" s="24" t="s">
        <v>23</v>
      </c>
      <c r="J159" s="24">
        <f t="shared" si="12"/>
        <v>129</v>
      </c>
      <c r="K159" s="24">
        <f t="shared" si="13"/>
        <v>129</v>
      </c>
    </row>
    <row r="160" spans="1:11" ht="12" customHeight="1">
      <c r="A160" s="99">
        <v>1987</v>
      </c>
      <c r="B160" s="24">
        <v>0</v>
      </c>
      <c r="C160" s="24">
        <v>10</v>
      </c>
      <c r="D160" s="24">
        <v>0</v>
      </c>
      <c r="E160" s="24">
        <v>68</v>
      </c>
      <c r="F160" s="24">
        <v>76</v>
      </c>
      <c r="G160" s="24">
        <v>0</v>
      </c>
      <c r="H160" s="24" t="s">
        <v>23</v>
      </c>
      <c r="I160" s="24" t="s">
        <v>23</v>
      </c>
      <c r="J160" s="24">
        <f t="shared" si="12"/>
        <v>154</v>
      </c>
      <c r="K160" s="24">
        <f t="shared" si="13"/>
        <v>154</v>
      </c>
    </row>
    <row r="161" spans="1:11" ht="12" customHeight="1">
      <c r="A161" s="99">
        <v>1988</v>
      </c>
      <c r="B161" s="24">
        <v>0</v>
      </c>
      <c r="C161" s="24">
        <v>12</v>
      </c>
      <c r="D161" s="24">
        <v>15</v>
      </c>
      <c r="E161" s="24">
        <v>100</v>
      </c>
      <c r="F161" s="24">
        <v>202</v>
      </c>
      <c r="G161" s="24">
        <v>57</v>
      </c>
      <c r="H161" s="24" t="s">
        <v>23</v>
      </c>
      <c r="I161" s="24" t="s">
        <v>23</v>
      </c>
      <c r="J161" s="24">
        <f t="shared" si="12"/>
        <v>386</v>
      </c>
      <c r="K161" s="24">
        <f t="shared" si="13"/>
        <v>386</v>
      </c>
    </row>
    <row r="162" spans="1:11" ht="12" customHeight="1">
      <c r="A162" s="99">
        <v>1989</v>
      </c>
      <c r="B162" s="24">
        <v>0</v>
      </c>
      <c r="C162" s="24">
        <v>12</v>
      </c>
      <c r="D162" s="24">
        <v>22</v>
      </c>
      <c r="E162" s="24">
        <v>114</v>
      </c>
      <c r="F162" s="24">
        <v>41</v>
      </c>
      <c r="G162" s="24">
        <v>59</v>
      </c>
      <c r="H162" s="24" t="s">
        <v>23</v>
      </c>
      <c r="I162" s="24" t="s">
        <v>23</v>
      </c>
      <c r="J162" s="24">
        <f t="shared" si="12"/>
        <v>248</v>
      </c>
      <c r="K162" s="24">
        <f t="shared" si="13"/>
        <v>248</v>
      </c>
    </row>
    <row r="163" spans="1:11" ht="12" customHeight="1">
      <c r="A163" s="99">
        <v>1990</v>
      </c>
      <c r="B163" s="24">
        <v>0</v>
      </c>
      <c r="C163" s="24">
        <v>7</v>
      </c>
      <c r="D163" s="24">
        <v>11</v>
      </c>
      <c r="E163" s="24">
        <v>30</v>
      </c>
      <c r="F163" s="24">
        <v>22</v>
      </c>
      <c r="G163" s="24">
        <v>6</v>
      </c>
      <c r="H163" s="24" t="s">
        <v>23</v>
      </c>
      <c r="I163" s="24" t="s">
        <v>23</v>
      </c>
      <c r="J163" s="24">
        <f t="shared" si="12"/>
        <v>76</v>
      </c>
      <c r="K163" s="24">
        <f t="shared" si="13"/>
        <v>76</v>
      </c>
    </row>
    <row r="164" spans="1:11" ht="12" customHeight="1">
      <c r="A164" s="99">
        <v>1991</v>
      </c>
      <c r="B164" s="24">
        <v>0</v>
      </c>
      <c r="C164" s="24">
        <v>3</v>
      </c>
      <c r="D164" s="24">
        <v>9</v>
      </c>
      <c r="E164" s="24">
        <v>39</v>
      </c>
      <c r="F164" s="24">
        <v>28</v>
      </c>
      <c r="G164" s="24">
        <v>0</v>
      </c>
      <c r="H164" s="24" t="s">
        <v>23</v>
      </c>
      <c r="I164" s="24" t="s">
        <v>23</v>
      </c>
      <c r="J164" s="24">
        <f t="shared" si="12"/>
        <v>79</v>
      </c>
      <c r="K164" s="24">
        <f t="shared" si="13"/>
        <v>79</v>
      </c>
    </row>
    <row r="165" spans="1:11" ht="12" customHeight="1">
      <c r="A165" s="99">
        <v>1992</v>
      </c>
      <c r="B165" s="24">
        <v>0</v>
      </c>
      <c r="C165" s="24">
        <v>4</v>
      </c>
      <c r="D165" s="24">
        <v>3</v>
      </c>
      <c r="E165" s="24">
        <v>19</v>
      </c>
      <c r="F165" s="24">
        <v>4</v>
      </c>
      <c r="G165" s="24">
        <v>0</v>
      </c>
      <c r="H165" s="24" t="s">
        <v>23</v>
      </c>
      <c r="I165" s="24" t="s">
        <v>23</v>
      </c>
      <c r="J165" s="24">
        <f t="shared" si="12"/>
        <v>30</v>
      </c>
      <c r="K165" s="24">
        <f t="shared" si="13"/>
        <v>30</v>
      </c>
    </row>
    <row r="166" spans="1:11" ht="12" customHeight="1">
      <c r="A166" s="99">
        <v>1993</v>
      </c>
      <c r="B166" s="24">
        <v>0</v>
      </c>
      <c r="C166" s="24">
        <v>0</v>
      </c>
      <c r="D166" s="24">
        <v>2</v>
      </c>
      <c r="E166" s="24">
        <v>72</v>
      </c>
      <c r="F166" s="24">
        <v>119</v>
      </c>
      <c r="G166" s="24">
        <v>52</v>
      </c>
      <c r="H166" s="24" t="s">
        <v>23</v>
      </c>
      <c r="I166" s="24" t="s">
        <v>23</v>
      </c>
      <c r="J166" s="24">
        <f t="shared" si="12"/>
        <v>245</v>
      </c>
      <c r="K166" s="24">
        <f t="shared" si="13"/>
        <v>245</v>
      </c>
    </row>
    <row r="167" spans="1:11" ht="12" customHeight="1">
      <c r="A167" s="99">
        <v>1994</v>
      </c>
      <c r="B167" s="24">
        <v>0</v>
      </c>
      <c r="C167" s="24">
        <v>0</v>
      </c>
      <c r="D167" s="24">
        <v>7</v>
      </c>
      <c r="E167" s="24">
        <v>1</v>
      </c>
      <c r="F167" s="24">
        <v>0</v>
      </c>
      <c r="G167" s="24">
        <v>0</v>
      </c>
      <c r="H167" s="24" t="s">
        <v>23</v>
      </c>
      <c r="I167" s="24" t="s">
        <v>23</v>
      </c>
      <c r="J167" s="24">
        <f t="shared" si="12"/>
        <v>8</v>
      </c>
      <c r="K167" s="24">
        <f t="shared" si="13"/>
        <v>8</v>
      </c>
    </row>
    <row r="168" spans="1:11" ht="12" customHeight="1">
      <c r="A168" s="99">
        <v>1995</v>
      </c>
      <c r="B168" s="24">
        <v>0</v>
      </c>
      <c r="C168" s="24">
        <v>0</v>
      </c>
      <c r="D168" s="24">
        <v>0</v>
      </c>
      <c r="E168" s="24">
        <v>0</v>
      </c>
      <c r="F168" s="24">
        <v>111</v>
      </c>
      <c r="G168" s="24">
        <v>0</v>
      </c>
      <c r="H168" s="24" t="s">
        <v>23</v>
      </c>
      <c r="I168" s="24" t="s">
        <v>23</v>
      </c>
      <c r="J168" s="24">
        <f t="shared" si="12"/>
        <v>111</v>
      </c>
      <c r="K168" s="24">
        <f t="shared" si="13"/>
        <v>111</v>
      </c>
    </row>
    <row r="169" spans="1:11" ht="12" customHeight="1">
      <c r="A169" s="99">
        <v>1996</v>
      </c>
      <c r="B169" s="24">
        <v>0</v>
      </c>
      <c r="C169" s="24">
        <v>1</v>
      </c>
      <c r="D169" s="24">
        <v>0</v>
      </c>
      <c r="E169" s="24">
        <v>40</v>
      </c>
      <c r="F169" s="24">
        <v>23</v>
      </c>
      <c r="G169" s="24">
        <v>0</v>
      </c>
      <c r="H169" s="24" t="s">
        <v>23</v>
      </c>
      <c r="I169" s="24" t="s">
        <v>23</v>
      </c>
      <c r="J169" s="24">
        <f t="shared" si="12"/>
        <v>64</v>
      </c>
      <c r="K169" s="24">
        <f t="shared" si="13"/>
        <v>64</v>
      </c>
    </row>
    <row r="170" spans="1:11" ht="12" customHeight="1">
      <c r="A170" s="99">
        <v>1997</v>
      </c>
      <c r="B170" s="24">
        <v>0</v>
      </c>
      <c r="C170" s="24">
        <v>0</v>
      </c>
      <c r="D170" s="24">
        <v>1</v>
      </c>
      <c r="E170" s="24">
        <v>0</v>
      </c>
      <c r="F170" s="24">
        <v>44</v>
      </c>
      <c r="G170" s="24">
        <v>12</v>
      </c>
      <c r="H170" s="24" t="s">
        <v>23</v>
      </c>
      <c r="I170" s="24" t="s">
        <v>23</v>
      </c>
      <c r="J170" s="24">
        <f t="shared" si="12"/>
        <v>57</v>
      </c>
      <c r="K170" s="24">
        <f t="shared" si="13"/>
        <v>57</v>
      </c>
    </row>
    <row r="171" spans="1:11" ht="12" customHeight="1">
      <c r="A171" s="99">
        <v>1998</v>
      </c>
      <c r="B171" s="24">
        <v>0</v>
      </c>
      <c r="C171" s="24">
        <v>4</v>
      </c>
      <c r="D171" s="24">
        <v>1</v>
      </c>
      <c r="E171" s="24">
        <v>0</v>
      </c>
      <c r="F171" s="24">
        <v>4</v>
      </c>
      <c r="G171" s="24">
        <v>1</v>
      </c>
      <c r="H171" s="24" t="s">
        <v>23</v>
      </c>
      <c r="I171" s="24" t="s">
        <v>23</v>
      </c>
      <c r="J171" s="24">
        <f t="shared" si="12"/>
        <v>10</v>
      </c>
      <c r="K171" s="24">
        <f t="shared" si="13"/>
        <v>10</v>
      </c>
    </row>
    <row r="172" spans="1:11" ht="12" customHeight="1">
      <c r="A172" s="99">
        <v>1999</v>
      </c>
      <c r="B172" s="24">
        <v>0</v>
      </c>
      <c r="C172" s="24">
        <v>1</v>
      </c>
      <c r="D172" s="24">
        <v>7</v>
      </c>
      <c r="E172" s="24">
        <v>0</v>
      </c>
      <c r="F172" s="24">
        <v>1</v>
      </c>
      <c r="G172" s="24">
        <v>0</v>
      </c>
      <c r="H172" s="24" t="s">
        <v>23</v>
      </c>
      <c r="I172" s="24" t="s">
        <v>23</v>
      </c>
      <c r="J172" s="24">
        <f t="shared" si="12"/>
        <v>9</v>
      </c>
      <c r="K172" s="24">
        <f t="shared" si="13"/>
        <v>9</v>
      </c>
    </row>
    <row r="173" spans="1:11" ht="12" customHeight="1">
      <c r="A173" s="99">
        <v>2000</v>
      </c>
      <c r="B173" s="24">
        <v>0</v>
      </c>
      <c r="C173" s="24">
        <v>0</v>
      </c>
      <c r="D173" s="24">
        <v>1</v>
      </c>
      <c r="E173" s="24">
        <v>0</v>
      </c>
      <c r="F173" s="24">
        <v>5</v>
      </c>
      <c r="G173" s="24">
        <v>0</v>
      </c>
      <c r="H173" s="24" t="s">
        <v>23</v>
      </c>
      <c r="I173" s="24" t="s">
        <v>23</v>
      </c>
      <c r="J173" s="24">
        <f t="shared" si="12"/>
        <v>6</v>
      </c>
      <c r="K173" s="24">
        <f t="shared" si="13"/>
        <v>6</v>
      </c>
    </row>
    <row r="174" spans="1:11" ht="12" customHeight="1">
      <c r="A174" s="99">
        <v>2001</v>
      </c>
      <c r="B174" s="24">
        <v>0</v>
      </c>
      <c r="C174" s="24">
        <v>0</v>
      </c>
      <c r="D174" s="24">
        <v>1</v>
      </c>
      <c r="E174" s="24">
        <v>1</v>
      </c>
      <c r="F174" s="24">
        <v>0</v>
      </c>
      <c r="G174" s="24">
        <v>0</v>
      </c>
      <c r="H174" s="24" t="s">
        <v>23</v>
      </c>
      <c r="I174" s="24" t="s">
        <v>23</v>
      </c>
      <c r="J174" s="24">
        <f t="shared" si="12"/>
        <v>2</v>
      </c>
      <c r="K174" s="24">
        <f t="shared" si="13"/>
        <v>2</v>
      </c>
    </row>
    <row r="175" spans="1:11" ht="12" customHeight="1">
      <c r="A175" s="99">
        <v>2002</v>
      </c>
      <c r="B175" s="24">
        <v>0</v>
      </c>
      <c r="C175" s="24">
        <v>0</v>
      </c>
      <c r="D175" s="24">
        <v>1</v>
      </c>
      <c r="E175" s="24">
        <v>1</v>
      </c>
      <c r="F175" s="24">
        <v>4</v>
      </c>
      <c r="G175" s="24">
        <v>0</v>
      </c>
      <c r="H175" s="24" t="s">
        <v>23</v>
      </c>
      <c r="I175" s="24" t="s">
        <v>23</v>
      </c>
      <c r="J175" s="24">
        <f t="shared" si="12"/>
        <v>6</v>
      </c>
      <c r="K175" s="24">
        <f t="shared" si="13"/>
        <v>6</v>
      </c>
    </row>
    <row r="176" spans="1:11" ht="12" customHeight="1">
      <c r="A176" s="99">
        <v>2003</v>
      </c>
      <c r="B176" s="24">
        <v>0</v>
      </c>
      <c r="C176" s="24">
        <v>1</v>
      </c>
      <c r="D176" s="24">
        <v>0</v>
      </c>
      <c r="E176" s="24">
        <v>0</v>
      </c>
      <c r="F176" s="24">
        <v>4</v>
      </c>
      <c r="G176" s="24">
        <v>2</v>
      </c>
      <c r="H176" s="24" t="s">
        <v>23</v>
      </c>
      <c r="I176" s="24" t="s">
        <v>23</v>
      </c>
      <c r="J176" s="24">
        <f t="shared" si="12"/>
        <v>7</v>
      </c>
      <c r="K176" s="24">
        <f t="shared" si="13"/>
        <v>7</v>
      </c>
    </row>
    <row r="177" spans="1:11" ht="12" customHeight="1">
      <c r="A177" s="99">
        <v>2004</v>
      </c>
      <c r="B177" s="24">
        <v>0</v>
      </c>
      <c r="C177" s="24">
        <v>1</v>
      </c>
      <c r="D177" s="24">
        <v>0</v>
      </c>
      <c r="E177" s="24">
        <v>1</v>
      </c>
      <c r="F177" s="24">
        <v>4</v>
      </c>
      <c r="G177" s="24">
        <v>2</v>
      </c>
      <c r="H177" s="24" t="s">
        <v>23</v>
      </c>
      <c r="I177" s="24" t="s">
        <v>23</v>
      </c>
      <c r="J177" s="24">
        <f t="shared" si="12"/>
        <v>8</v>
      </c>
      <c r="K177" s="24">
        <f t="shared" si="13"/>
        <v>8</v>
      </c>
    </row>
    <row r="178" spans="1:11" ht="12" customHeight="1">
      <c r="A178" s="99">
        <v>2005</v>
      </c>
      <c r="B178" s="24">
        <v>0</v>
      </c>
      <c r="C178" s="24">
        <v>9</v>
      </c>
      <c r="D178" s="24">
        <v>3</v>
      </c>
      <c r="E178" s="24">
        <v>0</v>
      </c>
      <c r="F178" s="24">
        <v>9</v>
      </c>
      <c r="G178" s="24">
        <v>6</v>
      </c>
      <c r="H178" s="24" t="s">
        <v>23</v>
      </c>
      <c r="I178" s="24" t="s">
        <v>23</v>
      </c>
      <c r="J178" s="24">
        <f t="shared" si="12"/>
        <v>27</v>
      </c>
      <c r="K178" s="24">
        <f t="shared" si="13"/>
        <v>27</v>
      </c>
    </row>
    <row r="179" spans="1:11" ht="12" customHeight="1">
      <c r="A179" s="99">
        <v>2006</v>
      </c>
      <c r="B179" s="24">
        <v>0</v>
      </c>
      <c r="C179" s="24">
        <v>3</v>
      </c>
      <c r="D179" s="24">
        <v>3</v>
      </c>
      <c r="E179" s="24">
        <v>2</v>
      </c>
      <c r="F179" s="24">
        <v>5</v>
      </c>
      <c r="G179" s="24">
        <v>3</v>
      </c>
      <c r="H179" s="24" t="s">
        <v>23</v>
      </c>
      <c r="I179" s="24" t="s">
        <v>23</v>
      </c>
      <c r="J179" s="24">
        <f t="shared" si="12"/>
        <v>16</v>
      </c>
      <c r="K179" s="24">
        <f t="shared" si="13"/>
        <v>16</v>
      </c>
    </row>
    <row r="180" spans="1:11" ht="12" customHeight="1">
      <c r="A180" s="99">
        <v>2007</v>
      </c>
      <c r="B180" s="24">
        <v>0</v>
      </c>
      <c r="C180" s="24">
        <v>0</v>
      </c>
      <c r="D180" s="24">
        <v>0</v>
      </c>
      <c r="E180" s="24">
        <v>4</v>
      </c>
      <c r="F180" s="24">
        <v>11</v>
      </c>
      <c r="G180" s="24">
        <v>2</v>
      </c>
      <c r="H180" s="24" t="s">
        <v>23</v>
      </c>
      <c r="I180" s="24" t="s">
        <v>23</v>
      </c>
      <c r="J180" s="24">
        <f t="shared" si="12"/>
        <v>17</v>
      </c>
      <c r="K180" s="24">
        <f t="shared" si="13"/>
        <v>17</v>
      </c>
    </row>
    <row r="181" spans="1:11" ht="12" customHeight="1">
      <c r="A181" s="99">
        <v>2008</v>
      </c>
      <c r="B181" s="24">
        <v>0</v>
      </c>
      <c r="C181" s="24">
        <v>3</v>
      </c>
      <c r="D181" s="24">
        <v>4</v>
      </c>
      <c r="E181" s="24">
        <v>2</v>
      </c>
      <c r="F181" s="24">
        <v>29</v>
      </c>
      <c r="G181" s="24">
        <v>3</v>
      </c>
      <c r="H181" s="24" t="s">
        <v>23</v>
      </c>
      <c r="I181" s="24" t="s">
        <v>23</v>
      </c>
      <c r="J181" s="24">
        <f t="shared" si="12"/>
        <v>41</v>
      </c>
      <c r="K181" s="24">
        <f t="shared" si="13"/>
        <v>41</v>
      </c>
    </row>
    <row r="182" spans="1:11" ht="12" customHeight="1">
      <c r="A182" s="99">
        <v>2009</v>
      </c>
      <c r="B182" s="24">
        <v>0</v>
      </c>
      <c r="C182" s="24">
        <v>6</v>
      </c>
      <c r="D182" s="24">
        <v>6</v>
      </c>
      <c r="E182" s="24">
        <v>8</v>
      </c>
      <c r="F182" s="24">
        <v>29</v>
      </c>
      <c r="G182" s="24">
        <v>1</v>
      </c>
      <c r="H182" s="24" t="s">
        <v>23</v>
      </c>
      <c r="I182" s="24" t="s">
        <v>23</v>
      </c>
      <c r="J182" s="24">
        <f t="shared" si="12"/>
        <v>50</v>
      </c>
      <c r="K182" s="24">
        <f t="shared" si="13"/>
        <v>50</v>
      </c>
    </row>
    <row r="183" spans="1:11" ht="12" customHeight="1">
      <c r="A183" s="99">
        <v>2010</v>
      </c>
      <c r="B183" s="24">
        <v>0</v>
      </c>
      <c r="C183" s="24">
        <v>4</v>
      </c>
      <c r="D183" s="24">
        <v>40</v>
      </c>
      <c r="E183" s="24">
        <v>56</v>
      </c>
      <c r="F183" s="24">
        <v>32</v>
      </c>
      <c r="G183" s="24">
        <v>18</v>
      </c>
      <c r="H183" s="24" t="s">
        <v>23</v>
      </c>
      <c r="I183" s="24" t="s">
        <v>23</v>
      </c>
      <c r="J183" s="24">
        <f t="shared" si="12"/>
        <v>150</v>
      </c>
      <c r="K183" s="24">
        <f t="shared" si="13"/>
        <v>150</v>
      </c>
    </row>
    <row r="184" spans="1:11" ht="12" customHeight="1">
      <c r="A184" s="99">
        <v>2011</v>
      </c>
      <c r="B184" s="24">
        <v>0</v>
      </c>
      <c r="C184" s="24">
        <v>0</v>
      </c>
      <c r="D184" s="24">
        <v>8</v>
      </c>
      <c r="E184" s="24">
        <v>23</v>
      </c>
      <c r="F184" s="24">
        <v>41</v>
      </c>
      <c r="G184" s="24">
        <v>1</v>
      </c>
      <c r="H184" s="24" t="s">
        <v>23</v>
      </c>
      <c r="I184" s="24" t="s">
        <v>23</v>
      </c>
      <c r="J184" s="24">
        <f t="shared" si="12"/>
        <v>73</v>
      </c>
      <c r="K184" s="24">
        <f t="shared" si="13"/>
        <v>73</v>
      </c>
    </row>
    <row r="185" spans="1:11" ht="12" customHeight="1">
      <c r="A185" s="99">
        <v>2012</v>
      </c>
      <c r="B185" s="24">
        <v>0</v>
      </c>
      <c r="C185" s="24">
        <v>5</v>
      </c>
      <c r="D185" s="24">
        <v>13</v>
      </c>
      <c r="E185" s="24">
        <v>8</v>
      </c>
      <c r="F185" s="24">
        <v>11</v>
      </c>
      <c r="G185" s="24">
        <v>0</v>
      </c>
      <c r="H185" s="24" t="s">
        <v>23</v>
      </c>
      <c r="I185" s="24" t="s">
        <v>23</v>
      </c>
      <c r="J185" s="24">
        <f t="shared" si="12"/>
        <v>37</v>
      </c>
      <c r="K185" s="24">
        <f t="shared" si="13"/>
        <v>37</v>
      </c>
    </row>
    <row r="186" spans="1:11" ht="12" customHeight="1">
      <c r="A186" s="99">
        <v>2013</v>
      </c>
      <c r="B186" s="24">
        <v>0</v>
      </c>
      <c r="C186" s="24">
        <v>1</v>
      </c>
      <c r="D186" s="24">
        <v>8</v>
      </c>
      <c r="E186" s="24">
        <v>5</v>
      </c>
      <c r="F186" s="24">
        <v>29</v>
      </c>
      <c r="G186" s="24">
        <v>4</v>
      </c>
      <c r="H186" s="24" t="s">
        <v>23</v>
      </c>
      <c r="I186" s="24" t="s">
        <v>23</v>
      </c>
      <c r="J186" s="24">
        <f t="shared" si="12"/>
        <v>47</v>
      </c>
      <c r="K186" s="24">
        <f t="shared" si="13"/>
        <v>47</v>
      </c>
    </row>
    <row r="187" spans="1:11" ht="12" customHeight="1">
      <c r="A187" s="99">
        <v>2014</v>
      </c>
      <c r="B187" s="24">
        <v>0</v>
      </c>
      <c r="C187" s="24">
        <v>7</v>
      </c>
      <c r="D187" s="24">
        <v>5</v>
      </c>
      <c r="E187" s="24">
        <v>14</v>
      </c>
      <c r="F187" s="24">
        <v>23</v>
      </c>
      <c r="G187" s="24">
        <v>28</v>
      </c>
      <c r="H187" s="24" t="s">
        <v>23</v>
      </c>
      <c r="I187" s="24" t="s">
        <v>23</v>
      </c>
      <c r="J187" s="24">
        <f t="shared" si="12"/>
        <v>77</v>
      </c>
      <c r="K187" s="24">
        <f t="shared" si="13"/>
        <v>77</v>
      </c>
    </row>
    <row r="188" spans="1:11" ht="12" customHeight="1">
      <c r="A188" s="99">
        <v>2015</v>
      </c>
      <c r="B188" s="24">
        <v>0</v>
      </c>
      <c r="C188" s="24">
        <v>7</v>
      </c>
      <c r="D188" s="24">
        <v>11</v>
      </c>
      <c r="E188" s="24">
        <v>37</v>
      </c>
      <c r="F188" s="24">
        <v>21</v>
      </c>
      <c r="G188" s="24">
        <v>0</v>
      </c>
      <c r="H188" s="24" t="s">
        <v>23</v>
      </c>
      <c r="I188" s="24" t="s">
        <v>23</v>
      </c>
      <c r="J188" s="24">
        <f t="shared" si="12"/>
        <v>76</v>
      </c>
      <c r="K188" s="24">
        <f t="shared" si="13"/>
        <v>76</v>
      </c>
    </row>
    <row r="189" spans="1:11" ht="12" customHeight="1">
      <c r="A189" s="99">
        <v>2016</v>
      </c>
      <c r="B189" s="24">
        <v>0</v>
      </c>
      <c r="C189" s="24">
        <v>4</v>
      </c>
      <c r="D189" s="24">
        <v>7</v>
      </c>
      <c r="E189" s="24">
        <v>10</v>
      </c>
      <c r="F189" s="24">
        <v>5</v>
      </c>
      <c r="G189" s="24">
        <v>0</v>
      </c>
      <c r="H189" s="24" t="s">
        <v>23</v>
      </c>
      <c r="I189" s="24" t="s">
        <v>23</v>
      </c>
      <c r="J189" s="24">
        <f t="shared" si="12"/>
        <v>26</v>
      </c>
      <c r="K189" s="24">
        <f t="shared" si="13"/>
        <v>26</v>
      </c>
    </row>
    <row r="190" spans="1:11" ht="12" customHeight="1">
      <c r="A190" s="99">
        <v>2017</v>
      </c>
      <c r="B190" s="24">
        <v>0</v>
      </c>
      <c r="C190" s="24">
        <v>3</v>
      </c>
      <c r="D190" s="24">
        <v>3</v>
      </c>
      <c r="E190" s="24">
        <v>3</v>
      </c>
      <c r="F190" s="24">
        <v>12</v>
      </c>
      <c r="G190" s="24">
        <v>6</v>
      </c>
      <c r="H190" s="24" t="s">
        <v>23</v>
      </c>
      <c r="I190" s="24" t="s">
        <v>23</v>
      </c>
      <c r="J190" s="24">
        <f t="shared" si="12"/>
        <v>27</v>
      </c>
      <c r="K190" s="24">
        <f t="shared" si="13"/>
        <v>27</v>
      </c>
    </row>
    <row r="191" spans="1:11" ht="12" customHeight="1">
      <c r="A191" s="99">
        <v>2018</v>
      </c>
      <c r="B191" s="24">
        <v>0</v>
      </c>
      <c r="C191" s="24">
        <v>5</v>
      </c>
      <c r="D191" s="24">
        <v>7</v>
      </c>
      <c r="E191" s="24">
        <v>1</v>
      </c>
      <c r="F191" s="24">
        <v>16</v>
      </c>
      <c r="G191" s="24">
        <v>5</v>
      </c>
      <c r="H191" s="24" t="s">
        <v>23</v>
      </c>
      <c r="I191" s="24" t="s">
        <v>23</v>
      </c>
      <c r="J191" s="24">
        <f>SUM(C191:G191)</f>
        <v>34</v>
      </c>
      <c r="K191" s="24">
        <f>SUM(B191:I191)</f>
        <v>34</v>
      </c>
    </row>
    <row r="192" spans="1:11" ht="12" customHeight="1">
      <c r="A192" s="99">
        <v>2019</v>
      </c>
      <c r="B192" s="24">
        <v>0</v>
      </c>
      <c r="C192" s="24">
        <v>5</v>
      </c>
      <c r="D192" s="24">
        <v>3</v>
      </c>
      <c r="E192" s="24">
        <v>10</v>
      </c>
      <c r="F192" s="24">
        <v>14</v>
      </c>
      <c r="G192" s="24">
        <v>8</v>
      </c>
      <c r="H192" s="24" t="s">
        <v>23</v>
      </c>
      <c r="I192" s="24" t="s">
        <v>23</v>
      </c>
      <c r="J192" s="24">
        <f t="shared" ref="J192:J193" si="14">SUM(C192:G192)</f>
        <v>40</v>
      </c>
      <c r="K192" s="24">
        <f t="shared" ref="K192:K193" si="15">SUM(B192:I192)</f>
        <v>40</v>
      </c>
    </row>
    <row r="193" spans="1:11" ht="12" customHeight="1">
      <c r="A193" s="99">
        <v>2020</v>
      </c>
      <c r="B193" s="24">
        <v>0</v>
      </c>
      <c r="C193" s="24">
        <v>1</v>
      </c>
      <c r="D193" s="24">
        <v>2</v>
      </c>
      <c r="E193" s="24">
        <v>6</v>
      </c>
      <c r="F193" s="24">
        <v>6</v>
      </c>
      <c r="G193" s="24">
        <v>3</v>
      </c>
      <c r="H193" s="24" t="s">
        <v>23</v>
      </c>
      <c r="I193" s="24" t="s">
        <v>23</v>
      </c>
      <c r="J193" s="24">
        <f t="shared" si="14"/>
        <v>18</v>
      </c>
      <c r="K193" s="24">
        <f t="shared" si="15"/>
        <v>18</v>
      </c>
    </row>
    <row r="194" spans="1:11" ht="12" customHeight="1">
      <c r="A194" s="99" t="s">
        <v>317</v>
      </c>
      <c r="B194" s="24">
        <v>0</v>
      </c>
      <c r="C194" s="24">
        <v>4</v>
      </c>
      <c r="D194" s="24">
        <v>4</v>
      </c>
      <c r="E194" s="24">
        <v>1</v>
      </c>
      <c r="F194" s="24">
        <v>5</v>
      </c>
      <c r="G194" s="24">
        <v>10</v>
      </c>
      <c r="H194" s="24" t="s">
        <v>23</v>
      </c>
      <c r="I194" s="24" t="s">
        <v>23</v>
      </c>
      <c r="J194" s="24">
        <f t="shared" si="12"/>
        <v>24</v>
      </c>
      <c r="K194" s="24">
        <f t="shared" si="13"/>
        <v>24</v>
      </c>
    </row>
    <row r="195" spans="1:11" ht="12" customHeight="1">
      <c r="C195" s="54"/>
      <c r="D195" s="54"/>
      <c r="E195" s="54"/>
      <c r="F195" s="54"/>
      <c r="G195" s="54"/>
      <c r="H195" s="54"/>
      <c r="I195" s="54"/>
      <c r="J195" s="54"/>
      <c r="K195" s="54"/>
    </row>
    <row r="196" spans="1:11" ht="12" customHeight="1">
      <c r="A196" s="97" t="s">
        <v>101</v>
      </c>
      <c r="B196" s="20"/>
      <c r="C196" s="54"/>
      <c r="D196" s="54"/>
      <c r="E196" s="54"/>
      <c r="F196" s="54"/>
      <c r="G196" s="54"/>
      <c r="H196" s="54"/>
      <c r="I196" s="54"/>
      <c r="J196" s="54"/>
      <c r="K196" s="54"/>
    </row>
    <row r="197" spans="1:11" ht="12" customHeight="1">
      <c r="A197" s="99">
        <v>1976</v>
      </c>
      <c r="B197" s="24">
        <f t="shared" ref="B197:K197" si="16">IF(AND(B149="-",B101="-",B53="-",B5="-"),"-",SUM(B149,B101,B53,B5))</f>
        <v>516</v>
      </c>
      <c r="C197" s="24">
        <f t="shared" si="16"/>
        <v>56</v>
      </c>
      <c r="D197" s="24">
        <f t="shared" si="16"/>
        <v>188</v>
      </c>
      <c r="E197" s="24">
        <f t="shared" si="16"/>
        <v>369</v>
      </c>
      <c r="F197" s="24">
        <f t="shared" si="16"/>
        <v>189</v>
      </c>
      <c r="G197" s="24">
        <f t="shared" si="16"/>
        <v>64</v>
      </c>
      <c r="H197" s="24">
        <f t="shared" si="16"/>
        <v>7</v>
      </c>
      <c r="I197" s="24">
        <f t="shared" si="16"/>
        <v>74</v>
      </c>
      <c r="J197" s="24">
        <f t="shared" si="16"/>
        <v>866</v>
      </c>
      <c r="K197" s="24">
        <f t="shared" si="16"/>
        <v>1463</v>
      </c>
    </row>
    <row r="198" spans="1:11" ht="12" customHeight="1">
      <c r="A198" s="99">
        <v>1977</v>
      </c>
      <c r="B198" s="24">
        <f t="shared" ref="B198:K198" si="17">IF(AND(B150="-",B102="-",B54="-",B6="-"),"-",SUM(B150,B102,B54,B6))</f>
        <v>99</v>
      </c>
      <c r="C198" s="24">
        <f t="shared" si="17"/>
        <v>78</v>
      </c>
      <c r="D198" s="24">
        <f t="shared" si="17"/>
        <v>119</v>
      </c>
      <c r="E198" s="24">
        <f t="shared" si="17"/>
        <v>164</v>
      </c>
      <c r="F198" s="24">
        <f t="shared" si="17"/>
        <v>237</v>
      </c>
      <c r="G198" s="24">
        <f t="shared" si="17"/>
        <v>89</v>
      </c>
      <c r="H198" s="24">
        <f t="shared" si="17"/>
        <v>2</v>
      </c>
      <c r="I198" s="24">
        <f t="shared" si="17"/>
        <v>27</v>
      </c>
      <c r="J198" s="24">
        <f t="shared" si="17"/>
        <v>687</v>
      </c>
      <c r="K198" s="24">
        <f t="shared" si="17"/>
        <v>815</v>
      </c>
    </row>
    <row r="199" spans="1:11" ht="12" customHeight="1">
      <c r="A199" s="99">
        <v>1978</v>
      </c>
      <c r="B199" s="24">
        <f t="shared" ref="B199:K199" si="18">IF(AND(B151="-",B103="-",B55="-",B7="-"),"-",SUM(B151,B103,B55,B7))</f>
        <v>213</v>
      </c>
      <c r="C199" s="24">
        <f t="shared" si="18"/>
        <v>64</v>
      </c>
      <c r="D199" s="24">
        <f t="shared" si="18"/>
        <v>142</v>
      </c>
      <c r="E199" s="24">
        <f t="shared" si="18"/>
        <v>102</v>
      </c>
      <c r="F199" s="24">
        <f t="shared" si="18"/>
        <v>94</v>
      </c>
      <c r="G199" s="24">
        <f t="shared" si="18"/>
        <v>48</v>
      </c>
      <c r="H199" s="24">
        <f t="shared" si="18"/>
        <v>6</v>
      </c>
      <c r="I199" s="24">
        <f t="shared" si="18"/>
        <v>34</v>
      </c>
      <c r="J199" s="24">
        <f t="shared" si="18"/>
        <v>450</v>
      </c>
      <c r="K199" s="24">
        <f t="shared" si="18"/>
        <v>703</v>
      </c>
    </row>
    <row r="200" spans="1:11" ht="12" customHeight="1">
      <c r="A200" s="99">
        <v>1979</v>
      </c>
      <c r="B200" s="24">
        <f t="shared" ref="B200:K200" si="19">IF(AND(B152="-",B104="-",B56="-",B8="-"),"-",SUM(B152,B104,B56,B8))</f>
        <v>113</v>
      </c>
      <c r="C200" s="24">
        <f t="shared" si="19"/>
        <v>62</v>
      </c>
      <c r="D200" s="24">
        <f t="shared" si="19"/>
        <v>114</v>
      </c>
      <c r="E200" s="24">
        <f t="shared" si="19"/>
        <v>185</v>
      </c>
      <c r="F200" s="24">
        <f t="shared" si="19"/>
        <v>219</v>
      </c>
      <c r="G200" s="24">
        <f t="shared" si="19"/>
        <v>30</v>
      </c>
      <c r="H200" s="24">
        <f t="shared" si="19"/>
        <v>8</v>
      </c>
      <c r="I200" s="24">
        <f t="shared" si="19"/>
        <v>30</v>
      </c>
      <c r="J200" s="24">
        <f t="shared" si="19"/>
        <v>610</v>
      </c>
      <c r="K200" s="24">
        <f t="shared" si="19"/>
        <v>761</v>
      </c>
    </row>
    <row r="201" spans="1:11" ht="12" customHeight="1">
      <c r="A201" s="99">
        <v>1980</v>
      </c>
      <c r="B201" s="24">
        <f t="shared" ref="B201:K201" si="20">IF(AND(B153="-",B105="-",B57="-",B9="-"),"-",SUM(B153,B105,B57,B9))</f>
        <v>104</v>
      </c>
      <c r="C201" s="24">
        <f t="shared" si="20"/>
        <v>47</v>
      </c>
      <c r="D201" s="24">
        <f t="shared" si="20"/>
        <v>122</v>
      </c>
      <c r="E201" s="24">
        <f t="shared" si="20"/>
        <v>142</v>
      </c>
      <c r="F201" s="24">
        <f t="shared" si="20"/>
        <v>72</v>
      </c>
      <c r="G201" s="24">
        <f t="shared" si="20"/>
        <v>20</v>
      </c>
      <c r="H201" s="24">
        <f t="shared" si="20"/>
        <v>9</v>
      </c>
      <c r="I201" s="24">
        <f t="shared" si="20"/>
        <v>30</v>
      </c>
      <c r="J201" s="24">
        <f t="shared" si="20"/>
        <v>403</v>
      </c>
      <c r="K201" s="24">
        <f t="shared" si="20"/>
        <v>546</v>
      </c>
    </row>
    <row r="202" spans="1:11" ht="12" customHeight="1">
      <c r="A202" s="99">
        <v>1981</v>
      </c>
      <c r="B202" s="24">
        <f t="shared" ref="B202:K202" si="21">IF(AND(B154="-",B106="-",B58="-",B10="-"),"-",SUM(B154,B106,B58,B10))</f>
        <v>114</v>
      </c>
      <c r="C202" s="24">
        <f t="shared" si="21"/>
        <v>102</v>
      </c>
      <c r="D202" s="24">
        <f t="shared" si="21"/>
        <v>156</v>
      </c>
      <c r="E202" s="24">
        <f t="shared" si="21"/>
        <v>286</v>
      </c>
      <c r="F202" s="24">
        <f t="shared" si="21"/>
        <v>200</v>
      </c>
      <c r="G202" s="24">
        <f t="shared" si="21"/>
        <v>112</v>
      </c>
      <c r="H202" s="24">
        <f t="shared" si="21"/>
        <v>7</v>
      </c>
      <c r="I202" s="24">
        <f t="shared" si="21"/>
        <v>50</v>
      </c>
      <c r="J202" s="24">
        <f t="shared" si="21"/>
        <v>856</v>
      </c>
      <c r="K202" s="24">
        <f t="shared" si="21"/>
        <v>1027</v>
      </c>
    </row>
    <row r="203" spans="1:11" ht="12" customHeight="1">
      <c r="A203" s="99">
        <v>1982</v>
      </c>
      <c r="B203" s="24">
        <f t="shared" ref="B203:K203" si="22">IF(AND(B155="-",B107="-",B59="-",B11="-"),"-",SUM(B155,B107,B59,B11))</f>
        <v>161</v>
      </c>
      <c r="C203" s="24">
        <f t="shared" si="22"/>
        <v>54</v>
      </c>
      <c r="D203" s="24">
        <f t="shared" si="22"/>
        <v>179</v>
      </c>
      <c r="E203" s="24">
        <f t="shared" si="22"/>
        <v>258</v>
      </c>
      <c r="F203" s="24">
        <f t="shared" si="22"/>
        <v>336</v>
      </c>
      <c r="G203" s="24">
        <f t="shared" si="22"/>
        <v>234</v>
      </c>
      <c r="H203" s="24">
        <f t="shared" si="22"/>
        <v>26</v>
      </c>
      <c r="I203" s="24">
        <f t="shared" si="22"/>
        <v>32</v>
      </c>
      <c r="J203" s="24">
        <f t="shared" si="22"/>
        <v>1061</v>
      </c>
      <c r="K203" s="24">
        <f t="shared" si="22"/>
        <v>1280</v>
      </c>
    </row>
    <row r="204" spans="1:11" ht="12" customHeight="1">
      <c r="A204" s="99">
        <v>1983</v>
      </c>
      <c r="B204" s="24">
        <f t="shared" ref="B204:K204" si="23">IF(AND(B156="-",B108="-",B60="-",B12="-"),"-",SUM(B156,B108,B60,B12))</f>
        <v>254</v>
      </c>
      <c r="C204" s="24">
        <f t="shared" si="23"/>
        <v>119</v>
      </c>
      <c r="D204" s="24">
        <f t="shared" si="23"/>
        <v>248</v>
      </c>
      <c r="E204" s="24">
        <f t="shared" si="23"/>
        <v>316</v>
      </c>
      <c r="F204" s="24">
        <f t="shared" si="23"/>
        <v>473</v>
      </c>
      <c r="G204" s="24">
        <f t="shared" si="23"/>
        <v>182</v>
      </c>
      <c r="H204" s="24">
        <f t="shared" si="23"/>
        <v>10</v>
      </c>
      <c r="I204" s="24">
        <f t="shared" si="23"/>
        <v>31</v>
      </c>
      <c r="J204" s="24">
        <f t="shared" si="23"/>
        <v>1338</v>
      </c>
      <c r="K204" s="24">
        <f t="shared" si="23"/>
        <v>1633</v>
      </c>
    </row>
    <row r="205" spans="1:11" ht="12" customHeight="1">
      <c r="A205" s="99">
        <v>1984</v>
      </c>
      <c r="B205" s="24">
        <f t="shared" ref="B205:K205" si="24">IF(AND(B157="-",B109="-",B61="-",B13="-"),"-",SUM(B157,B109,B61,B13))</f>
        <v>166</v>
      </c>
      <c r="C205" s="24">
        <f t="shared" si="24"/>
        <v>56</v>
      </c>
      <c r="D205" s="24">
        <f t="shared" si="24"/>
        <v>39</v>
      </c>
      <c r="E205" s="24">
        <f t="shared" si="24"/>
        <v>145</v>
      </c>
      <c r="F205" s="24">
        <f t="shared" si="24"/>
        <v>212</v>
      </c>
      <c r="G205" s="24">
        <f t="shared" si="24"/>
        <v>0</v>
      </c>
      <c r="H205" s="24">
        <f t="shared" si="24"/>
        <v>19</v>
      </c>
      <c r="I205" s="24">
        <f t="shared" si="24"/>
        <v>27</v>
      </c>
      <c r="J205" s="24">
        <f t="shared" si="24"/>
        <v>452</v>
      </c>
      <c r="K205" s="24">
        <f t="shared" si="24"/>
        <v>664</v>
      </c>
    </row>
    <row r="206" spans="1:11" ht="12" customHeight="1">
      <c r="A206" s="99">
        <v>1985</v>
      </c>
      <c r="B206" s="24">
        <f t="shared" ref="B206:K206" si="25">IF(AND(B158="-",B110="-",B62="-",B14="-"),"-",SUM(B158,B110,B62,B14))</f>
        <v>140</v>
      </c>
      <c r="C206" s="24">
        <f t="shared" si="25"/>
        <v>64</v>
      </c>
      <c r="D206" s="24">
        <f t="shared" si="25"/>
        <v>81</v>
      </c>
      <c r="E206" s="24">
        <f t="shared" si="25"/>
        <v>417</v>
      </c>
      <c r="F206" s="24">
        <f t="shared" si="25"/>
        <v>343</v>
      </c>
      <c r="G206" s="24">
        <f t="shared" si="25"/>
        <v>203</v>
      </c>
      <c r="H206" s="24">
        <f t="shared" si="25"/>
        <v>23</v>
      </c>
      <c r="I206" s="24">
        <f t="shared" si="25"/>
        <v>19</v>
      </c>
      <c r="J206" s="24">
        <f t="shared" si="25"/>
        <v>1108</v>
      </c>
      <c r="K206" s="24">
        <f t="shared" si="25"/>
        <v>1290</v>
      </c>
    </row>
    <row r="207" spans="1:11" ht="12" customHeight="1">
      <c r="A207" s="99">
        <v>1986</v>
      </c>
      <c r="B207" s="24">
        <f t="shared" ref="B207:K207" si="26">IF(AND(B159="-",B111="-",B63="-",B15="-"),"-",SUM(B159,B111,B63,B15))</f>
        <v>109</v>
      </c>
      <c r="C207" s="24">
        <f t="shared" si="26"/>
        <v>91</v>
      </c>
      <c r="D207" s="24">
        <f t="shared" si="26"/>
        <v>334</v>
      </c>
      <c r="E207" s="24">
        <f t="shared" si="26"/>
        <v>453</v>
      </c>
      <c r="F207" s="24">
        <f t="shared" si="26"/>
        <v>159</v>
      </c>
      <c r="G207" s="24">
        <f t="shared" si="26"/>
        <v>1</v>
      </c>
      <c r="H207" s="24">
        <f t="shared" si="26"/>
        <v>0</v>
      </c>
      <c r="I207" s="24">
        <f t="shared" si="26"/>
        <v>23</v>
      </c>
      <c r="J207" s="24">
        <f t="shared" si="26"/>
        <v>1038</v>
      </c>
      <c r="K207" s="24">
        <f t="shared" si="26"/>
        <v>1170</v>
      </c>
    </row>
    <row r="208" spans="1:11" ht="12" customHeight="1">
      <c r="A208" s="99">
        <v>1987</v>
      </c>
      <c r="B208" s="24">
        <f t="shared" ref="B208:K208" si="27">IF(AND(B160="-",B112="-",B64="-",B16="-"),"-",SUM(B160,B112,B64,B16))</f>
        <v>166</v>
      </c>
      <c r="C208" s="24">
        <f t="shared" si="27"/>
        <v>134</v>
      </c>
      <c r="D208" s="24">
        <f t="shared" si="27"/>
        <v>0</v>
      </c>
      <c r="E208" s="24">
        <f t="shared" si="27"/>
        <v>443</v>
      </c>
      <c r="F208" s="24">
        <f t="shared" si="27"/>
        <v>620</v>
      </c>
      <c r="G208" s="24">
        <f t="shared" si="27"/>
        <v>0</v>
      </c>
      <c r="H208" s="24">
        <f t="shared" si="27"/>
        <v>6</v>
      </c>
      <c r="I208" s="24">
        <f t="shared" si="27"/>
        <v>44</v>
      </c>
      <c r="J208" s="24">
        <f t="shared" si="27"/>
        <v>1197</v>
      </c>
      <c r="K208" s="24">
        <f t="shared" si="27"/>
        <v>1413</v>
      </c>
    </row>
    <row r="209" spans="1:11" ht="12" customHeight="1">
      <c r="A209" s="99">
        <v>1988</v>
      </c>
      <c r="B209" s="24">
        <f t="shared" ref="B209:K209" si="28">IF(AND(B161="-",B113="-",B65="-",B17="-"),"-",SUM(B161,B113,B65,B17))</f>
        <v>160</v>
      </c>
      <c r="C209" s="24">
        <f t="shared" si="28"/>
        <v>181</v>
      </c>
      <c r="D209" s="24">
        <f t="shared" si="28"/>
        <v>199</v>
      </c>
      <c r="E209" s="24">
        <f t="shared" si="28"/>
        <v>339</v>
      </c>
      <c r="F209" s="24">
        <f t="shared" si="28"/>
        <v>518</v>
      </c>
      <c r="G209" s="24">
        <f t="shared" si="28"/>
        <v>190</v>
      </c>
      <c r="H209" s="24">
        <f t="shared" si="28"/>
        <v>0</v>
      </c>
      <c r="I209" s="24">
        <f t="shared" si="28"/>
        <v>45</v>
      </c>
      <c r="J209" s="24">
        <f t="shared" si="28"/>
        <v>1427</v>
      </c>
      <c r="K209" s="24">
        <f t="shared" si="28"/>
        <v>1632</v>
      </c>
    </row>
    <row r="210" spans="1:11" ht="12" customHeight="1">
      <c r="A210" s="99">
        <v>1989</v>
      </c>
      <c r="B210" s="24">
        <f t="shared" ref="B210:K210" si="29">IF(AND(B162="-",B114="-",B66="-",B18="-"),"-",SUM(B162,B114,B66,B18))</f>
        <v>300</v>
      </c>
      <c r="C210" s="24">
        <f t="shared" si="29"/>
        <v>138</v>
      </c>
      <c r="D210" s="24">
        <f t="shared" si="29"/>
        <v>152</v>
      </c>
      <c r="E210" s="24">
        <f t="shared" si="29"/>
        <v>558</v>
      </c>
      <c r="F210" s="24">
        <f t="shared" si="29"/>
        <v>428</v>
      </c>
      <c r="G210" s="24">
        <f t="shared" si="29"/>
        <v>380</v>
      </c>
      <c r="H210" s="24">
        <f t="shared" si="29"/>
        <v>0</v>
      </c>
      <c r="I210" s="24">
        <f t="shared" si="29"/>
        <v>71</v>
      </c>
      <c r="J210" s="24">
        <f t="shared" si="29"/>
        <v>1656</v>
      </c>
      <c r="K210" s="24">
        <f t="shared" si="29"/>
        <v>2027</v>
      </c>
    </row>
    <row r="211" spans="1:11" ht="12" customHeight="1">
      <c r="A211" s="99">
        <v>1990</v>
      </c>
      <c r="B211" s="24">
        <f t="shared" ref="B211:K211" si="30">IF(AND(B163="-",B115="-",B67="-",B19="-"),"-",SUM(B163,B115,B67,B19))</f>
        <v>105</v>
      </c>
      <c r="C211" s="24">
        <f t="shared" si="30"/>
        <v>146</v>
      </c>
      <c r="D211" s="24">
        <f t="shared" si="30"/>
        <v>153</v>
      </c>
      <c r="E211" s="24">
        <f t="shared" si="30"/>
        <v>375</v>
      </c>
      <c r="F211" s="24">
        <f t="shared" si="30"/>
        <v>575</v>
      </c>
      <c r="G211" s="24">
        <f t="shared" si="30"/>
        <v>232</v>
      </c>
      <c r="H211" s="24">
        <f t="shared" si="30"/>
        <v>2</v>
      </c>
      <c r="I211" s="24">
        <f t="shared" si="30"/>
        <v>32</v>
      </c>
      <c r="J211" s="24">
        <f t="shared" si="30"/>
        <v>1481</v>
      </c>
      <c r="K211" s="24">
        <f t="shared" si="30"/>
        <v>1620</v>
      </c>
    </row>
    <row r="212" spans="1:11" ht="12" customHeight="1">
      <c r="A212" s="99">
        <v>1991</v>
      </c>
      <c r="B212" s="24">
        <f t="shared" ref="B212:K212" si="31">IF(AND(B164="-",B116="-",B68="-",B20="-"),"-",SUM(B164,B116,B68,B20))</f>
        <v>127</v>
      </c>
      <c r="C212" s="24">
        <f t="shared" si="31"/>
        <v>112</v>
      </c>
      <c r="D212" s="24">
        <f t="shared" si="31"/>
        <v>102</v>
      </c>
      <c r="E212" s="24">
        <f t="shared" si="31"/>
        <v>335</v>
      </c>
      <c r="F212" s="24">
        <f t="shared" si="31"/>
        <v>599</v>
      </c>
      <c r="G212" s="24">
        <f t="shared" si="31"/>
        <v>0</v>
      </c>
      <c r="H212" s="24">
        <f t="shared" si="31"/>
        <v>50</v>
      </c>
      <c r="I212" s="24">
        <f t="shared" si="31"/>
        <v>33</v>
      </c>
      <c r="J212" s="24">
        <f t="shared" si="31"/>
        <v>1148</v>
      </c>
      <c r="K212" s="24">
        <f t="shared" si="31"/>
        <v>1358</v>
      </c>
    </row>
    <row r="213" spans="1:11" ht="12" customHeight="1">
      <c r="A213" s="99">
        <v>1992</v>
      </c>
      <c r="B213" s="24">
        <f t="shared" ref="B213:K213" si="32">IF(AND(B165="-",B117="-",B69="-",B21="-"),"-",SUM(B165,B117,B69,B21))</f>
        <v>80</v>
      </c>
      <c r="C213" s="24">
        <f t="shared" si="32"/>
        <v>73</v>
      </c>
      <c r="D213" s="24">
        <f t="shared" si="32"/>
        <v>89</v>
      </c>
      <c r="E213" s="24">
        <f t="shared" si="32"/>
        <v>244</v>
      </c>
      <c r="F213" s="24">
        <f t="shared" si="32"/>
        <v>237</v>
      </c>
      <c r="G213" s="24">
        <f t="shared" si="32"/>
        <v>0</v>
      </c>
      <c r="H213" s="24">
        <f t="shared" si="32"/>
        <v>1</v>
      </c>
      <c r="I213" s="24">
        <f t="shared" si="32"/>
        <v>63</v>
      </c>
      <c r="J213" s="24">
        <f t="shared" si="32"/>
        <v>643</v>
      </c>
      <c r="K213" s="24">
        <f t="shared" si="32"/>
        <v>787</v>
      </c>
    </row>
    <row r="214" spans="1:11" ht="12" customHeight="1">
      <c r="A214" s="99">
        <v>1993</v>
      </c>
      <c r="B214" s="24">
        <f t="shared" ref="B214:K214" si="33">IF(AND(B166="-",B118="-",B70="-",B22="-"),"-",SUM(B166,B118,B70,B22))</f>
        <v>98</v>
      </c>
      <c r="C214" s="24">
        <f t="shared" si="33"/>
        <v>122</v>
      </c>
      <c r="D214" s="24">
        <f t="shared" si="33"/>
        <v>96</v>
      </c>
      <c r="E214" s="24">
        <f t="shared" si="33"/>
        <v>329</v>
      </c>
      <c r="F214" s="24">
        <f t="shared" si="33"/>
        <v>407</v>
      </c>
      <c r="G214" s="24">
        <f t="shared" si="33"/>
        <v>238</v>
      </c>
      <c r="H214" s="24">
        <f t="shared" si="33"/>
        <v>0</v>
      </c>
      <c r="I214" s="24">
        <f t="shared" si="33"/>
        <v>18</v>
      </c>
      <c r="J214" s="24">
        <f t="shared" si="33"/>
        <v>1192</v>
      </c>
      <c r="K214" s="24">
        <f t="shared" si="33"/>
        <v>1308</v>
      </c>
    </row>
    <row r="215" spans="1:11" ht="12" customHeight="1">
      <c r="A215" s="99">
        <v>1994</v>
      </c>
      <c r="B215" s="24">
        <f t="shared" ref="B215:K215" si="34">IF(AND(B167="-",B119="-",B71="-",B23="-"),"-",SUM(B167,B119,B71,B23))</f>
        <v>55</v>
      </c>
      <c r="C215" s="24">
        <f t="shared" si="34"/>
        <v>28</v>
      </c>
      <c r="D215" s="24">
        <f t="shared" si="34"/>
        <v>70</v>
      </c>
      <c r="E215" s="24">
        <f t="shared" si="34"/>
        <v>3</v>
      </c>
      <c r="F215" s="24">
        <f t="shared" si="34"/>
        <v>0</v>
      </c>
      <c r="G215" s="24">
        <f t="shared" si="34"/>
        <v>0</v>
      </c>
      <c r="H215" s="24">
        <f t="shared" si="34"/>
        <v>0</v>
      </c>
      <c r="I215" s="24">
        <f t="shared" si="34"/>
        <v>4</v>
      </c>
      <c r="J215" s="24">
        <f t="shared" si="34"/>
        <v>101</v>
      </c>
      <c r="K215" s="24">
        <f t="shared" si="34"/>
        <v>160</v>
      </c>
    </row>
    <row r="216" spans="1:11" ht="12" customHeight="1">
      <c r="A216" s="99">
        <v>1995</v>
      </c>
      <c r="B216" s="24">
        <f t="shared" ref="B216:K216" si="35">IF(AND(B168="-",B120="-",B72="-",B24="-"),"-",SUM(B168,B120,B72,B24))</f>
        <v>16</v>
      </c>
      <c r="C216" s="24">
        <f t="shared" si="35"/>
        <v>10</v>
      </c>
      <c r="D216" s="24">
        <f t="shared" si="35"/>
        <v>0</v>
      </c>
      <c r="E216" s="24">
        <f t="shared" si="35"/>
        <v>1</v>
      </c>
      <c r="F216" s="24">
        <f t="shared" si="35"/>
        <v>313</v>
      </c>
      <c r="G216" s="24">
        <f t="shared" si="35"/>
        <v>0</v>
      </c>
      <c r="H216" s="24">
        <f t="shared" si="35"/>
        <v>0</v>
      </c>
      <c r="I216" s="24">
        <f t="shared" si="35"/>
        <v>19</v>
      </c>
      <c r="J216" s="24">
        <f t="shared" si="35"/>
        <v>324</v>
      </c>
      <c r="K216" s="24">
        <f t="shared" si="35"/>
        <v>359</v>
      </c>
    </row>
    <row r="217" spans="1:11" ht="12" customHeight="1">
      <c r="A217" s="99">
        <v>1996</v>
      </c>
      <c r="B217" s="24">
        <f t="shared" ref="B217:K217" si="36">IF(AND(B169="-",B121="-",B73="-",B25="-"),"-",SUM(B169,B121,B73,B25))</f>
        <v>46</v>
      </c>
      <c r="C217" s="24">
        <f t="shared" si="36"/>
        <v>13</v>
      </c>
      <c r="D217" s="24">
        <f t="shared" si="36"/>
        <v>34</v>
      </c>
      <c r="E217" s="24">
        <f t="shared" si="36"/>
        <v>42</v>
      </c>
      <c r="F217" s="24">
        <f t="shared" si="36"/>
        <v>102</v>
      </c>
      <c r="G217" s="24">
        <f t="shared" si="36"/>
        <v>90</v>
      </c>
      <c r="H217" s="24" t="str">
        <f t="shared" si="36"/>
        <v>-</v>
      </c>
      <c r="I217" s="24">
        <f t="shared" si="36"/>
        <v>4</v>
      </c>
      <c r="J217" s="24">
        <f t="shared" si="36"/>
        <v>281</v>
      </c>
      <c r="K217" s="24">
        <f t="shared" si="36"/>
        <v>331</v>
      </c>
    </row>
    <row r="218" spans="1:11" ht="12" customHeight="1">
      <c r="A218" s="99">
        <v>1997</v>
      </c>
      <c r="B218" s="24">
        <f t="shared" ref="B218:K218" si="37">IF(AND(B170="-",B122="-",B74="-",B26="-"),"-",SUM(B170,B122,B74,B26))</f>
        <v>9</v>
      </c>
      <c r="C218" s="24">
        <f t="shared" si="37"/>
        <v>25</v>
      </c>
      <c r="D218" s="24">
        <f t="shared" si="37"/>
        <v>48</v>
      </c>
      <c r="E218" s="24">
        <f t="shared" si="37"/>
        <v>0</v>
      </c>
      <c r="F218" s="24">
        <f t="shared" si="37"/>
        <v>164</v>
      </c>
      <c r="G218" s="24">
        <f t="shared" si="37"/>
        <v>62</v>
      </c>
      <c r="H218" s="24" t="str">
        <f t="shared" si="37"/>
        <v>-</v>
      </c>
      <c r="I218" s="24">
        <f t="shared" si="37"/>
        <v>2</v>
      </c>
      <c r="J218" s="24">
        <f t="shared" si="37"/>
        <v>299</v>
      </c>
      <c r="K218" s="24">
        <f t="shared" si="37"/>
        <v>310</v>
      </c>
    </row>
    <row r="219" spans="1:11" ht="12" customHeight="1">
      <c r="A219" s="99">
        <v>1998</v>
      </c>
      <c r="B219" s="24">
        <f t="shared" ref="B219:K219" si="38">IF(AND(B171="-",B123="-",B75="-",B27="-"),"-",SUM(B171,B123,B75,B27))</f>
        <v>6</v>
      </c>
      <c r="C219" s="24">
        <f t="shared" si="38"/>
        <v>33</v>
      </c>
      <c r="D219" s="24">
        <f t="shared" si="38"/>
        <v>19</v>
      </c>
      <c r="E219" s="24">
        <f t="shared" si="38"/>
        <v>3</v>
      </c>
      <c r="F219" s="24">
        <f t="shared" si="38"/>
        <v>41</v>
      </c>
      <c r="G219" s="24">
        <f t="shared" si="38"/>
        <v>43</v>
      </c>
      <c r="H219" s="24" t="str">
        <f t="shared" si="38"/>
        <v>-</v>
      </c>
      <c r="I219" s="24">
        <f t="shared" si="38"/>
        <v>3</v>
      </c>
      <c r="J219" s="24">
        <f t="shared" si="38"/>
        <v>139</v>
      </c>
      <c r="K219" s="24">
        <f t="shared" si="38"/>
        <v>148</v>
      </c>
    </row>
    <row r="220" spans="1:11" ht="12" customHeight="1">
      <c r="A220" s="99">
        <v>1999</v>
      </c>
      <c r="B220" s="24">
        <f t="shared" ref="B220:K220" si="39">IF(AND(B172="-",B124="-",B76="-",B28="-"),"-",SUM(B172,B124,B76,B28))</f>
        <v>6</v>
      </c>
      <c r="C220" s="24">
        <f t="shared" si="39"/>
        <v>43</v>
      </c>
      <c r="D220" s="24">
        <f t="shared" si="39"/>
        <v>46</v>
      </c>
      <c r="E220" s="24">
        <f t="shared" si="39"/>
        <v>5</v>
      </c>
      <c r="F220" s="24">
        <f t="shared" si="39"/>
        <v>117</v>
      </c>
      <c r="G220" s="24">
        <f t="shared" si="39"/>
        <v>71</v>
      </c>
      <c r="H220" s="24" t="str">
        <f t="shared" si="39"/>
        <v>-</v>
      </c>
      <c r="I220" s="24">
        <f t="shared" si="39"/>
        <v>1</v>
      </c>
      <c r="J220" s="24">
        <f t="shared" si="39"/>
        <v>282</v>
      </c>
      <c r="K220" s="24">
        <f t="shared" si="39"/>
        <v>289</v>
      </c>
    </row>
    <row r="221" spans="1:11" ht="12" customHeight="1">
      <c r="A221" s="99">
        <v>2000</v>
      </c>
      <c r="B221" s="24">
        <f t="shared" ref="B221:K221" si="40">IF(AND(B173="-",B125="-",B77="-",B29="-"),"-",SUM(B173,B125,B77,B29))</f>
        <v>5</v>
      </c>
      <c r="C221" s="24">
        <f t="shared" si="40"/>
        <v>43</v>
      </c>
      <c r="D221" s="24">
        <f t="shared" si="40"/>
        <v>41</v>
      </c>
      <c r="E221" s="24">
        <f t="shared" si="40"/>
        <v>5</v>
      </c>
      <c r="F221" s="24">
        <f t="shared" si="40"/>
        <v>55</v>
      </c>
      <c r="G221" s="24">
        <f t="shared" si="40"/>
        <v>0</v>
      </c>
      <c r="H221" s="24" t="str">
        <f t="shared" si="40"/>
        <v>-</v>
      </c>
      <c r="I221" s="24">
        <f t="shared" si="40"/>
        <v>1</v>
      </c>
      <c r="J221" s="24">
        <f t="shared" si="40"/>
        <v>144</v>
      </c>
      <c r="K221" s="24">
        <f t="shared" si="40"/>
        <v>150</v>
      </c>
    </row>
    <row r="222" spans="1:11" ht="12" customHeight="1">
      <c r="A222" s="99">
        <v>2001</v>
      </c>
      <c r="B222" s="24">
        <f t="shared" ref="B222:K222" si="41">IF(AND(B174="-",B126="-",B78="-",B30="-"),"-",SUM(B174,B126,B78,B30))</f>
        <v>22</v>
      </c>
      <c r="C222" s="24">
        <f t="shared" si="41"/>
        <v>53</v>
      </c>
      <c r="D222" s="24">
        <f t="shared" si="41"/>
        <v>65</v>
      </c>
      <c r="E222" s="24">
        <f t="shared" si="41"/>
        <v>122</v>
      </c>
      <c r="F222" s="24">
        <f t="shared" si="41"/>
        <v>172</v>
      </c>
      <c r="G222" s="24">
        <f t="shared" si="41"/>
        <v>104</v>
      </c>
      <c r="H222" s="24" t="str">
        <f t="shared" si="41"/>
        <v>-</v>
      </c>
      <c r="I222" s="24">
        <f t="shared" si="41"/>
        <v>5</v>
      </c>
      <c r="J222" s="24">
        <f t="shared" si="41"/>
        <v>516</v>
      </c>
      <c r="K222" s="24">
        <f t="shared" si="41"/>
        <v>543</v>
      </c>
    </row>
    <row r="223" spans="1:11" ht="12" customHeight="1">
      <c r="A223" s="99">
        <v>2002</v>
      </c>
      <c r="B223" s="24">
        <f t="shared" ref="B223:K223" si="42">IF(AND(B175="-",B127="-",B79="-",B31="-"),"-",SUM(B175,B127,B79,B31))</f>
        <v>14</v>
      </c>
      <c r="C223" s="24">
        <f t="shared" si="42"/>
        <v>31</v>
      </c>
      <c r="D223" s="24">
        <f t="shared" si="42"/>
        <v>42</v>
      </c>
      <c r="E223" s="24">
        <f t="shared" si="42"/>
        <v>61</v>
      </c>
      <c r="F223" s="24">
        <f t="shared" si="42"/>
        <v>51</v>
      </c>
      <c r="G223" s="24">
        <f t="shared" si="42"/>
        <v>41</v>
      </c>
      <c r="H223" s="24">
        <f t="shared" si="42"/>
        <v>10</v>
      </c>
      <c r="I223" s="24">
        <f t="shared" si="42"/>
        <v>3</v>
      </c>
      <c r="J223" s="24">
        <f t="shared" si="42"/>
        <v>226</v>
      </c>
      <c r="K223" s="24">
        <f t="shared" si="42"/>
        <v>253</v>
      </c>
    </row>
    <row r="224" spans="1:11" ht="12" customHeight="1">
      <c r="A224" s="99">
        <v>2003</v>
      </c>
      <c r="B224" s="24">
        <f t="shared" ref="B224:K224" si="43">IF(AND(B176="-",B128="-",B80="-",B32="-"),"-",SUM(B176,B128,B80,B32))</f>
        <v>7</v>
      </c>
      <c r="C224" s="24">
        <f t="shared" si="43"/>
        <v>24</v>
      </c>
      <c r="D224" s="24">
        <f t="shared" si="43"/>
        <v>27</v>
      </c>
      <c r="E224" s="24">
        <f t="shared" si="43"/>
        <v>63</v>
      </c>
      <c r="F224" s="24">
        <f t="shared" si="43"/>
        <v>57</v>
      </c>
      <c r="G224" s="24">
        <f t="shared" si="43"/>
        <v>45</v>
      </c>
      <c r="H224" s="24">
        <f t="shared" si="43"/>
        <v>15</v>
      </c>
      <c r="I224" s="24">
        <f t="shared" si="43"/>
        <v>2</v>
      </c>
      <c r="J224" s="24">
        <f t="shared" si="43"/>
        <v>216</v>
      </c>
      <c r="K224" s="24">
        <f t="shared" si="43"/>
        <v>240</v>
      </c>
    </row>
    <row r="225" spans="1:11" ht="12" customHeight="1">
      <c r="A225" s="99">
        <v>2004</v>
      </c>
      <c r="B225" s="24">
        <f t="shared" ref="B225:K225" si="44">IF(AND(B177="-",B129="-",B81="-",B33="-"),"-",SUM(B177,B129,B81,B33))</f>
        <v>28</v>
      </c>
      <c r="C225" s="24">
        <f t="shared" si="44"/>
        <v>27</v>
      </c>
      <c r="D225" s="24">
        <f t="shared" si="44"/>
        <v>49</v>
      </c>
      <c r="E225" s="24">
        <f t="shared" si="44"/>
        <v>127</v>
      </c>
      <c r="F225" s="24">
        <f t="shared" si="44"/>
        <v>152</v>
      </c>
      <c r="G225" s="24">
        <f t="shared" si="44"/>
        <v>76</v>
      </c>
      <c r="H225" s="24">
        <f t="shared" si="44"/>
        <v>15</v>
      </c>
      <c r="I225" s="24">
        <f t="shared" si="44"/>
        <v>107</v>
      </c>
      <c r="J225" s="24">
        <f t="shared" si="44"/>
        <v>431</v>
      </c>
      <c r="K225" s="24">
        <f t="shared" si="44"/>
        <v>581</v>
      </c>
    </row>
    <row r="226" spans="1:11" ht="12" customHeight="1">
      <c r="A226" s="99">
        <v>2005</v>
      </c>
      <c r="B226" s="24">
        <f t="shared" ref="B226:K226" si="45">IF(AND(B178="-",B130="-",B82="-",B34="-"),"-",SUM(B178,B130,B82,B34))</f>
        <v>103</v>
      </c>
      <c r="C226" s="24">
        <f t="shared" si="45"/>
        <v>98</v>
      </c>
      <c r="D226" s="24">
        <f t="shared" si="45"/>
        <v>146</v>
      </c>
      <c r="E226" s="24">
        <f t="shared" si="45"/>
        <v>126</v>
      </c>
      <c r="F226" s="24">
        <f t="shared" si="45"/>
        <v>150</v>
      </c>
      <c r="G226" s="24">
        <f t="shared" si="45"/>
        <v>77</v>
      </c>
      <c r="H226" s="24">
        <f t="shared" si="45"/>
        <v>0</v>
      </c>
      <c r="I226" s="24">
        <f t="shared" si="45"/>
        <v>206</v>
      </c>
      <c r="J226" s="24">
        <f t="shared" si="45"/>
        <v>597</v>
      </c>
      <c r="K226" s="24">
        <f t="shared" si="45"/>
        <v>906</v>
      </c>
    </row>
    <row r="227" spans="1:11" ht="12" customHeight="1">
      <c r="A227" s="99">
        <v>2006</v>
      </c>
      <c r="B227" s="24">
        <f t="shared" ref="B227:K227" si="46">IF(AND(B179="-",B131="-",B83="-",B35="-"),"-",SUM(B179,B131,B83,B35))</f>
        <v>29</v>
      </c>
      <c r="C227" s="24">
        <f t="shared" si="46"/>
        <v>96</v>
      </c>
      <c r="D227" s="24">
        <f t="shared" si="46"/>
        <v>285</v>
      </c>
      <c r="E227" s="24">
        <f t="shared" si="46"/>
        <v>167</v>
      </c>
      <c r="F227" s="24">
        <f t="shared" si="46"/>
        <v>140</v>
      </c>
      <c r="G227" s="24">
        <f t="shared" si="46"/>
        <v>117</v>
      </c>
      <c r="H227" s="24">
        <f t="shared" si="46"/>
        <v>5</v>
      </c>
      <c r="I227" s="24">
        <f t="shared" si="46"/>
        <v>41</v>
      </c>
      <c r="J227" s="24">
        <f t="shared" si="46"/>
        <v>805</v>
      </c>
      <c r="K227" s="24">
        <f t="shared" si="46"/>
        <v>880</v>
      </c>
    </row>
    <row r="228" spans="1:11" ht="12" customHeight="1">
      <c r="A228" s="99">
        <v>2007</v>
      </c>
      <c r="B228" s="24">
        <f t="shared" ref="B228:K228" si="47">IF(AND(B180="-",B132="-",B84="-",B36="-"),"-",SUM(B180,B132,B84,B36))</f>
        <v>179</v>
      </c>
      <c r="C228" s="24">
        <f t="shared" si="47"/>
        <v>22</v>
      </c>
      <c r="D228" s="24">
        <f t="shared" si="47"/>
        <v>205</v>
      </c>
      <c r="E228" s="24">
        <f t="shared" si="47"/>
        <v>189</v>
      </c>
      <c r="F228" s="24">
        <f t="shared" si="47"/>
        <v>167</v>
      </c>
      <c r="G228" s="24">
        <f t="shared" si="47"/>
        <v>7</v>
      </c>
      <c r="H228" s="24">
        <f t="shared" si="47"/>
        <v>0</v>
      </c>
      <c r="I228" s="24">
        <f t="shared" si="47"/>
        <v>129</v>
      </c>
      <c r="J228" s="24">
        <f t="shared" si="47"/>
        <v>590</v>
      </c>
      <c r="K228" s="24">
        <f t="shared" si="47"/>
        <v>898</v>
      </c>
    </row>
    <row r="229" spans="1:11" ht="12" customHeight="1">
      <c r="A229" s="99">
        <v>2008</v>
      </c>
      <c r="B229" s="24">
        <f t="shared" ref="B229:K229" si="48">IF(AND(B181="-",B133="-",B85="-",B37="-"),"-",SUM(B181,B133,B85,B37))</f>
        <v>54</v>
      </c>
      <c r="C229" s="24">
        <f t="shared" si="48"/>
        <v>30</v>
      </c>
      <c r="D229" s="24">
        <f t="shared" si="48"/>
        <v>125</v>
      </c>
      <c r="E229" s="24">
        <f t="shared" si="48"/>
        <v>102</v>
      </c>
      <c r="F229" s="24">
        <f t="shared" si="48"/>
        <v>231</v>
      </c>
      <c r="G229" s="24">
        <f t="shared" si="48"/>
        <v>92</v>
      </c>
      <c r="H229" s="24">
        <f t="shared" si="48"/>
        <v>1</v>
      </c>
      <c r="I229" s="24">
        <f t="shared" si="48"/>
        <v>51</v>
      </c>
      <c r="J229" s="24">
        <f t="shared" si="48"/>
        <v>580</v>
      </c>
      <c r="K229" s="24">
        <f t="shared" si="48"/>
        <v>686</v>
      </c>
    </row>
    <row r="230" spans="1:11" ht="12" customHeight="1">
      <c r="A230" s="99">
        <v>2009</v>
      </c>
      <c r="B230" s="24">
        <f t="shared" ref="B230:K230" si="49">IF(AND(B182="-",B134="-",B86="-",B38="-"),"-",SUM(B182,B134,B86,B38))</f>
        <v>76</v>
      </c>
      <c r="C230" s="24">
        <f t="shared" si="49"/>
        <v>82</v>
      </c>
      <c r="D230" s="24">
        <f t="shared" si="49"/>
        <v>238</v>
      </c>
      <c r="E230" s="24">
        <f t="shared" si="49"/>
        <v>233</v>
      </c>
      <c r="F230" s="24">
        <f t="shared" si="49"/>
        <v>269</v>
      </c>
      <c r="G230" s="24">
        <f t="shared" si="49"/>
        <v>5</v>
      </c>
      <c r="H230" s="24">
        <f t="shared" si="49"/>
        <v>4</v>
      </c>
      <c r="I230" s="24">
        <f t="shared" si="49"/>
        <v>18</v>
      </c>
      <c r="J230" s="24">
        <f t="shared" si="49"/>
        <v>827</v>
      </c>
      <c r="K230" s="24">
        <f t="shared" si="49"/>
        <v>925</v>
      </c>
    </row>
    <row r="231" spans="1:11" ht="12" customHeight="1">
      <c r="A231" s="99">
        <v>2010</v>
      </c>
      <c r="B231" s="24">
        <f t="shared" ref="B231:K231" si="50">IF(AND(B183="-",B135="-",B87="-",B39="-"),"-",SUM(B183,B135,B87,B39))</f>
        <v>145</v>
      </c>
      <c r="C231" s="24">
        <f t="shared" si="50"/>
        <v>155</v>
      </c>
      <c r="D231" s="24">
        <f t="shared" si="50"/>
        <v>335</v>
      </c>
      <c r="E231" s="24">
        <f t="shared" si="50"/>
        <v>155</v>
      </c>
      <c r="F231" s="24">
        <f t="shared" si="50"/>
        <v>150</v>
      </c>
      <c r="G231" s="24">
        <f t="shared" si="50"/>
        <v>62</v>
      </c>
      <c r="H231" s="24">
        <f t="shared" si="50"/>
        <v>4</v>
      </c>
      <c r="I231" s="24">
        <f t="shared" si="50"/>
        <v>51</v>
      </c>
      <c r="J231" s="24">
        <f t="shared" si="50"/>
        <v>857</v>
      </c>
      <c r="K231" s="24">
        <f t="shared" si="50"/>
        <v>1057</v>
      </c>
    </row>
    <row r="232" spans="1:11" ht="12" customHeight="1">
      <c r="A232" s="99">
        <v>2011</v>
      </c>
      <c r="B232" s="24">
        <f t="shared" ref="B232:K232" si="51">IF(AND(B184="-",B136="-",B88="-",B40="-"),"-",SUM(B184,B136,B88,B40))</f>
        <v>303</v>
      </c>
      <c r="C232" s="24">
        <f t="shared" si="51"/>
        <v>92</v>
      </c>
      <c r="D232" s="24">
        <f t="shared" si="51"/>
        <v>192</v>
      </c>
      <c r="E232" s="24">
        <f t="shared" si="51"/>
        <v>152</v>
      </c>
      <c r="F232" s="24">
        <f t="shared" si="51"/>
        <v>140</v>
      </c>
      <c r="G232" s="24">
        <f t="shared" si="51"/>
        <v>24</v>
      </c>
      <c r="H232" s="24">
        <f t="shared" si="51"/>
        <v>1</v>
      </c>
      <c r="I232" s="24">
        <f t="shared" si="51"/>
        <v>22</v>
      </c>
      <c r="J232" s="24">
        <f t="shared" si="51"/>
        <v>600</v>
      </c>
      <c r="K232" s="24">
        <f t="shared" si="51"/>
        <v>926</v>
      </c>
    </row>
    <row r="233" spans="1:11" ht="12" customHeight="1">
      <c r="A233" s="99">
        <v>2012</v>
      </c>
      <c r="B233" s="24">
        <f t="shared" ref="B233:K233" si="52">IF(AND(B185="-",B137="-",B89="-",B41="-"),"-",SUM(B185,B137,B89,B41))</f>
        <v>182</v>
      </c>
      <c r="C233" s="24">
        <f t="shared" si="52"/>
        <v>144</v>
      </c>
      <c r="D233" s="24">
        <f t="shared" si="52"/>
        <v>269</v>
      </c>
      <c r="E233" s="24">
        <f t="shared" si="52"/>
        <v>214</v>
      </c>
      <c r="F233" s="24">
        <f t="shared" si="52"/>
        <v>229</v>
      </c>
      <c r="G233" s="24">
        <f t="shared" si="52"/>
        <v>104</v>
      </c>
      <c r="H233" s="24">
        <f t="shared" si="52"/>
        <v>4</v>
      </c>
      <c r="I233" s="24">
        <f t="shared" si="52"/>
        <v>29</v>
      </c>
      <c r="J233" s="24">
        <f t="shared" si="52"/>
        <v>960</v>
      </c>
      <c r="K233" s="24">
        <f t="shared" si="52"/>
        <v>1175</v>
      </c>
    </row>
    <row r="234" spans="1:11" ht="12" customHeight="1">
      <c r="A234" s="99">
        <v>2013</v>
      </c>
      <c r="B234" s="24">
        <f t="shared" ref="B234:K234" si="53">IF(AND(B186="-",B138="-",B90="-",B42="-"),"-",SUM(B186,B138,B90,B42))</f>
        <v>270</v>
      </c>
      <c r="C234" s="24">
        <f t="shared" si="53"/>
        <v>279</v>
      </c>
      <c r="D234" s="24">
        <f t="shared" si="53"/>
        <v>206</v>
      </c>
      <c r="E234" s="24">
        <f t="shared" si="53"/>
        <v>369</v>
      </c>
      <c r="F234" s="24">
        <f t="shared" si="53"/>
        <v>583</v>
      </c>
      <c r="G234" s="24">
        <f t="shared" si="53"/>
        <v>159</v>
      </c>
      <c r="H234" s="24">
        <f t="shared" si="53"/>
        <v>0</v>
      </c>
      <c r="I234" s="24">
        <f t="shared" si="53"/>
        <v>124</v>
      </c>
      <c r="J234" s="24">
        <f t="shared" si="53"/>
        <v>1596</v>
      </c>
      <c r="K234" s="24">
        <f t="shared" si="53"/>
        <v>1990</v>
      </c>
    </row>
    <row r="235" spans="1:11" ht="12" customHeight="1">
      <c r="A235" s="99">
        <v>2014</v>
      </c>
      <c r="B235" s="24">
        <f t="shared" ref="B235:K235" si="54">IF(AND(B187="-",B139="-",B91="-",B43="-"),"-",SUM(B187,B139,B91,B43))</f>
        <v>419</v>
      </c>
      <c r="C235" s="24">
        <f t="shared" si="54"/>
        <v>196</v>
      </c>
      <c r="D235" s="24">
        <f t="shared" si="54"/>
        <v>295</v>
      </c>
      <c r="E235" s="24">
        <f t="shared" si="54"/>
        <v>465</v>
      </c>
      <c r="F235" s="24">
        <f t="shared" si="54"/>
        <v>419</v>
      </c>
      <c r="G235" s="24">
        <f t="shared" si="54"/>
        <v>152</v>
      </c>
      <c r="H235" s="24">
        <f t="shared" si="54"/>
        <v>0</v>
      </c>
      <c r="I235" s="24">
        <f t="shared" si="54"/>
        <v>34</v>
      </c>
      <c r="J235" s="24">
        <f t="shared" si="54"/>
        <v>1527</v>
      </c>
      <c r="K235" s="24">
        <f t="shared" si="54"/>
        <v>1980</v>
      </c>
    </row>
    <row r="236" spans="1:11" ht="12" customHeight="1">
      <c r="A236" s="99">
        <v>2015</v>
      </c>
      <c r="B236" s="24">
        <f t="shared" ref="B236:K236" si="55">IF(AND(B188="-",B140="-",B92="-",B44="-"),"-",SUM(B188,B140,B92,B44))</f>
        <v>384</v>
      </c>
      <c r="C236" s="24">
        <f t="shared" si="55"/>
        <v>324</v>
      </c>
      <c r="D236" s="24">
        <f t="shared" si="55"/>
        <v>380</v>
      </c>
      <c r="E236" s="24">
        <f t="shared" si="55"/>
        <v>389</v>
      </c>
      <c r="F236" s="24">
        <f t="shared" si="55"/>
        <v>261</v>
      </c>
      <c r="G236" s="24">
        <f t="shared" si="55"/>
        <v>104</v>
      </c>
      <c r="H236" s="24">
        <f t="shared" si="55"/>
        <v>0</v>
      </c>
      <c r="I236" s="24">
        <f t="shared" si="55"/>
        <v>7</v>
      </c>
      <c r="J236" s="24">
        <f t="shared" si="55"/>
        <v>1458</v>
      </c>
      <c r="K236" s="24">
        <f t="shared" si="55"/>
        <v>1849</v>
      </c>
    </row>
    <row r="237" spans="1:11" ht="12" customHeight="1">
      <c r="A237" s="99">
        <v>2016</v>
      </c>
      <c r="B237" s="24">
        <f t="shared" ref="B237:K237" si="56">IF(AND(B189="-",B141="-",B93="-",B45="-"),"-",SUM(B189,B141,B93,B45))</f>
        <v>35</v>
      </c>
      <c r="C237" s="24">
        <f t="shared" si="56"/>
        <v>204</v>
      </c>
      <c r="D237" s="24">
        <f t="shared" si="56"/>
        <v>233</v>
      </c>
      <c r="E237" s="24">
        <f t="shared" si="56"/>
        <v>141</v>
      </c>
      <c r="F237" s="24">
        <f t="shared" si="56"/>
        <v>90</v>
      </c>
      <c r="G237" s="24">
        <f t="shared" si="56"/>
        <v>2</v>
      </c>
      <c r="H237" s="24">
        <f t="shared" si="56"/>
        <v>0</v>
      </c>
      <c r="I237" s="24">
        <f t="shared" si="56"/>
        <v>34</v>
      </c>
      <c r="J237" s="24">
        <f t="shared" si="56"/>
        <v>670</v>
      </c>
      <c r="K237" s="24">
        <f t="shared" si="56"/>
        <v>739</v>
      </c>
    </row>
    <row r="238" spans="1:11" ht="12" customHeight="1">
      <c r="A238" s="99">
        <v>2017</v>
      </c>
      <c r="B238" s="24">
        <f t="shared" ref="B238:K238" si="57">IF(AND(B190="-",B142="-",B94="-",B46="-"),"-",SUM(B190,B142,B94,B46))</f>
        <v>149</v>
      </c>
      <c r="C238" s="24">
        <f t="shared" si="57"/>
        <v>27</v>
      </c>
      <c r="D238" s="24">
        <f t="shared" si="57"/>
        <v>90</v>
      </c>
      <c r="E238" s="24">
        <f t="shared" si="57"/>
        <v>317</v>
      </c>
      <c r="F238" s="24">
        <f t="shared" si="57"/>
        <v>357</v>
      </c>
      <c r="G238" s="24">
        <f t="shared" si="57"/>
        <v>172</v>
      </c>
      <c r="H238" s="24">
        <f t="shared" si="57"/>
        <v>0</v>
      </c>
      <c r="I238" s="24">
        <f t="shared" si="57"/>
        <v>3</v>
      </c>
      <c r="J238" s="24">
        <f t="shared" si="57"/>
        <v>963</v>
      </c>
      <c r="K238" s="24">
        <f t="shared" si="57"/>
        <v>1115</v>
      </c>
    </row>
    <row r="239" spans="1:11" ht="12" customHeight="1">
      <c r="A239" s="99">
        <v>2018</v>
      </c>
      <c r="B239" s="24">
        <f t="shared" ref="B239:K239" si="58">IF(AND(B191="-",B143="-",B95="-",B47="-"),"-",SUM(B191,B143,B95,B47))</f>
        <v>93</v>
      </c>
      <c r="C239" s="24">
        <f t="shared" si="58"/>
        <v>99</v>
      </c>
      <c r="D239" s="24">
        <f t="shared" si="58"/>
        <v>255</v>
      </c>
      <c r="E239" s="24">
        <f t="shared" si="58"/>
        <v>272</v>
      </c>
      <c r="F239" s="24">
        <f t="shared" si="58"/>
        <v>145</v>
      </c>
      <c r="G239" s="24">
        <f t="shared" si="58"/>
        <v>110</v>
      </c>
      <c r="H239" s="24">
        <f t="shared" si="58"/>
        <v>0</v>
      </c>
      <c r="I239" s="24">
        <f t="shared" si="58"/>
        <v>26</v>
      </c>
      <c r="J239" s="24">
        <f t="shared" si="58"/>
        <v>881</v>
      </c>
      <c r="K239" s="24">
        <f t="shared" si="58"/>
        <v>1000</v>
      </c>
    </row>
    <row r="240" spans="1:11" ht="12" customHeight="1">
      <c r="A240" s="99">
        <v>2019</v>
      </c>
      <c r="B240" s="24">
        <f t="shared" ref="B240:K240" si="59">IF(AND(B192="-",B144="-",B96="-",B48="-"),"-",SUM(B192,B144,B96,B48))</f>
        <v>100</v>
      </c>
      <c r="C240" s="24">
        <f t="shared" si="59"/>
        <v>65</v>
      </c>
      <c r="D240" s="24">
        <f t="shared" si="59"/>
        <v>72</v>
      </c>
      <c r="E240" s="24">
        <f t="shared" si="59"/>
        <v>365</v>
      </c>
      <c r="F240" s="24">
        <f t="shared" si="59"/>
        <v>276</v>
      </c>
      <c r="G240" s="24">
        <f t="shared" si="59"/>
        <v>120</v>
      </c>
      <c r="H240" s="24">
        <f t="shared" si="59"/>
        <v>0</v>
      </c>
      <c r="I240" s="24">
        <f t="shared" si="59"/>
        <v>13</v>
      </c>
      <c r="J240" s="24">
        <f t="shared" si="59"/>
        <v>898</v>
      </c>
      <c r="K240" s="24">
        <f t="shared" si="59"/>
        <v>1011</v>
      </c>
    </row>
    <row r="241" spans="1:11" ht="12" customHeight="1">
      <c r="A241" s="99">
        <v>2020</v>
      </c>
      <c r="B241" s="24">
        <f t="shared" ref="B241:K242" si="60">IF(AND(B193="-",B145="-",B97="-",B49="-"),"-",SUM(B193,B145,B97,B49))</f>
        <v>68</v>
      </c>
      <c r="C241" s="24">
        <f t="shared" si="60"/>
        <v>1</v>
      </c>
      <c r="D241" s="24">
        <f t="shared" si="60"/>
        <v>2</v>
      </c>
      <c r="E241" s="24">
        <f t="shared" si="60"/>
        <v>29</v>
      </c>
      <c r="F241" s="24">
        <f t="shared" si="60"/>
        <v>122</v>
      </c>
      <c r="G241" s="24">
        <f t="shared" si="60"/>
        <v>31</v>
      </c>
      <c r="H241" s="24">
        <f t="shared" si="60"/>
        <v>0</v>
      </c>
      <c r="I241" s="24">
        <f t="shared" si="60"/>
        <v>0</v>
      </c>
      <c r="J241" s="24">
        <f t="shared" si="60"/>
        <v>185</v>
      </c>
      <c r="K241" s="24">
        <f t="shared" si="60"/>
        <v>253</v>
      </c>
    </row>
    <row r="242" spans="1:11" ht="12" customHeight="1">
      <c r="A242" s="99" t="s">
        <v>317</v>
      </c>
      <c r="B242" s="24">
        <f t="shared" si="60"/>
        <v>18</v>
      </c>
      <c r="C242" s="24">
        <f t="shared" si="60"/>
        <v>28</v>
      </c>
      <c r="D242" s="24">
        <f t="shared" si="60"/>
        <v>100</v>
      </c>
      <c r="E242" s="24">
        <f t="shared" si="60"/>
        <v>135</v>
      </c>
      <c r="F242" s="24">
        <f t="shared" si="60"/>
        <v>101</v>
      </c>
      <c r="G242" s="24">
        <f t="shared" si="60"/>
        <v>76</v>
      </c>
      <c r="H242" s="24">
        <f t="shared" si="60"/>
        <v>0</v>
      </c>
      <c r="I242" s="24">
        <f t="shared" si="60"/>
        <v>0</v>
      </c>
      <c r="J242" s="24">
        <f t="shared" si="60"/>
        <v>440</v>
      </c>
      <c r="K242" s="24">
        <f t="shared" si="60"/>
        <v>458</v>
      </c>
    </row>
    <row r="243" spans="1:11" ht="12" customHeight="1">
      <c r="A243" s="286" t="s">
        <v>69</v>
      </c>
      <c r="B243" s="286"/>
      <c r="C243" s="286"/>
      <c r="D243" s="286"/>
      <c r="E243" s="286"/>
      <c r="F243" s="286"/>
      <c r="G243" s="286"/>
      <c r="H243" s="286"/>
      <c r="I243" s="286"/>
      <c r="J243" s="286"/>
      <c r="K243" s="286"/>
    </row>
    <row r="244" spans="1:11" ht="12" customHeight="1">
      <c r="A244" s="287" t="s">
        <v>150</v>
      </c>
      <c r="B244" s="287"/>
      <c r="C244" s="287"/>
      <c r="D244" s="287"/>
      <c r="E244" s="287"/>
      <c r="F244" s="287"/>
      <c r="G244" s="287"/>
      <c r="H244" s="287"/>
      <c r="I244" s="287"/>
      <c r="J244" s="287"/>
      <c r="K244" s="287"/>
    </row>
    <row r="245" spans="1:11" ht="12" customHeight="1">
      <c r="C245" s="19"/>
      <c r="D245" s="19"/>
      <c r="E245" s="19"/>
      <c r="F245" s="19"/>
      <c r="G245" s="19"/>
      <c r="H245" s="19"/>
      <c r="I245" s="19"/>
      <c r="J245" s="19"/>
      <c r="K245" s="19"/>
    </row>
    <row r="246" spans="1:11" ht="12" customHeight="1">
      <c r="C246" s="19"/>
      <c r="D246" s="19"/>
      <c r="E246" s="19"/>
      <c r="F246" s="19"/>
      <c r="G246" s="19"/>
      <c r="H246" s="19"/>
      <c r="I246" s="19"/>
      <c r="J246" s="19"/>
      <c r="K246" s="19"/>
    </row>
    <row r="247" spans="1:11" ht="12" customHeight="1">
      <c r="C247" s="19"/>
      <c r="D247" s="19"/>
      <c r="E247" s="19"/>
      <c r="F247" s="19"/>
      <c r="G247" s="19"/>
      <c r="H247" s="19"/>
      <c r="I247" s="19"/>
      <c r="J247" s="19"/>
      <c r="K247" s="19"/>
    </row>
    <row r="248" spans="1:11" ht="12" customHeight="1">
      <c r="C248" s="19"/>
      <c r="D248" s="19"/>
      <c r="E248" s="19"/>
      <c r="F248" s="19"/>
      <c r="G248" s="19"/>
      <c r="H248" s="19"/>
      <c r="I248" s="19"/>
      <c r="J248" s="19"/>
      <c r="K248" s="19"/>
    </row>
    <row r="249" spans="1:11" ht="12" customHeight="1">
      <c r="C249" s="19"/>
      <c r="D249" s="19"/>
      <c r="E249" s="19"/>
      <c r="F249" s="19"/>
      <c r="G249" s="19"/>
      <c r="H249" s="19"/>
      <c r="I249" s="19"/>
      <c r="J249" s="19"/>
      <c r="K249" s="19"/>
    </row>
    <row r="250" spans="1:11" s="199" customFormat="1" ht="12" customHeight="1">
      <c r="A250" s="158"/>
      <c r="B250" s="167"/>
      <c r="C250" s="165"/>
      <c r="D250" s="165"/>
      <c r="E250" s="165"/>
      <c r="F250" s="165"/>
      <c r="G250" s="165"/>
      <c r="H250" s="165"/>
      <c r="I250" s="165"/>
      <c r="J250" s="165"/>
      <c r="K250" s="165"/>
    </row>
    <row r="251" spans="1:11" ht="12" customHeight="1">
      <c r="C251" s="19"/>
      <c r="D251" s="19"/>
      <c r="E251" s="19"/>
      <c r="F251" s="19"/>
      <c r="G251" s="19"/>
      <c r="H251" s="19"/>
      <c r="I251" s="19"/>
      <c r="J251" s="19"/>
      <c r="K251" s="19"/>
    </row>
    <row r="252" spans="1:11" ht="12" customHeight="1">
      <c r="C252" s="19"/>
      <c r="D252" s="19"/>
      <c r="E252" s="19"/>
      <c r="F252" s="19"/>
      <c r="G252" s="19"/>
      <c r="H252" s="19"/>
      <c r="I252" s="19"/>
      <c r="J252" s="19"/>
      <c r="K252" s="19"/>
    </row>
    <row r="253" spans="1:11" ht="12" customHeight="1">
      <c r="C253" s="19"/>
      <c r="D253" s="19"/>
      <c r="E253" s="19"/>
      <c r="F253" s="19"/>
      <c r="G253" s="19"/>
      <c r="H253" s="19"/>
      <c r="I253" s="19"/>
      <c r="J253" s="19"/>
      <c r="K253" s="19"/>
    </row>
    <row r="254" spans="1:11" ht="12" customHeight="1">
      <c r="C254" s="19"/>
      <c r="D254" s="19"/>
      <c r="E254" s="19"/>
      <c r="F254" s="19"/>
      <c r="G254" s="19"/>
      <c r="H254" s="19"/>
      <c r="I254" s="19"/>
      <c r="J254" s="19"/>
      <c r="K254" s="19"/>
    </row>
    <row r="255" spans="1:11" ht="12" customHeight="1">
      <c r="C255" s="19"/>
      <c r="D255" s="19"/>
      <c r="E255" s="19"/>
      <c r="F255" s="19"/>
      <c r="G255" s="19"/>
      <c r="H255" s="19"/>
      <c r="I255" s="19"/>
      <c r="J255" s="19"/>
      <c r="K255" s="19"/>
    </row>
    <row r="256" spans="1:11" ht="12" customHeight="1">
      <c r="C256" s="19"/>
      <c r="D256" s="19"/>
      <c r="E256" s="19"/>
      <c r="F256" s="19"/>
      <c r="G256" s="19"/>
      <c r="H256" s="19"/>
      <c r="I256" s="19"/>
      <c r="J256" s="19"/>
      <c r="K256" s="19"/>
    </row>
    <row r="257" spans="1:11" ht="12" customHeight="1">
      <c r="C257" s="19"/>
      <c r="D257" s="19"/>
      <c r="E257" s="19"/>
      <c r="F257" s="19"/>
      <c r="G257" s="19"/>
      <c r="H257" s="19"/>
      <c r="I257" s="19"/>
      <c r="J257" s="19"/>
      <c r="K257" s="19"/>
    </row>
    <row r="258" spans="1:11" ht="12" customHeight="1">
      <c r="C258" s="19"/>
      <c r="D258" s="19"/>
      <c r="E258" s="19"/>
      <c r="F258" s="19"/>
      <c r="G258" s="19"/>
      <c r="H258" s="19"/>
      <c r="I258" s="19"/>
      <c r="J258" s="19"/>
      <c r="K258" s="19"/>
    </row>
    <row r="259" spans="1:11" ht="12" customHeight="1">
      <c r="C259" s="19"/>
      <c r="D259" s="19"/>
      <c r="E259" s="19"/>
      <c r="F259" s="19"/>
      <c r="G259" s="19"/>
      <c r="H259" s="19"/>
      <c r="I259" s="19"/>
      <c r="J259" s="19"/>
      <c r="K259" s="19"/>
    </row>
    <row r="260" spans="1:11" ht="12" customHeight="1">
      <c r="C260" s="19"/>
      <c r="D260" s="19"/>
      <c r="E260" s="19"/>
      <c r="F260" s="19"/>
      <c r="G260" s="19"/>
      <c r="H260" s="19"/>
      <c r="I260" s="19"/>
      <c r="J260" s="19"/>
      <c r="K260" s="19"/>
    </row>
    <row r="261" spans="1:11" ht="12" customHeight="1">
      <c r="C261" s="19"/>
      <c r="D261" s="19"/>
      <c r="E261" s="19"/>
      <c r="F261" s="19"/>
      <c r="G261" s="19"/>
      <c r="H261" s="19"/>
      <c r="I261" s="19"/>
      <c r="J261" s="19"/>
      <c r="K261" s="19"/>
    </row>
    <row r="262" spans="1:11" ht="24" customHeight="1">
      <c r="A262" s="279" t="s">
        <v>146</v>
      </c>
      <c r="B262" s="279"/>
      <c r="C262" s="279"/>
      <c r="D262" s="279"/>
      <c r="E262" s="279"/>
      <c r="F262" s="279"/>
      <c r="G262" s="279"/>
      <c r="H262" s="279"/>
      <c r="I262" s="279"/>
      <c r="J262" s="279"/>
      <c r="K262" s="279"/>
    </row>
    <row r="263" spans="1:11" ht="12.75" customHeight="1">
      <c r="A263" s="342" t="s">
        <v>27</v>
      </c>
      <c r="B263" s="266"/>
      <c r="C263" s="266"/>
      <c r="D263" s="266"/>
      <c r="E263" s="266"/>
      <c r="F263" s="266"/>
      <c r="G263" s="266"/>
      <c r="H263" s="266"/>
      <c r="I263" s="266"/>
      <c r="J263" s="343" t="s">
        <v>55</v>
      </c>
      <c r="K263" s="343"/>
    </row>
    <row r="264" spans="1:11">
      <c r="A264" s="279"/>
      <c r="B264" s="225" t="s">
        <v>65</v>
      </c>
      <c r="C264" s="225" t="s">
        <v>29</v>
      </c>
      <c r="D264" s="225" t="s">
        <v>30</v>
      </c>
      <c r="E264" s="225" t="s">
        <v>31</v>
      </c>
      <c r="F264" s="225" t="s">
        <v>32</v>
      </c>
      <c r="G264" s="225" t="s">
        <v>33</v>
      </c>
      <c r="H264" s="225" t="s">
        <v>34</v>
      </c>
      <c r="I264" s="225" t="s">
        <v>67</v>
      </c>
      <c r="J264" s="225" t="s">
        <v>153</v>
      </c>
      <c r="K264" s="225" t="s">
        <v>46</v>
      </c>
    </row>
    <row r="265" spans="1:11">
      <c r="A265" s="102" t="s">
        <v>66</v>
      </c>
      <c r="B265" s="24"/>
    </row>
    <row r="266" spans="1:11" ht="11.25" customHeight="1">
      <c r="A266" s="99" t="s">
        <v>24</v>
      </c>
      <c r="B266" s="24">
        <f t="shared" ref="B266:K266" si="61">AVERAGE(B10:B14)</f>
        <v>166.8</v>
      </c>
      <c r="C266" s="24">
        <f t="shared" si="61"/>
        <v>53</v>
      </c>
      <c r="D266" s="24">
        <f t="shared" si="61"/>
        <v>43</v>
      </c>
      <c r="E266" s="24">
        <f t="shared" si="61"/>
        <v>54.4</v>
      </c>
      <c r="F266" s="24">
        <f t="shared" si="61"/>
        <v>57</v>
      </c>
      <c r="G266" s="24">
        <f t="shared" si="61"/>
        <v>16.2</v>
      </c>
      <c r="H266" s="24">
        <f t="shared" si="61"/>
        <v>13.8</v>
      </c>
      <c r="I266" s="24">
        <f t="shared" si="61"/>
        <v>31.6</v>
      </c>
      <c r="J266" s="24">
        <f t="shared" si="61"/>
        <v>223.6</v>
      </c>
      <c r="K266" s="24">
        <f t="shared" si="61"/>
        <v>435.8</v>
      </c>
    </row>
    <row r="267" spans="1:11" ht="11.25" customHeight="1">
      <c r="A267" s="99" t="s">
        <v>78</v>
      </c>
      <c r="B267" s="24">
        <f t="shared" ref="B267:K267" si="62">AVERAGE(B15:B19)</f>
        <v>167.4</v>
      </c>
      <c r="C267" s="24">
        <f t="shared" si="62"/>
        <v>63.2</v>
      </c>
      <c r="D267" s="24">
        <f t="shared" si="62"/>
        <v>53.2</v>
      </c>
      <c r="E267" s="24">
        <f t="shared" si="62"/>
        <v>75.400000000000006</v>
      </c>
      <c r="F267" s="24">
        <f t="shared" si="62"/>
        <v>92.4</v>
      </c>
      <c r="G267" s="24">
        <f t="shared" si="62"/>
        <v>24.4</v>
      </c>
      <c r="H267" s="24">
        <f t="shared" si="62"/>
        <v>1.6</v>
      </c>
      <c r="I267" s="24">
        <f t="shared" si="62"/>
        <v>42.8</v>
      </c>
      <c r="J267" s="24">
        <f t="shared" si="62"/>
        <v>308.60000000000002</v>
      </c>
      <c r="K267" s="24">
        <f t="shared" si="62"/>
        <v>520.4</v>
      </c>
    </row>
    <row r="268" spans="1:11" ht="11.25" customHeight="1">
      <c r="A268" s="99" t="s">
        <v>10</v>
      </c>
      <c r="B268" s="24">
        <f>AVERAGE(B20:B24)</f>
        <v>75.2</v>
      </c>
      <c r="C268" s="24">
        <f t="shared" ref="C268:K268" si="63">AVERAGE(C20:C24)</f>
        <v>34.799999999999997</v>
      </c>
      <c r="D268" s="24">
        <f t="shared" si="63"/>
        <v>26.6</v>
      </c>
      <c r="E268" s="24">
        <f t="shared" si="63"/>
        <v>29.4</v>
      </c>
      <c r="F268" s="24">
        <f t="shared" si="63"/>
        <v>63.8</v>
      </c>
      <c r="G268" s="24">
        <f t="shared" si="63"/>
        <v>3.4</v>
      </c>
      <c r="H268" s="24">
        <f t="shared" si="63"/>
        <v>25.5</v>
      </c>
      <c r="I268" s="24">
        <f t="shared" si="63"/>
        <v>26</v>
      </c>
      <c r="J268" s="24">
        <f t="shared" si="63"/>
        <v>158</v>
      </c>
      <c r="K268" s="24">
        <f t="shared" si="63"/>
        <v>269.39999999999998</v>
      </c>
    </row>
    <row r="269" spans="1:11" ht="11.25" customHeight="1">
      <c r="A269" s="99" t="s">
        <v>144</v>
      </c>
      <c r="B269" s="24">
        <f>AVERAGE(B25:B29)</f>
        <v>14.2</v>
      </c>
      <c r="C269" s="24">
        <f t="shared" ref="C269:K269" si="64">AVERAGE(C25:C29)</f>
        <v>12.2</v>
      </c>
      <c r="D269" s="24">
        <f t="shared" si="64"/>
        <v>14.4</v>
      </c>
      <c r="E269" s="24">
        <f t="shared" si="64"/>
        <v>0.6</v>
      </c>
      <c r="F269" s="24">
        <f t="shared" si="64"/>
        <v>24.6</v>
      </c>
      <c r="G269" s="24">
        <f t="shared" si="64"/>
        <v>6</v>
      </c>
      <c r="H269" s="24" t="s">
        <v>23</v>
      </c>
      <c r="I269" s="24">
        <f t="shared" si="64"/>
        <v>2</v>
      </c>
      <c r="J269" s="24">
        <f t="shared" si="64"/>
        <v>57.8</v>
      </c>
      <c r="K269" s="24">
        <f t="shared" si="64"/>
        <v>74</v>
      </c>
    </row>
    <row r="270" spans="1:11" ht="11.25" customHeight="1">
      <c r="A270" s="99" t="s">
        <v>166</v>
      </c>
      <c r="B270" s="24">
        <f>AVERAGE(B30:B34)</f>
        <v>34.200000000000003</v>
      </c>
      <c r="C270" s="24">
        <f>AVERAGE(C30:C34)</f>
        <v>14.6</v>
      </c>
      <c r="D270" s="24">
        <f t="shared" ref="D270:K270" si="65">AVERAGE(D30:D34)</f>
        <v>18</v>
      </c>
      <c r="E270" s="24">
        <f t="shared" si="65"/>
        <v>27.4</v>
      </c>
      <c r="F270" s="24">
        <f t="shared" si="65"/>
        <v>26.8</v>
      </c>
      <c r="G270" s="24">
        <f t="shared" si="65"/>
        <v>10.199999999999999</v>
      </c>
      <c r="H270" s="24" t="str">
        <f>H30</f>
        <v>-</v>
      </c>
      <c r="I270" s="24">
        <f t="shared" si="65"/>
        <v>64.599999999999994</v>
      </c>
      <c r="J270" s="24">
        <f t="shared" si="65"/>
        <v>97</v>
      </c>
      <c r="K270" s="24">
        <f t="shared" si="65"/>
        <v>195.8</v>
      </c>
    </row>
    <row r="271" spans="1:11" ht="11.25" customHeight="1">
      <c r="A271" s="99" t="s">
        <v>315</v>
      </c>
      <c r="B271" s="24">
        <f>AVERAGE(B35:B39)</f>
        <v>96</v>
      </c>
      <c r="C271" s="24">
        <f t="shared" ref="C271:K271" si="66">AVERAGE(C35:C39)</f>
        <v>44.4</v>
      </c>
      <c r="D271" s="24">
        <f t="shared" si="66"/>
        <v>121.8</v>
      </c>
      <c r="E271" s="24">
        <f t="shared" si="66"/>
        <v>49.8</v>
      </c>
      <c r="F271" s="24">
        <f t="shared" si="66"/>
        <v>54.8</v>
      </c>
      <c r="G271" s="24">
        <f t="shared" si="66"/>
        <v>5.6</v>
      </c>
      <c r="H271" s="24" t="str">
        <f>H35</f>
        <v>-</v>
      </c>
      <c r="I271" s="24">
        <f t="shared" si="66"/>
        <v>57.6</v>
      </c>
      <c r="J271" s="24">
        <f t="shared" si="66"/>
        <v>276.39999999999998</v>
      </c>
      <c r="K271" s="24">
        <f t="shared" si="66"/>
        <v>430</v>
      </c>
    </row>
    <row r="272" spans="1:11" ht="11.25" customHeight="1">
      <c r="A272" s="99">
        <v>2011</v>
      </c>
      <c r="B272" s="24">
        <f t="shared" ref="B272:K272" si="67">B40</f>
        <v>303</v>
      </c>
      <c r="C272" s="24">
        <f t="shared" si="67"/>
        <v>68</v>
      </c>
      <c r="D272" s="24">
        <f t="shared" si="67"/>
        <v>51</v>
      </c>
      <c r="E272" s="24">
        <f t="shared" si="67"/>
        <v>7</v>
      </c>
      <c r="F272" s="24">
        <f t="shared" si="67"/>
        <v>1</v>
      </c>
      <c r="G272" s="24">
        <f t="shared" si="67"/>
        <v>0</v>
      </c>
      <c r="H272" s="24" t="str">
        <f t="shared" si="67"/>
        <v>-</v>
      </c>
      <c r="I272" s="24">
        <f t="shared" si="67"/>
        <v>22</v>
      </c>
      <c r="J272" s="24">
        <f t="shared" si="67"/>
        <v>127</v>
      </c>
      <c r="K272" s="24">
        <f t="shared" si="67"/>
        <v>452</v>
      </c>
    </row>
    <row r="273" spans="1:11" ht="11.25" customHeight="1">
      <c r="A273" s="99">
        <v>2012</v>
      </c>
      <c r="B273" s="24">
        <f t="shared" ref="B273:K273" si="68">B41</f>
        <v>182</v>
      </c>
      <c r="C273" s="24">
        <f t="shared" si="68"/>
        <v>75</v>
      </c>
      <c r="D273" s="24">
        <f t="shared" si="68"/>
        <v>78</v>
      </c>
      <c r="E273" s="24">
        <f t="shared" si="68"/>
        <v>67</v>
      </c>
      <c r="F273" s="24">
        <f t="shared" si="68"/>
        <v>16</v>
      </c>
      <c r="G273" s="24">
        <f t="shared" si="68"/>
        <v>8</v>
      </c>
      <c r="H273" s="24" t="str">
        <f t="shared" si="68"/>
        <v>-</v>
      </c>
      <c r="I273" s="24">
        <f t="shared" si="68"/>
        <v>29</v>
      </c>
      <c r="J273" s="24">
        <f t="shared" si="68"/>
        <v>244</v>
      </c>
      <c r="K273" s="24">
        <f t="shared" si="68"/>
        <v>455</v>
      </c>
    </row>
    <row r="274" spans="1:11" ht="11.25" customHeight="1">
      <c r="A274" s="99">
        <v>2013</v>
      </c>
      <c r="B274" s="24">
        <f t="shared" ref="B274:K274" si="69">B42</f>
        <v>270</v>
      </c>
      <c r="C274" s="24">
        <f t="shared" si="69"/>
        <v>141</v>
      </c>
      <c r="D274" s="24">
        <f t="shared" si="69"/>
        <v>74</v>
      </c>
      <c r="E274" s="24">
        <f t="shared" si="69"/>
        <v>64</v>
      </c>
      <c r="F274" s="24">
        <f t="shared" si="69"/>
        <v>46</v>
      </c>
      <c r="G274" s="24">
        <f t="shared" si="69"/>
        <v>13</v>
      </c>
      <c r="H274" s="24" t="str">
        <f t="shared" si="69"/>
        <v>-</v>
      </c>
      <c r="I274" s="24">
        <f t="shared" si="69"/>
        <v>124</v>
      </c>
      <c r="J274" s="24">
        <f t="shared" si="69"/>
        <v>338</v>
      </c>
      <c r="K274" s="24">
        <f t="shared" si="69"/>
        <v>732</v>
      </c>
    </row>
    <row r="275" spans="1:11" ht="11.25" customHeight="1">
      <c r="A275" s="99">
        <v>2014</v>
      </c>
      <c r="B275" s="24">
        <f t="shared" ref="B275:K275" si="70">B43</f>
        <v>419</v>
      </c>
      <c r="C275" s="24">
        <f t="shared" si="70"/>
        <v>45</v>
      </c>
      <c r="D275" s="24">
        <f t="shared" si="70"/>
        <v>167</v>
      </c>
      <c r="E275" s="24">
        <f t="shared" si="70"/>
        <v>6</v>
      </c>
      <c r="F275" s="24">
        <f t="shared" si="70"/>
        <v>6</v>
      </c>
      <c r="G275" s="24">
        <f t="shared" si="70"/>
        <v>6</v>
      </c>
      <c r="H275" s="24" t="str">
        <f t="shared" si="70"/>
        <v>-</v>
      </c>
      <c r="I275" s="24">
        <f t="shared" si="70"/>
        <v>34</v>
      </c>
      <c r="J275" s="24">
        <f t="shared" si="70"/>
        <v>230</v>
      </c>
      <c r="K275" s="24">
        <f t="shared" si="70"/>
        <v>683</v>
      </c>
    </row>
    <row r="276" spans="1:11" ht="11.25" customHeight="1">
      <c r="A276" s="99">
        <v>2015</v>
      </c>
      <c r="B276" s="24">
        <f t="shared" ref="B276:K276" si="71">B44</f>
        <v>384</v>
      </c>
      <c r="C276" s="24">
        <f t="shared" si="71"/>
        <v>255</v>
      </c>
      <c r="D276" s="24">
        <f t="shared" si="71"/>
        <v>173</v>
      </c>
      <c r="E276" s="24">
        <f t="shared" si="71"/>
        <v>4</v>
      </c>
      <c r="F276" s="24">
        <f t="shared" si="71"/>
        <v>40</v>
      </c>
      <c r="G276" s="24">
        <f t="shared" si="71"/>
        <v>28</v>
      </c>
      <c r="H276" s="24" t="str">
        <f t="shared" si="71"/>
        <v>-</v>
      </c>
      <c r="I276" s="24">
        <f t="shared" si="71"/>
        <v>7</v>
      </c>
      <c r="J276" s="24">
        <f t="shared" si="71"/>
        <v>500</v>
      </c>
      <c r="K276" s="24">
        <f t="shared" si="71"/>
        <v>891</v>
      </c>
    </row>
    <row r="277" spans="1:11" ht="11.25" customHeight="1">
      <c r="A277" s="99">
        <v>2016</v>
      </c>
      <c r="B277" s="24">
        <f t="shared" ref="B277:K277" si="72">B45</f>
        <v>35</v>
      </c>
      <c r="C277" s="24">
        <f t="shared" si="72"/>
        <v>167</v>
      </c>
      <c r="D277" s="24">
        <f t="shared" si="72"/>
        <v>40</v>
      </c>
      <c r="E277" s="24">
        <f t="shared" si="72"/>
        <v>22</v>
      </c>
      <c r="F277" s="24">
        <f t="shared" si="72"/>
        <v>27</v>
      </c>
      <c r="G277" s="24">
        <f t="shared" si="72"/>
        <v>2</v>
      </c>
      <c r="H277" s="24" t="str">
        <f t="shared" si="72"/>
        <v>-</v>
      </c>
      <c r="I277" s="24">
        <f t="shared" si="72"/>
        <v>34</v>
      </c>
      <c r="J277" s="24">
        <f t="shared" si="72"/>
        <v>258</v>
      </c>
      <c r="K277" s="24">
        <f t="shared" si="72"/>
        <v>327</v>
      </c>
    </row>
    <row r="278" spans="1:11" ht="11.25" customHeight="1">
      <c r="A278" s="99">
        <v>2017</v>
      </c>
      <c r="B278" s="24">
        <f t="shared" ref="B278:K278" si="73">B46</f>
        <v>149</v>
      </c>
      <c r="C278" s="24">
        <f t="shared" si="73"/>
        <v>9</v>
      </c>
      <c r="D278" s="24">
        <f t="shared" si="73"/>
        <v>57</v>
      </c>
      <c r="E278" s="24">
        <f t="shared" si="73"/>
        <v>19</v>
      </c>
      <c r="F278" s="24">
        <f t="shared" si="73"/>
        <v>22</v>
      </c>
      <c r="G278" s="24">
        <f t="shared" si="73"/>
        <v>25</v>
      </c>
      <c r="H278" s="24" t="str">
        <f t="shared" si="73"/>
        <v>-</v>
      </c>
      <c r="I278" s="24">
        <f t="shared" si="73"/>
        <v>3</v>
      </c>
      <c r="J278" s="24">
        <f t="shared" si="73"/>
        <v>132</v>
      </c>
      <c r="K278" s="24">
        <f t="shared" si="73"/>
        <v>284</v>
      </c>
    </row>
    <row r="279" spans="1:11" ht="11.25" customHeight="1">
      <c r="A279" s="99">
        <v>2018</v>
      </c>
      <c r="B279" s="24">
        <f t="shared" ref="B279:K279" si="74">B47</f>
        <v>93</v>
      </c>
      <c r="C279" s="24">
        <f t="shared" si="74"/>
        <v>73</v>
      </c>
      <c r="D279" s="24">
        <f t="shared" si="74"/>
        <v>114</v>
      </c>
      <c r="E279" s="24">
        <f t="shared" si="74"/>
        <v>86</v>
      </c>
      <c r="F279" s="24">
        <f t="shared" si="74"/>
        <v>21</v>
      </c>
      <c r="G279" s="24">
        <f t="shared" si="74"/>
        <v>22</v>
      </c>
      <c r="H279" s="24" t="str">
        <f t="shared" si="74"/>
        <v>-</v>
      </c>
      <c r="I279" s="24">
        <f t="shared" si="74"/>
        <v>26</v>
      </c>
      <c r="J279" s="24">
        <f t="shared" si="74"/>
        <v>316</v>
      </c>
      <c r="K279" s="24">
        <f t="shared" si="74"/>
        <v>435</v>
      </c>
    </row>
    <row r="280" spans="1:11" ht="11.25" customHeight="1">
      <c r="A280" s="99">
        <v>2019</v>
      </c>
      <c r="B280" s="24">
        <f t="shared" ref="B280:K280" si="75">B48</f>
        <v>100</v>
      </c>
      <c r="C280" s="24">
        <f t="shared" si="75"/>
        <v>49</v>
      </c>
      <c r="D280" s="24">
        <f t="shared" si="75"/>
        <v>33</v>
      </c>
      <c r="E280" s="24">
        <f t="shared" si="75"/>
        <v>28</v>
      </c>
      <c r="F280" s="24">
        <f t="shared" si="75"/>
        <v>5</v>
      </c>
      <c r="G280" s="24">
        <f t="shared" si="75"/>
        <v>2</v>
      </c>
      <c r="H280" s="24" t="str">
        <f t="shared" si="75"/>
        <v>-</v>
      </c>
      <c r="I280" s="24">
        <f t="shared" si="75"/>
        <v>13</v>
      </c>
      <c r="J280" s="24">
        <f t="shared" si="75"/>
        <v>117</v>
      </c>
      <c r="K280" s="24">
        <f t="shared" si="75"/>
        <v>230</v>
      </c>
    </row>
    <row r="281" spans="1:11" ht="11.25" customHeight="1">
      <c r="A281" s="99">
        <v>2020</v>
      </c>
      <c r="B281" s="24">
        <f t="shared" ref="B281:K282" si="76">B49</f>
        <v>68</v>
      </c>
      <c r="C281" s="24">
        <f t="shared" si="76"/>
        <v>0</v>
      </c>
      <c r="D281" s="24">
        <f t="shared" si="76"/>
        <v>0</v>
      </c>
      <c r="E281" s="24">
        <f t="shared" si="76"/>
        <v>10</v>
      </c>
      <c r="F281" s="24">
        <f t="shared" si="76"/>
        <v>14</v>
      </c>
      <c r="G281" s="24">
        <f t="shared" si="76"/>
        <v>1</v>
      </c>
      <c r="H281" s="24" t="str">
        <f t="shared" si="76"/>
        <v>-</v>
      </c>
      <c r="I281" s="24">
        <f t="shared" si="76"/>
        <v>0</v>
      </c>
      <c r="J281" s="24">
        <f t="shared" si="76"/>
        <v>25</v>
      </c>
      <c r="K281" s="24">
        <f t="shared" si="76"/>
        <v>93</v>
      </c>
    </row>
    <row r="282" spans="1:11" ht="11.25" customHeight="1">
      <c r="A282" s="99" t="s">
        <v>317</v>
      </c>
      <c r="B282" s="24">
        <f t="shared" si="76"/>
        <v>18</v>
      </c>
      <c r="C282" s="24">
        <f t="shared" si="76"/>
        <v>21</v>
      </c>
      <c r="D282" s="24">
        <f t="shared" si="76"/>
        <v>84</v>
      </c>
      <c r="E282" s="24">
        <f t="shared" si="76"/>
        <v>116</v>
      </c>
      <c r="F282" s="24">
        <f t="shared" si="76"/>
        <v>19</v>
      </c>
      <c r="G282" s="24">
        <f t="shared" si="76"/>
        <v>3</v>
      </c>
      <c r="H282" s="24" t="str">
        <f t="shared" si="76"/>
        <v>-</v>
      </c>
      <c r="I282" s="24">
        <f t="shared" si="76"/>
        <v>0</v>
      </c>
      <c r="J282" s="24">
        <f t="shared" si="76"/>
        <v>243</v>
      </c>
      <c r="K282" s="24">
        <f t="shared" si="76"/>
        <v>261</v>
      </c>
    </row>
    <row r="283" spans="1:11" ht="9" customHeight="1">
      <c r="B283" s="24"/>
      <c r="C283" s="24"/>
      <c r="D283" s="24"/>
      <c r="E283" s="24"/>
      <c r="F283" s="24"/>
      <c r="G283" s="24"/>
      <c r="H283" s="24"/>
      <c r="I283" s="24"/>
      <c r="J283" s="24"/>
      <c r="K283" s="24"/>
    </row>
    <row r="284" spans="1:11" ht="11.25" customHeight="1">
      <c r="A284" s="94" t="s">
        <v>59</v>
      </c>
      <c r="B284" s="24"/>
      <c r="C284" s="24"/>
      <c r="D284" s="24"/>
      <c r="E284" s="24"/>
      <c r="F284" s="24"/>
      <c r="G284" s="24"/>
      <c r="H284" s="24"/>
      <c r="I284" s="24"/>
      <c r="J284" s="24"/>
      <c r="K284" s="24"/>
    </row>
    <row r="285" spans="1:11" ht="11.25" customHeight="1">
      <c r="A285" s="99" t="s">
        <v>24</v>
      </c>
      <c r="B285" s="24">
        <f t="shared" ref="B285:K285" si="77">AVERAGE(B58:B62)</f>
        <v>0.2</v>
      </c>
      <c r="C285" s="24">
        <f t="shared" si="77"/>
        <v>10.6</v>
      </c>
      <c r="D285" s="24">
        <f t="shared" si="77"/>
        <v>59</v>
      </c>
      <c r="E285" s="24">
        <f t="shared" si="77"/>
        <v>114.6</v>
      </c>
      <c r="F285" s="24">
        <f t="shared" si="77"/>
        <v>139.80000000000001</v>
      </c>
      <c r="G285" s="24">
        <f t="shared" si="77"/>
        <v>99.8</v>
      </c>
      <c r="H285" s="24">
        <f t="shared" si="77"/>
        <v>3.2</v>
      </c>
      <c r="I285" s="24">
        <f t="shared" si="77"/>
        <v>0.2</v>
      </c>
      <c r="J285" s="24">
        <f t="shared" si="77"/>
        <v>423.8</v>
      </c>
      <c r="K285" s="24">
        <f t="shared" si="77"/>
        <v>427.4</v>
      </c>
    </row>
    <row r="286" spans="1:11" ht="11.25" customHeight="1">
      <c r="A286" s="99" t="s">
        <v>78</v>
      </c>
      <c r="B286" s="24">
        <f t="shared" ref="B286:K286" si="78">AVERAGE(B63:B67)</f>
        <v>0.6</v>
      </c>
      <c r="C286" s="24">
        <f t="shared" si="78"/>
        <v>44.2</v>
      </c>
      <c r="D286" s="24">
        <f t="shared" si="78"/>
        <v>51.8</v>
      </c>
      <c r="E286" s="24">
        <f t="shared" si="78"/>
        <v>166.6</v>
      </c>
      <c r="F286" s="24">
        <f t="shared" si="78"/>
        <v>149.19999999999999</v>
      </c>
      <c r="G286" s="24">
        <f t="shared" si="78"/>
        <v>74.599999999999994</v>
      </c>
      <c r="H286" s="24">
        <f t="shared" si="78"/>
        <v>0</v>
      </c>
      <c r="I286" s="24">
        <f t="shared" si="78"/>
        <v>0.2</v>
      </c>
      <c r="J286" s="24">
        <f t="shared" si="78"/>
        <v>486.4</v>
      </c>
      <c r="K286" s="24">
        <f t="shared" si="78"/>
        <v>487.2</v>
      </c>
    </row>
    <row r="287" spans="1:11" ht="11.25" customHeight="1">
      <c r="A287" s="99" t="s">
        <v>10</v>
      </c>
      <c r="B287" s="24">
        <f>AVERAGE(B68:B72)</f>
        <v>0</v>
      </c>
      <c r="C287" s="24">
        <f t="shared" ref="C287:K287" si="79">AVERAGE(C68:C72)</f>
        <v>29.4</v>
      </c>
      <c r="D287" s="24">
        <f t="shared" si="79"/>
        <v>33.6</v>
      </c>
      <c r="E287" s="24">
        <f t="shared" si="79"/>
        <v>82.6</v>
      </c>
      <c r="F287" s="24">
        <f t="shared" si="79"/>
        <v>95.2</v>
      </c>
      <c r="G287" s="24">
        <f t="shared" si="79"/>
        <v>28.4</v>
      </c>
      <c r="H287" s="24">
        <f t="shared" si="79"/>
        <v>0</v>
      </c>
      <c r="I287" s="24">
        <f t="shared" si="79"/>
        <v>1.4</v>
      </c>
      <c r="J287" s="24">
        <f t="shared" si="79"/>
        <v>269.2</v>
      </c>
      <c r="K287" s="24">
        <f t="shared" si="79"/>
        <v>270.60000000000002</v>
      </c>
    </row>
    <row r="288" spans="1:11" ht="11.25" customHeight="1">
      <c r="A288" s="99" t="s">
        <v>144</v>
      </c>
      <c r="B288" s="24">
        <f>AVERAGE(B73:B77)</f>
        <v>0.2</v>
      </c>
      <c r="C288" s="24">
        <f t="shared" ref="C288:K288" si="80">AVERAGE(C73:C77)</f>
        <v>18</v>
      </c>
      <c r="D288" s="24">
        <f t="shared" si="80"/>
        <v>20.399999999999999</v>
      </c>
      <c r="E288" s="24">
        <f t="shared" si="80"/>
        <v>2.4</v>
      </c>
      <c r="F288" s="24">
        <f t="shared" si="80"/>
        <v>52.4</v>
      </c>
      <c r="G288" s="24">
        <f t="shared" si="80"/>
        <v>42.6</v>
      </c>
      <c r="H288" s="24" t="s">
        <v>23</v>
      </c>
      <c r="I288" s="24">
        <f t="shared" si="80"/>
        <v>0.2</v>
      </c>
      <c r="J288" s="24">
        <f t="shared" si="80"/>
        <v>135.80000000000001</v>
      </c>
      <c r="K288" s="24">
        <f t="shared" si="80"/>
        <v>136.19999999999999</v>
      </c>
    </row>
    <row r="289" spans="1:11" ht="11.25" customHeight="1">
      <c r="A289" s="99" t="s">
        <v>166</v>
      </c>
      <c r="B289" s="24">
        <f t="shared" ref="B289:G289" si="81">AVERAGE(B78:B82)</f>
        <v>0.6</v>
      </c>
      <c r="C289" s="24">
        <f t="shared" si="81"/>
        <v>29.6</v>
      </c>
      <c r="D289" s="24">
        <f t="shared" si="81"/>
        <v>46.4</v>
      </c>
      <c r="E289" s="24">
        <f t="shared" si="81"/>
        <v>70.599999999999994</v>
      </c>
      <c r="F289" s="24">
        <f t="shared" si="81"/>
        <v>84</v>
      </c>
      <c r="G289" s="24">
        <f t="shared" si="81"/>
        <v>55.8</v>
      </c>
      <c r="H289" s="24" t="str">
        <f>+H78</f>
        <v>-</v>
      </c>
      <c r="I289" s="24">
        <f>AVERAGE(I78:I82)</f>
        <v>0</v>
      </c>
      <c r="J289" s="24">
        <f>AVERAGE(J78:J82)</f>
        <v>286.39999999999998</v>
      </c>
      <c r="K289" s="24">
        <f>AVERAGE(K78:K82)</f>
        <v>287</v>
      </c>
    </row>
    <row r="290" spans="1:11" ht="11.25" customHeight="1">
      <c r="A290" s="99" t="s">
        <v>315</v>
      </c>
      <c r="B290" s="24">
        <f>AVERAGE(B83:B87)</f>
        <v>0.6</v>
      </c>
      <c r="C290" s="24">
        <f t="shared" ref="C290:K290" si="82">AVERAGE(C83:C87)</f>
        <v>27.2</v>
      </c>
      <c r="D290" s="24">
        <f t="shared" si="82"/>
        <v>94.8</v>
      </c>
      <c r="E290" s="24">
        <f t="shared" si="82"/>
        <v>97.6</v>
      </c>
      <c r="F290" s="24">
        <f t="shared" si="82"/>
        <v>105.8</v>
      </c>
      <c r="G290" s="24">
        <f t="shared" si="82"/>
        <v>44</v>
      </c>
      <c r="H290" s="24" t="str">
        <f>H83</f>
        <v>-</v>
      </c>
      <c r="I290" s="24">
        <f t="shared" si="82"/>
        <v>0.4</v>
      </c>
      <c r="J290" s="24">
        <f t="shared" si="82"/>
        <v>369.4</v>
      </c>
      <c r="K290" s="24">
        <f t="shared" si="82"/>
        <v>370.4</v>
      </c>
    </row>
    <row r="291" spans="1:11" ht="11.25" customHeight="1">
      <c r="A291" s="99">
        <v>2011</v>
      </c>
      <c r="B291" s="24">
        <f t="shared" ref="B291:K291" si="83">+B88</f>
        <v>0</v>
      </c>
      <c r="C291" s="24">
        <f t="shared" si="83"/>
        <v>24</v>
      </c>
      <c r="D291" s="24">
        <f t="shared" si="83"/>
        <v>130</v>
      </c>
      <c r="E291" s="24">
        <f t="shared" si="83"/>
        <v>122</v>
      </c>
      <c r="F291" s="24">
        <f t="shared" si="83"/>
        <v>95</v>
      </c>
      <c r="G291" s="24">
        <f t="shared" si="83"/>
        <v>21</v>
      </c>
      <c r="H291" s="24" t="str">
        <f t="shared" si="83"/>
        <v>-</v>
      </c>
      <c r="I291" s="24">
        <f t="shared" si="83"/>
        <v>0</v>
      </c>
      <c r="J291" s="24">
        <f t="shared" si="83"/>
        <v>392</v>
      </c>
      <c r="K291" s="24">
        <f t="shared" si="83"/>
        <v>392</v>
      </c>
    </row>
    <row r="292" spans="1:11" ht="11.25" customHeight="1">
      <c r="A292" s="99">
        <v>2012</v>
      </c>
      <c r="B292" s="24">
        <f t="shared" ref="B292:K292" si="84">+B89</f>
        <v>0</v>
      </c>
      <c r="C292" s="24">
        <f t="shared" si="84"/>
        <v>56</v>
      </c>
      <c r="D292" s="24">
        <f t="shared" si="84"/>
        <v>175</v>
      </c>
      <c r="E292" s="24">
        <f t="shared" si="84"/>
        <v>134</v>
      </c>
      <c r="F292" s="24">
        <f t="shared" si="84"/>
        <v>190</v>
      </c>
      <c r="G292" s="24">
        <f t="shared" si="84"/>
        <v>94</v>
      </c>
      <c r="H292" s="24" t="str">
        <f t="shared" si="84"/>
        <v>-</v>
      </c>
      <c r="I292" s="24">
        <f t="shared" si="84"/>
        <v>0</v>
      </c>
      <c r="J292" s="24">
        <f t="shared" si="84"/>
        <v>649</v>
      </c>
      <c r="K292" s="24">
        <f t="shared" si="84"/>
        <v>649</v>
      </c>
    </row>
    <row r="293" spans="1:11" ht="11.25" customHeight="1">
      <c r="A293" s="99">
        <v>2013</v>
      </c>
      <c r="B293" s="24">
        <f t="shared" ref="B293:K293" si="85">+B90</f>
        <v>0</v>
      </c>
      <c r="C293" s="24">
        <f t="shared" si="85"/>
        <v>131</v>
      </c>
      <c r="D293" s="24">
        <f t="shared" si="85"/>
        <v>106</v>
      </c>
      <c r="E293" s="24">
        <f t="shared" si="85"/>
        <v>270</v>
      </c>
      <c r="F293" s="24">
        <f t="shared" si="85"/>
        <v>495</v>
      </c>
      <c r="G293" s="24">
        <f t="shared" si="85"/>
        <v>107</v>
      </c>
      <c r="H293" s="24" t="str">
        <f t="shared" si="85"/>
        <v>-</v>
      </c>
      <c r="I293" s="24">
        <f t="shared" si="85"/>
        <v>0</v>
      </c>
      <c r="J293" s="24">
        <f t="shared" si="85"/>
        <v>1109</v>
      </c>
      <c r="K293" s="24">
        <f t="shared" si="85"/>
        <v>1109</v>
      </c>
    </row>
    <row r="294" spans="1:11" ht="11.25" customHeight="1">
      <c r="A294" s="99">
        <v>2014</v>
      </c>
      <c r="B294" s="24">
        <f t="shared" ref="B294:K294" si="86">+B91</f>
        <v>0</v>
      </c>
      <c r="C294" s="24">
        <f t="shared" si="86"/>
        <v>103</v>
      </c>
      <c r="D294" s="24">
        <f t="shared" si="86"/>
        <v>62</v>
      </c>
      <c r="E294" s="24">
        <f t="shared" si="86"/>
        <v>141</v>
      </c>
      <c r="F294" s="24">
        <f t="shared" si="86"/>
        <v>137</v>
      </c>
      <c r="G294" s="24">
        <f t="shared" si="86"/>
        <v>36</v>
      </c>
      <c r="H294" s="24" t="str">
        <f t="shared" si="86"/>
        <v>-</v>
      </c>
      <c r="I294" s="24">
        <f t="shared" si="86"/>
        <v>0</v>
      </c>
      <c r="J294" s="24">
        <f t="shared" si="86"/>
        <v>479</v>
      </c>
      <c r="K294" s="24">
        <f t="shared" si="86"/>
        <v>479</v>
      </c>
    </row>
    <row r="295" spans="1:11" ht="11.25" customHeight="1">
      <c r="A295" s="99">
        <v>2015</v>
      </c>
      <c r="B295" s="24">
        <f t="shared" ref="B295:K295" si="87">+B92</f>
        <v>0</v>
      </c>
      <c r="C295" s="24">
        <f t="shared" si="87"/>
        <v>24</v>
      </c>
      <c r="D295" s="24">
        <f t="shared" si="87"/>
        <v>173</v>
      </c>
      <c r="E295" s="24">
        <f t="shared" si="87"/>
        <v>143</v>
      </c>
      <c r="F295" s="24">
        <f t="shared" si="87"/>
        <v>85</v>
      </c>
      <c r="G295" s="24">
        <f t="shared" si="87"/>
        <v>22</v>
      </c>
      <c r="H295" s="24" t="str">
        <f t="shared" si="87"/>
        <v>-</v>
      </c>
      <c r="I295" s="24">
        <f t="shared" si="87"/>
        <v>0</v>
      </c>
      <c r="J295" s="24">
        <f t="shared" si="87"/>
        <v>447</v>
      </c>
      <c r="K295" s="24">
        <f t="shared" si="87"/>
        <v>447</v>
      </c>
    </row>
    <row r="296" spans="1:11" ht="11.25" customHeight="1">
      <c r="A296" s="99">
        <v>2016</v>
      </c>
      <c r="B296" s="24">
        <f t="shared" ref="B296:K296" si="88">+B93</f>
        <v>0</v>
      </c>
      <c r="C296" s="24">
        <f t="shared" si="88"/>
        <v>12</v>
      </c>
      <c r="D296" s="24">
        <f t="shared" si="88"/>
        <v>171</v>
      </c>
      <c r="E296" s="24">
        <f t="shared" si="88"/>
        <v>105</v>
      </c>
      <c r="F296" s="24">
        <f t="shared" si="88"/>
        <v>57</v>
      </c>
      <c r="G296" s="24">
        <f t="shared" si="88"/>
        <v>0</v>
      </c>
      <c r="H296" s="24" t="str">
        <f t="shared" si="88"/>
        <v>-</v>
      </c>
      <c r="I296" s="24">
        <f t="shared" si="88"/>
        <v>0</v>
      </c>
      <c r="J296" s="24">
        <f t="shared" si="88"/>
        <v>345</v>
      </c>
      <c r="K296" s="24">
        <f t="shared" si="88"/>
        <v>345</v>
      </c>
    </row>
    <row r="297" spans="1:11" ht="11.25" customHeight="1">
      <c r="A297" s="99">
        <v>2017</v>
      </c>
      <c r="B297" s="24">
        <f t="shared" ref="B297:K297" si="89">+B94</f>
        <v>0</v>
      </c>
      <c r="C297" s="24">
        <f t="shared" si="89"/>
        <v>15</v>
      </c>
      <c r="D297" s="24">
        <f t="shared" si="89"/>
        <v>29</v>
      </c>
      <c r="E297" s="24">
        <f t="shared" si="89"/>
        <v>293</v>
      </c>
      <c r="F297" s="24">
        <f t="shared" si="89"/>
        <v>320</v>
      </c>
      <c r="G297" s="24">
        <f t="shared" si="89"/>
        <v>139</v>
      </c>
      <c r="H297" s="24" t="str">
        <f t="shared" si="89"/>
        <v>-</v>
      </c>
      <c r="I297" s="24">
        <f t="shared" si="89"/>
        <v>0</v>
      </c>
      <c r="J297" s="24">
        <f t="shared" si="89"/>
        <v>796</v>
      </c>
      <c r="K297" s="24">
        <f t="shared" si="89"/>
        <v>796</v>
      </c>
    </row>
    <row r="298" spans="1:11" ht="11.25" customHeight="1">
      <c r="A298" s="99">
        <v>2018</v>
      </c>
      <c r="B298" s="24">
        <f t="shared" ref="B298:K298" si="90">+B95</f>
        <v>0</v>
      </c>
      <c r="C298" s="24">
        <f t="shared" si="90"/>
        <v>21</v>
      </c>
      <c r="D298" s="24">
        <f t="shared" si="90"/>
        <v>133</v>
      </c>
      <c r="E298" s="24">
        <f t="shared" si="90"/>
        <v>185</v>
      </c>
      <c r="F298" s="24">
        <f t="shared" si="90"/>
        <v>108</v>
      </c>
      <c r="G298" s="24">
        <f t="shared" si="90"/>
        <v>80</v>
      </c>
      <c r="H298" s="24" t="str">
        <f t="shared" si="90"/>
        <v>-</v>
      </c>
      <c r="I298" s="24">
        <f t="shared" si="90"/>
        <v>0</v>
      </c>
      <c r="J298" s="24">
        <f t="shared" si="90"/>
        <v>527</v>
      </c>
      <c r="K298" s="24">
        <f t="shared" si="90"/>
        <v>527</v>
      </c>
    </row>
    <row r="299" spans="1:11" ht="11.25" customHeight="1">
      <c r="A299" s="99">
        <v>2019</v>
      </c>
      <c r="B299" s="24">
        <f t="shared" ref="B299:K299" si="91">+B96</f>
        <v>0</v>
      </c>
      <c r="C299" s="24">
        <f t="shared" si="91"/>
        <v>11</v>
      </c>
      <c r="D299" s="24">
        <f t="shared" si="91"/>
        <v>36</v>
      </c>
      <c r="E299" s="24">
        <f t="shared" si="91"/>
        <v>327</v>
      </c>
      <c r="F299" s="24">
        <f t="shared" si="91"/>
        <v>255</v>
      </c>
      <c r="G299" s="24">
        <f t="shared" si="91"/>
        <v>105</v>
      </c>
      <c r="H299" s="24" t="str">
        <f t="shared" si="91"/>
        <v>-</v>
      </c>
      <c r="I299" s="24">
        <f t="shared" si="91"/>
        <v>0</v>
      </c>
      <c r="J299" s="24">
        <f t="shared" si="91"/>
        <v>734</v>
      </c>
      <c r="K299" s="24">
        <f t="shared" si="91"/>
        <v>734</v>
      </c>
    </row>
    <row r="300" spans="1:11" ht="11.25" customHeight="1">
      <c r="A300" s="99">
        <v>2020</v>
      </c>
      <c r="B300" s="24">
        <f t="shared" ref="B300:K301" si="92">+B97</f>
        <v>0</v>
      </c>
      <c r="C300" s="24">
        <f t="shared" si="92"/>
        <v>0</v>
      </c>
      <c r="D300" s="24">
        <f t="shared" si="92"/>
        <v>0</v>
      </c>
      <c r="E300" s="24">
        <f t="shared" si="92"/>
        <v>13</v>
      </c>
      <c r="F300" s="24">
        <f t="shared" si="92"/>
        <v>101</v>
      </c>
      <c r="G300" s="24">
        <f t="shared" si="92"/>
        <v>27</v>
      </c>
      <c r="H300" s="24" t="str">
        <f t="shared" si="92"/>
        <v>-</v>
      </c>
      <c r="I300" s="24">
        <f t="shared" si="92"/>
        <v>0</v>
      </c>
      <c r="J300" s="24">
        <f t="shared" si="92"/>
        <v>141</v>
      </c>
      <c r="K300" s="24">
        <f t="shared" si="92"/>
        <v>141</v>
      </c>
    </row>
    <row r="301" spans="1:11" ht="11.25" customHeight="1">
      <c r="A301" s="99" t="s">
        <v>317</v>
      </c>
      <c r="B301" s="24">
        <f t="shared" si="92"/>
        <v>0</v>
      </c>
      <c r="C301" s="24">
        <f t="shared" si="92"/>
        <v>3</v>
      </c>
      <c r="D301" s="24">
        <f t="shared" si="92"/>
        <v>12</v>
      </c>
      <c r="E301" s="24">
        <f t="shared" si="92"/>
        <v>14</v>
      </c>
      <c r="F301" s="24">
        <f t="shared" si="92"/>
        <v>69</v>
      </c>
      <c r="G301" s="24">
        <f t="shared" si="92"/>
        <v>63</v>
      </c>
      <c r="H301" s="24" t="str">
        <f t="shared" si="92"/>
        <v>-</v>
      </c>
      <c r="I301" s="24">
        <f t="shared" si="92"/>
        <v>0</v>
      </c>
      <c r="J301" s="24">
        <f t="shared" si="92"/>
        <v>161</v>
      </c>
      <c r="K301" s="24">
        <f t="shared" si="92"/>
        <v>161</v>
      </c>
    </row>
    <row r="302" spans="1:11" ht="12" customHeight="1">
      <c r="B302" s="24"/>
      <c r="C302" s="24"/>
      <c r="D302" s="24"/>
      <c r="E302" s="24"/>
      <c r="F302" s="24"/>
      <c r="G302" s="24"/>
      <c r="H302" s="24"/>
      <c r="I302" s="24"/>
      <c r="J302" s="24"/>
      <c r="K302" s="24"/>
    </row>
    <row r="303" spans="1:11" ht="12" customHeight="1">
      <c r="A303" s="94" t="s">
        <v>221</v>
      </c>
      <c r="B303" s="24"/>
      <c r="C303" s="24"/>
      <c r="D303" s="24"/>
      <c r="E303" s="24"/>
      <c r="F303" s="24"/>
      <c r="G303" s="24"/>
      <c r="H303" s="24"/>
      <c r="I303" s="24"/>
      <c r="J303" s="24"/>
      <c r="K303" s="24"/>
    </row>
    <row r="304" spans="1:11" ht="11.25" customHeight="1">
      <c r="A304" s="99" t="s">
        <v>24</v>
      </c>
      <c r="B304" s="24">
        <f t="shared" ref="B304:K304" si="93">AVERAGE(B106:B110)</f>
        <v>0</v>
      </c>
      <c r="C304" s="24">
        <f t="shared" si="93"/>
        <v>9.8000000000000007</v>
      </c>
      <c r="D304" s="24">
        <f t="shared" si="93"/>
        <v>26.2</v>
      </c>
      <c r="E304" s="24">
        <f t="shared" si="93"/>
        <v>85.6</v>
      </c>
      <c r="F304" s="24">
        <f t="shared" si="93"/>
        <v>93.2</v>
      </c>
      <c r="G304" s="24">
        <f t="shared" si="93"/>
        <v>28.6</v>
      </c>
      <c r="H304" s="24">
        <f t="shared" si="93"/>
        <v>0</v>
      </c>
      <c r="I304" s="24">
        <f t="shared" si="93"/>
        <v>0</v>
      </c>
      <c r="J304" s="24">
        <f t="shared" si="93"/>
        <v>243.4</v>
      </c>
      <c r="K304" s="24">
        <f t="shared" si="93"/>
        <v>243.4</v>
      </c>
    </row>
    <row r="305" spans="1:11" ht="11.25" customHeight="1">
      <c r="A305" s="99" t="s">
        <v>78</v>
      </c>
      <c r="B305" s="24">
        <f t="shared" ref="B305:K305" si="94">AVERAGE(B111:B115)</f>
        <v>0</v>
      </c>
      <c r="C305" s="24">
        <f t="shared" si="94"/>
        <v>21</v>
      </c>
      <c r="D305" s="24">
        <f t="shared" si="94"/>
        <v>38.799999999999997</v>
      </c>
      <c r="E305" s="24">
        <f t="shared" si="94"/>
        <v>119</v>
      </c>
      <c r="F305" s="24">
        <f t="shared" si="94"/>
        <v>150.19999999999999</v>
      </c>
      <c r="G305" s="24">
        <f t="shared" si="94"/>
        <v>37.200000000000003</v>
      </c>
      <c r="H305" s="24" t="s">
        <v>23</v>
      </c>
      <c r="I305" s="24" t="s">
        <v>23</v>
      </c>
      <c r="J305" s="24">
        <f t="shared" si="94"/>
        <v>366.2</v>
      </c>
      <c r="K305" s="24">
        <f t="shared" si="94"/>
        <v>366.2</v>
      </c>
    </row>
    <row r="306" spans="1:11" ht="11.25" customHeight="1">
      <c r="A306" s="99" t="s">
        <v>10</v>
      </c>
      <c r="B306" s="24">
        <f>AVERAGE(B116:B120)</f>
        <v>0</v>
      </c>
      <c r="C306" s="24">
        <f t="shared" ref="C306:K306" si="95">AVERAGE(C116:C120)</f>
        <v>3.4</v>
      </c>
      <c r="D306" s="24">
        <f t="shared" si="95"/>
        <v>7</v>
      </c>
      <c r="E306" s="24">
        <f t="shared" si="95"/>
        <v>44.2</v>
      </c>
      <c r="F306" s="24">
        <f t="shared" si="95"/>
        <v>99.8</v>
      </c>
      <c r="G306" s="24">
        <f t="shared" si="95"/>
        <v>5.4</v>
      </c>
      <c r="H306" s="24" t="s">
        <v>23</v>
      </c>
      <c r="I306" s="24" t="s">
        <v>23</v>
      </c>
      <c r="J306" s="24">
        <f t="shared" si="95"/>
        <v>159.80000000000001</v>
      </c>
      <c r="K306" s="24">
        <f t="shared" si="95"/>
        <v>159.80000000000001</v>
      </c>
    </row>
    <row r="307" spans="1:11" ht="11.25" customHeight="1">
      <c r="A307" s="99" t="s">
        <v>144</v>
      </c>
      <c r="B307" s="24">
        <f>AVERAGE(B121:B125)</f>
        <v>0</v>
      </c>
      <c r="C307" s="24">
        <f t="shared" ref="C307:K307" si="96">AVERAGE(C121:C125)</f>
        <v>0</v>
      </c>
      <c r="D307" s="24">
        <f t="shared" si="96"/>
        <v>0.8</v>
      </c>
      <c r="E307" s="24">
        <f t="shared" si="96"/>
        <v>0</v>
      </c>
      <c r="F307" s="24">
        <f t="shared" si="96"/>
        <v>3.4</v>
      </c>
      <c r="G307" s="24">
        <f t="shared" si="96"/>
        <v>2</v>
      </c>
      <c r="H307" s="24" t="s">
        <v>23</v>
      </c>
      <c r="I307" s="24" t="s">
        <v>23</v>
      </c>
      <c r="J307" s="24">
        <f t="shared" si="96"/>
        <v>6.2</v>
      </c>
      <c r="K307" s="24">
        <f t="shared" si="96"/>
        <v>6.2</v>
      </c>
    </row>
    <row r="308" spans="1:11" ht="11.25" customHeight="1">
      <c r="A308" s="99" t="s">
        <v>166</v>
      </c>
      <c r="B308" s="24">
        <f>AVERAGE(B126:B130)</f>
        <v>0</v>
      </c>
      <c r="C308" s="24">
        <f>AVERAGE(C126:C130)</f>
        <v>0.2</v>
      </c>
      <c r="D308" s="24">
        <f t="shared" ref="D308:K308" si="97">AVERAGE(D126:D130)</f>
        <v>0.4</v>
      </c>
      <c r="E308" s="24">
        <f t="shared" si="97"/>
        <v>1.2</v>
      </c>
      <c r="F308" s="24">
        <f t="shared" si="97"/>
        <v>1.4</v>
      </c>
      <c r="G308" s="24">
        <f t="shared" si="97"/>
        <v>0.6</v>
      </c>
      <c r="H308" s="24">
        <f t="shared" si="97"/>
        <v>10</v>
      </c>
      <c r="I308" s="24" t="s">
        <v>23</v>
      </c>
      <c r="J308" s="24">
        <f t="shared" si="97"/>
        <v>3.8</v>
      </c>
      <c r="K308" s="24">
        <f t="shared" si="97"/>
        <v>11.8</v>
      </c>
    </row>
    <row r="309" spans="1:11" ht="11.25" customHeight="1">
      <c r="A309" s="99" t="s">
        <v>315</v>
      </c>
      <c r="B309" s="24">
        <f>AVERAGE(B131:B135)</f>
        <v>0</v>
      </c>
      <c r="C309" s="24">
        <f t="shared" ref="C309:K309" si="98">AVERAGE(C131:C135)</f>
        <v>2.2000000000000002</v>
      </c>
      <c r="D309" s="24">
        <f t="shared" si="98"/>
        <v>10.4</v>
      </c>
      <c r="E309" s="24">
        <f t="shared" si="98"/>
        <v>7.4</v>
      </c>
      <c r="F309" s="24">
        <f t="shared" si="98"/>
        <v>9.6</v>
      </c>
      <c r="G309" s="24">
        <f t="shared" si="98"/>
        <v>1.6</v>
      </c>
      <c r="H309" s="24">
        <f t="shared" si="98"/>
        <v>2.8</v>
      </c>
      <c r="I309" s="24" t="str">
        <f>I131</f>
        <v>-</v>
      </c>
      <c r="J309" s="24">
        <f t="shared" si="98"/>
        <v>31.2</v>
      </c>
      <c r="K309" s="24">
        <f t="shared" si="98"/>
        <v>34</v>
      </c>
    </row>
    <row r="310" spans="1:11" ht="11.25" customHeight="1">
      <c r="A310" s="99">
        <v>2011</v>
      </c>
      <c r="B310" s="24">
        <f t="shared" ref="B310:K310" si="99">+B136</f>
        <v>0</v>
      </c>
      <c r="C310" s="24">
        <f t="shared" si="99"/>
        <v>0</v>
      </c>
      <c r="D310" s="24">
        <f t="shared" si="99"/>
        <v>3</v>
      </c>
      <c r="E310" s="24">
        <f t="shared" si="99"/>
        <v>0</v>
      </c>
      <c r="F310" s="24">
        <f t="shared" si="99"/>
        <v>3</v>
      </c>
      <c r="G310" s="24">
        <f t="shared" si="99"/>
        <v>2</v>
      </c>
      <c r="H310" s="24">
        <f t="shared" si="99"/>
        <v>1</v>
      </c>
      <c r="I310" s="24" t="str">
        <f t="shared" si="99"/>
        <v>-</v>
      </c>
      <c r="J310" s="24">
        <f t="shared" si="99"/>
        <v>8</v>
      </c>
      <c r="K310" s="24">
        <f t="shared" si="99"/>
        <v>9</v>
      </c>
    </row>
    <row r="311" spans="1:11" ht="11.25" customHeight="1">
      <c r="A311" s="99">
        <v>2012</v>
      </c>
      <c r="B311" s="24">
        <f t="shared" ref="B311:K311" si="100">+B137</f>
        <v>0</v>
      </c>
      <c r="C311" s="24">
        <f t="shared" si="100"/>
        <v>8</v>
      </c>
      <c r="D311" s="24">
        <f t="shared" si="100"/>
        <v>3</v>
      </c>
      <c r="E311" s="24">
        <f t="shared" si="100"/>
        <v>5</v>
      </c>
      <c r="F311" s="24">
        <f t="shared" si="100"/>
        <v>12</v>
      </c>
      <c r="G311" s="24">
        <f t="shared" si="100"/>
        <v>2</v>
      </c>
      <c r="H311" s="24">
        <f t="shared" si="100"/>
        <v>4</v>
      </c>
      <c r="I311" s="24" t="str">
        <f t="shared" si="100"/>
        <v>-</v>
      </c>
      <c r="J311" s="24">
        <f t="shared" si="100"/>
        <v>30</v>
      </c>
      <c r="K311" s="24">
        <f t="shared" si="100"/>
        <v>34</v>
      </c>
    </row>
    <row r="312" spans="1:11" ht="11.25" customHeight="1">
      <c r="A312" s="99">
        <v>2013</v>
      </c>
      <c r="B312" s="24">
        <f t="shared" ref="B312:K312" si="101">+B138</f>
        <v>0</v>
      </c>
      <c r="C312" s="24">
        <f t="shared" si="101"/>
        <v>6</v>
      </c>
      <c r="D312" s="24">
        <f t="shared" si="101"/>
        <v>18</v>
      </c>
      <c r="E312" s="24">
        <f t="shared" si="101"/>
        <v>30</v>
      </c>
      <c r="F312" s="24">
        <f t="shared" si="101"/>
        <v>13</v>
      </c>
      <c r="G312" s="24">
        <f t="shared" si="101"/>
        <v>35</v>
      </c>
      <c r="H312" s="24">
        <f t="shared" si="101"/>
        <v>0</v>
      </c>
      <c r="I312" s="24" t="str">
        <f t="shared" si="101"/>
        <v>-</v>
      </c>
      <c r="J312" s="24">
        <f t="shared" si="101"/>
        <v>102</v>
      </c>
      <c r="K312" s="24">
        <f t="shared" si="101"/>
        <v>102</v>
      </c>
    </row>
    <row r="313" spans="1:11" ht="11.25" customHeight="1">
      <c r="A313" s="99">
        <v>2014</v>
      </c>
      <c r="B313" s="24">
        <f t="shared" ref="B313:K313" si="102">+B139</f>
        <v>0</v>
      </c>
      <c r="C313" s="24">
        <f t="shared" si="102"/>
        <v>41</v>
      </c>
      <c r="D313" s="24">
        <f t="shared" si="102"/>
        <v>61</v>
      </c>
      <c r="E313" s="24">
        <f t="shared" si="102"/>
        <v>304</v>
      </c>
      <c r="F313" s="24">
        <f t="shared" si="102"/>
        <v>253</v>
      </c>
      <c r="G313" s="24">
        <f t="shared" si="102"/>
        <v>82</v>
      </c>
      <c r="H313" s="24">
        <f t="shared" si="102"/>
        <v>0</v>
      </c>
      <c r="I313" s="24" t="str">
        <f t="shared" si="102"/>
        <v>-</v>
      </c>
      <c r="J313" s="24">
        <f t="shared" si="102"/>
        <v>741</v>
      </c>
      <c r="K313" s="24">
        <f t="shared" si="102"/>
        <v>741</v>
      </c>
    </row>
    <row r="314" spans="1:11" ht="11.25" customHeight="1">
      <c r="A314" s="99">
        <v>2015</v>
      </c>
      <c r="B314" s="24">
        <f t="shared" ref="B314:K314" si="103">+B140</f>
        <v>0</v>
      </c>
      <c r="C314" s="24">
        <f t="shared" si="103"/>
        <v>38</v>
      </c>
      <c r="D314" s="24">
        <f t="shared" si="103"/>
        <v>23</v>
      </c>
      <c r="E314" s="24">
        <f t="shared" si="103"/>
        <v>205</v>
      </c>
      <c r="F314" s="24">
        <f t="shared" si="103"/>
        <v>115</v>
      </c>
      <c r="G314" s="24">
        <f t="shared" si="103"/>
        <v>54</v>
      </c>
      <c r="H314" s="24">
        <f t="shared" si="103"/>
        <v>0</v>
      </c>
      <c r="I314" s="24" t="str">
        <f t="shared" si="103"/>
        <v>-</v>
      </c>
      <c r="J314" s="24">
        <f t="shared" si="103"/>
        <v>435</v>
      </c>
      <c r="K314" s="24">
        <f t="shared" si="103"/>
        <v>435</v>
      </c>
    </row>
    <row r="315" spans="1:11" ht="11.25" customHeight="1">
      <c r="A315" s="99">
        <v>2016</v>
      </c>
      <c r="B315" s="24">
        <f t="shared" ref="B315:K315" si="104">+B141</f>
        <v>0</v>
      </c>
      <c r="C315" s="24">
        <f t="shared" si="104"/>
        <v>21</v>
      </c>
      <c r="D315" s="24">
        <f t="shared" si="104"/>
        <v>15</v>
      </c>
      <c r="E315" s="24">
        <f t="shared" si="104"/>
        <v>4</v>
      </c>
      <c r="F315" s="24">
        <f t="shared" si="104"/>
        <v>1</v>
      </c>
      <c r="G315" s="24">
        <f t="shared" si="104"/>
        <v>0</v>
      </c>
      <c r="H315" s="24">
        <f t="shared" si="104"/>
        <v>0</v>
      </c>
      <c r="I315" s="24" t="str">
        <f t="shared" si="104"/>
        <v>-</v>
      </c>
      <c r="J315" s="24">
        <f t="shared" si="104"/>
        <v>41</v>
      </c>
      <c r="K315" s="24">
        <f t="shared" si="104"/>
        <v>41</v>
      </c>
    </row>
    <row r="316" spans="1:11" ht="11.25" customHeight="1">
      <c r="A316" s="99">
        <v>2017</v>
      </c>
      <c r="B316" s="24">
        <f t="shared" ref="B316:K316" si="105">+B142</f>
        <v>0</v>
      </c>
      <c r="C316" s="24">
        <f t="shared" si="105"/>
        <v>0</v>
      </c>
      <c r="D316" s="24">
        <f t="shared" si="105"/>
        <v>1</v>
      </c>
      <c r="E316" s="24">
        <f t="shared" si="105"/>
        <v>2</v>
      </c>
      <c r="F316" s="24">
        <f t="shared" si="105"/>
        <v>3</v>
      </c>
      <c r="G316" s="24">
        <f t="shared" si="105"/>
        <v>2</v>
      </c>
      <c r="H316" s="24">
        <f t="shared" si="105"/>
        <v>0</v>
      </c>
      <c r="I316" s="24" t="str">
        <f t="shared" si="105"/>
        <v>-</v>
      </c>
      <c r="J316" s="24">
        <f t="shared" si="105"/>
        <v>8</v>
      </c>
      <c r="K316" s="24">
        <f t="shared" si="105"/>
        <v>8</v>
      </c>
    </row>
    <row r="317" spans="1:11" ht="11.25" customHeight="1">
      <c r="A317" s="99">
        <v>2018</v>
      </c>
      <c r="B317" s="24">
        <f t="shared" ref="B317:K317" si="106">+B143</f>
        <v>0</v>
      </c>
      <c r="C317" s="24">
        <f t="shared" si="106"/>
        <v>0</v>
      </c>
      <c r="D317" s="24">
        <f t="shared" si="106"/>
        <v>1</v>
      </c>
      <c r="E317" s="24">
        <f t="shared" si="106"/>
        <v>0</v>
      </c>
      <c r="F317" s="24">
        <f t="shared" si="106"/>
        <v>0</v>
      </c>
      <c r="G317" s="24">
        <f t="shared" si="106"/>
        <v>3</v>
      </c>
      <c r="H317" s="24">
        <f t="shared" si="106"/>
        <v>0</v>
      </c>
      <c r="I317" s="24" t="str">
        <f t="shared" si="106"/>
        <v>-</v>
      </c>
      <c r="J317" s="24">
        <f t="shared" si="106"/>
        <v>4</v>
      </c>
      <c r="K317" s="24">
        <f t="shared" si="106"/>
        <v>4</v>
      </c>
    </row>
    <row r="318" spans="1:11" ht="11.25" customHeight="1">
      <c r="A318" s="99">
        <v>2019</v>
      </c>
      <c r="B318" s="24">
        <f t="shared" ref="B318:K318" si="107">+B144</f>
        <v>0</v>
      </c>
      <c r="C318" s="24">
        <f t="shared" si="107"/>
        <v>0</v>
      </c>
      <c r="D318" s="24">
        <f t="shared" si="107"/>
        <v>0</v>
      </c>
      <c r="E318" s="24">
        <f t="shared" si="107"/>
        <v>0</v>
      </c>
      <c r="F318" s="24">
        <f t="shared" si="107"/>
        <v>2</v>
      </c>
      <c r="G318" s="24">
        <f t="shared" si="107"/>
        <v>5</v>
      </c>
      <c r="H318" s="24">
        <f t="shared" si="107"/>
        <v>0</v>
      </c>
      <c r="I318" s="24" t="str">
        <f t="shared" si="107"/>
        <v>-</v>
      </c>
      <c r="J318" s="24">
        <f t="shared" si="107"/>
        <v>7</v>
      </c>
      <c r="K318" s="24">
        <f t="shared" si="107"/>
        <v>7</v>
      </c>
    </row>
    <row r="319" spans="1:11" ht="11.25" customHeight="1">
      <c r="A319" s="99">
        <v>2020</v>
      </c>
      <c r="B319" s="24">
        <f t="shared" ref="B319:K320" si="108">+B145</f>
        <v>0</v>
      </c>
      <c r="C319" s="24">
        <f t="shared" si="108"/>
        <v>0</v>
      </c>
      <c r="D319" s="24">
        <f t="shared" si="108"/>
        <v>0</v>
      </c>
      <c r="E319" s="24">
        <f t="shared" si="108"/>
        <v>0</v>
      </c>
      <c r="F319" s="24">
        <f t="shared" si="108"/>
        <v>1</v>
      </c>
      <c r="G319" s="24">
        <f t="shared" si="108"/>
        <v>0</v>
      </c>
      <c r="H319" s="24">
        <f t="shared" si="108"/>
        <v>0</v>
      </c>
      <c r="I319" s="24" t="str">
        <f t="shared" si="108"/>
        <v>-</v>
      </c>
      <c r="J319" s="24">
        <f t="shared" si="108"/>
        <v>1</v>
      </c>
      <c r="K319" s="24">
        <f t="shared" si="108"/>
        <v>1</v>
      </c>
    </row>
    <row r="320" spans="1:11" ht="11.25" customHeight="1">
      <c r="A320" s="99" t="s">
        <v>317</v>
      </c>
      <c r="B320" s="24">
        <f t="shared" si="108"/>
        <v>0</v>
      </c>
      <c r="C320" s="24">
        <f t="shared" si="108"/>
        <v>0</v>
      </c>
      <c r="D320" s="24">
        <f t="shared" si="108"/>
        <v>0</v>
      </c>
      <c r="E320" s="24">
        <f t="shared" si="108"/>
        <v>4</v>
      </c>
      <c r="F320" s="24">
        <f t="shared" si="108"/>
        <v>8</v>
      </c>
      <c r="G320" s="24">
        <f t="shared" si="108"/>
        <v>0</v>
      </c>
      <c r="H320" s="24">
        <f t="shared" si="108"/>
        <v>0</v>
      </c>
      <c r="I320" s="24" t="str">
        <f t="shared" si="108"/>
        <v>-</v>
      </c>
      <c r="J320" s="24">
        <f t="shared" si="108"/>
        <v>12</v>
      </c>
      <c r="K320" s="24">
        <f t="shared" si="108"/>
        <v>12</v>
      </c>
    </row>
    <row r="321" spans="1:11" ht="11.25" customHeight="1">
      <c r="B321" s="24"/>
      <c r="C321" s="24"/>
      <c r="D321" s="24"/>
      <c r="E321" s="24"/>
      <c r="F321" s="24"/>
      <c r="G321" s="24"/>
      <c r="H321" s="24"/>
      <c r="I321" s="24"/>
      <c r="J321" s="24"/>
      <c r="K321" s="24"/>
    </row>
    <row r="322" spans="1:11" ht="21" customHeight="1">
      <c r="A322" s="279" t="s">
        <v>306</v>
      </c>
      <c r="B322" s="279"/>
      <c r="C322" s="279"/>
      <c r="D322" s="279"/>
      <c r="E322" s="279"/>
      <c r="F322" s="279"/>
      <c r="G322" s="279"/>
      <c r="H322" s="279"/>
      <c r="I322" s="279"/>
      <c r="J322" s="279"/>
      <c r="K322" s="279"/>
    </row>
    <row r="323" spans="1:11" ht="11.25" customHeight="1">
      <c r="A323" s="342" t="s">
        <v>27</v>
      </c>
      <c r="B323" s="14"/>
      <c r="C323" s="14"/>
      <c r="D323" s="14"/>
      <c r="E323" s="14"/>
      <c r="F323" s="14"/>
      <c r="G323" s="14"/>
      <c r="H323" s="14"/>
      <c r="I323" s="14"/>
      <c r="J323" s="284" t="s">
        <v>55</v>
      </c>
      <c r="K323" s="284"/>
    </row>
    <row r="324" spans="1:11" ht="11.25" customHeight="1">
      <c r="A324" s="279"/>
      <c r="B324" s="225" t="s">
        <v>65</v>
      </c>
      <c r="C324" s="225" t="s">
        <v>29</v>
      </c>
      <c r="D324" s="225" t="s">
        <v>30</v>
      </c>
      <c r="E324" s="225" t="s">
        <v>31</v>
      </c>
      <c r="F324" s="225" t="s">
        <v>32</v>
      </c>
      <c r="G324" s="225" t="s">
        <v>33</v>
      </c>
      <c r="H324" s="130" t="s">
        <v>34</v>
      </c>
      <c r="I324" s="225" t="s">
        <v>67</v>
      </c>
      <c r="J324" s="225" t="s">
        <v>68</v>
      </c>
      <c r="K324" s="225" t="s">
        <v>46</v>
      </c>
    </row>
    <row r="325" spans="1:11" ht="11.25" customHeight="1">
      <c r="A325" s="94" t="s">
        <v>58</v>
      </c>
      <c r="B325" s="24"/>
      <c r="C325" s="24"/>
      <c r="D325" s="24"/>
      <c r="E325" s="24"/>
      <c r="F325" s="24"/>
      <c r="G325" s="24"/>
      <c r="H325" s="24"/>
      <c r="I325" s="24"/>
      <c r="J325" s="24"/>
      <c r="K325" s="24"/>
    </row>
    <row r="326" spans="1:11" ht="11.25" customHeight="1">
      <c r="A326" s="99" t="s">
        <v>24</v>
      </c>
      <c r="B326" s="24">
        <f t="shared" ref="B326:K326" si="109">AVERAGE(B154:B158)</f>
        <v>0</v>
      </c>
      <c r="C326" s="24">
        <f t="shared" si="109"/>
        <v>5.6</v>
      </c>
      <c r="D326" s="24">
        <f t="shared" si="109"/>
        <v>12.4</v>
      </c>
      <c r="E326" s="24">
        <f t="shared" si="109"/>
        <v>29.8</v>
      </c>
      <c r="F326" s="24">
        <f t="shared" si="109"/>
        <v>22.8</v>
      </c>
      <c r="G326" s="24">
        <f t="shared" si="109"/>
        <v>1.6</v>
      </c>
      <c r="H326" s="24">
        <f t="shared" si="109"/>
        <v>0</v>
      </c>
      <c r="I326" s="24">
        <f t="shared" si="109"/>
        <v>0</v>
      </c>
      <c r="J326" s="24">
        <f t="shared" si="109"/>
        <v>72.2</v>
      </c>
      <c r="K326" s="24">
        <f t="shared" si="109"/>
        <v>72.2</v>
      </c>
    </row>
    <row r="327" spans="1:11" ht="11.25" customHeight="1">
      <c r="A327" s="99" t="s">
        <v>78</v>
      </c>
      <c r="B327" s="24">
        <f t="shared" ref="B327:K327" si="110">AVERAGE(B159:B163)</f>
        <v>0</v>
      </c>
      <c r="C327" s="24">
        <f t="shared" si="110"/>
        <v>9.6</v>
      </c>
      <c r="D327" s="24">
        <f t="shared" si="110"/>
        <v>23.8</v>
      </c>
      <c r="E327" s="24">
        <f t="shared" si="110"/>
        <v>72.599999999999994</v>
      </c>
      <c r="F327" s="24">
        <f t="shared" si="110"/>
        <v>68.2</v>
      </c>
      <c r="G327" s="24">
        <f t="shared" si="110"/>
        <v>24.4</v>
      </c>
      <c r="H327" s="24" t="s">
        <v>23</v>
      </c>
      <c r="I327" s="24" t="s">
        <v>23</v>
      </c>
      <c r="J327" s="24">
        <f t="shared" si="110"/>
        <v>198.6</v>
      </c>
      <c r="K327" s="24">
        <f t="shared" si="110"/>
        <v>198.6</v>
      </c>
    </row>
    <row r="328" spans="1:11" ht="11.25" customHeight="1">
      <c r="A328" s="99" t="s">
        <v>10</v>
      </c>
      <c r="B328" s="24">
        <f>AVERAGE(B164:B168)</f>
        <v>0</v>
      </c>
      <c r="C328" s="24">
        <f t="shared" ref="C328:K328" si="111">AVERAGE(C164:C168)</f>
        <v>1.4</v>
      </c>
      <c r="D328" s="24">
        <f t="shared" si="111"/>
        <v>4.2</v>
      </c>
      <c r="E328" s="24">
        <f t="shared" si="111"/>
        <v>26.2</v>
      </c>
      <c r="F328" s="24">
        <f t="shared" si="111"/>
        <v>52.4</v>
      </c>
      <c r="G328" s="24">
        <f t="shared" si="111"/>
        <v>10.4</v>
      </c>
      <c r="H328" s="24" t="s">
        <v>23</v>
      </c>
      <c r="I328" s="24" t="s">
        <v>23</v>
      </c>
      <c r="J328" s="24">
        <f t="shared" si="111"/>
        <v>94.6</v>
      </c>
      <c r="K328" s="24">
        <f t="shared" si="111"/>
        <v>94.6</v>
      </c>
    </row>
    <row r="329" spans="1:11" ht="11.25" customHeight="1">
      <c r="A329" s="99" t="s">
        <v>144</v>
      </c>
      <c r="B329" s="24">
        <f>AVERAGE(B169:B173)</f>
        <v>0</v>
      </c>
      <c r="C329" s="24">
        <f t="shared" ref="C329:K329" si="112">AVERAGE(C169:C173)</f>
        <v>1.2</v>
      </c>
      <c r="D329" s="24">
        <f t="shared" si="112"/>
        <v>2</v>
      </c>
      <c r="E329" s="24">
        <f t="shared" si="112"/>
        <v>8</v>
      </c>
      <c r="F329" s="24">
        <f t="shared" si="112"/>
        <v>15.4</v>
      </c>
      <c r="G329" s="24">
        <f t="shared" si="112"/>
        <v>2.6</v>
      </c>
      <c r="H329" s="24" t="s">
        <v>23</v>
      </c>
      <c r="I329" s="24" t="s">
        <v>23</v>
      </c>
      <c r="J329" s="24">
        <f t="shared" si="112"/>
        <v>29.2</v>
      </c>
      <c r="K329" s="24">
        <f t="shared" si="112"/>
        <v>29.2</v>
      </c>
    </row>
    <row r="330" spans="1:11" ht="11.25" customHeight="1">
      <c r="A330" s="99" t="s">
        <v>166</v>
      </c>
      <c r="B330" s="24">
        <f t="shared" ref="B330:G330" si="113">AVERAGE(B174:B178)</f>
        <v>0</v>
      </c>
      <c r="C330" s="24">
        <f t="shared" si="113"/>
        <v>2.2000000000000002</v>
      </c>
      <c r="D330" s="24">
        <f t="shared" si="113"/>
        <v>1</v>
      </c>
      <c r="E330" s="24">
        <f t="shared" si="113"/>
        <v>0.6</v>
      </c>
      <c r="F330" s="24">
        <f t="shared" si="113"/>
        <v>4.2</v>
      </c>
      <c r="G330" s="24">
        <f t="shared" si="113"/>
        <v>2</v>
      </c>
      <c r="H330" s="24" t="str">
        <f>+H174</f>
        <v>-</v>
      </c>
      <c r="I330" s="24" t="str">
        <f>+I174</f>
        <v>-</v>
      </c>
      <c r="J330" s="24">
        <f>AVERAGE(J174:J178)</f>
        <v>10</v>
      </c>
      <c r="K330" s="24">
        <f>AVERAGE(K174:K178)</f>
        <v>10</v>
      </c>
    </row>
    <row r="331" spans="1:11" ht="11.25" customHeight="1">
      <c r="A331" s="99" t="s">
        <v>315</v>
      </c>
      <c r="B331" s="24">
        <f>AVERAGE(B179:B183)</f>
        <v>0</v>
      </c>
      <c r="C331" s="24">
        <f t="shared" ref="C331:G331" si="114">AVERAGE(C179:C183)</f>
        <v>3.2</v>
      </c>
      <c r="D331" s="24">
        <f t="shared" si="114"/>
        <v>10.6</v>
      </c>
      <c r="E331" s="24">
        <f t="shared" si="114"/>
        <v>14.4</v>
      </c>
      <c r="F331" s="24">
        <f t="shared" si="114"/>
        <v>21.2</v>
      </c>
      <c r="G331" s="24">
        <f t="shared" si="114"/>
        <v>5.4</v>
      </c>
      <c r="H331" s="24" t="str">
        <f>H179</f>
        <v>-</v>
      </c>
      <c r="I331" s="24" t="str">
        <f>I179</f>
        <v>-</v>
      </c>
      <c r="J331" s="24">
        <f t="shared" ref="J331:K331" si="115">AVERAGE(J179:J183)</f>
        <v>54.8</v>
      </c>
      <c r="K331" s="24">
        <f t="shared" si="115"/>
        <v>54.8</v>
      </c>
    </row>
    <row r="332" spans="1:11" ht="11.25" customHeight="1">
      <c r="A332" s="99">
        <v>2011</v>
      </c>
      <c r="B332" s="24">
        <f t="shared" ref="B332:K332" si="116">+B184</f>
        <v>0</v>
      </c>
      <c r="C332" s="24">
        <f t="shared" si="116"/>
        <v>0</v>
      </c>
      <c r="D332" s="24">
        <f t="shared" si="116"/>
        <v>8</v>
      </c>
      <c r="E332" s="24">
        <f t="shared" si="116"/>
        <v>23</v>
      </c>
      <c r="F332" s="24">
        <f t="shared" si="116"/>
        <v>41</v>
      </c>
      <c r="G332" s="24">
        <f t="shared" si="116"/>
        <v>1</v>
      </c>
      <c r="H332" s="24" t="str">
        <f t="shared" si="116"/>
        <v>-</v>
      </c>
      <c r="I332" s="24" t="str">
        <f t="shared" si="116"/>
        <v>-</v>
      </c>
      <c r="J332" s="24">
        <f t="shared" si="116"/>
        <v>73</v>
      </c>
      <c r="K332" s="24">
        <f t="shared" si="116"/>
        <v>73</v>
      </c>
    </row>
    <row r="333" spans="1:11" ht="11.25" customHeight="1">
      <c r="A333" s="99">
        <v>2012</v>
      </c>
      <c r="B333" s="24">
        <f t="shared" ref="B333:K333" si="117">+B185</f>
        <v>0</v>
      </c>
      <c r="C333" s="24">
        <f t="shared" si="117"/>
        <v>5</v>
      </c>
      <c r="D333" s="24">
        <f t="shared" si="117"/>
        <v>13</v>
      </c>
      <c r="E333" s="24">
        <f t="shared" si="117"/>
        <v>8</v>
      </c>
      <c r="F333" s="24">
        <f t="shared" si="117"/>
        <v>11</v>
      </c>
      <c r="G333" s="24">
        <f t="shared" si="117"/>
        <v>0</v>
      </c>
      <c r="H333" s="24" t="str">
        <f t="shared" si="117"/>
        <v>-</v>
      </c>
      <c r="I333" s="24" t="str">
        <f t="shared" si="117"/>
        <v>-</v>
      </c>
      <c r="J333" s="24">
        <f t="shared" si="117"/>
        <v>37</v>
      </c>
      <c r="K333" s="24">
        <f t="shared" si="117"/>
        <v>37</v>
      </c>
    </row>
    <row r="334" spans="1:11" ht="11.25" customHeight="1">
      <c r="A334" s="99">
        <v>2013</v>
      </c>
      <c r="B334" s="24">
        <f t="shared" ref="B334:K334" si="118">+B186</f>
        <v>0</v>
      </c>
      <c r="C334" s="24">
        <f t="shared" si="118"/>
        <v>1</v>
      </c>
      <c r="D334" s="24">
        <f t="shared" si="118"/>
        <v>8</v>
      </c>
      <c r="E334" s="24">
        <f t="shared" si="118"/>
        <v>5</v>
      </c>
      <c r="F334" s="24">
        <f t="shared" si="118"/>
        <v>29</v>
      </c>
      <c r="G334" s="24">
        <f t="shared" si="118"/>
        <v>4</v>
      </c>
      <c r="H334" s="24" t="str">
        <f t="shared" si="118"/>
        <v>-</v>
      </c>
      <c r="I334" s="24" t="str">
        <f t="shared" si="118"/>
        <v>-</v>
      </c>
      <c r="J334" s="24">
        <f t="shared" si="118"/>
        <v>47</v>
      </c>
      <c r="K334" s="24">
        <f t="shared" si="118"/>
        <v>47</v>
      </c>
    </row>
    <row r="335" spans="1:11" ht="11.25" customHeight="1">
      <c r="A335" s="99">
        <v>2014</v>
      </c>
      <c r="B335" s="24">
        <f t="shared" ref="B335:K335" si="119">+B187</f>
        <v>0</v>
      </c>
      <c r="C335" s="24">
        <f t="shared" si="119"/>
        <v>7</v>
      </c>
      <c r="D335" s="24">
        <f t="shared" si="119"/>
        <v>5</v>
      </c>
      <c r="E335" s="24">
        <f t="shared" si="119"/>
        <v>14</v>
      </c>
      <c r="F335" s="24">
        <f t="shared" si="119"/>
        <v>23</v>
      </c>
      <c r="G335" s="24">
        <f t="shared" si="119"/>
        <v>28</v>
      </c>
      <c r="H335" s="24" t="str">
        <f t="shared" si="119"/>
        <v>-</v>
      </c>
      <c r="I335" s="24" t="str">
        <f t="shared" si="119"/>
        <v>-</v>
      </c>
      <c r="J335" s="24">
        <f t="shared" si="119"/>
        <v>77</v>
      </c>
      <c r="K335" s="24">
        <f t="shared" si="119"/>
        <v>77</v>
      </c>
    </row>
    <row r="336" spans="1:11" ht="11.25" customHeight="1">
      <c r="A336" s="99">
        <v>2015</v>
      </c>
      <c r="B336" s="24">
        <f t="shared" ref="B336:K336" si="120">+B188</f>
        <v>0</v>
      </c>
      <c r="C336" s="24">
        <f t="shared" si="120"/>
        <v>7</v>
      </c>
      <c r="D336" s="24">
        <f t="shared" si="120"/>
        <v>11</v>
      </c>
      <c r="E336" s="24">
        <f t="shared" si="120"/>
        <v>37</v>
      </c>
      <c r="F336" s="24">
        <f t="shared" si="120"/>
        <v>21</v>
      </c>
      <c r="G336" s="24">
        <f t="shared" si="120"/>
        <v>0</v>
      </c>
      <c r="H336" s="24" t="str">
        <f t="shared" si="120"/>
        <v>-</v>
      </c>
      <c r="I336" s="24" t="str">
        <f t="shared" si="120"/>
        <v>-</v>
      </c>
      <c r="J336" s="24">
        <f t="shared" si="120"/>
        <v>76</v>
      </c>
      <c r="K336" s="24">
        <f t="shared" si="120"/>
        <v>76</v>
      </c>
    </row>
    <row r="337" spans="1:11" ht="11.25" customHeight="1">
      <c r="A337" s="99">
        <v>2016</v>
      </c>
      <c r="B337" s="24">
        <f t="shared" ref="B337:K337" si="121">+B189</f>
        <v>0</v>
      </c>
      <c r="C337" s="24">
        <f t="shared" si="121"/>
        <v>4</v>
      </c>
      <c r="D337" s="24">
        <f t="shared" si="121"/>
        <v>7</v>
      </c>
      <c r="E337" s="24">
        <f t="shared" si="121"/>
        <v>10</v>
      </c>
      <c r="F337" s="24">
        <f t="shared" si="121"/>
        <v>5</v>
      </c>
      <c r="G337" s="24">
        <f t="shared" si="121"/>
        <v>0</v>
      </c>
      <c r="H337" s="24" t="str">
        <f t="shared" si="121"/>
        <v>-</v>
      </c>
      <c r="I337" s="24" t="str">
        <f t="shared" si="121"/>
        <v>-</v>
      </c>
      <c r="J337" s="24">
        <f t="shared" si="121"/>
        <v>26</v>
      </c>
      <c r="K337" s="24">
        <f t="shared" si="121"/>
        <v>26</v>
      </c>
    </row>
    <row r="338" spans="1:11" ht="11.25" customHeight="1">
      <c r="A338" s="99">
        <v>2017</v>
      </c>
      <c r="B338" s="24">
        <f t="shared" ref="B338:K338" si="122">+B190</f>
        <v>0</v>
      </c>
      <c r="C338" s="24">
        <f t="shared" si="122"/>
        <v>3</v>
      </c>
      <c r="D338" s="24">
        <f t="shared" si="122"/>
        <v>3</v>
      </c>
      <c r="E338" s="24">
        <f t="shared" si="122"/>
        <v>3</v>
      </c>
      <c r="F338" s="24">
        <f t="shared" si="122"/>
        <v>12</v>
      </c>
      <c r="G338" s="24">
        <f t="shared" si="122"/>
        <v>6</v>
      </c>
      <c r="H338" s="24" t="str">
        <f t="shared" si="122"/>
        <v>-</v>
      </c>
      <c r="I338" s="24" t="str">
        <f t="shared" si="122"/>
        <v>-</v>
      </c>
      <c r="J338" s="24">
        <f t="shared" si="122"/>
        <v>27</v>
      </c>
      <c r="K338" s="24">
        <f t="shared" si="122"/>
        <v>27</v>
      </c>
    </row>
    <row r="339" spans="1:11" ht="11.25" customHeight="1">
      <c r="A339" s="99">
        <v>2018</v>
      </c>
      <c r="B339" s="24">
        <f t="shared" ref="B339:K339" si="123">+B191</f>
        <v>0</v>
      </c>
      <c r="C339" s="24">
        <f t="shared" si="123"/>
        <v>5</v>
      </c>
      <c r="D339" s="24">
        <f t="shared" si="123"/>
        <v>7</v>
      </c>
      <c r="E339" s="24">
        <f t="shared" si="123"/>
        <v>1</v>
      </c>
      <c r="F339" s="24">
        <f t="shared" si="123"/>
        <v>16</v>
      </c>
      <c r="G339" s="24">
        <f t="shared" si="123"/>
        <v>5</v>
      </c>
      <c r="H339" s="24" t="str">
        <f t="shared" si="123"/>
        <v>-</v>
      </c>
      <c r="I339" s="24" t="str">
        <f t="shared" si="123"/>
        <v>-</v>
      </c>
      <c r="J339" s="24">
        <f t="shared" si="123"/>
        <v>34</v>
      </c>
      <c r="K339" s="24">
        <f t="shared" si="123"/>
        <v>34</v>
      </c>
    </row>
    <row r="340" spans="1:11" ht="11.25" customHeight="1">
      <c r="A340" s="99">
        <v>2019</v>
      </c>
      <c r="B340" s="24">
        <f t="shared" ref="B340:K340" si="124">+B192</f>
        <v>0</v>
      </c>
      <c r="C340" s="24">
        <f t="shared" si="124"/>
        <v>5</v>
      </c>
      <c r="D340" s="24">
        <f t="shared" si="124"/>
        <v>3</v>
      </c>
      <c r="E340" s="24">
        <f t="shared" si="124"/>
        <v>10</v>
      </c>
      <c r="F340" s="24">
        <f t="shared" si="124"/>
        <v>14</v>
      </c>
      <c r="G340" s="24">
        <f t="shared" si="124"/>
        <v>8</v>
      </c>
      <c r="H340" s="24" t="str">
        <f t="shared" si="124"/>
        <v>-</v>
      </c>
      <c r="I340" s="24" t="str">
        <f t="shared" si="124"/>
        <v>-</v>
      </c>
      <c r="J340" s="24">
        <f t="shared" si="124"/>
        <v>40</v>
      </c>
      <c r="K340" s="24">
        <f t="shared" si="124"/>
        <v>40</v>
      </c>
    </row>
    <row r="341" spans="1:11" ht="11.25" customHeight="1">
      <c r="A341" s="99">
        <v>2020</v>
      </c>
      <c r="B341" s="24">
        <f t="shared" ref="B341:K342" si="125">+B193</f>
        <v>0</v>
      </c>
      <c r="C341" s="24">
        <f t="shared" si="125"/>
        <v>1</v>
      </c>
      <c r="D341" s="24">
        <f t="shared" si="125"/>
        <v>2</v>
      </c>
      <c r="E341" s="24">
        <f t="shared" si="125"/>
        <v>6</v>
      </c>
      <c r="F341" s="24">
        <f t="shared" si="125"/>
        <v>6</v>
      </c>
      <c r="G341" s="24">
        <f t="shared" si="125"/>
        <v>3</v>
      </c>
      <c r="H341" s="24" t="str">
        <f t="shared" si="125"/>
        <v>-</v>
      </c>
      <c r="I341" s="24" t="str">
        <f t="shared" si="125"/>
        <v>-</v>
      </c>
      <c r="J341" s="24">
        <f t="shared" si="125"/>
        <v>18</v>
      </c>
      <c r="K341" s="24">
        <f t="shared" si="125"/>
        <v>18</v>
      </c>
    </row>
    <row r="342" spans="1:11" ht="11.25" customHeight="1">
      <c r="A342" s="99" t="s">
        <v>317</v>
      </c>
      <c r="B342" s="24">
        <f t="shared" si="125"/>
        <v>0</v>
      </c>
      <c r="C342" s="24">
        <f t="shared" si="125"/>
        <v>4</v>
      </c>
      <c r="D342" s="24">
        <f t="shared" si="125"/>
        <v>4</v>
      </c>
      <c r="E342" s="24">
        <f t="shared" si="125"/>
        <v>1</v>
      </c>
      <c r="F342" s="24">
        <f t="shared" si="125"/>
        <v>5</v>
      </c>
      <c r="G342" s="24">
        <f t="shared" si="125"/>
        <v>10</v>
      </c>
      <c r="H342" s="24" t="str">
        <f t="shared" si="125"/>
        <v>-</v>
      </c>
      <c r="I342" s="24" t="str">
        <f t="shared" si="125"/>
        <v>-</v>
      </c>
      <c r="J342" s="24">
        <f t="shared" si="125"/>
        <v>24</v>
      </c>
      <c r="K342" s="24">
        <f t="shared" si="125"/>
        <v>24</v>
      </c>
    </row>
    <row r="343" spans="1:11" ht="11.25" customHeight="1">
      <c r="B343" s="24"/>
      <c r="C343" s="24"/>
      <c r="D343" s="24"/>
      <c r="E343" s="24"/>
      <c r="F343" s="24"/>
      <c r="G343" s="24"/>
      <c r="H343" s="24"/>
      <c r="I343" s="24"/>
      <c r="J343" s="24"/>
      <c r="K343" s="24"/>
    </row>
    <row r="344" spans="1:11" ht="11.25" customHeight="1">
      <c r="A344" s="97" t="s">
        <v>101</v>
      </c>
      <c r="B344" s="24"/>
      <c r="C344" s="24"/>
      <c r="D344" s="24"/>
      <c r="E344" s="24"/>
      <c r="F344" s="24"/>
      <c r="G344" s="24"/>
      <c r="H344" s="24"/>
      <c r="I344" s="24"/>
      <c r="J344" s="24"/>
      <c r="K344" s="24"/>
    </row>
    <row r="345" spans="1:11" ht="11.25" customHeight="1">
      <c r="A345" s="99" t="s">
        <v>24</v>
      </c>
      <c r="B345" s="24">
        <f t="shared" ref="B345:K345" si="126">AVERAGE(B202:B206)</f>
        <v>167</v>
      </c>
      <c r="C345" s="24">
        <f t="shared" si="126"/>
        <v>79</v>
      </c>
      <c r="D345" s="24">
        <f t="shared" si="126"/>
        <v>140.6</v>
      </c>
      <c r="E345" s="24">
        <f t="shared" si="126"/>
        <v>284.39999999999998</v>
      </c>
      <c r="F345" s="24">
        <f t="shared" si="126"/>
        <v>312.8</v>
      </c>
      <c r="G345" s="24">
        <f t="shared" si="126"/>
        <v>146.19999999999999</v>
      </c>
      <c r="H345" s="24">
        <f t="shared" si="126"/>
        <v>17</v>
      </c>
      <c r="I345" s="24">
        <f t="shared" si="126"/>
        <v>31.8</v>
      </c>
      <c r="J345" s="24">
        <f t="shared" si="126"/>
        <v>963</v>
      </c>
      <c r="K345" s="24">
        <f t="shared" si="126"/>
        <v>1178.8</v>
      </c>
    </row>
    <row r="346" spans="1:11" ht="11.25" customHeight="1">
      <c r="A346" s="99" t="s">
        <v>78</v>
      </c>
      <c r="B346" s="24">
        <f t="shared" ref="B346:K346" si="127">AVERAGE(B207:B211)</f>
        <v>168</v>
      </c>
      <c r="C346" s="24">
        <f t="shared" si="127"/>
        <v>138</v>
      </c>
      <c r="D346" s="24">
        <f t="shared" si="127"/>
        <v>167.6</v>
      </c>
      <c r="E346" s="24">
        <f t="shared" si="127"/>
        <v>433.6</v>
      </c>
      <c r="F346" s="24">
        <f t="shared" si="127"/>
        <v>460</v>
      </c>
      <c r="G346" s="24">
        <f t="shared" si="127"/>
        <v>160.6</v>
      </c>
      <c r="H346" s="24">
        <f t="shared" si="127"/>
        <v>1.6</v>
      </c>
      <c r="I346" s="24">
        <f t="shared" si="127"/>
        <v>43</v>
      </c>
      <c r="J346" s="24">
        <f t="shared" si="127"/>
        <v>1359.8</v>
      </c>
      <c r="K346" s="24">
        <f t="shared" si="127"/>
        <v>1572.4</v>
      </c>
    </row>
    <row r="347" spans="1:11" ht="11.25" customHeight="1">
      <c r="A347" s="99" t="s">
        <v>10</v>
      </c>
      <c r="B347" s="24">
        <f>AVERAGE(B212:B216)</f>
        <v>75.2</v>
      </c>
      <c r="C347" s="24">
        <f t="shared" ref="C347:K347" si="128">AVERAGE(C212:C216)</f>
        <v>69</v>
      </c>
      <c r="D347" s="24">
        <f t="shared" si="128"/>
        <v>71.400000000000006</v>
      </c>
      <c r="E347" s="24">
        <f t="shared" si="128"/>
        <v>182.4</v>
      </c>
      <c r="F347" s="24">
        <f t="shared" si="128"/>
        <v>311.2</v>
      </c>
      <c r="G347" s="24">
        <f t="shared" si="128"/>
        <v>47.6</v>
      </c>
      <c r="H347" s="24">
        <f t="shared" si="128"/>
        <v>10.199999999999999</v>
      </c>
      <c r="I347" s="24">
        <f t="shared" si="128"/>
        <v>27.4</v>
      </c>
      <c r="J347" s="24">
        <f t="shared" si="128"/>
        <v>681.6</v>
      </c>
      <c r="K347" s="24">
        <f t="shared" si="128"/>
        <v>794.4</v>
      </c>
    </row>
    <row r="348" spans="1:11" ht="11.25" customHeight="1">
      <c r="A348" s="99" t="s">
        <v>144</v>
      </c>
      <c r="B348" s="24">
        <f>AVERAGE(B217:B221)</f>
        <v>14.4</v>
      </c>
      <c r="C348" s="24">
        <f t="shared" ref="C348:K348" si="129">AVERAGE(C217:C221)</f>
        <v>31.4</v>
      </c>
      <c r="D348" s="24">
        <f t="shared" si="129"/>
        <v>37.6</v>
      </c>
      <c r="E348" s="24">
        <f t="shared" si="129"/>
        <v>11</v>
      </c>
      <c r="F348" s="24">
        <f t="shared" si="129"/>
        <v>95.8</v>
      </c>
      <c r="G348" s="24">
        <f t="shared" si="129"/>
        <v>53.2</v>
      </c>
      <c r="H348" s="24" t="s">
        <v>23</v>
      </c>
      <c r="I348" s="24">
        <f t="shared" si="129"/>
        <v>2.2000000000000002</v>
      </c>
      <c r="J348" s="24">
        <f t="shared" si="129"/>
        <v>229</v>
      </c>
      <c r="K348" s="24">
        <f t="shared" si="129"/>
        <v>245.6</v>
      </c>
    </row>
    <row r="349" spans="1:11" ht="11.25" customHeight="1">
      <c r="A349" s="99" t="s">
        <v>166</v>
      </c>
      <c r="B349" s="24">
        <f>AVERAGE(B222:B226)</f>
        <v>34.799999999999997</v>
      </c>
      <c r="C349" s="24">
        <f>AVERAGE(C222:C226)</f>
        <v>46.6</v>
      </c>
      <c r="D349" s="24">
        <f t="shared" ref="D349:K349" si="130">AVERAGE(D222:D226)</f>
        <v>65.8</v>
      </c>
      <c r="E349" s="24">
        <f t="shared" si="130"/>
        <v>99.8</v>
      </c>
      <c r="F349" s="24">
        <f t="shared" si="130"/>
        <v>116.4</v>
      </c>
      <c r="G349" s="24">
        <f t="shared" si="130"/>
        <v>68.599999999999994</v>
      </c>
      <c r="H349" s="24">
        <f t="shared" si="130"/>
        <v>10</v>
      </c>
      <c r="I349" s="24">
        <f t="shared" si="130"/>
        <v>64.599999999999994</v>
      </c>
      <c r="J349" s="24">
        <f t="shared" si="130"/>
        <v>397.2</v>
      </c>
      <c r="K349" s="24">
        <f t="shared" si="130"/>
        <v>504.6</v>
      </c>
    </row>
    <row r="350" spans="1:11" ht="11.25" customHeight="1">
      <c r="A350" s="99" t="s">
        <v>315</v>
      </c>
      <c r="B350" s="24">
        <f>AVERAGE(B227:B231)</f>
        <v>96.6</v>
      </c>
      <c r="C350" s="24">
        <f t="shared" ref="C350:K350" si="131">AVERAGE(C227:C231)</f>
        <v>77</v>
      </c>
      <c r="D350" s="24">
        <f t="shared" si="131"/>
        <v>237.6</v>
      </c>
      <c r="E350" s="24">
        <f t="shared" si="131"/>
        <v>169.2</v>
      </c>
      <c r="F350" s="24">
        <f t="shared" si="131"/>
        <v>191.4</v>
      </c>
      <c r="G350" s="24">
        <f t="shared" si="131"/>
        <v>56.6</v>
      </c>
      <c r="H350" s="24">
        <f t="shared" si="131"/>
        <v>2.8</v>
      </c>
      <c r="I350" s="24">
        <f t="shared" si="131"/>
        <v>58</v>
      </c>
      <c r="J350" s="24">
        <f t="shared" si="131"/>
        <v>731.8</v>
      </c>
      <c r="K350" s="24">
        <f t="shared" si="131"/>
        <v>889.2</v>
      </c>
    </row>
    <row r="351" spans="1:11" ht="11.25" customHeight="1">
      <c r="A351" s="99">
        <v>2011</v>
      </c>
      <c r="B351" s="24">
        <f t="shared" ref="B351:K351" si="132">+B232</f>
        <v>303</v>
      </c>
      <c r="C351" s="24">
        <f t="shared" si="132"/>
        <v>92</v>
      </c>
      <c r="D351" s="24">
        <f t="shared" si="132"/>
        <v>192</v>
      </c>
      <c r="E351" s="24">
        <f t="shared" si="132"/>
        <v>152</v>
      </c>
      <c r="F351" s="24">
        <f t="shared" si="132"/>
        <v>140</v>
      </c>
      <c r="G351" s="24">
        <f t="shared" si="132"/>
        <v>24</v>
      </c>
      <c r="H351" s="24">
        <f t="shared" si="132"/>
        <v>1</v>
      </c>
      <c r="I351" s="24">
        <f t="shared" si="132"/>
        <v>22</v>
      </c>
      <c r="J351" s="24">
        <f t="shared" si="132"/>
        <v>600</v>
      </c>
      <c r="K351" s="24">
        <f t="shared" si="132"/>
        <v>926</v>
      </c>
    </row>
    <row r="352" spans="1:11" ht="11.25" customHeight="1">
      <c r="A352" s="99">
        <v>2012</v>
      </c>
      <c r="B352" s="24">
        <f t="shared" ref="B352:K352" si="133">+B233</f>
        <v>182</v>
      </c>
      <c r="C352" s="24">
        <f t="shared" si="133"/>
        <v>144</v>
      </c>
      <c r="D352" s="24">
        <f t="shared" si="133"/>
        <v>269</v>
      </c>
      <c r="E352" s="24">
        <f t="shared" si="133"/>
        <v>214</v>
      </c>
      <c r="F352" s="24">
        <f t="shared" si="133"/>
        <v>229</v>
      </c>
      <c r="G352" s="24">
        <f t="shared" si="133"/>
        <v>104</v>
      </c>
      <c r="H352" s="24">
        <f t="shared" si="133"/>
        <v>4</v>
      </c>
      <c r="I352" s="24">
        <f t="shared" si="133"/>
        <v>29</v>
      </c>
      <c r="J352" s="24">
        <f t="shared" si="133"/>
        <v>960</v>
      </c>
      <c r="K352" s="24">
        <f t="shared" si="133"/>
        <v>1175</v>
      </c>
    </row>
    <row r="353" spans="1:11" ht="11.25" customHeight="1">
      <c r="A353" s="99">
        <v>2013</v>
      </c>
      <c r="B353" s="24">
        <f t="shared" ref="B353:K353" si="134">+B234</f>
        <v>270</v>
      </c>
      <c r="C353" s="24">
        <f t="shared" si="134"/>
        <v>279</v>
      </c>
      <c r="D353" s="24">
        <f t="shared" si="134"/>
        <v>206</v>
      </c>
      <c r="E353" s="24">
        <f t="shared" si="134"/>
        <v>369</v>
      </c>
      <c r="F353" s="24">
        <f t="shared" si="134"/>
        <v>583</v>
      </c>
      <c r="G353" s="24">
        <f t="shared" si="134"/>
        <v>159</v>
      </c>
      <c r="H353" s="24">
        <f t="shared" si="134"/>
        <v>0</v>
      </c>
      <c r="I353" s="24">
        <f t="shared" si="134"/>
        <v>124</v>
      </c>
      <c r="J353" s="24">
        <f t="shared" si="134"/>
        <v>1596</v>
      </c>
      <c r="K353" s="24">
        <f t="shared" si="134"/>
        <v>1990</v>
      </c>
    </row>
    <row r="354" spans="1:11" ht="11.25" customHeight="1">
      <c r="A354" s="99">
        <v>2014</v>
      </c>
      <c r="B354" s="24">
        <f t="shared" ref="B354:K354" si="135">+B235</f>
        <v>419</v>
      </c>
      <c r="C354" s="24">
        <f t="shared" si="135"/>
        <v>196</v>
      </c>
      <c r="D354" s="24">
        <f t="shared" si="135"/>
        <v>295</v>
      </c>
      <c r="E354" s="24">
        <f t="shared" si="135"/>
        <v>465</v>
      </c>
      <c r="F354" s="24">
        <f t="shared" si="135"/>
        <v>419</v>
      </c>
      <c r="G354" s="24">
        <f t="shared" si="135"/>
        <v>152</v>
      </c>
      <c r="H354" s="24">
        <f t="shared" si="135"/>
        <v>0</v>
      </c>
      <c r="I354" s="24">
        <f t="shared" si="135"/>
        <v>34</v>
      </c>
      <c r="J354" s="24">
        <f t="shared" si="135"/>
        <v>1527</v>
      </c>
      <c r="K354" s="24">
        <f t="shared" si="135"/>
        <v>1980</v>
      </c>
    </row>
    <row r="355" spans="1:11" ht="11.25" customHeight="1">
      <c r="A355" s="99">
        <v>2015</v>
      </c>
      <c r="B355" s="24">
        <f t="shared" ref="B355:K355" si="136">+B236</f>
        <v>384</v>
      </c>
      <c r="C355" s="24">
        <f t="shared" si="136"/>
        <v>324</v>
      </c>
      <c r="D355" s="24">
        <f t="shared" si="136"/>
        <v>380</v>
      </c>
      <c r="E355" s="24">
        <f t="shared" si="136"/>
        <v>389</v>
      </c>
      <c r="F355" s="24">
        <f t="shared" si="136"/>
        <v>261</v>
      </c>
      <c r="G355" s="24">
        <f t="shared" si="136"/>
        <v>104</v>
      </c>
      <c r="H355" s="24">
        <f t="shared" si="136"/>
        <v>0</v>
      </c>
      <c r="I355" s="24">
        <f t="shared" si="136"/>
        <v>7</v>
      </c>
      <c r="J355" s="24">
        <f t="shared" si="136"/>
        <v>1458</v>
      </c>
      <c r="K355" s="24">
        <f t="shared" si="136"/>
        <v>1849</v>
      </c>
    </row>
    <row r="356" spans="1:11" ht="10.5" customHeight="1">
      <c r="A356" s="99">
        <v>2016</v>
      </c>
      <c r="B356" s="24">
        <f t="shared" ref="B356:K356" si="137">+B237</f>
        <v>35</v>
      </c>
      <c r="C356" s="24">
        <f t="shared" si="137"/>
        <v>204</v>
      </c>
      <c r="D356" s="24">
        <f t="shared" si="137"/>
        <v>233</v>
      </c>
      <c r="E356" s="24">
        <f t="shared" si="137"/>
        <v>141</v>
      </c>
      <c r="F356" s="24">
        <f t="shared" si="137"/>
        <v>90</v>
      </c>
      <c r="G356" s="24">
        <f t="shared" si="137"/>
        <v>2</v>
      </c>
      <c r="H356" s="24">
        <f t="shared" si="137"/>
        <v>0</v>
      </c>
      <c r="I356" s="24">
        <f t="shared" si="137"/>
        <v>34</v>
      </c>
      <c r="J356" s="24">
        <f t="shared" si="137"/>
        <v>670</v>
      </c>
      <c r="K356" s="24">
        <f t="shared" si="137"/>
        <v>739</v>
      </c>
    </row>
    <row r="357" spans="1:11" ht="11.25" customHeight="1">
      <c r="A357" s="99">
        <v>2017</v>
      </c>
      <c r="B357" s="24">
        <f t="shared" ref="B357:K357" si="138">+B238</f>
        <v>149</v>
      </c>
      <c r="C357" s="24">
        <f t="shared" si="138"/>
        <v>27</v>
      </c>
      <c r="D357" s="24">
        <f t="shared" si="138"/>
        <v>90</v>
      </c>
      <c r="E357" s="24">
        <f t="shared" si="138"/>
        <v>317</v>
      </c>
      <c r="F357" s="24">
        <f t="shared" si="138"/>
        <v>357</v>
      </c>
      <c r="G357" s="24">
        <f t="shared" si="138"/>
        <v>172</v>
      </c>
      <c r="H357" s="24">
        <f t="shared" si="138"/>
        <v>0</v>
      </c>
      <c r="I357" s="24">
        <f t="shared" si="138"/>
        <v>3</v>
      </c>
      <c r="J357" s="24">
        <f t="shared" si="138"/>
        <v>963</v>
      </c>
      <c r="K357" s="24">
        <f t="shared" si="138"/>
        <v>1115</v>
      </c>
    </row>
    <row r="358" spans="1:11" ht="11.25" customHeight="1">
      <c r="A358" s="99">
        <v>2018</v>
      </c>
      <c r="B358" s="24">
        <f t="shared" ref="B358:K358" si="139">+B239</f>
        <v>93</v>
      </c>
      <c r="C358" s="24">
        <f t="shared" si="139"/>
        <v>99</v>
      </c>
      <c r="D358" s="24">
        <f t="shared" si="139"/>
        <v>255</v>
      </c>
      <c r="E358" s="24">
        <f t="shared" si="139"/>
        <v>272</v>
      </c>
      <c r="F358" s="24">
        <f t="shared" si="139"/>
        <v>145</v>
      </c>
      <c r="G358" s="24">
        <f t="shared" si="139"/>
        <v>110</v>
      </c>
      <c r="H358" s="24">
        <f t="shared" si="139"/>
        <v>0</v>
      </c>
      <c r="I358" s="24">
        <f t="shared" si="139"/>
        <v>26</v>
      </c>
      <c r="J358" s="24">
        <f t="shared" si="139"/>
        <v>881</v>
      </c>
      <c r="K358" s="24">
        <f t="shared" si="139"/>
        <v>1000</v>
      </c>
    </row>
    <row r="359" spans="1:11" ht="11.25" customHeight="1">
      <c r="A359" s="99">
        <v>2019</v>
      </c>
      <c r="B359" s="24">
        <f t="shared" ref="B359:K359" si="140">+B240</f>
        <v>100</v>
      </c>
      <c r="C359" s="24">
        <f t="shared" si="140"/>
        <v>65</v>
      </c>
      <c r="D359" s="24">
        <f t="shared" si="140"/>
        <v>72</v>
      </c>
      <c r="E359" s="24">
        <f t="shared" si="140"/>
        <v>365</v>
      </c>
      <c r="F359" s="24">
        <f t="shared" si="140"/>
        <v>276</v>
      </c>
      <c r="G359" s="24">
        <f t="shared" si="140"/>
        <v>120</v>
      </c>
      <c r="H359" s="24">
        <f t="shared" si="140"/>
        <v>0</v>
      </c>
      <c r="I359" s="24">
        <f t="shared" si="140"/>
        <v>13</v>
      </c>
      <c r="J359" s="24">
        <f t="shared" si="140"/>
        <v>898</v>
      </c>
      <c r="K359" s="24">
        <f t="shared" si="140"/>
        <v>1011</v>
      </c>
    </row>
    <row r="360" spans="1:11" ht="11.25" customHeight="1">
      <c r="A360" s="99">
        <v>2020</v>
      </c>
      <c r="B360" s="24">
        <f t="shared" ref="B360:K361" si="141">+B241</f>
        <v>68</v>
      </c>
      <c r="C360" s="24">
        <f t="shared" si="141"/>
        <v>1</v>
      </c>
      <c r="D360" s="24">
        <f t="shared" si="141"/>
        <v>2</v>
      </c>
      <c r="E360" s="24">
        <f t="shared" si="141"/>
        <v>29</v>
      </c>
      <c r="F360" s="24">
        <f t="shared" si="141"/>
        <v>122</v>
      </c>
      <c r="G360" s="24">
        <f t="shared" si="141"/>
        <v>31</v>
      </c>
      <c r="H360" s="24">
        <f t="shared" si="141"/>
        <v>0</v>
      </c>
      <c r="I360" s="24">
        <f t="shared" si="141"/>
        <v>0</v>
      </c>
      <c r="J360" s="24">
        <f t="shared" si="141"/>
        <v>185</v>
      </c>
      <c r="K360" s="24">
        <f t="shared" si="141"/>
        <v>253</v>
      </c>
    </row>
    <row r="361" spans="1:11" ht="11.25" customHeight="1">
      <c r="A361" s="99" t="s">
        <v>317</v>
      </c>
      <c r="B361" s="24">
        <f t="shared" si="141"/>
        <v>18</v>
      </c>
      <c r="C361" s="24">
        <f t="shared" si="141"/>
        <v>28</v>
      </c>
      <c r="D361" s="24">
        <f t="shared" si="141"/>
        <v>100</v>
      </c>
      <c r="E361" s="24">
        <f t="shared" si="141"/>
        <v>135</v>
      </c>
      <c r="F361" s="24">
        <f t="shared" si="141"/>
        <v>101</v>
      </c>
      <c r="G361" s="24">
        <f t="shared" si="141"/>
        <v>76</v>
      </c>
      <c r="H361" s="24">
        <f t="shared" si="141"/>
        <v>0</v>
      </c>
      <c r="I361" s="24">
        <f t="shared" si="141"/>
        <v>0</v>
      </c>
      <c r="J361" s="24">
        <f t="shared" si="141"/>
        <v>440</v>
      </c>
      <c r="K361" s="24">
        <f t="shared" si="141"/>
        <v>458</v>
      </c>
    </row>
    <row r="362" spans="1:11" ht="11.25" customHeight="1">
      <c r="A362" s="338" t="str">
        <f>+A243</f>
        <v>a/  Preliminary.</v>
      </c>
      <c r="B362" s="338"/>
      <c r="C362" s="338"/>
      <c r="D362" s="338"/>
      <c r="E362" s="338"/>
      <c r="F362" s="338"/>
      <c r="G362" s="338"/>
      <c r="H362" s="338"/>
      <c r="I362" s="338"/>
      <c r="J362" s="338"/>
      <c r="K362" s="338"/>
    </row>
    <row r="363" spans="1:11" ht="11.25" customHeight="1">
      <c r="A363" s="337" t="str">
        <f>+A244</f>
        <v>b/  October effort beginning in 2002 occurred during Quileute ceremonial and subsistence fishery.</v>
      </c>
      <c r="B363" s="337"/>
      <c r="C363" s="337"/>
      <c r="D363" s="337"/>
      <c r="E363" s="337"/>
      <c r="F363" s="337"/>
      <c r="G363" s="337"/>
      <c r="H363" s="337"/>
      <c r="I363" s="337"/>
      <c r="J363" s="337"/>
      <c r="K363" s="337"/>
    </row>
  </sheetData>
  <mergeCells count="13">
    <mergeCell ref="A363:K363"/>
    <mergeCell ref="A1:K1"/>
    <mergeCell ref="A243:K243"/>
    <mergeCell ref="A244:K244"/>
    <mergeCell ref="A262:K262"/>
    <mergeCell ref="A322:K322"/>
    <mergeCell ref="A362:K362"/>
    <mergeCell ref="A2:A3"/>
    <mergeCell ref="J2:K2"/>
    <mergeCell ref="A263:A264"/>
    <mergeCell ref="J263:K263"/>
    <mergeCell ref="A323:A324"/>
    <mergeCell ref="J323:K323"/>
  </mergeCells>
  <pageMargins left="0.7" right="0.7" top="0.75" bottom="0.75" header="0.3" footer="0.3"/>
  <pageSetup scale="95" orientation="portrait" r:id="rId1"/>
  <rowBreaks count="1" manualBreakCount="1">
    <brk id="320" max="10"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8"/>
  <dimension ref="A1:AM387"/>
  <sheetViews>
    <sheetView showGridLines="0" zoomScaleNormal="100" zoomScaleSheetLayoutView="100" workbookViewId="0">
      <pane xSplit="1" ySplit="4" topLeftCell="H227"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9" defaultRowHeight="11"/>
  <cols>
    <col min="1" max="1" width="8" style="99" customWidth="1"/>
    <col min="2" max="2" width="6.5" style="24" customWidth="1"/>
    <col min="3" max="3" width="5.1640625" style="24" bestFit="1" customWidth="1"/>
    <col min="4" max="4" width="5.6640625" style="24" customWidth="1"/>
    <col min="5" max="8" width="5.1640625" style="24" customWidth="1"/>
    <col min="9" max="9" width="6.33203125" style="24" customWidth="1"/>
    <col min="10" max="10" width="6.83203125" style="24" customWidth="1"/>
    <col min="11" max="11" width="5.5" style="24" customWidth="1"/>
    <col min="12" max="12" width="0.83203125" style="24" customWidth="1"/>
    <col min="13" max="13" width="6" style="24" customWidth="1"/>
    <col min="14" max="14" width="4.1640625" style="24" customWidth="1"/>
    <col min="15" max="15" width="5.1640625" style="24" bestFit="1" customWidth="1"/>
    <col min="16" max="17" width="5.33203125" style="24" customWidth="1"/>
    <col min="18" max="18" width="5.6640625" style="24" customWidth="1"/>
    <col min="19" max="19" width="5.1640625" style="24" customWidth="1"/>
    <col min="20" max="20" width="6.33203125" style="24" customWidth="1"/>
    <col min="21" max="21" width="7.6640625" style="24" bestFit="1" customWidth="1"/>
    <col min="22" max="22" width="5.6640625" style="211" bestFit="1" customWidth="1"/>
    <col min="23" max="16384" width="9" style="1"/>
  </cols>
  <sheetData>
    <row r="1" spans="1:39" ht="12" customHeight="1">
      <c r="A1" s="283" t="s">
        <v>129</v>
      </c>
      <c r="B1" s="283"/>
      <c r="C1" s="283"/>
      <c r="D1" s="283"/>
      <c r="E1" s="283"/>
      <c r="F1" s="283"/>
      <c r="G1" s="283"/>
      <c r="H1" s="283"/>
      <c r="I1" s="283"/>
      <c r="J1" s="283"/>
      <c r="K1" s="283"/>
      <c r="L1" s="283"/>
      <c r="M1" s="283"/>
      <c r="N1" s="283"/>
      <c r="O1" s="283"/>
      <c r="P1" s="283"/>
      <c r="Q1" s="283"/>
      <c r="R1" s="283"/>
      <c r="S1" s="283"/>
      <c r="T1" s="283"/>
      <c r="U1" s="283"/>
      <c r="V1" s="283"/>
    </row>
    <row r="2" spans="1:39" s="119" customFormat="1" ht="12" customHeight="1">
      <c r="A2" s="281" t="s">
        <v>27</v>
      </c>
      <c r="B2" s="196"/>
      <c r="C2" s="196"/>
      <c r="D2" s="196"/>
      <c r="E2" s="196"/>
      <c r="F2" s="196"/>
      <c r="G2" s="196"/>
      <c r="H2" s="196"/>
      <c r="I2" s="196"/>
      <c r="J2" s="284" t="s">
        <v>55</v>
      </c>
      <c r="K2" s="284"/>
      <c r="L2" s="196"/>
      <c r="M2" s="196"/>
      <c r="N2" s="196"/>
      <c r="O2" s="196"/>
      <c r="P2" s="196"/>
      <c r="Q2" s="196"/>
      <c r="R2" s="196"/>
      <c r="S2" s="196"/>
      <c r="T2" s="196"/>
      <c r="U2" s="284" t="s">
        <v>55</v>
      </c>
      <c r="V2" s="284"/>
    </row>
    <row r="3" spans="1:39" ht="12" customHeight="1">
      <c r="A3" s="275"/>
      <c r="B3" s="15" t="s">
        <v>65</v>
      </c>
      <c r="C3" s="15" t="s">
        <v>29</v>
      </c>
      <c r="D3" s="15" t="s">
        <v>30</v>
      </c>
      <c r="E3" s="15" t="s">
        <v>31</v>
      </c>
      <c r="F3" s="15" t="s">
        <v>32</v>
      </c>
      <c r="G3" s="15" t="s">
        <v>33</v>
      </c>
      <c r="H3" s="15" t="s">
        <v>218</v>
      </c>
      <c r="I3" s="37" t="s">
        <v>67</v>
      </c>
      <c r="J3" s="37" t="s">
        <v>68</v>
      </c>
      <c r="K3" s="15" t="s">
        <v>46</v>
      </c>
      <c r="L3" s="15"/>
      <c r="M3" s="15" t="s">
        <v>65</v>
      </c>
      <c r="N3" s="15" t="s">
        <v>29</v>
      </c>
      <c r="O3" s="15" t="s">
        <v>30</v>
      </c>
      <c r="P3" s="15" t="s">
        <v>31</v>
      </c>
      <c r="Q3" s="15" t="s">
        <v>32</v>
      </c>
      <c r="R3" s="15" t="s">
        <v>33</v>
      </c>
      <c r="S3" s="15" t="s">
        <v>218</v>
      </c>
      <c r="T3" s="37" t="s">
        <v>67</v>
      </c>
      <c r="U3" s="37" t="s">
        <v>68</v>
      </c>
      <c r="V3" s="15" t="s">
        <v>46</v>
      </c>
    </row>
    <row r="4" spans="1:39" ht="12" customHeight="1">
      <c r="A4" s="94"/>
      <c r="B4" s="334" t="s">
        <v>61</v>
      </c>
      <c r="C4" s="334"/>
      <c r="D4" s="334"/>
      <c r="E4" s="334"/>
      <c r="F4" s="334"/>
      <c r="G4" s="334"/>
      <c r="H4" s="334"/>
      <c r="I4" s="334"/>
      <c r="J4" s="334"/>
      <c r="K4" s="334"/>
      <c r="M4" s="334" t="s">
        <v>62</v>
      </c>
      <c r="N4" s="334"/>
      <c r="O4" s="334"/>
      <c r="P4" s="334"/>
      <c r="Q4" s="334"/>
      <c r="R4" s="334"/>
      <c r="S4" s="334"/>
      <c r="T4" s="334"/>
      <c r="U4" s="334"/>
      <c r="V4" s="334"/>
    </row>
    <row r="5" spans="1:39" ht="12" customHeight="1">
      <c r="A5" s="94" t="s">
        <v>66</v>
      </c>
      <c r="B5" s="104"/>
      <c r="C5" s="142"/>
      <c r="D5" s="142"/>
      <c r="E5" s="142"/>
      <c r="F5" s="142"/>
      <c r="G5" s="142"/>
      <c r="H5" s="142"/>
      <c r="I5" s="142"/>
      <c r="J5" s="16"/>
      <c r="K5" s="16"/>
      <c r="L5" s="142"/>
      <c r="M5" s="142"/>
      <c r="N5" s="142"/>
      <c r="O5" s="142"/>
      <c r="P5" s="142"/>
      <c r="Q5" s="142"/>
      <c r="R5" s="142"/>
      <c r="S5" s="142"/>
      <c r="T5" s="142"/>
      <c r="U5" s="16"/>
      <c r="V5" s="16"/>
    </row>
    <row r="6" spans="1:39" ht="12" customHeight="1">
      <c r="A6" s="99">
        <v>1976</v>
      </c>
      <c r="B6" s="142">
        <v>9648</v>
      </c>
      <c r="C6" s="57">
        <v>180</v>
      </c>
      <c r="D6" s="57">
        <v>183</v>
      </c>
      <c r="E6" s="57">
        <v>88</v>
      </c>
      <c r="F6" s="57">
        <v>93</v>
      </c>
      <c r="G6" s="57">
        <v>2</v>
      </c>
      <c r="H6" s="57">
        <v>0</v>
      </c>
      <c r="I6" s="57">
        <v>455</v>
      </c>
      <c r="J6" s="57">
        <f t="shared" ref="J6:J47" si="0">SUM(C6:G6)</f>
        <v>546</v>
      </c>
      <c r="K6" s="57">
        <f t="shared" ref="K6:K47" si="1">SUM(B6:I6)</f>
        <v>10649</v>
      </c>
      <c r="L6" s="57"/>
      <c r="M6" s="57">
        <v>0</v>
      </c>
      <c r="N6" s="57">
        <v>0</v>
      </c>
      <c r="O6" s="57">
        <v>48</v>
      </c>
      <c r="P6" s="57">
        <v>27</v>
      </c>
      <c r="Q6" s="57">
        <v>26</v>
      </c>
      <c r="R6" s="57">
        <v>13</v>
      </c>
      <c r="S6" s="57">
        <v>6</v>
      </c>
      <c r="T6" s="57">
        <v>4</v>
      </c>
      <c r="U6" s="57">
        <f t="shared" ref="U6:U51" si="2">SUM(N6:R6)</f>
        <v>114</v>
      </c>
      <c r="V6" s="57">
        <f t="shared" ref="V6:V51" si="3">SUM(M6:T6)</f>
        <v>124</v>
      </c>
      <c r="W6" s="132"/>
      <c r="X6" s="132"/>
      <c r="Y6" s="132"/>
      <c r="Z6" s="132"/>
      <c r="AA6" s="132"/>
      <c r="AB6" s="132"/>
      <c r="AC6" s="132"/>
      <c r="AD6" s="132"/>
      <c r="AF6" s="131"/>
      <c r="AG6" s="131"/>
      <c r="AH6" s="131"/>
      <c r="AI6" s="131"/>
      <c r="AJ6" s="131"/>
      <c r="AK6" s="131"/>
      <c r="AL6" s="131"/>
      <c r="AM6" s="131"/>
    </row>
    <row r="7" spans="1:39" ht="12" customHeight="1">
      <c r="A7" s="99">
        <v>1977</v>
      </c>
      <c r="B7" s="142">
        <v>7847</v>
      </c>
      <c r="C7" s="57">
        <v>326</v>
      </c>
      <c r="D7" s="57">
        <v>560</v>
      </c>
      <c r="E7" s="57">
        <v>74</v>
      </c>
      <c r="F7" s="57">
        <v>102</v>
      </c>
      <c r="G7" s="57">
        <v>61</v>
      </c>
      <c r="H7" s="57">
        <v>8</v>
      </c>
      <c r="I7" s="57">
        <v>632</v>
      </c>
      <c r="J7" s="57">
        <f t="shared" si="0"/>
        <v>1123</v>
      </c>
      <c r="K7" s="57">
        <f t="shared" si="1"/>
        <v>9610</v>
      </c>
      <c r="L7" s="57"/>
      <c r="M7" s="57">
        <v>0</v>
      </c>
      <c r="N7" s="57">
        <v>50</v>
      </c>
      <c r="O7" s="57">
        <v>35</v>
      </c>
      <c r="P7" s="57">
        <v>97</v>
      </c>
      <c r="Q7" s="57">
        <v>432</v>
      </c>
      <c r="R7" s="57">
        <v>248</v>
      </c>
      <c r="S7" s="57">
        <v>4</v>
      </c>
      <c r="T7" s="57">
        <v>4</v>
      </c>
      <c r="U7" s="57">
        <f t="shared" si="2"/>
        <v>862</v>
      </c>
      <c r="V7" s="57">
        <f t="shared" si="3"/>
        <v>870</v>
      </c>
      <c r="W7" s="132"/>
      <c r="X7" s="132"/>
      <c r="Y7" s="132"/>
      <c r="Z7" s="132"/>
      <c r="AA7" s="132"/>
      <c r="AB7" s="132"/>
      <c r="AC7" s="132"/>
      <c r="AD7" s="132"/>
      <c r="AF7" s="131"/>
      <c r="AG7" s="131"/>
      <c r="AH7" s="131"/>
      <c r="AI7" s="131"/>
      <c r="AJ7" s="131"/>
      <c r="AK7" s="131"/>
      <c r="AL7" s="131"/>
      <c r="AM7" s="131"/>
    </row>
    <row r="8" spans="1:39" ht="12" customHeight="1">
      <c r="A8" s="99">
        <v>1978</v>
      </c>
      <c r="B8" s="142">
        <v>8983</v>
      </c>
      <c r="C8" s="57">
        <v>914</v>
      </c>
      <c r="D8" s="57">
        <v>2036</v>
      </c>
      <c r="E8" s="57">
        <v>183</v>
      </c>
      <c r="F8" s="57">
        <v>172</v>
      </c>
      <c r="G8" s="57">
        <v>48</v>
      </c>
      <c r="H8" s="57">
        <v>26</v>
      </c>
      <c r="I8" s="57">
        <v>913</v>
      </c>
      <c r="J8" s="57">
        <f t="shared" si="0"/>
        <v>3353</v>
      </c>
      <c r="K8" s="57">
        <f t="shared" si="1"/>
        <v>13275</v>
      </c>
      <c r="L8" s="57"/>
      <c r="M8" s="57">
        <v>1805</v>
      </c>
      <c r="N8" s="57">
        <v>53</v>
      </c>
      <c r="O8" s="57">
        <v>910</v>
      </c>
      <c r="P8" s="57">
        <v>119</v>
      </c>
      <c r="Q8" s="57">
        <v>116</v>
      </c>
      <c r="R8" s="57">
        <v>362</v>
      </c>
      <c r="S8" s="57">
        <v>8</v>
      </c>
      <c r="T8" s="57">
        <v>266</v>
      </c>
      <c r="U8" s="57">
        <f t="shared" si="2"/>
        <v>1560</v>
      </c>
      <c r="V8" s="57">
        <f t="shared" si="3"/>
        <v>3639</v>
      </c>
      <c r="W8" s="132"/>
      <c r="X8" s="132"/>
      <c r="Y8" s="132"/>
      <c r="Z8" s="132"/>
      <c r="AA8" s="132"/>
      <c r="AB8" s="132"/>
      <c r="AC8" s="132"/>
      <c r="AD8" s="132"/>
      <c r="AF8" s="131"/>
      <c r="AG8" s="131"/>
      <c r="AH8" s="131"/>
      <c r="AI8" s="131"/>
      <c r="AJ8" s="131"/>
      <c r="AK8" s="131"/>
      <c r="AL8" s="131"/>
      <c r="AM8" s="131"/>
    </row>
    <row r="9" spans="1:39" ht="12" customHeight="1">
      <c r="A9" s="99">
        <v>1979</v>
      </c>
      <c r="B9" s="142">
        <v>6588</v>
      </c>
      <c r="C9" s="57">
        <v>359</v>
      </c>
      <c r="D9" s="57">
        <v>412</v>
      </c>
      <c r="E9" s="57">
        <v>94</v>
      </c>
      <c r="F9" s="57">
        <v>123</v>
      </c>
      <c r="G9" s="57">
        <v>21</v>
      </c>
      <c r="H9" s="57">
        <v>3</v>
      </c>
      <c r="I9" s="57">
        <v>836</v>
      </c>
      <c r="J9" s="57">
        <f t="shared" si="0"/>
        <v>1009</v>
      </c>
      <c r="K9" s="57">
        <f t="shared" si="1"/>
        <v>8436</v>
      </c>
      <c r="L9" s="57"/>
      <c r="M9" s="57">
        <v>175</v>
      </c>
      <c r="N9" s="57">
        <v>7</v>
      </c>
      <c r="O9" s="57">
        <v>1443</v>
      </c>
      <c r="P9" s="57">
        <v>629</v>
      </c>
      <c r="Q9" s="57">
        <v>677</v>
      </c>
      <c r="R9" s="57">
        <v>98</v>
      </c>
      <c r="S9" s="57">
        <v>3</v>
      </c>
      <c r="T9" s="57">
        <v>30</v>
      </c>
      <c r="U9" s="57">
        <f t="shared" si="2"/>
        <v>2854</v>
      </c>
      <c r="V9" s="57">
        <f t="shared" si="3"/>
        <v>3062</v>
      </c>
      <c r="W9" s="132"/>
      <c r="X9" s="132"/>
      <c r="Y9" s="132"/>
      <c r="Z9" s="132"/>
      <c r="AA9" s="132"/>
      <c r="AB9" s="132"/>
      <c r="AC9" s="132"/>
      <c r="AD9" s="132"/>
      <c r="AF9" s="131"/>
      <c r="AG9" s="131"/>
      <c r="AH9" s="131"/>
      <c r="AI9" s="131"/>
      <c r="AJ9" s="131"/>
      <c r="AK9" s="131"/>
      <c r="AL9" s="131"/>
      <c r="AM9" s="131"/>
    </row>
    <row r="10" spans="1:39" ht="12" customHeight="1">
      <c r="A10" s="99">
        <v>1980</v>
      </c>
      <c r="B10" s="142">
        <v>9539</v>
      </c>
      <c r="C10" s="57">
        <v>23</v>
      </c>
      <c r="D10" s="57">
        <v>12</v>
      </c>
      <c r="E10" s="57">
        <v>51</v>
      </c>
      <c r="F10" s="57">
        <v>27</v>
      </c>
      <c r="G10" s="57">
        <v>3</v>
      </c>
      <c r="H10" s="57">
        <v>13</v>
      </c>
      <c r="I10" s="57">
        <v>1044</v>
      </c>
      <c r="J10" s="57">
        <f t="shared" si="0"/>
        <v>116</v>
      </c>
      <c r="K10" s="57">
        <f t="shared" si="1"/>
        <v>10712</v>
      </c>
      <c r="L10" s="57"/>
      <c r="M10" s="57">
        <v>52</v>
      </c>
      <c r="N10" s="57">
        <v>3</v>
      </c>
      <c r="O10" s="57">
        <v>59</v>
      </c>
      <c r="P10" s="57">
        <v>81</v>
      </c>
      <c r="Q10" s="57">
        <v>7</v>
      </c>
      <c r="R10" s="57">
        <v>40</v>
      </c>
      <c r="S10" s="57">
        <v>6</v>
      </c>
      <c r="T10" s="57">
        <v>3</v>
      </c>
      <c r="U10" s="57">
        <f t="shared" si="2"/>
        <v>190</v>
      </c>
      <c r="V10" s="57">
        <f t="shared" si="3"/>
        <v>251</v>
      </c>
      <c r="W10" s="132"/>
      <c r="X10" s="132"/>
      <c r="Y10" s="132"/>
      <c r="Z10" s="132"/>
      <c r="AA10" s="132"/>
      <c r="AB10" s="132"/>
      <c r="AC10" s="132"/>
      <c r="AD10" s="132"/>
      <c r="AF10" s="131"/>
      <c r="AG10" s="131"/>
      <c r="AH10" s="131"/>
      <c r="AI10" s="131"/>
      <c r="AJ10" s="131"/>
      <c r="AK10" s="131"/>
      <c r="AL10" s="131"/>
      <c r="AM10" s="131"/>
    </row>
    <row r="11" spans="1:39" ht="12" customHeight="1">
      <c r="A11" s="99">
        <v>1981</v>
      </c>
      <c r="B11" s="142">
        <v>12776</v>
      </c>
      <c r="C11" s="57">
        <v>1130</v>
      </c>
      <c r="D11" s="57">
        <v>316</v>
      </c>
      <c r="E11" s="57">
        <v>130</v>
      </c>
      <c r="F11" s="57">
        <v>44</v>
      </c>
      <c r="G11" s="57">
        <v>33</v>
      </c>
      <c r="H11" s="57">
        <v>26</v>
      </c>
      <c r="I11" s="57">
        <v>1495</v>
      </c>
      <c r="J11" s="57">
        <f t="shared" si="0"/>
        <v>1653</v>
      </c>
      <c r="K11" s="57">
        <f t="shared" si="1"/>
        <v>15950</v>
      </c>
      <c r="L11" s="57"/>
      <c r="M11" s="57">
        <v>117</v>
      </c>
      <c r="N11" s="57">
        <v>1129</v>
      </c>
      <c r="O11" s="57">
        <v>454</v>
      </c>
      <c r="P11" s="57">
        <v>453</v>
      </c>
      <c r="Q11" s="57">
        <v>616</v>
      </c>
      <c r="R11" s="57">
        <v>180</v>
      </c>
      <c r="S11" s="57">
        <v>13</v>
      </c>
      <c r="T11" s="57">
        <v>14</v>
      </c>
      <c r="U11" s="57">
        <f t="shared" si="2"/>
        <v>2832</v>
      </c>
      <c r="V11" s="57">
        <f t="shared" si="3"/>
        <v>2976</v>
      </c>
      <c r="W11" s="132"/>
      <c r="X11" s="132"/>
      <c r="Y11" s="132"/>
      <c r="Z11" s="132"/>
      <c r="AA11" s="132"/>
      <c r="AB11" s="132"/>
      <c r="AC11" s="132"/>
      <c r="AD11" s="132"/>
      <c r="AF11" s="131"/>
      <c r="AG11" s="131"/>
      <c r="AH11" s="131"/>
      <c r="AI11" s="131"/>
      <c r="AJ11" s="131"/>
      <c r="AK11" s="131"/>
      <c r="AL11" s="131"/>
      <c r="AM11" s="131"/>
    </row>
    <row r="12" spans="1:39" ht="12" customHeight="1">
      <c r="A12" s="99">
        <v>1982</v>
      </c>
      <c r="B12" s="142">
        <v>17941</v>
      </c>
      <c r="C12" s="57">
        <v>384</v>
      </c>
      <c r="D12" s="57">
        <v>287</v>
      </c>
      <c r="E12" s="57">
        <v>111</v>
      </c>
      <c r="F12" s="57">
        <v>100</v>
      </c>
      <c r="G12" s="57">
        <v>99</v>
      </c>
      <c r="H12" s="57">
        <v>196</v>
      </c>
      <c r="I12" s="57">
        <v>487</v>
      </c>
      <c r="J12" s="57">
        <f t="shared" si="0"/>
        <v>981</v>
      </c>
      <c r="K12" s="57">
        <f t="shared" si="1"/>
        <v>19605</v>
      </c>
      <c r="L12" s="57"/>
      <c r="M12" s="57">
        <v>37</v>
      </c>
      <c r="N12" s="57">
        <v>33</v>
      </c>
      <c r="O12" s="57">
        <v>232</v>
      </c>
      <c r="P12" s="57">
        <v>912</v>
      </c>
      <c r="Q12" s="57">
        <v>2356</v>
      </c>
      <c r="R12" s="57">
        <v>559</v>
      </c>
      <c r="S12" s="57">
        <v>41</v>
      </c>
      <c r="T12" s="57">
        <v>9</v>
      </c>
      <c r="U12" s="57">
        <f t="shared" si="2"/>
        <v>4092</v>
      </c>
      <c r="V12" s="57">
        <f t="shared" si="3"/>
        <v>4179</v>
      </c>
      <c r="W12" s="132"/>
      <c r="X12" s="132"/>
      <c r="Y12" s="132"/>
      <c r="Z12" s="132"/>
      <c r="AA12" s="132"/>
      <c r="AB12" s="132"/>
      <c r="AC12" s="132"/>
      <c r="AD12" s="132"/>
      <c r="AF12" s="131"/>
      <c r="AG12" s="131"/>
      <c r="AH12" s="131"/>
      <c r="AI12" s="131"/>
      <c r="AJ12" s="131"/>
      <c r="AK12" s="131"/>
      <c r="AL12" s="131"/>
      <c r="AM12" s="131"/>
    </row>
    <row r="13" spans="1:39" ht="12" customHeight="1">
      <c r="A13" s="99">
        <v>1983</v>
      </c>
      <c r="B13" s="142">
        <v>16562</v>
      </c>
      <c r="C13" s="57">
        <v>1798</v>
      </c>
      <c r="D13" s="57">
        <v>530</v>
      </c>
      <c r="E13" s="57">
        <v>93</v>
      </c>
      <c r="F13" s="57">
        <v>85</v>
      </c>
      <c r="G13" s="57">
        <v>5</v>
      </c>
      <c r="H13" s="57">
        <v>65</v>
      </c>
      <c r="I13" s="57">
        <v>964</v>
      </c>
      <c r="J13" s="57">
        <f t="shared" si="0"/>
        <v>2511</v>
      </c>
      <c r="K13" s="57">
        <f t="shared" si="1"/>
        <v>20102</v>
      </c>
      <c r="L13" s="57"/>
      <c r="M13" s="57">
        <v>30</v>
      </c>
      <c r="N13" s="57">
        <v>61</v>
      </c>
      <c r="O13" s="57">
        <v>209</v>
      </c>
      <c r="P13" s="57">
        <v>1263</v>
      </c>
      <c r="Q13" s="57">
        <v>1894</v>
      </c>
      <c r="R13" s="57">
        <v>143</v>
      </c>
      <c r="S13" s="57">
        <v>17</v>
      </c>
      <c r="T13" s="57">
        <v>4</v>
      </c>
      <c r="U13" s="57">
        <f t="shared" si="2"/>
        <v>3570</v>
      </c>
      <c r="V13" s="57">
        <f t="shared" si="3"/>
        <v>3621</v>
      </c>
      <c r="W13" s="132"/>
      <c r="X13" s="132"/>
      <c r="Y13" s="132"/>
      <c r="Z13" s="132"/>
      <c r="AA13" s="132"/>
      <c r="AB13" s="132"/>
      <c r="AC13" s="132"/>
      <c r="AD13" s="132"/>
      <c r="AF13" s="131"/>
      <c r="AG13" s="131"/>
      <c r="AH13" s="131"/>
      <c r="AI13" s="131"/>
      <c r="AJ13" s="131"/>
      <c r="AK13" s="131"/>
      <c r="AL13" s="131"/>
      <c r="AM13" s="131"/>
    </row>
    <row r="14" spans="1:39" ht="12" customHeight="1">
      <c r="A14" s="99">
        <v>1984</v>
      </c>
      <c r="B14" s="142">
        <v>13063</v>
      </c>
      <c r="C14" s="57">
        <v>683</v>
      </c>
      <c r="D14" s="57">
        <v>106</v>
      </c>
      <c r="E14" s="57">
        <v>55</v>
      </c>
      <c r="F14" s="57">
        <v>1</v>
      </c>
      <c r="G14" s="57">
        <v>0</v>
      </c>
      <c r="H14" s="57">
        <v>142</v>
      </c>
      <c r="I14" s="57">
        <v>577</v>
      </c>
      <c r="J14" s="57">
        <f t="shared" si="0"/>
        <v>845</v>
      </c>
      <c r="K14" s="57">
        <f t="shared" si="1"/>
        <v>14627</v>
      </c>
      <c r="L14" s="57"/>
      <c r="M14" s="57">
        <v>18</v>
      </c>
      <c r="N14" s="57">
        <v>0</v>
      </c>
      <c r="O14" s="57">
        <v>0</v>
      </c>
      <c r="P14" s="57">
        <v>1295</v>
      </c>
      <c r="Q14" s="57">
        <v>66</v>
      </c>
      <c r="R14" s="57">
        <v>0</v>
      </c>
      <c r="S14" s="57">
        <v>71</v>
      </c>
      <c r="T14" s="57">
        <v>4</v>
      </c>
      <c r="U14" s="57">
        <f t="shared" si="2"/>
        <v>1361</v>
      </c>
      <c r="V14" s="57">
        <f t="shared" si="3"/>
        <v>1454</v>
      </c>
      <c r="W14" s="132"/>
      <c r="X14" s="132"/>
      <c r="Y14" s="132"/>
      <c r="Z14" s="132"/>
      <c r="AA14" s="132"/>
      <c r="AB14" s="132"/>
      <c r="AC14" s="132"/>
      <c r="AD14" s="132"/>
      <c r="AF14" s="131"/>
      <c r="AG14" s="131"/>
      <c r="AH14" s="131"/>
      <c r="AI14" s="131"/>
      <c r="AJ14" s="131"/>
      <c r="AK14" s="131"/>
      <c r="AL14" s="131"/>
      <c r="AM14" s="131"/>
    </row>
    <row r="15" spans="1:39" ht="12" customHeight="1">
      <c r="A15" s="99">
        <v>1985</v>
      </c>
      <c r="B15" s="142">
        <v>5201</v>
      </c>
      <c r="C15" s="57">
        <v>1335</v>
      </c>
      <c r="D15" s="57">
        <v>0</v>
      </c>
      <c r="E15" s="57">
        <v>80</v>
      </c>
      <c r="F15" s="57">
        <v>15</v>
      </c>
      <c r="G15" s="57">
        <v>6</v>
      </c>
      <c r="H15" s="57">
        <v>295</v>
      </c>
      <c r="I15" s="57">
        <v>592</v>
      </c>
      <c r="J15" s="57">
        <f t="shared" si="0"/>
        <v>1436</v>
      </c>
      <c r="K15" s="57">
        <f t="shared" si="1"/>
        <v>7524</v>
      </c>
      <c r="L15" s="57"/>
      <c r="M15" s="57">
        <v>6</v>
      </c>
      <c r="N15" s="57">
        <v>0</v>
      </c>
      <c r="O15" s="57">
        <v>25</v>
      </c>
      <c r="P15" s="57">
        <v>204</v>
      </c>
      <c r="Q15" s="57">
        <v>141</v>
      </c>
      <c r="R15" s="57">
        <v>156</v>
      </c>
      <c r="S15" s="57">
        <v>37</v>
      </c>
      <c r="T15" s="57">
        <v>4</v>
      </c>
      <c r="U15" s="57">
        <f t="shared" si="2"/>
        <v>526</v>
      </c>
      <c r="V15" s="57">
        <f t="shared" si="3"/>
        <v>573</v>
      </c>
      <c r="W15" s="132"/>
      <c r="X15" s="132"/>
      <c r="Y15" s="132"/>
      <c r="Z15" s="132"/>
      <c r="AA15" s="132"/>
      <c r="AB15" s="132"/>
      <c r="AC15" s="132"/>
      <c r="AD15" s="132"/>
      <c r="AF15" s="131"/>
      <c r="AG15" s="131"/>
      <c r="AH15" s="131"/>
      <c r="AI15" s="131"/>
      <c r="AJ15" s="131"/>
      <c r="AK15" s="131"/>
      <c r="AL15" s="131"/>
      <c r="AM15" s="131"/>
    </row>
    <row r="16" spans="1:39" ht="12" customHeight="1">
      <c r="A16" s="99">
        <v>1986</v>
      </c>
      <c r="B16" s="142">
        <v>3299</v>
      </c>
      <c r="C16" s="57">
        <v>1243</v>
      </c>
      <c r="D16" s="57">
        <v>539</v>
      </c>
      <c r="E16" s="57">
        <v>86</v>
      </c>
      <c r="F16" s="57">
        <v>81</v>
      </c>
      <c r="G16" s="57">
        <v>0</v>
      </c>
      <c r="H16" s="57">
        <v>0</v>
      </c>
      <c r="I16" s="57">
        <v>615</v>
      </c>
      <c r="J16" s="57">
        <f t="shared" si="0"/>
        <v>1949</v>
      </c>
      <c r="K16" s="57">
        <f t="shared" si="1"/>
        <v>5863</v>
      </c>
      <c r="L16" s="57"/>
      <c r="M16" s="57">
        <v>6</v>
      </c>
      <c r="N16" s="57">
        <v>0</v>
      </c>
      <c r="O16" s="57">
        <v>221</v>
      </c>
      <c r="P16" s="57">
        <v>2090</v>
      </c>
      <c r="Q16" s="57">
        <v>4709</v>
      </c>
      <c r="R16" s="57">
        <v>13</v>
      </c>
      <c r="S16" s="57">
        <v>0</v>
      </c>
      <c r="T16" s="57">
        <v>8</v>
      </c>
      <c r="U16" s="57">
        <f t="shared" si="2"/>
        <v>7033</v>
      </c>
      <c r="V16" s="57">
        <f t="shared" si="3"/>
        <v>7047</v>
      </c>
      <c r="W16" s="132"/>
      <c r="X16" s="132"/>
      <c r="Y16" s="132"/>
      <c r="Z16" s="132"/>
      <c r="AA16" s="132"/>
      <c r="AB16" s="132"/>
      <c r="AC16" s="132"/>
      <c r="AD16" s="132"/>
      <c r="AF16" s="131"/>
      <c r="AG16" s="131"/>
      <c r="AH16" s="131"/>
      <c r="AI16" s="131"/>
      <c r="AJ16" s="131"/>
      <c r="AK16" s="131"/>
      <c r="AL16" s="131"/>
      <c r="AM16" s="131"/>
    </row>
    <row r="17" spans="1:39" ht="12" customHeight="1">
      <c r="A17" s="99">
        <v>1987</v>
      </c>
      <c r="B17" s="142">
        <v>8410</v>
      </c>
      <c r="C17" s="57">
        <v>1044</v>
      </c>
      <c r="D17" s="57">
        <v>0</v>
      </c>
      <c r="E17" s="57">
        <v>87</v>
      </c>
      <c r="F17" s="57">
        <v>218</v>
      </c>
      <c r="G17" s="57">
        <v>0</v>
      </c>
      <c r="H17" s="57">
        <v>52</v>
      </c>
      <c r="I17" s="57">
        <v>1530</v>
      </c>
      <c r="J17" s="57">
        <f t="shared" si="0"/>
        <v>1349</v>
      </c>
      <c r="K17" s="57">
        <f t="shared" si="1"/>
        <v>11341</v>
      </c>
      <c r="L17" s="57"/>
      <c r="M17" s="57">
        <v>31</v>
      </c>
      <c r="N17" s="57">
        <v>1</v>
      </c>
      <c r="O17" s="57">
        <v>0</v>
      </c>
      <c r="P17" s="57">
        <v>2136</v>
      </c>
      <c r="Q17" s="57">
        <v>2970</v>
      </c>
      <c r="R17" s="57">
        <v>0</v>
      </c>
      <c r="S17" s="57">
        <v>33</v>
      </c>
      <c r="T17" s="57">
        <v>0</v>
      </c>
      <c r="U17" s="57">
        <f t="shared" si="2"/>
        <v>5107</v>
      </c>
      <c r="V17" s="57">
        <f t="shared" si="3"/>
        <v>5171</v>
      </c>
      <c r="W17" s="132"/>
      <c r="X17" s="132"/>
      <c r="Y17" s="132"/>
      <c r="Z17" s="132"/>
      <c r="AA17" s="132"/>
      <c r="AB17" s="132"/>
      <c r="AC17" s="132"/>
      <c r="AD17" s="132"/>
      <c r="AF17" s="131"/>
      <c r="AG17" s="131"/>
      <c r="AH17" s="131"/>
      <c r="AI17" s="131"/>
      <c r="AJ17" s="131"/>
      <c r="AK17" s="131"/>
      <c r="AL17" s="131"/>
      <c r="AM17" s="131"/>
    </row>
    <row r="18" spans="1:39" ht="12" customHeight="1">
      <c r="A18" s="99">
        <v>1988</v>
      </c>
      <c r="B18" s="142">
        <v>6958</v>
      </c>
      <c r="C18" s="57">
        <v>5080</v>
      </c>
      <c r="D18" s="57">
        <v>1903</v>
      </c>
      <c r="E18" s="57">
        <v>189</v>
      </c>
      <c r="F18" s="57">
        <v>68</v>
      </c>
      <c r="G18" s="57">
        <v>2</v>
      </c>
      <c r="H18" s="57">
        <v>0</v>
      </c>
      <c r="I18" s="57">
        <v>1265</v>
      </c>
      <c r="J18" s="57">
        <f t="shared" si="0"/>
        <v>7242</v>
      </c>
      <c r="K18" s="57">
        <f t="shared" si="1"/>
        <v>15465</v>
      </c>
      <c r="L18" s="57"/>
      <c r="M18" s="57">
        <v>3</v>
      </c>
      <c r="N18" s="57">
        <v>0</v>
      </c>
      <c r="O18" s="57">
        <v>101</v>
      </c>
      <c r="P18" s="57">
        <v>151</v>
      </c>
      <c r="Q18" s="57">
        <v>4379</v>
      </c>
      <c r="R18" s="57">
        <v>21</v>
      </c>
      <c r="S18" s="57">
        <v>0</v>
      </c>
      <c r="T18" s="57">
        <v>15</v>
      </c>
      <c r="U18" s="57">
        <f t="shared" si="2"/>
        <v>4652</v>
      </c>
      <c r="V18" s="57">
        <f t="shared" si="3"/>
        <v>4670</v>
      </c>
      <c r="W18" s="132"/>
      <c r="X18" s="132"/>
      <c r="Y18" s="132"/>
      <c r="Z18" s="132"/>
      <c r="AA18" s="132"/>
      <c r="AB18" s="132"/>
      <c r="AC18" s="132"/>
      <c r="AD18" s="132"/>
      <c r="AF18" s="131"/>
      <c r="AG18" s="131"/>
      <c r="AH18" s="131"/>
      <c r="AI18" s="131"/>
      <c r="AJ18" s="131"/>
      <c r="AK18" s="131"/>
      <c r="AL18" s="131"/>
      <c r="AM18" s="131"/>
    </row>
    <row r="19" spans="1:39" ht="12" customHeight="1">
      <c r="A19" s="99">
        <v>1989</v>
      </c>
      <c r="B19" s="142">
        <v>4395</v>
      </c>
      <c r="C19" s="57">
        <v>2409</v>
      </c>
      <c r="D19" s="57">
        <v>1602</v>
      </c>
      <c r="E19" s="57">
        <v>580</v>
      </c>
      <c r="F19" s="57">
        <v>173</v>
      </c>
      <c r="G19" s="57">
        <v>109</v>
      </c>
      <c r="H19" s="57">
        <v>0</v>
      </c>
      <c r="I19" s="57">
        <v>8741</v>
      </c>
      <c r="J19" s="57">
        <f t="shared" si="0"/>
        <v>4873</v>
      </c>
      <c r="K19" s="57">
        <f t="shared" si="1"/>
        <v>18009</v>
      </c>
      <c r="L19" s="57"/>
      <c r="M19" s="57">
        <v>1</v>
      </c>
      <c r="N19" s="57">
        <v>0</v>
      </c>
      <c r="O19" s="57">
        <v>0</v>
      </c>
      <c r="P19" s="57">
        <v>4559</v>
      </c>
      <c r="Q19" s="57">
        <v>3941</v>
      </c>
      <c r="R19" s="57">
        <v>3085</v>
      </c>
      <c r="S19" s="57">
        <v>0</v>
      </c>
      <c r="T19" s="57">
        <v>32</v>
      </c>
      <c r="U19" s="57">
        <f t="shared" si="2"/>
        <v>11585</v>
      </c>
      <c r="V19" s="57">
        <f t="shared" si="3"/>
        <v>11618</v>
      </c>
      <c r="W19" s="132"/>
      <c r="X19" s="132"/>
      <c r="Y19" s="132"/>
      <c r="Z19" s="132"/>
      <c r="AA19" s="132"/>
      <c r="AB19" s="132"/>
      <c r="AC19" s="132"/>
      <c r="AD19" s="132"/>
      <c r="AF19" s="131"/>
      <c r="AG19" s="131"/>
      <c r="AH19" s="131"/>
      <c r="AI19" s="131"/>
      <c r="AJ19" s="131"/>
      <c r="AK19" s="131"/>
      <c r="AL19" s="131"/>
      <c r="AM19" s="131"/>
    </row>
    <row r="20" spans="1:39" ht="12" customHeight="1">
      <c r="A20" s="99">
        <v>1990</v>
      </c>
      <c r="B20" s="142">
        <v>6982</v>
      </c>
      <c r="C20" s="57">
        <v>2924</v>
      </c>
      <c r="D20" s="57">
        <v>4685</v>
      </c>
      <c r="E20" s="57">
        <v>479</v>
      </c>
      <c r="F20" s="57">
        <v>1075</v>
      </c>
      <c r="G20" s="57">
        <v>206</v>
      </c>
      <c r="H20" s="57">
        <v>8</v>
      </c>
      <c r="I20" s="57">
        <v>1234</v>
      </c>
      <c r="J20" s="57">
        <f t="shared" si="0"/>
        <v>9369</v>
      </c>
      <c r="K20" s="57">
        <f t="shared" si="1"/>
        <v>17593</v>
      </c>
      <c r="L20" s="57"/>
      <c r="M20" s="57">
        <v>2</v>
      </c>
      <c r="N20" s="57">
        <v>0</v>
      </c>
      <c r="O20" s="57">
        <v>1</v>
      </c>
      <c r="P20" s="57">
        <v>1814</v>
      </c>
      <c r="Q20" s="57">
        <v>22833</v>
      </c>
      <c r="R20" s="57">
        <v>944</v>
      </c>
      <c r="S20" s="57">
        <v>1</v>
      </c>
      <c r="T20" s="57">
        <v>8</v>
      </c>
      <c r="U20" s="57">
        <f t="shared" si="2"/>
        <v>25592</v>
      </c>
      <c r="V20" s="57">
        <f t="shared" si="3"/>
        <v>25603</v>
      </c>
      <c r="W20" s="132"/>
      <c r="X20" s="132"/>
      <c r="Y20" s="132"/>
      <c r="Z20" s="132"/>
      <c r="AA20" s="132"/>
      <c r="AB20" s="132"/>
      <c r="AC20" s="132"/>
      <c r="AD20" s="132"/>
      <c r="AF20" s="131"/>
      <c r="AG20" s="131"/>
      <c r="AH20" s="131"/>
      <c r="AI20" s="131"/>
      <c r="AJ20" s="131"/>
      <c r="AK20" s="131"/>
      <c r="AL20" s="131"/>
      <c r="AM20" s="131"/>
    </row>
    <row r="21" spans="1:39" ht="12" customHeight="1">
      <c r="A21" s="99">
        <v>1991</v>
      </c>
      <c r="B21" s="142">
        <v>5203</v>
      </c>
      <c r="C21" s="57">
        <v>740</v>
      </c>
      <c r="D21" s="57">
        <v>418</v>
      </c>
      <c r="E21" s="57">
        <v>97</v>
      </c>
      <c r="F21" s="57">
        <v>327</v>
      </c>
      <c r="G21" s="57">
        <v>0</v>
      </c>
      <c r="H21" s="57">
        <v>147</v>
      </c>
      <c r="I21" s="57">
        <v>714</v>
      </c>
      <c r="J21" s="57">
        <f t="shared" si="0"/>
        <v>1582</v>
      </c>
      <c r="K21" s="57">
        <f t="shared" si="1"/>
        <v>7646</v>
      </c>
      <c r="L21" s="57"/>
      <c r="M21" s="57">
        <v>8</v>
      </c>
      <c r="N21" s="57">
        <v>0</v>
      </c>
      <c r="O21" s="57">
        <v>0</v>
      </c>
      <c r="P21" s="57">
        <v>987</v>
      </c>
      <c r="Q21" s="57">
        <v>6685</v>
      </c>
      <c r="R21" s="57">
        <v>0</v>
      </c>
      <c r="S21" s="57">
        <v>498</v>
      </c>
      <c r="T21" s="57">
        <v>15</v>
      </c>
      <c r="U21" s="57">
        <f t="shared" si="2"/>
        <v>7672</v>
      </c>
      <c r="V21" s="57">
        <f t="shared" si="3"/>
        <v>8193</v>
      </c>
      <c r="W21" s="132"/>
      <c r="X21" s="132"/>
      <c r="Y21" s="132"/>
      <c r="Z21" s="132"/>
      <c r="AA21" s="132"/>
      <c r="AB21" s="132"/>
      <c r="AC21" s="132"/>
      <c r="AD21" s="132"/>
      <c r="AF21" s="131"/>
      <c r="AG21" s="131"/>
      <c r="AH21" s="131"/>
      <c r="AI21" s="131"/>
      <c r="AJ21" s="131"/>
      <c r="AK21" s="131"/>
      <c r="AL21" s="131"/>
      <c r="AM21" s="131"/>
    </row>
    <row r="22" spans="1:39" ht="12" customHeight="1">
      <c r="A22" s="99">
        <v>1992</v>
      </c>
      <c r="B22" s="142">
        <v>4131</v>
      </c>
      <c r="C22" s="57">
        <v>664</v>
      </c>
      <c r="D22" s="57">
        <v>2217</v>
      </c>
      <c r="E22" s="57">
        <v>37</v>
      </c>
      <c r="F22" s="57">
        <v>800</v>
      </c>
      <c r="G22" s="57">
        <v>0</v>
      </c>
      <c r="H22" s="57" t="s">
        <v>23</v>
      </c>
      <c r="I22" s="57">
        <v>3107</v>
      </c>
      <c r="J22" s="57">
        <f t="shared" si="0"/>
        <v>3718</v>
      </c>
      <c r="K22" s="57">
        <f t="shared" si="1"/>
        <v>10956</v>
      </c>
      <c r="L22" s="57"/>
      <c r="M22" s="57">
        <v>0</v>
      </c>
      <c r="N22" s="57">
        <v>0</v>
      </c>
      <c r="O22" s="57">
        <v>0</v>
      </c>
      <c r="P22" s="57">
        <v>955</v>
      </c>
      <c r="Q22" s="57">
        <v>9265</v>
      </c>
      <c r="R22" s="57">
        <v>0</v>
      </c>
      <c r="S22" s="57">
        <v>15</v>
      </c>
      <c r="T22" s="57">
        <v>18</v>
      </c>
      <c r="U22" s="57">
        <f t="shared" si="2"/>
        <v>10220</v>
      </c>
      <c r="V22" s="57">
        <f t="shared" si="3"/>
        <v>10253</v>
      </c>
      <c r="W22" s="132"/>
      <c r="X22" s="132"/>
      <c r="Y22" s="132"/>
      <c r="Z22" s="132"/>
      <c r="AA22" s="132"/>
      <c r="AB22" s="132"/>
      <c r="AC22" s="132"/>
      <c r="AD22" s="132"/>
      <c r="AF22" s="131"/>
      <c r="AG22" s="131"/>
      <c r="AH22" s="131"/>
      <c r="AI22" s="131"/>
      <c r="AJ22" s="131"/>
      <c r="AK22" s="131"/>
      <c r="AL22" s="131"/>
      <c r="AM22" s="131"/>
    </row>
    <row r="23" spans="1:39" ht="12" customHeight="1">
      <c r="A23" s="99">
        <v>1993</v>
      </c>
      <c r="B23" s="142">
        <v>6280</v>
      </c>
      <c r="C23" s="57">
        <v>527</v>
      </c>
      <c r="D23" s="57">
        <v>1207</v>
      </c>
      <c r="E23" s="57">
        <v>166</v>
      </c>
      <c r="F23" s="57">
        <v>40</v>
      </c>
      <c r="G23" s="57">
        <v>12</v>
      </c>
      <c r="H23" s="57" t="s">
        <v>23</v>
      </c>
      <c r="I23" s="57">
        <v>544</v>
      </c>
      <c r="J23" s="57">
        <f t="shared" si="0"/>
        <v>1952</v>
      </c>
      <c r="K23" s="57">
        <f t="shared" si="1"/>
        <v>8776</v>
      </c>
      <c r="L23" s="57"/>
      <c r="M23" s="57">
        <v>1</v>
      </c>
      <c r="N23" s="57">
        <v>0</v>
      </c>
      <c r="O23" s="57">
        <v>0</v>
      </c>
      <c r="P23" s="57">
        <v>829</v>
      </c>
      <c r="Q23" s="57">
        <v>1143</v>
      </c>
      <c r="R23" s="57">
        <v>150</v>
      </c>
      <c r="S23" s="57" t="s">
        <v>23</v>
      </c>
      <c r="T23" s="57">
        <v>0</v>
      </c>
      <c r="U23" s="57">
        <f t="shared" si="2"/>
        <v>2122</v>
      </c>
      <c r="V23" s="57">
        <f t="shared" si="3"/>
        <v>2123</v>
      </c>
      <c r="W23" s="132"/>
      <c r="X23" s="132"/>
      <c r="Y23" s="132"/>
      <c r="Z23" s="132"/>
      <c r="AA23" s="132"/>
      <c r="AB23" s="132"/>
      <c r="AC23" s="132"/>
      <c r="AD23" s="132"/>
      <c r="AF23" s="131"/>
      <c r="AG23" s="131"/>
      <c r="AH23" s="131"/>
      <c r="AI23" s="131"/>
      <c r="AJ23" s="131"/>
      <c r="AK23" s="131"/>
      <c r="AL23" s="131"/>
      <c r="AM23" s="131"/>
    </row>
    <row r="24" spans="1:39" ht="12" customHeight="1">
      <c r="A24" s="99">
        <v>1994</v>
      </c>
      <c r="B24" s="142">
        <v>1116</v>
      </c>
      <c r="C24" s="57">
        <v>248</v>
      </c>
      <c r="D24" s="57">
        <v>484</v>
      </c>
      <c r="E24" s="57">
        <v>0</v>
      </c>
      <c r="F24" s="57">
        <v>0</v>
      </c>
      <c r="G24" s="57">
        <v>0</v>
      </c>
      <c r="H24" s="57" t="s">
        <v>23</v>
      </c>
      <c r="I24" s="57">
        <v>99</v>
      </c>
      <c r="J24" s="57">
        <f t="shared" si="0"/>
        <v>732</v>
      </c>
      <c r="K24" s="57">
        <f t="shared" si="1"/>
        <v>1947</v>
      </c>
      <c r="L24" s="57"/>
      <c r="M24" s="57">
        <v>0</v>
      </c>
      <c r="N24" s="57">
        <v>0</v>
      </c>
      <c r="O24" s="57">
        <v>0</v>
      </c>
      <c r="P24" s="57">
        <v>0</v>
      </c>
      <c r="Q24" s="57">
        <v>0</v>
      </c>
      <c r="R24" s="57">
        <v>0</v>
      </c>
      <c r="S24" s="57" t="s">
        <v>23</v>
      </c>
      <c r="T24" s="57">
        <v>0</v>
      </c>
      <c r="U24" s="57">
        <f t="shared" si="2"/>
        <v>0</v>
      </c>
      <c r="V24" s="57">
        <f t="shared" si="3"/>
        <v>0</v>
      </c>
      <c r="W24" s="132"/>
      <c r="X24" s="132"/>
      <c r="Y24" s="132"/>
      <c r="Z24" s="132"/>
      <c r="AA24" s="132"/>
      <c r="AB24" s="132"/>
      <c r="AC24" s="132"/>
      <c r="AD24" s="132"/>
      <c r="AF24" s="131"/>
      <c r="AG24" s="131"/>
      <c r="AH24" s="131"/>
      <c r="AI24" s="131"/>
      <c r="AJ24" s="131"/>
      <c r="AK24" s="131"/>
      <c r="AL24" s="131"/>
      <c r="AM24" s="131"/>
    </row>
    <row r="25" spans="1:39" ht="12" customHeight="1">
      <c r="A25" s="99">
        <v>1995</v>
      </c>
      <c r="B25" s="142">
        <v>1014</v>
      </c>
      <c r="C25" s="57">
        <v>158</v>
      </c>
      <c r="D25" s="57">
        <v>0</v>
      </c>
      <c r="E25" s="57">
        <v>0</v>
      </c>
      <c r="F25" s="57">
        <v>242</v>
      </c>
      <c r="G25" s="57">
        <v>0</v>
      </c>
      <c r="H25" s="57" t="s">
        <v>23</v>
      </c>
      <c r="I25" s="57">
        <v>875</v>
      </c>
      <c r="J25" s="57">
        <f t="shared" si="0"/>
        <v>400</v>
      </c>
      <c r="K25" s="57">
        <f t="shared" si="1"/>
        <v>2289</v>
      </c>
      <c r="L25" s="57"/>
      <c r="M25" s="57">
        <v>0</v>
      </c>
      <c r="N25" s="57">
        <v>0</v>
      </c>
      <c r="O25" s="57">
        <v>0</v>
      </c>
      <c r="P25" s="57">
        <v>0</v>
      </c>
      <c r="Q25" s="57">
        <v>3087</v>
      </c>
      <c r="R25" s="57">
        <v>0</v>
      </c>
      <c r="S25" s="57" t="s">
        <v>23</v>
      </c>
      <c r="T25" s="57">
        <v>0</v>
      </c>
      <c r="U25" s="57">
        <f t="shared" si="2"/>
        <v>3087</v>
      </c>
      <c r="V25" s="57">
        <f t="shared" si="3"/>
        <v>3087</v>
      </c>
      <c r="W25" s="132"/>
      <c r="X25" s="132"/>
      <c r="Y25" s="132"/>
      <c r="Z25" s="132"/>
      <c r="AA25" s="132"/>
      <c r="AB25" s="132"/>
      <c r="AC25" s="132"/>
      <c r="AD25" s="132"/>
      <c r="AF25" s="131"/>
      <c r="AG25" s="131"/>
      <c r="AH25" s="131"/>
      <c r="AI25" s="131"/>
      <c r="AJ25" s="131"/>
      <c r="AK25" s="131"/>
      <c r="AL25" s="131"/>
      <c r="AM25" s="131"/>
    </row>
    <row r="26" spans="1:39" ht="12" customHeight="1">
      <c r="A26" s="99">
        <v>1996</v>
      </c>
      <c r="B26" s="142">
        <v>2555</v>
      </c>
      <c r="C26" s="57">
        <v>437</v>
      </c>
      <c r="D26" s="57">
        <v>1440</v>
      </c>
      <c r="E26" s="57">
        <v>120</v>
      </c>
      <c r="F26" s="57">
        <v>75</v>
      </c>
      <c r="G26" s="57">
        <v>106</v>
      </c>
      <c r="H26" s="57" t="s">
        <v>23</v>
      </c>
      <c r="I26" s="57">
        <v>81</v>
      </c>
      <c r="J26" s="57">
        <f t="shared" si="0"/>
        <v>2178</v>
      </c>
      <c r="K26" s="57">
        <f t="shared" si="1"/>
        <v>4814</v>
      </c>
      <c r="L26" s="57"/>
      <c r="M26" s="57">
        <v>0</v>
      </c>
      <c r="N26" s="57">
        <v>0</v>
      </c>
      <c r="O26" s="57">
        <v>0</v>
      </c>
      <c r="P26" s="57">
        <v>0</v>
      </c>
      <c r="Q26" s="57">
        <v>936</v>
      </c>
      <c r="R26" s="57">
        <v>189</v>
      </c>
      <c r="S26" s="57" t="s">
        <v>23</v>
      </c>
      <c r="T26" s="57">
        <v>0</v>
      </c>
      <c r="U26" s="57">
        <f t="shared" si="2"/>
        <v>1125</v>
      </c>
      <c r="V26" s="57">
        <f t="shared" si="3"/>
        <v>1125</v>
      </c>
      <c r="W26" s="132"/>
      <c r="X26" s="132"/>
      <c r="Y26" s="132"/>
      <c r="Z26" s="132"/>
      <c r="AA26" s="132"/>
      <c r="AB26" s="132"/>
      <c r="AC26" s="132"/>
      <c r="AD26" s="132"/>
      <c r="AF26" s="131"/>
      <c r="AG26" s="131"/>
      <c r="AH26" s="131"/>
      <c r="AI26" s="131"/>
      <c r="AJ26" s="131"/>
      <c r="AK26" s="131"/>
      <c r="AL26" s="131"/>
      <c r="AM26" s="131"/>
    </row>
    <row r="27" spans="1:39" ht="12" customHeight="1">
      <c r="A27" s="99">
        <v>1997</v>
      </c>
      <c r="B27" s="142">
        <v>439</v>
      </c>
      <c r="C27" s="57">
        <v>644</v>
      </c>
      <c r="D27" s="57">
        <v>416</v>
      </c>
      <c r="E27" s="57">
        <v>0</v>
      </c>
      <c r="F27" s="57">
        <v>213</v>
      </c>
      <c r="G27" s="57">
        <v>26</v>
      </c>
      <c r="H27" s="57" t="s">
        <v>23</v>
      </c>
      <c r="I27" s="57">
        <v>16</v>
      </c>
      <c r="J27" s="57">
        <f t="shared" si="0"/>
        <v>1299</v>
      </c>
      <c r="K27" s="57">
        <f t="shared" si="1"/>
        <v>1754</v>
      </c>
      <c r="L27" s="57"/>
      <c r="M27" s="57">
        <v>0</v>
      </c>
      <c r="N27" s="57">
        <v>0</v>
      </c>
      <c r="O27" s="57">
        <v>0</v>
      </c>
      <c r="P27" s="57">
        <v>0</v>
      </c>
      <c r="Q27" s="57">
        <v>3517</v>
      </c>
      <c r="R27" s="57">
        <v>279</v>
      </c>
      <c r="S27" s="57" t="s">
        <v>23</v>
      </c>
      <c r="T27" s="57">
        <v>0</v>
      </c>
      <c r="U27" s="57">
        <f t="shared" si="2"/>
        <v>3796</v>
      </c>
      <c r="V27" s="57">
        <f t="shared" si="3"/>
        <v>3796</v>
      </c>
      <c r="W27" s="132"/>
      <c r="X27" s="132"/>
      <c r="Y27" s="132"/>
      <c r="Z27" s="132"/>
      <c r="AA27" s="132"/>
      <c r="AB27" s="132"/>
      <c r="AC27" s="132"/>
      <c r="AD27" s="132"/>
      <c r="AF27" s="131"/>
      <c r="AG27" s="131"/>
      <c r="AH27" s="131"/>
      <c r="AI27" s="131"/>
      <c r="AJ27" s="131"/>
      <c r="AK27" s="131"/>
      <c r="AL27" s="131"/>
      <c r="AM27" s="131"/>
    </row>
    <row r="28" spans="1:39" ht="12" customHeight="1">
      <c r="A28" s="99">
        <v>1998</v>
      </c>
      <c r="B28" s="142">
        <v>97</v>
      </c>
      <c r="C28" s="57">
        <v>92</v>
      </c>
      <c r="D28" s="57">
        <v>23</v>
      </c>
      <c r="E28" s="57">
        <v>0</v>
      </c>
      <c r="F28" s="57">
        <v>136</v>
      </c>
      <c r="G28" s="57">
        <v>21</v>
      </c>
      <c r="H28" s="57" t="s">
        <v>23</v>
      </c>
      <c r="I28" s="57">
        <v>40</v>
      </c>
      <c r="J28" s="57">
        <f t="shared" si="0"/>
        <v>272</v>
      </c>
      <c r="K28" s="57">
        <f t="shared" si="1"/>
        <v>409</v>
      </c>
      <c r="L28" s="57"/>
      <c r="M28" s="57">
        <v>0</v>
      </c>
      <c r="N28" s="57">
        <v>0</v>
      </c>
      <c r="O28" s="57">
        <v>0</v>
      </c>
      <c r="P28" s="57">
        <v>0</v>
      </c>
      <c r="Q28" s="57">
        <v>434</v>
      </c>
      <c r="R28" s="57">
        <v>175</v>
      </c>
      <c r="S28" s="57" t="s">
        <v>23</v>
      </c>
      <c r="T28" s="57">
        <v>0</v>
      </c>
      <c r="U28" s="57">
        <f t="shared" si="2"/>
        <v>609</v>
      </c>
      <c r="V28" s="57">
        <f t="shared" si="3"/>
        <v>609</v>
      </c>
      <c r="W28" s="132"/>
      <c r="X28" s="132"/>
      <c r="Y28" s="132"/>
      <c r="Z28" s="132"/>
      <c r="AA28" s="132"/>
      <c r="AB28" s="132"/>
      <c r="AC28" s="132"/>
      <c r="AD28" s="132"/>
      <c r="AF28" s="131"/>
      <c r="AG28" s="131"/>
      <c r="AH28" s="131"/>
      <c r="AI28" s="131"/>
      <c r="AJ28" s="131"/>
      <c r="AK28" s="131"/>
      <c r="AL28" s="131"/>
      <c r="AM28" s="131"/>
    </row>
    <row r="29" spans="1:39" ht="12" customHeight="1">
      <c r="A29" s="99">
        <v>1999</v>
      </c>
      <c r="B29" s="142">
        <v>237</v>
      </c>
      <c r="C29" s="57">
        <v>386</v>
      </c>
      <c r="D29" s="57">
        <v>145</v>
      </c>
      <c r="E29" s="57">
        <v>0</v>
      </c>
      <c r="F29" s="57">
        <v>132</v>
      </c>
      <c r="G29" s="57">
        <v>0</v>
      </c>
      <c r="H29" s="57" t="s">
        <v>23</v>
      </c>
      <c r="I29" s="57">
        <v>15</v>
      </c>
      <c r="J29" s="57">
        <f t="shared" si="0"/>
        <v>663</v>
      </c>
      <c r="K29" s="57">
        <f t="shared" si="1"/>
        <v>915</v>
      </c>
      <c r="L29" s="57"/>
      <c r="M29" s="57">
        <v>0</v>
      </c>
      <c r="N29" s="57">
        <v>0</v>
      </c>
      <c r="O29" s="57">
        <v>0</v>
      </c>
      <c r="P29" s="57">
        <v>0</v>
      </c>
      <c r="Q29" s="57">
        <v>1048</v>
      </c>
      <c r="R29" s="57">
        <v>17</v>
      </c>
      <c r="S29" s="57" t="s">
        <v>23</v>
      </c>
      <c r="T29" s="57">
        <v>0</v>
      </c>
      <c r="U29" s="57">
        <f t="shared" si="2"/>
        <v>1065</v>
      </c>
      <c r="V29" s="57">
        <f t="shared" si="3"/>
        <v>1065</v>
      </c>
      <c r="W29" s="132"/>
      <c r="X29" s="132"/>
      <c r="Y29" s="132"/>
      <c r="Z29" s="132"/>
      <c r="AA29" s="132"/>
      <c r="AB29" s="132"/>
      <c r="AC29" s="132"/>
      <c r="AD29" s="132"/>
      <c r="AF29" s="131"/>
      <c r="AG29" s="131"/>
      <c r="AH29" s="131"/>
      <c r="AI29" s="131"/>
      <c r="AJ29" s="131"/>
      <c r="AK29" s="131"/>
      <c r="AL29" s="131"/>
      <c r="AM29" s="131"/>
    </row>
    <row r="30" spans="1:39" ht="12" customHeight="1">
      <c r="A30" s="99">
        <v>2000</v>
      </c>
      <c r="B30" s="142">
        <v>141</v>
      </c>
      <c r="C30" s="57">
        <v>298</v>
      </c>
      <c r="D30" s="57">
        <v>273</v>
      </c>
      <c r="E30" s="57">
        <v>7</v>
      </c>
      <c r="F30" s="57">
        <v>9</v>
      </c>
      <c r="G30" s="57">
        <v>0</v>
      </c>
      <c r="H30" s="57" t="s">
        <v>23</v>
      </c>
      <c r="I30" s="57">
        <v>10</v>
      </c>
      <c r="J30" s="57">
        <f t="shared" si="0"/>
        <v>587</v>
      </c>
      <c r="K30" s="57">
        <f t="shared" si="1"/>
        <v>738</v>
      </c>
      <c r="L30" s="57"/>
      <c r="M30" s="57">
        <v>0</v>
      </c>
      <c r="N30" s="57">
        <v>0</v>
      </c>
      <c r="O30" s="57">
        <v>0</v>
      </c>
      <c r="P30" s="57">
        <v>0</v>
      </c>
      <c r="Q30" s="57">
        <v>170</v>
      </c>
      <c r="R30" s="57">
        <v>0</v>
      </c>
      <c r="S30" s="57" t="s">
        <v>23</v>
      </c>
      <c r="T30" s="57">
        <v>0</v>
      </c>
      <c r="U30" s="57">
        <f t="shared" si="2"/>
        <v>170</v>
      </c>
      <c r="V30" s="57">
        <f t="shared" si="3"/>
        <v>170</v>
      </c>
      <c r="W30" s="132"/>
      <c r="X30" s="132"/>
      <c r="Y30" s="132"/>
      <c r="Z30" s="132"/>
      <c r="AA30" s="132"/>
      <c r="AB30" s="132"/>
      <c r="AC30" s="132"/>
      <c r="AD30" s="132"/>
      <c r="AF30" s="131"/>
      <c r="AG30" s="131"/>
      <c r="AH30" s="131"/>
      <c r="AI30" s="131"/>
      <c r="AJ30" s="131"/>
      <c r="AK30" s="131"/>
      <c r="AL30" s="131"/>
      <c r="AM30" s="131"/>
    </row>
    <row r="31" spans="1:39" ht="12" customHeight="1">
      <c r="A31" s="99">
        <v>2001</v>
      </c>
      <c r="B31" s="142">
        <v>1364</v>
      </c>
      <c r="C31" s="57">
        <v>1208</v>
      </c>
      <c r="D31" s="57">
        <v>4293</v>
      </c>
      <c r="E31" s="57">
        <v>928</v>
      </c>
      <c r="F31" s="57">
        <v>478</v>
      </c>
      <c r="G31" s="57">
        <v>137</v>
      </c>
      <c r="H31" s="57" t="s">
        <v>23</v>
      </c>
      <c r="I31" s="57">
        <v>273</v>
      </c>
      <c r="J31" s="57">
        <f t="shared" si="0"/>
        <v>7044</v>
      </c>
      <c r="K31" s="57">
        <f t="shared" si="1"/>
        <v>8681</v>
      </c>
      <c r="L31" s="57"/>
      <c r="M31" s="57">
        <v>0</v>
      </c>
      <c r="N31" s="57">
        <v>0</v>
      </c>
      <c r="O31" s="57">
        <v>1</v>
      </c>
      <c r="P31" s="57">
        <v>2543</v>
      </c>
      <c r="Q31" s="57">
        <v>3103</v>
      </c>
      <c r="R31" s="57">
        <v>730</v>
      </c>
      <c r="S31" s="57" t="s">
        <v>23</v>
      </c>
      <c r="T31" s="57">
        <v>1</v>
      </c>
      <c r="U31" s="57">
        <f t="shared" si="2"/>
        <v>6377</v>
      </c>
      <c r="V31" s="57">
        <f t="shared" si="3"/>
        <v>6378</v>
      </c>
      <c r="W31" s="132"/>
      <c r="X31" s="132"/>
      <c r="Y31" s="132"/>
      <c r="Z31" s="132"/>
      <c r="AA31" s="132"/>
      <c r="AB31" s="132"/>
      <c r="AC31" s="132"/>
      <c r="AD31" s="132"/>
      <c r="AF31" s="131"/>
      <c r="AG31" s="131"/>
      <c r="AH31" s="131"/>
      <c r="AI31" s="131"/>
      <c r="AJ31" s="131"/>
      <c r="AK31" s="131"/>
      <c r="AL31" s="131"/>
      <c r="AM31" s="131"/>
    </row>
    <row r="32" spans="1:39" ht="12" customHeight="1">
      <c r="A32" s="99">
        <v>2002</v>
      </c>
      <c r="B32" s="142">
        <v>366</v>
      </c>
      <c r="C32" s="57">
        <v>467</v>
      </c>
      <c r="D32" s="57">
        <v>848</v>
      </c>
      <c r="E32" s="57">
        <v>113</v>
      </c>
      <c r="F32" s="57">
        <v>31</v>
      </c>
      <c r="G32" s="57">
        <v>0</v>
      </c>
      <c r="H32" s="57" t="s">
        <v>23</v>
      </c>
      <c r="I32" s="57">
        <v>25</v>
      </c>
      <c r="J32" s="57">
        <f t="shared" si="0"/>
        <v>1459</v>
      </c>
      <c r="K32" s="57">
        <f t="shared" si="1"/>
        <v>1850</v>
      </c>
      <c r="L32" s="57"/>
      <c r="M32" s="57">
        <v>0</v>
      </c>
      <c r="N32" s="57">
        <v>0</v>
      </c>
      <c r="O32" s="57">
        <v>0</v>
      </c>
      <c r="P32" s="57">
        <v>0</v>
      </c>
      <c r="Q32" s="57">
        <v>0</v>
      </c>
      <c r="R32" s="57">
        <v>0</v>
      </c>
      <c r="S32" s="57" t="s">
        <v>23</v>
      </c>
      <c r="T32" s="57">
        <v>0</v>
      </c>
      <c r="U32" s="57">
        <f t="shared" si="2"/>
        <v>0</v>
      </c>
      <c r="V32" s="57">
        <f t="shared" si="3"/>
        <v>0</v>
      </c>
      <c r="W32" s="132"/>
      <c r="X32" s="132"/>
      <c r="Y32" s="132"/>
      <c r="Z32" s="132"/>
      <c r="AA32" s="132"/>
      <c r="AB32" s="132"/>
      <c r="AC32" s="132"/>
      <c r="AD32" s="132"/>
      <c r="AF32" s="131"/>
      <c r="AG32" s="131"/>
      <c r="AH32" s="131"/>
      <c r="AI32" s="131"/>
      <c r="AJ32" s="131"/>
      <c r="AK32" s="131"/>
      <c r="AL32" s="131"/>
      <c r="AM32" s="131"/>
    </row>
    <row r="33" spans="1:39" ht="12" customHeight="1">
      <c r="A33" s="99">
        <v>2003</v>
      </c>
      <c r="B33" s="142">
        <v>187</v>
      </c>
      <c r="C33" s="57">
        <v>25</v>
      </c>
      <c r="D33" s="57">
        <v>46</v>
      </c>
      <c r="E33" s="57">
        <v>14</v>
      </c>
      <c r="F33" s="57">
        <v>0</v>
      </c>
      <c r="G33" s="57">
        <v>2</v>
      </c>
      <c r="H33" s="57" t="s">
        <v>23</v>
      </c>
      <c r="I33" s="57">
        <v>3</v>
      </c>
      <c r="J33" s="57">
        <f t="shared" si="0"/>
        <v>87</v>
      </c>
      <c r="K33" s="57">
        <f t="shared" si="1"/>
        <v>277</v>
      </c>
      <c r="L33" s="57"/>
      <c r="M33" s="57">
        <v>0</v>
      </c>
      <c r="N33" s="57">
        <v>0</v>
      </c>
      <c r="O33" s="57">
        <v>0</v>
      </c>
      <c r="P33" s="57">
        <v>4</v>
      </c>
      <c r="Q33" s="57">
        <v>0</v>
      </c>
      <c r="R33" s="57">
        <v>141</v>
      </c>
      <c r="S33" s="57" t="s">
        <v>23</v>
      </c>
      <c r="T33" s="57">
        <v>0</v>
      </c>
      <c r="U33" s="57">
        <f t="shared" si="2"/>
        <v>145</v>
      </c>
      <c r="V33" s="57">
        <f t="shared" si="3"/>
        <v>145</v>
      </c>
      <c r="W33" s="132"/>
      <c r="X33" s="132"/>
      <c r="Y33" s="132"/>
      <c r="Z33" s="132"/>
      <c r="AA33" s="132"/>
      <c r="AB33" s="132"/>
      <c r="AC33" s="132"/>
      <c r="AD33" s="132"/>
      <c r="AF33" s="131"/>
      <c r="AG33" s="131"/>
      <c r="AH33" s="131"/>
      <c r="AI33" s="131"/>
      <c r="AJ33" s="131"/>
      <c r="AK33" s="131"/>
      <c r="AL33" s="131"/>
      <c r="AM33" s="131"/>
    </row>
    <row r="34" spans="1:39" ht="12" customHeight="1">
      <c r="A34" s="99">
        <v>2004</v>
      </c>
      <c r="B34" s="142">
        <v>1555</v>
      </c>
      <c r="C34" s="57">
        <v>0</v>
      </c>
      <c r="D34" s="57">
        <v>2544</v>
      </c>
      <c r="E34" s="57">
        <v>1032</v>
      </c>
      <c r="F34" s="57">
        <v>1910</v>
      </c>
      <c r="G34" s="57">
        <v>1647</v>
      </c>
      <c r="H34" s="57" t="s">
        <v>23</v>
      </c>
      <c r="I34" s="57">
        <v>14588</v>
      </c>
      <c r="J34" s="57">
        <f t="shared" si="0"/>
        <v>7133</v>
      </c>
      <c r="K34" s="57">
        <f t="shared" si="1"/>
        <v>23276</v>
      </c>
      <c r="L34" s="57"/>
      <c r="M34" s="57">
        <v>0</v>
      </c>
      <c r="N34" s="57">
        <v>0</v>
      </c>
      <c r="O34" s="57">
        <v>0</v>
      </c>
      <c r="P34" s="57">
        <v>1958</v>
      </c>
      <c r="Q34" s="57">
        <v>12817</v>
      </c>
      <c r="R34" s="57">
        <v>1829</v>
      </c>
      <c r="S34" s="57" t="s">
        <v>23</v>
      </c>
      <c r="T34" s="57">
        <v>108</v>
      </c>
      <c r="U34" s="57">
        <f t="shared" si="2"/>
        <v>16604</v>
      </c>
      <c r="V34" s="57">
        <f t="shared" si="3"/>
        <v>16712</v>
      </c>
      <c r="W34" s="132"/>
      <c r="X34" s="132"/>
      <c r="Y34" s="132"/>
      <c r="Z34" s="132"/>
      <c r="AA34" s="132"/>
      <c r="AB34" s="132"/>
      <c r="AC34" s="132"/>
      <c r="AD34" s="132"/>
      <c r="AF34" s="131"/>
      <c r="AG34" s="131"/>
      <c r="AH34" s="131"/>
      <c r="AI34" s="131"/>
      <c r="AJ34" s="131"/>
      <c r="AK34" s="131"/>
      <c r="AL34" s="131"/>
      <c r="AM34" s="131"/>
    </row>
    <row r="35" spans="1:39" ht="12" customHeight="1">
      <c r="A35" s="99">
        <v>2005</v>
      </c>
      <c r="B35" s="142">
        <v>999</v>
      </c>
      <c r="C35" s="57">
        <v>238</v>
      </c>
      <c r="D35" s="57">
        <v>3764</v>
      </c>
      <c r="E35" s="57">
        <v>522</v>
      </c>
      <c r="F35" s="57">
        <v>6</v>
      </c>
      <c r="G35" s="57">
        <v>6</v>
      </c>
      <c r="H35" s="57" t="s">
        <v>23</v>
      </c>
      <c r="I35" s="57">
        <v>3935</v>
      </c>
      <c r="J35" s="57">
        <f t="shared" si="0"/>
        <v>4536</v>
      </c>
      <c r="K35" s="57">
        <f t="shared" si="1"/>
        <v>9470</v>
      </c>
      <c r="L35" s="57"/>
      <c r="M35" s="57">
        <v>3</v>
      </c>
      <c r="N35" s="57">
        <v>0</v>
      </c>
      <c r="O35" s="57">
        <v>0</v>
      </c>
      <c r="P35" s="57">
        <v>2040</v>
      </c>
      <c r="Q35" s="57">
        <v>64</v>
      </c>
      <c r="R35" s="57">
        <v>25</v>
      </c>
      <c r="S35" s="57" t="s">
        <v>23</v>
      </c>
      <c r="T35" s="57">
        <v>41</v>
      </c>
      <c r="U35" s="57">
        <f t="shared" si="2"/>
        <v>2129</v>
      </c>
      <c r="V35" s="57">
        <f t="shared" si="3"/>
        <v>2173</v>
      </c>
      <c r="W35" s="132"/>
      <c r="X35" s="132"/>
      <c r="Y35" s="132"/>
      <c r="Z35" s="132"/>
      <c r="AA35" s="132"/>
      <c r="AB35" s="132"/>
      <c r="AC35" s="132"/>
      <c r="AD35" s="132"/>
      <c r="AF35" s="131"/>
      <c r="AG35" s="131"/>
      <c r="AH35" s="131"/>
      <c r="AI35" s="131"/>
      <c r="AJ35" s="131"/>
      <c r="AK35" s="131"/>
      <c r="AL35" s="131"/>
      <c r="AM35" s="131"/>
    </row>
    <row r="36" spans="1:39" ht="12" customHeight="1">
      <c r="A36" s="99">
        <v>2006</v>
      </c>
      <c r="B36" s="142">
        <v>157</v>
      </c>
      <c r="C36" s="57">
        <v>154</v>
      </c>
      <c r="D36" s="57">
        <v>2335</v>
      </c>
      <c r="E36" s="57">
        <v>50</v>
      </c>
      <c r="F36" s="57">
        <v>93</v>
      </c>
      <c r="G36" s="57">
        <v>81</v>
      </c>
      <c r="H36" s="57" t="s">
        <v>23</v>
      </c>
      <c r="I36" s="57">
        <v>456</v>
      </c>
      <c r="J36" s="57">
        <f t="shared" si="0"/>
        <v>2713</v>
      </c>
      <c r="K36" s="57">
        <f t="shared" si="1"/>
        <v>3326</v>
      </c>
      <c r="L36" s="57"/>
      <c r="M36" s="57">
        <v>0</v>
      </c>
      <c r="N36" s="57">
        <v>1</v>
      </c>
      <c r="O36" s="57">
        <v>3</v>
      </c>
      <c r="P36" s="57">
        <v>96</v>
      </c>
      <c r="Q36" s="57">
        <v>22</v>
      </c>
      <c r="R36" s="57">
        <v>47</v>
      </c>
      <c r="S36" s="57" t="s">
        <v>23</v>
      </c>
      <c r="T36" s="57">
        <v>0</v>
      </c>
      <c r="U36" s="57">
        <f t="shared" si="2"/>
        <v>169</v>
      </c>
      <c r="V36" s="57">
        <f t="shared" si="3"/>
        <v>169</v>
      </c>
      <c r="W36" s="132"/>
      <c r="X36" s="132"/>
      <c r="Y36" s="132"/>
      <c r="Z36" s="132"/>
      <c r="AA36" s="132"/>
      <c r="AB36" s="132"/>
      <c r="AC36" s="132"/>
      <c r="AD36" s="132"/>
      <c r="AF36" s="131"/>
      <c r="AG36" s="131"/>
      <c r="AH36" s="131"/>
      <c r="AI36" s="131"/>
      <c r="AJ36" s="131"/>
      <c r="AK36" s="131"/>
      <c r="AL36" s="131"/>
      <c r="AM36" s="131"/>
    </row>
    <row r="37" spans="1:39" ht="12" customHeight="1">
      <c r="A37" s="99">
        <v>2007</v>
      </c>
      <c r="B37" s="142">
        <v>2218</v>
      </c>
      <c r="C37" s="77">
        <v>53</v>
      </c>
      <c r="D37" s="77">
        <v>324</v>
      </c>
      <c r="E37" s="77">
        <v>556</v>
      </c>
      <c r="F37" s="77">
        <v>167</v>
      </c>
      <c r="G37" s="77">
        <v>0</v>
      </c>
      <c r="H37" s="57" t="s">
        <v>23</v>
      </c>
      <c r="I37" s="77">
        <v>1340</v>
      </c>
      <c r="J37" s="77">
        <f t="shared" si="0"/>
        <v>1100</v>
      </c>
      <c r="K37" s="77">
        <f t="shared" si="1"/>
        <v>4658</v>
      </c>
      <c r="L37" s="77"/>
      <c r="M37" s="77">
        <v>0</v>
      </c>
      <c r="N37" s="77">
        <v>0</v>
      </c>
      <c r="O37" s="77">
        <v>0</v>
      </c>
      <c r="P37" s="77">
        <v>1496</v>
      </c>
      <c r="Q37" s="77">
        <v>29</v>
      </c>
      <c r="R37" s="77">
        <v>0</v>
      </c>
      <c r="S37" s="57" t="s">
        <v>23</v>
      </c>
      <c r="T37" s="77">
        <v>5</v>
      </c>
      <c r="U37" s="77">
        <f t="shared" si="2"/>
        <v>1525</v>
      </c>
      <c r="V37" s="77">
        <f t="shared" si="3"/>
        <v>1530</v>
      </c>
      <c r="W37" s="132"/>
      <c r="X37" s="132"/>
      <c r="Y37" s="132"/>
      <c r="Z37" s="132"/>
      <c r="AA37" s="132"/>
      <c r="AB37" s="132"/>
      <c r="AC37" s="132"/>
      <c r="AD37" s="132"/>
      <c r="AF37" s="131"/>
      <c r="AG37" s="131"/>
      <c r="AH37" s="131"/>
      <c r="AI37" s="131"/>
      <c r="AJ37" s="131"/>
      <c r="AK37" s="131"/>
      <c r="AL37" s="131"/>
      <c r="AM37" s="131"/>
    </row>
    <row r="38" spans="1:39" ht="12" customHeight="1">
      <c r="A38" s="99">
        <v>2008</v>
      </c>
      <c r="B38" s="142">
        <v>483</v>
      </c>
      <c r="C38" s="77">
        <v>35</v>
      </c>
      <c r="D38" s="77">
        <v>272</v>
      </c>
      <c r="E38" s="77">
        <v>618</v>
      </c>
      <c r="F38" s="77">
        <v>1607</v>
      </c>
      <c r="G38" s="77">
        <v>109</v>
      </c>
      <c r="H38" s="77" t="s">
        <v>23</v>
      </c>
      <c r="I38" s="77">
        <v>375</v>
      </c>
      <c r="J38" s="77">
        <f t="shared" si="0"/>
        <v>2641</v>
      </c>
      <c r="K38" s="77">
        <f t="shared" si="1"/>
        <v>3499</v>
      </c>
      <c r="L38" s="77"/>
      <c r="M38" s="77">
        <v>0</v>
      </c>
      <c r="N38" s="77">
        <v>0</v>
      </c>
      <c r="O38" s="77">
        <v>8</v>
      </c>
      <c r="P38" s="77">
        <v>81</v>
      </c>
      <c r="Q38" s="77">
        <v>483</v>
      </c>
      <c r="R38" s="77">
        <v>72</v>
      </c>
      <c r="S38" s="77" t="s">
        <v>23</v>
      </c>
      <c r="T38" s="77">
        <v>0</v>
      </c>
      <c r="U38" s="77">
        <f t="shared" si="2"/>
        <v>644</v>
      </c>
      <c r="V38" s="77">
        <f t="shared" si="3"/>
        <v>644</v>
      </c>
      <c r="W38" s="132"/>
      <c r="X38" s="132"/>
      <c r="Y38" s="132"/>
      <c r="Z38" s="132"/>
      <c r="AA38" s="132"/>
      <c r="AB38" s="132"/>
      <c r="AC38" s="132"/>
      <c r="AD38" s="132"/>
      <c r="AF38" s="131"/>
      <c r="AG38" s="131"/>
      <c r="AH38" s="131"/>
      <c r="AI38" s="131"/>
      <c r="AJ38" s="131"/>
      <c r="AK38" s="131"/>
      <c r="AL38" s="131"/>
      <c r="AM38" s="131"/>
    </row>
    <row r="39" spans="1:39" ht="12" customHeight="1">
      <c r="A39" s="99">
        <v>2009</v>
      </c>
      <c r="B39" s="142">
        <v>464</v>
      </c>
      <c r="C39" s="77">
        <v>481</v>
      </c>
      <c r="D39" s="77">
        <v>4528</v>
      </c>
      <c r="E39" s="77">
        <v>593</v>
      </c>
      <c r="F39" s="77">
        <v>615</v>
      </c>
      <c r="G39" s="77">
        <v>12</v>
      </c>
      <c r="H39" s="77" t="s">
        <v>23</v>
      </c>
      <c r="I39" s="77">
        <v>68</v>
      </c>
      <c r="J39" s="77">
        <f t="shared" si="0"/>
        <v>6229</v>
      </c>
      <c r="K39" s="77">
        <f t="shared" si="1"/>
        <v>6761</v>
      </c>
      <c r="L39" s="77"/>
      <c r="M39" s="77">
        <v>0</v>
      </c>
      <c r="N39" s="77">
        <v>0</v>
      </c>
      <c r="O39" s="77">
        <v>0</v>
      </c>
      <c r="P39" s="77">
        <v>3319</v>
      </c>
      <c r="Q39" s="77">
        <v>4555</v>
      </c>
      <c r="R39" s="77">
        <v>17</v>
      </c>
      <c r="S39" s="77" t="s">
        <v>23</v>
      </c>
      <c r="T39" s="77">
        <v>0</v>
      </c>
      <c r="U39" s="77">
        <f t="shared" si="2"/>
        <v>7891</v>
      </c>
      <c r="V39" s="77">
        <f t="shared" si="3"/>
        <v>7891</v>
      </c>
      <c r="W39" s="132"/>
      <c r="X39" s="132"/>
      <c r="Y39" s="132"/>
      <c r="Z39" s="132"/>
      <c r="AA39" s="132"/>
      <c r="AB39" s="132"/>
      <c r="AC39" s="132"/>
      <c r="AD39" s="132"/>
      <c r="AF39" s="131"/>
      <c r="AG39" s="131"/>
      <c r="AH39" s="131"/>
      <c r="AI39" s="131"/>
      <c r="AJ39" s="131"/>
      <c r="AK39" s="131"/>
      <c r="AL39" s="131"/>
      <c r="AM39" s="131"/>
    </row>
    <row r="40" spans="1:39" ht="12" customHeight="1">
      <c r="A40" s="99">
        <v>2010</v>
      </c>
      <c r="B40" s="142">
        <v>1722</v>
      </c>
      <c r="C40" s="77">
        <v>1657</v>
      </c>
      <c r="D40" s="77">
        <v>3240</v>
      </c>
      <c r="E40" s="77">
        <v>171</v>
      </c>
      <c r="F40" s="77">
        <v>37</v>
      </c>
      <c r="G40" s="77">
        <v>9</v>
      </c>
      <c r="H40" s="77" t="s">
        <v>23</v>
      </c>
      <c r="I40" s="77">
        <v>200</v>
      </c>
      <c r="J40" s="77">
        <f t="shared" si="0"/>
        <v>5114</v>
      </c>
      <c r="K40" s="77">
        <f t="shared" si="1"/>
        <v>7036</v>
      </c>
      <c r="L40" s="77"/>
      <c r="M40" s="77">
        <v>0</v>
      </c>
      <c r="N40" s="77">
        <v>0</v>
      </c>
      <c r="O40" s="77">
        <v>0</v>
      </c>
      <c r="P40" s="77">
        <v>106</v>
      </c>
      <c r="Q40" s="77">
        <v>3</v>
      </c>
      <c r="R40" s="77">
        <v>0</v>
      </c>
      <c r="S40" s="77" t="s">
        <v>23</v>
      </c>
      <c r="T40" s="77">
        <v>12</v>
      </c>
      <c r="U40" s="77">
        <f t="shared" si="2"/>
        <v>109</v>
      </c>
      <c r="V40" s="77">
        <f t="shared" si="3"/>
        <v>121</v>
      </c>
      <c r="W40" s="132"/>
      <c r="X40" s="132"/>
      <c r="Y40" s="132"/>
      <c r="Z40" s="132"/>
      <c r="AA40" s="132"/>
      <c r="AB40" s="132"/>
      <c r="AC40" s="132"/>
      <c r="AD40" s="132"/>
      <c r="AF40" s="131"/>
      <c r="AG40" s="131"/>
      <c r="AH40" s="131"/>
      <c r="AI40" s="131"/>
      <c r="AJ40" s="131"/>
      <c r="AK40" s="131"/>
      <c r="AL40" s="131"/>
      <c r="AM40" s="131"/>
    </row>
    <row r="41" spans="1:39" ht="12" customHeight="1">
      <c r="A41" s="99">
        <v>2011</v>
      </c>
      <c r="B41" s="142">
        <v>2883</v>
      </c>
      <c r="C41" s="57">
        <v>585</v>
      </c>
      <c r="D41" s="57">
        <v>373</v>
      </c>
      <c r="E41" s="57">
        <v>46</v>
      </c>
      <c r="F41" s="57">
        <v>15</v>
      </c>
      <c r="G41" s="57">
        <v>0</v>
      </c>
      <c r="H41" s="57" t="s">
        <v>23</v>
      </c>
      <c r="I41" s="57">
        <v>90</v>
      </c>
      <c r="J41" s="57">
        <f t="shared" si="0"/>
        <v>1019</v>
      </c>
      <c r="K41" s="57">
        <f t="shared" si="1"/>
        <v>3992</v>
      </c>
      <c r="L41" s="57"/>
      <c r="M41" s="57">
        <v>2</v>
      </c>
      <c r="N41" s="57">
        <v>0</v>
      </c>
      <c r="O41" s="57">
        <v>0</v>
      </c>
      <c r="P41" s="57">
        <v>10</v>
      </c>
      <c r="Q41" s="57">
        <v>13</v>
      </c>
      <c r="R41" s="57">
        <v>0</v>
      </c>
      <c r="S41" s="57" t="s">
        <v>23</v>
      </c>
      <c r="T41" s="57">
        <v>2</v>
      </c>
      <c r="U41" s="57">
        <f t="shared" si="2"/>
        <v>23</v>
      </c>
      <c r="V41" s="57">
        <f t="shared" si="3"/>
        <v>27</v>
      </c>
      <c r="W41" s="132"/>
      <c r="X41" s="132"/>
      <c r="Y41" s="132"/>
      <c r="Z41" s="132"/>
      <c r="AA41" s="132"/>
      <c r="AB41" s="132"/>
      <c r="AC41" s="132"/>
      <c r="AD41" s="132"/>
      <c r="AF41" s="131"/>
      <c r="AG41" s="131"/>
      <c r="AH41" s="131"/>
      <c r="AI41" s="131"/>
      <c r="AJ41" s="131"/>
      <c r="AK41" s="131"/>
      <c r="AL41" s="131"/>
      <c r="AM41" s="131"/>
    </row>
    <row r="42" spans="1:39" ht="12" customHeight="1">
      <c r="A42" s="99">
        <v>2012</v>
      </c>
      <c r="B42" s="142">
        <v>1216</v>
      </c>
      <c r="C42" s="77">
        <v>635</v>
      </c>
      <c r="D42" s="77">
        <v>699</v>
      </c>
      <c r="E42" s="77">
        <v>651</v>
      </c>
      <c r="F42" s="77">
        <v>295</v>
      </c>
      <c r="G42" s="77">
        <v>43</v>
      </c>
      <c r="H42" s="77" t="s">
        <v>23</v>
      </c>
      <c r="I42" s="77">
        <v>335</v>
      </c>
      <c r="J42" s="77">
        <f t="shared" si="0"/>
        <v>2323</v>
      </c>
      <c r="K42" s="77">
        <f t="shared" si="1"/>
        <v>3874</v>
      </c>
      <c r="L42" s="77"/>
      <c r="M42" s="77">
        <v>0</v>
      </c>
      <c r="N42" s="77">
        <v>0</v>
      </c>
      <c r="O42" s="77">
        <v>2</v>
      </c>
      <c r="P42" s="77">
        <v>235</v>
      </c>
      <c r="Q42" s="77">
        <v>229</v>
      </c>
      <c r="R42" s="77">
        <v>166</v>
      </c>
      <c r="S42" s="77" t="s">
        <v>23</v>
      </c>
      <c r="T42" s="77">
        <v>4</v>
      </c>
      <c r="U42" s="77">
        <f t="shared" si="2"/>
        <v>632</v>
      </c>
      <c r="V42" s="77">
        <f t="shared" si="3"/>
        <v>636</v>
      </c>
      <c r="W42" s="132"/>
      <c r="X42" s="132"/>
      <c r="Y42" s="132"/>
      <c r="Z42" s="132"/>
      <c r="AA42" s="132"/>
      <c r="AB42" s="132"/>
      <c r="AC42" s="132"/>
      <c r="AD42" s="132"/>
      <c r="AF42" s="131"/>
      <c r="AG42" s="131"/>
      <c r="AH42" s="131"/>
      <c r="AI42" s="131"/>
      <c r="AJ42" s="131"/>
      <c r="AK42" s="131"/>
      <c r="AL42" s="131"/>
      <c r="AM42" s="131"/>
    </row>
    <row r="43" spans="1:39" ht="12" customHeight="1">
      <c r="A43" s="99">
        <v>2013</v>
      </c>
      <c r="B43" s="142">
        <v>1661</v>
      </c>
      <c r="C43" s="77">
        <v>1989</v>
      </c>
      <c r="D43" s="77">
        <v>2468</v>
      </c>
      <c r="E43" s="77">
        <v>223</v>
      </c>
      <c r="F43" s="77">
        <v>383</v>
      </c>
      <c r="G43" s="77">
        <v>10</v>
      </c>
      <c r="H43" s="77" t="s">
        <v>23</v>
      </c>
      <c r="I43" s="77">
        <v>721</v>
      </c>
      <c r="J43" s="77">
        <f t="shared" si="0"/>
        <v>5073</v>
      </c>
      <c r="K43" s="77">
        <f t="shared" si="1"/>
        <v>7455</v>
      </c>
      <c r="L43" s="77"/>
      <c r="M43" s="77">
        <v>3</v>
      </c>
      <c r="N43" s="77">
        <v>0</v>
      </c>
      <c r="O43" s="77">
        <v>0</v>
      </c>
      <c r="P43" s="77">
        <v>378</v>
      </c>
      <c r="Q43" s="77">
        <v>454</v>
      </c>
      <c r="R43" s="77">
        <v>354</v>
      </c>
      <c r="S43" s="77" t="s">
        <v>23</v>
      </c>
      <c r="T43" s="77">
        <v>10</v>
      </c>
      <c r="U43" s="77">
        <f t="shared" si="2"/>
        <v>1186</v>
      </c>
      <c r="V43" s="77">
        <f t="shared" si="3"/>
        <v>1199</v>
      </c>
      <c r="W43" s="132"/>
      <c r="X43" s="132"/>
      <c r="Y43" s="132"/>
      <c r="Z43" s="132"/>
      <c r="AA43" s="132"/>
      <c r="AB43" s="132"/>
      <c r="AC43" s="132"/>
      <c r="AD43" s="132"/>
      <c r="AF43" s="131"/>
      <c r="AG43" s="131"/>
      <c r="AH43" s="131"/>
      <c r="AI43" s="131"/>
      <c r="AJ43" s="131"/>
      <c r="AK43" s="131"/>
      <c r="AL43" s="131"/>
      <c r="AM43" s="131"/>
    </row>
    <row r="44" spans="1:39" ht="12" customHeight="1">
      <c r="A44" s="99">
        <v>2014</v>
      </c>
      <c r="B44" s="142">
        <v>3316</v>
      </c>
      <c r="C44" s="77">
        <v>819</v>
      </c>
      <c r="D44" s="77">
        <v>3051</v>
      </c>
      <c r="E44" s="77">
        <v>20</v>
      </c>
      <c r="F44" s="77">
        <v>22</v>
      </c>
      <c r="G44" s="77">
        <v>12</v>
      </c>
      <c r="H44" s="77" t="s">
        <v>23</v>
      </c>
      <c r="I44" s="77">
        <v>267</v>
      </c>
      <c r="J44" s="77">
        <f t="shared" si="0"/>
        <v>3924</v>
      </c>
      <c r="K44" s="77">
        <f t="shared" si="1"/>
        <v>7507</v>
      </c>
      <c r="L44" s="77"/>
      <c r="M44" s="77">
        <v>3</v>
      </c>
      <c r="N44" s="77">
        <v>0</v>
      </c>
      <c r="O44" s="77">
        <v>0</v>
      </c>
      <c r="P44" s="77">
        <v>12</v>
      </c>
      <c r="Q44" s="77">
        <v>24</v>
      </c>
      <c r="R44" s="77">
        <v>19</v>
      </c>
      <c r="S44" s="77" t="s">
        <v>23</v>
      </c>
      <c r="T44" s="77">
        <v>0</v>
      </c>
      <c r="U44" s="77">
        <f t="shared" si="2"/>
        <v>55</v>
      </c>
      <c r="V44" s="77">
        <f t="shared" si="3"/>
        <v>58</v>
      </c>
      <c r="W44" s="132"/>
      <c r="X44" s="132"/>
      <c r="Y44" s="132"/>
      <c r="Z44" s="132"/>
      <c r="AA44" s="132"/>
      <c r="AB44" s="132"/>
      <c r="AC44" s="132"/>
      <c r="AD44" s="132"/>
      <c r="AF44" s="131"/>
      <c r="AG44" s="131"/>
      <c r="AH44" s="131"/>
      <c r="AI44" s="131"/>
      <c r="AJ44" s="131"/>
      <c r="AK44" s="131"/>
      <c r="AL44" s="131"/>
      <c r="AM44" s="131"/>
    </row>
    <row r="45" spans="1:39" ht="12" customHeight="1">
      <c r="A45" s="99">
        <v>2015</v>
      </c>
      <c r="B45" s="142">
        <v>3249</v>
      </c>
      <c r="C45" s="77">
        <v>4142</v>
      </c>
      <c r="D45" s="77">
        <v>4283</v>
      </c>
      <c r="E45" s="77">
        <v>47</v>
      </c>
      <c r="F45" s="77">
        <v>135</v>
      </c>
      <c r="G45" s="77">
        <v>73</v>
      </c>
      <c r="H45" s="77" t="s">
        <v>23</v>
      </c>
      <c r="I45" s="77">
        <v>17</v>
      </c>
      <c r="J45" s="77">
        <f>SUM(C45:G45)</f>
        <v>8680</v>
      </c>
      <c r="K45" s="77">
        <f>SUM(B45:I45)</f>
        <v>11946</v>
      </c>
      <c r="L45" s="77"/>
      <c r="M45" s="77">
        <v>0</v>
      </c>
      <c r="N45" s="77">
        <v>0</v>
      </c>
      <c r="O45" s="77">
        <v>0</v>
      </c>
      <c r="P45" s="77">
        <v>0</v>
      </c>
      <c r="Q45" s="77">
        <v>249</v>
      </c>
      <c r="R45" s="77">
        <v>190</v>
      </c>
      <c r="S45" s="77" t="s">
        <v>23</v>
      </c>
      <c r="T45" s="77">
        <v>2</v>
      </c>
      <c r="U45" s="77">
        <f t="shared" si="2"/>
        <v>439</v>
      </c>
      <c r="V45" s="77">
        <f t="shared" si="3"/>
        <v>441</v>
      </c>
      <c r="W45" s="132"/>
      <c r="X45" s="132"/>
      <c r="Y45" s="132"/>
      <c r="Z45" s="132"/>
      <c r="AA45" s="132"/>
      <c r="AB45" s="132"/>
      <c r="AC45" s="132"/>
      <c r="AD45" s="132"/>
      <c r="AF45" s="131"/>
      <c r="AG45" s="131"/>
      <c r="AH45" s="131"/>
      <c r="AI45" s="131"/>
      <c r="AJ45" s="131"/>
      <c r="AK45" s="131"/>
      <c r="AL45" s="131"/>
      <c r="AM45" s="131"/>
    </row>
    <row r="46" spans="1:39" ht="12" customHeight="1">
      <c r="A46" s="99">
        <v>2016</v>
      </c>
      <c r="B46" s="142">
        <v>244</v>
      </c>
      <c r="C46" s="77">
        <v>1758</v>
      </c>
      <c r="D46" s="77">
        <v>239</v>
      </c>
      <c r="E46" s="77">
        <v>135</v>
      </c>
      <c r="F46" s="77">
        <v>84</v>
      </c>
      <c r="G46" s="77">
        <v>5</v>
      </c>
      <c r="H46" s="77" t="s">
        <v>23</v>
      </c>
      <c r="I46" s="77">
        <v>182</v>
      </c>
      <c r="J46" s="77">
        <f t="shared" si="0"/>
        <v>2221</v>
      </c>
      <c r="K46" s="77">
        <f t="shared" si="1"/>
        <v>2647</v>
      </c>
      <c r="L46" s="77"/>
      <c r="M46" s="77">
        <v>0</v>
      </c>
      <c r="N46" s="77">
        <v>0</v>
      </c>
      <c r="O46" s="77">
        <v>0</v>
      </c>
      <c r="P46" s="77">
        <v>8</v>
      </c>
      <c r="Q46" s="77">
        <v>10</v>
      </c>
      <c r="R46" s="77">
        <v>0</v>
      </c>
      <c r="S46" s="77" t="s">
        <v>23</v>
      </c>
      <c r="T46" s="77">
        <v>0</v>
      </c>
      <c r="U46" s="77">
        <f t="shared" si="2"/>
        <v>18</v>
      </c>
      <c r="V46" s="77">
        <f t="shared" si="3"/>
        <v>18</v>
      </c>
      <c r="W46" s="132"/>
      <c r="X46" s="132"/>
      <c r="Y46" s="132"/>
      <c r="Z46" s="132"/>
      <c r="AA46" s="132"/>
      <c r="AB46" s="132"/>
      <c r="AC46" s="132"/>
      <c r="AD46" s="132"/>
      <c r="AF46" s="131"/>
      <c r="AG46" s="131"/>
      <c r="AH46" s="131"/>
      <c r="AI46" s="131"/>
      <c r="AJ46" s="131"/>
      <c r="AK46" s="131"/>
      <c r="AL46" s="131"/>
      <c r="AM46" s="131"/>
    </row>
    <row r="47" spans="1:39" ht="12" customHeight="1">
      <c r="A47" s="99">
        <v>2017</v>
      </c>
      <c r="B47" s="142">
        <v>1343</v>
      </c>
      <c r="C47" s="77">
        <v>68</v>
      </c>
      <c r="D47" s="77">
        <v>712</v>
      </c>
      <c r="E47" s="77">
        <v>452</v>
      </c>
      <c r="F47" s="77">
        <v>56</v>
      </c>
      <c r="G47" s="77">
        <v>92</v>
      </c>
      <c r="H47" s="77" t="s">
        <v>23</v>
      </c>
      <c r="I47" s="77">
        <v>11</v>
      </c>
      <c r="J47" s="77">
        <f t="shared" si="0"/>
        <v>1380</v>
      </c>
      <c r="K47" s="77">
        <f t="shared" si="1"/>
        <v>2734</v>
      </c>
      <c r="L47" s="77"/>
      <c r="M47" s="77">
        <v>0</v>
      </c>
      <c r="N47" s="77">
        <v>0</v>
      </c>
      <c r="O47" s="77">
        <v>0</v>
      </c>
      <c r="P47" s="77">
        <v>48</v>
      </c>
      <c r="Q47" s="77">
        <v>51</v>
      </c>
      <c r="R47" s="77">
        <v>288</v>
      </c>
      <c r="S47" s="77" t="s">
        <v>23</v>
      </c>
      <c r="T47" s="77">
        <v>0</v>
      </c>
      <c r="U47" s="77">
        <f t="shared" si="2"/>
        <v>387</v>
      </c>
      <c r="V47" s="77">
        <f t="shared" si="3"/>
        <v>387</v>
      </c>
      <c r="W47" s="132"/>
      <c r="X47" s="132"/>
      <c r="Y47" s="132"/>
      <c r="Z47" s="132"/>
      <c r="AA47" s="132"/>
      <c r="AB47" s="132"/>
      <c r="AC47" s="132"/>
      <c r="AD47" s="132"/>
      <c r="AF47" s="131"/>
      <c r="AG47" s="131"/>
      <c r="AH47" s="131"/>
      <c r="AI47" s="131"/>
      <c r="AJ47" s="131"/>
      <c r="AK47" s="131"/>
      <c r="AL47" s="131"/>
      <c r="AM47" s="131"/>
    </row>
    <row r="48" spans="1:39" ht="12" customHeight="1">
      <c r="A48" s="99">
        <v>2018</v>
      </c>
      <c r="B48" s="142">
        <v>798</v>
      </c>
      <c r="C48" s="77">
        <v>727</v>
      </c>
      <c r="D48" s="77">
        <v>2363</v>
      </c>
      <c r="E48" s="77">
        <v>511</v>
      </c>
      <c r="F48" s="77">
        <v>94</v>
      </c>
      <c r="G48" s="77">
        <v>54</v>
      </c>
      <c r="H48" s="213" t="s">
        <v>23</v>
      </c>
      <c r="I48" s="77">
        <f>99+30</f>
        <v>129</v>
      </c>
      <c r="J48" s="77">
        <f>SUM(C48:G48)</f>
        <v>3749</v>
      </c>
      <c r="K48" s="77">
        <f>SUM(B48:I48)</f>
        <v>4676</v>
      </c>
      <c r="L48" s="77"/>
      <c r="M48" s="77">
        <v>0</v>
      </c>
      <c r="N48" s="77">
        <v>0</v>
      </c>
      <c r="O48" s="77">
        <v>3</v>
      </c>
      <c r="P48" s="77">
        <v>192</v>
      </c>
      <c r="Q48" s="77">
        <v>222</v>
      </c>
      <c r="R48" s="77">
        <v>239</v>
      </c>
      <c r="S48" s="213" t="s">
        <v>23</v>
      </c>
      <c r="T48" s="77">
        <v>0</v>
      </c>
      <c r="U48" s="77">
        <f>SUM(N48:R48)</f>
        <v>656</v>
      </c>
      <c r="V48" s="77">
        <f>SUM(M48:T48)</f>
        <v>656</v>
      </c>
      <c r="W48" s="132"/>
      <c r="X48" s="132"/>
      <c r="Y48" s="132"/>
      <c r="Z48" s="132"/>
      <c r="AA48" s="132"/>
      <c r="AB48" s="132"/>
      <c r="AC48" s="132"/>
      <c r="AD48" s="132"/>
      <c r="AF48" s="131"/>
      <c r="AG48" s="131"/>
      <c r="AH48" s="131"/>
      <c r="AI48" s="131"/>
      <c r="AJ48" s="131"/>
      <c r="AK48" s="131"/>
      <c r="AL48" s="131"/>
      <c r="AM48" s="131"/>
    </row>
    <row r="49" spans="1:39" ht="12" customHeight="1">
      <c r="A49" s="99">
        <v>2019</v>
      </c>
      <c r="B49" s="142">
        <v>1001</v>
      </c>
      <c r="C49" s="77">
        <v>503</v>
      </c>
      <c r="D49" s="77">
        <v>603</v>
      </c>
      <c r="E49" s="77">
        <v>700</v>
      </c>
      <c r="F49" s="77">
        <v>8</v>
      </c>
      <c r="G49" s="77">
        <v>5</v>
      </c>
      <c r="H49" s="213" t="s">
        <v>23</v>
      </c>
      <c r="I49" s="77">
        <v>70</v>
      </c>
      <c r="J49" s="77">
        <f>SUM(C49:G49)</f>
        <v>1819</v>
      </c>
      <c r="K49" s="77">
        <f>SUM(B49:I49)</f>
        <v>2890</v>
      </c>
      <c r="L49" s="77"/>
      <c r="M49" s="77">
        <v>0</v>
      </c>
      <c r="N49" s="77">
        <v>0</v>
      </c>
      <c r="O49" s="77">
        <v>0</v>
      </c>
      <c r="P49" s="77">
        <v>173</v>
      </c>
      <c r="Q49" s="77">
        <v>59</v>
      </c>
      <c r="R49" s="77">
        <v>7</v>
      </c>
      <c r="S49" s="213" t="s">
        <v>23</v>
      </c>
      <c r="T49" s="77">
        <v>0</v>
      </c>
      <c r="U49" s="77">
        <f t="shared" ref="U49:U50" si="4">SUM(N49:R49)</f>
        <v>239</v>
      </c>
      <c r="V49" s="77">
        <f t="shared" ref="V49:V50" si="5">SUM(M49:T49)</f>
        <v>239</v>
      </c>
      <c r="W49" s="132"/>
      <c r="X49" s="132"/>
      <c r="Y49" s="132"/>
      <c r="Z49" s="132"/>
      <c r="AA49" s="132"/>
      <c r="AB49" s="132"/>
      <c r="AC49" s="132"/>
      <c r="AD49" s="132"/>
      <c r="AF49" s="131"/>
      <c r="AG49" s="131"/>
      <c r="AH49" s="131"/>
      <c r="AI49" s="131"/>
      <c r="AJ49" s="131"/>
      <c r="AK49" s="131"/>
      <c r="AL49" s="131"/>
      <c r="AM49" s="131"/>
    </row>
    <row r="50" spans="1:39" ht="12" customHeight="1">
      <c r="A50" s="99">
        <v>2020</v>
      </c>
      <c r="B50" s="142">
        <v>661</v>
      </c>
      <c r="C50" s="77">
        <v>0</v>
      </c>
      <c r="D50" s="77">
        <v>0</v>
      </c>
      <c r="E50" s="77">
        <v>93</v>
      </c>
      <c r="F50" s="77">
        <v>74</v>
      </c>
      <c r="G50" s="77">
        <v>8</v>
      </c>
      <c r="H50" s="213" t="s">
        <v>23</v>
      </c>
      <c r="I50" s="77">
        <v>0</v>
      </c>
      <c r="J50" s="77">
        <f>SUM(C50:G50)</f>
        <v>175</v>
      </c>
      <c r="K50" s="77">
        <f>SUM(B50:I50)</f>
        <v>836</v>
      </c>
      <c r="L50" s="77"/>
      <c r="M50" s="77">
        <v>0</v>
      </c>
      <c r="N50" s="77">
        <v>0</v>
      </c>
      <c r="O50" s="77">
        <v>0</v>
      </c>
      <c r="P50" s="77">
        <v>239</v>
      </c>
      <c r="Q50" s="77">
        <v>396</v>
      </c>
      <c r="R50" s="77">
        <v>12</v>
      </c>
      <c r="S50" s="213" t="s">
        <v>23</v>
      </c>
      <c r="T50" s="77">
        <v>0</v>
      </c>
      <c r="U50" s="77">
        <f t="shared" si="4"/>
        <v>647</v>
      </c>
      <c r="V50" s="77">
        <f t="shared" si="5"/>
        <v>647</v>
      </c>
      <c r="W50" s="132"/>
      <c r="X50" s="132"/>
      <c r="Y50" s="132"/>
      <c r="Z50" s="132"/>
      <c r="AA50" s="132"/>
      <c r="AB50" s="132"/>
      <c r="AC50" s="132"/>
      <c r="AD50" s="132"/>
      <c r="AF50" s="131"/>
      <c r="AG50" s="131"/>
      <c r="AH50" s="131"/>
      <c r="AI50" s="131"/>
      <c r="AJ50" s="131"/>
      <c r="AK50" s="131"/>
      <c r="AL50" s="131"/>
      <c r="AM50" s="131"/>
    </row>
    <row r="51" spans="1:39" ht="12" customHeight="1">
      <c r="A51" s="99" t="s">
        <v>316</v>
      </c>
      <c r="B51" s="142">
        <v>88</v>
      </c>
      <c r="C51" s="57">
        <v>182</v>
      </c>
      <c r="D51" s="57">
        <v>1630</v>
      </c>
      <c r="E51" s="57">
        <v>3147</v>
      </c>
      <c r="F51" s="57">
        <v>340</v>
      </c>
      <c r="G51" s="57">
        <v>8</v>
      </c>
      <c r="H51" s="212" t="s">
        <v>23</v>
      </c>
      <c r="I51" s="57">
        <v>0</v>
      </c>
      <c r="J51" s="77">
        <f>SUM(C51:G51)</f>
        <v>5307</v>
      </c>
      <c r="K51" s="77">
        <f>SUM(B51:I51)</f>
        <v>5395</v>
      </c>
      <c r="L51" s="57"/>
      <c r="M51" s="77">
        <v>0</v>
      </c>
      <c r="N51" s="77">
        <v>0</v>
      </c>
      <c r="O51" s="77">
        <v>0</v>
      </c>
      <c r="P51" s="77">
        <v>475</v>
      </c>
      <c r="Q51" s="77">
        <v>507</v>
      </c>
      <c r="R51" s="77">
        <v>436</v>
      </c>
      <c r="S51" s="213" t="s">
        <v>23</v>
      </c>
      <c r="T51" s="77">
        <v>0</v>
      </c>
      <c r="U51" s="77">
        <f t="shared" si="2"/>
        <v>1418</v>
      </c>
      <c r="V51" s="77">
        <f t="shared" si="3"/>
        <v>1418</v>
      </c>
      <c r="W51" s="132"/>
      <c r="X51" s="132"/>
      <c r="Y51" s="132"/>
      <c r="Z51" s="132"/>
      <c r="AA51" s="132"/>
      <c r="AB51" s="132"/>
      <c r="AC51" s="132"/>
      <c r="AD51" s="132"/>
      <c r="AF51" s="131"/>
      <c r="AG51" s="131"/>
      <c r="AH51" s="131"/>
      <c r="AI51" s="131"/>
      <c r="AJ51" s="131"/>
      <c r="AK51" s="131"/>
      <c r="AL51" s="131"/>
      <c r="AM51" s="131"/>
    </row>
    <row r="52" spans="1:39" ht="12" customHeight="1">
      <c r="B52" s="142"/>
      <c r="C52" s="57"/>
      <c r="D52" s="57"/>
      <c r="E52" s="57"/>
      <c r="F52" s="57"/>
      <c r="G52" s="57"/>
      <c r="H52" s="57"/>
      <c r="I52" s="57"/>
      <c r="J52" s="57"/>
      <c r="K52" s="57"/>
      <c r="L52" s="57"/>
      <c r="M52" s="57"/>
      <c r="N52" s="57"/>
      <c r="O52" s="57"/>
      <c r="P52" s="57"/>
      <c r="Q52" s="57"/>
      <c r="R52" s="57"/>
      <c r="S52" s="57"/>
      <c r="T52" s="57"/>
      <c r="U52" s="57"/>
      <c r="V52" s="156"/>
    </row>
    <row r="53" spans="1:39" ht="12" customHeight="1">
      <c r="A53" s="94" t="s">
        <v>59</v>
      </c>
      <c r="B53" s="104"/>
      <c r="C53" s="57"/>
      <c r="D53" s="57"/>
      <c r="E53" s="57"/>
      <c r="F53" s="57"/>
      <c r="G53" s="57"/>
      <c r="H53" s="57"/>
      <c r="I53" s="57"/>
      <c r="J53" s="57"/>
      <c r="K53" s="57"/>
      <c r="L53" s="57"/>
      <c r="M53" s="57"/>
      <c r="N53" s="57"/>
      <c r="O53" s="57"/>
      <c r="P53" s="57"/>
      <c r="Q53" s="57"/>
      <c r="R53" s="57"/>
      <c r="S53" s="57"/>
      <c r="T53" s="57"/>
      <c r="U53" s="57"/>
      <c r="V53" s="156"/>
    </row>
    <row r="54" spans="1:39" ht="12" customHeight="1">
      <c r="A54" s="99">
        <v>1976</v>
      </c>
      <c r="B54" s="142">
        <v>0</v>
      </c>
      <c r="C54" s="57">
        <v>57</v>
      </c>
      <c r="D54" s="57">
        <v>2194</v>
      </c>
      <c r="E54" s="57">
        <v>2843</v>
      </c>
      <c r="F54" s="57">
        <v>487</v>
      </c>
      <c r="G54" s="57">
        <v>23</v>
      </c>
      <c r="H54" s="57">
        <v>1</v>
      </c>
      <c r="I54" s="57">
        <v>43</v>
      </c>
      <c r="J54" s="57">
        <f t="shared" ref="J54:J95" si="6">SUM(C54:G54)</f>
        <v>5604</v>
      </c>
      <c r="K54" s="57">
        <f t="shared" ref="K54:K99" si="7">SUM(B54:I54)</f>
        <v>5648</v>
      </c>
      <c r="L54" s="57"/>
      <c r="M54" s="57">
        <v>0</v>
      </c>
      <c r="N54" s="57">
        <v>0</v>
      </c>
      <c r="O54" s="57">
        <v>880</v>
      </c>
      <c r="P54" s="57">
        <v>2831</v>
      </c>
      <c r="Q54" s="57">
        <v>1076</v>
      </c>
      <c r="R54" s="57">
        <v>79</v>
      </c>
      <c r="S54" s="57">
        <v>10</v>
      </c>
      <c r="T54" s="57">
        <v>10</v>
      </c>
      <c r="U54" s="57">
        <f t="shared" ref="U54:U94" si="8">SUM(N54:R54)</f>
        <v>4866</v>
      </c>
      <c r="V54" s="57">
        <f t="shared" ref="V54:V94" si="9">SUM(M54:T54)</f>
        <v>4886</v>
      </c>
    </row>
    <row r="55" spans="1:39" ht="12" customHeight="1">
      <c r="A55" s="99">
        <v>1977</v>
      </c>
      <c r="B55" s="142">
        <v>22</v>
      </c>
      <c r="C55" s="57">
        <v>1327</v>
      </c>
      <c r="D55" s="57">
        <v>1135</v>
      </c>
      <c r="E55" s="57">
        <v>462</v>
      </c>
      <c r="F55" s="57">
        <v>151</v>
      </c>
      <c r="G55" s="57">
        <v>25</v>
      </c>
      <c r="H55" s="57">
        <v>0</v>
      </c>
      <c r="I55" s="57">
        <v>0</v>
      </c>
      <c r="J55" s="57">
        <f t="shared" si="6"/>
        <v>3100</v>
      </c>
      <c r="K55" s="57">
        <f t="shared" si="7"/>
        <v>3122</v>
      </c>
      <c r="L55" s="57"/>
      <c r="M55" s="57">
        <v>0</v>
      </c>
      <c r="N55" s="57">
        <v>208</v>
      </c>
      <c r="O55" s="57">
        <v>101</v>
      </c>
      <c r="P55" s="57">
        <v>689</v>
      </c>
      <c r="Q55" s="57">
        <v>629</v>
      </c>
      <c r="R55" s="57">
        <v>93</v>
      </c>
      <c r="S55" s="57">
        <v>0</v>
      </c>
      <c r="T55" s="57">
        <v>0</v>
      </c>
      <c r="U55" s="57">
        <f t="shared" si="8"/>
        <v>1720</v>
      </c>
      <c r="V55" s="57">
        <f t="shared" si="9"/>
        <v>1720</v>
      </c>
    </row>
    <row r="56" spans="1:39" ht="12" customHeight="1">
      <c r="A56" s="99">
        <v>1978</v>
      </c>
      <c r="B56" s="142">
        <v>7</v>
      </c>
      <c r="C56" s="57">
        <v>23</v>
      </c>
      <c r="D56" s="57">
        <v>1802</v>
      </c>
      <c r="E56" s="57">
        <v>505</v>
      </c>
      <c r="F56" s="57">
        <v>11</v>
      </c>
      <c r="G56" s="57">
        <v>6</v>
      </c>
      <c r="H56" s="57">
        <v>0</v>
      </c>
      <c r="I56" s="57">
        <v>0</v>
      </c>
      <c r="J56" s="57">
        <f t="shared" si="6"/>
        <v>2347</v>
      </c>
      <c r="K56" s="57">
        <f t="shared" si="7"/>
        <v>2354</v>
      </c>
      <c r="L56" s="57"/>
      <c r="M56" s="57">
        <v>5</v>
      </c>
      <c r="N56" s="57">
        <v>0</v>
      </c>
      <c r="O56" s="57">
        <v>752</v>
      </c>
      <c r="P56" s="57">
        <v>558</v>
      </c>
      <c r="Q56" s="57">
        <v>31</v>
      </c>
      <c r="R56" s="57">
        <v>126</v>
      </c>
      <c r="S56" s="57">
        <v>0</v>
      </c>
      <c r="T56" s="57">
        <v>0</v>
      </c>
      <c r="U56" s="57">
        <f t="shared" si="8"/>
        <v>1467</v>
      </c>
      <c r="V56" s="57">
        <f t="shared" si="9"/>
        <v>1472</v>
      </c>
    </row>
    <row r="57" spans="1:39" ht="12" customHeight="1">
      <c r="A57" s="99">
        <v>1979</v>
      </c>
      <c r="B57" s="142">
        <v>12</v>
      </c>
      <c r="C57" s="57">
        <v>55</v>
      </c>
      <c r="D57" s="57">
        <v>189</v>
      </c>
      <c r="E57" s="57">
        <v>87</v>
      </c>
      <c r="F57" s="57">
        <v>58</v>
      </c>
      <c r="G57" s="57">
        <v>6</v>
      </c>
      <c r="H57" s="57">
        <v>1</v>
      </c>
      <c r="I57" s="57">
        <v>0</v>
      </c>
      <c r="J57" s="57">
        <f t="shared" si="6"/>
        <v>395</v>
      </c>
      <c r="K57" s="57">
        <f t="shared" si="7"/>
        <v>408</v>
      </c>
      <c r="L57" s="57"/>
      <c r="M57" s="57">
        <v>0</v>
      </c>
      <c r="N57" s="57">
        <v>0</v>
      </c>
      <c r="O57" s="57">
        <v>497</v>
      </c>
      <c r="P57" s="57">
        <v>466</v>
      </c>
      <c r="Q57" s="57">
        <v>547</v>
      </c>
      <c r="R57" s="57">
        <v>11</v>
      </c>
      <c r="S57" s="57">
        <v>1</v>
      </c>
      <c r="T57" s="57">
        <v>0</v>
      </c>
      <c r="U57" s="57">
        <f t="shared" si="8"/>
        <v>1521</v>
      </c>
      <c r="V57" s="57">
        <f t="shared" si="9"/>
        <v>1522</v>
      </c>
    </row>
    <row r="58" spans="1:39" ht="12" customHeight="1">
      <c r="A58" s="99">
        <v>1980</v>
      </c>
      <c r="B58" s="142">
        <v>0</v>
      </c>
      <c r="C58" s="57">
        <v>22</v>
      </c>
      <c r="D58" s="57">
        <v>382</v>
      </c>
      <c r="E58" s="57">
        <v>1941</v>
      </c>
      <c r="F58" s="57">
        <v>22</v>
      </c>
      <c r="G58" s="57">
        <v>19</v>
      </c>
      <c r="H58" s="57">
        <v>2</v>
      </c>
      <c r="I58" s="57">
        <v>0</v>
      </c>
      <c r="J58" s="57">
        <f t="shared" si="6"/>
        <v>2386</v>
      </c>
      <c r="K58" s="57">
        <f t="shared" si="7"/>
        <v>2388</v>
      </c>
      <c r="L58" s="57"/>
      <c r="M58" s="57">
        <v>0</v>
      </c>
      <c r="N58" s="57">
        <v>78</v>
      </c>
      <c r="O58" s="57">
        <v>15405</v>
      </c>
      <c r="P58" s="57">
        <v>2884</v>
      </c>
      <c r="Q58" s="57">
        <v>130</v>
      </c>
      <c r="R58" s="57">
        <v>972</v>
      </c>
      <c r="S58" s="57">
        <v>19</v>
      </c>
      <c r="T58" s="57">
        <v>0</v>
      </c>
      <c r="U58" s="57">
        <f t="shared" si="8"/>
        <v>19469</v>
      </c>
      <c r="V58" s="57">
        <f t="shared" si="9"/>
        <v>19488</v>
      </c>
    </row>
    <row r="59" spans="1:39" ht="12" customHeight="1">
      <c r="A59" s="99">
        <v>1981</v>
      </c>
      <c r="B59" s="142">
        <v>0</v>
      </c>
      <c r="C59" s="57">
        <v>59</v>
      </c>
      <c r="D59" s="57">
        <v>1058</v>
      </c>
      <c r="E59" s="57">
        <v>1970</v>
      </c>
      <c r="F59" s="57">
        <v>87</v>
      </c>
      <c r="G59" s="57">
        <v>207</v>
      </c>
      <c r="H59" s="57">
        <v>232</v>
      </c>
      <c r="I59" s="57">
        <v>53</v>
      </c>
      <c r="J59" s="57">
        <f t="shared" si="6"/>
        <v>3381</v>
      </c>
      <c r="K59" s="57">
        <f t="shared" si="7"/>
        <v>3666</v>
      </c>
      <c r="L59" s="57"/>
      <c r="M59" s="57">
        <v>0</v>
      </c>
      <c r="N59" s="57">
        <v>4</v>
      </c>
      <c r="O59" s="57">
        <v>2702</v>
      </c>
      <c r="P59" s="57">
        <v>2089</v>
      </c>
      <c r="Q59" s="57">
        <v>1299</v>
      </c>
      <c r="R59" s="57">
        <v>9484</v>
      </c>
      <c r="S59" s="57">
        <v>0</v>
      </c>
      <c r="T59" s="57">
        <v>0</v>
      </c>
      <c r="U59" s="57">
        <f t="shared" si="8"/>
        <v>15578</v>
      </c>
      <c r="V59" s="57">
        <f t="shared" si="9"/>
        <v>15578</v>
      </c>
    </row>
    <row r="60" spans="1:39" ht="12" customHeight="1">
      <c r="A60" s="99">
        <v>1982</v>
      </c>
      <c r="B60" s="142">
        <v>0</v>
      </c>
      <c r="C60" s="57">
        <v>29</v>
      </c>
      <c r="D60" s="57">
        <v>2672</v>
      </c>
      <c r="E60" s="57">
        <v>6733</v>
      </c>
      <c r="F60" s="57">
        <v>996</v>
      </c>
      <c r="G60" s="57">
        <v>2257</v>
      </c>
      <c r="H60" s="57">
        <v>27</v>
      </c>
      <c r="I60" s="57">
        <v>0</v>
      </c>
      <c r="J60" s="57">
        <f t="shared" si="6"/>
        <v>12687</v>
      </c>
      <c r="K60" s="57">
        <f t="shared" si="7"/>
        <v>12714</v>
      </c>
      <c r="L60" s="57"/>
      <c r="M60" s="57">
        <v>0</v>
      </c>
      <c r="N60" s="57">
        <v>1</v>
      </c>
      <c r="O60" s="57">
        <v>16727</v>
      </c>
      <c r="P60" s="57">
        <v>11607</v>
      </c>
      <c r="Q60" s="57">
        <v>32395</v>
      </c>
      <c r="R60" s="57">
        <v>31425</v>
      </c>
      <c r="S60" s="57">
        <v>16</v>
      </c>
      <c r="T60" s="57">
        <v>0</v>
      </c>
      <c r="U60" s="57">
        <f t="shared" si="8"/>
        <v>92155</v>
      </c>
      <c r="V60" s="57">
        <f t="shared" si="9"/>
        <v>92171</v>
      </c>
    </row>
    <row r="61" spans="1:39" ht="12" customHeight="1">
      <c r="A61" s="99">
        <v>1983</v>
      </c>
      <c r="B61" s="142">
        <v>0</v>
      </c>
      <c r="C61" s="57">
        <v>110</v>
      </c>
      <c r="D61" s="57">
        <v>1762</v>
      </c>
      <c r="E61" s="57">
        <v>269</v>
      </c>
      <c r="F61" s="57">
        <v>508</v>
      </c>
      <c r="G61" s="57">
        <v>250</v>
      </c>
      <c r="H61" s="57">
        <v>0</v>
      </c>
      <c r="I61" s="57">
        <v>0</v>
      </c>
      <c r="J61" s="57">
        <f t="shared" si="6"/>
        <v>2899</v>
      </c>
      <c r="K61" s="57">
        <f t="shared" si="7"/>
        <v>2899</v>
      </c>
      <c r="L61" s="57"/>
      <c r="M61" s="57">
        <v>0</v>
      </c>
      <c r="N61" s="57">
        <v>33</v>
      </c>
      <c r="O61" s="57">
        <v>2495</v>
      </c>
      <c r="P61" s="57">
        <v>2456</v>
      </c>
      <c r="Q61" s="57">
        <v>15608</v>
      </c>
      <c r="R61" s="57">
        <v>7604</v>
      </c>
      <c r="S61" s="57">
        <v>0</v>
      </c>
      <c r="T61" s="57">
        <v>0</v>
      </c>
      <c r="U61" s="57">
        <f t="shared" si="8"/>
        <v>28196</v>
      </c>
      <c r="V61" s="57">
        <f t="shared" si="9"/>
        <v>28196</v>
      </c>
    </row>
    <row r="62" spans="1:39" ht="12" customHeight="1">
      <c r="A62" s="99">
        <v>1984</v>
      </c>
      <c r="B62" s="142">
        <v>0</v>
      </c>
      <c r="C62" s="57">
        <v>382</v>
      </c>
      <c r="D62" s="57">
        <v>398</v>
      </c>
      <c r="E62" s="57">
        <v>570</v>
      </c>
      <c r="F62" s="57">
        <v>731</v>
      </c>
      <c r="G62" s="57">
        <v>0</v>
      </c>
      <c r="H62" s="57">
        <v>5</v>
      </c>
      <c r="I62" s="57">
        <v>0</v>
      </c>
      <c r="J62" s="57">
        <f t="shared" si="6"/>
        <v>2081</v>
      </c>
      <c r="K62" s="57">
        <f t="shared" si="7"/>
        <v>2086</v>
      </c>
      <c r="L62" s="57"/>
      <c r="M62" s="57">
        <v>0</v>
      </c>
      <c r="N62" s="57">
        <v>0</v>
      </c>
      <c r="O62" s="57">
        <v>0</v>
      </c>
      <c r="P62" s="57">
        <v>15607</v>
      </c>
      <c r="Q62" s="57">
        <v>14851</v>
      </c>
      <c r="R62" s="57">
        <v>0</v>
      </c>
      <c r="S62" s="57">
        <v>76</v>
      </c>
      <c r="T62" s="57">
        <v>0</v>
      </c>
      <c r="U62" s="57">
        <f t="shared" si="8"/>
        <v>30458</v>
      </c>
      <c r="V62" s="57">
        <f t="shared" si="9"/>
        <v>30534</v>
      </c>
    </row>
    <row r="63" spans="1:39" ht="12" customHeight="1">
      <c r="A63" s="99">
        <v>1985</v>
      </c>
      <c r="B63" s="142">
        <v>2</v>
      </c>
      <c r="C63" s="57">
        <v>2020</v>
      </c>
      <c r="D63" s="57">
        <v>64</v>
      </c>
      <c r="E63" s="57">
        <v>2486</v>
      </c>
      <c r="F63" s="57">
        <v>1045</v>
      </c>
      <c r="G63" s="57">
        <v>1144</v>
      </c>
      <c r="H63" s="57">
        <v>4</v>
      </c>
      <c r="I63" s="57">
        <v>0</v>
      </c>
      <c r="J63" s="57">
        <f t="shared" si="6"/>
        <v>6759</v>
      </c>
      <c r="K63" s="57">
        <f t="shared" si="7"/>
        <v>6765</v>
      </c>
      <c r="L63" s="57"/>
      <c r="M63" s="57">
        <v>0</v>
      </c>
      <c r="N63" s="57">
        <v>1</v>
      </c>
      <c r="O63" s="57">
        <v>1311</v>
      </c>
      <c r="P63" s="57">
        <v>13324</v>
      </c>
      <c r="Q63" s="57">
        <v>18420</v>
      </c>
      <c r="R63" s="57">
        <v>18508</v>
      </c>
      <c r="S63" s="57">
        <v>0</v>
      </c>
      <c r="T63" s="57">
        <v>0</v>
      </c>
      <c r="U63" s="57">
        <f t="shared" si="8"/>
        <v>51564</v>
      </c>
      <c r="V63" s="57">
        <f t="shared" si="9"/>
        <v>51564</v>
      </c>
    </row>
    <row r="64" spans="1:39" ht="12" customHeight="1">
      <c r="A64" s="99">
        <v>1986</v>
      </c>
      <c r="B64" s="142">
        <v>0</v>
      </c>
      <c r="C64" s="57">
        <v>1829</v>
      </c>
      <c r="D64" s="57">
        <v>1239</v>
      </c>
      <c r="E64" s="57">
        <v>1890</v>
      </c>
      <c r="F64" s="57">
        <v>250</v>
      </c>
      <c r="G64" s="57">
        <v>0</v>
      </c>
      <c r="H64" s="57">
        <v>0</v>
      </c>
      <c r="I64" s="57">
        <v>0</v>
      </c>
      <c r="J64" s="57">
        <f t="shared" si="6"/>
        <v>5208</v>
      </c>
      <c r="K64" s="57">
        <f t="shared" si="7"/>
        <v>5208</v>
      </c>
      <c r="L64" s="57"/>
      <c r="M64" s="57">
        <v>0</v>
      </c>
      <c r="N64" s="57">
        <v>0</v>
      </c>
      <c r="O64" s="57">
        <v>517</v>
      </c>
      <c r="P64" s="57">
        <v>28025</v>
      </c>
      <c r="Q64" s="57">
        <v>5089</v>
      </c>
      <c r="R64" s="57">
        <v>0</v>
      </c>
      <c r="S64" s="57">
        <v>0</v>
      </c>
      <c r="T64" s="57">
        <v>0</v>
      </c>
      <c r="U64" s="57">
        <f t="shared" si="8"/>
        <v>33631</v>
      </c>
      <c r="V64" s="57">
        <f t="shared" si="9"/>
        <v>33631</v>
      </c>
    </row>
    <row r="65" spans="1:22" ht="12" customHeight="1">
      <c r="A65" s="99">
        <v>1987</v>
      </c>
      <c r="B65" s="142">
        <v>0</v>
      </c>
      <c r="C65" s="57">
        <v>3869</v>
      </c>
      <c r="D65" s="57">
        <v>0</v>
      </c>
      <c r="E65" s="57">
        <v>1443</v>
      </c>
      <c r="F65" s="57">
        <v>4168</v>
      </c>
      <c r="G65" s="57">
        <v>0</v>
      </c>
      <c r="H65" s="57">
        <v>0</v>
      </c>
      <c r="I65" s="57">
        <v>0</v>
      </c>
      <c r="J65" s="57">
        <f t="shared" si="6"/>
        <v>9480</v>
      </c>
      <c r="K65" s="57">
        <f t="shared" si="7"/>
        <v>9480</v>
      </c>
      <c r="L65" s="57"/>
      <c r="M65" s="57">
        <v>0</v>
      </c>
      <c r="N65" s="57">
        <v>15</v>
      </c>
      <c r="O65" s="57">
        <v>0</v>
      </c>
      <c r="P65" s="57">
        <v>30832</v>
      </c>
      <c r="Q65" s="57">
        <v>21642</v>
      </c>
      <c r="R65" s="57">
        <v>0</v>
      </c>
      <c r="S65" s="57">
        <v>0</v>
      </c>
      <c r="T65" s="57">
        <v>0</v>
      </c>
      <c r="U65" s="57">
        <f t="shared" si="8"/>
        <v>52489</v>
      </c>
      <c r="V65" s="57">
        <f t="shared" si="9"/>
        <v>52489</v>
      </c>
    </row>
    <row r="66" spans="1:22" ht="12" customHeight="1">
      <c r="A66" s="99">
        <v>1988</v>
      </c>
      <c r="B66" s="142">
        <v>32</v>
      </c>
      <c r="C66" s="57">
        <v>361</v>
      </c>
      <c r="D66" s="57">
        <v>3774</v>
      </c>
      <c r="E66" s="57">
        <v>3560</v>
      </c>
      <c r="F66" s="57">
        <v>4619</v>
      </c>
      <c r="G66" s="57">
        <v>952</v>
      </c>
      <c r="H66" s="57">
        <v>0</v>
      </c>
      <c r="I66" s="57">
        <v>0</v>
      </c>
      <c r="J66" s="57">
        <f t="shared" si="6"/>
        <v>13266</v>
      </c>
      <c r="K66" s="57">
        <f t="shared" si="7"/>
        <v>13298</v>
      </c>
      <c r="L66" s="57"/>
      <c r="M66" s="57">
        <v>0</v>
      </c>
      <c r="N66" s="57">
        <v>0</v>
      </c>
      <c r="O66" s="57">
        <v>13</v>
      </c>
      <c r="P66" s="57">
        <v>3352</v>
      </c>
      <c r="Q66" s="57">
        <v>23668</v>
      </c>
      <c r="R66" s="57">
        <v>6513</v>
      </c>
      <c r="S66" s="57">
        <v>0</v>
      </c>
      <c r="T66" s="57">
        <v>0</v>
      </c>
      <c r="U66" s="57">
        <f t="shared" si="8"/>
        <v>33546</v>
      </c>
      <c r="V66" s="57">
        <f t="shared" si="9"/>
        <v>33546</v>
      </c>
    </row>
    <row r="67" spans="1:22" ht="12" customHeight="1">
      <c r="A67" s="99">
        <v>1989</v>
      </c>
      <c r="B67" s="142">
        <v>0</v>
      </c>
      <c r="C67" s="57">
        <v>3181</v>
      </c>
      <c r="D67" s="57">
        <v>4647</v>
      </c>
      <c r="E67" s="57">
        <v>3841</v>
      </c>
      <c r="F67" s="57">
        <v>3080</v>
      </c>
      <c r="G67" s="57">
        <v>529</v>
      </c>
      <c r="H67" s="57">
        <v>0</v>
      </c>
      <c r="I67" s="57">
        <v>0</v>
      </c>
      <c r="J67" s="57">
        <f t="shared" si="6"/>
        <v>15278</v>
      </c>
      <c r="K67" s="57">
        <f t="shared" si="7"/>
        <v>15278</v>
      </c>
      <c r="L67" s="57"/>
      <c r="M67" s="57">
        <v>0</v>
      </c>
      <c r="N67" s="57">
        <v>1</v>
      </c>
      <c r="O67" s="57">
        <v>0</v>
      </c>
      <c r="P67" s="57">
        <v>11869</v>
      </c>
      <c r="Q67" s="57">
        <v>13245</v>
      </c>
      <c r="R67" s="57">
        <v>17247</v>
      </c>
      <c r="S67" s="57">
        <v>0</v>
      </c>
      <c r="T67" s="57">
        <v>0</v>
      </c>
      <c r="U67" s="57">
        <f t="shared" si="8"/>
        <v>42362</v>
      </c>
      <c r="V67" s="57">
        <f t="shared" si="9"/>
        <v>42362</v>
      </c>
    </row>
    <row r="68" spans="1:22" ht="12" customHeight="1">
      <c r="A68" s="99">
        <v>1990</v>
      </c>
      <c r="B68" s="142">
        <v>0</v>
      </c>
      <c r="C68" s="57">
        <v>3778</v>
      </c>
      <c r="D68" s="57">
        <v>1923</v>
      </c>
      <c r="E68" s="57">
        <v>4837</v>
      </c>
      <c r="F68" s="57">
        <v>1166</v>
      </c>
      <c r="G68" s="57">
        <v>1943</v>
      </c>
      <c r="H68" s="57">
        <v>0</v>
      </c>
      <c r="I68" s="57">
        <v>1</v>
      </c>
      <c r="J68" s="57">
        <f t="shared" si="6"/>
        <v>13647</v>
      </c>
      <c r="K68" s="57">
        <f t="shared" si="7"/>
        <v>13648</v>
      </c>
      <c r="L68" s="57"/>
      <c r="M68" s="57">
        <v>0</v>
      </c>
      <c r="N68" s="57">
        <v>0</v>
      </c>
      <c r="O68" s="57">
        <v>0</v>
      </c>
      <c r="P68" s="57">
        <v>10069</v>
      </c>
      <c r="Q68" s="57">
        <v>21027</v>
      </c>
      <c r="R68" s="57">
        <v>12447</v>
      </c>
      <c r="S68" s="57">
        <v>0</v>
      </c>
      <c r="T68" s="57">
        <v>0</v>
      </c>
      <c r="U68" s="57">
        <f t="shared" si="8"/>
        <v>43543</v>
      </c>
      <c r="V68" s="57">
        <f t="shared" si="9"/>
        <v>43543</v>
      </c>
    </row>
    <row r="69" spans="1:22" ht="12" customHeight="1">
      <c r="A69" s="99">
        <v>1991</v>
      </c>
      <c r="B69" s="142">
        <v>0</v>
      </c>
      <c r="C69" s="57">
        <v>3469</v>
      </c>
      <c r="D69" s="57">
        <v>4844</v>
      </c>
      <c r="E69" s="57">
        <v>5495</v>
      </c>
      <c r="F69" s="57">
        <v>2361</v>
      </c>
      <c r="G69" s="57">
        <v>0</v>
      </c>
      <c r="H69" s="57">
        <v>0</v>
      </c>
      <c r="I69" s="57">
        <v>0</v>
      </c>
      <c r="J69" s="57">
        <f t="shared" si="6"/>
        <v>16169</v>
      </c>
      <c r="K69" s="57">
        <f t="shared" si="7"/>
        <v>16169</v>
      </c>
      <c r="L69" s="57"/>
      <c r="M69" s="57">
        <v>0</v>
      </c>
      <c r="N69" s="57">
        <v>0</v>
      </c>
      <c r="O69" s="57">
        <v>0</v>
      </c>
      <c r="P69" s="57">
        <v>29190</v>
      </c>
      <c r="Q69" s="57">
        <v>14255</v>
      </c>
      <c r="R69" s="57">
        <v>0</v>
      </c>
      <c r="S69" s="57">
        <v>0</v>
      </c>
      <c r="T69" s="57">
        <v>0</v>
      </c>
      <c r="U69" s="57">
        <f t="shared" si="8"/>
        <v>43445</v>
      </c>
      <c r="V69" s="57">
        <f t="shared" si="9"/>
        <v>43445</v>
      </c>
    </row>
    <row r="70" spans="1:22" ht="12" customHeight="1">
      <c r="A70" s="99">
        <v>1992</v>
      </c>
      <c r="B70" s="142">
        <v>0</v>
      </c>
      <c r="C70" s="57">
        <v>8107</v>
      </c>
      <c r="D70" s="57">
        <v>3284</v>
      </c>
      <c r="E70" s="57">
        <v>3616</v>
      </c>
      <c r="F70" s="57">
        <v>2298</v>
      </c>
      <c r="G70" s="57">
        <v>0</v>
      </c>
      <c r="H70" s="57">
        <v>0</v>
      </c>
      <c r="I70" s="57">
        <v>80</v>
      </c>
      <c r="J70" s="57">
        <f t="shared" si="6"/>
        <v>17305</v>
      </c>
      <c r="K70" s="57">
        <f t="shared" si="7"/>
        <v>17385</v>
      </c>
      <c r="L70" s="57"/>
      <c r="M70" s="57">
        <v>0</v>
      </c>
      <c r="N70" s="57">
        <v>2</v>
      </c>
      <c r="O70" s="57">
        <v>3</v>
      </c>
      <c r="P70" s="57">
        <v>30710</v>
      </c>
      <c r="Q70" s="57">
        <v>16695</v>
      </c>
      <c r="R70" s="57">
        <v>0</v>
      </c>
      <c r="S70" s="57">
        <v>0</v>
      </c>
      <c r="T70" s="57">
        <v>5</v>
      </c>
      <c r="U70" s="57">
        <f t="shared" si="8"/>
        <v>47410</v>
      </c>
      <c r="V70" s="57">
        <f t="shared" si="9"/>
        <v>47415</v>
      </c>
    </row>
    <row r="71" spans="1:22" ht="12" customHeight="1">
      <c r="A71" s="99">
        <v>1993</v>
      </c>
      <c r="B71" s="142">
        <v>0</v>
      </c>
      <c r="C71" s="57">
        <v>6779</v>
      </c>
      <c r="D71" s="57">
        <v>3965</v>
      </c>
      <c r="E71" s="57">
        <v>4852</v>
      </c>
      <c r="F71" s="57">
        <v>1919</v>
      </c>
      <c r="G71" s="57">
        <v>2357</v>
      </c>
      <c r="H71" s="57">
        <v>0</v>
      </c>
      <c r="I71" s="57">
        <v>0</v>
      </c>
      <c r="J71" s="57">
        <f t="shared" si="6"/>
        <v>19872</v>
      </c>
      <c r="K71" s="57">
        <f t="shared" si="7"/>
        <v>19872</v>
      </c>
      <c r="L71" s="57"/>
      <c r="M71" s="57">
        <v>0</v>
      </c>
      <c r="N71" s="57">
        <v>1</v>
      </c>
      <c r="O71" s="57">
        <v>0</v>
      </c>
      <c r="P71" s="57">
        <v>3426</v>
      </c>
      <c r="Q71" s="57">
        <v>13264</v>
      </c>
      <c r="R71" s="57">
        <v>24079</v>
      </c>
      <c r="S71" s="57">
        <v>0</v>
      </c>
      <c r="T71" s="57">
        <v>0</v>
      </c>
      <c r="U71" s="57">
        <f t="shared" si="8"/>
        <v>40770</v>
      </c>
      <c r="V71" s="57">
        <f t="shared" si="9"/>
        <v>40770</v>
      </c>
    </row>
    <row r="72" spans="1:22" ht="12" customHeight="1">
      <c r="A72" s="99">
        <v>1994</v>
      </c>
      <c r="B72" s="142">
        <v>0</v>
      </c>
      <c r="C72" s="57">
        <v>104</v>
      </c>
      <c r="D72" s="57">
        <v>1940</v>
      </c>
      <c r="E72" s="57">
        <v>1</v>
      </c>
      <c r="F72" s="57">
        <v>0</v>
      </c>
      <c r="G72" s="57">
        <v>0</v>
      </c>
      <c r="H72" s="57">
        <v>0</v>
      </c>
      <c r="I72" s="57">
        <v>0</v>
      </c>
      <c r="J72" s="57">
        <f t="shared" si="6"/>
        <v>2045</v>
      </c>
      <c r="K72" s="57">
        <f t="shared" si="7"/>
        <v>2045</v>
      </c>
      <c r="L72" s="57"/>
      <c r="M72" s="57">
        <v>0</v>
      </c>
      <c r="N72" s="57">
        <v>0</v>
      </c>
      <c r="O72" s="57">
        <v>0</v>
      </c>
      <c r="P72" s="57">
        <v>0</v>
      </c>
      <c r="Q72" s="57">
        <v>0</v>
      </c>
      <c r="R72" s="57">
        <v>0</v>
      </c>
      <c r="S72" s="57">
        <v>0</v>
      </c>
      <c r="T72" s="57">
        <v>0</v>
      </c>
      <c r="U72" s="57">
        <f t="shared" si="8"/>
        <v>0</v>
      </c>
      <c r="V72" s="57">
        <f t="shared" si="9"/>
        <v>0</v>
      </c>
    </row>
    <row r="73" spans="1:22" ht="12" customHeight="1">
      <c r="A73" s="99">
        <v>1995</v>
      </c>
      <c r="B73" s="142">
        <v>0</v>
      </c>
      <c r="C73" s="57">
        <v>540</v>
      </c>
      <c r="D73" s="57">
        <v>0</v>
      </c>
      <c r="E73" s="57">
        <v>23</v>
      </c>
      <c r="F73" s="57">
        <v>6943</v>
      </c>
      <c r="G73" s="57">
        <v>0</v>
      </c>
      <c r="H73" s="57">
        <v>0</v>
      </c>
      <c r="I73" s="57">
        <v>0</v>
      </c>
      <c r="J73" s="57">
        <f t="shared" si="6"/>
        <v>7506</v>
      </c>
      <c r="K73" s="57">
        <f t="shared" si="7"/>
        <v>7506</v>
      </c>
      <c r="L73" s="57"/>
      <c r="M73" s="57">
        <v>0</v>
      </c>
      <c r="N73" s="57">
        <v>0</v>
      </c>
      <c r="O73" s="57">
        <v>0</v>
      </c>
      <c r="P73" s="57">
        <v>0</v>
      </c>
      <c r="Q73" s="57">
        <v>25084</v>
      </c>
      <c r="R73" s="57">
        <v>0</v>
      </c>
      <c r="S73" s="57">
        <v>0</v>
      </c>
      <c r="T73" s="57">
        <v>0</v>
      </c>
      <c r="U73" s="57">
        <f t="shared" si="8"/>
        <v>25084</v>
      </c>
      <c r="V73" s="57">
        <f t="shared" si="9"/>
        <v>25084</v>
      </c>
    </row>
    <row r="74" spans="1:22" ht="12" customHeight="1">
      <c r="A74" s="99">
        <v>1996</v>
      </c>
      <c r="B74" s="142">
        <v>6</v>
      </c>
      <c r="C74" s="57">
        <v>997</v>
      </c>
      <c r="D74" s="57">
        <v>534</v>
      </c>
      <c r="E74" s="57">
        <v>0</v>
      </c>
      <c r="F74" s="57">
        <v>4702</v>
      </c>
      <c r="G74" s="57">
        <v>3421</v>
      </c>
      <c r="H74" s="57" t="s">
        <v>23</v>
      </c>
      <c r="I74" s="57">
        <v>0</v>
      </c>
      <c r="J74" s="57">
        <f t="shared" si="6"/>
        <v>9654</v>
      </c>
      <c r="K74" s="57">
        <f t="shared" si="7"/>
        <v>9660</v>
      </c>
      <c r="L74" s="57"/>
      <c r="M74" s="57">
        <v>0</v>
      </c>
      <c r="N74" s="57">
        <v>0</v>
      </c>
      <c r="O74" s="57">
        <v>0</v>
      </c>
      <c r="P74" s="57">
        <v>0</v>
      </c>
      <c r="Q74" s="57">
        <v>2852</v>
      </c>
      <c r="R74" s="57">
        <v>12054</v>
      </c>
      <c r="S74" s="57" t="s">
        <v>23</v>
      </c>
      <c r="T74" s="57">
        <v>0</v>
      </c>
      <c r="U74" s="57">
        <f t="shared" si="8"/>
        <v>14906</v>
      </c>
      <c r="V74" s="57">
        <f t="shared" si="9"/>
        <v>14906</v>
      </c>
    </row>
    <row r="75" spans="1:22" ht="12" customHeight="1">
      <c r="A75" s="99">
        <v>1997</v>
      </c>
      <c r="B75" s="142">
        <v>0</v>
      </c>
      <c r="C75" s="57">
        <v>175</v>
      </c>
      <c r="D75" s="57">
        <v>7053</v>
      </c>
      <c r="E75" s="57">
        <v>0</v>
      </c>
      <c r="F75" s="57">
        <v>3451</v>
      </c>
      <c r="G75" s="57">
        <v>888</v>
      </c>
      <c r="H75" s="57" t="s">
        <v>23</v>
      </c>
      <c r="I75" s="57">
        <v>0</v>
      </c>
      <c r="J75" s="57">
        <f t="shared" si="6"/>
        <v>11567</v>
      </c>
      <c r="K75" s="57">
        <f t="shared" si="7"/>
        <v>11567</v>
      </c>
      <c r="L75" s="57"/>
      <c r="M75" s="57">
        <v>0</v>
      </c>
      <c r="N75" s="57">
        <v>0</v>
      </c>
      <c r="O75" s="57">
        <v>0</v>
      </c>
      <c r="P75" s="57">
        <v>0</v>
      </c>
      <c r="Q75" s="57">
        <v>6008</v>
      </c>
      <c r="R75" s="57">
        <v>3411</v>
      </c>
      <c r="S75" s="57" t="s">
        <v>23</v>
      </c>
      <c r="T75" s="57">
        <v>0</v>
      </c>
      <c r="U75" s="57">
        <f t="shared" si="8"/>
        <v>9419</v>
      </c>
      <c r="V75" s="57">
        <f t="shared" si="9"/>
        <v>9419</v>
      </c>
    </row>
    <row r="76" spans="1:22" ht="12" customHeight="1">
      <c r="A76" s="99">
        <v>1998</v>
      </c>
      <c r="B76" s="142">
        <v>0</v>
      </c>
      <c r="C76" s="57">
        <v>5056</v>
      </c>
      <c r="D76" s="57">
        <v>4358</v>
      </c>
      <c r="E76" s="57">
        <v>47</v>
      </c>
      <c r="F76" s="57">
        <v>3470</v>
      </c>
      <c r="G76" s="57">
        <v>1119</v>
      </c>
      <c r="H76" s="57" t="s">
        <v>23</v>
      </c>
      <c r="I76" s="57">
        <v>85</v>
      </c>
      <c r="J76" s="57">
        <f t="shared" si="6"/>
        <v>14050</v>
      </c>
      <c r="K76" s="57">
        <f t="shared" si="7"/>
        <v>14135</v>
      </c>
      <c r="L76" s="57"/>
      <c r="M76" s="57">
        <v>0</v>
      </c>
      <c r="N76" s="57">
        <v>0</v>
      </c>
      <c r="O76" s="57">
        <v>0</v>
      </c>
      <c r="P76" s="57">
        <v>74</v>
      </c>
      <c r="Q76" s="57">
        <v>3115</v>
      </c>
      <c r="R76" s="57">
        <v>4037</v>
      </c>
      <c r="S76" s="57" t="s">
        <v>23</v>
      </c>
      <c r="T76" s="57">
        <v>0</v>
      </c>
      <c r="U76" s="57">
        <f t="shared" si="8"/>
        <v>7226</v>
      </c>
      <c r="V76" s="57">
        <f t="shared" si="9"/>
        <v>7226</v>
      </c>
    </row>
    <row r="77" spans="1:22" ht="12" customHeight="1">
      <c r="A77" s="99">
        <v>1999</v>
      </c>
      <c r="B77" s="142">
        <v>0</v>
      </c>
      <c r="C77" s="57">
        <v>2142</v>
      </c>
      <c r="D77" s="57">
        <v>15290</v>
      </c>
      <c r="E77" s="57">
        <v>1530</v>
      </c>
      <c r="F77" s="57">
        <v>3887</v>
      </c>
      <c r="G77" s="57">
        <v>3619</v>
      </c>
      <c r="H77" s="57" t="s">
        <v>23</v>
      </c>
      <c r="I77" s="57">
        <v>0</v>
      </c>
      <c r="J77" s="57">
        <f t="shared" si="6"/>
        <v>26468</v>
      </c>
      <c r="K77" s="57">
        <f t="shared" si="7"/>
        <v>26468</v>
      </c>
      <c r="L77" s="57"/>
      <c r="M77" s="57">
        <v>0</v>
      </c>
      <c r="N77" s="57">
        <v>0</v>
      </c>
      <c r="O77" s="57">
        <v>0</v>
      </c>
      <c r="P77" s="57">
        <v>0</v>
      </c>
      <c r="Q77" s="57">
        <v>11932</v>
      </c>
      <c r="R77" s="57">
        <v>20196</v>
      </c>
      <c r="S77" s="57" t="s">
        <v>23</v>
      </c>
      <c r="T77" s="57">
        <v>0</v>
      </c>
      <c r="U77" s="57">
        <f t="shared" si="8"/>
        <v>32128</v>
      </c>
      <c r="V77" s="57">
        <f t="shared" si="9"/>
        <v>32128</v>
      </c>
    </row>
    <row r="78" spans="1:22" ht="12" customHeight="1">
      <c r="A78" s="99">
        <v>2000</v>
      </c>
      <c r="B78" s="142">
        <v>0</v>
      </c>
      <c r="C78" s="57">
        <v>2587</v>
      </c>
      <c r="D78" s="57">
        <v>2552</v>
      </c>
      <c r="E78" s="57">
        <v>189</v>
      </c>
      <c r="F78" s="57">
        <v>1329</v>
      </c>
      <c r="G78" s="57">
        <v>0</v>
      </c>
      <c r="H78" s="57" t="s">
        <v>23</v>
      </c>
      <c r="I78" s="57">
        <v>0</v>
      </c>
      <c r="J78" s="57">
        <f t="shared" si="6"/>
        <v>6657</v>
      </c>
      <c r="K78" s="57">
        <f t="shared" si="7"/>
        <v>6657</v>
      </c>
      <c r="L78" s="57"/>
      <c r="M78" s="57">
        <v>0</v>
      </c>
      <c r="N78" s="57">
        <v>0</v>
      </c>
      <c r="O78" s="57">
        <v>1</v>
      </c>
      <c r="P78" s="57">
        <v>0</v>
      </c>
      <c r="Q78" s="57">
        <v>21230</v>
      </c>
      <c r="R78" s="57">
        <v>0</v>
      </c>
      <c r="S78" s="57" t="s">
        <v>23</v>
      </c>
      <c r="T78" s="57">
        <v>0</v>
      </c>
      <c r="U78" s="57">
        <f t="shared" si="8"/>
        <v>21231</v>
      </c>
      <c r="V78" s="57">
        <f t="shared" si="9"/>
        <v>21231</v>
      </c>
    </row>
    <row r="79" spans="1:22" ht="12" customHeight="1">
      <c r="A79" s="99">
        <v>2001</v>
      </c>
      <c r="B79" s="142">
        <v>0</v>
      </c>
      <c r="C79" s="57">
        <v>1070</v>
      </c>
      <c r="D79" s="57">
        <v>9047</v>
      </c>
      <c r="E79" s="57">
        <v>5438</v>
      </c>
      <c r="F79" s="57">
        <v>2510</v>
      </c>
      <c r="G79" s="57">
        <v>3171</v>
      </c>
      <c r="H79" s="57" t="s">
        <v>23</v>
      </c>
      <c r="I79" s="57">
        <v>0</v>
      </c>
      <c r="J79" s="57">
        <f t="shared" si="6"/>
        <v>21236</v>
      </c>
      <c r="K79" s="57">
        <f t="shared" si="7"/>
        <v>21236</v>
      </c>
      <c r="L79" s="57"/>
      <c r="M79" s="57">
        <v>0</v>
      </c>
      <c r="N79" s="57">
        <v>0</v>
      </c>
      <c r="O79" s="57">
        <v>11</v>
      </c>
      <c r="P79" s="57">
        <v>5967</v>
      </c>
      <c r="Q79" s="57">
        <v>24881</v>
      </c>
      <c r="R79" s="57">
        <v>21335</v>
      </c>
      <c r="S79" s="57" t="s">
        <v>23</v>
      </c>
      <c r="T79" s="57">
        <v>0</v>
      </c>
      <c r="U79" s="57">
        <f t="shared" si="8"/>
        <v>52194</v>
      </c>
      <c r="V79" s="57">
        <f t="shared" si="9"/>
        <v>52194</v>
      </c>
    </row>
    <row r="80" spans="1:22" ht="12" customHeight="1">
      <c r="A80" s="99">
        <v>2002</v>
      </c>
      <c r="B80" s="142">
        <v>34</v>
      </c>
      <c r="C80" s="57">
        <v>4897</v>
      </c>
      <c r="D80" s="57">
        <v>10263</v>
      </c>
      <c r="E80" s="57">
        <v>11805</v>
      </c>
      <c r="F80" s="57">
        <v>8005</v>
      </c>
      <c r="G80" s="57">
        <v>3123</v>
      </c>
      <c r="H80" s="57" t="s">
        <v>23</v>
      </c>
      <c r="I80" s="57">
        <v>0</v>
      </c>
      <c r="J80" s="57">
        <f t="shared" si="6"/>
        <v>38093</v>
      </c>
      <c r="K80" s="57">
        <f t="shared" si="7"/>
        <v>38127</v>
      </c>
      <c r="L80" s="57"/>
      <c r="M80" s="57">
        <v>0</v>
      </c>
      <c r="N80" s="57">
        <v>1</v>
      </c>
      <c r="O80" s="57">
        <v>1</v>
      </c>
      <c r="P80" s="57">
        <v>3449</v>
      </c>
      <c r="Q80" s="57">
        <v>4530</v>
      </c>
      <c r="R80" s="57">
        <v>9042</v>
      </c>
      <c r="S80" s="57" t="s">
        <v>23</v>
      </c>
      <c r="T80" s="57">
        <v>0</v>
      </c>
      <c r="U80" s="57">
        <f t="shared" si="8"/>
        <v>17023</v>
      </c>
      <c r="V80" s="57">
        <f t="shared" si="9"/>
        <v>17023</v>
      </c>
    </row>
    <row r="81" spans="1:22" ht="12" customHeight="1">
      <c r="A81" s="99">
        <v>2003</v>
      </c>
      <c r="B81" s="142">
        <v>21</v>
      </c>
      <c r="C81" s="57">
        <v>2821</v>
      </c>
      <c r="D81" s="57">
        <v>12946</v>
      </c>
      <c r="E81" s="57">
        <v>12921</v>
      </c>
      <c r="F81" s="57">
        <v>5023</v>
      </c>
      <c r="G81" s="57">
        <v>1031</v>
      </c>
      <c r="H81" s="57" t="s">
        <v>23</v>
      </c>
      <c r="I81" s="57">
        <v>0</v>
      </c>
      <c r="J81" s="57">
        <f t="shared" si="6"/>
        <v>34742</v>
      </c>
      <c r="K81" s="57">
        <f t="shared" si="7"/>
        <v>34763</v>
      </c>
      <c r="L81" s="57"/>
      <c r="M81" s="57">
        <v>98</v>
      </c>
      <c r="N81" s="57">
        <v>3</v>
      </c>
      <c r="O81" s="57">
        <v>0</v>
      </c>
      <c r="P81" s="57">
        <v>4445</v>
      </c>
      <c r="Q81" s="57">
        <v>4164</v>
      </c>
      <c r="R81" s="57">
        <v>2012</v>
      </c>
      <c r="S81" s="57" t="s">
        <v>23</v>
      </c>
      <c r="T81" s="57">
        <v>0</v>
      </c>
      <c r="U81" s="57">
        <f t="shared" si="8"/>
        <v>10624</v>
      </c>
      <c r="V81" s="57">
        <f t="shared" si="9"/>
        <v>10722</v>
      </c>
    </row>
    <row r="82" spans="1:22" ht="12" customHeight="1">
      <c r="A82" s="99">
        <v>2004</v>
      </c>
      <c r="B82" s="142">
        <v>0</v>
      </c>
      <c r="C82" s="57">
        <v>9809</v>
      </c>
      <c r="D82" s="57">
        <v>14433</v>
      </c>
      <c r="E82" s="57">
        <v>9670</v>
      </c>
      <c r="F82" s="57">
        <v>4978</v>
      </c>
      <c r="G82" s="57">
        <v>3387</v>
      </c>
      <c r="H82" s="57" t="s">
        <v>23</v>
      </c>
      <c r="I82" s="57">
        <v>0</v>
      </c>
      <c r="J82" s="57">
        <f t="shared" si="6"/>
        <v>42277</v>
      </c>
      <c r="K82" s="57">
        <f t="shared" si="7"/>
        <v>42277</v>
      </c>
      <c r="L82" s="57"/>
      <c r="M82" s="57">
        <v>0</v>
      </c>
      <c r="N82" s="57">
        <v>3</v>
      </c>
      <c r="O82" s="57">
        <v>3</v>
      </c>
      <c r="P82" s="57">
        <v>14114</v>
      </c>
      <c r="Q82" s="57">
        <v>23814</v>
      </c>
      <c r="R82" s="57">
        <v>7361</v>
      </c>
      <c r="S82" s="57" t="s">
        <v>23</v>
      </c>
      <c r="T82" s="57">
        <v>0</v>
      </c>
      <c r="U82" s="57">
        <f t="shared" si="8"/>
        <v>45295</v>
      </c>
      <c r="V82" s="57">
        <f t="shared" si="9"/>
        <v>45295</v>
      </c>
    </row>
    <row r="83" spans="1:22" ht="12" customHeight="1">
      <c r="A83" s="99">
        <v>2005</v>
      </c>
      <c r="B83" s="142">
        <v>0</v>
      </c>
      <c r="C83" s="57">
        <v>4733</v>
      </c>
      <c r="D83" s="57">
        <v>14608</v>
      </c>
      <c r="E83" s="57">
        <v>4272</v>
      </c>
      <c r="F83" s="57">
        <v>7105</v>
      </c>
      <c r="G83" s="57">
        <v>3097</v>
      </c>
      <c r="H83" s="57" t="s">
        <v>23</v>
      </c>
      <c r="I83" s="57">
        <v>0</v>
      </c>
      <c r="J83" s="57">
        <f t="shared" si="6"/>
        <v>33815</v>
      </c>
      <c r="K83" s="57">
        <f t="shared" si="7"/>
        <v>33815</v>
      </c>
      <c r="L83" s="57"/>
      <c r="M83" s="57">
        <v>0</v>
      </c>
      <c r="N83" s="57">
        <v>3</v>
      </c>
      <c r="O83" s="57">
        <v>1</v>
      </c>
      <c r="P83" s="57">
        <v>1715</v>
      </c>
      <c r="Q83" s="57">
        <v>15460</v>
      </c>
      <c r="R83" s="57">
        <v>3972</v>
      </c>
      <c r="S83" s="57" t="s">
        <v>23</v>
      </c>
      <c r="T83" s="57">
        <v>0</v>
      </c>
      <c r="U83" s="57">
        <f t="shared" si="8"/>
        <v>21151</v>
      </c>
      <c r="V83" s="57">
        <f t="shared" si="9"/>
        <v>21151</v>
      </c>
    </row>
    <row r="84" spans="1:22" ht="12" customHeight="1">
      <c r="A84" s="99">
        <v>2006</v>
      </c>
      <c r="B84" s="142">
        <v>6</v>
      </c>
      <c r="C84" s="57">
        <v>2565</v>
      </c>
      <c r="D84" s="57">
        <v>5714</v>
      </c>
      <c r="E84" s="57">
        <v>6827</v>
      </c>
      <c r="F84" s="57">
        <v>5696</v>
      </c>
      <c r="G84" s="57">
        <v>4744</v>
      </c>
      <c r="H84" s="57" t="s">
        <v>23</v>
      </c>
      <c r="I84" s="57">
        <v>35</v>
      </c>
      <c r="J84" s="57">
        <f t="shared" si="6"/>
        <v>25546</v>
      </c>
      <c r="K84" s="57">
        <f t="shared" si="7"/>
        <v>25587</v>
      </c>
      <c r="L84" s="57"/>
      <c r="M84" s="57">
        <v>2</v>
      </c>
      <c r="N84" s="57">
        <v>15</v>
      </c>
      <c r="O84" s="57">
        <v>99</v>
      </c>
      <c r="P84" s="57">
        <v>9928</v>
      </c>
      <c r="Q84" s="57">
        <v>9304</v>
      </c>
      <c r="R84" s="57">
        <v>10418</v>
      </c>
      <c r="S84" s="57" t="s">
        <v>23</v>
      </c>
      <c r="T84" s="57">
        <v>0</v>
      </c>
      <c r="U84" s="57">
        <f t="shared" si="8"/>
        <v>29764</v>
      </c>
      <c r="V84" s="57">
        <f t="shared" si="9"/>
        <v>29766</v>
      </c>
    </row>
    <row r="85" spans="1:22" ht="12" customHeight="1">
      <c r="A85" s="99">
        <v>2007</v>
      </c>
      <c r="B85" s="142">
        <v>0</v>
      </c>
      <c r="C85" s="77">
        <v>263</v>
      </c>
      <c r="D85" s="77">
        <v>12532</v>
      </c>
      <c r="E85" s="77">
        <v>2639</v>
      </c>
      <c r="F85" s="77">
        <v>4099</v>
      </c>
      <c r="G85" s="77">
        <v>52</v>
      </c>
      <c r="H85" s="57" t="s">
        <v>23</v>
      </c>
      <c r="I85" s="77">
        <v>0</v>
      </c>
      <c r="J85" s="77">
        <f t="shared" si="6"/>
        <v>19585</v>
      </c>
      <c r="K85" s="77">
        <f t="shared" si="7"/>
        <v>19585</v>
      </c>
      <c r="L85" s="77"/>
      <c r="M85" s="77">
        <v>0</v>
      </c>
      <c r="N85" s="77">
        <v>0</v>
      </c>
      <c r="O85" s="77">
        <v>12</v>
      </c>
      <c r="P85" s="77">
        <v>20862</v>
      </c>
      <c r="Q85" s="77">
        <v>14951</v>
      </c>
      <c r="R85" s="77">
        <v>745</v>
      </c>
      <c r="S85" s="57" t="s">
        <v>23</v>
      </c>
      <c r="T85" s="77">
        <v>0</v>
      </c>
      <c r="U85" s="77">
        <f t="shared" si="8"/>
        <v>36570</v>
      </c>
      <c r="V85" s="77">
        <f t="shared" si="9"/>
        <v>36570</v>
      </c>
    </row>
    <row r="86" spans="1:22" ht="12" customHeight="1">
      <c r="A86" s="99">
        <v>2008</v>
      </c>
      <c r="B86" s="142">
        <v>55</v>
      </c>
      <c r="C86" s="77">
        <v>242</v>
      </c>
      <c r="D86" s="77">
        <v>5694</v>
      </c>
      <c r="E86" s="77">
        <v>1066</v>
      </c>
      <c r="F86" s="77">
        <v>3119</v>
      </c>
      <c r="G86" s="77">
        <v>3071</v>
      </c>
      <c r="H86" s="77" t="s">
        <v>23</v>
      </c>
      <c r="I86" s="77">
        <v>0</v>
      </c>
      <c r="J86" s="77">
        <f t="shared" si="6"/>
        <v>13192</v>
      </c>
      <c r="K86" s="77">
        <f t="shared" si="7"/>
        <v>13247</v>
      </c>
      <c r="L86" s="77"/>
      <c r="M86" s="77">
        <v>17</v>
      </c>
      <c r="N86" s="77">
        <v>0</v>
      </c>
      <c r="O86" s="77">
        <v>8</v>
      </c>
      <c r="P86" s="77">
        <v>511</v>
      </c>
      <c r="Q86" s="77">
        <v>2107</v>
      </c>
      <c r="R86" s="77">
        <v>9304</v>
      </c>
      <c r="S86" s="77" t="s">
        <v>23</v>
      </c>
      <c r="T86" s="77">
        <v>0</v>
      </c>
      <c r="U86" s="77">
        <f t="shared" si="8"/>
        <v>11930</v>
      </c>
      <c r="V86" s="77">
        <f t="shared" si="9"/>
        <v>11947</v>
      </c>
    </row>
    <row r="87" spans="1:22" ht="12" customHeight="1">
      <c r="A87" s="99">
        <v>2009</v>
      </c>
      <c r="B87" s="142">
        <v>0</v>
      </c>
      <c r="C87" s="77">
        <v>799</v>
      </c>
      <c r="D87" s="77">
        <v>1083</v>
      </c>
      <c r="E87" s="77">
        <v>1615</v>
      </c>
      <c r="F87" s="77">
        <v>1649</v>
      </c>
      <c r="G87" s="77">
        <v>0</v>
      </c>
      <c r="H87" s="77" t="s">
        <v>23</v>
      </c>
      <c r="I87" s="77">
        <v>0</v>
      </c>
      <c r="J87" s="77">
        <f t="shared" si="6"/>
        <v>5146</v>
      </c>
      <c r="K87" s="77">
        <f t="shared" si="7"/>
        <v>5146</v>
      </c>
      <c r="L87" s="77"/>
      <c r="M87" s="77">
        <v>0</v>
      </c>
      <c r="N87" s="77">
        <v>0</v>
      </c>
      <c r="O87" s="77">
        <v>0</v>
      </c>
      <c r="P87" s="77">
        <v>21558</v>
      </c>
      <c r="Q87" s="77">
        <v>23832</v>
      </c>
      <c r="R87" s="77">
        <v>0</v>
      </c>
      <c r="S87" s="77" t="s">
        <v>23</v>
      </c>
      <c r="T87" s="77">
        <v>0</v>
      </c>
      <c r="U87" s="77">
        <f t="shared" si="8"/>
        <v>45390</v>
      </c>
      <c r="V87" s="77">
        <f t="shared" si="9"/>
        <v>45390</v>
      </c>
    </row>
    <row r="88" spans="1:22" ht="12" customHeight="1">
      <c r="A88" s="99">
        <v>2010</v>
      </c>
      <c r="B88" s="142">
        <v>0</v>
      </c>
      <c r="C88" s="77">
        <v>231</v>
      </c>
      <c r="D88" s="77">
        <v>8059</v>
      </c>
      <c r="E88" s="77">
        <v>5080</v>
      </c>
      <c r="F88" s="77">
        <v>8486</v>
      </c>
      <c r="G88" s="77">
        <v>957</v>
      </c>
      <c r="H88" s="77" t="s">
        <v>23</v>
      </c>
      <c r="I88" s="77">
        <v>0</v>
      </c>
      <c r="J88" s="77">
        <f t="shared" si="6"/>
        <v>22813</v>
      </c>
      <c r="K88" s="77">
        <f t="shared" si="7"/>
        <v>22813</v>
      </c>
      <c r="L88" s="77"/>
      <c r="M88" s="77">
        <v>0</v>
      </c>
      <c r="N88" s="77">
        <v>0</v>
      </c>
      <c r="O88" s="77">
        <v>13</v>
      </c>
      <c r="P88" s="77">
        <v>1304</v>
      </c>
      <c r="Q88" s="77">
        <v>4580</v>
      </c>
      <c r="R88" s="77">
        <v>2882</v>
      </c>
      <c r="S88" s="77" t="s">
        <v>23</v>
      </c>
      <c r="T88" s="77">
        <v>0</v>
      </c>
      <c r="U88" s="77">
        <f t="shared" si="8"/>
        <v>8779</v>
      </c>
      <c r="V88" s="77">
        <f t="shared" si="9"/>
        <v>8779</v>
      </c>
    </row>
    <row r="89" spans="1:22" ht="12" customHeight="1">
      <c r="A89" s="99">
        <v>2011</v>
      </c>
      <c r="B89" s="142">
        <v>0</v>
      </c>
      <c r="C89" s="57">
        <v>535</v>
      </c>
      <c r="D89" s="57">
        <v>7701</v>
      </c>
      <c r="E89" s="57">
        <v>14462</v>
      </c>
      <c r="F89" s="57">
        <v>5014</v>
      </c>
      <c r="G89" s="57">
        <v>359</v>
      </c>
      <c r="H89" s="57" t="s">
        <v>23</v>
      </c>
      <c r="I89" s="57">
        <v>0</v>
      </c>
      <c r="J89" s="57">
        <f t="shared" si="6"/>
        <v>28071</v>
      </c>
      <c r="K89" s="57">
        <f t="shared" si="7"/>
        <v>28071</v>
      </c>
      <c r="L89" s="57"/>
      <c r="M89" s="57">
        <v>0</v>
      </c>
      <c r="N89" s="57">
        <v>0</v>
      </c>
      <c r="O89" s="57">
        <v>0</v>
      </c>
      <c r="P89" s="57">
        <v>1951</v>
      </c>
      <c r="Q89" s="57">
        <v>4196</v>
      </c>
      <c r="R89" s="57">
        <v>6174</v>
      </c>
      <c r="S89" s="57" t="s">
        <v>23</v>
      </c>
      <c r="T89" s="57">
        <v>0</v>
      </c>
      <c r="U89" s="57">
        <f t="shared" si="8"/>
        <v>12321</v>
      </c>
      <c r="V89" s="57">
        <f t="shared" si="9"/>
        <v>12321</v>
      </c>
    </row>
    <row r="90" spans="1:22" ht="12" customHeight="1">
      <c r="A90" s="99">
        <v>2012</v>
      </c>
      <c r="B90" s="142">
        <v>0</v>
      </c>
      <c r="C90" s="77">
        <v>2975</v>
      </c>
      <c r="D90" s="77">
        <v>19218</v>
      </c>
      <c r="E90" s="77">
        <v>8805</v>
      </c>
      <c r="F90" s="77">
        <v>13121</v>
      </c>
      <c r="G90" s="77">
        <v>4627</v>
      </c>
      <c r="H90" s="77" t="s">
        <v>23</v>
      </c>
      <c r="I90" s="77">
        <v>0</v>
      </c>
      <c r="J90" s="77">
        <f t="shared" si="6"/>
        <v>48746</v>
      </c>
      <c r="K90" s="77">
        <f t="shared" si="7"/>
        <v>48746</v>
      </c>
      <c r="L90" s="77"/>
      <c r="M90" s="77">
        <v>0</v>
      </c>
      <c r="N90" s="77">
        <v>1</v>
      </c>
      <c r="O90" s="77">
        <v>27</v>
      </c>
      <c r="P90" s="77">
        <v>2131</v>
      </c>
      <c r="Q90" s="77">
        <v>16750</v>
      </c>
      <c r="R90" s="77">
        <v>15524</v>
      </c>
      <c r="S90" s="77" t="s">
        <v>23</v>
      </c>
      <c r="T90" s="77">
        <v>0</v>
      </c>
      <c r="U90" s="77">
        <f t="shared" si="8"/>
        <v>34433</v>
      </c>
      <c r="V90" s="77">
        <f t="shared" si="9"/>
        <v>34433</v>
      </c>
    </row>
    <row r="91" spans="1:22" ht="12" customHeight="1">
      <c r="A91" s="99">
        <v>2013</v>
      </c>
      <c r="B91" s="142">
        <v>0</v>
      </c>
      <c r="C91" s="77">
        <v>8983</v>
      </c>
      <c r="D91" s="77">
        <v>13788</v>
      </c>
      <c r="E91" s="77">
        <v>7834</v>
      </c>
      <c r="F91" s="77">
        <v>6995</v>
      </c>
      <c r="G91" s="77">
        <v>2073</v>
      </c>
      <c r="H91" s="77" t="s">
        <v>23</v>
      </c>
      <c r="I91" s="77">
        <v>0</v>
      </c>
      <c r="J91" s="77">
        <f t="shared" si="6"/>
        <v>39673</v>
      </c>
      <c r="K91" s="77">
        <f t="shared" si="7"/>
        <v>39673</v>
      </c>
      <c r="L91" s="77"/>
      <c r="M91" s="77">
        <v>0</v>
      </c>
      <c r="N91" s="77">
        <v>0</v>
      </c>
      <c r="O91" s="77">
        <v>0</v>
      </c>
      <c r="P91" s="77">
        <v>6955</v>
      </c>
      <c r="Q91" s="77">
        <v>33559</v>
      </c>
      <c r="R91" s="77">
        <v>3847</v>
      </c>
      <c r="S91" s="77" t="s">
        <v>23</v>
      </c>
      <c r="T91" s="77">
        <v>1</v>
      </c>
      <c r="U91" s="77">
        <f t="shared" si="8"/>
        <v>44361</v>
      </c>
      <c r="V91" s="77">
        <f t="shared" si="9"/>
        <v>44362</v>
      </c>
    </row>
    <row r="92" spans="1:22" ht="12" customHeight="1">
      <c r="A92" s="99">
        <v>2014</v>
      </c>
      <c r="B92" s="142">
        <v>0</v>
      </c>
      <c r="C92" s="77">
        <v>7247</v>
      </c>
      <c r="D92" s="77">
        <v>5754</v>
      </c>
      <c r="E92" s="77">
        <v>4362</v>
      </c>
      <c r="F92" s="77">
        <v>2617</v>
      </c>
      <c r="G92" s="77">
        <v>492</v>
      </c>
      <c r="H92" s="77" t="s">
        <v>23</v>
      </c>
      <c r="I92" s="77">
        <v>0</v>
      </c>
      <c r="J92" s="77">
        <f t="shared" si="6"/>
        <v>20472</v>
      </c>
      <c r="K92" s="77">
        <f t="shared" si="7"/>
        <v>20472</v>
      </c>
      <c r="L92" s="77"/>
      <c r="M92" s="77">
        <v>0</v>
      </c>
      <c r="N92" s="77">
        <v>0</v>
      </c>
      <c r="O92" s="77">
        <v>11</v>
      </c>
      <c r="P92" s="77">
        <v>2852</v>
      </c>
      <c r="Q92" s="77">
        <v>9739</v>
      </c>
      <c r="R92" s="77">
        <v>1070</v>
      </c>
      <c r="S92" s="77" t="s">
        <v>23</v>
      </c>
      <c r="T92" s="77">
        <v>0</v>
      </c>
      <c r="U92" s="77">
        <f t="shared" si="8"/>
        <v>13672</v>
      </c>
      <c r="V92" s="77">
        <f t="shared" si="9"/>
        <v>13672</v>
      </c>
    </row>
    <row r="93" spans="1:22" ht="12" customHeight="1">
      <c r="A93" s="99">
        <v>2015</v>
      </c>
      <c r="B93" s="142">
        <v>0</v>
      </c>
      <c r="C93" s="77">
        <v>1196</v>
      </c>
      <c r="D93" s="77">
        <v>17352</v>
      </c>
      <c r="E93" s="77">
        <v>7361</v>
      </c>
      <c r="F93" s="77">
        <v>1153</v>
      </c>
      <c r="G93" s="77">
        <v>189</v>
      </c>
      <c r="H93" s="77" t="s">
        <v>23</v>
      </c>
      <c r="I93" s="77">
        <v>0</v>
      </c>
      <c r="J93" s="77">
        <f t="shared" si="6"/>
        <v>27251</v>
      </c>
      <c r="K93" s="77">
        <f t="shared" si="7"/>
        <v>27251</v>
      </c>
      <c r="L93" s="77"/>
      <c r="M93" s="77">
        <v>0</v>
      </c>
      <c r="N93" s="77">
        <v>0</v>
      </c>
      <c r="O93" s="77">
        <v>0</v>
      </c>
      <c r="P93" s="77">
        <v>881</v>
      </c>
      <c r="Q93" s="77">
        <v>568</v>
      </c>
      <c r="R93" s="77">
        <v>218</v>
      </c>
      <c r="S93" s="77" t="s">
        <v>23</v>
      </c>
      <c r="T93" s="77">
        <v>0</v>
      </c>
      <c r="U93" s="77">
        <f t="shared" si="8"/>
        <v>1667</v>
      </c>
      <c r="V93" s="77">
        <f t="shared" si="9"/>
        <v>1667</v>
      </c>
    </row>
    <row r="94" spans="1:22" ht="12" customHeight="1">
      <c r="A94" s="99">
        <v>2016</v>
      </c>
      <c r="B94" s="142">
        <v>0</v>
      </c>
      <c r="C94" s="77">
        <v>372</v>
      </c>
      <c r="D94" s="77">
        <v>12687</v>
      </c>
      <c r="E94" s="77">
        <v>4342</v>
      </c>
      <c r="F94" s="77">
        <v>1036</v>
      </c>
      <c r="G94" s="77">
        <v>0</v>
      </c>
      <c r="H94" s="77" t="s">
        <v>23</v>
      </c>
      <c r="I94" s="77">
        <v>1</v>
      </c>
      <c r="J94" s="77">
        <f t="shared" si="6"/>
        <v>18437</v>
      </c>
      <c r="K94" s="77">
        <f t="shared" si="7"/>
        <v>18438</v>
      </c>
      <c r="L94" s="77"/>
      <c r="M94" s="77">
        <v>0</v>
      </c>
      <c r="N94" s="77">
        <v>0</v>
      </c>
      <c r="O94" s="77">
        <v>0</v>
      </c>
      <c r="P94" s="77">
        <v>15</v>
      </c>
      <c r="Q94" s="77">
        <v>0</v>
      </c>
      <c r="R94" s="77">
        <v>0</v>
      </c>
      <c r="S94" s="77" t="s">
        <v>23</v>
      </c>
      <c r="T94" s="77">
        <v>1</v>
      </c>
      <c r="U94" s="77">
        <f t="shared" si="8"/>
        <v>15</v>
      </c>
      <c r="V94" s="77">
        <f t="shared" si="9"/>
        <v>16</v>
      </c>
    </row>
    <row r="95" spans="1:22" ht="12" customHeight="1">
      <c r="A95" s="99">
        <v>2017</v>
      </c>
      <c r="B95" s="142">
        <v>0</v>
      </c>
      <c r="C95" s="77">
        <v>1099</v>
      </c>
      <c r="D95" s="77">
        <v>1297</v>
      </c>
      <c r="E95" s="77">
        <v>15296</v>
      </c>
      <c r="F95" s="77">
        <v>4316</v>
      </c>
      <c r="G95" s="77">
        <v>589</v>
      </c>
      <c r="H95" s="77" t="s">
        <v>23</v>
      </c>
      <c r="I95" s="77">
        <v>0</v>
      </c>
      <c r="J95" s="77">
        <f t="shared" si="6"/>
        <v>22597</v>
      </c>
      <c r="K95" s="77">
        <f t="shared" si="7"/>
        <v>22597</v>
      </c>
      <c r="L95" s="77"/>
      <c r="M95" s="77">
        <v>0</v>
      </c>
      <c r="N95" s="77">
        <v>0</v>
      </c>
      <c r="O95" s="77">
        <v>0</v>
      </c>
      <c r="P95" s="77">
        <v>833</v>
      </c>
      <c r="Q95" s="77">
        <v>6811</v>
      </c>
      <c r="R95" s="77">
        <v>4363</v>
      </c>
      <c r="S95" s="77" t="s">
        <v>23</v>
      </c>
      <c r="T95" s="77">
        <v>0</v>
      </c>
      <c r="U95" s="77">
        <f>SUM(N95:R95)</f>
        <v>12007</v>
      </c>
      <c r="V95" s="77">
        <f>SUM(M95:T95)</f>
        <v>12007</v>
      </c>
    </row>
    <row r="96" spans="1:22" ht="12" customHeight="1">
      <c r="A96" s="99">
        <v>2018</v>
      </c>
      <c r="B96" s="142">
        <v>0</v>
      </c>
      <c r="C96" s="77">
        <v>521</v>
      </c>
      <c r="D96" s="77">
        <v>9216</v>
      </c>
      <c r="E96" s="77">
        <v>7952</v>
      </c>
      <c r="F96" s="77">
        <v>1604</v>
      </c>
      <c r="G96" s="77">
        <v>397</v>
      </c>
      <c r="H96" s="213" t="s">
        <v>23</v>
      </c>
      <c r="I96" s="77">
        <v>0</v>
      </c>
      <c r="J96" s="77">
        <f>SUM(C96:G96)</f>
        <v>19690</v>
      </c>
      <c r="K96" s="77">
        <f>SUM(B96:I96)</f>
        <v>19690</v>
      </c>
      <c r="L96" s="77"/>
      <c r="M96" s="77">
        <v>0</v>
      </c>
      <c r="N96" s="77">
        <v>0</v>
      </c>
      <c r="O96" s="77">
        <v>12</v>
      </c>
      <c r="P96" s="77">
        <v>1559</v>
      </c>
      <c r="Q96" s="77">
        <v>4781</v>
      </c>
      <c r="R96" s="77">
        <v>3972</v>
      </c>
      <c r="S96" s="213" t="s">
        <v>23</v>
      </c>
      <c r="T96" s="77">
        <v>0</v>
      </c>
      <c r="U96" s="77">
        <f>SUM(N96:R96)</f>
        <v>10324</v>
      </c>
      <c r="V96" s="77">
        <f>SUM(M96:T96)</f>
        <v>10324</v>
      </c>
    </row>
    <row r="97" spans="1:22" ht="12" customHeight="1">
      <c r="A97" s="99">
        <v>2019</v>
      </c>
      <c r="B97" s="142">
        <v>0</v>
      </c>
      <c r="C97" s="77">
        <v>186</v>
      </c>
      <c r="D97" s="77">
        <v>1492</v>
      </c>
      <c r="E97" s="77">
        <v>11589</v>
      </c>
      <c r="F97" s="77">
        <v>2709</v>
      </c>
      <c r="G97" s="77">
        <v>224</v>
      </c>
      <c r="H97" s="213" t="s">
        <v>23</v>
      </c>
      <c r="I97" s="77">
        <v>0</v>
      </c>
      <c r="J97" s="77">
        <f>SUM(C97:G97)</f>
        <v>16200</v>
      </c>
      <c r="K97" s="77">
        <f t="shared" ref="K97:K98" si="10">SUM(B97:I97)</f>
        <v>16200</v>
      </c>
      <c r="L97" s="77"/>
      <c r="M97" s="77">
        <v>0</v>
      </c>
      <c r="N97" s="77">
        <v>0</v>
      </c>
      <c r="O97" s="77">
        <v>0</v>
      </c>
      <c r="P97" s="77">
        <v>13981</v>
      </c>
      <c r="Q97" s="77">
        <v>31842</v>
      </c>
      <c r="R97" s="77">
        <v>5979</v>
      </c>
      <c r="S97" s="213" t="s">
        <v>23</v>
      </c>
      <c r="T97" s="77">
        <v>0</v>
      </c>
      <c r="U97" s="77">
        <f>SUM(N97:R97)</f>
        <v>51802</v>
      </c>
      <c r="V97" s="77">
        <f>SUM(M97:T97)</f>
        <v>51802</v>
      </c>
    </row>
    <row r="98" spans="1:22" ht="12" customHeight="1">
      <c r="A98" s="99">
        <v>2020</v>
      </c>
      <c r="B98" s="142">
        <v>0</v>
      </c>
      <c r="C98" s="77">
        <v>0</v>
      </c>
      <c r="D98" s="77">
        <v>0</v>
      </c>
      <c r="E98" s="77">
        <v>290</v>
      </c>
      <c r="F98" s="77">
        <v>1500</v>
      </c>
      <c r="G98" s="77">
        <v>44</v>
      </c>
      <c r="H98" s="213" t="s">
        <v>23</v>
      </c>
      <c r="I98" s="77">
        <v>0</v>
      </c>
      <c r="J98" s="77">
        <f>SUM(C98:G98)</f>
        <v>1834</v>
      </c>
      <c r="K98" s="77">
        <f t="shared" si="10"/>
        <v>1834</v>
      </c>
      <c r="L98" s="77"/>
      <c r="M98" s="77">
        <v>0</v>
      </c>
      <c r="N98" s="77">
        <v>0</v>
      </c>
      <c r="O98" s="77">
        <v>0</v>
      </c>
      <c r="P98" s="77">
        <v>348</v>
      </c>
      <c r="Q98" s="77">
        <v>10377</v>
      </c>
      <c r="R98" s="77">
        <v>2723</v>
      </c>
      <c r="S98" s="213" t="s">
        <v>23</v>
      </c>
      <c r="T98" s="77">
        <v>0</v>
      </c>
      <c r="U98" s="77">
        <f>SUM(N98:R98)</f>
        <v>13448</v>
      </c>
      <c r="V98" s="77">
        <f>SUM(M98:T98)</f>
        <v>13448</v>
      </c>
    </row>
    <row r="99" spans="1:22" ht="12" customHeight="1">
      <c r="A99" s="99" t="s">
        <v>316</v>
      </c>
      <c r="B99" s="142">
        <v>0</v>
      </c>
      <c r="C99" s="57">
        <v>29</v>
      </c>
      <c r="D99" s="57">
        <v>386</v>
      </c>
      <c r="E99" s="57">
        <v>532</v>
      </c>
      <c r="F99" s="57">
        <v>1062</v>
      </c>
      <c r="G99" s="57">
        <v>167</v>
      </c>
      <c r="H99" s="212" t="s">
        <v>23</v>
      </c>
      <c r="I99" s="57">
        <v>0</v>
      </c>
      <c r="J99" s="77">
        <f>SUM(C99:G99)</f>
        <v>2176</v>
      </c>
      <c r="K99" s="57">
        <f t="shared" si="7"/>
        <v>2176</v>
      </c>
      <c r="L99" s="57"/>
      <c r="M99" s="77">
        <v>0</v>
      </c>
      <c r="N99" s="77">
        <v>0</v>
      </c>
      <c r="O99" s="77">
        <v>0</v>
      </c>
      <c r="P99" s="77">
        <v>517</v>
      </c>
      <c r="Q99" s="77">
        <v>12700</v>
      </c>
      <c r="R99" s="77">
        <v>8616</v>
      </c>
      <c r="S99" s="213" t="s">
        <v>23</v>
      </c>
      <c r="T99" s="57">
        <v>0</v>
      </c>
      <c r="U99" s="77">
        <f>SUM(N99:R99)</f>
        <v>21833</v>
      </c>
      <c r="V99" s="57">
        <f>SUM(M99:T99)</f>
        <v>21833</v>
      </c>
    </row>
    <row r="100" spans="1:22" ht="12" customHeight="1">
      <c r="B100" s="142"/>
      <c r="C100" s="57"/>
      <c r="D100" s="57"/>
      <c r="E100" s="57"/>
      <c r="F100" s="57"/>
      <c r="G100" s="57"/>
      <c r="H100" s="57"/>
      <c r="I100" s="57"/>
      <c r="J100" s="57"/>
      <c r="K100" s="57"/>
      <c r="L100" s="57"/>
      <c r="M100" s="57"/>
      <c r="N100" s="57"/>
      <c r="O100" s="57"/>
      <c r="P100" s="57"/>
      <c r="Q100" s="57"/>
      <c r="R100" s="57"/>
      <c r="S100" s="57"/>
      <c r="T100" s="57"/>
      <c r="U100" s="57"/>
      <c r="V100" s="157"/>
    </row>
    <row r="101" spans="1:22" ht="12" customHeight="1">
      <c r="A101" s="94" t="s">
        <v>221</v>
      </c>
      <c r="B101" s="104"/>
      <c r="C101" s="57"/>
      <c r="D101" s="57"/>
      <c r="E101" s="57"/>
      <c r="F101" s="57"/>
      <c r="G101" s="57"/>
      <c r="H101" s="57"/>
      <c r="I101" s="57"/>
      <c r="J101" s="57"/>
      <c r="K101" s="57"/>
      <c r="L101" s="57"/>
      <c r="M101" s="57"/>
      <c r="N101" s="57"/>
      <c r="O101" s="57"/>
      <c r="P101" s="57"/>
      <c r="Q101" s="57"/>
      <c r="R101" s="57"/>
      <c r="S101" s="57"/>
      <c r="T101" s="57"/>
      <c r="U101" s="57"/>
      <c r="V101" s="156"/>
    </row>
    <row r="102" spans="1:22" ht="12" customHeight="1">
      <c r="A102" s="99">
        <v>1976</v>
      </c>
      <c r="B102" s="142">
        <v>0</v>
      </c>
      <c r="C102" s="57">
        <v>102</v>
      </c>
      <c r="D102" s="57">
        <v>455</v>
      </c>
      <c r="E102" s="57">
        <v>649</v>
      </c>
      <c r="F102" s="57">
        <v>377</v>
      </c>
      <c r="G102" s="57">
        <v>45</v>
      </c>
      <c r="H102" s="57">
        <v>0</v>
      </c>
      <c r="I102" s="57">
        <v>0</v>
      </c>
      <c r="J102" s="57">
        <f t="shared" ref="J102:J147" si="11">SUM(C102:G102)</f>
        <v>1628</v>
      </c>
      <c r="K102" s="57">
        <f t="shared" ref="K102:K147" si="12">SUM(B102:I102)</f>
        <v>1628</v>
      </c>
      <c r="L102" s="57"/>
      <c r="M102" s="57">
        <v>0</v>
      </c>
      <c r="N102" s="57">
        <v>0</v>
      </c>
      <c r="O102" s="57">
        <v>403</v>
      </c>
      <c r="P102" s="57">
        <v>1287</v>
      </c>
      <c r="Q102" s="57">
        <v>481</v>
      </c>
      <c r="R102" s="57">
        <v>34</v>
      </c>
      <c r="S102" s="57">
        <v>0</v>
      </c>
      <c r="T102" s="57">
        <v>0</v>
      </c>
      <c r="U102" s="57">
        <f t="shared" ref="U102:U143" si="13">SUM(N102:R102)</f>
        <v>2205</v>
      </c>
      <c r="V102" s="57">
        <f t="shared" ref="V102:V147" si="14">SUM(M102:T102)</f>
        <v>2205</v>
      </c>
    </row>
    <row r="103" spans="1:22" ht="12" customHeight="1">
      <c r="A103" s="99">
        <v>1977</v>
      </c>
      <c r="B103" s="142">
        <v>0</v>
      </c>
      <c r="C103" s="57">
        <v>23</v>
      </c>
      <c r="D103" s="57">
        <v>145</v>
      </c>
      <c r="E103" s="57">
        <v>335</v>
      </c>
      <c r="F103" s="57">
        <v>147</v>
      </c>
      <c r="G103" s="57">
        <v>79</v>
      </c>
      <c r="H103" s="57">
        <v>0</v>
      </c>
      <c r="I103" s="57">
        <v>0</v>
      </c>
      <c r="J103" s="57">
        <f t="shared" si="11"/>
        <v>729</v>
      </c>
      <c r="K103" s="57">
        <f t="shared" si="12"/>
        <v>729</v>
      </c>
      <c r="L103" s="57"/>
      <c r="M103" s="57">
        <v>0</v>
      </c>
      <c r="N103" s="57">
        <v>0</v>
      </c>
      <c r="O103" s="57">
        <v>3304</v>
      </c>
      <c r="P103" s="57">
        <v>477</v>
      </c>
      <c r="Q103" s="57">
        <v>521</v>
      </c>
      <c r="R103" s="57">
        <v>75</v>
      </c>
      <c r="S103" s="57">
        <v>0</v>
      </c>
      <c r="T103" s="57">
        <v>0</v>
      </c>
      <c r="U103" s="57">
        <f t="shared" si="13"/>
        <v>4377</v>
      </c>
      <c r="V103" s="57">
        <f t="shared" si="14"/>
        <v>4377</v>
      </c>
    </row>
    <row r="104" spans="1:22" ht="12" customHeight="1">
      <c r="A104" s="99">
        <v>1978</v>
      </c>
      <c r="B104" s="142">
        <v>0</v>
      </c>
      <c r="C104" s="57">
        <v>9</v>
      </c>
      <c r="D104" s="57">
        <v>39</v>
      </c>
      <c r="E104" s="57">
        <v>139</v>
      </c>
      <c r="F104" s="57">
        <v>49</v>
      </c>
      <c r="G104" s="57">
        <v>10</v>
      </c>
      <c r="H104" s="57">
        <v>0</v>
      </c>
      <c r="I104" s="57">
        <v>0</v>
      </c>
      <c r="J104" s="57">
        <f t="shared" si="11"/>
        <v>246</v>
      </c>
      <c r="K104" s="57">
        <f t="shared" si="12"/>
        <v>246</v>
      </c>
      <c r="L104" s="57"/>
      <c r="M104" s="57">
        <v>0</v>
      </c>
      <c r="N104" s="57">
        <v>178</v>
      </c>
      <c r="O104" s="57">
        <v>1743</v>
      </c>
      <c r="P104" s="57">
        <v>630</v>
      </c>
      <c r="Q104" s="57">
        <v>362</v>
      </c>
      <c r="R104" s="57">
        <v>62</v>
      </c>
      <c r="S104" s="57">
        <v>0</v>
      </c>
      <c r="T104" s="57">
        <v>0</v>
      </c>
      <c r="U104" s="57">
        <f t="shared" si="13"/>
        <v>2975</v>
      </c>
      <c r="V104" s="57">
        <f t="shared" si="14"/>
        <v>2975</v>
      </c>
    </row>
    <row r="105" spans="1:22" ht="12" customHeight="1">
      <c r="A105" s="99">
        <v>1979</v>
      </c>
      <c r="B105" s="142">
        <v>0</v>
      </c>
      <c r="C105" s="57">
        <v>367</v>
      </c>
      <c r="D105" s="57">
        <v>122</v>
      </c>
      <c r="E105" s="57">
        <v>41</v>
      </c>
      <c r="F105" s="57">
        <v>60</v>
      </c>
      <c r="G105" s="57">
        <v>0</v>
      </c>
      <c r="H105" s="57">
        <v>0</v>
      </c>
      <c r="I105" s="57">
        <v>0</v>
      </c>
      <c r="J105" s="57">
        <f t="shared" si="11"/>
        <v>590</v>
      </c>
      <c r="K105" s="57">
        <f t="shared" si="12"/>
        <v>590</v>
      </c>
      <c r="L105" s="57"/>
      <c r="M105" s="57">
        <v>0</v>
      </c>
      <c r="N105" s="57">
        <v>1044</v>
      </c>
      <c r="O105" s="57">
        <v>2837</v>
      </c>
      <c r="P105" s="57">
        <v>970</v>
      </c>
      <c r="Q105" s="57">
        <v>724</v>
      </c>
      <c r="R105" s="57">
        <v>0</v>
      </c>
      <c r="S105" s="57">
        <v>0</v>
      </c>
      <c r="T105" s="57">
        <v>0</v>
      </c>
      <c r="U105" s="57">
        <f t="shared" si="13"/>
        <v>5575</v>
      </c>
      <c r="V105" s="57">
        <f t="shared" si="14"/>
        <v>5575</v>
      </c>
    </row>
    <row r="106" spans="1:22" ht="12" customHeight="1">
      <c r="A106" s="99">
        <v>1980</v>
      </c>
      <c r="B106" s="142">
        <v>0</v>
      </c>
      <c r="C106" s="57">
        <v>88</v>
      </c>
      <c r="D106" s="57">
        <v>453</v>
      </c>
      <c r="E106" s="57">
        <v>1252</v>
      </c>
      <c r="F106" s="57">
        <v>77</v>
      </c>
      <c r="G106" s="57">
        <v>0</v>
      </c>
      <c r="H106" s="57">
        <v>0</v>
      </c>
      <c r="I106" s="57">
        <v>0</v>
      </c>
      <c r="J106" s="57">
        <f t="shared" si="11"/>
        <v>1870</v>
      </c>
      <c r="K106" s="57">
        <f t="shared" si="12"/>
        <v>1870</v>
      </c>
      <c r="L106" s="57"/>
      <c r="M106" s="57">
        <v>0</v>
      </c>
      <c r="N106" s="57">
        <v>1981</v>
      </c>
      <c r="O106" s="57">
        <v>9831</v>
      </c>
      <c r="P106" s="57">
        <v>2780</v>
      </c>
      <c r="Q106" s="57">
        <v>324</v>
      </c>
      <c r="R106" s="57">
        <v>0</v>
      </c>
      <c r="S106" s="57">
        <v>0</v>
      </c>
      <c r="T106" s="57">
        <v>0</v>
      </c>
      <c r="U106" s="57">
        <f t="shared" si="13"/>
        <v>14916</v>
      </c>
      <c r="V106" s="57">
        <f t="shared" si="14"/>
        <v>14916</v>
      </c>
    </row>
    <row r="107" spans="1:22" ht="12" customHeight="1">
      <c r="A107" s="99">
        <v>1981</v>
      </c>
      <c r="B107" s="142">
        <v>0</v>
      </c>
      <c r="C107" s="57">
        <v>355</v>
      </c>
      <c r="D107" s="57">
        <v>760</v>
      </c>
      <c r="E107" s="57">
        <v>1273</v>
      </c>
      <c r="F107" s="57">
        <v>95</v>
      </c>
      <c r="G107" s="57">
        <v>30</v>
      </c>
      <c r="H107" s="57">
        <v>0</v>
      </c>
      <c r="I107" s="57">
        <v>0</v>
      </c>
      <c r="J107" s="57">
        <f t="shared" si="11"/>
        <v>2513</v>
      </c>
      <c r="K107" s="57">
        <f t="shared" si="12"/>
        <v>2513</v>
      </c>
      <c r="L107" s="57"/>
      <c r="M107" s="57">
        <v>0</v>
      </c>
      <c r="N107" s="57">
        <v>151</v>
      </c>
      <c r="O107" s="57">
        <v>3596</v>
      </c>
      <c r="P107" s="57">
        <v>3143</v>
      </c>
      <c r="Q107" s="57">
        <v>584</v>
      </c>
      <c r="R107" s="57">
        <v>4053</v>
      </c>
      <c r="S107" s="57">
        <v>0</v>
      </c>
      <c r="T107" s="57">
        <v>0</v>
      </c>
      <c r="U107" s="57">
        <f t="shared" si="13"/>
        <v>11527</v>
      </c>
      <c r="V107" s="57">
        <f t="shared" si="14"/>
        <v>11527</v>
      </c>
    </row>
    <row r="108" spans="1:22" ht="12" customHeight="1">
      <c r="A108" s="99">
        <v>1982</v>
      </c>
      <c r="B108" s="142">
        <v>0</v>
      </c>
      <c r="C108" s="57">
        <v>161</v>
      </c>
      <c r="D108" s="57">
        <v>239</v>
      </c>
      <c r="E108" s="57">
        <v>1273</v>
      </c>
      <c r="F108" s="57">
        <v>783</v>
      </c>
      <c r="G108" s="57">
        <v>272</v>
      </c>
      <c r="H108" s="57" t="s">
        <v>23</v>
      </c>
      <c r="I108" s="57" t="s">
        <v>23</v>
      </c>
      <c r="J108" s="57">
        <f t="shared" si="11"/>
        <v>2728</v>
      </c>
      <c r="K108" s="57">
        <f t="shared" si="12"/>
        <v>2728</v>
      </c>
      <c r="L108" s="57"/>
      <c r="M108" s="57">
        <v>0</v>
      </c>
      <c r="N108" s="57">
        <v>0</v>
      </c>
      <c r="O108" s="57">
        <v>5254</v>
      </c>
      <c r="P108" s="57">
        <v>3038</v>
      </c>
      <c r="Q108" s="57">
        <v>11004</v>
      </c>
      <c r="R108" s="57">
        <v>5313</v>
      </c>
      <c r="S108" s="57" t="s">
        <v>23</v>
      </c>
      <c r="T108" s="57" t="s">
        <v>23</v>
      </c>
      <c r="U108" s="57">
        <f t="shared" si="13"/>
        <v>24609</v>
      </c>
      <c r="V108" s="57">
        <f t="shared" si="14"/>
        <v>24609</v>
      </c>
    </row>
    <row r="109" spans="1:22" ht="12" customHeight="1">
      <c r="A109" s="99">
        <v>1983</v>
      </c>
      <c r="B109" s="142">
        <v>0</v>
      </c>
      <c r="C109" s="57">
        <v>523</v>
      </c>
      <c r="D109" s="57">
        <v>531</v>
      </c>
      <c r="E109" s="57">
        <v>696</v>
      </c>
      <c r="F109" s="57">
        <v>210</v>
      </c>
      <c r="G109" s="57">
        <v>0</v>
      </c>
      <c r="H109" s="57" t="s">
        <v>23</v>
      </c>
      <c r="I109" s="57" t="s">
        <v>23</v>
      </c>
      <c r="J109" s="57">
        <f t="shared" si="11"/>
        <v>1960</v>
      </c>
      <c r="K109" s="57">
        <f t="shared" si="12"/>
        <v>1960</v>
      </c>
      <c r="L109" s="57"/>
      <c r="M109" s="57">
        <v>0</v>
      </c>
      <c r="N109" s="57">
        <v>0</v>
      </c>
      <c r="O109" s="57">
        <v>1977</v>
      </c>
      <c r="P109" s="57">
        <v>1565</v>
      </c>
      <c r="Q109" s="57">
        <v>2456</v>
      </c>
      <c r="R109" s="57">
        <v>0</v>
      </c>
      <c r="S109" s="57" t="s">
        <v>23</v>
      </c>
      <c r="T109" s="57" t="s">
        <v>23</v>
      </c>
      <c r="U109" s="57">
        <f t="shared" si="13"/>
        <v>5998</v>
      </c>
      <c r="V109" s="57">
        <f t="shared" si="14"/>
        <v>5998</v>
      </c>
    </row>
    <row r="110" spans="1:22" ht="12" customHeight="1">
      <c r="A110" s="99">
        <v>1984</v>
      </c>
      <c r="B110" s="142">
        <v>0</v>
      </c>
      <c r="C110" s="57">
        <v>131</v>
      </c>
      <c r="D110" s="57">
        <v>8</v>
      </c>
      <c r="E110" s="57">
        <v>107</v>
      </c>
      <c r="F110" s="57">
        <v>414</v>
      </c>
      <c r="G110" s="57">
        <v>0</v>
      </c>
      <c r="H110" s="57" t="s">
        <v>23</v>
      </c>
      <c r="I110" s="57" t="s">
        <v>23</v>
      </c>
      <c r="J110" s="57">
        <f t="shared" si="11"/>
        <v>660</v>
      </c>
      <c r="K110" s="57">
        <f t="shared" si="12"/>
        <v>660</v>
      </c>
      <c r="L110" s="57"/>
      <c r="M110" s="57">
        <v>0</v>
      </c>
      <c r="N110" s="57">
        <v>0</v>
      </c>
      <c r="O110" s="57">
        <v>0</v>
      </c>
      <c r="P110" s="57">
        <v>2377</v>
      </c>
      <c r="Q110" s="57">
        <v>7515</v>
      </c>
      <c r="R110" s="57">
        <v>0</v>
      </c>
      <c r="S110" s="57" t="s">
        <v>23</v>
      </c>
      <c r="T110" s="57" t="s">
        <v>23</v>
      </c>
      <c r="U110" s="57">
        <f t="shared" si="13"/>
        <v>9892</v>
      </c>
      <c r="V110" s="57">
        <f t="shared" si="14"/>
        <v>9892</v>
      </c>
    </row>
    <row r="111" spans="1:22" ht="12" customHeight="1">
      <c r="A111" s="99">
        <v>1985</v>
      </c>
      <c r="B111" s="142">
        <v>0</v>
      </c>
      <c r="C111" s="57">
        <v>45</v>
      </c>
      <c r="D111" s="57">
        <v>68</v>
      </c>
      <c r="E111" s="57">
        <v>785</v>
      </c>
      <c r="F111" s="57">
        <v>1040</v>
      </c>
      <c r="G111" s="57">
        <v>760</v>
      </c>
      <c r="H111" s="57" t="s">
        <v>23</v>
      </c>
      <c r="I111" s="57" t="s">
        <v>23</v>
      </c>
      <c r="J111" s="57">
        <f t="shared" si="11"/>
        <v>2698</v>
      </c>
      <c r="K111" s="57">
        <f t="shared" si="12"/>
        <v>2698</v>
      </c>
      <c r="L111" s="57"/>
      <c r="M111" s="57">
        <v>0</v>
      </c>
      <c r="N111" s="57">
        <v>0</v>
      </c>
      <c r="O111" s="57">
        <v>429</v>
      </c>
      <c r="P111" s="57">
        <v>16387</v>
      </c>
      <c r="Q111" s="57">
        <v>10408</v>
      </c>
      <c r="R111" s="57">
        <v>4909</v>
      </c>
      <c r="S111" s="57" t="s">
        <v>23</v>
      </c>
      <c r="T111" s="57" t="s">
        <v>23</v>
      </c>
      <c r="U111" s="57">
        <f t="shared" si="13"/>
        <v>32133</v>
      </c>
      <c r="V111" s="57">
        <f t="shared" si="14"/>
        <v>32133</v>
      </c>
    </row>
    <row r="112" spans="1:22" ht="12" customHeight="1">
      <c r="A112" s="99">
        <v>1986</v>
      </c>
      <c r="B112" s="142">
        <v>0</v>
      </c>
      <c r="C112" s="57">
        <v>613</v>
      </c>
      <c r="D112" s="57">
        <v>1700</v>
      </c>
      <c r="E112" s="57">
        <v>1450</v>
      </c>
      <c r="F112" s="57">
        <v>87</v>
      </c>
      <c r="G112" s="57">
        <v>0</v>
      </c>
      <c r="H112" s="57" t="s">
        <v>23</v>
      </c>
      <c r="I112" s="57" t="s">
        <v>23</v>
      </c>
      <c r="J112" s="57">
        <f t="shared" si="11"/>
        <v>3850</v>
      </c>
      <c r="K112" s="57">
        <f t="shared" si="12"/>
        <v>3850</v>
      </c>
      <c r="L112" s="57"/>
      <c r="M112" s="57">
        <v>0</v>
      </c>
      <c r="N112" s="57">
        <v>0</v>
      </c>
      <c r="O112" s="57">
        <v>13472</v>
      </c>
      <c r="P112" s="57">
        <v>17409</v>
      </c>
      <c r="Q112" s="57">
        <v>1913</v>
      </c>
      <c r="R112" s="57">
        <v>0</v>
      </c>
      <c r="S112" s="57" t="s">
        <v>23</v>
      </c>
      <c r="T112" s="57" t="s">
        <v>23</v>
      </c>
      <c r="U112" s="57">
        <f t="shared" si="13"/>
        <v>32794</v>
      </c>
      <c r="V112" s="57">
        <f t="shared" si="14"/>
        <v>32794</v>
      </c>
    </row>
    <row r="113" spans="1:23" ht="12" customHeight="1">
      <c r="A113" s="99">
        <v>1987</v>
      </c>
      <c r="B113" s="142">
        <v>0</v>
      </c>
      <c r="C113" s="57">
        <v>1267</v>
      </c>
      <c r="D113" s="57">
        <v>0</v>
      </c>
      <c r="E113" s="57">
        <v>353</v>
      </c>
      <c r="F113" s="57">
        <v>1679</v>
      </c>
      <c r="G113" s="57">
        <v>0</v>
      </c>
      <c r="H113" s="57" t="s">
        <v>23</v>
      </c>
      <c r="I113" s="57" t="s">
        <v>23</v>
      </c>
      <c r="J113" s="57">
        <f t="shared" si="11"/>
        <v>3299</v>
      </c>
      <c r="K113" s="57">
        <f t="shared" si="12"/>
        <v>3299</v>
      </c>
      <c r="L113" s="57"/>
      <c r="M113" s="57">
        <v>0</v>
      </c>
      <c r="N113" s="57">
        <v>0</v>
      </c>
      <c r="O113" s="57">
        <v>0</v>
      </c>
      <c r="P113" s="57">
        <v>8566</v>
      </c>
      <c r="Q113" s="57">
        <v>13729</v>
      </c>
      <c r="R113" s="57">
        <v>0</v>
      </c>
      <c r="S113" s="57" t="s">
        <v>23</v>
      </c>
      <c r="T113" s="57" t="s">
        <v>23</v>
      </c>
      <c r="U113" s="57">
        <f t="shared" si="13"/>
        <v>22295</v>
      </c>
      <c r="V113" s="57">
        <f t="shared" si="14"/>
        <v>22295</v>
      </c>
    </row>
    <row r="114" spans="1:23" ht="12" customHeight="1">
      <c r="A114" s="99">
        <v>1988</v>
      </c>
      <c r="B114" s="142">
        <v>0</v>
      </c>
      <c r="C114" s="57">
        <v>1907</v>
      </c>
      <c r="D114" s="57">
        <v>2136</v>
      </c>
      <c r="E114" s="57">
        <v>1150</v>
      </c>
      <c r="F114" s="57">
        <v>427</v>
      </c>
      <c r="G114" s="57">
        <v>73</v>
      </c>
      <c r="H114" s="57" t="s">
        <v>23</v>
      </c>
      <c r="I114" s="57" t="s">
        <v>23</v>
      </c>
      <c r="J114" s="57">
        <f t="shared" si="11"/>
        <v>5693</v>
      </c>
      <c r="K114" s="57">
        <f t="shared" si="12"/>
        <v>5693</v>
      </c>
      <c r="L114" s="57"/>
      <c r="M114" s="57">
        <v>0</v>
      </c>
      <c r="N114" s="57">
        <v>0</v>
      </c>
      <c r="O114" s="57">
        <v>0</v>
      </c>
      <c r="P114" s="57">
        <v>4536</v>
      </c>
      <c r="Q114" s="57">
        <v>6744</v>
      </c>
      <c r="R114" s="57">
        <v>2041</v>
      </c>
      <c r="S114" s="57" t="s">
        <v>23</v>
      </c>
      <c r="T114" s="57" t="s">
        <v>23</v>
      </c>
      <c r="U114" s="57">
        <f t="shared" si="13"/>
        <v>13321</v>
      </c>
      <c r="V114" s="57">
        <f t="shared" si="14"/>
        <v>13321</v>
      </c>
    </row>
    <row r="115" spans="1:23" ht="12" customHeight="1">
      <c r="A115" s="99">
        <v>1989</v>
      </c>
      <c r="B115" s="142">
        <v>0</v>
      </c>
      <c r="C115" s="57">
        <v>824</v>
      </c>
      <c r="D115" s="57">
        <v>649</v>
      </c>
      <c r="E115" s="57">
        <v>2502</v>
      </c>
      <c r="F115" s="57">
        <v>1039</v>
      </c>
      <c r="G115" s="57">
        <v>724</v>
      </c>
      <c r="H115" s="57" t="s">
        <v>23</v>
      </c>
      <c r="I115" s="57" t="s">
        <v>23</v>
      </c>
      <c r="J115" s="57">
        <f t="shared" si="11"/>
        <v>5738</v>
      </c>
      <c r="K115" s="57">
        <f t="shared" si="12"/>
        <v>5738</v>
      </c>
      <c r="L115" s="57"/>
      <c r="M115" s="57">
        <v>0</v>
      </c>
      <c r="N115" s="57">
        <v>0</v>
      </c>
      <c r="O115" s="57">
        <v>0</v>
      </c>
      <c r="P115" s="57">
        <v>4439</v>
      </c>
      <c r="Q115" s="57">
        <v>3020</v>
      </c>
      <c r="R115" s="57">
        <v>6455</v>
      </c>
      <c r="S115" s="57" t="s">
        <v>23</v>
      </c>
      <c r="T115" s="57" t="s">
        <v>23</v>
      </c>
      <c r="U115" s="57">
        <f t="shared" si="13"/>
        <v>13914</v>
      </c>
      <c r="V115" s="57">
        <f t="shared" si="14"/>
        <v>13914</v>
      </c>
    </row>
    <row r="116" spans="1:23" ht="12" customHeight="1">
      <c r="A116" s="99">
        <v>1990</v>
      </c>
      <c r="B116" s="142">
        <v>0</v>
      </c>
      <c r="C116" s="57">
        <v>700</v>
      </c>
      <c r="D116" s="57">
        <v>234</v>
      </c>
      <c r="E116" s="57">
        <v>4767</v>
      </c>
      <c r="F116" s="57">
        <v>488</v>
      </c>
      <c r="G116" s="57">
        <v>499</v>
      </c>
      <c r="H116" s="57" t="s">
        <v>23</v>
      </c>
      <c r="I116" s="57" t="s">
        <v>23</v>
      </c>
      <c r="J116" s="57">
        <f t="shared" si="11"/>
        <v>6688</v>
      </c>
      <c r="K116" s="57">
        <f t="shared" si="12"/>
        <v>6688</v>
      </c>
      <c r="L116" s="57"/>
      <c r="M116" s="57">
        <v>0</v>
      </c>
      <c r="N116" s="57">
        <v>0</v>
      </c>
      <c r="O116" s="57">
        <v>0</v>
      </c>
      <c r="P116" s="57">
        <v>7200</v>
      </c>
      <c r="Q116" s="57">
        <v>9698</v>
      </c>
      <c r="R116" s="57">
        <v>2755</v>
      </c>
      <c r="S116" s="57" t="s">
        <v>23</v>
      </c>
      <c r="T116" s="57" t="s">
        <v>23</v>
      </c>
      <c r="U116" s="57">
        <f t="shared" si="13"/>
        <v>19653</v>
      </c>
      <c r="V116" s="57">
        <f t="shared" si="14"/>
        <v>19653</v>
      </c>
    </row>
    <row r="117" spans="1:23" ht="12" customHeight="1">
      <c r="A117" s="99">
        <v>1991</v>
      </c>
      <c r="B117" s="142">
        <v>0</v>
      </c>
      <c r="C117" s="57">
        <v>189</v>
      </c>
      <c r="D117" s="57">
        <v>212</v>
      </c>
      <c r="E117" s="57">
        <v>534</v>
      </c>
      <c r="F117" s="57">
        <v>1659</v>
      </c>
      <c r="G117" s="57">
        <v>0</v>
      </c>
      <c r="H117" s="57" t="s">
        <v>23</v>
      </c>
      <c r="I117" s="57" t="s">
        <v>23</v>
      </c>
      <c r="J117" s="57">
        <f t="shared" si="11"/>
        <v>2594</v>
      </c>
      <c r="K117" s="57">
        <f t="shared" si="12"/>
        <v>2594</v>
      </c>
      <c r="L117" s="57"/>
      <c r="M117" s="57">
        <v>0</v>
      </c>
      <c r="N117" s="57">
        <v>0</v>
      </c>
      <c r="O117" s="57">
        <v>0</v>
      </c>
      <c r="P117" s="57">
        <v>4936</v>
      </c>
      <c r="Q117" s="57">
        <v>15520</v>
      </c>
      <c r="R117" s="57">
        <v>0</v>
      </c>
      <c r="S117" s="57" t="s">
        <v>23</v>
      </c>
      <c r="T117" s="57" t="s">
        <v>23</v>
      </c>
      <c r="U117" s="57">
        <f t="shared" si="13"/>
        <v>20456</v>
      </c>
      <c r="V117" s="57">
        <f t="shared" si="14"/>
        <v>20456</v>
      </c>
      <c r="W117" s="23"/>
    </row>
    <row r="118" spans="1:23" ht="12" customHeight="1">
      <c r="A118" s="99">
        <v>1992</v>
      </c>
      <c r="B118" s="142">
        <v>0</v>
      </c>
      <c r="C118" s="57">
        <v>0</v>
      </c>
      <c r="D118" s="57">
        <v>27</v>
      </c>
      <c r="E118" s="57">
        <v>1041</v>
      </c>
      <c r="F118" s="57">
        <v>925</v>
      </c>
      <c r="G118" s="57">
        <v>0</v>
      </c>
      <c r="H118" s="57" t="s">
        <v>23</v>
      </c>
      <c r="I118" s="57" t="s">
        <v>23</v>
      </c>
      <c r="J118" s="57">
        <f t="shared" si="11"/>
        <v>1993</v>
      </c>
      <c r="K118" s="57">
        <f t="shared" si="12"/>
        <v>1993</v>
      </c>
      <c r="L118" s="57"/>
      <c r="M118" s="57">
        <v>0</v>
      </c>
      <c r="N118" s="57">
        <v>0</v>
      </c>
      <c r="O118" s="57">
        <v>0</v>
      </c>
      <c r="P118" s="57">
        <v>8454</v>
      </c>
      <c r="Q118" s="57">
        <v>9371</v>
      </c>
      <c r="R118" s="57">
        <v>0</v>
      </c>
      <c r="S118" s="57" t="s">
        <v>23</v>
      </c>
      <c r="T118" s="57" t="s">
        <v>23</v>
      </c>
      <c r="U118" s="57">
        <f t="shared" si="13"/>
        <v>17825</v>
      </c>
      <c r="V118" s="57">
        <f t="shared" si="14"/>
        <v>17825</v>
      </c>
      <c r="W118" s="23"/>
    </row>
    <row r="119" spans="1:23" ht="12" customHeight="1">
      <c r="A119" s="99">
        <v>1993</v>
      </c>
      <c r="B119" s="142">
        <v>0</v>
      </c>
      <c r="C119" s="57">
        <v>19</v>
      </c>
      <c r="D119" s="57">
        <v>5</v>
      </c>
      <c r="E119" s="57">
        <v>746</v>
      </c>
      <c r="F119" s="57">
        <v>404</v>
      </c>
      <c r="G119" s="57">
        <v>112</v>
      </c>
      <c r="H119" s="57" t="s">
        <v>23</v>
      </c>
      <c r="I119" s="57" t="s">
        <v>23</v>
      </c>
      <c r="J119" s="57">
        <f t="shared" si="11"/>
        <v>1286</v>
      </c>
      <c r="K119" s="57">
        <f t="shared" si="12"/>
        <v>1286</v>
      </c>
      <c r="L119" s="57"/>
      <c r="M119" s="57">
        <v>0</v>
      </c>
      <c r="N119" s="57">
        <v>0</v>
      </c>
      <c r="O119" s="57">
        <v>0</v>
      </c>
      <c r="P119" s="57">
        <v>926</v>
      </c>
      <c r="Q119" s="57">
        <v>5487</v>
      </c>
      <c r="R119" s="57">
        <v>1005</v>
      </c>
      <c r="S119" s="57" t="s">
        <v>23</v>
      </c>
      <c r="T119" s="57" t="s">
        <v>23</v>
      </c>
      <c r="U119" s="57">
        <f t="shared" si="13"/>
        <v>7418</v>
      </c>
      <c r="V119" s="57">
        <f t="shared" si="14"/>
        <v>7418</v>
      </c>
      <c r="W119" s="23"/>
    </row>
    <row r="120" spans="1:23" ht="12" customHeight="1">
      <c r="A120" s="99">
        <v>1994</v>
      </c>
      <c r="B120" s="142">
        <v>0</v>
      </c>
      <c r="C120" s="57">
        <v>97</v>
      </c>
      <c r="D120" s="57">
        <v>1148</v>
      </c>
      <c r="E120" s="57">
        <v>4</v>
      </c>
      <c r="F120" s="57">
        <v>0</v>
      </c>
      <c r="G120" s="57">
        <v>0</v>
      </c>
      <c r="H120" s="57" t="s">
        <v>23</v>
      </c>
      <c r="I120" s="57" t="s">
        <v>23</v>
      </c>
      <c r="J120" s="57">
        <f t="shared" si="11"/>
        <v>1249</v>
      </c>
      <c r="K120" s="57">
        <f t="shared" si="12"/>
        <v>1249</v>
      </c>
      <c r="L120" s="57"/>
      <c r="M120" s="57">
        <v>0</v>
      </c>
      <c r="N120" s="57">
        <v>0</v>
      </c>
      <c r="O120" s="57">
        <v>0</v>
      </c>
      <c r="P120" s="57">
        <v>0</v>
      </c>
      <c r="Q120" s="57">
        <v>0</v>
      </c>
      <c r="R120" s="57">
        <v>0</v>
      </c>
      <c r="S120" s="57" t="s">
        <v>23</v>
      </c>
      <c r="T120" s="57" t="s">
        <v>23</v>
      </c>
      <c r="U120" s="57">
        <f t="shared" si="13"/>
        <v>0</v>
      </c>
      <c r="V120" s="57">
        <f t="shared" si="14"/>
        <v>0</v>
      </c>
      <c r="W120" s="23">
        <v>0</v>
      </c>
    </row>
    <row r="121" spans="1:23" ht="12" customHeight="1">
      <c r="A121" s="99">
        <v>1995</v>
      </c>
      <c r="B121" s="142">
        <v>0</v>
      </c>
      <c r="C121" s="57">
        <v>0</v>
      </c>
      <c r="D121" s="57">
        <v>0</v>
      </c>
      <c r="E121" s="57">
        <v>0</v>
      </c>
      <c r="F121" s="57">
        <v>18</v>
      </c>
      <c r="G121" s="57">
        <v>0</v>
      </c>
      <c r="H121" s="57" t="s">
        <v>23</v>
      </c>
      <c r="I121" s="57" t="s">
        <v>23</v>
      </c>
      <c r="J121" s="57">
        <f t="shared" si="11"/>
        <v>18</v>
      </c>
      <c r="K121" s="57">
        <f t="shared" si="12"/>
        <v>18</v>
      </c>
      <c r="L121" s="57"/>
      <c r="M121" s="57">
        <v>0</v>
      </c>
      <c r="N121" s="57">
        <v>0</v>
      </c>
      <c r="O121" s="57">
        <v>0</v>
      </c>
      <c r="P121" s="57">
        <v>0</v>
      </c>
      <c r="Q121" s="57">
        <v>237</v>
      </c>
      <c r="R121" s="57">
        <v>0</v>
      </c>
      <c r="S121" s="57" t="s">
        <v>23</v>
      </c>
      <c r="T121" s="57" t="s">
        <v>23</v>
      </c>
      <c r="U121" s="57">
        <f t="shared" si="13"/>
        <v>237</v>
      </c>
      <c r="V121" s="57">
        <f t="shared" si="14"/>
        <v>237</v>
      </c>
      <c r="W121" s="23"/>
    </row>
    <row r="122" spans="1:23" ht="12" customHeight="1">
      <c r="A122" s="99">
        <v>1996</v>
      </c>
      <c r="B122" s="142">
        <v>0</v>
      </c>
      <c r="C122" s="57">
        <v>0</v>
      </c>
      <c r="D122" s="57">
        <v>0</v>
      </c>
      <c r="E122" s="57">
        <v>0</v>
      </c>
      <c r="F122" s="57">
        <v>6</v>
      </c>
      <c r="G122" s="57">
        <v>34</v>
      </c>
      <c r="H122" s="57" t="s">
        <v>23</v>
      </c>
      <c r="I122" s="57" t="s">
        <v>23</v>
      </c>
      <c r="J122" s="57">
        <f t="shared" si="11"/>
        <v>40</v>
      </c>
      <c r="K122" s="57">
        <f t="shared" si="12"/>
        <v>40</v>
      </c>
      <c r="L122" s="57"/>
      <c r="M122" s="57">
        <v>0</v>
      </c>
      <c r="N122" s="57">
        <v>0</v>
      </c>
      <c r="O122" s="57">
        <v>0</v>
      </c>
      <c r="P122" s="57">
        <v>0</v>
      </c>
      <c r="Q122" s="57">
        <v>105</v>
      </c>
      <c r="R122" s="57">
        <v>474</v>
      </c>
      <c r="S122" s="57" t="s">
        <v>23</v>
      </c>
      <c r="T122" s="57" t="s">
        <v>23</v>
      </c>
      <c r="U122" s="57">
        <f t="shared" si="13"/>
        <v>579</v>
      </c>
      <c r="V122" s="57">
        <f t="shared" si="14"/>
        <v>579</v>
      </c>
      <c r="W122" s="23"/>
    </row>
    <row r="123" spans="1:23" ht="12" customHeight="1">
      <c r="A123" s="99">
        <v>1997</v>
      </c>
      <c r="B123" s="142">
        <v>0</v>
      </c>
      <c r="C123" s="57">
        <v>0</v>
      </c>
      <c r="D123" s="57">
        <v>0</v>
      </c>
      <c r="E123" s="57">
        <v>0</v>
      </c>
      <c r="F123" s="57">
        <v>0</v>
      </c>
      <c r="G123" s="57">
        <v>0</v>
      </c>
      <c r="H123" s="57" t="s">
        <v>23</v>
      </c>
      <c r="I123" s="57" t="s">
        <v>23</v>
      </c>
      <c r="J123" s="57">
        <f t="shared" si="11"/>
        <v>0</v>
      </c>
      <c r="K123" s="57">
        <f t="shared" si="12"/>
        <v>0</v>
      </c>
      <c r="L123" s="57"/>
      <c r="M123" s="57">
        <v>0</v>
      </c>
      <c r="N123" s="57">
        <v>0</v>
      </c>
      <c r="O123" s="57">
        <v>0</v>
      </c>
      <c r="P123" s="57">
        <v>0</v>
      </c>
      <c r="Q123" s="57">
        <v>0</v>
      </c>
      <c r="R123" s="57">
        <v>0</v>
      </c>
      <c r="S123" s="57" t="s">
        <v>23</v>
      </c>
      <c r="T123" s="57" t="s">
        <v>23</v>
      </c>
      <c r="U123" s="57">
        <f t="shared" si="13"/>
        <v>0</v>
      </c>
      <c r="V123" s="57">
        <f t="shared" si="14"/>
        <v>0</v>
      </c>
      <c r="W123" s="23"/>
    </row>
    <row r="124" spans="1:23" ht="12" customHeight="1">
      <c r="A124" s="99">
        <v>1998</v>
      </c>
      <c r="B124" s="142">
        <v>0</v>
      </c>
      <c r="C124" s="57">
        <v>0</v>
      </c>
      <c r="D124" s="57">
        <v>26</v>
      </c>
      <c r="E124" s="57">
        <v>0</v>
      </c>
      <c r="F124" s="57">
        <v>113</v>
      </c>
      <c r="G124" s="57">
        <v>0</v>
      </c>
      <c r="H124" s="57" t="s">
        <v>23</v>
      </c>
      <c r="I124" s="57" t="s">
        <v>23</v>
      </c>
      <c r="J124" s="57">
        <f t="shared" si="11"/>
        <v>139</v>
      </c>
      <c r="K124" s="57">
        <f t="shared" si="12"/>
        <v>139</v>
      </c>
      <c r="L124" s="57"/>
      <c r="M124" s="57">
        <v>0</v>
      </c>
      <c r="N124" s="57">
        <v>0</v>
      </c>
      <c r="O124" s="57">
        <v>0</v>
      </c>
      <c r="P124" s="57">
        <v>0</v>
      </c>
      <c r="Q124" s="57">
        <v>115</v>
      </c>
      <c r="R124" s="57">
        <v>0</v>
      </c>
      <c r="S124" s="57" t="s">
        <v>23</v>
      </c>
      <c r="T124" s="57" t="s">
        <v>23</v>
      </c>
      <c r="U124" s="57">
        <f t="shared" si="13"/>
        <v>115</v>
      </c>
      <c r="V124" s="57">
        <f t="shared" si="14"/>
        <v>115</v>
      </c>
      <c r="W124" s="23"/>
    </row>
    <row r="125" spans="1:23" ht="12" customHeight="1">
      <c r="A125" s="99">
        <v>1999</v>
      </c>
      <c r="B125" s="142">
        <v>0</v>
      </c>
      <c r="C125" s="57">
        <v>0</v>
      </c>
      <c r="D125" s="57">
        <v>42</v>
      </c>
      <c r="E125" s="57">
        <v>0</v>
      </c>
      <c r="F125" s="57">
        <v>62</v>
      </c>
      <c r="G125" s="57">
        <v>0</v>
      </c>
      <c r="H125" s="57" t="s">
        <v>23</v>
      </c>
      <c r="I125" s="57" t="s">
        <v>23</v>
      </c>
      <c r="J125" s="57">
        <f t="shared" si="11"/>
        <v>104</v>
      </c>
      <c r="K125" s="57">
        <f t="shared" si="12"/>
        <v>104</v>
      </c>
      <c r="L125" s="57"/>
      <c r="M125" s="57">
        <v>0</v>
      </c>
      <c r="N125" s="57">
        <v>0</v>
      </c>
      <c r="O125" s="57">
        <v>0</v>
      </c>
      <c r="P125" s="57">
        <v>0</v>
      </c>
      <c r="Q125" s="57">
        <v>143</v>
      </c>
      <c r="R125" s="57">
        <v>0</v>
      </c>
      <c r="S125" s="57" t="s">
        <v>23</v>
      </c>
      <c r="T125" s="57" t="s">
        <v>23</v>
      </c>
      <c r="U125" s="57">
        <f t="shared" si="13"/>
        <v>143</v>
      </c>
      <c r="V125" s="57">
        <f t="shared" si="14"/>
        <v>143</v>
      </c>
      <c r="W125" s="23"/>
    </row>
    <row r="126" spans="1:23" ht="12" customHeight="1">
      <c r="A126" s="99">
        <v>2000</v>
      </c>
      <c r="B126" s="142">
        <v>0</v>
      </c>
      <c r="C126" s="57">
        <v>0</v>
      </c>
      <c r="D126" s="57">
        <v>13</v>
      </c>
      <c r="E126" s="57">
        <v>0</v>
      </c>
      <c r="F126" s="57">
        <v>18</v>
      </c>
      <c r="G126" s="57">
        <v>0</v>
      </c>
      <c r="H126" s="57" t="s">
        <v>23</v>
      </c>
      <c r="I126" s="57" t="s">
        <v>23</v>
      </c>
      <c r="J126" s="57">
        <f t="shared" si="11"/>
        <v>31</v>
      </c>
      <c r="K126" s="57">
        <f t="shared" si="12"/>
        <v>31</v>
      </c>
      <c r="L126" s="57"/>
      <c r="M126" s="57">
        <v>0</v>
      </c>
      <c r="N126" s="57">
        <v>0</v>
      </c>
      <c r="O126" s="57">
        <v>0</v>
      </c>
      <c r="P126" s="57">
        <v>0</v>
      </c>
      <c r="Q126" s="57">
        <v>151</v>
      </c>
      <c r="R126" s="57">
        <v>0</v>
      </c>
      <c r="S126" s="57" t="s">
        <v>23</v>
      </c>
      <c r="T126" s="57" t="s">
        <v>23</v>
      </c>
      <c r="U126" s="57">
        <f t="shared" si="13"/>
        <v>151</v>
      </c>
      <c r="V126" s="57">
        <f t="shared" si="14"/>
        <v>151</v>
      </c>
      <c r="W126" s="23"/>
    </row>
    <row r="127" spans="1:23" ht="12" customHeight="1">
      <c r="A127" s="99">
        <v>2001</v>
      </c>
      <c r="B127" s="142">
        <v>0</v>
      </c>
      <c r="C127" s="57">
        <v>0</v>
      </c>
      <c r="D127" s="57">
        <v>0</v>
      </c>
      <c r="E127" s="57">
        <v>0</v>
      </c>
      <c r="F127" s="57">
        <v>0</v>
      </c>
      <c r="G127" s="57">
        <v>3</v>
      </c>
      <c r="H127" s="57" t="s">
        <v>23</v>
      </c>
      <c r="I127" s="57" t="s">
        <v>23</v>
      </c>
      <c r="J127" s="57">
        <f t="shared" si="11"/>
        <v>3</v>
      </c>
      <c r="K127" s="57">
        <f t="shared" si="12"/>
        <v>3</v>
      </c>
      <c r="L127" s="57"/>
      <c r="M127" s="57">
        <v>0</v>
      </c>
      <c r="N127" s="57">
        <v>0</v>
      </c>
      <c r="O127" s="57">
        <v>0</v>
      </c>
      <c r="P127" s="57">
        <v>0</v>
      </c>
      <c r="Q127" s="57">
        <v>0</v>
      </c>
      <c r="R127" s="57">
        <v>24</v>
      </c>
      <c r="S127" s="57" t="s">
        <v>23</v>
      </c>
      <c r="T127" s="57" t="s">
        <v>23</v>
      </c>
      <c r="U127" s="57">
        <f t="shared" si="13"/>
        <v>24</v>
      </c>
      <c r="V127" s="57">
        <f t="shared" si="14"/>
        <v>24</v>
      </c>
      <c r="W127" s="23"/>
    </row>
    <row r="128" spans="1:23" ht="12" customHeight="1">
      <c r="A128" s="99">
        <v>2002</v>
      </c>
      <c r="B128" s="142">
        <v>0</v>
      </c>
      <c r="C128" s="57">
        <v>0</v>
      </c>
      <c r="D128" s="57">
        <v>0</v>
      </c>
      <c r="E128" s="57">
        <v>124</v>
      </c>
      <c r="F128" s="57">
        <v>4</v>
      </c>
      <c r="G128" s="57">
        <v>0</v>
      </c>
      <c r="H128" s="57">
        <v>30</v>
      </c>
      <c r="I128" s="57" t="s">
        <v>23</v>
      </c>
      <c r="J128" s="57">
        <f t="shared" si="11"/>
        <v>128</v>
      </c>
      <c r="K128" s="57">
        <f t="shared" si="12"/>
        <v>158</v>
      </c>
      <c r="L128" s="57"/>
      <c r="M128" s="57">
        <v>0</v>
      </c>
      <c r="N128" s="57">
        <v>0</v>
      </c>
      <c r="O128" s="57">
        <v>0</v>
      </c>
      <c r="P128" s="57">
        <v>0</v>
      </c>
      <c r="Q128" s="57">
        <v>372</v>
      </c>
      <c r="R128" s="57">
        <v>0</v>
      </c>
      <c r="S128" s="57">
        <v>80</v>
      </c>
      <c r="T128" s="57" t="s">
        <v>23</v>
      </c>
      <c r="U128" s="57">
        <f t="shared" si="13"/>
        <v>372</v>
      </c>
      <c r="V128" s="57">
        <f t="shared" si="14"/>
        <v>452</v>
      </c>
      <c r="W128" s="23"/>
    </row>
    <row r="129" spans="1:23" ht="12" customHeight="1">
      <c r="A129" s="99">
        <v>2003</v>
      </c>
      <c r="B129" s="142">
        <v>0</v>
      </c>
      <c r="C129" s="57">
        <v>0</v>
      </c>
      <c r="D129" s="57">
        <v>47</v>
      </c>
      <c r="E129" s="57">
        <v>0</v>
      </c>
      <c r="F129" s="57">
        <v>0</v>
      </c>
      <c r="G129" s="57">
        <v>0</v>
      </c>
      <c r="H129" s="57">
        <v>35</v>
      </c>
      <c r="I129" s="57" t="s">
        <v>23</v>
      </c>
      <c r="J129" s="57">
        <f t="shared" si="11"/>
        <v>47</v>
      </c>
      <c r="K129" s="57">
        <f t="shared" si="12"/>
        <v>82</v>
      </c>
      <c r="L129" s="57"/>
      <c r="M129" s="57">
        <v>0</v>
      </c>
      <c r="N129" s="57">
        <v>0</v>
      </c>
      <c r="O129" s="57">
        <v>0</v>
      </c>
      <c r="P129" s="57">
        <v>0</v>
      </c>
      <c r="Q129" s="57">
        <v>0</v>
      </c>
      <c r="R129" s="57">
        <v>0</v>
      </c>
      <c r="S129" s="57">
        <v>85</v>
      </c>
      <c r="T129" s="57" t="s">
        <v>23</v>
      </c>
      <c r="U129" s="57">
        <f t="shared" si="13"/>
        <v>0</v>
      </c>
      <c r="V129" s="57">
        <f t="shared" si="14"/>
        <v>85</v>
      </c>
      <c r="W129" s="23"/>
    </row>
    <row r="130" spans="1:23" ht="12" customHeight="1">
      <c r="A130" s="99">
        <v>2004</v>
      </c>
      <c r="B130" s="142">
        <v>0</v>
      </c>
      <c r="C130" s="57">
        <v>0</v>
      </c>
      <c r="D130" s="57">
        <v>0</v>
      </c>
      <c r="E130" s="57">
        <v>50</v>
      </c>
      <c r="F130" s="57">
        <v>6</v>
      </c>
      <c r="G130" s="57">
        <v>0</v>
      </c>
      <c r="H130" s="57">
        <v>25</v>
      </c>
      <c r="I130" s="57" t="s">
        <v>23</v>
      </c>
      <c r="J130" s="57">
        <f t="shared" si="11"/>
        <v>56</v>
      </c>
      <c r="K130" s="57">
        <f t="shared" si="12"/>
        <v>81</v>
      </c>
      <c r="L130" s="57"/>
      <c r="M130" s="57">
        <v>0</v>
      </c>
      <c r="N130" s="57">
        <v>0</v>
      </c>
      <c r="O130" s="57">
        <v>0</v>
      </c>
      <c r="P130" s="57">
        <v>61</v>
      </c>
      <c r="Q130" s="57">
        <v>23</v>
      </c>
      <c r="R130" s="57">
        <v>0</v>
      </c>
      <c r="S130" s="57">
        <v>100</v>
      </c>
      <c r="T130" s="57" t="s">
        <v>23</v>
      </c>
      <c r="U130" s="57">
        <f t="shared" si="13"/>
        <v>84</v>
      </c>
      <c r="V130" s="57">
        <f t="shared" si="14"/>
        <v>184</v>
      </c>
      <c r="W130" s="23"/>
    </row>
    <row r="131" spans="1:23" ht="12" customHeight="1">
      <c r="A131" s="99">
        <v>2005</v>
      </c>
      <c r="B131" s="142">
        <v>0</v>
      </c>
      <c r="C131" s="57">
        <v>258</v>
      </c>
      <c r="D131" s="57">
        <v>1</v>
      </c>
      <c r="E131" s="57">
        <v>177</v>
      </c>
      <c r="F131" s="57">
        <v>188</v>
      </c>
      <c r="G131" s="57">
        <v>74</v>
      </c>
      <c r="H131" s="57">
        <v>0</v>
      </c>
      <c r="I131" s="57" t="s">
        <v>23</v>
      </c>
      <c r="J131" s="57">
        <f t="shared" si="11"/>
        <v>698</v>
      </c>
      <c r="K131" s="57">
        <f t="shared" si="12"/>
        <v>698</v>
      </c>
      <c r="L131" s="57"/>
      <c r="M131" s="57">
        <v>0</v>
      </c>
      <c r="N131" s="57">
        <v>0</v>
      </c>
      <c r="O131" s="57">
        <v>0</v>
      </c>
      <c r="P131" s="57">
        <v>1</v>
      </c>
      <c r="Q131" s="57">
        <v>26</v>
      </c>
      <c r="R131" s="57">
        <v>36</v>
      </c>
      <c r="S131" s="57">
        <v>0</v>
      </c>
      <c r="T131" s="57" t="s">
        <v>23</v>
      </c>
      <c r="U131" s="57">
        <f t="shared" si="13"/>
        <v>63</v>
      </c>
      <c r="V131" s="57">
        <f t="shared" si="14"/>
        <v>63</v>
      </c>
      <c r="W131" s="23"/>
    </row>
    <row r="132" spans="1:23" ht="12" customHeight="1">
      <c r="A132" s="99">
        <v>2006</v>
      </c>
      <c r="B132" s="142">
        <v>0</v>
      </c>
      <c r="C132" s="57">
        <v>82</v>
      </c>
      <c r="D132" s="57">
        <v>248</v>
      </c>
      <c r="E132" s="57">
        <v>825</v>
      </c>
      <c r="F132" s="57">
        <v>870</v>
      </c>
      <c r="G132" s="57">
        <v>66</v>
      </c>
      <c r="H132" s="57">
        <v>15</v>
      </c>
      <c r="I132" s="57" t="s">
        <v>23</v>
      </c>
      <c r="J132" s="57">
        <f t="shared" si="11"/>
        <v>2091</v>
      </c>
      <c r="K132" s="57">
        <f t="shared" si="12"/>
        <v>2106</v>
      </c>
      <c r="L132" s="57"/>
      <c r="M132" s="57">
        <v>0</v>
      </c>
      <c r="N132" s="57">
        <v>0</v>
      </c>
      <c r="O132" s="57">
        <v>0</v>
      </c>
      <c r="P132" s="57">
        <v>446</v>
      </c>
      <c r="Q132" s="57">
        <v>1272</v>
      </c>
      <c r="R132" s="57">
        <v>123</v>
      </c>
      <c r="S132" s="57">
        <v>5</v>
      </c>
      <c r="T132" s="57" t="s">
        <v>23</v>
      </c>
      <c r="U132" s="57">
        <f t="shared" si="13"/>
        <v>1841</v>
      </c>
      <c r="V132" s="57">
        <f t="shared" si="14"/>
        <v>1846</v>
      </c>
      <c r="W132" s="23"/>
    </row>
    <row r="133" spans="1:23" ht="12" customHeight="1">
      <c r="A133" s="99">
        <v>2007</v>
      </c>
      <c r="B133" s="142">
        <v>0</v>
      </c>
      <c r="C133" s="77">
        <v>0</v>
      </c>
      <c r="D133" s="77">
        <v>1773</v>
      </c>
      <c r="E133" s="77">
        <v>60</v>
      </c>
      <c r="F133" s="77">
        <v>234</v>
      </c>
      <c r="G133" s="77">
        <v>5</v>
      </c>
      <c r="H133" s="77">
        <v>0</v>
      </c>
      <c r="I133" s="57" t="s">
        <v>23</v>
      </c>
      <c r="J133" s="77">
        <f t="shared" si="11"/>
        <v>2072</v>
      </c>
      <c r="K133" s="77">
        <f t="shared" si="12"/>
        <v>2072</v>
      </c>
      <c r="L133" s="77"/>
      <c r="M133" s="77">
        <v>0</v>
      </c>
      <c r="N133" s="77">
        <v>0</v>
      </c>
      <c r="O133" s="77">
        <v>0</v>
      </c>
      <c r="P133" s="77">
        <v>248</v>
      </c>
      <c r="Q133" s="77">
        <v>1099</v>
      </c>
      <c r="R133" s="77">
        <v>52</v>
      </c>
      <c r="S133" s="77">
        <v>0</v>
      </c>
      <c r="T133" s="57" t="s">
        <v>23</v>
      </c>
      <c r="U133" s="77">
        <f t="shared" si="13"/>
        <v>1399</v>
      </c>
      <c r="V133" s="77">
        <f t="shared" si="14"/>
        <v>1399</v>
      </c>
      <c r="W133" s="23"/>
    </row>
    <row r="134" spans="1:23" ht="12" customHeight="1">
      <c r="A134" s="99">
        <v>2008</v>
      </c>
      <c r="B134" s="142">
        <v>0</v>
      </c>
      <c r="C134" s="77">
        <v>58</v>
      </c>
      <c r="D134" s="77">
        <v>2834</v>
      </c>
      <c r="E134" s="77">
        <v>380</v>
      </c>
      <c r="F134" s="77">
        <v>888</v>
      </c>
      <c r="G134" s="77">
        <v>368</v>
      </c>
      <c r="H134" s="77">
        <v>1</v>
      </c>
      <c r="I134" s="77" t="s">
        <v>23</v>
      </c>
      <c r="J134" s="77">
        <f t="shared" si="11"/>
        <v>4528</v>
      </c>
      <c r="K134" s="77">
        <f t="shared" si="12"/>
        <v>4529</v>
      </c>
      <c r="L134" s="77"/>
      <c r="M134" s="77">
        <v>0</v>
      </c>
      <c r="N134" s="77">
        <v>0</v>
      </c>
      <c r="O134" s="77">
        <v>2</v>
      </c>
      <c r="P134" s="77">
        <v>267</v>
      </c>
      <c r="Q134" s="77">
        <v>297</v>
      </c>
      <c r="R134" s="77">
        <v>379</v>
      </c>
      <c r="S134" s="77">
        <v>0</v>
      </c>
      <c r="T134" s="77" t="s">
        <v>23</v>
      </c>
      <c r="U134" s="77">
        <f t="shared" si="13"/>
        <v>945</v>
      </c>
      <c r="V134" s="77">
        <f t="shared" si="14"/>
        <v>945</v>
      </c>
      <c r="W134" s="23"/>
    </row>
    <row r="135" spans="1:23" ht="12" customHeight="1">
      <c r="A135" s="99">
        <v>2009</v>
      </c>
      <c r="B135" s="142">
        <v>0</v>
      </c>
      <c r="C135" s="77">
        <v>83</v>
      </c>
      <c r="D135" s="77">
        <v>99</v>
      </c>
      <c r="E135" s="77">
        <v>20</v>
      </c>
      <c r="F135" s="77">
        <v>158</v>
      </c>
      <c r="G135" s="77">
        <v>0</v>
      </c>
      <c r="H135" s="77">
        <v>25</v>
      </c>
      <c r="I135" s="77" t="s">
        <v>23</v>
      </c>
      <c r="J135" s="77">
        <f t="shared" si="11"/>
        <v>360</v>
      </c>
      <c r="K135" s="77">
        <f t="shared" si="12"/>
        <v>385</v>
      </c>
      <c r="L135" s="77"/>
      <c r="M135" s="77">
        <v>0</v>
      </c>
      <c r="N135" s="77">
        <v>0</v>
      </c>
      <c r="O135" s="77">
        <v>0</v>
      </c>
      <c r="P135" s="77">
        <v>102</v>
      </c>
      <c r="Q135" s="77">
        <v>3060</v>
      </c>
      <c r="R135" s="77">
        <v>15</v>
      </c>
      <c r="S135" s="77">
        <v>15</v>
      </c>
      <c r="T135" s="77" t="s">
        <v>23</v>
      </c>
      <c r="U135" s="77">
        <f t="shared" si="13"/>
        <v>3177</v>
      </c>
      <c r="V135" s="77">
        <f t="shared" si="14"/>
        <v>3192</v>
      </c>
      <c r="W135" s="23"/>
    </row>
    <row r="136" spans="1:23" ht="12" customHeight="1">
      <c r="A136" s="99">
        <v>2010</v>
      </c>
      <c r="B136" s="142">
        <v>0</v>
      </c>
      <c r="C136" s="77">
        <v>6</v>
      </c>
      <c r="D136" s="77">
        <v>85</v>
      </c>
      <c r="E136" s="77">
        <v>754</v>
      </c>
      <c r="F136" s="77">
        <v>702</v>
      </c>
      <c r="G136" s="77">
        <v>74</v>
      </c>
      <c r="H136" s="77">
        <v>10</v>
      </c>
      <c r="I136" s="77" t="s">
        <v>23</v>
      </c>
      <c r="J136" s="77">
        <f t="shared" si="11"/>
        <v>1621</v>
      </c>
      <c r="K136" s="77">
        <f t="shared" si="12"/>
        <v>1631</v>
      </c>
      <c r="L136" s="77"/>
      <c r="M136" s="77">
        <v>0</v>
      </c>
      <c r="N136" s="77">
        <v>2</v>
      </c>
      <c r="O136" s="77">
        <v>0</v>
      </c>
      <c r="P136" s="77">
        <v>157</v>
      </c>
      <c r="Q136" s="77">
        <v>226</v>
      </c>
      <c r="R136" s="77">
        <v>51</v>
      </c>
      <c r="S136" s="77">
        <v>15</v>
      </c>
      <c r="T136" s="77" t="s">
        <v>23</v>
      </c>
      <c r="U136" s="77">
        <f t="shared" si="13"/>
        <v>436</v>
      </c>
      <c r="V136" s="77">
        <f t="shared" si="14"/>
        <v>451</v>
      </c>
      <c r="W136" s="23"/>
    </row>
    <row r="137" spans="1:23" ht="12" customHeight="1">
      <c r="A137" s="99">
        <v>2011</v>
      </c>
      <c r="B137" s="142">
        <v>0</v>
      </c>
      <c r="C137" s="57">
        <v>0</v>
      </c>
      <c r="D137" s="57">
        <v>457</v>
      </c>
      <c r="E137" s="57">
        <v>0</v>
      </c>
      <c r="F137" s="57">
        <v>69</v>
      </c>
      <c r="G137" s="57">
        <v>46</v>
      </c>
      <c r="H137" s="57">
        <v>0</v>
      </c>
      <c r="I137" s="57" t="s">
        <v>23</v>
      </c>
      <c r="J137" s="57">
        <f t="shared" si="11"/>
        <v>572</v>
      </c>
      <c r="K137" s="57">
        <f t="shared" si="12"/>
        <v>572</v>
      </c>
      <c r="L137" s="57"/>
      <c r="M137" s="57">
        <v>0</v>
      </c>
      <c r="N137" s="57">
        <v>0</v>
      </c>
      <c r="O137" s="57">
        <v>0</v>
      </c>
      <c r="P137" s="57">
        <v>0</v>
      </c>
      <c r="Q137" s="57">
        <v>29</v>
      </c>
      <c r="R137" s="57">
        <v>482</v>
      </c>
      <c r="S137" s="57">
        <v>0</v>
      </c>
      <c r="T137" s="57" t="s">
        <v>23</v>
      </c>
      <c r="U137" s="57">
        <f t="shared" si="13"/>
        <v>511</v>
      </c>
      <c r="V137" s="57">
        <f t="shared" si="14"/>
        <v>511</v>
      </c>
      <c r="W137" s="23"/>
    </row>
    <row r="138" spans="1:23" ht="12" customHeight="1">
      <c r="A138" s="99">
        <v>2012</v>
      </c>
      <c r="B138" s="142">
        <v>0</v>
      </c>
      <c r="C138" s="77">
        <v>722</v>
      </c>
      <c r="D138" s="77">
        <v>258</v>
      </c>
      <c r="E138" s="77">
        <v>322</v>
      </c>
      <c r="F138" s="77">
        <v>1060</v>
      </c>
      <c r="G138" s="77">
        <v>164</v>
      </c>
      <c r="H138" s="77">
        <v>10</v>
      </c>
      <c r="I138" s="77" t="s">
        <v>23</v>
      </c>
      <c r="J138" s="77">
        <f t="shared" si="11"/>
        <v>2526</v>
      </c>
      <c r="K138" s="77">
        <f t="shared" si="12"/>
        <v>2536</v>
      </c>
      <c r="L138" s="77"/>
      <c r="M138" s="77">
        <v>0</v>
      </c>
      <c r="N138" s="77">
        <v>0</v>
      </c>
      <c r="O138" s="77">
        <v>1</v>
      </c>
      <c r="P138" s="77">
        <v>44</v>
      </c>
      <c r="Q138" s="77">
        <v>1002</v>
      </c>
      <c r="R138" s="77">
        <v>179</v>
      </c>
      <c r="S138" s="77">
        <v>0</v>
      </c>
      <c r="T138" s="77" t="s">
        <v>23</v>
      </c>
      <c r="U138" s="77">
        <f t="shared" si="13"/>
        <v>1226</v>
      </c>
      <c r="V138" s="77">
        <f t="shared" si="14"/>
        <v>1226</v>
      </c>
      <c r="W138" s="23"/>
    </row>
    <row r="139" spans="1:23" ht="12" customHeight="1">
      <c r="A139" s="99">
        <v>2013</v>
      </c>
      <c r="B139" s="142">
        <v>0</v>
      </c>
      <c r="C139" s="77">
        <v>954</v>
      </c>
      <c r="D139" s="77">
        <v>2694</v>
      </c>
      <c r="E139" s="77">
        <v>1197</v>
      </c>
      <c r="F139" s="77">
        <v>207</v>
      </c>
      <c r="G139" s="77">
        <v>794</v>
      </c>
      <c r="H139" s="77">
        <v>0</v>
      </c>
      <c r="I139" s="77" t="s">
        <v>23</v>
      </c>
      <c r="J139" s="77">
        <f t="shared" si="11"/>
        <v>5846</v>
      </c>
      <c r="K139" s="77">
        <f t="shared" si="12"/>
        <v>5846</v>
      </c>
      <c r="L139" s="77"/>
      <c r="M139" s="77">
        <v>0</v>
      </c>
      <c r="N139" s="77">
        <v>0</v>
      </c>
      <c r="O139" s="77">
        <v>7</v>
      </c>
      <c r="P139" s="77">
        <v>370</v>
      </c>
      <c r="Q139" s="77">
        <v>1176</v>
      </c>
      <c r="R139" s="77">
        <v>127</v>
      </c>
      <c r="S139" s="77">
        <v>0</v>
      </c>
      <c r="T139" s="77" t="s">
        <v>23</v>
      </c>
      <c r="U139" s="77">
        <f t="shared" si="13"/>
        <v>1680</v>
      </c>
      <c r="V139" s="77">
        <f t="shared" si="14"/>
        <v>1680</v>
      </c>
      <c r="W139" s="23"/>
    </row>
    <row r="140" spans="1:23" ht="12" customHeight="1">
      <c r="A140" s="99">
        <v>2014</v>
      </c>
      <c r="B140" s="142">
        <v>0</v>
      </c>
      <c r="C140" s="77">
        <v>4192</v>
      </c>
      <c r="D140" s="77">
        <v>7992</v>
      </c>
      <c r="E140" s="77">
        <v>15669</v>
      </c>
      <c r="F140" s="77">
        <v>5502</v>
      </c>
      <c r="G140" s="77">
        <v>2152</v>
      </c>
      <c r="H140" s="77">
        <v>0</v>
      </c>
      <c r="I140" s="77" t="s">
        <v>23</v>
      </c>
      <c r="J140" s="77">
        <f t="shared" si="11"/>
        <v>35507</v>
      </c>
      <c r="K140" s="77">
        <f t="shared" si="12"/>
        <v>35507</v>
      </c>
      <c r="L140" s="77"/>
      <c r="M140" s="77">
        <v>0</v>
      </c>
      <c r="N140" s="77">
        <v>0</v>
      </c>
      <c r="O140" s="77">
        <v>4</v>
      </c>
      <c r="P140" s="77">
        <v>7446</v>
      </c>
      <c r="Q140" s="77">
        <v>29203</v>
      </c>
      <c r="R140" s="77">
        <v>5031</v>
      </c>
      <c r="S140" s="77">
        <v>0</v>
      </c>
      <c r="T140" s="77" t="s">
        <v>23</v>
      </c>
      <c r="U140" s="77">
        <f t="shared" si="13"/>
        <v>41684</v>
      </c>
      <c r="V140" s="77">
        <f t="shared" si="14"/>
        <v>41684</v>
      </c>
      <c r="W140" s="23"/>
    </row>
    <row r="141" spans="1:23" ht="12" customHeight="1">
      <c r="A141" s="99">
        <v>2015</v>
      </c>
      <c r="B141" s="142">
        <v>0</v>
      </c>
      <c r="C141" s="77">
        <v>1868</v>
      </c>
      <c r="D141" s="77">
        <v>1371</v>
      </c>
      <c r="E141" s="77">
        <v>14068</v>
      </c>
      <c r="F141" s="77">
        <v>1999</v>
      </c>
      <c r="G141" s="77">
        <v>524</v>
      </c>
      <c r="H141" s="77">
        <v>0</v>
      </c>
      <c r="I141" s="77" t="s">
        <v>23</v>
      </c>
      <c r="J141" s="77">
        <f t="shared" si="11"/>
        <v>19830</v>
      </c>
      <c r="K141" s="77">
        <f t="shared" si="12"/>
        <v>19830</v>
      </c>
      <c r="L141" s="77"/>
      <c r="M141" s="77">
        <v>0</v>
      </c>
      <c r="N141" s="77">
        <v>0</v>
      </c>
      <c r="O141" s="77">
        <v>0</v>
      </c>
      <c r="P141" s="77">
        <v>1008</v>
      </c>
      <c r="Q141" s="77">
        <v>383</v>
      </c>
      <c r="R141" s="77">
        <v>298</v>
      </c>
      <c r="S141" s="77">
        <v>0</v>
      </c>
      <c r="T141" s="77" t="s">
        <v>23</v>
      </c>
      <c r="U141" s="77">
        <f t="shared" si="13"/>
        <v>1689</v>
      </c>
      <c r="V141" s="77">
        <f t="shared" si="14"/>
        <v>1689</v>
      </c>
      <c r="W141" s="23"/>
    </row>
    <row r="142" spans="1:23" ht="12" customHeight="1">
      <c r="A142" s="99">
        <v>2016</v>
      </c>
      <c r="B142" s="142">
        <v>0</v>
      </c>
      <c r="C142" s="77">
        <v>641</v>
      </c>
      <c r="D142" s="77">
        <v>555</v>
      </c>
      <c r="E142" s="77">
        <v>256</v>
      </c>
      <c r="F142" s="77">
        <v>4</v>
      </c>
      <c r="G142" s="77">
        <v>0</v>
      </c>
      <c r="H142" s="77">
        <v>0</v>
      </c>
      <c r="I142" s="77" t="s">
        <v>23</v>
      </c>
      <c r="J142" s="77">
        <f t="shared" si="11"/>
        <v>1456</v>
      </c>
      <c r="K142" s="77">
        <f t="shared" si="12"/>
        <v>1456</v>
      </c>
      <c r="L142" s="77"/>
      <c r="M142" s="77">
        <v>0</v>
      </c>
      <c r="N142" s="77">
        <v>0</v>
      </c>
      <c r="O142" s="77">
        <v>0</v>
      </c>
      <c r="P142" s="77">
        <v>0</v>
      </c>
      <c r="Q142" s="77">
        <v>0</v>
      </c>
      <c r="R142" s="77">
        <v>0</v>
      </c>
      <c r="S142" s="77">
        <v>1</v>
      </c>
      <c r="T142" s="77" t="s">
        <v>23</v>
      </c>
      <c r="U142" s="77">
        <f t="shared" si="13"/>
        <v>0</v>
      </c>
      <c r="V142" s="77">
        <f t="shared" si="14"/>
        <v>1</v>
      </c>
      <c r="W142" s="23"/>
    </row>
    <row r="143" spans="1:23" ht="12" customHeight="1">
      <c r="A143" s="99">
        <v>2017</v>
      </c>
      <c r="B143" s="142">
        <v>0</v>
      </c>
      <c r="C143" s="77">
        <v>0</v>
      </c>
      <c r="D143" s="77">
        <v>10</v>
      </c>
      <c r="E143" s="77">
        <v>5</v>
      </c>
      <c r="F143" s="77">
        <v>4</v>
      </c>
      <c r="G143" s="77">
        <v>30</v>
      </c>
      <c r="H143" s="77">
        <v>0</v>
      </c>
      <c r="I143" s="77" t="s">
        <v>23</v>
      </c>
      <c r="J143" s="77">
        <f t="shared" si="11"/>
        <v>49</v>
      </c>
      <c r="K143" s="77">
        <f t="shared" si="12"/>
        <v>49</v>
      </c>
      <c r="L143" s="77"/>
      <c r="M143" s="77">
        <v>0</v>
      </c>
      <c r="N143" s="77">
        <v>0</v>
      </c>
      <c r="O143" s="77">
        <v>0</v>
      </c>
      <c r="P143" s="77">
        <v>8</v>
      </c>
      <c r="Q143" s="77">
        <v>14</v>
      </c>
      <c r="R143" s="77">
        <v>167</v>
      </c>
      <c r="S143" s="77">
        <v>0</v>
      </c>
      <c r="T143" s="77" t="s">
        <v>23</v>
      </c>
      <c r="U143" s="77">
        <f t="shared" si="13"/>
        <v>189</v>
      </c>
      <c r="V143" s="77">
        <f t="shared" si="14"/>
        <v>189</v>
      </c>
      <c r="W143" s="23"/>
    </row>
    <row r="144" spans="1:23" ht="12" customHeight="1">
      <c r="A144" s="99">
        <v>2018</v>
      </c>
      <c r="B144" s="142">
        <v>0</v>
      </c>
      <c r="C144" s="77">
        <v>0</v>
      </c>
      <c r="D144" s="77">
        <v>25</v>
      </c>
      <c r="E144" s="77">
        <v>0</v>
      </c>
      <c r="F144" s="77">
        <v>0</v>
      </c>
      <c r="G144" s="77">
        <v>3</v>
      </c>
      <c r="H144" s="77">
        <v>0</v>
      </c>
      <c r="I144" s="213" t="s">
        <v>23</v>
      </c>
      <c r="J144" s="77">
        <f t="shared" si="11"/>
        <v>28</v>
      </c>
      <c r="K144" s="77">
        <f>SUM(B144:I144)</f>
        <v>28</v>
      </c>
      <c r="L144" s="77"/>
      <c r="M144" s="77">
        <v>0</v>
      </c>
      <c r="N144" s="77">
        <v>0</v>
      </c>
      <c r="O144" s="77">
        <v>0</v>
      </c>
      <c r="P144" s="77">
        <v>0</v>
      </c>
      <c r="Q144" s="77">
        <v>0</v>
      </c>
      <c r="R144" s="77">
        <v>17</v>
      </c>
      <c r="S144" s="77">
        <v>0</v>
      </c>
      <c r="T144" s="213" t="s">
        <v>23</v>
      </c>
      <c r="U144" s="77">
        <f>SUM(N144:R144)</f>
        <v>17</v>
      </c>
      <c r="V144" s="77">
        <f>SUM(M144:T144)</f>
        <v>17</v>
      </c>
      <c r="W144" s="23"/>
    </row>
    <row r="145" spans="1:23" ht="12" customHeight="1">
      <c r="A145" s="99">
        <v>2019</v>
      </c>
      <c r="B145" s="142">
        <v>0</v>
      </c>
      <c r="C145" s="77">
        <v>0</v>
      </c>
      <c r="D145" s="77">
        <v>0</v>
      </c>
      <c r="E145" s="77">
        <v>0</v>
      </c>
      <c r="F145" s="77">
        <v>14</v>
      </c>
      <c r="G145" s="77">
        <v>23</v>
      </c>
      <c r="H145" s="77">
        <v>0</v>
      </c>
      <c r="I145" s="213" t="s">
        <v>23</v>
      </c>
      <c r="J145" s="77">
        <f t="shared" si="11"/>
        <v>37</v>
      </c>
      <c r="K145" s="77">
        <f t="shared" ref="K145:K146" si="15">SUM(B145:I145)</f>
        <v>37</v>
      </c>
      <c r="L145" s="77"/>
      <c r="M145" s="77">
        <v>0</v>
      </c>
      <c r="N145" s="77">
        <v>0</v>
      </c>
      <c r="O145" s="77">
        <v>0</v>
      </c>
      <c r="P145" s="77">
        <v>0</v>
      </c>
      <c r="Q145" s="77">
        <v>123</v>
      </c>
      <c r="R145" s="77">
        <v>219</v>
      </c>
      <c r="S145" s="77">
        <v>0</v>
      </c>
      <c r="T145" s="213" t="s">
        <v>23</v>
      </c>
      <c r="U145" s="77">
        <f t="shared" ref="U145:U147" si="16">SUM(N145:R145)</f>
        <v>342</v>
      </c>
      <c r="V145" s="77">
        <f t="shared" ref="V145:V146" si="17">SUM(M145:T145)</f>
        <v>342</v>
      </c>
      <c r="W145" s="23"/>
    </row>
    <row r="146" spans="1:23" ht="12" customHeight="1">
      <c r="A146" s="99">
        <v>2020</v>
      </c>
      <c r="B146" s="142">
        <v>0</v>
      </c>
      <c r="C146" s="77">
        <v>0</v>
      </c>
      <c r="D146" s="77">
        <v>0</v>
      </c>
      <c r="E146" s="77">
        <v>0</v>
      </c>
      <c r="F146" s="77">
        <v>27</v>
      </c>
      <c r="G146" s="77">
        <v>0</v>
      </c>
      <c r="H146" s="77">
        <v>0</v>
      </c>
      <c r="I146" s="213" t="s">
        <v>23</v>
      </c>
      <c r="J146" s="77">
        <f t="shared" ref="J146" si="18">SUM(C146:G146)</f>
        <v>27</v>
      </c>
      <c r="K146" s="77">
        <f t="shared" si="15"/>
        <v>27</v>
      </c>
      <c r="L146" s="77"/>
      <c r="M146" s="77">
        <v>0</v>
      </c>
      <c r="N146" s="77">
        <v>0</v>
      </c>
      <c r="O146" s="77">
        <v>0</v>
      </c>
      <c r="P146" s="77">
        <v>0</v>
      </c>
      <c r="Q146" s="77">
        <v>5</v>
      </c>
      <c r="R146" s="77">
        <v>0</v>
      </c>
      <c r="S146" s="77">
        <v>0</v>
      </c>
      <c r="T146" s="213" t="s">
        <v>23</v>
      </c>
      <c r="U146" s="77">
        <f t="shared" ref="U146" si="19">SUM(N146:R146)</f>
        <v>5</v>
      </c>
      <c r="V146" s="77">
        <f t="shared" si="17"/>
        <v>5</v>
      </c>
      <c r="W146" s="23"/>
    </row>
    <row r="147" spans="1:23" ht="12" customHeight="1">
      <c r="A147" s="99" t="s">
        <v>316</v>
      </c>
      <c r="B147" s="142">
        <v>0</v>
      </c>
      <c r="C147" s="57">
        <v>0</v>
      </c>
      <c r="D147" s="57">
        <v>0</v>
      </c>
      <c r="E147" s="57">
        <v>81</v>
      </c>
      <c r="F147" s="57">
        <v>256</v>
      </c>
      <c r="G147" s="57">
        <v>0</v>
      </c>
      <c r="H147" s="57">
        <v>0</v>
      </c>
      <c r="I147" s="212" t="s">
        <v>23</v>
      </c>
      <c r="J147" s="77">
        <f t="shared" si="11"/>
        <v>337</v>
      </c>
      <c r="K147" s="57">
        <f t="shared" si="12"/>
        <v>337</v>
      </c>
      <c r="L147" s="57"/>
      <c r="M147" s="57">
        <v>0</v>
      </c>
      <c r="N147" s="57">
        <v>0</v>
      </c>
      <c r="O147" s="57">
        <v>0</v>
      </c>
      <c r="P147" s="57">
        <v>45</v>
      </c>
      <c r="Q147" s="57">
        <v>1578</v>
      </c>
      <c r="R147" s="57">
        <v>0</v>
      </c>
      <c r="S147" s="57">
        <v>0</v>
      </c>
      <c r="T147" s="212" t="s">
        <v>23</v>
      </c>
      <c r="U147" s="77">
        <f t="shared" si="16"/>
        <v>1623</v>
      </c>
      <c r="V147" s="57">
        <f t="shared" si="14"/>
        <v>1623</v>
      </c>
      <c r="W147" s="23"/>
    </row>
    <row r="148" spans="1:23" ht="12" customHeight="1">
      <c r="B148" s="142"/>
      <c r="C148" s="57"/>
      <c r="D148" s="57"/>
      <c r="E148" s="57"/>
      <c r="F148" s="57"/>
      <c r="G148" s="57"/>
      <c r="H148" s="57"/>
      <c r="I148" s="57"/>
      <c r="J148" s="57"/>
      <c r="K148" s="57"/>
      <c r="L148" s="57"/>
      <c r="M148" s="57"/>
      <c r="N148" s="57"/>
      <c r="O148" s="57"/>
      <c r="P148" s="57"/>
      <c r="Q148" s="57"/>
      <c r="R148" s="57"/>
      <c r="S148" s="57"/>
      <c r="T148" s="57"/>
      <c r="U148" s="57"/>
      <c r="V148" s="157"/>
      <c r="W148" s="23"/>
    </row>
    <row r="149" spans="1:23" ht="12" customHeight="1">
      <c r="A149" s="94" t="s">
        <v>58</v>
      </c>
      <c r="B149" s="104"/>
      <c r="C149" s="57"/>
      <c r="D149" s="57"/>
      <c r="E149" s="57"/>
      <c r="F149" s="57"/>
      <c r="G149" s="57"/>
      <c r="H149" s="57"/>
      <c r="I149" s="57"/>
      <c r="J149" s="57"/>
      <c r="K149" s="57"/>
      <c r="L149" s="57"/>
      <c r="M149" s="57"/>
      <c r="N149" s="57"/>
      <c r="O149" s="57"/>
      <c r="P149" s="57"/>
      <c r="Q149" s="57"/>
      <c r="R149" s="57"/>
      <c r="S149" s="57"/>
      <c r="T149" s="57"/>
      <c r="U149" s="57"/>
      <c r="V149" s="156"/>
    </row>
    <row r="150" spans="1:23" ht="12" customHeight="1">
      <c r="A150" s="99">
        <v>1976</v>
      </c>
      <c r="B150" s="142">
        <v>0</v>
      </c>
      <c r="C150" s="57">
        <v>42</v>
      </c>
      <c r="D150" s="57">
        <v>68</v>
      </c>
      <c r="E150" s="57">
        <v>1</v>
      </c>
      <c r="F150" s="57">
        <v>0</v>
      </c>
      <c r="G150" s="57">
        <v>0</v>
      </c>
      <c r="H150" s="57">
        <v>0</v>
      </c>
      <c r="I150" s="57">
        <v>0</v>
      </c>
      <c r="J150" s="57">
        <f t="shared" ref="J150:J191" si="20">SUM(C150:G150)</f>
        <v>111</v>
      </c>
      <c r="K150" s="57">
        <f t="shared" ref="K150:K191" si="21">SUM(B150:I150)</f>
        <v>111</v>
      </c>
      <c r="L150" s="57"/>
      <c r="M150" s="57">
        <v>0</v>
      </c>
      <c r="N150" s="57">
        <v>0</v>
      </c>
      <c r="O150" s="57">
        <v>135</v>
      </c>
      <c r="P150" s="57">
        <v>8</v>
      </c>
      <c r="Q150" s="57">
        <v>0</v>
      </c>
      <c r="R150" s="57">
        <v>0</v>
      </c>
      <c r="S150" s="57">
        <v>0</v>
      </c>
      <c r="T150" s="57">
        <v>0</v>
      </c>
      <c r="U150" s="57">
        <f t="shared" ref="U150:U195" si="22">SUM(N150:R150)</f>
        <v>143</v>
      </c>
      <c r="V150" s="57">
        <f t="shared" ref="V150:V195" si="23">SUM(M150:T150)</f>
        <v>143</v>
      </c>
    </row>
    <row r="151" spans="1:23" ht="12" customHeight="1">
      <c r="A151" s="99">
        <v>1977</v>
      </c>
      <c r="B151" s="142">
        <v>0</v>
      </c>
      <c r="C151" s="57">
        <v>0</v>
      </c>
      <c r="D151" s="57">
        <v>0</v>
      </c>
      <c r="E151" s="57">
        <v>0</v>
      </c>
      <c r="F151" s="57">
        <v>13</v>
      </c>
      <c r="G151" s="57">
        <v>3</v>
      </c>
      <c r="H151" s="57">
        <v>0</v>
      </c>
      <c r="I151" s="57">
        <v>0</v>
      </c>
      <c r="J151" s="57">
        <f t="shared" si="20"/>
        <v>16</v>
      </c>
      <c r="K151" s="57">
        <f t="shared" si="21"/>
        <v>16</v>
      </c>
      <c r="L151" s="57"/>
      <c r="M151" s="57">
        <v>0</v>
      </c>
      <c r="N151" s="57">
        <v>0</v>
      </c>
      <c r="O151" s="57">
        <v>0</v>
      </c>
      <c r="P151" s="57">
        <v>0</v>
      </c>
      <c r="Q151" s="57">
        <v>10</v>
      </c>
      <c r="R151" s="57">
        <v>3</v>
      </c>
      <c r="S151" s="57">
        <v>0</v>
      </c>
      <c r="T151" s="57">
        <v>0</v>
      </c>
      <c r="U151" s="57">
        <f t="shared" si="22"/>
        <v>13</v>
      </c>
      <c r="V151" s="57">
        <f t="shared" si="23"/>
        <v>13</v>
      </c>
    </row>
    <row r="152" spans="1:23" ht="12" customHeight="1">
      <c r="A152" s="99">
        <v>1978</v>
      </c>
      <c r="B152" s="142">
        <v>0</v>
      </c>
      <c r="C152" s="57">
        <v>0</v>
      </c>
      <c r="D152" s="57">
        <v>0</v>
      </c>
      <c r="E152" s="57">
        <v>0</v>
      </c>
      <c r="F152" s="57">
        <v>0</v>
      </c>
      <c r="G152" s="57">
        <v>0</v>
      </c>
      <c r="H152" s="57">
        <v>0</v>
      </c>
      <c r="I152" s="57">
        <v>0</v>
      </c>
      <c r="J152" s="57">
        <f t="shared" si="20"/>
        <v>0</v>
      </c>
      <c r="K152" s="57">
        <f t="shared" si="21"/>
        <v>0</v>
      </c>
      <c r="L152" s="57"/>
      <c r="M152" s="57">
        <v>0</v>
      </c>
      <c r="N152" s="57">
        <v>0</v>
      </c>
      <c r="O152" s="57">
        <v>0</v>
      </c>
      <c r="P152" s="57">
        <v>0</v>
      </c>
      <c r="Q152" s="57">
        <v>0</v>
      </c>
      <c r="R152" s="57">
        <v>0</v>
      </c>
      <c r="S152" s="57">
        <v>0</v>
      </c>
      <c r="T152" s="57">
        <v>0</v>
      </c>
      <c r="U152" s="57">
        <f t="shared" si="22"/>
        <v>0</v>
      </c>
      <c r="V152" s="57">
        <f t="shared" si="23"/>
        <v>0</v>
      </c>
    </row>
    <row r="153" spans="1:23" ht="12" customHeight="1">
      <c r="A153" s="99">
        <v>1979</v>
      </c>
      <c r="B153" s="142">
        <v>0</v>
      </c>
      <c r="C153" s="57">
        <v>17</v>
      </c>
      <c r="D153" s="57">
        <v>0</v>
      </c>
      <c r="E153" s="57">
        <v>108</v>
      </c>
      <c r="F153" s="57">
        <v>58</v>
      </c>
      <c r="G153" s="57">
        <v>0</v>
      </c>
      <c r="H153" s="57">
        <v>0</v>
      </c>
      <c r="I153" s="57">
        <v>0</v>
      </c>
      <c r="J153" s="57">
        <f t="shared" si="20"/>
        <v>183</v>
      </c>
      <c r="K153" s="57">
        <f t="shared" si="21"/>
        <v>183</v>
      </c>
      <c r="L153" s="57"/>
      <c r="M153" s="57">
        <v>0</v>
      </c>
      <c r="N153" s="57">
        <v>0</v>
      </c>
      <c r="O153" s="57">
        <v>0</v>
      </c>
      <c r="P153" s="57">
        <v>6</v>
      </c>
      <c r="Q153" s="57">
        <v>184</v>
      </c>
      <c r="R153" s="57">
        <v>0</v>
      </c>
      <c r="S153" s="57">
        <v>0</v>
      </c>
      <c r="T153" s="57">
        <v>0</v>
      </c>
      <c r="U153" s="57">
        <f t="shared" si="22"/>
        <v>190</v>
      </c>
      <c r="V153" s="57">
        <f t="shared" si="23"/>
        <v>190</v>
      </c>
    </row>
    <row r="154" spans="1:23" ht="12" customHeight="1">
      <c r="A154" s="99">
        <v>1980</v>
      </c>
      <c r="B154" s="142">
        <v>0</v>
      </c>
      <c r="C154" s="57">
        <v>0</v>
      </c>
      <c r="D154" s="57">
        <v>0</v>
      </c>
      <c r="E154" s="57">
        <v>28</v>
      </c>
      <c r="F154" s="57">
        <v>50</v>
      </c>
      <c r="G154" s="57">
        <v>0</v>
      </c>
      <c r="H154" s="57">
        <v>0</v>
      </c>
      <c r="I154" s="57">
        <v>0</v>
      </c>
      <c r="J154" s="57">
        <f t="shared" si="20"/>
        <v>78</v>
      </c>
      <c r="K154" s="57">
        <f t="shared" si="21"/>
        <v>78</v>
      </c>
      <c r="L154" s="57"/>
      <c r="M154" s="57">
        <v>0</v>
      </c>
      <c r="N154" s="57">
        <v>0</v>
      </c>
      <c r="O154" s="57">
        <v>0</v>
      </c>
      <c r="P154" s="57">
        <v>34</v>
      </c>
      <c r="Q154" s="57">
        <v>97</v>
      </c>
      <c r="R154" s="57">
        <v>0</v>
      </c>
      <c r="S154" s="57">
        <v>0</v>
      </c>
      <c r="T154" s="57">
        <v>0</v>
      </c>
      <c r="U154" s="57">
        <f t="shared" si="22"/>
        <v>131</v>
      </c>
      <c r="V154" s="57">
        <f t="shared" si="23"/>
        <v>131</v>
      </c>
    </row>
    <row r="155" spans="1:23" ht="12" customHeight="1">
      <c r="A155" s="99">
        <v>1981</v>
      </c>
      <c r="B155" s="142">
        <v>0</v>
      </c>
      <c r="C155" s="57">
        <v>35</v>
      </c>
      <c r="D155" s="57">
        <v>353</v>
      </c>
      <c r="E155" s="57">
        <v>279</v>
      </c>
      <c r="F155" s="57">
        <v>43</v>
      </c>
      <c r="G155" s="57">
        <v>0</v>
      </c>
      <c r="H155" s="57">
        <v>0</v>
      </c>
      <c r="I155" s="57">
        <v>0</v>
      </c>
      <c r="J155" s="57">
        <f t="shared" si="20"/>
        <v>710</v>
      </c>
      <c r="K155" s="57">
        <f t="shared" si="21"/>
        <v>710</v>
      </c>
      <c r="L155" s="57"/>
      <c r="M155" s="57">
        <v>0</v>
      </c>
      <c r="N155" s="57">
        <v>0</v>
      </c>
      <c r="O155" s="57">
        <v>846</v>
      </c>
      <c r="P155" s="57">
        <v>1240</v>
      </c>
      <c r="Q155" s="57">
        <v>587</v>
      </c>
      <c r="R155" s="57">
        <v>0</v>
      </c>
      <c r="S155" s="57">
        <v>0</v>
      </c>
      <c r="T155" s="57">
        <v>0</v>
      </c>
      <c r="U155" s="57">
        <f t="shared" si="22"/>
        <v>2673</v>
      </c>
      <c r="V155" s="57">
        <f t="shared" si="23"/>
        <v>2673</v>
      </c>
    </row>
    <row r="156" spans="1:23" ht="12" customHeight="1">
      <c r="A156" s="99">
        <v>1982</v>
      </c>
      <c r="B156" s="142">
        <v>0</v>
      </c>
      <c r="C156" s="57">
        <v>696</v>
      </c>
      <c r="D156" s="57">
        <v>194</v>
      </c>
      <c r="E156" s="57">
        <v>857</v>
      </c>
      <c r="F156" s="57">
        <v>105</v>
      </c>
      <c r="G156" s="57">
        <v>28</v>
      </c>
      <c r="H156" s="57" t="s">
        <v>23</v>
      </c>
      <c r="I156" s="57" t="s">
        <v>23</v>
      </c>
      <c r="J156" s="57">
        <f t="shared" si="20"/>
        <v>1880</v>
      </c>
      <c r="K156" s="57">
        <f t="shared" si="21"/>
        <v>1880</v>
      </c>
      <c r="L156" s="57"/>
      <c r="M156" s="57">
        <v>0</v>
      </c>
      <c r="N156" s="57">
        <v>0</v>
      </c>
      <c r="O156" s="57">
        <v>468</v>
      </c>
      <c r="P156" s="57">
        <v>925</v>
      </c>
      <c r="Q156" s="57">
        <v>485</v>
      </c>
      <c r="R156" s="57">
        <v>995</v>
      </c>
      <c r="S156" s="57" t="s">
        <v>23</v>
      </c>
      <c r="T156" s="57" t="s">
        <v>23</v>
      </c>
      <c r="U156" s="57">
        <f t="shared" si="22"/>
        <v>2873</v>
      </c>
      <c r="V156" s="57">
        <f t="shared" si="23"/>
        <v>2873</v>
      </c>
    </row>
    <row r="157" spans="1:23" ht="12" customHeight="1">
      <c r="A157" s="99">
        <v>1983</v>
      </c>
      <c r="B157" s="142">
        <v>0</v>
      </c>
      <c r="C157" s="57">
        <v>109</v>
      </c>
      <c r="D157" s="57">
        <v>41</v>
      </c>
      <c r="E157" s="57">
        <v>3</v>
      </c>
      <c r="F157" s="57">
        <v>3</v>
      </c>
      <c r="G157" s="57">
        <v>0</v>
      </c>
      <c r="H157" s="57" t="s">
        <v>23</v>
      </c>
      <c r="I157" s="57" t="s">
        <v>23</v>
      </c>
      <c r="J157" s="57">
        <f t="shared" si="20"/>
        <v>156</v>
      </c>
      <c r="K157" s="57">
        <f t="shared" si="21"/>
        <v>156</v>
      </c>
      <c r="L157" s="57"/>
      <c r="M157" s="57">
        <v>0</v>
      </c>
      <c r="N157" s="57">
        <v>1</v>
      </c>
      <c r="O157" s="57">
        <v>306</v>
      </c>
      <c r="P157" s="57">
        <v>21</v>
      </c>
      <c r="Q157" s="57">
        <v>3</v>
      </c>
      <c r="R157" s="57">
        <v>0</v>
      </c>
      <c r="S157" s="57" t="s">
        <v>23</v>
      </c>
      <c r="T157" s="57" t="s">
        <v>23</v>
      </c>
      <c r="U157" s="57">
        <f t="shared" si="22"/>
        <v>331</v>
      </c>
      <c r="V157" s="57">
        <f t="shared" si="23"/>
        <v>331</v>
      </c>
    </row>
    <row r="158" spans="1:23" ht="12" customHeight="1">
      <c r="A158" s="99">
        <v>1984</v>
      </c>
      <c r="B158" s="142">
        <v>0</v>
      </c>
      <c r="C158" s="57">
        <v>152</v>
      </c>
      <c r="D158" s="57">
        <v>5</v>
      </c>
      <c r="E158" s="57">
        <v>19</v>
      </c>
      <c r="F158" s="57">
        <v>221</v>
      </c>
      <c r="G158" s="57">
        <v>0</v>
      </c>
      <c r="H158" s="57" t="s">
        <v>23</v>
      </c>
      <c r="I158" s="57" t="s">
        <v>23</v>
      </c>
      <c r="J158" s="57">
        <f t="shared" si="20"/>
        <v>397</v>
      </c>
      <c r="K158" s="57">
        <f t="shared" si="21"/>
        <v>397</v>
      </c>
      <c r="L158" s="57"/>
      <c r="M158" s="57">
        <v>0</v>
      </c>
      <c r="N158" s="57">
        <v>0</v>
      </c>
      <c r="O158" s="57">
        <v>0</v>
      </c>
      <c r="P158" s="57">
        <v>436</v>
      </c>
      <c r="Q158" s="57">
        <v>1340</v>
      </c>
      <c r="R158" s="57">
        <v>0</v>
      </c>
      <c r="S158" s="57" t="s">
        <v>23</v>
      </c>
      <c r="T158" s="57" t="s">
        <v>23</v>
      </c>
      <c r="U158" s="57">
        <f t="shared" si="22"/>
        <v>1776</v>
      </c>
      <c r="V158" s="57">
        <f t="shared" si="23"/>
        <v>1776</v>
      </c>
    </row>
    <row r="159" spans="1:23" ht="12" customHeight="1">
      <c r="A159" s="99">
        <v>1985</v>
      </c>
      <c r="B159" s="142">
        <v>0</v>
      </c>
      <c r="C159" s="57">
        <v>614</v>
      </c>
      <c r="D159" s="57">
        <v>24</v>
      </c>
      <c r="E159" s="57">
        <v>392</v>
      </c>
      <c r="F159" s="57">
        <v>152</v>
      </c>
      <c r="G159" s="57">
        <v>0</v>
      </c>
      <c r="H159" s="57" t="s">
        <v>23</v>
      </c>
      <c r="I159" s="57" t="s">
        <v>23</v>
      </c>
      <c r="J159" s="57">
        <f t="shared" si="20"/>
        <v>1182</v>
      </c>
      <c r="K159" s="57">
        <f t="shared" si="21"/>
        <v>1182</v>
      </c>
      <c r="L159" s="57"/>
      <c r="M159" s="57">
        <v>0</v>
      </c>
      <c r="N159" s="57">
        <v>0</v>
      </c>
      <c r="O159" s="57">
        <v>146</v>
      </c>
      <c r="P159" s="57">
        <v>3687</v>
      </c>
      <c r="Q159" s="57">
        <v>392</v>
      </c>
      <c r="R159" s="57">
        <v>0</v>
      </c>
      <c r="S159" s="57" t="s">
        <v>23</v>
      </c>
      <c r="T159" s="57" t="s">
        <v>23</v>
      </c>
      <c r="U159" s="57">
        <f t="shared" si="22"/>
        <v>4225</v>
      </c>
      <c r="V159" s="57">
        <f t="shared" si="23"/>
        <v>4225</v>
      </c>
    </row>
    <row r="160" spans="1:23" ht="12" customHeight="1">
      <c r="A160" s="99">
        <v>1986</v>
      </c>
      <c r="B160" s="142">
        <v>0</v>
      </c>
      <c r="C160" s="57">
        <v>206</v>
      </c>
      <c r="D160" s="57">
        <v>983</v>
      </c>
      <c r="E160" s="57">
        <v>262</v>
      </c>
      <c r="F160" s="57">
        <v>0</v>
      </c>
      <c r="G160" s="57">
        <v>0</v>
      </c>
      <c r="H160" s="57" t="s">
        <v>23</v>
      </c>
      <c r="I160" s="57" t="s">
        <v>23</v>
      </c>
      <c r="J160" s="57">
        <f t="shared" si="20"/>
        <v>1451</v>
      </c>
      <c r="K160" s="57">
        <f t="shared" si="21"/>
        <v>1451</v>
      </c>
      <c r="L160" s="57"/>
      <c r="M160" s="57">
        <v>0</v>
      </c>
      <c r="N160" s="57">
        <v>0</v>
      </c>
      <c r="O160" s="57">
        <v>6956</v>
      </c>
      <c r="P160" s="57">
        <v>4098</v>
      </c>
      <c r="Q160" s="57">
        <v>0</v>
      </c>
      <c r="R160" s="57">
        <v>0</v>
      </c>
      <c r="S160" s="57" t="s">
        <v>23</v>
      </c>
      <c r="T160" s="57" t="s">
        <v>23</v>
      </c>
      <c r="U160" s="57">
        <f t="shared" si="22"/>
        <v>11054</v>
      </c>
      <c r="V160" s="57">
        <f t="shared" si="23"/>
        <v>11054</v>
      </c>
    </row>
    <row r="161" spans="1:22" ht="12" customHeight="1">
      <c r="A161" s="99">
        <v>1987</v>
      </c>
      <c r="B161" s="142">
        <v>0</v>
      </c>
      <c r="C161" s="57">
        <v>2383</v>
      </c>
      <c r="D161" s="57">
        <v>0</v>
      </c>
      <c r="E161" s="57">
        <v>298</v>
      </c>
      <c r="F161" s="57">
        <v>1206</v>
      </c>
      <c r="G161" s="57">
        <v>0</v>
      </c>
      <c r="H161" s="57" t="s">
        <v>23</v>
      </c>
      <c r="I161" s="57" t="s">
        <v>23</v>
      </c>
      <c r="J161" s="57">
        <f t="shared" si="20"/>
        <v>3887</v>
      </c>
      <c r="K161" s="57">
        <f t="shared" si="21"/>
        <v>3887</v>
      </c>
      <c r="L161" s="57"/>
      <c r="M161" s="57">
        <v>0</v>
      </c>
      <c r="N161" s="57">
        <v>0</v>
      </c>
      <c r="O161" s="57">
        <v>0</v>
      </c>
      <c r="P161" s="57">
        <v>4085</v>
      </c>
      <c r="Q161" s="57">
        <v>5699</v>
      </c>
      <c r="R161" s="57">
        <v>0</v>
      </c>
      <c r="S161" s="57" t="s">
        <v>23</v>
      </c>
      <c r="T161" s="57" t="s">
        <v>23</v>
      </c>
      <c r="U161" s="57">
        <f t="shared" si="22"/>
        <v>9784</v>
      </c>
      <c r="V161" s="57">
        <f t="shared" si="23"/>
        <v>9784</v>
      </c>
    </row>
    <row r="162" spans="1:22" ht="12" customHeight="1">
      <c r="A162" s="99">
        <v>1988</v>
      </c>
      <c r="B162" s="142">
        <v>0</v>
      </c>
      <c r="C162" s="57">
        <v>366</v>
      </c>
      <c r="D162" s="57">
        <v>1951</v>
      </c>
      <c r="E162" s="57">
        <v>1480</v>
      </c>
      <c r="F162" s="57">
        <v>1711</v>
      </c>
      <c r="G162" s="57">
        <v>941</v>
      </c>
      <c r="H162" s="57" t="s">
        <v>23</v>
      </c>
      <c r="I162" s="57" t="s">
        <v>23</v>
      </c>
      <c r="J162" s="57">
        <f t="shared" si="20"/>
        <v>6449</v>
      </c>
      <c r="K162" s="57">
        <f t="shared" si="21"/>
        <v>6449</v>
      </c>
      <c r="L162" s="57"/>
      <c r="M162" s="57">
        <v>0</v>
      </c>
      <c r="N162" s="57">
        <v>0</v>
      </c>
      <c r="O162" s="57">
        <v>0</v>
      </c>
      <c r="P162" s="57">
        <v>3774</v>
      </c>
      <c r="Q162" s="57">
        <v>11445</v>
      </c>
      <c r="R162" s="57">
        <v>1592</v>
      </c>
      <c r="S162" s="57" t="s">
        <v>23</v>
      </c>
      <c r="T162" s="57" t="s">
        <v>23</v>
      </c>
      <c r="U162" s="57">
        <f t="shared" si="22"/>
        <v>16811</v>
      </c>
      <c r="V162" s="57">
        <f t="shared" si="23"/>
        <v>16811</v>
      </c>
    </row>
    <row r="163" spans="1:22" ht="12" customHeight="1">
      <c r="A163" s="99">
        <v>1989</v>
      </c>
      <c r="B163" s="142">
        <v>0</v>
      </c>
      <c r="C163" s="57">
        <v>297</v>
      </c>
      <c r="D163" s="57">
        <v>747</v>
      </c>
      <c r="E163" s="57">
        <v>3188</v>
      </c>
      <c r="F163" s="57">
        <v>955</v>
      </c>
      <c r="G163" s="57">
        <v>220</v>
      </c>
      <c r="H163" s="57" t="s">
        <v>23</v>
      </c>
      <c r="I163" s="57" t="s">
        <v>23</v>
      </c>
      <c r="J163" s="57">
        <f t="shared" si="20"/>
        <v>5407</v>
      </c>
      <c r="K163" s="57">
        <f t="shared" si="21"/>
        <v>5407</v>
      </c>
      <c r="L163" s="57"/>
      <c r="M163" s="57">
        <v>0</v>
      </c>
      <c r="N163" s="57">
        <v>0</v>
      </c>
      <c r="O163" s="57">
        <v>0</v>
      </c>
      <c r="P163" s="57">
        <v>10950</v>
      </c>
      <c r="Q163" s="57">
        <v>3293</v>
      </c>
      <c r="R163" s="57">
        <v>1803</v>
      </c>
      <c r="S163" s="57" t="s">
        <v>23</v>
      </c>
      <c r="T163" s="57" t="s">
        <v>23</v>
      </c>
      <c r="U163" s="57">
        <f t="shared" si="22"/>
        <v>16046</v>
      </c>
      <c r="V163" s="57">
        <f t="shared" si="23"/>
        <v>16046</v>
      </c>
    </row>
    <row r="164" spans="1:22" ht="12" customHeight="1">
      <c r="A164" s="99">
        <v>1990</v>
      </c>
      <c r="B164" s="142">
        <v>0</v>
      </c>
      <c r="C164" s="57">
        <v>102</v>
      </c>
      <c r="D164" s="57">
        <v>1064</v>
      </c>
      <c r="E164" s="57">
        <v>1187</v>
      </c>
      <c r="F164" s="57">
        <v>42</v>
      </c>
      <c r="G164" s="57">
        <v>42</v>
      </c>
      <c r="H164" s="57" t="s">
        <v>23</v>
      </c>
      <c r="I164" s="57" t="s">
        <v>23</v>
      </c>
      <c r="J164" s="57">
        <f t="shared" si="20"/>
        <v>2437</v>
      </c>
      <c r="K164" s="57">
        <f t="shared" si="21"/>
        <v>2437</v>
      </c>
      <c r="L164" s="57"/>
      <c r="M164" s="57">
        <v>0</v>
      </c>
      <c r="N164" s="57">
        <v>0</v>
      </c>
      <c r="O164" s="57">
        <v>0</v>
      </c>
      <c r="P164" s="57">
        <v>1597</v>
      </c>
      <c r="Q164" s="57">
        <v>667</v>
      </c>
      <c r="R164" s="57">
        <v>339</v>
      </c>
      <c r="S164" s="57" t="s">
        <v>23</v>
      </c>
      <c r="T164" s="57" t="s">
        <v>23</v>
      </c>
      <c r="U164" s="57">
        <f t="shared" si="22"/>
        <v>2603</v>
      </c>
      <c r="V164" s="57">
        <f t="shared" si="23"/>
        <v>2603</v>
      </c>
    </row>
    <row r="165" spans="1:22" ht="12" customHeight="1">
      <c r="A165" s="99">
        <v>1991</v>
      </c>
      <c r="B165" s="142">
        <v>0</v>
      </c>
      <c r="C165" s="57">
        <v>58</v>
      </c>
      <c r="D165" s="57">
        <v>565</v>
      </c>
      <c r="E165" s="57">
        <v>749</v>
      </c>
      <c r="F165" s="57">
        <v>150</v>
      </c>
      <c r="G165" s="57">
        <v>0</v>
      </c>
      <c r="H165" s="57" t="s">
        <v>23</v>
      </c>
      <c r="I165" s="57" t="s">
        <v>23</v>
      </c>
      <c r="J165" s="57">
        <f t="shared" si="20"/>
        <v>1522</v>
      </c>
      <c r="K165" s="57">
        <f t="shared" si="21"/>
        <v>1522</v>
      </c>
      <c r="L165" s="57"/>
      <c r="M165" s="57">
        <v>0</v>
      </c>
      <c r="N165" s="57">
        <v>0</v>
      </c>
      <c r="O165" s="57">
        <v>0</v>
      </c>
      <c r="P165" s="57">
        <v>3830</v>
      </c>
      <c r="Q165" s="57">
        <v>1551</v>
      </c>
      <c r="R165" s="57">
        <v>0</v>
      </c>
      <c r="S165" s="57" t="s">
        <v>23</v>
      </c>
      <c r="T165" s="57" t="s">
        <v>23</v>
      </c>
      <c r="U165" s="57">
        <f t="shared" si="22"/>
        <v>5381</v>
      </c>
      <c r="V165" s="57">
        <f t="shared" si="23"/>
        <v>5381</v>
      </c>
    </row>
    <row r="166" spans="1:22" ht="12" customHeight="1">
      <c r="A166" s="99">
        <v>1992</v>
      </c>
      <c r="B166" s="142">
        <v>0</v>
      </c>
      <c r="C166" s="57">
        <v>16</v>
      </c>
      <c r="D166" s="57">
        <v>10</v>
      </c>
      <c r="E166" s="57">
        <v>30</v>
      </c>
      <c r="F166" s="57">
        <v>4</v>
      </c>
      <c r="G166" s="57">
        <v>0</v>
      </c>
      <c r="H166" s="57" t="s">
        <v>23</v>
      </c>
      <c r="I166" s="57" t="s">
        <v>23</v>
      </c>
      <c r="J166" s="57">
        <f t="shared" si="20"/>
        <v>60</v>
      </c>
      <c r="K166" s="57">
        <f t="shared" si="21"/>
        <v>60</v>
      </c>
      <c r="L166" s="57"/>
      <c r="M166" s="57">
        <v>0</v>
      </c>
      <c r="N166" s="57">
        <v>0</v>
      </c>
      <c r="O166" s="57">
        <v>0</v>
      </c>
      <c r="P166" s="57">
        <v>96</v>
      </c>
      <c r="Q166" s="57">
        <v>38</v>
      </c>
      <c r="R166" s="57">
        <v>0</v>
      </c>
      <c r="S166" s="57" t="s">
        <v>23</v>
      </c>
      <c r="T166" s="57" t="s">
        <v>23</v>
      </c>
      <c r="U166" s="57">
        <f t="shared" si="22"/>
        <v>134</v>
      </c>
      <c r="V166" s="57">
        <f t="shared" si="23"/>
        <v>134</v>
      </c>
    </row>
    <row r="167" spans="1:22" ht="12" customHeight="1">
      <c r="A167" s="99">
        <v>1993</v>
      </c>
      <c r="B167" s="142">
        <v>0</v>
      </c>
      <c r="C167" s="57">
        <v>0</v>
      </c>
      <c r="D167" s="57">
        <v>40</v>
      </c>
      <c r="E167" s="57">
        <v>159</v>
      </c>
      <c r="F167" s="57">
        <v>1285</v>
      </c>
      <c r="G167" s="57">
        <v>372</v>
      </c>
      <c r="H167" s="57" t="s">
        <v>23</v>
      </c>
      <c r="I167" s="57" t="s">
        <v>23</v>
      </c>
      <c r="J167" s="57">
        <f t="shared" si="20"/>
        <v>1856</v>
      </c>
      <c r="K167" s="57">
        <f t="shared" si="21"/>
        <v>1856</v>
      </c>
      <c r="L167" s="57"/>
      <c r="M167" s="57">
        <v>0</v>
      </c>
      <c r="N167" s="57">
        <v>0</v>
      </c>
      <c r="O167" s="57">
        <v>0</v>
      </c>
      <c r="P167" s="57">
        <v>1763</v>
      </c>
      <c r="Q167" s="57">
        <v>5526</v>
      </c>
      <c r="R167" s="57">
        <v>1141</v>
      </c>
      <c r="S167" s="57" t="s">
        <v>23</v>
      </c>
      <c r="T167" s="57" t="s">
        <v>23</v>
      </c>
      <c r="U167" s="57">
        <f t="shared" si="22"/>
        <v>8430</v>
      </c>
      <c r="V167" s="57">
        <f t="shared" si="23"/>
        <v>8430</v>
      </c>
    </row>
    <row r="168" spans="1:22" ht="12" customHeight="1">
      <c r="A168" s="99">
        <v>1994</v>
      </c>
      <c r="B168" s="142">
        <v>0</v>
      </c>
      <c r="C168" s="57">
        <v>0</v>
      </c>
      <c r="D168" s="57">
        <v>541</v>
      </c>
      <c r="E168" s="57">
        <v>3</v>
      </c>
      <c r="F168" s="57">
        <v>0</v>
      </c>
      <c r="G168" s="57">
        <v>0</v>
      </c>
      <c r="H168" s="57" t="s">
        <v>23</v>
      </c>
      <c r="I168" s="57" t="s">
        <v>23</v>
      </c>
      <c r="J168" s="57">
        <f t="shared" si="20"/>
        <v>544</v>
      </c>
      <c r="K168" s="57">
        <f t="shared" si="21"/>
        <v>544</v>
      </c>
      <c r="L168" s="57"/>
      <c r="M168" s="57">
        <v>0</v>
      </c>
      <c r="N168" s="57">
        <v>0</v>
      </c>
      <c r="O168" s="57">
        <v>0</v>
      </c>
      <c r="P168" s="57">
        <v>0</v>
      </c>
      <c r="Q168" s="57">
        <v>0</v>
      </c>
      <c r="R168" s="57">
        <v>0</v>
      </c>
      <c r="S168" s="57" t="s">
        <v>23</v>
      </c>
      <c r="T168" s="57" t="s">
        <v>23</v>
      </c>
      <c r="U168" s="57">
        <f t="shared" si="22"/>
        <v>0</v>
      </c>
      <c r="V168" s="57">
        <f t="shared" si="23"/>
        <v>0</v>
      </c>
    </row>
    <row r="169" spans="1:22" ht="12" customHeight="1">
      <c r="A169" s="99">
        <v>1995</v>
      </c>
      <c r="B169" s="142">
        <v>0</v>
      </c>
      <c r="C169" s="57">
        <v>0</v>
      </c>
      <c r="D169" s="57">
        <v>0</v>
      </c>
      <c r="E169" s="57">
        <v>0</v>
      </c>
      <c r="F169" s="57">
        <v>1841</v>
      </c>
      <c r="G169" s="57">
        <v>0</v>
      </c>
      <c r="H169" s="57" t="s">
        <v>23</v>
      </c>
      <c r="I169" s="57" t="s">
        <v>23</v>
      </c>
      <c r="J169" s="57">
        <f t="shared" si="20"/>
        <v>1841</v>
      </c>
      <c r="K169" s="57">
        <f t="shared" si="21"/>
        <v>1841</v>
      </c>
      <c r="L169" s="57"/>
      <c r="M169" s="57">
        <v>0</v>
      </c>
      <c r="N169" s="57">
        <v>0</v>
      </c>
      <c r="O169" s="57">
        <v>0</v>
      </c>
      <c r="P169" s="57">
        <v>0</v>
      </c>
      <c r="Q169" s="57">
        <v>2982</v>
      </c>
      <c r="R169" s="57">
        <v>0</v>
      </c>
      <c r="S169" s="57" t="s">
        <v>23</v>
      </c>
      <c r="T169" s="57" t="s">
        <v>23</v>
      </c>
      <c r="U169" s="57">
        <f t="shared" si="22"/>
        <v>2982</v>
      </c>
      <c r="V169" s="57">
        <f t="shared" si="23"/>
        <v>2982</v>
      </c>
    </row>
    <row r="170" spans="1:22" ht="12" customHeight="1">
      <c r="A170" s="99">
        <v>1996</v>
      </c>
      <c r="B170" s="142">
        <v>0</v>
      </c>
      <c r="C170" s="57">
        <v>39</v>
      </c>
      <c r="D170" s="57">
        <v>0</v>
      </c>
      <c r="E170" s="57">
        <v>337</v>
      </c>
      <c r="F170" s="57">
        <v>62</v>
      </c>
      <c r="G170" s="57">
        <v>0</v>
      </c>
      <c r="H170" s="57" t="s">
        <v>23</v>
      </c>
      <c r="I170" s="57" t="s">
        <v>23</v>
      </c>
      <c r="J170" s="57">
        <f t="shared" si="20"/>
        <v>438</v>
      </c>
      <c r="K170" s="57">
        <f t="shared" si="21"/>
        <v>438</v>
      </c>
      <c r="L170" s="57"/>
      <c r="M170" s="57">
        <v>0</v>
      </c>
      <c r="N170" s="57">
        <v>0</v>
      </c>
      <c r="O170" s="57">
        <v>0</v>
      </c>
      <c r="P170" s="57">
        <v>0</v>
      </c>
      <c r="Q170" s="57">
        <v>762</v>
      </c>
      <c r="R170" s="57">
        <v>1168</v>
      </c>
      <c r="S170" s="57" t="s">
        <v>23</v>
      </c>
      <c r="T170" s="57" t="s">
        <v>23</v>
      </c>
      <c r="U170" s="57">
        <f t="shared" si="22"/>
        <v>1930</v>
      </c>
      <c r="V170" s="57">
        <f t="shared" si="23"/>
        <v>1930</v>
      </c>
    </row>
    <row r="171" spans="1:22" ht="12" customHeight="1">
      <c r="A171" s="99">
        <v>1997</v>
      </c>
      <c r="B171" s="142">
        <v>0</v>
      </c>
      <c r="C171" s="57">
        <v>0</v>
      </c>
      <c r="D171" s="57">
        <v>17</v>
      </c>
      <c r="E171" s="57">
        <v>0</v>
      </c>
      <c r="F171" s="57">
        <v>1056</v>
      </c>
      <c r="G171" s="57">
        <v>222</v>
      </c>
      <c r="H171" s="57" t="s">
        <v>23</v>
      </c>
      <c r="I171" s="57" t="s">
        <v>23</v>
      </c>
      <c r="J171" s="57">
        <f t="shared" si="20"/>
        <v>1295</v>
      </c>
      <c r="K171" s="57">
        <f t="shared" si="21"/>
        <v>1295</v>
      </c>
      <c r="L171" s="57"/>
      <c r="M171" s="57">
        <v>0</v>
      </c>
      <c r="N171" s="57">
        <v>0</v>
      </c>
      <c r="O171" s="57">
        <v>0</v>
      </c>
      <c r="P171" s="57">
        <v>0</v>
      </c>
      <c r="Q171" s="57">
        <v>1956</v>
      </c>
      <c r="R171" s="57">
        <v>653</v>
      </c>
      <c r="S171" s="57" t="s">
        <v>23</v>
      </c>
      <c r="T171" s="57" t="s">
        <v>23</v>
      </c>
      <c r="U171" s="57">
        <f t="shared" si="22"/>
        <v>2609</v>
      </c>
      <c r="V171" s="57">
        <f t="shared" si="23"/>
        <v>2609</v>
      </c>
    </row>
    <row r="172" spans="1:22" ht="12" customHeight="1">
      <c r="A172" s="99">
        <v>1998</v>
      </c>
      <c r="B172" s="142">
        <v>0</v>
      </c>
      <c r="C172" s="57">
        <v>41</v>
      </c>
      <c r="D172" s="57">
        <v>35</v>
      </c>
      <c r="E172" s="57">
        <v>0</v>
      </c>
      <c r="F172" s="57">
        <v>141</v>
      </c>
      <c r="G172" s="57">
        <v>8</v>
      </c>
      <c r="H172" s="57" t="s">
        <v>23</v>
      </c>
      <c r="I172" s="57" t="s">
        <v>23</v>
      </c>
      <c r="J172" s="57">
        <f t="shared" si="20"/>
        <v>225</v>
      </c>
      <c r="K172" s="57">
        <f t="shared" si="21"/>
        <v>225</v>
      </c>
      <c r="L172" s="57"/>
      <c r="M172" s="57">
        <v>0</v>
      </c>
      <c r="N172" s="57">
        <v>0</v>
      </c>
      <c r="O172" s="57">
        <v>0</v>
      </c>
      <c r="P172" s="57">
        <v>0</v>
      </c>
      <c r="Q172" s="57">
        <v>191</v>
      </c>
      <c r="R172" s="57">
        <v>13</v>
      </c>
      <c r="S172" s="57" t="s">
        <v>23</v>
      </c>
      <c r="T172" s="57" t="s">
        <v>23</v>
      </c>
      <c r="U172" s="57">
        <f t="shared" si="22"/>
        <v>204</v>
      </c>
      <c r="V172" s="57">
        <f t="shared" si="23"/>
        <v>204</v>
      </c>
    </row>
    <row r="173" spans="1:22" ht="12" customHeight="1">
      <c r="A173" s="99">
        <v>1999</v>
      </c>
      <c r="B173" s="142">
        <v>0</v>
      </c>
      <c r="C173" s="57">
        <v>8</v>
      </c>
      <c r="D173" s="57">
        <v>189</v>
      </c>
      <c r="E173" s="57">
        <v>0</v>
      </c>
      <c r="F173" s="57">
        <v>20</v>
      </c>
      <c r="G173" s="57">
        <v>0</v>
      </c>
      <c r="H173" s="57" t="s">
        <v>23</v>
      </c>
      <c r="I173" s="57" t="s">
        <v>23</v>
      </c>
      <c r="J173" s="57">
        <f t="shared" si="20"/>
        <v>217</v>
      </c>
      <c r="K173" s="57">
        <f t="shared" si="21"/>
        <v>217</v>
      </c>
      <c r="L173" s="57"/>
      <c r="M173" s="57">
        <v>0</v>
      </c>
      <c r="N173" s="57">
        <v>0</v>
      </c>
      <c r="O173" s="57">
        <v>0</v>
      </c>
      <c r="P173" s="57">
        <v>0</v>
      </c>
      <c r="Q173" s="57">
        <v>28</v>
      </c>
      <c r="R173" s="57">
        <v>0</v>
      </c>
      <c r="S173" s="57" t="s">
        <v>23</v>
      </c>
      <c r="T173" s="57" t="s">
        <v>23</v>
      </c>
      <c r="U173" s="57">
        <f t="shared" si="22"/>
        <v>28</v>
      </c>
      <c r="V173" s="57">
        <f t="shared" si="23"/>
        <v>28</v>
      </c>
    </row>
    <row r="174" spans="1:22" ht="12" customHeight="1">
      <c r="A174" s="99">
        <v>2000</v>
      </c>
      <c r="B174" s="142">
        <v>0</v>
      </c>
      <c r="C174" s="57">
        <v>0</v>
      </c>
      <c r="D174" s="57">
        <v>214</v>
      </c>
      <c r="E174" s="57">
        <v>0</v>
      </c>
      <c r="F174" s="57">
        <v>149</v>
      </c>
      <c r="G174" s="57">
        <v>0</v>
      </c>
      <c r="H174" s="57" t="s">
        <v>23</v>
      </c>
      <c r="I174" s="57" t="s">
        <v>23</v>
      </c>
      <c r="J174" s="57">
        <f t="shared" si="20"/>
        <v>363</v>
      </c>
      <c r="K174" s="57">
        <f t="shared" si="21"/>
        <v>363</v>
      </c>
      <c r="L174" s="57"/>
      <c r="M174" s="57">
        <v>0</v>
      </c>
      <c r="N174" s="57">
        <v>0</v>
      </c>
      <c r="O174" s="57">
        <v>0</v>
      </c>
      <c r="P174" s="57">
        <v>0</v>
      </c>
      <c r="Q174" s="57">
        <v>623</v>
      </c>
      <c r="R174" s="57">
        <v>0</v>
      </c>
      <c r="S174" s="57" t="s">
        <v>23</v>
      </c>
      <c r="T174" s="57" t="s">
        <v>23</v>
      </c>
      <c r="U174" s="57">
        <f t="shared" si="22"/>
        <v>623</v>
      </c>
      <c r="V174" s="57">
        <f t="shared" si="23"/>
        <v>623</v>
      </c>
    </row>
    <row r="175" spans="1:22" ht="12" customHeight="1">
      <c r="A175" s="99">
        <v>2001</v>
      </c>
      <c r="B175" s="142">
        <v>0</v>
      </c>
      <c r="C175" s="57">
        <v>0</v>
      </c>
      <c r="D175" s="57">
        <v>365</v>
      </c>
      <c r="E175" s="57">
        <v>195</v>
      </c>
      <c r="F175" s="57">
        <v>0</v>
      </c>
      <c r="G175" s="57">
        <v>0</v>
      </c>
      <c r="H175" s="57" t="s">
        <v>23</v>
      </c>
      <c r="I175" s="57" t="s">
        <v>23</v>
      </c>
      <c r="J175" s="57">
        <f t="shared" si="20"/>
        <v>560</v>
      </c>
      <c r="K175" s="57">
        <f t="shared" si="21"/>
        <v>560</v>
      </c>
      <c r="L175" s="57"/>
      <c r="M175" s="57">
        <v>0</v>
      </c>
      <c r="N175" s="57">
        <v>0</v>
      </c>
      <c r="O175" s="57">
        <v>0</v>
      </c>
      <c r="P175" s="57">
        <v>0</v>
      </c>
      <c r="Q175" s="57">
        <v>0</v>
      </c>
      <c r="R175" s="57">
        <v>0</v>
      </c>
      <c r="S175" s="57" t="s">
        <v>23</v>
      </c>
      <c r="T175" s="57" t="s">
        <v>23</v>
      </c>
      <c r="U175" s="57">
        <f t="shared" si="22"/>
        <v>0</v>
      </c>
      <c r="V175" s="57">
        <f t="shared" si="23"/>
        <v>0</v>
      </c>
    </row>
    <row r="176" spans="1:22" ht="12" customHeight="1">
      <c r="A176" s="99">
        <v>2002</v>
      </c>
      <c r="B176" s="142">
        <v>0</v>
      </c>
      <c r="C176" s="57">
        <v>0</v>
      </c>
      <c r="D176" s="57">
        <v>95</v>
      </c>
      <c r="E176" s="57">
        <v>37</v>
      </c>
      <c r="F176" s="57">
        <v>34</v>
      </c>
      <c r="G176" s="57">
        <v>0</v>
      </c>
      <c r="H176" s="57" t="s">
        <v>23</v>
      </c>
      <c r="I176" s="57" t="s">
        <v>23</v>
      </c>
      <c r="J176" s="57">
        <f t="shared" si="20"/>
        <v>166</v>
      </c>
      <c r="K176" s="57">
        <f t="shared" si="21"/>
        <v>166</v>
      </c>
      <c r="L176" s="57"/>
      <c r="M176" s="57">
        <v>0</v>
      </c>
      <c r="N176" s="57">
        <v>0</v>
      </c>
      <c r="O176" s="57">
        <v>0</v>
      </c>
      <c r="P176" s="57">
        <v>0</v>
      </c>
      <c r="Q176" s="57">
        <v>27</v>
      </c>
      <c r="R176" s="57">
        <v>0</v>
      </c>
      <c r="S176" s="57" t="s">
        <v>23</v>
      </c>
      <c r="T176" s="57" t="s">
        <v>23</v>
      </c>
      <c r="U176" s="57">
        <f t="shared" si="22"/>
        <v>27</v>
      </c>
      <c r="V176" s="57">
        <f t="shared" si="23"/>
        <v>27</v>
      </c>
    </row>
    <row r="177" spans="1:22" ht="12" customHeight="1">
      <c r="A177" s="99">
        <v>2003</v>
      </c>
      <c r="B177" s="142">
        <v>0</v>
      </c>
      <c r="C177" s="57">
        <v>10</v>
      </c>
      <c r="D177" s="57">
        <v>0</v>
      </c>
      <c r="E177" s="57">
        <v>0</v>
      </c>
      <c r="F177" s="57">
        <v>209</v>
      </c>
      <c r="G177" s="57">
        <v>77</v>
      </c>
      <c r="H177" s="57" t="s">
        <v>23</v>
      </c>
      <c r="I177" s="57" t="s">
        <v>23</v>
      </c>
      <c r="J177" s="57">
        <f t="shared" si="20"/>
        <v>296</v>
      </c>
      <c r="K177" s="57">
        <f t="shared" si="21"/>
        <v>296</v>
      </c>
      <c r="L177" s="57"/>
      <c r="M177" s="57">
        <v>0</v>
      </c>
      <c r="N177" s="57">
        <v>0</v>
      </c>
      <c r="O177" s="57">
        <v>0</v>
      </c>
      <c r="P177" s="57">
        <v>0</v>
      </c>
      <c r="Q177" s="57">
        <v>112</v>
      </c>
      <c r="R177" s="57">
        <v>61</v>
      </c>
      <c r="S177" s="57" t="s">
        <v>23</v>
      </c>
      <c r="T177" s="57" t="s">
        <v>23</v>
      </c>
      <c r="U177" s="57">
        <f t="shared" si="22"/>
        <v>173</v>
      </c>
      <c r="V177" s="57">
        <f t="shared" si="23"/>
        <v>173</v>
      </c>
    </row>
    <row r="178" spans="1:22" ht="12" customHeight="1">
      <c r="A178" s="99">
        <v>2004</v>
      </c>
      <c r="B178" s="142">
        <v>0</v>
      </c>
      <c r="C178" s="57">
        <v>138</v>
      </c>
      <c r="D178" s="57">
        <v>0</v>
      </c>
      <c r="E178" s="57">
        <v>13</v>
      </c>
      <c r="F178" s="57">
        <v>66</v>
      </c>
      <c r="G178" s="57">
        <v>52</v>
      </c>
      <c r="H178" s="57" t="s">
        <v>23</v>
      </c>
      <c r="I178" s="57" t="s">
        <v>23</v>
      </c>
      <c r="J178" s="57">
        <f t="shared" si="20"/>
        <v>269</v>
      </c>
      <c r="K178" s="57">
        <f t="shared" si="21"/>
        <v>269</v>
      </c>
      <c r="L178" s="57"/>
      <c r="M178" s="57">
        <v>0</v>
      </c>
      <c r="N178" s="57">
        <v>0</v>
      </c>
      <c r="O178" s="57">
        <v>0</v>
      </c>
      <c r="P178" s="57">
        <v>0</v>
      </c>
      <c r="Q178" s="57">
        <v>30</v>
      </c>
      <c r="R178" s="57">
        <v>84</v>
      </c>
      <c r="S178" s="57" t="s">
        <v>23</v>
      </c>
      <c r="T178" s="57" t="s">
        <v>23</v>
      </c>
      <c r="U178" s="57">
        <f t="shared" si="22"/>
        <v>114</v>
      </c>
      <c r="V178" s="57">
        <f t="shared" si="23"/>
        <v>114</v>
      </c>
    </row>
    <row r="179" spans="1:22" ht="12" customHeight="1">
      <c r="A179" s="99">
        <v>2005</v>
      </c>
      <c r="B179" s="142">
        <v>0</v>
      </c>
      <c r="C179" s="57">
        <v>1629</v>
      </c>
      <c r="D179" s="57">
        <v>1</v>
      </c>
      <c r="E179" s="57">
        <v>0</v>
      </c>
      <c r="F179" s="57">
        <v>801</v>
      </c>
      <c r="G179" s="57">
        <v>495</v>
      </c>
      <c r="H179" s="57" t="s">
        <v>23</v>
      </c>
      <c r="I179" s="57" t="s">
        <v>23</v>
      </c>
      <c r="J179" s="57">
        <f t="shared" si="20"/>
        <v>2926</v>
      </c>
      <c r="K179" s="57">
        <f t="shared" si="21"/>
        <v>2926</v>
      </c>
      <c r="L179" s="57"/>
      <c r="M179" s="57">
        <v>0</v>
      </c>
      <c r="N179" s="57">
        <v>0</v>
      </c>
      <c r="O179" s="57">
        <v>0</v>
      </c>
      <c r="P179" s="57">
        <v>0</v>
      </c>
      <c r="Q179" s="57">
        <v>399</v>
      </c>
      <c r="R179" s="57">
        <v>255</v>
      </c>
      <c r="S179" s="57" t="s">
        <v>23</v>
      </c>
      <c r="T179" s="57" t="s">
        <v>23</v>
      </c>
      <c r="U179" s="57">
        <f t="shared" si="22"/>
        <v>654</v>
      </c>
      <c r="V179" s="57">
        <f t="shared" si="23"/>
        <v>654</v>
      </c>
    </row>
    <row r="180" spans="1:22" ht="12" customHeight="1">
      <c r="A180" s="99">
        <v>2006</v>
      </c>
      <c r="B180" s="142">
        <v>0</v>
      </c>
      <c r="C180" s="57">
        <v>20</v>
      </c>
      <c r="D180" s="57">
        <v>44</v>
      </c>
      <c r="E180" s="57">
        <v>34</v>
      </c>
      <c r="F180" s="57">
        <v>31</v>
      </c>
      <c r="G180" s="57">
        <v>66</v>
      </c>
      <c r="H180" s="57" t="s">
        <v>23</v>
      </c>
      <c r="I180" s="57" t="s">
        <v>23</v>
      </c>
      <c r="J180" s="57">
        <f t="shared" si="20"/>
        <v>195</v>
      </c>
      <c r="K180" s="57">
        <f t="shared" si="21"/>
        <v>195</v>
      </c>
      <c r="L180" s="57"/>
      <c r="M180" s="57">
        <v>0</v>
      </c>
      <c r="N180" s="57">
        <v>0</v>
      </c>
      <c r="O180" s="57">
        <v>0</v>
      </c>
      <c r="P180" s="57">
        <v>5</v>
      </c>
      <c r="Q180" s="57">
        <v>36</v>
      </c>
      <c r="R180" s="57">
        <v>123</v>
      </c>
      <c r="S180" s="57" t="s">
        <v>23</v>
      </c>
      <c r="T180" s="57" t="s">
        <v>23</v>
      </c>
      <c r="U180" s="57">
        <f t="shared" si="22"/>
        <v>164</v>
      </c>
      <c r="V180" s="57">
        <f t="shared" si="23"/>
        <v>164</v>
      </c>
    </row>
    <row r="181" spans="1:22" ht="12" customHeight="1">
      <c r="A181" s="99">
        <v>2007</v>
      </c>
      <c r="B181" s="142">
        <v>0</v>
      </c>
      <c r="C181" s="77">
        <v>0</v>
      </c>
      <c r="D181" s="77">
        <v>0</v>
      </c>
      <c r="E181" s="77">
        <v>94</v>
      </c>
      <c r="F181" s="77">
        <v>79</v>
      </c>
      <c r="G181" s="77">
        <v>13</v>
      </c>
      <c r="H181" s="57" t="s">
        <v>23</v>
      </c>
      <c r="I181" s="57" t="s">
        <v>23</v>
      </c>
      <c r="J181" s="77">
        <f t="shared" si="20"/>
        <v>186</v>
      </c>
      <c r="K181" s="77">
        <f t="shared" si="21"/>
        <v>186</v>
      </c>
      <c r="L181" s="77"/>
      <c r="M181" s="77">
        <v>0</v>
      </c>
      <c r="N181" s="77">
        <v>0</v>
      </c>
      <c r="O181" s="77">
        <v>0</v>
      </c>
      <c r="P181" s="77">
        <v>137</v>
      </c>
      <c r="Q181" s="77">
        <v>344</v>
      </c>
      <c r="R181" s="77">
        <v>63</v>
      </c>
      <c r="S181" s="57" t="s">
        <v>23</v>
      </c>
      <c r="T181" s="57" t="s">
        <v>23</v>
      </c>
      <c r="U181" s="77">
        <f t="shared" si="22"/>
        <v>544</v>
      </c>
      <c r="V181" s="77">
        <f t="shared" si="23"/>
        <v>544</v>
      </c>
    </row>
    <row r="182" spans="1:22" ht="12" customHeight="1">
      <c r="A182" s="99">
        <v>2008</v>
      </c>
      <c r="B182" s="142">
        <v>0</v>
      </c>
      <c r="C182" s="77">
        <v>23</v>
      </c>
      <c r="D182" s="77">
        <v>64</v>
      </c>
      <c r="E182" s="77">
        <v>35</v>
      </c>
      <c r="F182" s="77">
        <v>393</v>
      </c>
      <c r="G182" s="77">
        <v>31</v>
      </c>
      <c r="H182" s="77" t="s">
        <v>23</v>
      </c>
      <c r="I182" s="77" t="s">
        <v>23</v>
      </c>
      <c r="J182" s="77">
        <f t="shared" si="20"/>
        <v>546</v>
      </c>
      <c r="K182" s="77">
        <f t="shared" si="21"/>
        <v>546</v>
      </c>
      <c r="L182" s="77"/>
      <c r="M182" s="77">
        <v>0</v>
      </c>
      <c r="N182" s="77">
        <v>0</v>
      </c>
      <c r="O182" s="77">
        <v>0</v>
      </c>
      <c r="P182" s="77">
        <v>6</v>
      </c>
      <c r="Q182" s="77">
        <v>674</v>
      </c>
      <c r="R182" s="77">
        <v>65</v>
      </c>
      <c r="S182" s="77" t="s">
        <v>23</v>
      </c>
      <c r="T182" s="77" t="s">
        <v>23</v>
      </c>
      <c r="U182" s="77">
        <f t="shared" si="22"/>
        <v>745</v>
      </c>
      <c r="V182" s="77">
        <f t="shared" si="23"/>
        <v>745</v>
      </c>
    </row>
    <row r="183" spans="1:22" ht="12" customHeight="1">
      <c r="A183" s="99">
        <v>2009</v>
      </c>
      <c r="B183" s="142">
        <v>0</v>
      </c>
      <c r="C183" s="77">
        <v>128</v>
      </c>
      <c r="D183" s="77">
        <v>118</v>
      </c>
      <c r="E183" s="77">
        <v>101</v>
      </c>
      <c r="F183" s="77">
        <v>144</v>
      </c>
      <c r="G183" s="77">
        <v>0</v>
      </c>
      <c r="H183" s="77" t="s">
        <v>23</v>
      </c>
      <c r="I183" s="77" t="s">
        <v>23</v>
      </c>
      <c r="J183" s="77">
        <f t="shared" si="20"/>
        <v>491</v>
      </c>
      <c r="K183" s="77">
        <f t="shared" si="21"/>
        <v>491</v>
      </c>
      <c r="L183" s="77"/>
      <c r="M183" s="77">
        <v>0</v>
      </c>
      <c r="N183" s="77">
        <v>0</v>
      </c>
      <c r="O183" s="77">
        <v>0</v>
      </c>
      <c r="P183" s="77">
        <v>443</v>
      </c>
      <c r="Q183" s="77">
        <v>3694</v>
      </c>
      <c r="R183" s="77">
        <v>68</v>
      </c>
      <c r="S183" s="77" t="s">
        <v>23</v>
      </c>
      <c r="T183" s="77" t="s">
        <v>23</v>
      </c>
      <c r="U183" s="77">
        <f t="shared" si="22"/>
        <v>4205</v>
      </c>
      <c r="V183" s="77">
        <f t="shared" si="23"/>
        <v>4205</v>
      </c>
    </row>
    <row r="184" spans="1:22" ht="12" customHeight="1">
      <c r="A184" s="99">
        <v>2010</v>
      </c>
      <c r="B184" s="142">
        <v>0</v>
      </c>
      <c r="C184" s="77">
        <v>32</v>
      </c>
      <c r="D184" s="77">
        <v>766</v>
      </c>
      <c r="E184" s="77">
        <v>938</v>
      </c>
      <c r="F184" s="77">
        <v>468</v>
      </c>
      <c r="G184" s="77">
        <v>624</v>
      </c>
      <c r="H184" s="77" t="s">
        <v>23</v>
      </c>
      <c r="I184" s="77" t="s">
        <v>23</v>
      </c>
      <c r="J184" s="77">
        <f t="shared" si="20"/>
        <v>2828</v>
      </c>
      <c r="K184" s="77">
        <f t="shared" si="21"/>
        <v>2828</v>
      </c>
      <c r="L184" s="77"/>
      <c r="M184" s="77">
        <v>0</v>
      </c>
      <c r="N184" s="77">
        <v>0</v>
      </c>
      <c r="O184" s="77">
        <v>50</v>
      </c>
      <c r="P184" s="77">
        <v>448</v>
      </c>
      <c r="Q184" s="77">
        <v>249</v>
      </c>
      <c r="R184" s="77">
        <v>1390</v>
      </c>
      <c r="S184" s="77" t="s">
        <v>23</v>
      </c>
      <c r="T184" s="77" t="s">
        <v>23</v>
      </c>
      <c r="U184" s="77">
        <f t="shared" si="22"/>
        <v>2137</v>
      </c>
      <c r="V184" s="77">
        <f t="shared" si="23"/>
        <v>2137</v>
      </c>
    </row>
    <row r="185" spans="1:22" ht="12" customHeight="1">
      <c r="A185" s="99">
        <v>2011</v>
      </c>
      <c r="B185" s="142">
        <v>0</v>
      </c>
      <c r="C185" s="57">
        <v>0</v>
      </c>
      <c r="D185" s="57">
        <v>286</v>
      </c>
      <c r="E185" s="57">
        <v>253</v>
      </c>
      <c r="F185" s="57">
        <v>1610</v>
      </c>
      <c r="G185" s="57">
        <v>13</v>
      </c>
      <c r="H185" s="57" t="s">
        <v>23</v>
      </c>
      <c r="I185" s="57" t="s">
        <v>23</v>
      </c>
      <c r="J185" s="57">
        <f t="shared" si="20"/>
        <v>2162</v>
      </c>
      <c r="K185" s="57">
        <f t="shared" si="21"/>
        <v>2162</v>
      </c>
      <c r="L185" s="57"/>
      <c r="M185" s="57">
        <v>0</v>
      </c>
      <c r="N185" s="57">
        <v>0</v>
      </c>
      <c r="O185" s="57">
        <v>0</v>
      </c>
      <c r="P185" s="57">
        <v>101</v>
      </c>
      <c r="Q185" s="57">
        <v>553</v>
      </c>
      <c r="R185" s="57">
        <v>55</v>
      </c>
      <c r="S185" s="57" t="s">
        <v>23</v>
      </c>
      <c r="T185" s="57" t="s">
        <v>23</v>
      </c>
      <c r="U185" s="57">
        <f t="shared" si="22"/>
        <v>709</v>
      </c>
      <c r="V185" s="57">
        <f t="shared" si="23"/>
        <v>709</v>
      </c>
    </row>
    <row r="186" spans="1:22" ht="12" customHeight="1">
      <c r="A186" s="99">
        <v>2012</v>
      </c>
      <c r="B186" s="142">
        <v>0</v>
      </c>
      <c r="C186" s="77">
        <v>133</v>
      </c>
      <c r="D186" s="77">
        <v>521</v>
      </c>
      <c r="E186" s="77">
        <v>366</v>
      </c>
      <c r="F186" s="77">
        <v>174</v>
      </c>
      <c r="G186" s="77">
        <v>0</v>
      </c>
      <c r="H186" s="77" t="s">
        <v>23</v>
      </c>
      <c r="I186" s="77" t="s">
        <v>23</v>
      </c>
      <c r="J186" s="77">
        <f t="shared" si="20"/>
        <v>1194</v>
      </c>
      <c r="K186" s="77">
        <f t="shared" si="21"/>
        <v>1194</v>
      </c>
      <c r="L186" s="77"/>
      <c r="M186" s="77">
        <v>0</v>
      </c>
      <c r="N186" s="77">
        <v>0</v>
      </c>
      <c r="O186" s="77">
        <v>71</v>
      </c>
      <c r="P186" s="77">
        <v>359</v>
      </c>
      <c r="Q186" s="77">
        <v>809</v>
      </c>
      <c r="R186" s="77">
        <v>0</v>
      </c>
      <c r="S186" s="77" t="s">
        <v>23</v>
      </c>
      <c r="T186" s="77" t="s">
        <v>23</v>
      </c>
      <c r="U186" s="77">
        <f t="shared" si="22"/>
        <v>1239</v>
      </c>
      <c r="V186" s="77">
        <f t="shared" si="23"/>
        <v>1239</v>
      </c>
    </row>
    <row r="187" spans="1:22" ht="12" customHeight="1">
      <c r="A187" s="99">
        <v>2013</v>
      </c>
      <c r="B187" s="142">
        <v>0</v>
      </c>
      <c r="C187" s="77">
        <v>3</v>
      </c>
      <c r="D187" s="77">
        <v>153</v>
      </c>
      <c r="E187" s="77">
        <v>56</v>
      </c>
      <c r="F187" s="77">
        <v>331</v>
      </c>
      <c r="G187" s="77">
        <v>25</v>
      </c>
      <c r="H187" s="77" t="s">
        <v>23</v>
      </c>
      <c r="I187" s="77" t="s">
        <v>23</v>
      </c>
      <c r="J187" s="77">
        <f t="shared" si="20"/>
        <v>568</v>
      </c>
      <c r="K187" s="77">
        <f t="shared" si="21"/>
        <v>568</v>
      </c>
      <c r="L187" s="77"/>
      <c r="M187" s="77">
        <v>0</v>
      </c>
      <c r="N187" s="77">
        <v>0</v>
      </c>
      <c r="O187" s="77">
        <v>0</v>
      </c>
      <c r="P187" s="77">
        <v>19</v>
      </c>
      <c r="Q187" s="77">
        <v>974</v>
      </c>
      <c r="R187" s="77">
        <v>48</v>
      </c>
      <c r="S187" s="77" t="s">
        <v>23</v>
      </c>
      <c r="T187" s="77" t="s">
        <v>23</v>
      </c>
      <c r="U187" s="77">
        <f t="shared" si="22"/>
        <v>1041</v>
      </c>
      <c r="V187" s="77">
        <f t="shared" si="23"/>
        <v>1041</v>
      </c>
    </row>
    <row r="188" spans="1:22" ht="12" customHeight="1">
      <c r="A188" s="99">
        <v>2014</v>
      </c>
      <c r="B188" s="142">
        <v>0</v>
      </c>
      <c r="C188" s="77">
        <v>350</v>
      </c>
      <c r="D188" s="77">
        <v>205</v>
      </c>
      <c r="E188" s="77">
        <v>592</v>
      </c>
      <c r="F188" s="77">
        <v>652</v>
      </c>
      <c r="G188" s="77">
        <v>59</v>
      </c>
      <c r="H188" s="77" t="s">
        <v>23</v>
      </c>
      <c r="I188" s="77" t="s">
        <v>23</v>
      </c>
      <c r="J188" s="77">
        <f t="shared" si="20"/>
        <v>1858</v>
      </c>
      <c r="K188" s="77">
        <f t="shared" si="21"/>
        <v>1858</v>
      </c>
      <c r="L188" s="77"/>
      <c r="M188" s="77">
        <v>0</v>
      </c>
      <c r="N188" s="77">
        <v>0</v>
      </c>
      <c r="O188" s="77">
        <v>15</v>
      </c>
      <c r="P188" s="77">
        <v>95</v>
      </c>
      <c r="Q188" s="77">
        <v>265</v>
      </c>
      <c r="R188" s="77">
        <v>249</v>
      </c>
      <c r="S188" s="77" t="s">
        <v>23</v>
      </c>
      <c r="T188" s="77" t="s">
        <v>23</v>
      </c>
      <c r="U188" s="77">
        <f t="shared" si="22"/>
        <v>624</v>
      </c>
      <c r="V188" s="77">
        <f t="shared" si="23"/>
        <v>624</v>
      </c>
    </row>
    <row r="189" spans="1:22" ht="12" customHeight="1">
      <c r="A189" s="99">
        <v>2015</v>
      </c>
      <c r="B189" s="142">
        <v>0</v>
      </c>
      <c r="C189" s="77">
        <v>109</v>
      </c>
      <c r="D189" s="77">
        <v>691</v>
      </c>
      <c r="E189" s="77">
        <v>1634</v>
      </c>
      <c r="F189" s="77">
        <v>744</v>
      </c>
      <c r="G189" s="77">
        <v>0</v>
      </c>
      <c r="H189" s="77" t="s">
        <v>23</v>
      </c>
      <c r="I189" s="77" t="s">
        <v>23</v>
      </c>
      <c r="J189" s="77">
        <f t="shared" si="20"/>
        <v>3178</v>
      </c>
      <c r="K189" s="77">
        <f t="shared" si="21"/>
        <v>3178</v>
      </c>
      <c r="L189" s="77"/>
      <c r="M189" s="77">
        <v>0</v>
      </c>
      <c r="N189" s="77">
        <v>0</v>
      </c>
      <c r="O189" s="77">
        <v>3</v>
      </c>
      <c r="P189" s="77">
        <v>105</v>
      </c>
      <c r="Q189" s="77">
        <v>107</v>
      </c>
      <c r="R189" s="77">
        <v>0</v>
      </c>
      <c r="S189" s="77" t="s">
        <v>23</v>
      </c>
      <c r="T189" s="77" t="s">
        <v>23</v>
      </c>
      <c r="U189" s="77">
        <f t="shared" si="22"/>
        <v>215</v>
      </c>
      <c r="V189" s="77">
        <f t="shared" si="23"/>
        <v>215</v>
      </c>
    </row>
    <row r="190" spans="1:22" ht="12" customHeight="1">
      <c r="A190" s="99">
        <v>2016</v>
      </c>
      <c r="B190" s="142">
        <v>0</v>
      </c>
      <c r="C190" s="77">
        <v>134</v>
      </c>
      <c r="D190" s="77">
        <v>271</v>
      </c>
      <c r="E190" s="77">
        <v>396</v>
      </c>
      <c r="F190" s="77">
        <v>186</v>
      </c>
      <c r="G190" s="77">
        <v>0</v>
      </c>
      <c r="H190" s="77" t="s">
        <v>23</v>
      </c>
      <c r="I190" s="77" t="s">
        <v>23</v>
      </c>
      <c r="J190" s="77">
        <f t="shared" si="20"/>
        <v>987</v>
      </c>
      <c r="K190" s="77">
        <f t="shared" si="21"/>
        <v>987</v>
      </c>
      <c r="L190" s="77"/>
      <c r="M190" s="77">
        <v>0</v>
      </c>
      <c r="N190" s="77">
        <v>0</v>
      </c>
      <c r="O190" s="77">
        <v>0</v>
      </c>
      <c r="P190" s="77">
        <v>6</v>
      </c>
      <c r="Q190" s="77">
        <v>5</v>
      </c>
      <c r="R190" s="77">
        <v>0</v>
      </c>
      <c r="S190" s="77" t="s">
        <v>23</v>
      </c>
      <c r="T190" s="77" t="s">
        <v>23</v>
      </c>
      <c r="U190" s="77">
        <f t="shared" si="22"/>
        <v>11</v>
      </c>
      <c r="V190" s="77">
        <f t="shared" si="23"/>
        <v>11</v>
      </c>
    </row>
    <row r="191" spans="1:22" ht="12" customHeight="1">
      <c r="A191" s="99">
        <v>2017</v>
      </c>
      <c r="B191" s="142">
        <v>0</v>
      </c>
      <c r="C191" s="77">
        <v>86</v>
      </c>
      <c r="D191" s="77">
        <v>20</v>
      </c>
      <c r="E191" s="77">
        <v>19</v>
      </c>
      <c r="F191" s="77">
        <v>229</v>
      </c>
      <c r="G191" s="77">
        <v>34</v>
      </c>
      <c r="H191" s="77" t="s">
        <v>23</v>
      </c>
      <c r="I191" s="77" t="s">
        <v>23</v>
      </c>
      <c r="J191" s="77">
        <f t="shared" si="20"/>
        <v>388</v>
      </c>
      <c r="K191" s="77">
        <f t="shared" si="21"/>
        <v>388</v>
      </c>
      <c r="L191" s="77"/>
      <c r="M191" s="77">
        <v>0</v>
      </c>
      <c r="N191" s="77">
        <v>0</v>
      </c>
      <c r="O191" s="77">
        <v>0</v>
      </c>
      <c r="P191" s="77">
        <v>114</v>
      </c>
      <c r="Q191" s="77">
        <v>274</v>
      </c>
      <c r="R191" s="77">
        <v>379</v>
      </c>
      <c r="S191" s="77" t="s">
        <v>23</v>
      </c>
      <c r="T191" s="77" t="s">
        <v>23</v>
      </c>
      <c r="U191" s="77">
        <f t="shared" si="22"/>
        <v>767</v>
      </c>
      <c r="V191" s="77">
        <f t="shared" si="23"/>
        <v>767</v>
      </c>
    </row>
    <row r="192" spans="1:22" ht="12" customHeight="1">
      <c r="A192" s="99">
        <v>2018</v>
      </c>
      <c r="B192" s="142">
        <v>0</v>
      </c>
      <c r="C192" s="77">
        <v>71</v>
      </c>
      <c r="D192" s="77">
        <v>152</v>
      </c>
      <c r="E192" s="77">
        <v>23</v>
      </c>
      <c r="F192" s="77">
        <v>185</v>
      </c>
      <c r="G192" s="77">
        <v>5</v>
      </c>
      <c r="H192" s="213" t="s">
        <v>23</v>
      </c>
      <c r="I192" s="213" t="s">
        <v>23</v>
      </c>
      <c r="J192" s="77">
        <f>SUM(C192:G192)</f>
        <v>436</v>
      </c>
      <c r="K192" s="77">
        <f>SUM(B192:I192)</f>
        <v>436</v>
      </c>
      <c r="L192" s="77"/>
      <c r="M192" s="77">
        <v>0</v>
      </c>
      <c r="N192" s="77">
        <v>0</v>
      </c>
      <c r="O192" s="77">
        <v>0</v>
      </c>
      <c r="P192" s="77">
        <v>0</v>
      </c>
      <c r="Q192" s="77">
        <v>509</v>
      </c>
      <c r="R192" s="77">
        <v>296</v>
      </c>
      <c r="S192" s="213" t="s">
        <v>23</v>
      </c>
      <c r="T192" s="213" t="s">
        <v>23</v>
      </c>
      <c r="U192" s="77">
        <f t="shared" si="22"/>
        <v>805</v>
      </c>
      <c r="V192" s="77">
        <f>SUM(M192:T192)</f>
        <v>805</v>
      </c>
    </row>
    <row r="193" spans="1:22" ht="12" customHeight="1">
      <c r="A193" s="99">
        <v>2019</v>
      </c>
      <c r="B193" s="142">
        <v>0</v>
      </c>
      <c r="C193" s="77">
        <v>120</v>
      </c>
      <c r="D193" s="77">
        <v>15</v>
      </c>
      <c r="E193" s="77">
        <v>25</v>
      </c>
      <c r="F193" s="77">
        <v>58</v>
      </c>
      <c r="G193" s="77">
        <v>47</v>
      </c>
      <c r="H193" s="213" t="s">
        <v>23</v>
      </c>
      <c r="I193" s="213" t="s">
        <v>23</v>
      </c>
      <c r="J193" s="77">
        <f t="shared" ref="J193:J195" si="24">SUM(C193:G193)</f>
        <v>265</v>
      </c>
      <c r="K193" s="77">
        <f t="shared" ref="K193:K195" si="25">SUM(B193:I193)</f>
        <v>265</v>
      </c>
      <c r="L193" s="77"/>
      <c r="M193" s="77">
        <v>0</v>
      </c>
      <c r="N193" s="77">
        <v>0</v>
      </c>
      <c r="O193" s="77">
        <v>0</v>
      </c>
      <c r="P193" s="77">
        <v>260</v>
      </c>
      <c r="Q193" s="77">
        <v>1794</v>
      </c>
      <c r="R193" s="77">
        <v>1068</v>
      </c>
      <c r="S193" s="213" t="s">
        <v>23</v>
      </c>
      <c r="T193" s="213" t="s">
        <v>23</v>
      </c>
      <c r="U193" s="77">
        <f t="shared" ref="U193:U194" si="26">SUM(N193:R193)</f>
        <v>3122</v>
      </c>
      <c r="V193" s="77">
        <f t="shared" ref="V193:V194" si="27">SUM(M193:T193)</f>
        <v>3122</v>
      </c>
    </row>
    <row r="194" spans="1:22" ht="12" customHeight="1">
      <c r="A194" s="99">
        <v>2020</v>
      </c>
      <c r="B194" s="142">
        <v>0</v>
      </c>
      <c r="C194" s="77">
        <v>8</v>
      </c>
      <c r="D194" s="77">
        <v>23</v>
      </c>
      <c r="E194" s="77">
        <v>239</v>
      </c>
      <c r="F194" s="77">
        <v>117</v>
      </c>
      <c r="G194" s="77">
        <v>14</v>
      </c>
      <c r="H194" s="213" t="s">
        <v>23</v>
      </c>
      <c r="I194" s="213" t="s">
        <v>23</v>
      </c>
      <c r="J194" s="77">
        <f t="shared" ref="J194" si="28">SUM(C194:G194)</f>
        <v>401</v>
      </c>
      <c r="K194" s="77">
        <f t="shared" ref="K194" si="29">SUM(B194:I194)</f>
        <v>401</v>
      </c>
      <c r="L194" s="77"/>
      <c r="M194" s="77">
        <v>0</v>
      </c>
      <c r="N194" s="77">
        <v>0</v>
      </c>
      <c r="O194" s="77">
        <v>0</v>
      </c>
      <c r="P194" s="77">
        <v>0</v>
      </c>
      <c r="Q194" s="77">
        <v>86</v>
      </c>
      <c r="R194" s="77">
        <v>205</v>
      </c>
      <c r="S194" s="213" t="s">
        <v>23</v>
      </c>
      <c r="T194" s="213" t="s">
        <v>23</v>
      </c>
      <c r="U194" s="77">
        <f t="shared" si="26"/>
        <v>291</v>
      </c>
      <c r="V194" s="77">
        <f t="shared" si="27"/>
        <v>291</v>
      </c>
    </row>
    <row r="195" spans="1:22" ht="12" customHeight="1">
      <c r="A195" s="99" t="s">
        <v>316</v>
      </c>
      <c r="B195" s="142">
        <v>0</v>
      </c>
      <c r="C195" s="57">
        <v>210</v>
      </c>
      <c r="D195" s="57">
        <v>128</v>
      </c>
      <c r="E195" s="57">
        <v>1</v>
      </c>
      <c r="F195" s="57">
        <v>10</v>
      </c>
      <c r="G195" s="57">
        <v>58</v>
      </c>
      <c r="H195" s="212" t="s">
        <v>23</v>
      </c>
      <c r="I195" s="212" t="s">
        <v>23</v>
      </c>
      <c r="J195" s="77">
        <f t="shared" si="24"/>
        <v>407</v>
      </c>
      <c r="K195" s="77">
        <f t="shared" si="25"/>
        <v>407</v>
      </c>
      <c r="L195" s="57"/>
      <c r="M195" s="57">
        <v>0</v>
      </c>
      <c r="N195" s="57">
        <v>0</v>
      </c>
      <c r="O195" s="57">
        <v>0</v>
      </c>
      <c r="P195" s="57">
        <v>2</v>
      </c>
      <c r="Q195" s="57">
        <v>210</v>
      </c>
      <c r="R195" s="57">
        <v>1325</v>
      </c>
      <c r="S195" s="212" t="s">
        <v>23</v>
      </c>
      <c r="T195" s="212" t="s">
        <v>23</v>
      </c>
      <c r="U195" s="77">
        <f t="shared" si="22"/>
        <v>1537</v>
      </c>
      <c r="V195" s="77">
        <f t="shared" si="23"/>
        <v>1537</v>
      </c>
    </row>
    <row r="196" spans="1:22" ht="12" customHeight="1">
      <c r="B196" s="142"/>
      <c r="C196" s="16"/>
      <c r="D196" s="16"/>
      <c r="E196" s="16"/>
      <c r="F196" s="16"/>
      <c r="G196" s="16"/>
      <c r="H196" s="16"/>
      <c r="I196" s="16"/>
      <c r="J196" s="16"/>
      <c r="K196" s="16"/>
      <c r="L196" s="16"/>
      <c r="M196" s="16"/>
      <c r="N196" s="16"/>
      <c r="O196" s="16"/>
      <c r="P196" s="16"/>
      <c r="Q196" s="16"/>
      <c r="R196" s="16"/>
      <c r="S196" s="16"/>
      <c r="T196" s="16"/>
      <c r="U196" s="16"/>
      <c r="V196" s="106"/>
    </row>
    <row r="197" spans="1:22" ht="12" customHeight="1">
      <c r="A197" s="94" t="s">
        <v>101</v>
      </c>
      <c r="B197" s="104"/>
      <c r="C197" s="16"/>
      <c r="D197" s="16"/>
      <c r="E197" s="16"/>
      <c r="F197" s="16"/>
      <c r="G197" s="16"/>
      <c r="H197" s="16"/>
      <c r="I197" s="16"/>
      <c r="J197" s="16"/>
      <c r="K197" s="16"/>
      <c r="L197" s="16"/>
      <c r="M197" s="16"/>
      <c r="N197" s="16"/>
      <c r="O197" s="16"/>
      <c r="P197" s="16"/>
      <c r="Q197" s="16"/>
      <c r="R197" s="16"/>
      <c r="S197" s="16"/>
      <c r="T197" s="16"/>
      <c r="U197" s="16"/>
      <c r="V197" s="105"/>
    </row>
    <row r="198" spans="1:22" ht="12" customHeight="1">
      <c r="A198" s="99">
        <v>1976</v>
      </c>
      <c r="B198" s="142">
        <f t="shared" ref="B198:K198" si="30">IF(AND(B150="-",B102="-",B54="-",B6="-"),"-",SUM(B150,B102,B54,B6))</f>
        <v>9648</v>
      </c>
      <c r="C198" s="142">
        <f t="shared" si="30"/>
        <v>381</v>
      </c>
      <c r="D198" s="142">
        <f t="shared" si="30"/>
        <v>2900</v>
      </c>
      <c r="E198" s="142">
        <f t="shared" si="30"/>
        <v>3581</v>
      </c>
      <c r="F198" s="142">
        <f t="shared" si="30"/>
        <v>957</v>
      </c>
      <c r="G198" s="142">
        <f t="shared" si="30"/>
        <v>70</v>
      </c>
      <c r="H198" s="142">
        <f t="shared" si="30"/>
        <v>1</v>
      </c>
      <c r="I198" s="142">
        <f t="shared" si="30"/>
        <v>498</v>
      </c>
      <c r="J198" s="142">
        <f t="shared" si="30"/>
        <v>7889</v>
      </c>
      <c r="K198" s="142">
        <f t="shared" si="30"/>
        <v>18036</v>
      </c>
      <c r="L198" s="16"/>
      <c r="M198" s="142">
        <f t="shared" ref="M198:V198" si="31">IF(AND(M150="-",M102="-",M54="-",M6="-"),"-",SUM(M150,M102,M54,M6))</f>
        <v>0</v>
      </c>
      <c r="N198" s="142">
        <f t="shared" si="31"/>
        <v>0</v>
      </c>
      <c r="O198" s="142">
        <f t="shared" si="31"/>
        <v>1466</v>
      </c>
      <c r="P198" s="142">
        <f t="shared" si="31"/>
        <v>4153</v>
      </c>
      <c r="Q198" s="142">
        <f t="shared" si="31"/>
        <v>1583</v>
      </c>
      <c r="R198" s="142">
        <f t="shared" si="31"/>
        <v>126</v>
      </c>
      <c r="S198" s="142">
        <f t="shared" si="31"/>
        <v>16</v>
      </c>
      <c r="T198" s="142">
        <f t="shared" si="31"/>
        <v>14</v>
      </c>
      <c r="U198" s="142">
        <f t="shared" si="31"/>
        <v>7328</v>
      </c>
      <c r="V198" s="142">
        <f t="shared" si="31"/>
        <v>7358</v>
      </c>
    </row>
    <row r="199" spans="1:22" ht="12" customHeight="1">
      <c r="A199" s="99">
        <v>1977</v>
      </c>
      <c r="B199" s="142">
        <f t="shared" ref="B199:K199" si="32">IF(AND(B151="-",B103="-",B55="-",B7="-"),"-",SUM(B151,B103,B55,B7))</f>
        <v>7869</v>
      </c>
      <c r="C199" s="142">
        <f t="shared" si="32"/>
        <v>1676</v>
      </c>
      <c r="D199" s="142">
        <f t="shared" si="32"/>
        <v>1840</v>
      </c>
      <c r="E199" s="142">
        <f t="shared" si="32"/>
        <v>871</v>
      </c>
      <c r="F199" s="142">
        <f t="shared" si="32"/>
        <v>413</v>
      </c>
      <c r="G199" s="142">
        <f t="shared" si="32"/>
        <v>168</v>
      </c>
      <c r="H199" s="142">
        <f t="shared" si="32"/>
        <v>8</v>
      </c>
      <c r="I199" s="142">
        <f t="shared" si="32"/>
        <v>632</v>
      </c>
      <c r="J199" s="142">
        <f t="shared" si="32"/>
        <v>4968</v>
      </c>
      <c r="K199" s="142">
        <f t="shared" si="32"/>
        <v>13477</v>
      </c>
      <c r="L199" s="16"/>
      <c r="M199" s="142">
        <f t="shared" ref="M199:V199" si="33">IF(AND(M151="-",M103="-",M55="-",M7="-"),"-",SUM(M151,M103,M55,M7))</f>
        <v>0</v>
      </c>
      <c r="N199" s="142">
        <f t="shared" si="33"/>
        <v>258</v>
      </c>
      <c r="O199" s="142">
        <f t="shared" si="33"/>
        <v>3440</v>
      </c>
      <c r="P199" s="142">
        <f t="shared" si="33"/>
        <v>1263</v>
      </c>
      <c r="Q199" s="142">
        <f t="shared" si="33"/>
        <v>1592</v>
      </c>
      <c r="R199" s="142">
        <f t="shared" si="33"/>
        <v>419</v>
      </c>
      <c r="S199" s="142">
        <f t="shared" si="33"/>
        <v>4</v>
      </c>
      <c r="T199" s="142">
        <f t="shared" si="33"/>
        <v>4</v>
      </c>
      <c r="U199" s="142">
        <f t="shared" si="33"/>
        <v>6972</v>
      </c>
      <c r="V199" s="142">
        <f t="shared" si="33"/>
        <v>6980</v>
      </c>
    </row>
    <row r="200" spans="1:22" ht="12" customHeight="1">
      <c r="A200" s="99">
        <v>1978</v>
      </c>
      <c r="B200" s="142">
        <f t="shared" ref="B200:K200" si="34">IF(AND(B152="-",B104="-",B56="-",B8="-"),"-",SUM(B152,B104,B56,B8))</f>
        <v>8990</v>
      </c>
      <c r="C200" s="142">
        <f t="shared" si="34"/>
        <v>946</v>
      </c>
      <c r="D200" s="142">
        <f t="shared" si="34"/>
        <v>3877</v>
      </c>
      <c r="E200" s="142">
        <f t="shared" si="34"/>
        <v>827</v>
      </c>
      <c r="F200" s="142">
        <f t="shared" si="34"/>
        <v>232</v>
      </c>
      <c r="G200" s="142">
        <f t="shared" si="34"/>
        <v>64</v>
      </c>
      <c r="H200" s="142">
        <f t="shared" si="34"/>
        <v>26</v>
      </c>
      <c r="I200" s="142">
        <f t="shared" si="34"/>
        <v>913</v>
      </c>
      <c r="J200" s="142">
        <f t="shared" si="34"/>
        <v>5946</v>
      </c>
      <c r="K200" s="142">
        <f t="shared" si="34"/>
        <v>15875</v>
      </c>
      <c r="L200" s="16"/>
      <c r="M200" s="142">
        <f t="shared" ref="M200:V200" si="35">IF(AND(M152="-",M104="-",M56="-",M8="-"),"-",SUM(M152,M104,M56,M8))</f>
        <v>1810</v>
      </c>
      <c r="N200" s="142">
        <f t="shared" si="35"/>
        <v>231</v>
      </c>
      <c r="O200" s="142">
        <f t="shared" si="35"/>
        <v>3405</v>
      </c>
      <c r="P200" s="142">
        <f t="shared" si="35"/>
        <v>1307</v>
      </c>
      <c r="Q200" s="142">
        <f t="shared" si="35"/>
        <v>509</v>
      </c>
      <c r="R200" s="142">
        <f t="shared" si="35"/>
        <v>550</v>
      </c>
      <c r="S200" s="142">
        <f t="shared" si="35"/>
        <v>8</v>
      </c>
      <c r="T200" s="142">
        <f t="shared" si="35"/>
        <v>266</v>
      </c>
      <c r="U200" s="142">
        <f t="shared" si="35"/>
        <v>6002</v>
      </c>
      <c r="V200" s="142">
        <f t="shared" si="35"/>
        <v>8086</v>
      </c>
    </row>
    <row r="201" spans="1:22" ht="12" customHeight="1">
      <c r="A201" s="99">
        <v>1979</v>
      </c>
      <c r="B201" s="142">
        <f t="shared" ref="B201:K201" si="36">IF(AND(B153="-",B105="-",B57="-",B9="-"),"-",SUM(B153,B105,B57,B9))</f>
        <v>6600</v>
      </c>
      <c r="C201" s="142">
        <f t="shared" si="36"/>
        <v>798</v>
      </c>
      <c r="D201" s="142">
        <f t="shared" si="36"/>
        <v>723</v>
      </c>
      <c r="E201" s="142">
        <f t="shared" si="36"/>
        <v>330</v>
      </c>
      <c r="F201" s="142">
        <f t="shared" si="36"/>
        <v>299</v>
      </c>
      <c r="G201" s="142">
        <f t="shared" si="36"/>
        <v>27</v>
      </c>
      <c r="H201" s="142">
        <f t="shared" si="36"/>
        <v>4</v>
      </c>
      <c r="I201" s="142">
        <f t="shared" si="36"/>
        <v>836</v>
      </c>
      <c r="J201" s="142">
        <f t="shared" si="36"/>
        <v>2177</v>
      </c>
      <c r="K201" s="142">
        <f t="shared" si="36"/>
        <v>9617</v>
      </c>
      <c r="L201" s="16"/>
      <c r="M201" s="142">
        <f t="shared" ref="M201:V201" si="37">IF(AND(M153="-",M105="-",M57="-",M9="-"),"-",SUM(M153,M105,M57,M9))</f>
        <v>175</v>
      </c>
      <c r="N201" s="142">
        <f t="shared" si="37"/>
        <v>1051</v>
      </c>
      <c r="O201" s="142">
        <f t="shared" si="37"/>
        <v>4777</v>
      </c>
      <c r="P201" s="142">
        <f t="shared" si="37"/>
        <v>2071</v>
      </c>
      <c r="Q201" s="142">
        <f t="shared" si="37"/>
        <v>2132</v>
      </c>
      <c r="R201" s="142">
        <f t="shared" si="37"/>
        <v>109</v>
      </c>
      <c r="S201" s="142">
        <f t="shared" si="37"/>
        <v>4</v>
      </c>
      <c r="T201" s="142">
        <f t="shared" si="37"/>
        <v>30</v>
      </c>
      <c r="U201" s="142">
        <f t="shared" si="37"/>
        <v>10140</v>
      </c>
      <c r="V201" s="142">
        <f t="shared" si="37"/>
        <v>10349</v>
      </c>
    </row>
    <row r="202" spans="1:22" ht="12" customHeight="1">
      <c r="A202" s="99">
        <v>1980</v>
      </c>
      <c r="B202" s="142">
        <f t="shared" ref="B202:K202" si="38">IF(AND(B154="-",B106="-",B58="-",B10="-"),"-",SUM(B154,B106,B58,B10))</f>
        <v>9539</v>
      </c>
      <c r="C202" s="142">
        <f t="shared" si="38"/>
        <v>133</v>
      </c>
      <c r="D202" s="142">
        <f t="shared" si="38"/>
        <v>847</v>
      </c>
      <c r="E202" s="142">
        <f t="shared" si="38"/>
        <v>3272</v>
      </c>
      <c r="F202" s="142">
        <f t="shared" si="38"/>
        <v>176</v>
      </c>
      <c r="G202" s="142">
        <f t="shared" si="38"/>
        <v>22</v>
      </c>
      <c r="H202" s="142">
        <f t="shared" si="38"/>
        <v>15</v>
      </c>
      <c r="I202" s="142">
        <f t="shared" si="38"/>
        <v>1044</v>
      </c>
      <c r="J202" s="142">
        <f t="shared" si="38"/>
        <v>4450</v>
      </c>
      <c r="K202" s="142">
        <f t="shared" si="38"/>
        <v>15048</v>
      </c>
      <c r="L202" s="16"/>
      <c r="M202" s="142">
        <f t="shared" ref="M202:V202" si="39">IF(AND(M154="-",M106="-",M58="-",M10="-"),"-",SUM(M154,M106,M58,M10))</f>
        <v>52</v>
      </c>
      <c r="N202" s="142">
        <f t="shared" si="39"/>
        <v>2062</v>
      </c>
      <c r="O202" s="142">
        <f t="shared" si="39"/>
        <v>25295</v>
      </c>
      <c r="P202" s="142">
        <f t="shared" si="39"/>
        <v>5779</v>
      </c>
      <c r="Q202" s="142">
        <f t="shared" si="39"/>
        <v>558</v>
      </c>
      <c r="R202" s="142">
        <f t="shared" si="39"/>
        <v>1012</v>
      </c>
      <c r="S202" s="142">
        <f t="shared" si="39"/>
        <v>25</v>
      </c>
      <c r="T202" s="142">
        <f t="shared" si="39"/>
        <v>3</v>
      </c>
      <c r="U202" s="142">
        <f t="shared" si="39"/>
        <v>34706</v>
      </c>
      <c r="V202" s="142">
        <f t="shared" si="39"/>
        <v>34786</v>
      </c>
    </row>
    <row r="203" spans="1:22" ht="12" customHeight="1">
      <c r="A203" s="99">
        <v>1981</v>
      </c>
      <c r="B203" s="142">
        <f t="shared" ref="B203:K203" si="40">IF(AND(B155="-",B107="-",B59="-",B11="-"),"-",SUM(B155,B107,B59,B11))</f>
        <v>12776</v>
      </c>
      <c r="C203" s="142">
        <f t="shared" si="40"/>
        <v>1579</v>
      </c>
      <c r="D203" s="142">
        <f t="shared" si="40"/>
        <v>2487</v>
      </c>
      <c r="E203" s="142">
        <f t="shared" si="40"/>
        <v>3652</v>
      </c>
      <c r="F203" s="142">
        <f t="shared" si="40"/>
        <v>269</v>
      </c>
      <c r="G203" s="142">
        <f t="shared" si="40"/>
        <v>270</v>
      </c>
      <c r="H203" s="142">
        <f t="shared" si="40"/>
        <v>258</v>
      </c>
      <c r="I203" s="142">
        <f t="shared" si="40"/>
        <v>1548</v>
      </c>
      <c r="J203" s="142">
        <f t="shared" si="40"/>
        <v>8257</v>
      </c>
      <c r="K203" s="142">
        <f t="shared" si="40"/>
        <v>22839</v>
      </c>
      <c r="L203" s="16"/>
      <c r="M203" s="142">
        <f t="shared" ref="M203:V203" si="41">IF(AND(M155="-",M107="-",M59="-",M11="-"),"-",SUM(M155,M107,M59,M11))</f>
        <v>117</v>
      </c>
      <c r="N203" s="142">
        <f t="shared" si="41"/>
        <v>1284</v>
      </c>
      <c r="O203" s="142">
        <f t="shared" si="41"/>
        <v>7598</v>
      </c>
      <c r="P203" s="142">
        <f t="shared" si="41"/>
        <v>6925</v>
      </c>
      <c r="Q203" s="142">
        <f t="shared" si="41"/>
        <v>3086</v>
      </c>
      <c r="R203" s="142">
        <f t="shared" si="41"/>
        <v>13717</v>
      </c>
      <c r="S203" s="142">
        <f t="shared" si="41"/>
        <v>13</v>
      </c>
      <c r="T203" s="142">
        <f t="shared" si="41"/>
        <v>14</v>
      </c>
      <c r="U203" s="142">
        <f t="shared" si="41"/>
        <v>32610</v>
      </c>
      <c r="V203" s="142">
        <f t="shared" si="41"/>
        <v>32754</v>
      </c>
    </row>
    <row r="204" spans="1:22" ht="12" customHeight="1">
      <c r="A204" s="99">
        <v>1982</v>
      </c>
      <c r="B204" s="142">
        <f t="shared" ref="B204:K204" si="42">IF(AND(B156="-",B108="-",B60="-",B12="-"),"-",SUM(B156,B108,B60,B12))</f>
        <v>17941</v>
      </c>
      <c r="C204" s="142">
        <f t="shared" si="42"/>
        <v>1270</v>
      </c>
      <c r="D204" s="142">
        <f t="shared" si="42"/>
        <v>3392</v>
      </c>
      <c r="E204" s="142">
        <f t="shared" si="42"/>
        <v>8974</v>
      </c>
      <c r="F204" s="142">
        <f t="shared" si="42"/>
        <v>1984</v>
      </c>
      <c r="G204" s="142">
        <f t="shared" si="42"/>
        <v>2656</v>
      </c>
      <c r="H204" s="142">
        <f t="shared" si="42"/>
        <v>223</v>
      </c>
      <c r="I204" s="142">
        <f t="shared" si="42"/>
        <v>487</v>
      </c>
      <c r="J204" s="142">
        <f t="shared" si="42"/>
        <v>18276</v>
      </c>
      <c r="K204" s="142">
        <f t="shared" si="42"/>
        <v>36927</v>
      </c>
      <c r="L204" s="16"/>
      <c r="M204" s="142">
        <f t="shared" ref="M204:V204" si="43">IF(AND(M156="-",M108="-",M60="-",M12="-"),"-",SUM(M156,M108,M60,M12))</f>
        <v>37</v>
      </c>
      <c r="N204" s="142">
        <f t="shared" si="43"/>
        <v>34</v>
      </c>
      <c r="O204" s="142">
        <f t="shared" si="43"/>
        <v>22681</v>
      </c>
      <c r="P204" s="142">
        <f t="shared" si="43"/>
        <v>16482</v>
      </c>
      <c r="Q204" s="142">
        <f t="shared" si="43"/>
        <v>46240</v>
      </c>
      <c r="R204" s="142">
        <f t="shared" si="43"/>
        <v>38292</v>
      </c>
      <c r="S204" s="142">
        <f t="shared" si="43"/>
        <v>57</v>
      </c>
      <c r="T204" s="142">
        <f t="shared" si="43"/>
        <v>9</v>
      </c>
      <c r="U204" s="142">
        <f t="shared" si="43"/>
        <v>123729</v>
      </c>
      <c r="V204" s="142">
        <f t="shared" si="43"/>
        <v>123832</v>
      </c>
    </row>
    <row r="205" spans="1:22" ht="12" customHeight="1">
      <c r="A205" s="99">
        <v>1983</v>
      </c>
      <c r="B205" s="142">
        <f t="shared" ref="B205:K205" si="44">IF(AND(B157="-",B109="-",B61="-",B13="-"),"-",SUM(B157,B109,B61,B13))</f>
        <v>16562</v>
      </c>
      <c r="C205" s="142">
        <f t="shared" si="44"/>
        <v>2540</v>
      </c>
      <c r="D205" s="142">
        <f t="shared" si="44"/>
        <v>2864</v>
      </c>
      <c r="E205" s="142">
        <f t="shared" si="44"/>
        <v>1061</v>
      </c>
      <c r="F205" s="142">
        <f t="shared" si="44"/>
        <v>806</v>
      </c>
      <c r="G205" s="142">
        <f t="shared" si="44"/>
        <v>255</v>
      </c>
      <c r="H205" s="142">
        <f t="shared" si="44"/>
        <v>65</v>
      </c>
      <c r="I205" s="142">
        <f t="shared" si="44"/>
        <v>964</v>
      </c>
      <c r="J205" s="142">
        <f t="shared" si="44"/>
        <v>7526</v>
      </c>
      <c r="K205" s="142">
        <f t="shared" si="44"/>
        <v>25117</v>
      </c>
      <c r="L205" s="16"/>
      <c r="M205" s="142">
        <f t="shared" ref="M205:V205" si="45">IF(AND(M157="-",M109="-",M61="-",M13="-"),"-",SUM(M157,M109,M61,M13))</f>
        <v>30</v>
      </c>
      <c r="N205" s="142">
        <f t="shared" si="45"/>
        <v>95</v>
      </c>
      <c r="O205" s="142">
        <f t="shared" si="45"/>
        <v>4987</v>
      </c>
      <c r="P205" s="142">
        <f t="shared" si="45"/>
        <v>5305</v>
      </c>
      <c r="Q205" s="142">
        <f t="shared" si="45"/>
        <v>19961</v>
      </c>
      <c r="R205" s="142">
        <f t="shared" si="45"/>
        <v>7747</v>
      </c>
      <c r="S205" s="142">
        <f t="shared" si="45"/>
        <v>17</v>
      </c>
      <c r="T205" s="142">
        <f t="shared" si="45"/>
        <v>4</v>
      </c>
      <c r="U205" s="142">
        <f t="shared" si="45"/>
        <v>38095</v>
      </c>
      <c r="V205" s="142">
        <f t="shared" si="45"/>
        <v>38146</v>
      </c>
    </row>
    <row r="206" spans="1:22" ht="12" customHeight="1">
      <c r="A206" s="99">
        <v>1984</v>
      </c>
      <c r="B206" s="142">
        <f t="shared" ref="B206:K206" si="46">IF(AND(B158="-",B110="-",B62="-",B14="-"),"-",SUM(B158,B110,B62,B14))</f>
        <v>13063</v>
      </c>
      <c r="C206" s="142">
        <f t="shared" si="46"/>
        <v>1348</v>
      </c>
      <c r="D206" s="142">
        <f t="shared" si="46"/>
        <v>517</v>
      </c>
      <c r="E206" s="142">
        <f t="shared" si="46"/>
        <v>751</v>
      </c>
      <c r="F206" s="142">
        <f t="shared" si="46"/>
        <v>1367</v>
      </c>
      <c r="G206" s="142">
        <f t="shared" si="46"/>
        <v>0</v>
      </c>
      <c r="H206" s="142">
        <f t="shared" si="46"/>
        <v>147</v>
      </c>
      <c r="I206" s="142">
        <f t="shared" si="46"/>
        <v>577</v>
      </c>
      <c r="J206" s="142">
        <f t="shared" si="46"/>
        <v>3983</v>
      </c>
      <c r="K206" s="142">
        <f t="shared" si="46"/>
        <v>17770</v>
      </c>
      <c r="L206" s="16"/>
      <c r="M206" s="142">
        <f t="shared" ref="M206:V206" si="47">IF(AND(M158="-",M110="-",M62="-",M14="-"),"-",SUM(M158,M110,M62,M14))</f>
        <v>18</v>
      </c>
      <c r="N206" s="142">
        <f t="shared" si="47"/>
        <v>0</v>
      </c>
      <c r="O206" s="142">
        <f t="shared" si="47"/>
        <v>0</v>
      </c>
      <c r="P206" s="142">
        <f t="shared" si="47"/>
        <v>19715</v>
      </c>
      <c r="Q206" s="142">
        <f t="shared" si="47"/>
        <v>23772</v>
      </c>
      <c r="R206" s="142">
        <f t="shared" si="47"/>
        <v>0</v>
      </c>
      <c r="S206" s="142">
        <f t="shared" si="47"/>
        <v>147</v>
      </c>
      <c r="T206" s="142">
        <f t="shared" si="47"/>
        <v>4</v>
      </c>
      <c r="U206" s="142">
        <f t="shared" si="47"/>
        <v>43487</v>
      </c>
      <c r="V206" s="142">
        <f t="shared" si="47"/>
        <v>43656</v>
      </c>
    </row>
    <row r="207" spans="1:22" ht="12" customHeight="1">
      <c r="A207" s="99">
        <v>1985</v>
      </c>
      <c r="B207" s="142">
        <f t="shared" ref="B207:K207" si="48">IF(AND(B159="-",B111="-",B63="-",B15="-"),"-",SUM(B159,B111,B63,B15))</f>
        <v>5203</v>
      </c>
      <c r="C207" s="142">
        <f t="shared" si="48"/>
        <v>4014</v>
      </c>
      <c r="D207" s="142">
        <f t="shared" si="48"/>
        <v>156</v>
      </c>
      <c r="E207" s="142">
        <f t="shared" si="48"/>
        <v>3743</v>
      </c>
      <c r="F207" s="142">
        <f t="shared" si="48"/>
        <v>2252</v>
      </c>
      <c r="G207" s="142">
        <f t="shared" si="48"/>
        <v>1910</v>
      </c>
      <c r="H207" s="142">
        <f t="shared" si="48"/>
        <v>299</v>
      </c>
      <c r="I207" s="142">
        <f t="shared" si="48"/>
        <v>592</v>
      </c>
      <c r="J207" s="142">
        <f t="shared" si="48"/>
        <v>12075</v>
      </c>
      <c r="K207" s="142">
        <f t="shared" si="48"/>
        <v>18169</v>
      </c>
      <c r="L207" s="16"/>
      <c r="M207" s="142">
        <f t="shared" ref="M207:V207" si="49">IF(AND(M159="-",M111="-",M63="-",M15="-"),"-",SUM(M159,M111,M63,M15))</f>
        <v>6</v>
      </c>
      <c r="N207" s="142">
        <f t="shared" si="49"/>
        <v>1</v>
      </c>
      <c r="O207" s="142">
        <f t="shared" si="49"/>
        <v>1911</v>
      </c>
      <c r="P207" s="142">
        <f t="shared" si="49"/>
        <v>33602</v>
      </c>
      <c r="Q207" s="142">
        <f t="shared" si="49"/>
        <v>29361</v>
      </c>
      <c r="R207" s="142">
        <f t="shared" si="49"/>
        <v>23573</v>
      </c>
      <c r="S207" s="142">
        <f t="shared" si="49"/>
        <v>37</v>
      </c>
      <c r="T207" s="142">
        <f t="shared" si="49"/>
        <v>4</v>
      </c>
      <c r="U207" s="142">
        <f t="shared" si="49"/>
        <v>88448</v>
      </c>
      <c r="V207" s="142">
        <f t="shared" si="49"/>
        <v>88495</v>
      </c>
    </row>
    <row r="208" spans="1:22" ht="12" customHeight="1">
      <c r="A208" s="99">
        <v>1986</v>
      </c>
      <c r="B208" s="142">
        <f t="shared" ref="B208:K208" si="50">IF(AND(B160="-",B112="-",B64="-",B16="-"),"-",SUM(B160,B112,B64,B16))</f>
        <v>3299</v>
      </c>
      <c r="C208" s="142">
        <f t="shared" si="50"/>
        <v>3891</v>
      </c>
      <c r="D208" s="142">
        <f t="shared" si="50"/>
        <v>4461</v>
      </c>
      <c r="E208" s="142">
        <f t="shared" si="50"/>
        <v>3688</v>
      </c>
      <c r="F208" s="142">
        <f t="shared" si="50"/>
        <v>418</v>
      </c>
      <c r="G208" s="142">
        <f t="shared" si="50"/>
        <v>0</v>
      </c>
      <c r="H208" s="142">
        <f t="shared" si="50"/>
        <v>0</v>
      </c>
      <c r="I208" s="142">
        <f t="shared" si="50"/>
        <v>615</v>
      </c>
      <c r="J208" s="142">
        <f t="shared" si="50"/>
        <v>12458</v>
      </c>
      <c r="K208" s="142">
        <f t="shared" si="50"/>
        <v>16372</v>
      </c>
      <c r="L208" s="16"/>
      <c r="M208" s="142">
        <f t="shared" ref="M208:V208" si="51">IF(AND(M160="-",M112="-",M64="-",M16="-"),"-",SUM(M160,M112,M64,M16))</f>
        <v>6</v>
      </c>
      <c r="N208" s="142">
        <f t="shared" si="51"/>
        <v>0</v>
      </c>
      <c r="O208" s="142">
        <f t="shared" si="51"/>
        <v>21166</v>
      </c>
      <c r="P208" s="142">
        <f t="shared" si="51"/>
        <v>51622</v>
      </c>
      <c r="Q208" s="142">
        <f t="shared" si="51"/>
        <v>11711</v>
      </c>
      <c r="R208" s="142">
        <f t="shared" si="51"/>
        <v>13</v>
      </c>
      <c r="S208" s="142">
        <f t="shared" si="51"/>
        <v>0</v>
      </c>
      <c r="T208" s="142">
        <f t="shared" si="51"/>
        <v>8</v>
      </c>
      <c r="U208" s="142">
        <f t="shared" si="51"/>
        <v>84512</v>
      </c>
      <c r="V208" s="142">
        <f t="shared" si="51"/>
        <v>84526</v>
      </c>
    </row>
    <row r="209" spans="1:22" ht="12" customHeight="1">
      <c r="A209" s="99">
        <v>1987</v>
      </c>
      <c r="B209" s="142">
        <f t="shared" ref="B209:K209" si="52">IF(AND(B161="-",B113="-",B65="-",B17="-"),"-",SUM(B161,B113,B65,B17))</f>
        <v>8410</v>
      </c>
      <c r="C209" s="142">
        <f t="shared" si="52"/>
        <v>8563</v>
      </c>
      <c r="D209" s="142">
        <f t="shared" si="52"/>
        <v>0</v>
      </c>
      <c r="E209" s="142">
        <f t="shared" si="52"/>
        <v>2181</v>
      </c>
      <c r="F209" s="142">
        <f t="shared" si="52"/>
        <v>7271</v>
      </c>
      <c r="G209" s="142">
        <f t="shared" si="52"/>
        <v>0</v>
      </c>
      <c r="H209" s="142">
        <f t="shared" si="52"/>
        <v>52</v>
      </c>
      <c r="I209" s="142">
        <f t="shared" si="52"/>
        <v>1530</v>
      </c>
      <c r="J209" s="142">
        <f t="shared" si="52"/>
        <v>18015</v>
      </c>
      <c r="K209" s="142">
        <f t="shared" si="52"/>
        <v>28007</v>
      </c>
      <c r="L209" s="16"/>
      <c r="M209" s="142">
        <f t="shared" ref="M209:V209" si="53">IF(AND(M161="-",M113="-",M65="-",M17="-"),"-",SUM(M161,M113,M65,M17))</f>
        <v>31</v>
      </c>
      <c r="N209" s="142">
        <f t="shared" si="53"/>
        <v>16</v>
      </c>
      <c r="O209" s="142">
        <f t="shared" si="53"/>
        <v>0</v>
      </c>
      <c r="P209" s="142">
        <f t="shared" si="53"/>
        <v>45619</v>
      </c>
      <c r="Q209" s="142">
        <f t="shared" si="53"/>
        <v>44040</v>
      </c>
      <c r="R209" s="142">
        <f t="shared" si="53"/>
        <v>0</v>
      </c>
      <c r="S209" s="142">
        <f t="shared" si="53"/>
        <v>33</v>
      </c>
      <c r="T209" s="142">
        <f t="shared" si="53"/>
        <v>0</v>
      </c>
      <c r="U209" s="142">
        <f t="shared" si="53"/>
        <v>89675</v>
      </c>
      <c r="V209" s="142">
        <f t="shared" si="53"/>
        <v>89739</v>
      </c>
    </row>
    <row r="210" spans="1:22" ht="12" customHeight="1">
      <c r="A210" s="99">
        <v>1988</v>
      </c>
      <c r="B210" s="142">
        <f t="shared" ref="B210:K210" si="54">IF(AND(B162="-",B114="-",B66="-",B18="-"),"-",SUM(B162,B114,B66,B18))</f>
        <v>6990</v>
      </c>
      <c r="C210" s="142">
        <f t="shared" si="54"/>
        <v>7714</v>
      </c>
      <c r="D210" s="142">
        <f t="shared" si="54"/>
        <v>9764</v>
      </c>
      <c r="E210" s="142">
        <f t="shared" si="54"/>
        <v>6379</v>
      </c>
      <c r="F210" s="142">
        <f t="shared" si="54"/>
        <v>6825</v>
      </c>
      <c r="G210" s="142">
        <f t="shared" si="54"/>
        <v>1968</v>
      </c>
      <c r="H210" s="142">
        <f t="shared" si="54"/>
        <v>0</v>
      </c>
      <c r="I210" s="142">
        <f t="shared" si="54"/>
        <v>1265</v>
      </c>
      <c r="J210" s="142">
        <f t="shared" si="54"/>
        <v>32650</v>
      </c>
      <c r="K210" s="142">
        <f t="shared" si="54"/>
        <v>40905</v>
      </c>
      <c r="L210" s="16"/>
      <c r="M210" s="142">
        <f t="shared" ref="M210:V210" si="55">IF(AND(M162="-",M114="-",M66="-",M18="-"),"-",SUM(M162,M114,M66,M18))</f>
        <v>3</v>
      </c>
      <c r="N210" s="142">
        <f t="shared" si="55"/>
        <v>0</v>
      </c>
      <c r="O210" s="142">
        <f t="shared" si="55"/>
        <v>114</v>
      </c>
      <c r="P210" s="142">
        <f t="shared" si="55"/>
        <v>11813</v>
      </c>
      <c r="Q210" s="142">
        <f t="shared" si="55"/>
        <v>46236</v>
      </c>
      <c r="R210" s="142">
        <f t="shared" si="55"/>
        <v>10167</v>
      </c>
      <c r="S210" s="142">
        <f t="shared" si="55"/>
        <v>0</v>
      </c>
      <c r="T210" s="142">
        <f t="shared" si="55"/>
        <v>15</v>
      </c>
      <c r="U210" s="142">
        <f t="shared" si="55"/>
        <v>68330</v>
      </c>
      <c r="V210" s="142">
        <f t="shared" si="55"/>
        <v>68348</v>
      </c>
    </row>
    <row r="211" spans="1:22" ht="12" customHeight="1">
      <c r="A211" s="99">
        <v>1989</v>
      </c>
      <c r="B211" s="142">
        <f t="shared" ref="B211:K211" si="56">IF(AND(B163="-",B115="-",B67="-",B19="-"),"-",SUM(B163,B115,B67,B19))</f>
        <v>4395</v>
      </c>
      <c r="C211" s="142">
        <f t="shared" si="56"/>
        <v>6711</v>
      </c>
      <c r="D211" s="142">
        <f t="shared" si="56"/>
        <v>7645</v>
      </c>
      <c r="E211" s="142">
        <f t="shared" si="56"/>
        <v>10111</v>
      </c>
      <c r="F211" s="142">
        <f t="shared" si="56"/>
        <v>5247</v>
      </c>
      <c r="G211" s="142">
        <f t="shared" si="56"/>
        <v>1582</v>
      </c>
      <c r="H211" s="142">
        <f t="shared" si="56"/>
        <v>0</v>
      </c>
      <c r="I211" s="142">
        <f t="shared" si="56"/>
        <v>8741</v>
      </c>
      <c r="J211" s="142">
        <f t="shared" si="56"/>
        <v>31296</v>
      </c>
      <c r="K211" s="142">
        <f t="shared" si="56"/>
        <v>44432</v>
      </c>
      <c r="L211" s="16"/>
      <c r="M211" s="142">
        <f t="shared" ref="M211:V211" si="57">IF(AND(M163="-",M115="-",M67="-",M19="-"),"-",SUM(M163,M115,M67,M19))</f>
        <v>1</v>
      </c>
      <c r="N211" s="142">
        <f t="shared" si="57"/>
        <v>1</v>
      </c>
      <c r="O211" s="142">
        <f t="shared" si="57"/>
        <v>0</v>
      </c>
      <c r="P211" s="142">
        <f t="shared" si="57"/>
        <v>31817</v>
      </c>
      <c r="Q211" s="142">
        <f t="shared" si="57"/>
        <v>23499</v>
      </c>
      <c r="R211" s="142">
        <f t="shared" si="57"/>
        <v>28590</v>
      </c>
      <c r="S211" s="142">
        <f t="shared" si="57"/>
        <v>0</v>
      </c>
      <c r="T211" s="142">
        <f t="shared" si="57"/>
        <v>32</v>
      </c>
      <c r="U211" s="142">
        <f t="shared" si="57"/>
        <v>83907</v>
      </c>
      <c r="V211" s="142">
        <f t="shared" si="57"/>
        <v>83940</v>
      </c>
    </row>
    <row r="212" spans="1:22" ht="12" customHeight="1">
      <c r="A212" s="99">
        <v>1990</v>
      </c>
      <c r="B212" s="142">
        <f t="shared" ref="B212:K212" si="58">IF(AND(B164="-",B116="-",B68="-",B20="-"),"-",SUM(B164,B116,B68,B20))</f>
        <v>6982</v>
      </c>
      <c r="C212" s="142">
        <f t="shared" si="58"/>
        <v>7504</v>
      </c>
      <c r="D212" s="142">
        <f t="shared" si="58"/>
        <v>7906</v>
      </c>
      <c r="E212" s="142">
        <f t="shared" si="58"/>
        <v>11270</v>
      </c>
      <c r="F212" s="142">
        <f t="shared" si="58"/>
        <v>2771</v>
      </c>
      <c r="G212" s="142">
        <f t="shared" si="58"/>
        <v>2690</v>
      </c>
      <c r="H212" s="142">
        <f t="shared" si="58"/>
        <v>8</v>
      </c>
      <c r="I212" s="142">
        <f t="shared" si="58"/>
        <v>1235</v>
      </c>
      <c r="J212" s="142">
        <f t="shared" si="58"/>
        <v>32141</v>
      </c>
      <c r="K212" s="142">
        <f t="shared" si="58"/>
        <v>40366</v>
      </c>
      <c r="L212" s="16"/>
      <c r="M212" s="142">
        <f t="shared" ref="M212:V212" si="59">IF(AND(M164="-",M116="-",M68="-",M20="-"),"-",SUM(M164,M116,M68,M20))</f>
        <v>2</v>
      </c>
      <c r="N212" s="142">
        <f t="shared" si="59"/>
        <v>0</v>
      </c>
      <c r="O212" s="142">
        <f t="shared" si="59"/>
        <v>1</v>
      </c>
      <c r="P212" s="142">
        <f t="shared" si="59"/>
        <v>20680</v>
      </c>
      <c r="Q212" s="142">
        <f t="shared" si="59"/>
        <v>54225</v>
      </c>
      <c r="R212" s="142">
        <f t="shared" si="59"/>
        <v>16485</v>
      </c>
      <c r="S212" s="142">
        <f t="shared" si="59"/>
        <v>1</v>
      </c>
      <c r="T212" s="142">
        <f t="shared" si="59"/>
        <v>8</v>
      </c>
      <c r="U212" s="142">
        <f t="shared" si="59"/>
        <v>91391</v>
      </c>
      <c r="V212" s="142">
        <f t="shared" si="59"/>
        <v>91402</v>
      </c>
    </row>
    <row r="213" spans="1:22" ht="12" customHeight="1">
      <c r="A213" s="99">
        <v>1991</v>
      </c>
      <c r="B213" s="142">
        <f t="shared" ref="B213:K213" si="60">IF(AND(B165="-",B117="-",B69="-",B21="-"),"-",SUM(B165,B117,B69,B21))</f>
        <v>5203</v>
      </c>
      <c r="C213" s="142">
        <f t="shared" si="60"/>
        <v>4456</v>
      </c>
      <c r="D213" s="142">
        <f t="shared" si="60"/>
        <v>6039</v>
      </c>
      <c r="E213" s="142">
        <f t="shared" si="60"/>
        <v>6875</v>
      </c>
      <c r="F213" s="142">
        <f t="shared" si="60"/>
        <v>4497</v>
      </c>
      <c r="G213" s="142">
        <f t="shared" si="60"/>
        <v>0</v>
      </c>
      <c r="H213" s="142">
        <f t="shared" si="60"/>
        <v>147</v>
      </c>
      <c r="I213" s="142">
        <f t="shared" si="60"/>
        <v>714</v>
      </c>
      <c r="J213" s="142">
        <f t="shared" si="60"/>
        <v>21867</v>
      </c>
      <c r="K213" s="142">
        <f t="shared" si="60"/>
        <v>27931</v>
      </c>
      <c r="L213" s="16"/>
      <c r="M213" s="142">
        <f t="shared" ref="M213:V213" si="61">IF(AND(M165="-",M117="-",M69="-",M21="-"),"-",SUM(M165,M117,M69,M21))</f>
        <v>8</v>
      </c>
      <c r="N213" s="142">
        <f t="shared" si="61"/>
        <v>0</v>
      </c>
      <c r="O213" s="142">
        <f t="shared" si="61"/>
        <v>0</v>
      </c>
      <c r="P213" s="142">
        <f t="shared" si="61"/>
        <v>38943</v>
      </c>
      <c r="Q213" s="142">
        <f t="shared" si="61"/>
        <v>38011</v>
      </c>
      <c r="R213" s="142">
        <f t="shared" si="61"/>
        <v>0</v>
      </c>
      <c r="S213" s="142">
        <f t="shared" si="61"/>
        <v>498</v>
      </c>
      <c r="T213" s="142">
        <f t="shared" si="61"/>
        <v>15</v>
      </c>
      <c r="U213" s="142">
        <f t="shared" si="61"/>
        <v>76954</v>
      </c>
      <c r="V213" s="142">
        <f t="shared" si="61"/>
        <v>77475</v>
      </c>
    </row>
    <row r="214" spans="1:22" ht="12" customHeight="1">
      <c r="A214" s="99">
        <v>1992</v>
      </c>
      <c r="B214" s="142">
        <f t="shared" ref="B214:K214" si="62">IF(AND(B166="-",B118="-",B70="-",B22="-"),"-",SUM(B166,B118,B70,B22))</f>
        <v>4131</v>
      </c>
      <c r="C214" s="142">
        <f t="shared" si="62"/>
        <v>8787</v>
      </c>
      <c r="D214" s="142">
        <f t="shared" si="62"/>
        <v>5538</v>
      </c>
      <c r="E214" s="142">
        <f t="shared" si="62"/>
        <v>4724</v>
      </c>
      <c r="F214" s="142">
        <f t="shared" si="62"/>
        <v>4027</v>
      </c>
      <c r="G214" s="142">
        <f t="shared" si="62"/>
        <v>0</v>
      </c>
      <c r="H214" s="142">
        <f t="shared" si="62"/>
        <v>0</v>
      </c>
      <c r="I214" s="142">
        <f t="shared" si="62"/>
        <v>3187</v>
      </c>
      <c r="J214" s="142">
        <f t="shared" si="62"/>
        <v>23076</v>
      </c>
      <c r="K214" s="142">
        <f t="shared" si="62"/>
        <v>30394</v>
      </c>
      <c r="L214" s="16"/>
      <c r="M214" s="142">
        <f t="shared" ref="M214:V214" si="63">IF(AND(M166="-",M118="-",M70="-",M22="-"),"-",SUM(M166,M118,M70,M22))</f>
        <v>0</v>
      </c>
      <c r="N214" s="142">
        <f t="shared" si="63"/>
        <v>2</v>
      </c>
      <c r="O214" s="142">
        <f t="shared" si="63"/>
        <v>3</v>
      </c>
      <c r="P214" s="142">
        <f t="shared" si="63"/>
        <v>40215</v>
      </c>
      <c r="Q214" s="142">
        <f t="shared" si="63"/>
        <v>35369</v>
      </c>
      <c r="R214" s="142">
        <f t="shared" si="63"/>
        <v>0</v>
      </c>
      <c r="S214" s="142">
        <f t="shared" si="63"/>
        <v>15</v>
      </c>
      <c r="T214" s="142">
        <f t="shared" si="63"/>
        <v>23</v>
      </c>
      <c r="U214" s="142">
        <f t="shared" si="63"/>
        <v>75589</v>
      </c>
      <c r="V214" s="142">
        <f t="shared" si="63"/>
        <v>75627</v>
      </c>
    </row>
    <row r="215" spans="1:22" ht="12" customHeight="1">
      <c r="A215" s="99">
        <v>1993</v>
      </c>
      <c r="B215" s="142">
        <f t="shared" ref="B215:K215" si="64">IF(AND(B167="-",B119="-",B71="-",B23="-"),"-",SUM(B167,B119,B71,B23))</f>
        <v>6280</v>
      </c>
      <c r="C215" s="142">
        <f t="shared" si="64"/>
        <v>7325</v>
      </c>
      <c r="D215" s="142">
        <f t="shared" si="64"/>
        <v>5217</v>
      </c>
      <c r="E215" s="142">
        <f t="shared" si="64"/>
        <v>5923</v>
      </c>
      <c r="F215" s="142">
        <f t="shared" si="64"/>
        <v>3648</v>
      </c>
      <c r="G215" s="142">
        <f t="shared" si="64"/>
        <v>2853</v>
      </c>
      <c r="H215" s="142">
        <f t="shared" si="64"/>
        <v>0</v>
      </c>
      <c r="I215" s="142">
        <f t="shared" si="64"/>
        <v>544</v>
      </c>
      <c r="J215" s="142">
        <f t="shared" si="64"/>
        <v>24966</v>
      </c>
      <c r="K215" s="142">
        <f t="shared" si="64"/>
        <v>31790</v>
      </c>
      <c r="L215" s="16"/>
      <c r="M215" s="142">
        <f t="shared" ref="M215:V215" si="65">IF(AND(M167="-",M119="-",M71="-",M23="-"),"-",SUM(M167,M119,M71,M23))</f>
        <v>1</v>
      </c>
      <c r="N215" s="142">
        <f t="shared" si="65"/>
        <v>1</v>
      </c>
      <c r="O215" s="142">
        <f t="shared" si="65"/>
        <v>0</v>
      </c>
      <c r="P215" s="142">
        <f t="shared" si="65"/>
        <v>6944</v>
      </c>
      <c r="Q215" s="142">
        <f t="shared" si="65"/>
        <v>25420</v>
      </c>
      <c r="R215" s="142">
        <f t="shared" si="65"/>
        <v>26375</v>
      </c>
      <c r="S215" s="142">
        <f t="shared" si="65"/>
        <v>0</v>
      </c>
      <c r="T215" s="142">
        <f t="shared" si="65"/>
        <v>0</v>
      </c>
      <c r="U215" s="142">
        <f t="shared" si="65"/>
        <v>58740</v>
      </c>
      <c r="V215" s="142">
        <f t="shared" si="65"/>
        <v>58741</v>
      </c>
    </row>
    <row r="216" spans="1:22" ht="12" customHeight="1">
      <c r="A216" s="99">
        <v>1994</v>
      </c>
      <c r="B216" s="142">
        <f t="shared" ref="B216:K216" si="66">IF(AND(B168="-",B120="-",B72="-",B24="-"),"-",SUM(B168,B120,B72,B24))</f>
        <v>1116</v>
      </c>
      <c r="C216" s="142">
        <f t="shared" si="66"/>
        <v>449</v>
      </c>
      <c r="D216" s="142">
        <f t="shared" si="66"/>
        <v>4113</v>
      </c>
      <c r="E216" s="142">
        <f t="shared" si="66"/>
        <v>8</v>
      </c>
      <c r="F216" s="142">
        <f t="shared" si="66"/>
        <v>0</v>
      </c>
      <c r="G216" s="142">
        <f t="shared" si="66"/>
        <v>0</v>
      </c>
      <c r="H216" s="142">
        <f t="shared" si="66"/>
        <v>0</v>
      </c>
      <c r="I216" s="142">
        <f t="shared" si="66"/>
        <v>99</v>
      </c>
      <c r="J216" s="142">
        <f t="shared" si="66"/>
        <v>4570</v>
      </c>
      <c r="K216" s="142">
        <f t="shared" si="66"/>
        <v>5785</v>
      </c>
      <c r="L216" s="16"/>
      <c r="M216" s="142">
        <f t="shared" ref="M216:V216" si="67">IF(AND(M168="-",M120="-",M72="-",M24="-"),"-",SUM(M168,M120,M72,M24))</f>
        <v>0</v>
      </c>
      <c r="N216" s="142">
        <f t="shared" si="67"/>
        <v>0</v>
      </c>
      <c r="O216" s="142">
        <f t="shared" si="67"/>
        <v>0</v>
      </c>
      <c r="P216" s="142">
        <f t="shared" si="67"/>
        <v>0</v>
      </c>
      <c r="Q216" s="142">
        <f t="shared" si="67"/>
        <v>0</v>
      </c>
      <c r="R216" s="142">
        <f t="shared" si="67"/>
        <v>0</v>
      </c>
      <c r="S216" s="142">
        <f t="shared" si="67"/>
        <v>0</v>
      </c>
      <c r="T216" s="142">
        <f t="shared" si="67"/>
        <v>0</v>
      </c>
      <c r="U216" s="142">
        <f t="shared" si="67"/>
        <v>0</v>
      </c>
      <c r="V216" s="142">
        <f t="shared" si="67"/>
        <v>0</v>
      </c>
    </row>
    <row r="217" spans="1:22" ht="12" customHeight="1">
      <c r="A217" s="99">
        <v>1995</v>
      </c>
      <c r="B217" s="142">
        <f t="shared" ref="B217:K217" si="68">IF(AND(B169="-",B121="-",B73="-",B25="-"),"-",SUM(B169,B121,B73,B25))</f>
        <v>1014</v>
      </c>
      <c r="C217" s="142">
        <f t="shared" si="68"/>
        <v>698</v>
      </c>
      <c r="D217" s="142">
        <f t="shared" si="68"/>
        <v>0</v>
      </c>
      <c r="E217" s="142">
        <f t="shared" si="68"/>
        <v>23</v>
      </c>
      <c r="F217" s="142">
        <f t="shared" si="68"/>
        <v>9044</v>
      </c>
      <c r="G217" s="142">
        <f t="shared" si="68"/>
        <v>0</v>
      </c>
      <c r="H217" s="142">
        <f t="shared" si="68"/>
        <v>0</v>
      </c>
      <c r="I217" s="142">
        <f t="shared" si="68"/>
        <v>875</v>
      </c>
      <c r="J217" s="142">
        <f t="shared" si="68"/>
        <v>9765</v>
      </c>
      <c r="K217" s="142">
        <f t="shared" si="68"/>
        <v>11654</v>
      </c>
      <c r="L217" s="16"/>
      <c r="M217" s="142">
        <f t="shared" ref="M217:V217" si="69">IF(AND(M169="-",M121="-",M73="-",M25="-"),"-",SUM(M169,M121,M73,M25))</f>
        <v>0</v>
      </c>
      <c r="N217" s="142">
        <f t="shared" si="69"/>
        <v>0</v>
      </c>
      <c r="O217" s="142">
        <f t="shared" si="69"/>
        <v>0</v>
      </c>
      <c r="P217" s="142">
        <f t="shared" si="69"/>
        <v>0</v>
      </c>
      <c r="Q217" s="142">
        <f t="shared" si="69"/>
        <v>31390</v>
      </c>
      <c r="R217" s="142">
        <f t="shared" si="69"/>
        <v>0</v>
      </c>
      <c r="S217" s="142">
        <f t="shared" si="69"/>
        <v>0</v>
      </c>
      <c r="T217" s="142">
        <f t="shared" si="69"/>
        <v>0</v>
      </c>
      <c r="U217" s="142">
        <f t="shared" si="69"/>
        <v>31390</v>
      </c>
      <c r="V217" s="142">
        <f t="shared" si="69"/>
        <v>31390</v>
      </c>
    </row>
    <row r="218" spans="1:22" ht="12" customHeight="1">
      <c r="A218" s="99">
        <v>1996</v>
      </c>
      <c r="B218" s="142">
        <f t="shared" ref="B218:K218" si="70">IF(AND(B170="-",B122="-",B74="-",B26="-"),"-",SUM(B170,B122,B74,B26))</f>
        <v>2561</v>
      </c>
      <c r="C218" s="142">
        <f t="shared" si="70"/>
        <v>1473</v>
      </c>
      <c r="D218" s="142">
        <f t="shared" si="70"/>
        <v>1974</v>
      </c>
      <c r="E218" s="142">
        <f t="shared" si="70"/>
        <v>457</v>
      </c>
      <c r="F218" s="142">
        <f t="shared" si="70"/>
        <v>4845</v>
      </c>
      <c r="G218" s="142">
        <f t="shared" si="70"/>
        <v>3561</v>
      </c>
      <c r="H218" s="142" t="str">
        <f t="shared" si="70"/>
        <v>-</v>
      </c>
      <c r="I218" s="142">
        <f t="shared" si="70"/>
        <v>81</v>
      </c>
      <c r="J218" s="142">
        <f t="shared" si="70"/>
        <v>12310</v>
      </c>
      <c r="K218" s="142">
        <f t="shared" si="70"/>
        <v>14952</v>
      </c>
      <c r="L218" s="16"/>
      <c r="M218" s="142">
        <f t="shared" ref="M218:V218" si="71">IF(AND(M170="-",M122="-",M74="-",M26="-"),"-",SUM(M170,M122,M74,M26))</f>
        <v>0</v>
      </c>
      <c r="N218" s="142">
        <f t="shared" si="71"/>
        <v>0</v>
      </c>
      <c r="O218" s="142">
        <f t="shared" si="71"/>
        <v>0</v>
      </c>
      <c r="P218" s="142">
        <f t="shared" si="71"/>
        <v>0</v>
      </c>
      <c r="Q218" s="142">
        <f t="shared" si="71"/>
        <v>4655</v>
      </c>
      <c r="R218" s="142">
        <f t="shared" si="71"/>
        <v>13885</v>
      </c>
      <c r="S218" s="142" t="str">
        <f t="shared" si="71"/>
        <v>-</v>
      </c>
      <c r="T218" s="142">
        <f t="shared" si="71"/>
        <v>0</v>
      </c>
      <c r="U218" s="142">
        <f t="shared" si="71"/>
        <v>18540</v>
      </c>
      <c r="V218" s="142">
        <f t="shared" si="71"/>
        <v>18540</v>
      </c>
    </row>
    <row r="219" spans="1:22" ht="12" customHeight="1">
      <c r="A219" s="99">
        <v>1997</v>
      </c>
      <c r="B219" s="142">
        <f t="shared" ref="B219:K219" si="72">IF(AND(B171="-",B123="-",B75="-",B27="-"),"-",SUM(B171,B123,B75,B27))</f>
        <v>439</v>
      </c>
      <c r="C219" s="142">
        <f t="shared" si="72"/>
        <v>819</v>
      </c>
      <c r="D219" s="142">
        <f t="shared" si="72"/>
        <v>7486</v>
      </c>
      <c r="E219" s="142">
        <f t="shared" si="72"/>
        <v>0</v>
      </c>
      <c r="F219" s="142">
        <f t="shared" si="72"/>
        <v>4720</v>
      </c>
      <c r="G219" s="142">
        <f t="shared" si="72"/>
        <v>1136</v>
      </c>
      <c r="H219" s="142" t="str">
        <f t="shared" si="72"/>
        <v>-</v>
      </c>
      <c r="I219" s="142">
        <f t="shared" si="72"/>
        <v>16</v>
      </c>
      <c r="J219" s="142">
        <f t="shared" si="72"/>
        <v>14161</v>
      </c>
      <c r="K219" s="142">
        <f t="shared" si="72"/>
        <v>14616</v>
      </c>
      <c r="L219" s="16"/>
      <c r="M219" s="142">
        <f t="shared" ref="M219:V219" si="73">IF(AND(M171="-",M123="-",M75="-",M27="-"),"-",SUM(M171,M123,M75,M27))</f>
        <v>0</v>
      </c>
      <c r="N219" s="142">
        <f t="shared" si="73"/>
        <v>0</v>
      </c>
      <c r="O219" s="142">
        <f t="shared" si="73"/>
        <v>0</v>
      </c>
      <c r="P219" s="142">
        <f t="shared" si="73"/>
        <v>0</v>
      </c>
      <c r="Q219" s="142">
        <f t="shared" si="73"/>
        <v>11481</v>
      </c>
      <c r="R219" s="142">
        <f t="shared" si="73"/>
        <v>4343</v>
      </c>
      <c r="S219" s="142" t="str">
        <f t="shared" si="73"/>
        <v>-</v>
      </c>
      <c r="T219" s="142">
        <f t="shared" si="73"/>
        <v>0</v>
      </c>
      <c r="U219" s="142">
        <f t="shared" si="73"/>
        <v>15824</v>
      </c>
      <c r="V219" s="142">
        <f t="shared" si="73"/>
        <v>15824</v>
      </c>
    </row>
    <row r="220" spans="1:22" ht="12" customHeight="1">
      <c r="A220" s="99">
        <v>1998</v>
      </c>
      <c r="B220" s="142">
        <f t="shared" ref="B220:K220" si="74">IF(AND(B172="-",B124="-",B76="-",B28="-"),"-",SUM(B172,B124,B76,B28))</f>
        <v>97</v>
      </c>
      <c r="C220" s="142">
        <f t="shared" si="74"/>
        <v>5189</v>
      </c>
      <c r="D220" s="142">
        <f t="shared" si="74"/>
        <v>4442</v>
      </c>
      <c r="E220" s="142">
        <f t="shared" si="74"/>
        <v>47</v>
      </c>
      <c r="F220" s="142">
        <f t="shared" si="74"/>
        <v>3860</v>
      </c>
      <c r="G220" s="142">
        <f t="shared" si="74"/>
        <v>1148</v>
      </c>
      <c r="H220" s="142" t="str">
        <f t="shared" si="74"/>
        <v>-</v>
      </c>
      <c r="I220" s="142">
        <f t="shared" si="74"/>
        <v>125</v>
      </c>
      <c r="J220" s="142">
        <f t="shared" si="74"/>
        <v>14686</v>
      </c>
      <c r="K220" s="142">
        <f t="shared" si="74"/>
        <v>14908</v>
      </c>
      <c r="L220" s="16"/>
      <c r="M220" s="142">
        <f t="shared" ref="M220:V220" si="75">IF(AND(M172="-",M124="-",M76="-",M28="-"),"-",SUM(M172,M124,M76,M28))</f>
        <v>0</v>
      </c>
      <c r="N220" s="142">
        <f t="shared" si="75"/>
        <v>0</v>
      </c>
      <c r="O220" s="142">
        <f t="shared" si="75"/>
        <v>0</v>
      </c>
      <c r="P220" s="142">
        <f t="shared" si="75"/>
        <v>74</v>
      </c>
      <c r="Q220" s="142">
        <f t="shared" si="75"/>
        <v>3855</v>
      </c>
      <c r="R220" s="142">
        <f t="shared" si="75"/>
        <v>4225</v>
      </c>
      <c r="S220" s="142" t="str">
        <f t="shared" si="75"/>
        <v>-</v>
      </c>
      <c r="T220" s="142">
        <f t="shared" si="75"/>
        <v>0</v>
      </c>
      <c r="U220" s="142">
        <f t="shared" si="75"/>
        <v>8154</v>
      </c>
      <c r="V220" s="142">
        <f t="shared" si="75"/>
        <v>8154</v>
      </c>
    </row>
    <row r="221" spans="1:22" ht="12" customHeight="1">
      <c r="A221" s="99">
        <v>1999</v>
      </c>
      <c r="B221" s="142">
        <f t="shared" ref="B221:K221" si="76">IF(AND(B173="-",B125="-",B77="-",B29="-"),"-",SUM(B173,B125,B77,B29))</f>
        <v>237</v>
      </c>
      <c r="C221" s="142">
        <f t="shared" si="76"/>
        <v>2536</v>
      </c>
      <c r="D221" s="142">
        <f t="shared" si="76"/>
        <v>15666</v>
      </c>
      <c r="E221" s="142">
        <f t="shared" si="76"/>
        <v>1530</v>
      </c>
      <c r="F221" s="142">
        <f t="shared" si="76"/>
        <v>4101</v>
      </c>
      <c r="G221" s="142">
        <f t="shared" si="76"/>
        <v>3619</v>
      </c>
      <c r="H221" s="142" t="str">
        <f t="shared" si="76"/>
        <v>-</v>
      </c>
      <c r="I221" s="142">
        <f t="shared" si="76"/>
        <v>15</v>
      </c>
      <c r="J221" s="142">
        <f t="shared" si="76"/>
        <v>27452</v>
      </c>
      <c r="K221" s="142">
        <f t="shared" si="76"/>
        <v>27704</v>
      </c>
      <c r="L221" s="16"/>
      <c r="M221" s="142">
        <f t="shared" ref="M221:V221" si="77">IF(AND(M173="-",M125="-",M77="-",M29="-"),"-",SUM(M173,M125,M77,M29))</f>
        <v>0</v>
      </c>
      <c r="N221" s="142">
        <f t="shared" si="77"/>
        <v>0</v>
      </c>
      <c r="O221" s="142">
        <f t="shared" si="77"/>
        <v>0</v>
      </c>
      <c r="P221" s="142">
        <f t="shared" si="77"/>
        <v>0</v>
      </c>
      <c r="Q221" s="142">
        <f t="shared" si="77"/>
        <v>13151</v>
      </c>
      <c r="R221" s="142">
        <f t="shared" si="77"/>
        <v>20213</v>
      </c>
      <c r="S221" s="142" t="str">
        <f t="shared" si="77"/>
        <v>-</v>
      </c>
      <c r="T221" s="142">
        <f t="shared" si="77"/>
        <v>0</v>
      </c>
      <c r="U221" s="142">
        <f t="shared" si="77"/>
        <v>33364</v>
      </c>
      <c r="V221" s="142">
        <f t="shared" si="77"/>
        <v>33364</v>
      </c>
    </row>
    <row r="222" spans="1:22" ht="12" customHeight="1">
      <c r="A222" s="99">
        <v>2000</v>
      </c>
      <c r="B222" s="142">
        <f t="shared" ref="B222:K222" si="78">IF(AND(B174="-",B126="-",B78="-",B30="-"),"-",SUM(B174,B126,B78,B30))</f>
        <v>141</v>
      </c>
      <c r="C222" s="142">
        <f t="shared" si="78"/>
        <v>2885</v>
      </c>
      <c r="D222" s="142">
        <f t="shared" si="78"/>
        <v>3052</v>
      </c>
      <c r="E222" s="142">
        <f t="shared" si="78"/>
        <v>196</v>
      </c>
      <c r="F222" s="142">
        <f t="shared" si="78"/>
        <v>1505</v>
      </c>
      <c r="G222" s="142">
        <f t="shared" si="78"/>
        <v>0</v>
      </c>
      <c r="H222" s="142" t="str">
        <f t="shared" si="78"/>
        <v>-</v>
      </c>
      <c r="I222" s="142">
        <f t="shared" si="78"/>
        <v>10</v>
      </c>
      <c r="J222" s="142">
        <f t="shared" si="78"/>
        <v>7638</v>
      </c>
      <c r="K222" s="142">
        <f t="shared" si="78"/>
        <v>7789</v>
      </c>
      <c r="L222" s="16"/>
      <c r="M222" s="142">
        <f t="shared" ref="M222:V222" si="79">IF(AND(M174="-",M126="-",M78="-",M30="-"),"-",SUM(M174,M126,M78,M30))</f>
        <v>0</v>
      </c>
      <c r="N222" s="142">
        <f t="shared" si="79"/>
        <v>0</v>
      </c>
      <c r="O222" s="142">
        <f t="shared" si="79"/>
        <v>1</v>
      </c>
      <c r="P222" s="142">
        <f t="shared" si="79"/>
        <v>0</v>
      </c>
      <c r="Q222" s="142">
        <f t="shared" si="79"/>
        <v>22174</v>
      </c>
      <c r="R222" s="142">
        <f t="shared" si="79"/>
        <v>0</v>
      </c>
      <c r="S222" s="142" t="str">
        <f t="shared" si="79"/>
        <v>-</v>
      </c>
      <c r="T222" s="142">
        <f t="shared" si="79"/>
        <v>0</v>
      </c>
      <c r="U222" s="142">
        <f t="shared" si="79"/>
        <v>22175</v>
      </c>
      <c r="V222" s="142">
        <f t="shared" si="79"/>
        <v>22175</v>
      </c>
    </row>
    <row r="223" spans="1:22" ht="12" customHeight="1">
      <c r="A223" s="99">
        <v>2001</v>
      </c>
      <c r="B223" s="142">
        <f t="shared" ref="B223:K223" si="80">IF(AND(B175="-",B127="-",B79="-",B31="-"),"-",SUM(B175,B127,B79,B31))</f>
        <v>1364</v>
      </c>
      <c r="C223" s="142">
        <f t="shared" si="80"/>
        <v>2278</v>
      </c>
      <c r="D223" s="142">
        <f t="shared" si="80"/>
        <v>13705</v>
      </c>
      <c r="E223" s="142">
        <f t="shared" si="80"/>
        <v>6561</v>
      </c>
      <c r="F223" s="142">
        <f t="shared" si="80"/>
        <v>2988</v>
      </c>
      <c r="G223" s="142">
        <f t="shared" si="80"/>
        <v>3311</v>
      </c>
      <c r="H223" s="142" t="str">
        <f t="shared" si="80"/>
        <v>-</v>
      </c>
      <c r="I223" s="142">
        <f t="shared" si="80"/>
        <v>273</v>
      </c>
      <c r="J223" s="142">
        <f t="shared" si="80"/>
        <v>28843</v>
      </c>
      <c r="K223" s="142">
        <f t="shared" si="80"/>
        <v>30480</v>
      </c>
      <c r="L223" s="16"/>
      <c r="M223" s="142">
        <f t="shared" ref="M223:V223" si="81">IF(AND(M175="-",M127="-",M79="-",M31="-"),"-",SUM(M175,M127,M79,M31))</f>
        <v>0</v>
      </c>
      <c r="N223" s="142">
        <f t="shared" si="81"/>
        <v>0</v>
      </c>
      <c r="O223" s="142">
        <f t="shared" si="81"/>
        <v>12</v>
      </c>
      <c r="P223" s="142">
        <f t="shared" si="81"/>
        <v>8510</v>
      </c>
      <c r="Q223" s="142">
        <f t="shared" si="81"/>
        <v>27984</v>
      </c>
      <c r="R223" s="142">
        <f t="shared" si="81"/>
        <v>22089</v>
      </c>
      <c r="S223" s="142" t="str">
        <f t="shared" si="81"/>
        <v>-</v>
      </c>
      <c r="T223" s="142">
        <f t="shared" si="81"/>
        <v>1</v>
      </c>
      <c r="U223" s="142">
        <f t="shared" si="81"/>
        <v>58595</v>
      </c>
      <c r="V223" s="142">
        <f t="shared" si="81"/>
        <v>58596</v>
      </c>
    </row>
    <row r="224" spans="1:22" ht="12" customHeight="1">
      <c r="A224" s="99">
        <v>2002</v>
      </c>
      <c r="B224" s="142">
        <f t="shared" ref="B224:K224" si="82">IF(AND(B176="-",B128="-",B80="-",B32="-"),"-",SUM(B176,B128,B80,B32))</f>
        <v>400</v>
      </c>
      <c r="C224" s="142">
        <f t="shared" si="82"/>
        <v>5364</v>
      </c>
      <c r="D224" s="142">
        <f t="shared" si="82"/>
        <v>11206</v>
      </c>
      <c r="E224" s="142">
        <f t="shared" si="82"/>
        <v>12079</v>
      </c>
      <c r="F224" s="142">
        <f t="shared" si="82"/>
        <v>8074</v>
      </c>
      <c r="G224" s="142">
        <f t="shared" si="82"/>
        <v>3123</v>
      </c>
      <c r="H224" s="142">
        <f t="shared" si="82"/>
        <v>30</v>
      </c>
      <c r="I224" s="142">
        <f t="shared" si="82"/>
        <v>25</v>
      </c>
      <c r="J224" s="142">
        <f t="shared" si="82"/>
        <v>39846</v>
      </c>
      <c r="K224" s="142">
        <f t="shared" si="82"/>
        <v>40301</v>
      </c>
      <c r="L224" s="16"/>
      <c r="M224" s="142">
        <f t="shared" ref="M224:V224" si="83">IF(AND(M176="-",M128="-",M80="-",M32="-"),"-",SUM(M176,M128,M80,M32))</f>
        <v>0</v>
      </c>
      <c r="N224" s="142">
        <f t="shared" si="83"/>
        <v>1</v>
      </c>
      <c r="O224" s="142">
        <f t="shared" si="83"/>
        <v>1</v>
      </c>
      <c r="P224" s="142">
        <f t="shared" si="83"/>
        <v>3449</v>
      </c>
      <c r="Q224" s="142">
        <f t="shared" si="83"/>
        <v>4929</v>
      </c>
      <c r="R224" s="142">
        <f t="shared" si="83"/>
        <v>9042</v>
      </c>
      <c r="S224" s="142">
        <f t="shared" si="83"/>
        <v>80</v>
      </c>
      <c r="T224" s="142">
        <f t="shared" si="83"/>
        <v>0</v>
      </c>
      <c r="U224" s="142">
        <f t="shared" si="83"/>
        <v>17422</v>
      </c>
      <c r="V224" s="142">
        <f t="shared" si="83"/>
        <v>17502</v>
      </c>
    </row>
    <row r="225" spans="1:22" ht="12" customHeight="1">
      <c r="A225" s="99">
        <v>2003</v>
      </c>
      <c r="B225" s="142">
        <f t="shared" ref="B225:K225" si="84">IF(AND(B177="-",B129="-",B81="-",B33="-"),"-",SUM(B177,B129,B81,B33))</f>
        <v>208</v>
      </c>
      <c r="C225" s="142">
        <f t="shared" si="84"/>
        <v>2856</v>
      </c>
      <c r="D225" s="142">
        <f t="shared" si="84"/>
        <v>13039</v>
      </c>
      <c r="E225" s="142">
        <f t="shared" si="84"/>
        <v>12935</v>
      </c>
      <c r="F225" s="142">
        <f t="shared" si="84"/>
        <v>5232</v>
      </c>
      <c r="G225" s="142">
        <f t="shared" si="84"/>
        <v>1110</v>
      </c>
      <c r="H225" s="142">
        <f t="shared" si="84"/>
        <v>35</v>
      </c>
      <c r="I225" s="142">
        <f t="shared" si="84"/>
        <v>3</v>
      </c>
      <c r="J225" s="142">
        <f t="shared" si="84"/>
        <v>35172</v>
      </c>
      <c r="K225" s="142">
        <f t="shared" si="84"/>
        <v>35418</v>
      </c>
      <c r="L225" s="59"/>
      <c r="M225" s="142">
        <f t="shared" ref="M225:V225" si="85">IF(AND(M177="-",M129="-",M81="-",M33="-"),"-",SUM(M177,M129,M81,M33))</f>
        <v>98</v>
      </c>
      <c r="N225" s="142">
        <f t="shared" si="85"/>
        <v>3</v>
      </c>
      <c r="O225" s="142">
        <f t="shared" si="85"/>
        <v>0</v>
      </c>
      <c r="P225" s="142">
        <f t="shared" si="85"/>
        <v>4449</v>
      </c>
      <c r="Q225" s="142">
        <f t="shared" si="85"/>
        <v>4276</v>
      </c>
      <c r="R225" s="142">
        <f t="shared" si="85"/>
        <v>2214</v>
      </c>
      <c r="S225" s="142">
        <f t="shared" si="85"/>
        <v>85</v>
      </c>
      <c r="T225" s="142">
        <f t="shared" si="85"/>
        <v>0</v>
      </c>
      <c r="U225" s="142">
        <f t="shared" si="85"/>
        <v>10942</v>
      </c>
      <c r="V225" s="142">
        <f t="shared" si="85"/>
        <v>11125</v>
      </c>
    </row>
    <row r="226" spans="1:22" ht="12" customHeight="1">
      <c r="A226" s="99">
        <v>2004</v>
      </c>
      <c r="B226" s="142">
        <f t="shared" ref="B226:K226" si="86">IF(AND(B178="-",B130="-",B82="-",B34="-"),"-",SUM(B178,B130,B82,B34))</f>
        <v>1555</v>
      </c>
      <c r="C226" s="142">
        <f t="shared" si="86"/>
        <v>9947</v>
      </c>
      <c r="D226" s="142">
        <f t="shared" si="86"/>
        <v>16977</v>
      </c>
      <c r="E226" s="142">
        <f t="shared" si="86"/>
        <v>10765</v>
      </c>
      <c r="F226" s="142">
        <f t="shared" si="86"/>
        <v>6960</v>
      </c>
      <c r="G226" s="142">
        <f t="shared" si="86"/>
        <v>5086</v>
      </c>
      <c r="H226" s="142">
        <f t="shared" si="86"/>
        <v>25</v>
      </c>
      <c r="I226" s="142">
        <f t="shared" si="86"/>
        <v>14588</v>
      </c>
      <c r="J226" s="142">
        <f t="shared" si="86"/>
        <v>49735</v>
      </c>
      <c r="K226" s="142">
        <f t="shared" si="86"/>
        <v>65903</v>
      </c>
      <c r="L226" s="59"/>
      <c r="M226" s="142">
        <f t="shared" ref="M226:V226" si="87">IF(AND(M178="-",M130="-",M82="-",M34="-"),"-",SUM(M178,M130,M82,M34))</f>
        <v>0</v>
      </c>
      <c r="N226" s="142">
        <f t="shared" si="87"/>
        <v>3</v>
      </c>
      <c r="O226" s="142">
        <f t="shared" si="87"/>
        <v>3</v>
      </c>
      <c r="P226" s="142">
        <f t="shared" si="87"/>
        <v>16133</v>
      </c>
      <c r="Q226" s="142">
        <f t="shared" si="87"/>
        <v>36684</v>
      </c>
      <c r="R226" s="142">
        <f t="shared" si="87"/>
        <v>9274</v>
      </c>
      <c r="S226" s="142">
        <f t="shared" si="87"/>
        <v>100</v>
      </c>
      <c r="T226" s="142">
        <f t="shared" si="87"/>
        <v>108</v>
      </c>
      <c r="U226" s="142">
        <f t="shared" si="87"/>
        <v>62097</v>
      </c>
      <c r="V226" s="142">
        <f t="shared" si="87"/>
        <v>62305</v>
      </c>
    </row>
    <row r="227" spans="1:22" ht="12" customHeight="1">
      <c r="A227" s="99">
        <v>2005</v>
      </c>
      <c r="B227" s="142">
        <f t="shared" ref="B227:K227" si="88">IF(AND(B179="-",B131="-",B83="-",B35="-"),"-",SUM(B179,B131,B83,B35))</f>
        <v>999</v>
      </c>
      <c r="C227" s="142">
        <f t="shared" si="88"/>
        <v>6858</v>
      </c>
      <c r="D227" s="142">
        <f t="shared" si="88"/>
        <v>18374</v>
      </c>
      <c r="E227" s="142">
        <f t="shared" si="88"/>
        <v>4971</v>
      </c>
      <c r="F227" s="142">
        <f t="shared" si="88"/>
        <v>8100</v>
      </c>
      <c r="G227" s="142">
        <f t="shared" si="88"/>
        <v>3672</v>
      </c>
      <c r="H227" s="142">
        <f t="shared" si="88"/>
        <v>0</v>
      </c>
      <c r="I227" s="142">
        <f t="shared" si="88"/>
        <v>3935</v>
      </c>
      <c r="J227" s="142">
        <f t="shared" si="88"/>
        <v>41975</v>
      </c>
      <c r="K227" s="142">
        <f t="shared" si="88"/>
        <v>46909</v>
      </c>
      <c r="L227" s="59"/>
      <c r="M227" s="142">
        <f t="shared" ref="M227:V227" si="89">IF(AND(M179="-",M131="-",M83="-",M35="-"),"-",SUM(M179,M131,M83,M35))</f>
        <v>3</v>
      </c>
      <c r="N227" s="142">
        <f t="shared" si="89"/>
        <v>3</v>
      </c>
      <c r="O227" s="142">
        <f t="shared" si="89"/>
        <v>1</v>
      </c>
      <c r="P227" s="142">
        <f t="shared" si="89"/>
        <v>3756</v>
      </c>
      <c r="Q227" s="142">
        <f t="shared" si="89"/>
        <v>15949</v>
      </c>
      <c r="R227" s="142">
        <f t="shared" si="89"/>
        <v>4288</v>
      </c>
      <c r="S227" s="142">
        <f t="shared" si="89"/>
        <v>0</v>
      </c>
      <c r="T227" s="142">
        <f t="shared" si="89"/>
        <v>41</v>
      </c>
      <c r="U227" s="142">
        <f t="shared" si="89"/>
        <v>23997</v>
      </c>
      <c r="V227" s="142">
        <f t="shared" si="89"/>
        <v>24041</v>
      </c>
    </row>
    <row r="228" spans="1:22" ht="12" customHeight="1">
      <c r="A228" s="99">
        <v>2006</v>
      </c>
      <c r="B228" s="142">
        <f t="shared" ref="B228:K228" si="90">IF(AND(B180="-",B132="-",B84="-",B36="-"),"-",SUM(B180,B132,B84,B36))</f>
        <v>163</v>
      </c>
      <c r="C228" s="142">
        <f t="shared" si="90"/>
        <v>2821</v>
      </c>
      <c r="D228" s="142">
        <f t="shared" si="90"/>
        <v>8341</v>
      </c>
      <c r="E228" s="142">
        <f t="shared" si="90"/>
        <v>7736</v>
      </c>
      <c r="F228" s="142">
        <f t="shared" si="90"/>
        <v>6690</v>
      </c>
      <c r="G228" s="142">
        <f t="shared" si="90"/>
        <v>4957</v>
      </c>
      <c r="H228" s="142">
        <f t="shared" si="90"/>
        <v>15</v>
      </c>
      <c r="I228" s="142">
        <f t="shared" si="90"/>
        <v>491</v>
      </c>
      <c r="J228" s="142">
        <f t="shared" si="90"/>
        <v>30545</v>
      </c>
      <c r="K228" s="142">
        <f t="shared" si="90"/>
        <v>31214</v>
      </c>
      <c r="L228" s="59"/>
      <c r="M228" s="142">
        <f t="shared" ref="M228:V228" si="91">IF(AND(M180="-",M132="-",M84="-",M36="-"),"-",SUM(M180,M132,M84,M36))</f>
        <v>2</v>
      </c>
      <c r="N228" s="142">
        <f t="shared" si="91"/>
        <v>16</v>
      </c>
      <c r="O228" s="142">
        <f t="shared" si="91"/>
        <v>102</v>
      </c>
      <c r="P228" s="142">
        <f t="shared" si="91"/>
        <v>10475</v>
      </c>
      <c r="Q228" s="142">
        <f t="shared" si="91"/>
        <v>10634</v>
      </c>
      <c r="R228" s="142">
        <f t="shared" si="91"/>
        <v>10711</v>
      </c>
      <c r="S228" s="142">
        <f t="shared" si="91"/>
        <v>5</v>
      </c>
      <c r="T228" s="142">
        <f t="shared" si="91"/>
        <v>0</v>
      </c>
      <c r="U228" s="142">
        <f t="shared" si="91"/>
        <v>31938</v>
      </c>
      <c r="V228" s="142">
        <f t="shared" si="91"/>
        <v>31945</v>
      </c>
    </row>
    <row r="229" spans="1:22" ht="12" customHeight="1">
      <c r="A229" s="99">
        <v>2007</v>
      </c>
      <c r="B229" s="142">
        <f t="shared" ref="B229:K229" si="92">IF(AND(B181="-",B133="-",B85="-",B37="-"),"-",SUM(B181,B133,B85,B37))</f>
        <v>2218</v>
      </c>
      <c r="C229" s="142">
        <f t="shared" si="92"/>
        <v>316</v>
      </c>
      <c r="D229" s="142">
        <f t="shared" si="92"/>
        <v>14629</v>
      </c>
      <c r="E229" s="142">
        <f t="shared" si="92"/>
        <v>3349</v>
      </c>
      <c r="F229" s="142">
        <f t="shared" si="92"/>
        <v>4579</v>
      </c>
      <c r="G229" s="142">
        <f t="shared" si="92"/>
        <v>70</v>
      </c>
      <c r="H229" s="142">
        <f t="shared" si="92"/>
        <v>0</v>
      </c>
      <c r="I229" s="142">
        <f t="shared" si="92"/>
        <v>1340</v>
      </c>
      <c r="J229" s="142">
        <f t="shared" si="92"/>
        <v>22943</v>
      </c>
      <c r="K229" s="142">
        <f t="shared" si="92"/>
        <v>26501</v>
      </c>
      <c r="L229" s="59"/>
      <c r="M229" s="142">
        <f t="shared" ref="M229:V229" si="93">IF(AND(M181="-",M133="-",M85="-",M37="-"),"-",SUM(M181,M133,M85,M37))</f>
        <v>0</v>
      </c>
      <c r="N229" s="142">
        <f t="shared" si="93"/>
        <v>0</v>
      </c>
      <c r="O229" s="142">
        <f t="shared" si="93"/>
        <v>12</v>
      </c>
      <c r="P229" s="142">
        <f t="shared" si="93"/>
        <v>22743</v>
      </c>
      <c r="Q229" s="142">
        <f t="shared" si="93"/>
        <v>16423</v>
      </c>
      <c r="R229" s="142">
        <f t="shared" si="93"/>
        <v>860</v>
      </c>
      <c r="S229" s="142">
        <f t="shared" si="93"/>
        <v>0</v>
      </c>
      <c r="T229" s="142">
        <f t="shared" si="93"/>
        <v>5</v>
      </c>
      <c r="U229" s="142">
        <f t="shared" si="93"/>
        <v>40038</v>
      </c>
      <c r="V229" s="142">
        <f t="shared" si="93"/>
        <v>40043</v>
      </c>
    </row>
    <row r="230" spans="1:22" ht="12" customHeight="1">
      <c r="A230" s="99">
        <v>2008</v>
      </c>
      <c r="B230" s="142">
        <f t="shared" ref="B230:K230" si="94">IF(AND(B182="-",B134="-",B86="-",B38="-"),"-",SUM(B182,B134,B86,B38))</f>
        <v>538</v>
      </c>
      <c r="C230" s="142">
        <f t="shared" si="94"/>
        <v>358</v>
      </c>
      <c r="D230" s="142">
        <f t="shared" si="94"/>
        <v>8864</v>
      </c>
      <c r="E230" s="142">
        <f t="shared" si="94"/>
        <v>2099</v>
      </c>
      <c r="F230" s="142">
        <f t="shared" si="94"/>
        <v>6007</v>
      </c>
      <c r="G230" s="142">
        <f t="shared" si="94"/>
        <v>3579</v>
      </c>
      <c r="H230" s="142">
        <f t="shared" si="94"/>
        <v>1</v>
      </c>
      <c r="I230" s="142">
        <f t="shared" si="94"/>
        <v>375</v>
      </c>
      <c r="J230" s="142">
        <f t="shared" si="94"/>
        <v>20907</v>
      </c>
      <c r="K230" s="142">
        <f t="shared" si="94"/>
        <v>21821</v>
      </c>
      <c r="L230" s="59"/>
      <c r="M230" s="142">
        <f t="shared" ref="M230:V230" si="95">IF(AND(M182="-",M134="-",M86="-",M38="-"),"-",SUM(M182,M134,M86,M38))</f>
        <v>17</v>
      </c>
      <c r="N230" s="142">
        <f t="shared" si="95"/>
        <v>0</v>
      </c>
      <c r="O230" s="142">
        <f t="shared" si="95"/>
        <v>18</v>
      </c>
      <c r="P230" s="142">
        <f t="shared" si="95"/>
        <v>865</v>
      </c>
      <c r="Q230" s="142">
        <f t="shared" si="95"/>
        <v>3561</v>
      </c>
      <c r="R230" s="142">
        <f t="shared" si="95"/>
        <v>9820</v>
      </c>
      <c r="S230" s="142">
        <f t="shared" si="95"/>
        <v>0</v>
      </c>
      <c r="T230" s="142">
        <f t="shared" si="95"/>
        <v>0</v>
      </c>
      <c r="U230" s="142">
        <f t="shared" si="95"/>
        <v>14264</v>
      </c>
      <c r="V230" s="142">
        <f t="shared" si="95"/>
        <v>14281</v>
      </c>
    </row>
    <row r="231" spans="1:22" ht="12" customHeight="1">
      <c r="A231" s="99">
        <v>2009</v>
      </c>
      <c r="B231" s="142">
        <f t="shared" ref="B231:K231" si="96">IF(AND(B183="-",B135="-",B87="-",B39="-"),"-",SUM(B183,B135,B87,B39))</f>
        <v>464</v>
      </c>
      <c r="C231" s="142">
        <f t="shared" si="96"/>
        <v>1491</v>
      </c>
      <c r="D231" s="142">
        <f t="shared" si="96"/>
        <v>5828</v>
      </c>
      <c r="E231" s="142">
        <f t="shared" si="96"/>
        <v>2329</v>
      </c>
      <c r="F231" s="142">
        <f t="shared" si="96"/>
        <v>2566</v>
      </c>
      <c r="G231" s="142">
        <f t="shared" si="96"/>
        <v>12</v>
      </c>
      <c r="H231" s="142">
        <f t="shared" si="96"/>
        <v>25</v>
      </c>
      <c r="I231" s="142">
        <f t="shared" si="96"/>
        <v>68</v>
      </c>
      <c r="J231" s="142">
        <f t="shared" si="96"/>
        <v>12226</v>
      </c>
      <c r="K231" s="142">
        <f t="shared" si="96"/>
        <v>12783</v>
      </c>
      <c r="L231" s="59"/>
      <c r="M231" s="142">
        <f t="shared" ref="M231:V231" si="97">IF(AND(M183="-",M135="-",M87="-",M39="-"),"-",SUM(M183,M135,M87,M39))</f>
        <v>0</v>
      </c>
      <c r="N231" s="142">
        <f t="shared" si="97"/>
        <v>0</v>
      </c>
      <c r="O231" s="142">
        <f t="shared" si="97"/>
        <v>0</v>
      </c>
      <c r="P231" s="142">
        <f t="shared" si="97"/>
        <v>25422</v>
      </c>
      <c r="Q231" s="142">
        <f t="shared" si="97"/>
        <v>35141</v>
      </c>
      <c r="R231" s="142">
        <f t="shared" si="97"/>
        <v>100</v>
      </c>
      <c r="S231" s="142">
        <f t="shared" si="97"/>
        <v>15</v>
      </c>
      <c r="T231" s="142">
        <f t="shared" si="97"/>
        <v>0</v>
      </c>
      <c r="U231" s="142">
        <f t="shared" si="97"/>
        <v>60663</v>
      </c>
      <c r="V231" s="142">
        <f t="shared" si="97"/>
        <v>60678</v>
      </c>
    </row>
    <row r="232" spans="1:22" ht="12" customHeight="1">
      <c r="A232" s="99">
        <v>2010</v>
      </c>
      <c r="B232" s="142">
        <f t="shared" ref="B232:K232" si="98">IF(AND(B184="-",B136="-",B88="-",B40="-"),"-",SUM(B184,B136,B88,B40))</f>
        <v>1722</v>
      </c>
      <c r="C232" s="142">
        <f t="shared" si="98"/>
        <v>1926</v>
      </c>
      <c r="D232" s="142">
        <f t="shared" si="98"/>
        <v>12150</v>
      </c>
      <c r="E232" s="142">
        <f t="shared" si="98"/>
        <v>6943</v>
      </c>
      <c r="F232" s="142">
        <f t="shared" si="98"/>
        <v>9693</v>
      </c>
      <c r="G232" s="142">
        <f t="shared" si="98"/>
        <v>1664</v>
      </c>
      <c r="H232" s="142">
        <f t="shared" si="98"/>
        <v>10</v>
      </c>
      <c r="I232" s="142">
        <f t="shared" si="98"/>
        <v>200</v>
      </c>
      <c r="J232" s="142">
        <f t="shared" si="98"/>
        <v>32376</v>
      </c>
      <c r="K232" s="142">
        <f t="shared" si="98"/>
        <v>34308</v>
      </c>
      <c r="L232" s="59"/>
      <c r="M232" s="142">
        <f t="shared" ref="M232:V232" si="99">IF(AND(M184="-",M136="-",M88="-",M40="-"),"-",SUM(M184,M136,M88,M40))</f>
        <v>0</v>
      </c>
      <c r="N232" s="142">
        <f t="shared" si="99"/>
        <v>2</v>
      </c>
      <c r="O232" s="142">
        <f t="shared" si="99"/>
        <v>63</v>
      </c>
      <c r="P232" s="142">
        <f t="shared" si="99"/>
        <v>2015</v>
      </c>
      <c r="Q232" s="142">
        <f t="shared" si="99"/>
        <v>5058</v>
      </c>
      <c r="R232" s="142">
        <f t="shared" si="99"/>
        <v>4323</v>
      </c>
      <c r="S232" s="142">
        <f t="shared" si="99"/>
        <v>15</v>
      </c>
      <c r="T232" s="142">
        <f t="shared" si="99"/>
        <v>12</v>
      </c>
      <c r="U232" s="142">
        <f t="shared" si="99"/>
        <v>11461</v>
      </c>
      <c r="V232" s="142">
        <f t="shared" si="99"/>
        <v>11488</v>
      </c>
    </row>
    <row r="233" spans="1:22" ht="12" customHeight="1">
      <c r="A233" s="99">
        <v>2011</v>
      </c>
      <c r="B233" s="142">
        <f t="shared" ref="B233:K233" si="100">IF(AND(B185="-",B137="-",B89="-",B41="-"),"-",SUM(B185,B137,B89,B41))</f>
        <v>2883</v>
      </c>
      <c r="C233" s="142">
        <f t="shared" si="100"/>
        <v>1120</v>
      </c>
      <c r="D233" s="142">
        <f t="shared" si="100"/>
        <v>8817</v>
      </c>
      <c r="E233" s="142">
        <f t="shared" si="100"/>
        <v>14761</v>
      </c>
      <c r="F233" s="142">
        <f t="shared" si="100"/>
        <v>6708</v>
      </c>
      <c r="G233" s="142">
        <f t="shared" si="100"/>
        <v>418</v>
      </c>
      <c r="H233" s="142">
        <f t="shared" si="100"/>
        <v>0</v>
      </c>
      <c r="I233" s="142">
        <f t="shared" si="100"/>
        <v>90</v>
      </c>
      <c r="J233" s="142">
        <f t="shared" si="100"/>
        <v>31824</v>
      </c>
      <c r="K233" s="142">
        <f t="shared" si="100"/>
        <v>34797</v>
      </c>
      <c r="L233" s="59"/>
      <c r="M233" s="142">
        <f t="shared" ref="M233:V233" si="101">IF(AND(M185="-",M137="-",M89="-",M41="-"),"-",SUM(M185,M137,M89,M41))</f>
        <v>2</v>
      </c>
      <c r="N233" s="142">
        <f t="shared" si="101"/>
        <v>0</v>
      </c>
      <c r="O233" s="142">
        <f t="shared" si="101"/>
        <v>0</v>
      </c>
      <c r="P233" s="142">
        <f t="shared" si="101"/>
        <v>2062</v>
      </c>
      <c r="Q233" s="142">
        <f t="shared" si="101"/>
        <v>4791</v>
      </c>
      <c r="R233" s="142">
        <f t="shared" si="101"/>
        <v>6711</v>
      </c>
      <c r="S233" s="142">
        <f t="shared" si="101"/>
        <v>0</v>
      </c>
      <c r="T233" s="142">
        <f t="shared" si="101"/>
        <v>2</v>
      </c>
      <c r="U233" s="142">
        <f t="shared" si="101"/>
        <v>13564</v>
      </c>
      <c r="V233" s="142">
        <f t="shared" si="101"/>
        <v>13568</v>
      </c>
    </row>
    <row r="234" spans="1:22" ht="12" customHeight="1">
      <c r="A234" s="99">
        <v>2012</v>
      </c>
      <c r="B234" s="142">
        <f t="shared" ref="B234:K234" si="102">IF(AND(B186="-",B138="-",B90="-",B42="-"),"-",SUM(B186,B138,B90,B42))</f>
        <v>1216</v>
      </c>
      <c r="C234" s="142">
        <f t="shared" si="102"/>
        <v>4465</v>
      </c>
      <c r="D234" s="142">
        <f t="shared" si="102"/>
        <v>20696</v>
      </c>
      <c r="E234" s="142">
        <f t="shared" si="102"/>
        <v>10144</v>
      </c>
      <c r="F234" s="142">
        <f t="shared" si="102"/>
        <v>14650</v>
      </c>
      <c r="G234" s="142">
        <f t="shared" si="102"/>
        <v>4834</v>
      </c>
      <c r="H234" s="142">
        <f t="shared" si="102"/>
        <v>10</v>
      </c>
      <c r="I234" s="142">
        <f t="shared" si="102"/>
        <v>335</v>
      </c>
      <c r="J234" s="142">
        <f t="shared" si="102"/>
        <v>54789</v>
      </c>
      <c r="K234" s="142">
        <f t="shared" si="102"/>
        <v>56350</v>
      </c>
      <c r="L234" s="59"/>
      <c r="M234" s="142">
        <f t="shared" ref="M234:V234" si="103">IF(AND(M186="-",M138="-",M90="-",M42="-"),"-",SUM(M186,M138,M90,M42))</f>
        <v>0</v>
      </c>
      <c r="N234" s="142">
        <f t="shared" si="103"/>
        <v>1</v>
      </c>
      <c r="O234" s="142">
        <f t="shared" si="103"/>
        <v>101</v>
      </c>
      <c r="P234" s="142">
        <f t="shared" si="103"/>
        <v>2769</v>
      </c>
      <c r="Q234" s="142">
        <f t="shared" si="103"/>
        <v>18790</v>
      </c>
      <c r="R234" s="142">
        <f t="shared" si="103"/>
        <v>15869</v>
      </c>
      <c r="S234" s="142">
        <f t="shared" si="103"/>
        <v>0</v>
      </c>
      <c r="T234" s="142">
        <f t="shared" si="103"/>
        <v>4</v>
      </c>
      <c r="U234" s="142">
        <f t="shared" si="103"/>
        <v>37530</v>
      </c>
      <c r="V234" s="142">
        <f t="shared" si="103"/>
        <v>37534</v>
      </c>
    </row>
    <row r="235" spans="1:22" ht="12" customHeight="1">
      <c r="A235" s="99">
        <v>2013</v>
      </c>
      <c r="B235" s="142">
        <f t="shared" ref="B235:K235" si="104">IF(AND(B187="-",B139="-",B91="-",B43="-"),"-",SUM(B187,B139,B91,B43))</f>
        <v>1661</v>
      </c>
      <c r="C235" s="142">
        <f t="shared" si="104"/>
        <v>11929</v>
      </c>
      <c r="D235" s="142">
        <f t="shared" si="104"/>
        <v>19103</v>
      </c>
      <c r="E235" s="142">
        <f t="shared" si="104"/>
        <v>9310</v>
      </c>
      <c r="F235" s="142">
        <f t="shared" si="104"/>
        <v>7916</v>
      </c>
      <c r="G235" s="142">
        <f t="shared" si="104"/>
        <v>2902</v>
      </c>
      <c r="H235" s="142">
        <f t="shared" si="104"/>
        <v>0</v>
      </c>
      <c r="I235" s="142">
        <f t="shared" si="104"/>
        <v>721</v>
      </c>
      <c r="J235" s="142">
        <f t="shared" si="104"/>
        <v>51160</v>
      </c>
      <c r="K235" s="142">
        <f t="shared" si="104"/>
        <v>53542</v>
      </c>
      <c r="L235" s="59"/>
      <c r="M235" s="142">
        <f t="shared" ref="M235:V235" si="105">IF(AND(M187="-",M139="-",M91="-",M43="-"),"-",SUM(M187,M139,M91,M43))</f>
        <v>3</v>
      </c>
      <c r="N235" s="142">
        <f t="shared" si="105"/>
        <v>0</v>
      </c>
      <c r="O235" s="142">
        <f t="shared" si="105"/>
        <v>7</v>
      </c>
      <c r="P235" s="142">
        <f t="shared" si="105"/>
        <v>7722</v>
      </c>
      <c r="Q235" s="142">
        <f t="shared" si="105"/>
        <v>36163</v>
      </c>
      <c r="R235" s="142">
        <f t="shared" si="105"/>
        <v>4376</v>
      </c>
      <c r="S235" s="142">
        <f t="shared" si="105"/>
        <v>0</v>
      </c>
      <c r="T235" s="142">
        <f t="shared" si="105"/>
        <v>11</v>
      </c>
      <c r="U235" s="142">
        <f t="shared" si="105"/>
        <v>48268</v>
      </c>
      <c r="V235" s="142">
        <f t="shared" si="105"/>
        <v>48282</v>
      </c>
    </row>
    <row r="236" spans="1:22" ht="12" customHeight="1">
      <c r="A236" s="99">
        <v>2014</v>
      </c>
      <c r="B236" s="142">
        <f t="shared" ref="B236:K236" si="106">IF(AND(B188="-",B140="-",B92="-",B44="-"),"-",SUM(B188,B140,B92,B44))</f>
        <v>3316</v>
      </c>
      <c r="C236" s="142">
        <f t="shared" si="106"/>
        <v>12608</v>
      </c>
      <c r="D236" s="142">
        <f t="shared" si="106"/>
        <v>17002</v>
      </c>
      <c r="E236" s="142">
        <f t="shared" si="106"/>
        <v>20643</v>
      </c>
      <c r="F236" s="142">
        <f t="shared" si="106"/>
        <v>8793</v>
      </c>
      <c r="G236" s="142">
        <f t="shared" si="106"/>
        <v>2715</v>
      </c>
      <c r="H236" s="142">
        <f t="shared" si="106"/>
        <v>0</v>
      </c>
      <c r="I236" s="142">
        <f t="shared" si="106"/>
        <v>267</v>
      </c>
      <c r="J236" s="142">
        <f t="shared" si="106"/>
        <v>61761</v>
      </c>
      <c r="K236" s="142">
        <f t="shared" si="106"/>
        <v>65344</v>
      </c>
      <c r="L236" s="59"/>
      <c r="M236" s="142">
        <f t="shared" ref="M236:V236" si="107">IF(AND(M188="-",M140="-",M92="-",M44="-"),"-",SUM(M188,M140,M92,M44))</f>
        <v>3</v>
      </c>
      <c r="N236" s="142">
        <f t="shared" si="107"/>
        <v>0</v>
      </c>
      <c r="O236" s="142">
        <f t="shared" si="107"/>
        <v>30</v>
      </c>
      <c r="P236" s="142">
        <f t="shared" si="107"/>
        <v>10405</v>
      </c>
      <c r="Q236" s="142">
        <f t="shared" si="107"/>
        <v>39231</v>
      </c>
      <c r="R236" s="142">
        <f t="shared" si="107"/>
        <v>6369</v>
      </c>
      <c r="S236" s="142">
        <f t="shared" si="107"/>
        <v>0</v>
      </c>
      <c r="T236" s="142">
        <f t="shared" si="107"/>
        <v>0</v>
      </c>
      <c r="U236" s="142">
        <f t="shared" si="107"/>
        <v>56035</v>
      </c>
      <c r="V236" s="142">
        <f t="shared" si="107"/>
        <v>56038</v>
      </c>
    </row>
    <row r="237" spans="1:22" ht="12" customHeight="1">
      <c r="A237" s="99">
        <v>2015</v>
      </c>
      <c r="B237" s="142">
        <f t="shared" ref="B237:K237" si="108">IF(AND(B189="-",B141="-",B93="-",B45="-"),"-",SUM(B189,B141,B93,B45))</f>
        <v>3249</v>
      </c>
      <c r="C237" s="142">
        <f t="shared" si="108"/>
        <v>7315</v>
      </c>
      <c r="D237" s="142">
        <f t="shared" si="108"/>
        <v>23697</v>
      </c>
      <c r="E237" s="142">
        <f t="shared" si="108"/>
        <v>23110</v>
      </c>
      <c r="F237" s="142">
        <f t="shared" si="108"/>
        <v>4031</v>
      </c>
      <c r="G237" s="142">
        <f t="shared" si="108"/>
        <v>786</v>
      </c>
      <c r="H237" s="142">
        <f t="shared" si="108"/>
        <v>0</v>
      </c>
      <c r="I237" s="142">
        <f t="shared" si="108"/>
        <v>17</v>
      </c>
      <c r="J237" s="142">
        <f t="shared" si="108"/>
        <v>58939</v>
      </c>
      <c r="K237" s="142">
        <f t="shared" si="108"/>
        <v>62205</v>
      </c>
      <c r="L237" s="59"/>
      <c r="M237" s="142">
        <f t="shared" ref="M237:V237" si="109">IF(AND(M189="-",M141="-",M93="-",M45="-"),"-",SUM(M189,M141,M93,M45))</f>
        <v>0</v>
      </c>
      <c r="N237" s="142">
        <f t="shared" si="109"/>
        <v>0</v>
      </c>
      <c r="O237" s="142">
        <f t="shared" si="109"/>
        <v>3</v>
      </c>
      <c r="P237" s="142">
        <f t="shared" si="109"/>
        <v>1994</v>
      </c>
      <c r="Q237" s="142">
        <f t="shared" si="109"/>
        <v>1307</v>
      </c>
      <c r="R237" s="142">
        <f t="shared" si="109"/>
        <v>706</v>
      </c>
      <c r="S237" s="142">
        <f t="shared" si="109"/>
        <v>0</v>
      </c>
      <c r="T237" s="142">
        <f t="shared" si="109"/>
        <v>2</v>
      </c>
      <c r="U237" s="142">
        <f t="shared" si="109"/>
        <v>4010</v>
      </c>
      <c r="V237" s="142">
        <f t="shared" si="109"/>
        <v>4012</v>
      </c>
    </row>
    <row r="238" spans="1:22" ht="12" customHeight="1">
      <c r="A238" s="99">
        <v>2016</v>
      </c>
      <c r="B238" s="142">
        <f t="shared" ref="B238:K238" si="110">IF(AND(B190="-",B142="-",B94="-",B46="-"),"-",SUM(B190,B142,B94,B46))</f>
        <v>244</v>
      </c>
      <c r="C238" s="142">
        <f t="shared" si="110"/>
        <v>2905</v>
      </c>
      <c r="D238" s="142">
        <f t="shared" si="110"/>
        <v>13752</v>
      </c>
      <c r="E238" s="142">
        <f t="shared" si="110"/>
        <v>5129</v>
      </c>
      <c r="F238" s="142">
        <f t="shared" si="110"/>
        <v>1310</v>
      </c>
      <c r="G238" s="142">
        <f t="shared" si="110"/>
        <v>5</v>
      </c>
      <c r="H238" s="142">
        <f t="shared" si="110"/>
        <v>0</v>
      </c>
      <c r="I238" s="142">
        <f t="shared" si="110"/>
        <v>183</v>
      </c>
      <c r="J238" s="142">
        <f t="shared" si="110"/>
        <v>23101</v>
      </c>
      <c r="K238" s="142">
        <f t="shared" si="110"/>
        <v>23528</v>
      </c>
      <c r="L238" s="59"/>
      <c r="M238" s="142">
        <f t="shared" ref="M238:V238" si="111">IF(AND(M190="-",M142="-",M94="-",M46="-"),"-",SUM(M190,M142,M94,M46))</f>
        <v>0</v>
      </c>
      <c r="N238" s="142">
        <f t="shared" si="111"/>
        <v>0</v>
      </c>
      <c r="O238" s="142">
        <f t="shared" si="111"/>
        <v>0</v>
      </c>
      <c r="P238" s="142">
        <f t="shared" si="111"/>
        <v>29</v>
      </c>
      <c r="Q238" s="142">
        <f t="shared" si="111"/>
        <v>15</v>
      </c>
      <c r="R238" s="142">
        <f t="shared" si="111"/>
        <v>0</v>
      </c>
      <c r="S238" s="142">
        <f t="shared" si="111"/>
        <v>1</v>
      </c>
      <c r="T238" s="142">
        <f t="shared" si="111"/>
        <v>1</v>
      </c>
      <c r="U238" s="142">
        <f t="shared" si="111"/>
        <v>44</v>
      </c>
      <c r="V238" s="142">
        <f t="shared" si="111"/>
        <v>46</v>
      </c>
    </row>
    <row r="239" spans="1:22" ht="12" customHeight="1">
      <c r="A239" s="99">
        <v>2017</v>
      </c>
      <c r="B239" s="142">
        <f t="shared" ref="B239:K239" si="112">IF(AND(B191="-",B143="-",B95="-",B47="-"),"-",SUM(B191,B143,B95,B47))</f>
        <v>1343</v>
      </c>
      <c r="C239" s="142">
        <f t="shared" si="112"/>
        <v>1253</v>
      </c>
      <c r="D239" s="142">
        <f t="shared" si="112"/>
        <v>2039</v>
      </c>
      <c r="E239" s="142">
        <f t="shared" si="112"/>
        <v>15772</v>
      </c>
      <c r="F239" s="142">
        <f t="shared" si="112"/>
        <v>4605</v>
      </c>
      <c r="G239" s="142">
        <f t="shared" si="112"/>
        <v>745</v>
      </c>
      <c r="H239" s="142">
        <f t="shared" si="112"/>
        <v>0</v>
      </c>
      <c r="I239" s="142">
        <f t="shared" si="112"/>
        <v>11</v>
      </c>
      <c r="J239" s="142">
        <f t="shared" si="112"/>
        <v>24414</v>
      </c>
      <c r="K239" s="142">
        <f t="shared" si="112"/>
        <v>25768</v>
      </c>
      <c r="L239" s="59"/>
      <c r="M239" s="142">
        <f t="shared" ref="M239:V239" si="113">IF(AND(M191="-",M143="-",M95="-",M47="-"),"-",SUM(M191,M143,M95,M47))</f>
        <v>0</v>
      </c>
      <c r="N239" s="142">
        <f t="shared" si="113"/>
        <v>0</v>
      </c>
      <c r="O239" s="142">
        <f t="shared" si="113"/>
        <v>0</v>
      </c>
      <c r="P239" s="142">
        <f t="shared" si="113"/>
        <v>1003</v>
      </c>
      <c r="Q239" s="142">
        <f t="shared" si="113"/>
        <v>7150</v>
      </c>
      <c r="R239" s="142">
        <f t="shared" si="113"/>
        <v>5197</v>
      </c>
      <c r="S239" s="142">
        <f t="shared" si="113"/>
        <v>0</v>
      </c>
      <c r="T239" s="142">
        <f t="shared" si="113"/>
        <v>0</v>
      </c>
      <c r="U239" s="142">
        <f t="shared" si="113"/>
        <v>13350</v>
      </c>
      <c r="V239" s="142">
        <f t="shared" si="113"/>
        <v>13350</v>
      </c>
    </row>
    <row r="240" spans="1:22" ht="12" customHeight="1">
      <c r="A240" s="99">
        <v>2018</v>
      </c>
      <c r="B240" s="142">
        <f t="shared" ref="B240:K240" si="114">IF(AND(B192="-",B144="-",B96="-",B48="-"),"-",SUM(B192,B144,B96,B48))</f>
        <v>798</v>
      </c>
      <c r="C240" s="142">
        <f t="shared" si="114"/>
        <v>1319</v>
      </c>
      <c r="D240" s="142">
        <f t="shared" si="114"/>
        <v>11756</v>
      </c>
      <c r="E240" s="142">
        <f t="shared" si="114"/>
        <v>8486</v>
      </c>
      <c r="F240" s="142">
        <f t="shared" si="114"/>
        <v>1883</v>
      </c>
      <c r="G240" s="142">
        <f t="shared" si="114"/>
        <v>459</v>
      </c>
      <c r="H240" s="142">
        <f t="shared" si="114"/>
        <v>0</v>
      </c>
      <c r="I240" s="142">
        <f t="shared" si="114"/>
        <v>129</v>
      </c>
      <c r="J240" s="142">
        <f t="shared" si="114"/>
        <v>23903</v>
      </c>
      <c r="K240" s="142">
        <f t="shared" si="114"/>
        <v>24830</v>
      </c>
      <c r="L240" s="59"/>
      <c r="M240" s="142">
        <f t="shared" ref="M240:V240" si="115">IF(AND(M192="-",M144="-",M96="-",M48="-"),"-",SUM(M192,M144,M96,M48))</f>
        <v>0</v>
      </c>
      <c r="N240" s="142">
        <f t="shared" si="115"/>
        <v>0</v>
      </c>
      <c r="O240" s="142">
        <f t="shared" si="115"/>
        <v>15</v>
      </c>
      <c r="P240" s="142">
        <f t="shared" si="115"/>
        <v>1751</v>
      </c>
      <c r="Q240" s="142">
        <f t="shared" si="115"/>
        <v>5512</v>
      </c>
      <c r="R240" s="142">
        <f t="shared" si="115"/>
        <v>4524</v>
      </c>
      <c r="S240" s="142">
        <f t="shared" si="115"/>
        <v>0</v>
      </c>
      <c r="T240" s="142">
        <f t="shared" si="115"/>
        <v>0</v>
      </c>
      <c r="U240" s="142">
        <f t="shared" si="115"/>
        <v>11802</v>
      </c>
      <c r="V240" s="142">
        <f t="shared" si="115"/>
        <v>11802</v>
      </c>
    </row>
    <row r="241" spans="1:22" ht="12" customHeight="1">
      <c r="A241" s="99">
        <v>2019</v>
      </c>
      <c r="B241" s="142">
        <f t="shared" ref="B241:K241" si="116">IF(AND(B193="-",B145="-",B97="-",B49="-"),"-",SUM(B193,B145,B97,B49))</f>
        <v>1001</v>
      </c>
      <c r="C241" s="142">
        <f t="shared" si="116"/>
        <v>809</v>
      </c>
      <c r="D241" s="142">
        <f t="shared" si="116"/>
        <v>2110</v>
      </c>
      <c r="E241" s="142">
        <f t="shared" si="116"/>
        <v>12314</v>
      </c>
      <c r="F241" s="142">
        <f t="shared" si="116"/>
        <v>2789</v>
      </c>
      <c r="G241" s="142">
        <f t="shared" si="116"/>
        <v>299</v>
      </c>
      <c r="H241" s="142">
        <f t="shared" si="116"/>
        <v>0</v>
      </c>
      <c r="I241" s="142">
        <f t="shared" si="116"/>
        <v>70</v>
      </c>
      <c r="J241" s="142">
        <f t="shared" si="116"/>
        <v>18321</v>
      </c>
      <c r="K241" s="142">
        <f t="shared" si="116"/>
        <v>19392</v>
      </c>
      <c r="L241" s="59"/>
      <c r="M241" s="142">
        <f t="shared" ref="M241:V241" si="117">IF(AND(M193="-",M145="-",M97="-",M49="-"),"-",SUM(M193,M145,M97,M49))</f>
        <v>0</v>
      </c>
      <c r="N241" s="142">
        <f t="shared" si="117"/>
        <v>0</v>
      </c>
      <c r="O241" s="142">
        <f t="shared" si="117"/>
        <v>0</v>
      </c>
      <c r="P241" s="142">
        <f t="shared" si="117"/>
        <v>14414</v>
      </c>
      <c r="Q241" s="142">
        <f t="shared" si="117"/>
        <v>33818</v>
      </c>
      <c r="R241" s="142">
        <f t="shared" si="117"/>
        <v>7273</v>
      </c>
      <c r="S241" s="142">
        <f t="shared" si="117"/>
        <v>0</v>
      </c>
      <c r="T241" s="142">
        <f t="shared" si="117"/>
        <v>0</v>
      </c>
      <c r="U241" s="142">
        <f t="shared" si="117"/>
        <v>55505</v>
      </c>
      <c r="V241" s="142">
        <f t="shared" si="117"/>
        <v>55505</v>
      </c>
    </row>
    <row r="242" spans="1:22" ht="12" customHeight="1">
      <c r="A242" s="99">
        <v>2020</v>
      </c>
      <c r="B242" s="142">
        <f t="shared" ref="B242:K243" si="118">IF(AND(B194="-",B146="-",B98="-",B50="-"),"-",SUM(B194,B146,B98,B50))</f>
        <v>661</v>
      </c>
      <c r="C242" s="142">
        <f t="shared" si="118"/>
        <v>8</v>
      </c>
      <c r="D242" s="142">
        <f t="shared" si="118"/>
        <v>23</v>
      </c>
      <c r="E242" s="142">
        <f t="shared" si="118"/>
        <v>622</v>
      </c>
      <c r="F242" s="142">
        <f t="shared" si="118"/>
        <v>1718</v>
      </c>
      <c r="G242" s="142">
        <f t="shared" si="118"/>
        <v>66</v>
      </c>
      <c r="H242" s="142">
        <f t="shared" si="118"/>
        <v>0</v>
      </c>
      <c r="I242" s="142">
        <f>IF(AND(I194="-",I146="-",I98="-",I50="-"),"-",SUM(I194,I146,I98,I50))</f>
        <v>0</v>
      </c>
      <c r="J242" s="142">
        <f t="shared" si="118"/>
        <v>2437</v>
      </c>
      <c r="K242" s="142">
        <f t="shared" si="118"/>
        <v>3098</v>
      </c>
      <c r="L242" s="59"/>
      <c r="M242" s="142">
        <f t="shared" ref="M242:V243" si="119">IF(AND(M194="-",M146="-",M98="-",M50="-"),"-",SUM(M194,M146,M98,M50))</f>
        <v>0</v>
      </c>
      <c r="N242" s="142">
        <f t="shared" si="119"/>
        <v>0</v>
      </c>
      <c r="O242" s="142">
        <f t="shared" si="119"/>
        <v>0</v>
      </c>
      <c r="P242" s="142">
        <f t="shared" si="119"/>
        <v>587</v>
      </c>
      <c r="Q242" s="142">
        <f t="shared" si="119"/>
        <v>10864</v>
      </c>
      <c r="R242" s="142">
        <f t="shared" si="119"/>
        <v>2940</v>
      </c>
      <c r="S242" s="142">
        <f t="shared" si="119"/>
        <v>0</v>
      </c>
      <c r="T242" s="142">
        <f t="shared" si="119"/>
        <v>0</v>
      </c>
      <c r="U242" s="142">
        <f>IF(AND(U194="-",U146="-",U98="-",U50="-"),"-",SUM(U194,U146,U98,U50))</f>
        <v>14391</v>
      </c>
      <c r="V242" s="142">
        <f t="shared" si="119"/>
        <v>14391</v>
      </c>
    </row>
    <row r="243" spans="1:22" ht="12" customHeight="1">
      <c r="A243" s="99" t="s">
        <v>316</v>
      </c>
      <c r="B243" s="15">
        <f t="shared" si="118"/>
        <v>88</v>
      </c>
      <c r="C243" s="15">
        <f t="shared" si="118"/>
        <v>421</v>
      </c>
      <c r="D243" s="15">
        <f t="shared" si="118"/>
        <v>2144</v>
      </c>
      <c r="E243" s="15">
        <f t="shared" si="118"/>
        <v>3761</v>
      </c>
      <c r="F243" s="15">
        <f t="shared" si="118"/>
        <v>1668</v>
      </c>
      <c r="G243" s="15">
        <f t="shared" si="118"/>
        <v>233</v>
      </c>
      <c r="H243" s="15">
        <f t="shared" si="118"/>
        <v>0</v>
      </c>
      <c r="I243" s="15">
        <f>IF(AND(I195="-",I147="-",I99="-",I51="-"),"-",SUM(I195,I147,I99,I51))</f>
        <v>0</v>
      </c>
      <c r="J243" s="15">
        <f t="shared" si="118"/>
        <v>8227</v>
      </c>
      <c r="K243" s="15">
        <f t="shared" si="118"/>
        <v>8315</v>
      </c>
      <c r="L243" s="107"/>
      <c r="M243" s="15">
        <f t="shared" si="119"/>
        <v>0</v>
      </c>
      <c r="N243" s="15">
        <f t="shared" si="119"/>
        <v>0</v>
      </c>
      <c r="O243" s="15">
        <f t="shared" si="119"/>
        <v>0</v>
      </c>
      <c r="P243" s="15">
        <f t="shared" si="119"/>
        <v>1039</v>
      </c>
      <c r="Q243" s="15">
        <f t="shared" si="119"/>
        <v>14995</v>
      </c>
      <c r="R243" s="15">
        <f t="shared" si="119"/>
        <v>10377</v>
      </c>
      <c r="S243" s="15">
        <f t="shared" si="119"/>
        <v>0</v>
      </c>
      <c r="T243" s="15">
        <f t="shared" si="119"/>
        <v>0</v>
      </c>
      <c r="U243" s="15">
        <f>IF(AND(U195="-",U147="-",U99="-",U51="-"),"-",SUM(U195,U147,U99,U51))</f>
        <v>26411</v>
      </c>
      <c r="V243" s="15">
        <f t="shared" si="119"/>
        <v>26411</v>
      </c>
    </row>
    <row r="244" spans="1:22" ht="12" customHeight="1">
      <c r="A244" s="71" t="s">
        <v>69</v>
      </c>
      <c r="B244" s="71"/>
      <c r="C244" s="71"/>
      <c r="D244" s="71"/>
      <c r="E244" s="71"/>
      <c r="F244" s="71"/>
      <c r="G244" s="71"/>
      <c r="H244" s="71"/>
      <c r="I244" s="71"/>
      <c r="J244" s="71"/>
      <c r="K244" s="71"/>
      <c r="L244" s="71"/>
      <c r="M244" s="71"/>
      <c r="N244" s="71"/>
      <c r="O244" s="71"/>
      <c r="P244" s="71"/>
      <c r="Q244" s="71"/>
      <c r="R244" s="71"/>
      <c r="S244" s="71"/>
      <c r="T244" s="71"/>
      <c r="U244" s="71"/>
      <c r="V244" s="71"/>
    </row>
    <row r="245" spans="1:22" ht="12" customHeight="1">
      <c r="A245" s="99" t="s">
        <v>12</v>
      </c>
    </row>
    <row r="246" spans="1:22" ht="12" customHeight="1"/>
    <row r="247" spans="1:22" ht="12" customHeight="1"/>
    <row r="248" spans="1:22" ht="12" customHeight="1"/>
    <row r="249" spans="1:22" ht="12" customHeight="1"/>
    <row r="250" spans="1:22" s="199" customFormat="1" ht="12" customHeight="1">
      <c r="A250" s="158"/>
      <c r="B250" s="160"/>
      <c r="C250" s="160"/>
      <c r="D250" s="160"/>
      <c r="E250" s="160"/>
      <c r="F250" s="160"/>
      <c r="G250" s="160"/>
      <c r="H250" s="160"/>
      <c r="I250" s="160"/>
      <c r="J250" s="160"/>
      <c r="K250" s="160"/>
      <c r="L250" s="160"/>
      <c r="M250" s="160"/>
      <c r="N250" s="160"/>
      <c r="O250" s="160"/>
      <c r="P250" s="160"/>
      <c r="Q250" s="160"/>
      <c r="R250" s="160"/>
      <c r="S250" s="160"/>
      <c r="T250" s="160"/>
      <c r="U250" s="160"/>
      <c r="V250" s="168"/>
    </row>
    <row r="251" spans="1:22" ht="12" customHeight="1"/>
    <row r="252" spans="1:22" ht="12" customHeight="1"/>
    <row r="253" spans="1:22" ht="12" customHeight="1"/>
    <row r="254" spans="1:22" ht="12" customHeight="1"/>
    <row r="255" spans="1:22" ht="12" customHeight="1"/>
    <row r="256" spans="1:22" ht="12" customHeight="1"/>
    <row r="257" spans="1:22" ht="12" customHeight="1"/>
    <row r="258" spans="1:22" ht="12" customHeight="1"/>
    <row r="259" spans="1:22" ht="12" customHeight="1"/>
    <row r="260" spans="1:22" ht="12" customHeight="1"/>
    <row r="261" spans="1:22" ht="12" customHeight="1"/>
    <row r="262" spans="1:22" ht="11.25" customHeight="1">
      <c r="A262" s="283" t="s">
        <v>130</v>
      </c>
      <c r="B262" s="283"/>
      <c r="C262" s="283"/>
      <c r="D262" s="283"/>
      <c r="E262" s="283"/>
      <c r="F262" s="283"/>
      <c r="G262" s="283"/>
      <c r="H262" s="283"/>
      <c r="I262" s="283"/>
      <c r="J262" s="283"/>
      <c r="K262" s="283"/>
      <c r="L262" s="283"/>
      <c r="M262" s="283"/>
      <c r="N262" s="283"/>
      <c r="O262" s="283"/>
      <c r="P262" s="283"/>
      <c r="Q262" s="283"/>
      <c r="R262" s="283"/>
      <c r="S262" s="283"/>
      <c r="T262" s="283"/>
      <c r="U262" s="283"/>
      <c r="V262" s="283"/>
    </row>
    <row r="263" spans="1:22" ht="11.25" customHeight="1">
      <c r="A263" s="344" t="s">
        <v>27</v>
      </c>
      <c r="B263" s="262"/>
      <c r="C263" s="262"/>
      <c r="D263" s="262"/>
      <c r="E263" s="262"/>
      <c r="F263" s="262"/>
      <c r="G263" s="262"/>
      <c r="H263" s="262"/>
      <c r="I263" s="262"/>
      <c r="J263" s="284" t="s">
        <v>55</v>
      </c>
      <c r="K263" s="284"/>
      <c r="L263" s="262"/>
      <c r="M263" s="262"/>
      <c r="N263" s="262"/>
      <c r="O263" s="262"/>
      <c r="P263" s="262"/>
      <c r="Q263" s="262"/>
      <c r="R263" s="262"/>
      <c r="S263" s="262"/>
      <c r="T263" s="262"/>
      <c r="U263" s="284" t="s">
        <v>55</v>
      </c>
      <c r="V263" s="284"/>
    </row>
    <row r="264" spans="1:22" ht="11.25" customHeight="1">
      <c r="A264" s="275"/>
      <c r="B264" s="15" t="s">
        <v>65</v>
      </c>
      <c r="C264" s="15" t="s">
        <v>29</v>
      </c>
      <c r="D264" s="15" t="s">
        <v>30</v>
      </c>
      <c r="E264" s="15" t="s">
        <v>31</v>
      </c>
      <c r="F264" s="15" t="s">
        <v>32</v>
      </c>
      <c r="G264" s="15" t="s">
        <v>33</v>
      </c>
      <c r="H264" s="15" t="s">
        <v>218</v>
      </c>
      <c r="I264" s="37" t="s">
        <v>67</v>
      </c>
      <c r="J264" s="37" t="s">
        <v>68</v>
      </c>
      <c r="K264" s="15" t="s">
        <v>46</v>
      </c>
      <c r="L264" s="15"/>
      <c r="M264" s="15" t="s">
        <v>65</v>
      </c>
      <c r="N264" s="15" t="s">
        <v>29</v>
      </c>
      <c r="O264" s="15" t="s">
        <v>30</v>
      </c>
      <c r="P264" s="15" t="s">
        <v>31</v>
      </c>
      <c r="Q264" s="15" t="s">
        <v>32</v>
      </c>
      <c r="R264" s="15" t="s">
        <v>33</v>
      </c>
      <c r="S264" s="15" t="s">
        <v>218</v>
      </c>
      <c r="T264" s="37" t="s">
        <v>67</v>
      </c>
      <c r="U264" s="37" t="s">
        <v>68</v>
      </c>
      <c r="V264" s="15" t="s">
        <v>46</v>
      </c>
    </row>
    <row r="265" spans="1:22" ht="11.25" customHeight="1">
      <c r="A265" s="94"/>
      <c r="B265" s="334" t="s">
        <v>61</v>
      </c>
      <c r="C265" s="334"/>
      <c r="D265" s="334"/>
      <c r="E265" s="334"/>
      <c r="F265" s="334"/>
      <c r="G265" s="334"/>
      <c r="H265" s="334"/>
      <c r="I265" s="334"/>
      <c r="J265" s="334"/>
      <c r="K265" s="334"/>
      <c r="M265" s="334" t="s">
        <v>62</v>
      </c>
      <c r="N265" s="334"/>
      <c r="O265" s="334"/>
      <c r="P265" s="334"/>
      <c r="Q265" s="334"/>
      <c r="R265" s="334"/>
      <c r="S265" s="334"/>
      <c r="T265" s="334"/>
      <c r="U265" s="334"/>
      <c r="V265" s="334"/>
    </row>
    <row r="266" spans="1:22" ht="11.25" customHeight="1">
      <c r="A266" s="94" t="s">
        <v>66</v>
      </c>
    </row>
    <row r="267" spans="1:22" ht="11.25" customHeight="1">
      <c r="A267" s="99" t="s">
        <v>24</v>
      </c>
      <c r="B267" s="24">
        <f t="shared" ref="B267:K267" si="120">AVERAGE(B11:B15)</f>
        <v>13108.6</v>
      </c>
      <c r="C267" s="142">
        <f t="shared" si="120"/>
        <v>1066</v>
      </c>
      <c r="D267" s="142">
        <f t="shared" si="120"/>
        <v>247.8</v>
      </c>
      <c r="E267" s="142">
        <f t="shared" si="120"/>
        <v>93.8</v>
      </c>
      <c r="F267" s="142">
        <f t="shared" si="120"/>
        <v>49</v>
      </c>
      <c r="G267" s="142">
        <f t="shared" si="120"/>
        <v>28.6</v>
      </c>
      <c r="H267" s="142">
        <f t="shared" si="120"/>
        <v>144.80000000000001</v>
      </c>
      <c r="I267" s="24">
        <f t="shared" si="120"/>
        <v>823</v>
      </c>
      <c r="J267" s="24">
        <f t="shared" si="120"/>
        <v>1485.2</v>
      </c>
      <c r="K267" s="142">
        <f t="shared" si="120"/>
        <v>15561.6</v>
      </c>
      <c r="M267" s="24">
        <f t="shared" ref="M267:V267" si="121">AVERAGE(M11:M15)</f>
        <v>41.6</v>
      </c>
      <c r="N267" s="142">
        <f t="shared" si="121"/>
        <v>244.6</v>
      </c>
      <c r="O267" s="142">
        <f t="shared" si="121"/>
        <v>184</v>
      </c>
      <c r="P267" s="142">
        <f t="shared" si="121"/>
        <v>825.4</v>
      </c>
      <c r="Q267" s="142">
        <f t="shared" si="121"/>
        <v>1014.6</v>
      </c>
      <c r="R267" s="142">
        <f t="shared" si="121"/>
        <v>207.6</v>
      </c>
      <c r="S267" s="142">
        <f t="shared" si="121"/>
        <v>35.799999999999997</v>
      </c>
      <c r="T267" s="24">
        <f t="shared" si="121"/>
        <v>7</v>
      </c>
      <c r="U267" s="24">
        <f t="shared" si="121"/>
        <v>2476.1999999999998</v>
      </c>
      <c r="V267" s="142">
        <f t="shared" si="121"/>
        <v>2560.6</v>
      </c>
    </row>
    <row r="268" spans="1:22" ht="11.25" customHeight="1">
      <c r="A268" s="99" t="s">
        <v>78</v>
      </c>
      <c r="B268" s="24">
        <f t="shared" ref="B268:K268" si="122">AVERAGE(B16:B20)</f>
        <v>6008.8</v>
      </c>
      <c r="C268" s="142">
        <f t="shared" si="122"/>
        <v>2540</v>
      </c>
      <c r="D268" s="142">
        <f t="shared" si="122"/>
        <v>1745.8</v>
      </c>
      <c r="E268" s="142">
        <f t="shared" si="122"/>
        <v>284.2</v>
      </c>
      <c r="F268" s="142">
        <f t="shared" si="122"/>
        <v>323</v>
      </c>
      <c r="G268" s="142">
        <f t="shared" si="122"/>
        <v>63.4</v>
      </c>
      <c r="H268" s="142">
        <f t="shared" si="122"/>
        <v>12</v>
      </c>
      <c r="I268" s="24">
        <f t="shared" si="122"/>
        <v>2677</v>
      </c>
      <c r="J268" s="24">
        <f t="shared" si="122"/>
        <v>4956.3999999999996</v>
      </c>
      <c r="K268" s="142">
        <f t="shared" si="122"/>
        <v>13654.2</v>
      </c>
      <c r="M268" s="24">
        <f t="shared" ref="M268:V268" si="123">AVERAGE(M16:M20)</f>
        <v>8.6</v>
      </c>
      <c r="N268" s="142">
        <f t="shared" si="123"/>
        <v>0.2</v>
      </c>
      <c r="O268" s="142">
        <f t="shared" si="123"/>
        <v>64.599999999999994</v>
      </c>
      <c r="P268" s="142">
        <f t="shared" si="123"/>
        <v>2150</v>
      </c>
      <c r="Q268" s="142">
        <f t="shared" si="123"/>
        <v>7766.4</v>
      </c>
      <c r="R268" s="142">
        <f t="shared" si="123"/>
        <v>812.6</v>
      </c>
      <c r="S268" s="142">
        <f t="shared" si="123"/>
        <v>6.8</v>
      </c>
      <c r="T268" s="24">
        <f t="shared" si="123"/>
        <v>12.6</v>
      </c>
      <c r="U268" s="24">
        <f t="shared" si="123"/>
        <v>10793.8</v>
      </c>
      <c r="V268" s="142">
        <f t="shared" si="123"/>
        <v>10821.8</v>
      </c>
    </row>
    <row r="269" spans="1:22" ht="11.25" customHeight="1">
      <c r="A269" s="99" t="s">
        <v>10</v>
      </c>
      <c r="B269" s="24">
        <f>AVERAGE(B21:B25)</f>
        <v>3548.8</v>
      </c>
      <c r="C269" s="142">
        <f t="shared" ref="C269:K269" si="124">AVERAGE(C21:C25)</f>
        <v>467.4</v>
      </c>
      <c r="D269" s="142">
        <f t="shared" si="124"/>
        <v>865.2</v>
      </c>
      <c r="E269" s="142">
        <f t="shared" si="124"/>
        <v>60</v>
      </c>
      <c r="F269" s="142">
        <f t="shared" si="124"/>
        <v>281.8</v>
      </c>
      <c r="G269" s="142">
        <f t="shared" si="124"/>
        <v>2.4</v>
      </c>
      <c r="H269" s="142">
        <f t="shared" si="124"/>
        <v>147</v>
      </c>
      <c r="I269" s="24">
        <f t="shared" si="124"/>
        <v>1067.8</v>
      </c>
      <c r="J269" s="24">
        <f t="shared" si="124"/>
        <v>1676.8</v>
      </c>
      <c r="K269" s="142">
        <f t="shared" si="124"/>
        <v>6322.8</v>
      </c>
      <c r="M269" s="24">
        <f t="shared" ref="M269:V269" si="125">AVERAGE(M21:M25)</f>
        <v>1.8</v>
      </c>
      <c r="N269" s="142">
        <f t="shared" si="125"/>
        <v>0</v>
      </c>
      <c r="O269" s="142">
        <f t="shared" si="125"/>
        <v>0</v>
      </c>
      <c r="P269" s="142">
        <f t="shared" si="125"/>
        <v>554.20000000000005</v>
      </c>
      <c r="Q269" s="142">
        <f t="shared" si="125"/>
        <v>4036</v>
      </c>
      <c r="R269" s="142">
        <f t="shared" si="125"/>
        <v>30</v>
      </c>
      <c r="S269" s="142">
        <f t="shared" si="125"/>
        <v>256.5</v>
      </c>
      <c r="T269" s="24">
        <f t="shared" si="125"/>
        <v>6.6</v>
      </c>
      <c r="U269" s="24">
        <f t="shared" si="125"/>
        <v>4620.2</v>
      </c>
      <c r="V269" s="142">
        <f t="shared" si="125"/>
        <v>4731.2</v>
      </c>
    </row>
    <row r="270" spans="1:22" ht="11.25" customHeight="1">
      <c r="A270" s="99" t="s">
        <v>144</v>
      </c>
      <c r="B270" s="24">
        <f>AVERAGE(B26:B30)</f>
        <v>693.8</v>
      </c>
      <c r="C270" s="142">
        <f t="shared" ref="C270:K270" si="126">AVERAGE(C26:C30)</f>
        <v>371.4</v>
      </c>
      <c r="D270" s="142">
        <f t="shared" si="126"/>
        <v>459.4</v>
      </c>
      <c r="E270" s="142">
        <f t="shared" si="126"/>
        <v>25.4</v>
      </c>
      <c r="F270" s="142">
        <f t="shared" si="126"/>
        <v>113</v>
      </c>
      <c r="G270" s="142">
        <f t="shared" si="126"/>
        <v>30.6</v>
      </c>
      <c r="H270" s="142" t="s">
        <v>23</v>
      </c>
      <c r="I270" s="24">
        <f t="shared" si="126"/>
        <v>32.4</v>
      </c>
      <c r="J270" s="24">
        <f t="shared" si="126"/>
        <v>999.8</v>
      </c>
      <c r="K270" s="142">
        <f t="shared" si="126"/>
        <v>1726</v>
      </c>
      <c r="M270" s="24">
        <f t="shared" ref="M270:V270" si="127">AVERAGE(M26:M30)</f>
        <v>0</v>
      </c>
      <c r="N270" s="142">
        <f t="shared" si="127"/>
        <v>0</v>
      </c>
      <c r="O270" s="142">
        <f t="shared" si="127"/>
        <v>0</v>
      </c>
      <c r="P270" s="142">
        <f t="shared" si="127"/>
        <v>0</v>
      </c>
      <c r="Q270" s="142">
        <f t="shared" si="127"/>
        <v>1221</v>
      </c>
      <c r="R270" s="142">
        <f t="shared" si="127"/>
        <v>132</v>
      </c>
      <c r="S270" s="142" t="s">
        <v>23</v>
      </c>
      <c r="T270" s="24">
        <f t="shared" si="127"/>
        <v>0</v>
      </c>
      <c r="U270" s="24">
        <f t="shared" si="127"/>
        <v>1353</v>
      </c>
      <c r="V270" s="142">
        <f t="shared" si="127"/>
        <v>1353</v>
      </c>
    </row>
    <row r="271" spans="1:22" ht="11.25" customHeight="1">
      <c r="A271" s="99" t="s">
        <v>166</v>
      </c>
      <c r="B271" s="24">
        <f t="shared" ref="B271:G271" si="128">AVERAGE(B31:B35)</f>
        <v>894.2</v>
      </c>
      <c r="C271" s="142">
        <f t="shared" si="128"/>
        <v>387.6</v>
      </c>
      <c r="D271" s="142">
        <f t="shared" si="128"/>
        <v>2299</v>
      </c>
      <c r="E271" s="142">
        <f t="shared" si="128"/>
        <v>521.79999999999995</v>
      </c>
      <c r="F271" s="142">
        <f t="shared" si="128"/>
        <v>485</v>
      </c>
      <c r="G271" s="142">
        <f t="shared" si="128"/>
        <v>358.4</v>
      </c>
      <c r="H271" s="142" t="str">
        <f>H31</f>
        <v>-</v>
      </c>
      <c r="I271" s="24">
        <f t="shared" ref="I271:R271" si="129">AVERAGE(I31:I35)</f>
        <v>3764.8</v>
      </c>
      <c r="J271" s="24">
        <f t="shared" si="129"/>
        <v>4051.8</v>
      </c>
      <c r="K271" s="142">
        <f t="shared" si="129"/>
        <v>8710.7999999999993</v>
      </c>
      <c r="L271" s="142" t="e">
        <f t="shared" si="129"/>
        <v>#DIV/0!</v>
      </c>
      <c r="M271" s="24">
        <f t="shared" si="129"/>
        <v>0.6</v>
      </c>
      <c r="N271" s="142">
        <f t="shared" si="129"/>
        <v>0</v>
      </c>
      <c r="O271" s="142">
        <f t="shared" si="129"/>
        <v>0.2</v>
      </c>
      <c r="P271" s="142">
        <f t="shared" si="129"/>
        <v>1309</v>
      </c>
      <c r="Q271" s="142">
        <f t="shared" si="129"/>
        <v>3196.8</v>
      </c>
      <c r="R271" s="142">
        <f t="shared" si="129"/>
        <v>545</v>
      </c>
      <c r="S271" s="142" t="str">
        <f>S31</f>
        <v>-</v>
      </c>
      <c r="T271" s="24">
        <f>AVERAGE(T31:T35)</f>
        <v>30</v>
      </c>
      <c r="U271" s="24">
        <f>AVERAGE(U31:U35)</f>
        <v>5051</v>
      </c>
      <c r="V271" s="142">
        <f>AVERAGE(V31:V35)</f>
        <v>5081.6000000000004</v>
      </c>
    </row>
    <row r="272" spans="1:22" ht="11.25" customHeight="1">
      <c r="A272" s="99" t="s">
        <v>315</v>
      </c>
      <c r="B272" s="24">
        <f>AVERAGE(B36:B40)</f>
        <v>1008.8</v>
      </c>
      <c r="C272" s="142">
        <f t="shared" ref="C272:V272" si="130">AVERAGE(C36:C40)</f>
        <v>476</v>
      </c>
      <c r="D272" s="142">
        <f t="shared" si="130"/>
        <v>2139.8000000000002</v>
      </c>
      <c r="E272" s="142">
        <f t="shared" si="130"/>
        <v>397.6</v>
      </c>
      <c r="F272" s="142">
        <f t="shared" si="130"/>
        <v>503.8</v>
      </c>
      <c r="G272" s="142">
        <f t="shared" si="130"/>
        <v>42.2</v>
      </c>
      <c r="H272" s="142" t="str">
        <f>H36</f>
        <v>-</v>
      </c>
      <c r="I272" s="24">
        <f t="shared" si="130"/>
        <v>487.8</v>
      </c>
      <c r="J272" s="24">
        <f t="shared" si="130"/>
        <v>3559.4</v>
      </c>
      <c r="K272" s="142">
        <f t="shared" si="130"/>
        <v>5056</v>
      </c>
      <c r="L272" s="142"/>
      <c r="M272" s="24">
        <f t="shared" si="130"/>
        <v>0</v>
      </c>
      <c r="N272" s="24">
        <f t="shared" si="130"/>
        <v>0.2</v>
      </c>
      <c r="O272" s="142">
        <f t="shared" si="130"/>
        <v>2.2000000000000002</v>
      </c>
      <c r="P272" s="142">
        <f t="shared" si="130"/>
        <v>1019.6</v>
      </c>
      <c r="Q272" s="142">
        <f t="shared" si="130"/>
        <v>1018.4</v>
      </c>
      <c r="R272" s="142">
        <f t="shared" si="130"/>
        <v>27.2</v>
      </c>
      <c r="S272" s="142" t="str">
        <f>S36</f>
        <v>-</v>
      </c>
      <c r="T272" s="24">
        <f t="shared" si="130"/>
        <v>3.4</v>
      </c>
      <c r="U272" s="24">
        <f t="shared" si="130"/>
        <v>2067.6</v>
      </c>
      <c r="V272" s="142">
        <f t="shared" si="130"/>
        <v>2071</v>
      </c>
    </row>
    <row r="273" spans="1:22" ht="11.25" customHeight="1">
      <c r="A273" s="99">
        <v>2011</v>
      </c>
      <c r="B273" s="24">
        <f t="shared" ref="B273:K273" si="131">B41</f>
        <v>2883</v>
      </c>
      <c r="C273" s="142">
        <f t="shared" si="131"/>
        <v>585</v>
      </c>
      <c r="D273" s="142">
        <f t="shared" si="131"/>
        <v>373</v>
      </c>
      <c r="E273" s="142">
        <f t="shared" si="131"/>
        <v>46</v>
      </c>
      <c r="F273" s="142">
        <f t="shared" si="131"/>
        <v>15</v>
      </c>
      <c r="G273" s="142">
        <f t="shared" si="131"/>
        <v>0</v>
      </c>
      <c r="H273" s="142" t="str">
        <f t="shared" si="131"/>
        <v>-</v>
      </c>
      <c r="I273" s="24">
        <f t="shared" si="131"/>
        <v>90</v>
      </c>
      <c r="J273" s="24">
        <f t="shared" si="131"/>
        <v>1019</v>
      </c>
      <c r="K273" s="142">
        <f t="shared" si="131"/>
        <v>3992</v>
      </c>
      <c r="M273" s="24">
        <f t="shared" ref="M273:V273" si="132">M41</f>
        <v>2</v>
      </c>
      <c r="N273" s="142">
        <f t="shared" si="132"/>
        <v>0</v>
      </c>
      <c r="O273" s="142">
        <f t="shared" si="132"/>
        <v>0</v>
      </c>
      <c r="P273" s="142">
        <f t="shared" si="132"/>
        <v>10</v>
      </c>
      <c r="Q273" s="142">
        <f t="shared" si="132"/>
        <v>13</v>
      </c>
      <c r="R273" s="142">
        <f t="shared" si="132"/>
        <v>0</v>
      </c>
      <c r="S273" s="142" t="str">
        <f t="shared" si="132"/>
        <v>-</v>
      </c>
      <c r="T273" s="24">
        <f t="shared" si="132"/>
        <v>2</v>
      </c>
      <c r="U273" s="24">
        <f t="shared" si="132"/>
        <v>23</v>
      </c>
      <c r="V273" s="142">
        <f t="shared" si="132"/>
        <v>27</v>
      </c>
    </row>
    <row r="274" spans="1:22" ht="11.25" customHeight="1">
      <c r="A274" s="99">
        <v>2012</v>
      </c>
      <c r="B274" s="24">
        <f t="shared" ref="B274:K274" si="133">B42</f>
        <v>1216</v>
      </c>
      <c r="C274" s="142">
        <f t="shared" si="133"/>
        <v>635</v>
      </c>
      <c r="D274" s="142">
        <f t="shared" si="133"/>
        <v>699</v>
      </c>
      <c r="E274" s="142">
        <f t="shared" si="133"/>
        <v>651</v>
      </c>
      <c r="F274" s="142">
        <f t="shared" si="133"/>
        <v>295</v>
      </c>
      <c r="G274" s="142">
        <f t="shared" si="133"/>
        <v>43</v>
      </c>
      <c r="H274" s="142" t="str">
        <f t="shared" si="133"/>
        <v>-</v>
      </c>
      <c r="I274" s="24">
        <f t="shared" si="133"/>
        <v>335</v>
      </c>
      <c r="J274" s="24">
        <f t="shared" si="133"/>
        <v>2323</v>
      </c>
      <c r="K274" s="142">
        <f t="shared" si="133"/>
        <v>3874</v>
      </c>
      <c r="M274" s="24">
        <f t="shared" ref="M274:V274" si="134">M42</f>
        <v>0</v>
      </c>
      <c r="N274" s="142">
        <f t="shared" si="134"/>
        <v>0</v>
      </c>
      <c r="O274" s="142">
        <f t="shared" si="134"/>
        <v>2</v>
      </c>
      <c r="P274" s="142">
        <f t="shared" si="134"/>
        <v>235</v>
      </c>
      <c r="Q274" s="142">
        <f t="shared" si="134"/>
        <v>229</v>
      </c>
      <c r="R274" s="142">
        <f t="shared" si="134"/>
        <v>166</v>
      </c>
      <c r="S274" s="142" t="str">
        <f t="shared" si="134"/>
        <v>-</v>
      </c>
      <c r="T274" s="24">
        <f t="shared" si="134"/>
        <v>4</v>
      </c>
      <c r="U274" s="24">
        <f t="shared" si="134"/>
        <v>632</v>
      </c>
      <c r="V274" s="142">
        <f t="shared" si="134"/>
        <v>636</v>
      </c>
    </row>
    <row r="275" spans="1:22" ht="11.25" customHeight="1">
      <c r="A275" s="99">
        <v>2013</v>
      </c>
      <c r="B275" s="24">
        <f t="shared" ref="B275:K275" si="135">B43</f>
        <v>1661</v>
      </c>
      <c r="C275" s="142">
        <f t="shared" si="135"/>
        <v>1989</v>
      </c>
      <c r="D275" s="142">
        <f t="shared" si="135"/>
        <v>2468</v>
      </c>
      <c r="E275" s="142">
        <f t="shared" si="135"/>
        <v>223</v>
      </c>
      <c r="F275" s="142">
        <f t="shared" si="135"/>
        <v>383</v>
      </c>
      <c r="G275" s="142">
        <f t="shared" si="135"/>
        <v>10</v>
      </c>
      <c r="H275" s="142" t="str">
        <f t="shared" si="135"/>
        <v>-</v>
      </c>
      <c r="I275" s="24">
        <f t="shared" si="135"/>
        <v>721</v>
      </c>
      <c r="J275" s="24">
        <f t="shared" si="135"/>
        <v>5073</v>
      </c>
      <c r="K275" s="142">
        <f t="shared" si="135"/>
        <v>7455</v>
      </c>
      <c r="M275" s="24">
        <f t="shared" ref="M275:V275" si="136">M43</f>
        <v>3</v>
      </c>
      <c r="N275" s="142">
        <f t="shared" si="136"/>
        <v>0</v>
      </c>
      <c r="O275" s="142">
        <f t="shared" si="136"/>
        <v>0</v>
      </c>
      <c r="P275" s="142">
        <f t="shared" si="136"/>
        <v>378</v>
      </c>
      <c r="Q275" s="142">
        <f t="shared" si="136"/>
        <v>454</v>
      </c>
      <c r="R275" s="142">
        <f t="shared" si="136"/>
        <v>354</v>
      </c>
      <c r="S275" s="142" t="str">
        <f t="shared" si="136"/>
        <v>-</v>
      </c>
      <c r="T275" s="24">
        <f t="shared" si="136"/>
        <v>10</v>
      </c>
      <c r="U275" s="24">
        <f t="shared" si="136"/>
        <v>1186</v>
      </c>
      <c r="V275" s="142">
        <f t="shared" si="136"/>
        <v>1199</v>
      </c>
    </row>
    <row r="276" spans="1:22" ht="11.25" customHeight="1">
      <c r="A276" s="99">
        <v>2014</v>
      </c>
      <c r="B276" s="24">
        <f t="shared" ref="B276:K276" si="137">B44</f>
        <v>3316</v>
      </c>
      <c r="C276" s="142">
        <f t="shared" si="137"/>
        <v>819</v>
      </c>
      <c r="D276" s="142">
        <f t="shared" si="137"/>
        <v>3051</v>
      </c>
      <c r="E276" s="142">
        <f t="shared" si="137"/>
        <v>20</v>
      </c>
      <c r="F276" s="142">
        <f t="shared" si="137"/>
        <v>22</v>
      </c>
      <c r="G276" s="142">
        <f t="shared" si="137"/>
        <v>12</v>
      </c>
      <c r="H276" s="142" t="str">
        <f t="shared" si="137"/>
        <v>-</v>
      </c>
      <c r="I276" s="24">
        <f t="shared" si="137"/>
        <v>267</v>
      </c>
      <c r="J276" s="24">
        <f t="shared" si="137"/>
        <v>3924</v>
      </c>
      <c r="K276" s="142">
        <f t="shared" si="137"/>
        <v>7507</v>
      </c>
      <c r="M276" s="24">
        <f t="shared" ref="M276:V276" si="138">M44</f>
        <v>3</v>
      </c>
      <c r="N276" s="142">
        <f t="shared" si="138"/>
        <v>0</v>
      </c>
      <c r="O276" s="142">
        <f t="shared" si="138"/>
        <v>0</v>
      </c>
      <c r="P276" s="142">
        <f t="shared" si="138"/>
        <v>12</v>
      </c>
      <c r="Q276" s="142">
        <f t="shared" si="138"/>
        <v>24</v>
      </c>
      <c r="R276" s="142">
        <f t="shared" si="138"/>
        <v>19</v>
      </c>
      <c r="S276" s="142" t="str">
        <f t="shared" si="138"/>
        <v>-</v>
      </c>
      <c r="T276" s="24">
        <f t="shared" si="138"/>
        <v>0</v>
      </c>
      <c r="U276" s="24">
        <f t="shared" si="138"/>
        <v>55</v>
      </c>
      <c r="V276" s="142">
        <f t="shared" si="138"/>
        <v>58</v>
      </c>
    </row>
    <row r="277" spans="1:22" ht="11.25" customHeight="1">
      <c r="A277" s="99">
        <v>2015</v>
      </c>
      <c r="B277" s="24">
        <f t="shared" ref="B277:K277" si="139">B45</f>
        <v>3249</v>
      </c>
      <c r="C277" s="142">
        <f t="shared" si="139"/>
        <v>4142</v>
      </c>
      <c r="D277" s="142">
        <f t="shared" si="139"/>
        <v>4283</v>
      </c>
      <c r="E277" s="142">
        <f t="shared" si="139"/>
        <v>47</v>
      </c>
      <c r="F277" s="142">
        <f t="shared" si="139"/>
        <v>135</v>
      </c>
      <c r="G277" s="142">
        <f t="shared" si="139"/>
        <v>73</v>
      </c>
      <c r="H277" s="142" t="str">
        <f t="shared" si="139"/>
        <v>-</v>
      </c>
      <c r="I277" s="24">
        <f t="shared" si="139"/>
        <v>17</v>
      </c>
      <c r="J277" s="24">
        <f t="shared" si="139"/>
        <v>8680</v>
      </c>
      <c r="K277" s="142">
        <f t="shared" si="139"/>
        <v>11946</v>
      </c>
      <c r="M277" s="24">
        <f t="shared" ref="M277:V277" si="140">M45</f>
        <v>0</v>
      </c>
      <c r="N277" s="142">
        <f t="shared" si="140"/>
        <v>0</v>
      </c>
      <c r="O277" s="142">
        <f t="shared" si="140"/>
        <v>0</v>
      </c>
      <c r="P277" s="142">
        <f t="shared" si="140"/>
        <v>0</v>
      </c>
      <c r="Q277" s="142">
        <f t="shared" si="140"/>
        <v>249</v>
      </c>
      <c r="R277" s="142">
        <f t="shared" si="140"/>
        <v>190</v>
      </c>
      <c r="S277" s="142" t="str">
        <f t="shared" si="140"/>
        <v>-</v>
      </c>
      <c r="T277" s="24">
        <f t="shared" si="140"/>
        <v>2</v>
      </c>
      <c r="U277" s="24">
        <f t="shared" si="140"/>
        <v>439</v>
      </c>
      <c r="V277" s="142">
        <f t="shared" si="140"/>
        <v>441</v>
      </c>
    </row>
    <row r="278" spans="1:22" ht="11.25" customHeight="1">
      <c r="A278" s="99">
        <v>2016</v>
      </c>
      <c r="B278" s="24">
        <f t="shared" ref="B278:K278" si="141">B46</f>
        <v>244</v>
      </c>
      <c r="C278" s="142">
        <f t="shared" si="141"/>
        <v>1758</v>
      </c>
      <c r="D278" s="142">
        <f t="shared" si="141"/>
        <v>239</v>
      </c>
      <c r="E278" s="142">
        <f t="shared" si="141"/>
        <v>135</v>
      </c>
      <c r="F278" s="142">
        <f t="shared" si="141"/>
        <v>84</v>
      </c>
      <c r="G278" s="142">
        <f t="shared" si="141"/>
        <v>5</v>
      </c>
      <c r="H278" s="142" t="str">
        <f t="shared" si="141"/>
        <v>-</v>
      </c>
      <c r="I278" s="24">
        <f t="shared" si="141"/>
        <v>182</v>
      </c>
      <c r="J278" s="24">
        <f t="shared" si="141"/>
        <v>2221</v>
      </c>
      <c r="K278" s="142">
        <f t="shared" si="141"/>
        <v>2647</v>
      </c>
      <c r="M278" s="24">
        <f t="shared" ref="M278:V278" si="142">M46</f>
        <v>0</v>
      </c>
      <c r="N278" s="142">
        <f t="shared" si="142"/>
        <v>0</v>
      </c>
      <c r="O278" s="142">
        <f t="shared" si="142"/>
        <v>0</v>
      </c>
      <c r="P278" s="142">
        <f t="shared" si="142"/>
        <v>8</v>
      </c>
      <c r="Q278" s="142">
        <f t="shared" si="142"/>
        <v>10</v>
      </c>
      <c r="R278" s="142">
        <f t="shared" si="142"/>
        <v>0</v>
      </c>
      <c r="S278" s="142" t="str">
        <f t="shared" si="142"/>
        <v>-</v>
      </c>
      <c r="T278" s="24">
        <f t="shared" si="142"/>
        <v>0</v>
      </c>
      <c r="U278" s="24">
        <f t="shared" si="142"/>
        <v>18</v>
      </c>
      <c r="V278" s="142">
        <f t="shared" si="142"/>
        <v>18</v>
      </c>
    </row>
    <row r="279" spans="1:22" ht="11.25" customHeight="1">
      <c r="A279" s="99">
        <v>2017</v>
      </c>
      <c r="B279" s="24">
        <f t="shared" ref="B279:K279" si="143">B47</f>
        <v>1343</v>
      </c>
      <c r="C279" s="142">
        <f t="shared" si="143"/>
        <v>68</v>
      </c>
      <c r="D279" s="142">
        <f t="shared" si="143"/>
        <v>712</v>
      </c>
      <c r="E279" s="142">
        <f t="shared" si="143"/>
        <v>452</v>
      </c>
      <c r="F279" s="142">
        <f t="shared" si="143"/>
        <v>56</v>
      </c>
      <c r="G279" s="142">
        <f t="shared" si="143"/>
        <v>92</v>
      </c>
      <c r="H279" s="142" t="str">
        <f t="shared" si="143"/>
        <v>-</v>
      </c>
      <c r="I279" s="24">
        <f t="shared" si="143"/>
        <v>11</v>
      </c>
      <c r="J279" s="24">
        <f t="shared" si="143"/>
        <v>1380</v>
      </c>
      <c r="K279" s="142">
        <f t="shared" si="143"/>
        <v>2734</v>
      </c>
      <c r="M279" s="24">
        <f t="shared" ref="M279:V279" si="144">M47</f>
        <v>0</v>
      </c>
      <c r="N279" s="142">
        <f t="shared" si="144"/>
        <v>0</v>
      </c>
      <c r="O279" s="142">
        <f t="shared" si="144"/>
        <v>0</v>
      </c>
      <c r="P279" s="142">
        <f t="shared" si="144"/>
        <v>48</v>
      </c>
      <c r="Q279" s="142">
        <f t="shared" si="144"/>
        <v>51</v>
      </c>
      <c r="R279" s="142">
        <f t="shared" si="144"/>
        <v>288</v>
      </c>
      <c r="S279" s="142" t="str">
        <f t="shared" si="144"/>
        <v>-</v>
      </c>
      <c r="T279" s="24">
        <f t="shared" si="144"/>
        <v>0</v>
      </c>
      <c r="U279" s="24">
        <f t="shared" si="144"/>
        <v>387</v>
      </c>
      <c r="V279" s="142">
        <f t="shared" si="144"/>
        <v>387</v>
      </c>
    </row>
    <row r="280" spans="1:22" ht="11.25" customHeight="1">
      <c r="A280" s="99">
        <v>2018</v>
      </c>
      <c r="B280" s="24">
        <f t="shared" ref="B280:K280" si="145">B48</f>
        <v>798</v>
      </c>
      <c r="C280" s="142">
        <f t="shared" si="145"/>
        <v>727</v>
      </c>
      <c r="D280" s="142">
        <f t="shared" si="145"/>
        <v>2363</v>
      </c>
      <c r="E280" s="142">
        <f t="shared" si="145"/>
        <v>511</v>
      </c>
      <c r="F280" s="142">
        <f t="shared" si="145"/>
        <v>94</v>
      </c>
      <c r="G280" s="142">
        <f t="shared" si="145"/>
        <v>54</v>
      </c>
      <c r="H280" s="142" t="str">
        <f t="shared" si="145"/>
        <v>-</v>
      </c>
      <c r="I280" s="24">
        <f t="shared" si="145"/>
        <v>129</v>
      </c>
      <c r="J280" s="24">
        <f t="shared" si="145"/>
        <v>3749</v>
      </c>
      <c r="K280" s="142">
        <f t="shared" si="145"/>
        <v>4676</v>
      </c>
      <c r="M280" s="24">
        <f t="shared" ref="M280:V280" si="146">M48</f>
        <v>0</v>
      </c>
      <c r="N280" s="142">
        <f t="shared" si="146"/>
        <v>0</v>
      </c>
      <c r="O280" s="142">
        <f t="shared" si="146"/>
        <v>3</v>
      </c>
      <c r="P280" s="142">
        <f t="shared" si="146"/>
        <v>192</v>
      </c>
      <c r="Q280" s="142">
        <f t="shared" si="146"/>
        <v>222</v>
      </c>
      <c r="R280" s="142">
        <f t="shared" si="146"/>
        <v>239</v>
      </c>
      <c r="S280" s="142" t="str">
        <f t="shared" si="146"/>
        <v>-</v>
      </c>
      <c r="T280" s="24">
        <f t="shared" si="146"/>
        <v>0</v>
      </c>
      <c r="U280" s="24">
        <f t="shared" si="146"/>
        <v>656</v>
      </c>
      <c r="V280" s="142">
        <f t="shared" si="146"/>
        <v>656</v>
      </c>
    </row>
    <row r="281" spans="1:22" ht="11.25" customHeight="1">
      <c r="A281" s="99">
        <v>2019</v>
      </c>
      <c r="B281" s="24">
        <f t="shared" ref="B281:K281" si="147">B49</f>
        <v>1001</v>
      </c>
      <c r="C281" s="142">
        <f t="shared" si="147"/>
        <v>503</v>
      </c>
      <c r="D281" s="142">
        <f t="shared" si="147"/>
        <v>603</v>
      </c>
      <c r="E281" s="142">
        <f t="shared" si="147"/>
        <v>700</v>
      </c>
      <c r="F281" s="142">
        <f t="shared" si="147"/>
        <v>8</v>
      </c>
      <c r="G281" s="142">
        <f t="shared" si="147"/>
        <v>5</v>
      </c>
      <c r="H281" s="142" t="str">
        <f t="shared" si="147"/>
        <v>-</v>
      </c>
      <c r="I281" s="24">
        <f t="shared" si="147"/>
        <v>70</v>
      </c>
      <c r="J281" s="24">
        <f t="shared" si="147"/>
        <v>1819</v>
      </c>
      <c r="K281" s="142">
        <f t="shared" si="147"/>
        <v>2890</v>
      </c>
      <c r="M281" s="24">
        <f t="shared" ref="M281:V281" si="148">M49</f>
        <v>0</v>
      </c>
      <c r="N281" s="142">
        <f t="shared" si="148"/>
        <v>0</v>
      </c>
      <c r="O281" s="142">
        <f t="shared" si="148"/>
        <v>0</v>
      </c>
      <c r="P281" s="142">
        <f t="shared" si="148"/>
        <v>173</v>
      </c>
      <c r="Q281" s="142">
        <f t="shared" si="148"/>
        <v>59</v>
      </c>
      <c r="R281" s="142">
        <f t="shared" si="148"/>
        <v>7</v>
      </c>
      <c r="S281" s="142" t="str">
        <f t="shared" si="148"/>
        <v>-</v>
      </c>
      <c r="T281" s="24">
        <f t="shared" si="148"/>
        <v>0</v>
      </c>
      <c r="U281" s="24">
        <f t="shared" si="148"/>
        <v>239</v>
      </c>
      <c r="V281" s="142">
        <f t="shared" si="148"/>
        <v>239</v>
      </c>
    </row>
    <row r="282" spans="1:22" ht="11.25" customHeight="1">
      <c r="A282" s="99">
        <v>2020</v>
      </c>
      <c r="B282" s="24">
        <f t="shared" ref="B282:K283" si="149">B50</f>
        <v>661</v>
      </c>
      <c r="C282" s="142">
        <f t="shared" si="149"/>
        <v>0</v>
      </c>
      <c r="D282" s="142">
        <f t="shared" si="149"/>
        <v>0</v>
      </c>
      <c r="E282" s="142">
        <f t="shared" si="149"/>
        <v>93</v>
      </c>
      <c r="F282" s="142">
        <f t="shared" si="149"/>
        <v>74</v>
      </c>
      <c r="G282" s="142">
        <f t="shared" si="149"/>
        <v>8</v>
      </c>
      <c r="H282" s="142" t="str">
        <f t="shared" si="149"/>
        <v>-</v>
      </c>
      <c r="I282" s="24">
        <f t="shared" si="149"/>
        <v>0</v>
      </c>
      <c r="J282" s="24">
        <f t="shared" si="149"/>
        <v>175</v>
      </c>
      <c r="K282" s="142">
        <f t="shared" si="149"/>
        <v>836</v>
      </c>
      <c r="M282" s="24">
        <f t="shared" ref="M282:V283" si="150">M50</f>
        <v>0</v>
      </c>
      <c r="N282" s="142">
        <f t="shared" si="150"/>
        <v>0</v>
      </c>
      <c r="O282" s="142">
        <f t="shared" si="150"/>
        <v>0</v>
      </c>
      <c r="P282" s="142">
        <f t="shared" si="150"/>
        <v>239</v>
      </c>
      <c r="Q282" s="142">
        <f t="shared" si="150"/>
        <v>396</v>
      </c>
      <c r="R282" s="142">
        <f t="shared" si="150"/>
        <v>12</v>
      </c>
      <c r="S282" s="142" t="str">
        <f t="shared" si="150"/>
        <v>-</v>
      </c>
      <c r="T282" s="24">
        <f t="shared" si="150"/>
        <v>0</v>
      </c>
      <c r="U282" s="24">
        <f t="shared" si="150"/>
        <v>647</v>
      </c>
      <c r="V282" s="142">
        <f t="shared" si="150"/>
        <v>647</v>
      </c>
    </row>
    <row r="283" spans="1:22" ht="11.25" customHeight="1">
      <c r="A283" s="99" t="s">
        <v>316</v>
      </c>
      <c r="B283" s="24">
        <f t="shared" si="149"/>
        <v>88</v>
      </c>
      <c r="C283" s="142">
        <f t="shared" si="149"/>
        <v>182</v>
      </c>
      <c r="D283" s="142">
        <f t="shared" si="149"/>
        <v>1630</v>
      </c>
      <c r="E283" s="142">
        <f t="shared" si="149"/>
        <v>3147</v>
      </c>
      <c r="F283" s="142">
        <f t="shared" si="149"/>
        <v>340</v>
      </c>
      <c r="G283" s="142">
        <f t="shared" si="149"/>
        <v>8</v>
      </c>
      <c r="H283" s="142" t="str">
        <f t="shared" si="149"/>
        <v>-</v>
      </c>
      <c r="I283" s="24">
        <f t="shared" si="149"/>
        <v>0</v>
      </c>
      <c r="J283" s="24">
        <f t="shared" si="149"/>
        <v>5307</v>
      </c>
      <c r="K283" s="142">
        <f t="shared" si="149"/>
        <v>5395</v>
      </c>
      <c r="M283" s="24">
        <f t="shared" si="150"/>
        <v>0</v>
      </c>
      <c r="N283" s="142">
        <f t="shared" si="150"/>
        <v>0</v>
      </c>
      <c r="O283" s="142">
        <f t="shared" si="150"/>
        <v>0</v>
      </c>
      <c r="P283" s="142">
        <f t="shared" si="150"/>
        <v>475</v>
      </c>
      <c r="Q283" s="142">
        <f t="shared" si="150"/>
        <v>507</v>
      </c>
      <c r="R283" s="142">
        <f t="shared" si="150"/>
        <v>436</v>
      </c>
      <c r="S283" s="142" t="str">
        <f t="shared" si="150"/>
        <v>-</v>
      </c>
      <c r="T283" s="24">
        <f t="shared" si="150"/>
        <v>0</v>
      </c>
      <c r="U283" s="24">
        <f t="shared" si="150"/>
        <v>1418</v>
      </c>
      <c r="V283" s="142">
        <f t="shared" si="150"/>
        <v>1418</v>
      </c>
    </row>
    <row r="284" spans="1:22" ht="11.25" customHeight="1">
      <c r="V284" s="24"/>
    </row>
    <row r="285" spans="1:22" ht="11.25" customHeight="1">
      <c r="A285" s="94" t="s">
        <v>59</v>
      </c>
      <c r="V285" s="24"/>
    </row>
    <row r="286" spans="1:22" ht="11.25" customHeight="1">
      <c r="A286" s="99" t="s">
        <v>24</v>
      </c>
      <c r="B286" s="24">
        <f t="shared" ref="B286:K286" si="151">AVERAGE(B59:B63)</f>
        <v>0.4</v>
      </c>
      <c r="C286" s="142">
        <f t="shared" si="151"/>
        <v>520</v>
      </c>
      <c r="D286" s="142">
        <f t="shared" si="151"/>
        <v>1190.8</v>
      </c>
      <c r="E286" s="142">
        <f t="shared" si="151"/>
        <v>2405.6</v>
      </c>
      <c r="F286" s="142">
        <f t="shared" si="151"/>
        <v>673.4</v>
      </c>
      <c r="G286" s="142">
        <f t="shared" si="151"/>
        <v>771.6</v>
      </c>
      <c r="H286" s="142">
        <f t="shared" si="151"/>
        <v>53.6</v>
      </c>
      <c r="I286" s="24">
        <f t="shared" si="151"/>
        <v>10.6</v>
      </c>
      <c r="J286" s="24">
        <f t="shared" si="151"/>
        <v>5561.4</v>
      </c>
      <c r="K286" s="142">
        <f t="shared" si="151"/>
        <v>5626</v>
      </c>
      <c r="M286" s="24">
        <f t="shared" ref="M286:V286" si="152">AVERAGE(M59:M63)</f>
        <v>0</v>
      </c>
      <c r="N286" s="142">
        <f t="shared" si="152"/>
        <v>7.8</v>
      </c>
      <c r="O286" s="142">
        <f t="shared" si="152"/>
        <v>4647</v>
      </c>
      <c r="P286" s="142">
        <f t="shared" si="152"/>
        <v>9016.6</v>
      </c>
      <c r="Q286" s="142">
        <f t="shared" si="152"/>
        <v>16514.599999999999</v>
      </c>
      <c r="R286" s="142">
        <f t="shared" si="152"/>
        <v>13404.2</v>
      </c>
      <c r="S286" s="142">
        <f t="shared" si="152"/>
        <v>18.399999999999999</v>
      </c>
      <c r="T286" s="24">
        <f t="shared" si="152"/>
        <v>0</v>
      </c>
      <c r="U286" s="24">
        <f t="shared" si="152"/>
        <v>43590.2</v>
      </c>
      <c r="V286" s="142">
        <f t="shared" si="152"/>
        <v>43608.6</v>
      </c>
    </row>
    <row r="287" spans="1:22" ht="11.25" customHeight="1">
      <c r="A287" s="99" t="s">
        <v>78</v>
      </c>
      <c r="B287" s="24">
        <f t="shared" ref="B287:K287" si="153">AVERAGE(B64:B68)</f>
        <v>6.4</v>
      </c>
      <c r="C287" s="142">
        <f t="shared" si="153"/>
        <v>2603.6</v>
      </c>
      <c r="D287" s="142">
        <f t="shared" si="153"/>
        <v>2316.6</v>
      </c>
      <c r="E287" s="142">
        <f t="shared" si="153"/>
        <v>3114.2</v>
      </c>
      <c r="F287" s="142">
        <f t="shared" si="153"/>
        <v>2656.6</v>
      </c>
      <c r="G287" s="142">
        <f t="shared" si="153"/>
        <v>684.8</v>
      </c>
      <c r="H287" s="142">
        <f t="shared" si="153"/>
        <v>0</v>
      </c>
      <c r="I287" s="24">
        <f t="shared" si="153"/>
        <v>0.2</v>
      </c>
      <c r="J287" s="24">
        <f t="shared" si="153"/>
        <v>11375.8</v>
      </c>
      <c r="K287" s="142">
        <f t="shared" si="153"/>
        <v>11382.4</v>
      </c>
      <c r="M287" s="24">
        <f t="shared" ref="M287:V287" si="154">AVERAGE(M64:M68)</f>
        <v>0</v>
      </c>
      <c r="N287" s="142">
        <f t="shared" si="154"/>
        <v>3.2</v>
      </c>
      <c r="O287" s="142">
        <f t="shared" si="154"/>
        <v>106</v>
      </c>
      <c r="P287" s="142">
        <f t="shared" si="154"/>
        <v>16829.400000000001</v>
      </c>
      <c r="Q287" s="142">
        <f t="shared" si="154"/>
        <v>16934.2</v>
      </c>
      <c r="R287" s="142">
        <f t="shared" si="154"/>
        <v>7241.4</v>
      </c>
      <c r="S287" s="142">
        <f t="shared" si="154"/>
        <v>0</v>
      </c>
      <c r="T287" s="24">
        <f t="shared" si="154"/>
        <v>0</v>
      </c>
      <c r="U287" s="24">
        <f t="shared" si="154"/>
        <v>41114.199999999997</v>
      </c>
      <c r="V287" s="142">
        <f t="shared" si="154"/>
        <v>41114.199999999997</v>
      </c>
    </row>
    <row r="288" spans="1:22" ht="11.25" customHeight="1">
      <c r="A288" s="99" t="s">
        <v>10</v>
      </c>
      <c r="B288" s="24">
        <f>AVERAGE(B69:B73)</f>
        <v>0</v>
      </c>
      <c r="C288" s="142">
        <f t="shared" ref="C288:K288" si="155">AVERAGE(C69:C73)</f>
        <v>3799.8</v>
      </c>
      <c r="D288" s="142">
        <f t="shared" si="155"/>
        <v>2806.6</v>
      </c>
      <c r="E288" s="142">
        <f t="shared" si="155"/>
        <v>2797.4</v>
      </c>
      <c r="F288" s="142">
        <f t="shared" si="155"/>
        <v>2704.2</v>
      </c>
      <c r="G288" s="142">
        <f t="shared" si="155"/>
        <v>471.4</v>
      </c>
      <c r="H288" s="142">
        <f t="shared" si="155"/>
        <v>0</v>
      </c>
      <c r="I288" s="24">
        <f t="shared" si="155"/>
        <v>16</v>
      </c>
      <c r="J288" s="24">
        <f t="shared" si="155"/>
        <v>12579.4</v>
      </c>
      <c r="K288" s="142">
        <f t="shared" si="155"/>
        <v>12595.4</v>
      </c>
      <c r="M288" s="24">
        <f t="shared" ref="M288:V288" si="156">AVERAGE(M69:M73)</f>
        <v>0</v>
      </c>
      <c r="N288" s="142">
        <f t="shared" si="156"/>
        <v>0.6</v>
      </c>
      <c r="O288" s="142">
        <f t="shared" si="156"/>
        <v>0.6</v>
      </c>
      <c r="P288" s="142">
        <f t="shared" si="156"/>
        <v>12665.2</v>
      </c>
      <c r="Q288" s="142">
        <f t="shared" si="156"/>
        <v>13859.6</v>
      </c>
      <c r="R288" s="142">
        <f t="shared" si="156"/>
        <v>4815.8</v>
      </c>
      <c r="S288" s="142">
        <f t="shared" si="156"/>
        <v>0</v>
      </c>
      <c r="T288" s="24">
        <f t="shared" si="156"/>
        <v>1</v>
      </c>
      <c r="U288" s="24">
        <f t="shared" si="156"/>
        <v>31341.8</v>
      </c>
      <c r="V288" s="142">
        <f t="shared" si="156"/>
        <v>31342.799999999999</v>
      </c>
    </row>
    <row r="289" spans="1:22" ht="11.25" customHeight="1">
      <c r="A289" s="99" t="s">
        <v>144</v>
      </c>
      <c r="B289" s="24">
        <f>AVERAGE(B74:B78)</f>
        <v>1.2</v>
      </c>
      <c r="C289" s="142">
        <f t="shared" ref="C289:K289" si="157">AVERAGE(C74:C78)</f>
        <v>2191.4</v>
      </c>
      <c r="D289" s="142">
        <f t="shared" si="157"/>
        <v>5957.4</v>
      </c>
      <c r="E289" s="142">
        <f t="shared" si="157"/>
        <v>353.2</v>
      </c>
      <c r="F289" s="142">
        <f t="shared" si="157"/>
        <v>3367.8</v>
      </c>
      <c r="G289" s="142">
        <f t="shared" si="157"/>
        <v>1809.4</v>
      </c>
      <c r="H289" s="142" t="s">
        <v>23</v>
      </c>
      <c r="I289" s="24">
        <f t="shared" si="157"/>
        <v>17</v>
      </c>
      <c r="J289" s="24">
        <f t="shared" si="157"/>
        <v>13679.2</v>
      </c>
      <c r="K289" s="142">
        <f t="shared" si="157"/>
        <v>13697.4</v>
      </c>
      <c r="M289" s="24">
        <f t="shared" ref="M289:V289" si="158">AVERAGE(M74:M78)</f>
        <v>0</v>
      </c>
      <c r="N289" s="142">
        <f t="shared" si="158"/>
        <v>0</v>
      </c>
      <c r="O289" s="142">
        <f t="shared" si="158"/>
        <v>0.2</v>
      </c>
      <c r="P289" s="142">
        <f t="shared" si="158"/>
        <v>14.8</v>
      </c>
      <c r="Q289" s="142">
        <f t="shared" si="158"/>
        <v>9027.4</v>
      </c>
      <c r="R289" s="142">
        <f t="shared" si="158"/>
        <v>7939.6</v>
      </c>
      <c r="S289" s="142" t="s">
        <v>23</v>
      </c>
      <c r="T289" s="24">
        <f t="shared" si="158"/>
        <v>0</v>
      </c>
      <c r="U289" s="24">
        <f t="shared" si="158"/>
        <v>16982</v>
      </c>
      <c r="V289" s="142">
        <f t="shared" si="158"/>
        <v>16982</v>
      </c>
    </row>
    <row r="290" spans="1:22" ht="11.25" customHeight="1">
      <c r="A290" s="99" t="s">
        <v>166</v>
      </c>
      <c r="B290" s="24">
        <f t="shared" ref="B290:G290" si="159">AVERAGE(B79:B83)</f>
        <v>11</v>
      </c>
      <c r="C290" s="142">
        <f t="shared" si="159"/>
        <v>4666</v>
      </c>
      <c r="D290" s="142">
        <f t="shared" si="159"/>
        <v>12259.4</v>
      </c>
      <c r="E290" s="142">
        <f t="shared" si="159"/>
        <v>8821.2000000000007</v>
      </c>
      <c r="F290" s="142">
        <f t="shared" si="159"/>
        <v>5524.2</v>
      </c>
      <c r="G290" s="142">
        <f t="shared" si="159"/>
        <v>2761.8</v>
      </c>
      <c r="H290" s="142" t="str">
        <f>+H79</f>
        <v>-</v>
      </c>
      <c r="I290" s="24">
        <f>AVERAGE(I79:I83)</f>
        <v>0</v>
      </c>
      <c r="J290" s="24">
        <f>AVERAGE(J79:J83)</f>
        <v>34032.6</v>
      </c>
      <c r="K290" s="142">
        <f>AVERAGE(K79:K83)</f>
        <v>34043.599999999999</v>
      </c>
      <c r="M290" s="24">
        <f t="shared" ref="M290:R290" si="160">AVERAGE(M79:M83)</f>
        <v>19.600000000000001</v>
      </c>
      <c r="N290" s="142">
        <f t="shared" si="160"/>
        <v>2</v>
      </c>
      <c r="O290" s="142">
        <f t="shared" si="160"/>
        <v>3.2</v>
      </c>
      <c r="P290" s="142">
        <f t="shared" si="160"/>
        <v>5938</v>
      </c>
      <c r="Q290" s="142">
        <f t="shared" si="160"/>
        <v>14569.8</v>
      </c>
      <c r="R290" s="142">
        <f t="shared" si="160"/>
        <v>8744.4</v>
      </c>
      <c r="S290" s="142" t="str">
        <f>+S79</f>
        <v>-</v>
      </c>
      <c r="T290" s="24">
        <f>AVERAGE(T79:T83)</f>
        <v>0</v>
      </c>
      <c r="U290" s="24">
        <f>AVERAGE(U79:U83)</f>
        <v>29257.4</v>
      </c>
      <c r="V290" s="142">
        <f>AVERAGE(V79:V83)</f>
        <v>29277</v>
      </c>
    </row>
    <row r="291" spans="1:22" ht="11.25" customHeight="1">
      <c r="A291" s="99" t="s">
        <v>315</v>
      </c>
      <c r="B291" s="24">
        <f>AVERAGE(B84:B88)</f>
        <v>12.2</v>
      </c>
      <c r="C291" s="142">
        <f t="shared" ref="C291:V291" si="161">AVERAGE(C84:C88)</f>
        <v>820</v>
      </c>
      <c r="D291" s="142">
        <f t="shared" si="161"/>
        <v>6616.4</v>
      </c>
      <c r="E291" s="142">
        <f t="shared" si="161"/>
        <v>3445.4</v>
      </c>
      <c r="F291" s="142">
        <f t="shared" si="161"/>
        <v>4609.8</v>
      </c>
      <c r="G291" s="142">
        <f t="shared" si="161"/>
        <v>1764.8</v>
      </c>
      <c r="H291" s="142" t="str">
        <f>H84</f>
        <v>-</v>
      </c>
      <c r="I291" s="24">
        <f t="shared" si="161"/>
        <v>7</v>
      </c>
      <c r="J291" s="24">
        <f t="shared" si="161"/>
        <v>17256.400000000001</v>
      </c>
      <c r="K291" s="142">
        <f t="shared" si="161"/>
        <v>17275.599999999999</v>
      </c>
      <c r="M291" s="24">
        <f t="shared" si="161"/>
        <v>3.8</v>
      </c>
      <c r="N291" s="142">
        <f t="shared" si="161"/>
        <v>3</v>
      </c>
      <c r="O291" s="142">
        <f t="shared" si="161"/>
        <v>26.4</v>
      </c>
      <c r="P291" s="142">
        <f t="shared" si="161"/>
        <v>10832.6</v>
      </c>
      <c r="Q291" s="142">
        <f t="shared" si="161"/>
        <v>10954.8</v>
      </c>
      <c r="R291" s="142">
        <f t="shared" si="161"/>
        <v>4669.8</v>
      </c>
      <c r="S291" s="142" t="str">
        <f>S84</f>
        <v>-</v>
      </c>
      <c r="T291" s="24">
        <f t="shared" si="161"/>
        <v>0</v>
      </c>
      <c r="U291" s="24">
        <f t="shared" si="161"/>
        <v>26486.6</v>
      </c>
      <c r="V291" s="142">
        <f t="shared" si="161"/>
        <v>26490.400000000001</v>
      </c>
    </row>
    <row r="292" spans="1:22" ht="11.25" customHeight="1">
      <c r="A292" s="99">
        <v>2011</v>
      </c>
      <c r="B292" s="24">
        <f t="shared" ref="B292:K292" si="162">+B89</f>
        <v>0</v>
      </c>
      <c r="C292" s="142">
        <f t="shared" si="162"/>
        <v>535</v>
      </c>
      <c r="D292" s="142">
        <f t="shared" si="162"/>
        <v>7701</v>
      </c>
      <c r="E292" s="142">
        <f t="shared" si="162"/>
        <v>14462</v>
      </c>
      <c r="F292" s="142">
        <f t="shared" si="162"/>
        <v>5014</v>
      </c>
      <c r="G292" s="142">
        <f t="shared" si="162"/>
        <v>359</v>
      </c>
      <c r="H292" s="142" t="str">
        <f t="shared" si="162"/>
        <v>-</v>
      </c>
      <c r="I292" s="24">
        <f t="shared" si="162"/>
        <v>0</v>
      </c>
      <c r="J292" s="24">
        <f t="shared" si="162"/>
        <v>28071</v>
      </c>
      <c r="K292" s="142">
        <f t="shared" si="162"/>
        <v>28071</v>
      </c>
      <c r="M292" s="24">
        <f t="shared" ref="M292:V292" si="163">+M89</f>
        <v>0</v>
      </c>
      <c r="N292" s="142">
        <f t="shared" si="163"/>
        <v>0</v>
      </c>
      <c r="O292" s="142">
        <f t="shared" si="163"/>
        <v>0</v>
      </c>
      <c r="P292" s="142">
        <f t="shared" si="163"/>
        <v>1951</v>
      </c>
      <c r="Q292" s="142">
        <f t="shared" si="163"/>
        <v>4196</v>
      </c>
      <c r="R292" s="142">
        <f t="shared" si="163"/>
        <v>6174</v>
      </c>
      <c r="S292" s="142" t="str">
        <f t="shared" si="163"/>
        <v>-</v>
      </c>
      <c r="T292" s="24">
        <f t="shared" si="163"/>
        <v>0</v>
      </c>
      <c r="U292" s="24">
        <f t="shared" si="163"/>
        <v>12321</v>
      </c>
      <c r="V292" s="142">
        <f t="shared" si="163"/>
        <v>12321</v>
      </c>
    </row>
    <row r="293" spans="1:22" ht="11.25" customHeight="1">
      <c r="A293" s="99">
        <v>2012</v>
      </c>
      <c r="B293" s="24">
        <f t="shared" ref="B293:K293" si="164">+B90</f>
        <v>0</v>
      </c>
      <c r="C293" s="142">
        <f t="shared" si="164"/>
        <v>2975</v>
      </c>
      <c r="D293" s="142">
        <f t="shared" si="164"/>
        <v>19218</v>
      </c>
      <c r="E293" s="142">
        <f t="shared" si="164"/>
        <v>8805</v>
      </c>
      <c r="F293" s="142">
        <f t="shared" si="164"/>
        <v>13121</v>
      </c>
      <c r="G293" s="142">
        <f t="shared" si="164"/>
        <v>4627</v>
      </c>
      <c r="H293" s="142" t="str">
        <f t="shared" si="164"/>
        <v>-</v>
      </c>
      <c r="I293" s="24">
        <f t="shared" si="164"/>
        <v>0</v>
      </c>
      <c r="J293" s="24">
        <f t="shared" si="164"/>
        <v>48746</v>
      </c>
      <c r="K293" s="142">
        <f t="shared" si="164"/>
        <v>48746</v>
      </c>
      <c r="M293" s="24">
        <f t="shared" ref="M293:V293" si="165">+M90</f>
        <v>0</v>
      </c>
      <c r="N293" s="142">
        <f t="shared" si="165"/>
        <v>1</v>
      </c>
      <c r="O293" s="142">
        <f t="shared" si="165"/>
        <v>27</v>
      </c>
      <c r="P293" s="142">
        <f t="shared" si="165"/>
        <v>2131</v>
      </c>
      <c r="Q293" s="142">
        <f t="shared" si="165"/>
        <v>16750</v>
      </c>
      <c r="R293" s="142">
        <f t="shared" si="165"/>
        <v>15524</v>
      </c>
      <c r="S293" s="142" t="str">
        <f t="shared" si="165"/>
        <v>-</v>
      </c>
      <c r="T293" s="24">
        <f t="shared" si="165"/>
        <v>0</v>
      </c>
      <c r="U293" s="24">
        <f t="shared" si="165"/>
        <v>34433</v>
      </c>
      <c r="V293" s="142">
        <f t="shared" si="165"/>
        <v>34433</v>
      </c>
    </row>
    <row r="294" spans="1:22" ht="11.25" customHeight="1">
      <c r="A294" s="99">
        <v>2013</v>
      </c>
      <c r="B294" s="24">
        <f t="shared" ref="B294:K294" si="166">+B91</f>
        <v>0</v>
      </c>
      <c r="C294" s="142">
        <f t="shared" si="166"/>
        <v>8983</v>
      </c>
      <c r="D294" s="142">
        <f t="shared" si="166"/>
        <v>13788</v>
      </c>
      <c r="E294" s="142">
        <f t="shared" si="166"/>
        <v>7834</v>
      </c>
      <c r="F294" s="142">
        <f t="shared" si="166"/>
        <v>6995</v>
      </c>
      <c r="G294" s="142">
        <f t="shared" si="166"/>
        <v>2073</v>
      </c>
      <c r="H294" s="142" t="str">
        <f t="shared" si="166"/>
        <v>-</v>
      </c>
      <c r="I294" s="24">
        <f t="shared" si="166"/>
        <v>0</v>
      </c>
      <c r="J294" s="24">
        <f t="shared" si="166"/>
        <v>39673</v>
      </c>
      <c r="K294" s="142">
        <f t="shared" si="166"/>
        <v>39673</v>
      </c>
      <c r="M294" s="24">
        <f t="shared" ref="M294:V294" si="167">+M91</f>
        <v>0</v>
      </c>
      <c r="N294" s="142">
        <f t="shared" si="167"/>
        <v>0</v>
      </c>
      <c r="O294" s="142">
        <f t="shared" si="167"/>
        <v>0</v>
      </c>
      <c r="P294" s="142">
        <f t="shared" si="167"/>
        <v>6955</v>
      </c>
      <c r="Q294" s="142">
        <f t="shared" si="167"/>
        <v>33559</v>
      </c>
      <c r="R294" s="142">
        <f t="shared" si="167"/>
        <v>3847</v>
      </c>
      <c r="S294" s="142" t="str">
        <f t="shared" si="167"/>
        <v>-</v>
      </c>
      <c r="T294" s="24">
        <f t="shared" si="167"/>
        <v>1</v>
      </c>
      <c r="U294" s="24">
        <f t="shared" si="167"/>
        <v>44361</v>
      </c>
      <c r="V294" s="142">
        <f t="shared" si="167"/>
        <v>44362</v>
      </c>
    </row>
    <row r="295" spans="1:22" ht="11.25" customHeight="1">
      <c r="A295" s="99">
        <v>2014</v>
      </c>
      <c r="B295" s="24">
        <f t="shared" ref="B295:K295" si="168">+B92</f>
        <v>0</v>
      </c>
      <c r="C295" s="142">
        <f t="shared" si="168"/>
        <v>7247</v>
      </c>
      <c r="D295" s="142">
        <f t="shared" si="168"/>
        <v>5754</v>
      </c>
      <c r="E295" s="142">
        <f t="shared" si="168"/>
        <v>4362</v>
      </c>
      <c r="F295" s="142">
        <f t="shared" si="168"/>
        <v>2617</v>
      </c>
      <c r="G295" s="142">
        <f t="shared" si="168"/>
        <v>492</v>
      </c>
      <c r="H295" s="142" t="str">
        <f t="shared" si="168"/>
        <v>-</v>
      </c>
      <c r="I295" s="24">
        <f t="shared" si="168"/>
        <v>0</v>
      </c>
      <c r="J295" s="24">
        <f t="shared" si="168"/>
        <v>20472</v>
      </c>
      <c r="K295" s="142">
        <f t="shared" si="168"/>
        <v>20472</v>
      </c>
      <c r="M295" s="24">
        <f t="shared" ref="M295:V295" si="169">+M92</f>
        <v>0</v>
      </c>
      <c r="N295" s="142">
        <f t="shared" si="169"/>
        <v>0</v>
      </c>
      <c r="O295" s="142">
        <f t="shared" si="169"/>
        <v>11</v>
      </c>
      <c r="P295" s="142">
        <f t="shared" si="169"/>
        <v>2852</v>
      </c>
      <c r="Q295" s="142">
        <f t="shared" si="169"/>
        <v>9739</v>
      </c>
      <c r="R295" s="142">
        <f t="shared" si="169"/>
        <v>1070</v>
      </c>
      <c r="S295" s="142" t="str">
        <f t="shared" si="169"/>
        <v>-</v>
      </c>
      <c r="T295" s="24">
        <f t="shared" si="169"/>
        <v>0</v>
      </c>
      <c r="U295" s="24">
        <f t="shared" si="169"/>
        <v>13672</v>
      </c>
      <c r="V295" s="142">
        <f t="shared" si="169"/>
        <v>13672</v>
      </c>
    </row>
    <row r="296" spans="1:22" ht="11.25" customHeight="1">
      <c r="A296" s="99">
        <v>2015</v>
      </c>
      <c r="B296" s="24">
        <f t="shared" ref="B296:K296" si="170">+B93</f>
        <v>0</v>
      </c>
      <c r="C296" s="142">
        <f t="shared" si="170"/>
        <v>1196</v>
      </c>
      <c r="D296" s="142">
        <f t="shared" si="170"/>
        <v>17352</v>
      </c>
      <c r="E296" s="142">
        <f t="shared" si="170"/>
        <v>7361</v>
      </c>
      <c r="F296" s="142">
        <f t="shared" si="170"/>
        <v>1153</v>
      </c>
      <c r="G296" s="142">
        <f t="shared" si="170"/>
        <v>189</v>
      </c>
      <c r="H296" s="142" t="str">
        <f t="shared" si="170"/>
        <v>-</v>
      </c>
      <c r="I296" s="24">
        <f t="shared" si="170"/>
        <v>0</v>
      </c>
      <c r="J296" s="24">
        <f t="shared" si="170"/>
        <v>27251</v>
      </c>
      <c r="K296" s="142">
        <f t="shared" si="170"/>
        <v>27251</v>
      </c>
      <c r="M296" s="24">
        <f t="shared" ref="M296:V296" si="171">+M93</f>
        <v>0</v>
      </c>
      <c r="N296" s="142">
        <f t="shared" si="171"/>
        <v>0</v>
      </c>
      <c r="O296" s="142">
        <f t="shared" si="171"/>
        <v>0</v>
      </c>
      <c r="P296" s="142">
        <f t="shared" si="171"/>
        <v>881</v>
      </c>
      <c r="Q296" s="142">
        <f t="shared" si="171"/>
        <v>568</v>
      </c>
      <c r="R296" s="142">
        <f t="shared" si="171"/>
        <v>218</v>
      </c>
      <c r="S296" s="142" t="str">
        <f t="shared" si="171"/>
        <v>-</v>
      </c>
      <c r="T296" s="24">
        <f t="shared" si="171"/>
        <v>0</v>
      </c>
      <c r="U296" s="24">
        <f t="shared" si="171"/>
        <v>1667</v>
      </c>
      <c r="V296" s="142">
        <f t="shared" si="171"/>
        <v>1667</v>
      </c>
    </row>
    <row r="297" spans="1:22" ht="11.25" customHeight="1">
      <c r="A297" s="99">
        <v>2016</v>
      </c>
      <c r="B297" s="24">
        <f t="shared" ref="B297:K297" si="172">+B94</f>
        <v>0</v>
      </c>
      <c r="C297" s="142">
        <f t="shared" si="172"/>
        <v>372</v>
      </c>
      <c r="D297" s="142">
        <f t="shared" si="172"/>
        <v>12687</v>
      </c>
      <c r="E297" s="142">
        <f t="shared" si="172"/>
        <v>4342</v>
      </c>
      <c r="F297" s="142">
        <f t="shared" si="172"/>
        <v>1036</v>
      </c>
      <c r="G297" s="142">
        <f t="shared" si="172"/>
        <v>0</v>
      </c>
      <c r="H297" s="142" t="str">
        <f t="shared" si="172"/>
        <v>-</v>
      </c>
      <c r="I297" s="24">
        <f t="shared" si="172"/>
        <v>1</v>
      </c>
      <c r="J297" s="24">
        <f t="shared" si="172"/>
        <v>18437</v>
      </c>
      <c r="K297" s="142">
        <f t="shared" si="172"/>
        <v>18438</v>
      </c>
      <c r="M297" s="24">
        <f t="shared" ref="M297:V297" si="173">+M94</f>
        <v>0</v>
      </c>
      <c r="N297" s="142">
        <f t="shared" si="173"/>
        <v>0</v>
      </c>
      <c r="O297" s="142">
        <f t="shared" si="173"/>
        <v>0</v>
      </c>
      <c r="P297" s="142">
        <f t="shared" si="173"/>
        <v>15</v>
      </c>
      <c r="Q297" s="142">
        <f t="shared" si="173"/>
        <v>0</v>
      </c>
      <c r="R297" s="142">
        <f t="shared" si="173"/>
        <v>0</v>
      </c>
      <c r="S297" s="142" t="str">
        <f t="shared" si="173"/>
        <v>-</v>
      </c>
      <c r="T297" s="24">
        <f t="shared" si="173"/>
        <v>1</v>
      </c>
      <c r="U297" s="24">
        <f t="shared" si="173"/>
        <v>15</v>
      </c>
      <c r="V297" s="142">
        <f t="shared" si="173"/>
        <v>16</v>
      </c>
    </row>
    <row r="298" spans="1:22" ht="11.25" customHeight="1">
      <c r="A298" s="99">
        <v>2017</v>
      </c>
      <c r="B298" s="24">
        <f t="shared" ref="B298:K298" si="174">+B95</f>
        <v>0</v>
      </c>
      <c r="C298" s="142">
        <f t="shared" si="174"/>
        <v>1099</v>
      </c>
      <c r="D298" s="142">
        <f t="shared" si="174"/>
        <v>1297</v>
      </c>
      <c r="E298" s="142">
        <f t="shared" si="174"/>
        <v>15296</v>
      </c>
      <c r="F298" s="142">
        <f t="shared" si="174"/>
        <v>4316</v>
      </c>
      <c r="G298" s="142">
        <f t="shared" si="174"/>
        <v>589</v>
      </c>
      <c r="H298" s="142" t="str">
        <f t="shared" si="174"/>
        <v>-</v>
      </c>
      <c r="I298" s="24">
        <f t="shared" si="174"/>
        <v>0</v>
      </c>
      <c r="J298" s="24">
        <f t="shared" si="174"/>
        <v>22597</v>
      </c>
      <c r="K298" s="142">
        <f t="shared" si="174"/>
        <v>22597</v>
      </c>
      <c r="M298" s="24">
        <f t="shared" ref="M298:V298" si="175">+M95</f>
        <v>0</v>
      </c>
      <c r="N298" s="142">
        <f t="shared" si="175"/>
        <v>0</v>
      </c>
      <c r="O298" s="142">
        <f t="shared" si="175"/>
        <v>0</v>
      </c>
      <c r="P298" s="142">
        <f t="shared" si="175"/>
        <v>833</v>
      </c>
      <c r="Q298" s="142">
        <f t="shared" si="175"/>
        <v>6811</v>
      </c>
      <c r="R298" s="142">
        <f t="shared" si="175"/>
        <v>4363</v>
      </c>
      <c r="S298" s="142" t="str">
        <f t="shared" si="175"/>
        <v>-</v>
      </c>
      <c r="T298" s="24">
        <f t="shared" si="175"/>
        <v>0</v>
      </c>
      <c r="U298" s="24">
        <f t="shared" si="175"/>
        <v>12007</v>
      </c>
      <c r="V298" s="142">
        <f t="shared" si="175"/>
        <v>12007</v>
      </c>
    </row>
    <row r="299" spans="1:22" ht="11.25" customHeight="1">
      <c r="A299" s="99">
        <v>2018</v>
      </c>
      <c r="B299" s="24">
        <f t="shared" ref="B299:K299" si="176">+B96</f>
        <v>0</v>
      </c>
      <c r="C299" s="142">
        <f t="shared" si="176"/>
        <v>521</v>
      </c>
      <c r="D299" s="142">
        <f t="shared" si="176"/>
        <v>9216</v>
      </c>
      <c r="E299" s="142">
        <f t="shared" si="176"/>
        <v>7952</v>
      </c>
      <c r="F299" s="142">
        <f t="shared" si="176"/>
        <v>1604</v>
      </c>
      <c r="G299" s="142">
        <f t="shared" si="176"/>
        <v>397</v>
      </c>
      <c r="H299" s="142" t="str">
        <f t="shared" si="176"/>
        <v>-</v>
      </c>
      <c r="I299" s="24">
        <f t="shared" si="176"/>
        <v>0</v>
      </c>
      <c r="J299" s="24">
        <f t="shared" si="176"/>
        <v>19690</v>
      </c>
      <c r="K299" s="142">
        <f t="shared" si="176"/>
        <v>19690</v>
      </c>
      <c r="M299" s="24">
        <f t="shared" ref="M299:V299" si="177">+M96</f>
        <v>0</v>
      </c>
      <c r="N299" s="142">
        <f t="shared" si="177"/>
        <v>0</v>
      </c>
      <c r="O299" s="142">
        <f t="shared" si="177"/>
        <v>12</v>
      </c>
      <c r="P299" s="142">
        <f t="shared" si="177"/>
        <v>1559</v>
      </c>
      <c r="Q299" s="142">
        <f t="shared" si="177"/>
        <v>4781</v>
      </c>
      <c r="R299" s="142">
        <f t="shared" si="177"/>
        <v>3972</v>
      </c>
      <c r="S299" s="142" t="str">
        <f t="shared" si="177"/>
        <v>-</v>
      </c>
      <c r="T299" s="24">
        <f t="shared" si="177"/>
        <v>0</v>
      </c>
      <c r="U299" s="24">
        <f t="shared" si="177"/>
        <v>10324</v>
      </c>
      <c r="V299" s="142">
        <f t="shared" si="177"/>
        <v>10324</v>
      </c>
    </row>
    <row r="300" spans="1:22" ht="11.25" customHeight="1">
      <c r="A300" s="99">
        <v>2019</v>
      </c>
      <c r="B300" s="24">
        <f t="shared" ref="B300:K300" si="178">+B97</f>
        <v>0</v>
      </c>
      <c r="C300" s="142">
        <f t="shared" si="178"/>
        <v>186</v>
      </c>
      <c r="D300" s="142">
        <f t="shared" si="178"/>
        <v>1492</v>
      </c>
      <c r="E300" s="142">
        <f t="shared" si="178"/>
        <v>11589</v>
      </c>
      <c r="F300" s="142">
        <f t="shared" si="178"/>
        <v>2709</v>
      </c>
      <c r="G300" s="142">
        <f t="shared" si="178"/>
        <v>224</v>
      </c>
      <c r="H300" s="142" t="str">
        <f t="shared" si="178"/>
        <v>-</v>
      </c>
      <c r="I300" s="24">
        <f t="shared" si="178"/>
        <v>0</v>
      </c>
      <c r="J300" s="24">
        <f t="shared" si="178"/>
        <v>16200</v>
      </c>
      <c r="K300" s="142">
        <f t="shared" si="178"/>
        <v>16200</v>
      </c>
      <c r="M300" s="24">
        <f t="shared" ref="M300:V300" si="179">+M97</f>
        <v>0</v>
      </c>
      <c r="N300" s="142">
        <f t="shared" si="179"/>
        <v>0</v>
      </c>
      <c r="O300" s="142">
        <f t="shared" si="179"/>
        <v>0</v>
      </c>
      <c r="P300" s="142">
        <f t="shared" si="179"/>
        <v>13981</v>
      </c>
      <c r="Q300" s="142">
        <f t="shared" si="179"/>
        <v>31842</v>
      </c>
      <c r="R300" s="142">
        <f t="shared" si="179"/>
        <v>5979</v>
      </c>
      <c r="S300" s="142" t="str">
        <f t="shared" si="179"/>
        <v>-</v>
      </c>
      <c r="T300" s="24">
        <f t="shared" si="179"/>
        <v>0</v>
      </c>
      <c r="U300" s="24">
        <f t="shared" si="179"/>
        <v>51802</v>
      </c>
      <c r="V300" s="142">
        <f t="shared" si="179"/>
        <v>51802</v>
      </c>
    </row>
    <row r="301" spans="1:22" ht="11.25" customHeight="1">
      <c r="A301" s="99">
        <v>2020</v>
      </c>
      <c r="B301" s="24">
        <f t="shared" ref="B301:K302" si="180">+B98</f>
        <v>0</v>
      </c>
      <c r="C301" s="142">
        <f t="shared" si="180"/>
        <v>0</v>
      </c>
      <c r="D301" s="142">
        <f t="shared" si="180"/>
        <v>0</v>
      </c>
      <c r="E301" s="142">
        <f t="shared" si="180"/>
        <v>290</v>
      </c>
      <c r="F301" s="142">
        <f t="shared" si="180"/>
        <v>1500</v>
      </c>
      <c r="G301" s="142">
        <f t="shared" si="180"/>
        <v>44</v>
      </c>
      <c r="H301" s="142" t="str">
        <f t="shared" si="180"/>
        <v>-</v>
      </c>
      <c r="I301" s="24">
        <f t="shared" si="180"/>
        <v>0</v>
      </c>
      <c r="J301" s="24">
        <f t="shared" si="180"/>
        <v>1834</v>
      </c>
      <c r="K301" s="142">
        <f t="shared" si="180"/>
        <v>1834</v>
      </c>
      <c r="M301" s="24">
        <f t="shared" ref="M301:V302" si="181">+M98</f>
        <v>0</v>
      </c>
      <c r="N301" s="142">
        <f t="shared" si="181"/>
        <v>0</v>
      </c>
      <c r="O301" s="142">
        <f t="shared" si="181"/>
        <v>0</v>
      </c>
      <c r="P301" s="142">
        <f t="shared" si="181"/>
        <v>348</v>
      </c>
      <c r="Q301" s="142">
        <f t="shared" si="181"/>
        <v>10377</v>
      </c>
      <c r="R301" s="142">
        <f t="shared" si="181"/>
        <v>2723</v>
      </c>
      <c r="S301" s="142" t="str">
        <f t="shared" si="181"/>
        <v>-</v>
      </c>
      <c r="T301" s="24">
        <f t="shared" si="181"/>
        <v>0</v>
      </c>
      <c r="U301" s="24">
        <f t="shared" si="181"/>
        <v>13448</v>
      </c>
      <c r="V301" s="142">
        <f t="shared" si="181"/>
        <v>13448</v>
      </c>
    </row>
    <row r="302" spans="1:22" ht="11.25" customHeight="1">
      <c r="A302" s="99" t="s">
        <v>316</v>
      </c>
      <c r="B302" s="24">
        <f t="shared" si="180"/>
        <v>0</v>
      </c>
      <c r="C302" s="142">
        <f t="shared" si="180"/>
        <v>29</v>
      </c>
      <c r="D302" s="142">
        <f t="shared" si="180"/>
        <v>386</v>
      </c>
      <c r="E302" s="142">
        <f t="shared" si="180"/>
        <v>532</v>
      </c>
      <c r="F302" s="142">
        <f t="shared" si="180"/>
        <v>1062</v>
      </c>
      <c r="G302" s="142">
        <f t="shared" si="180"/>
        <v>167</v>
      </c>
      <c r="H302" s="142" t="str">
        <f t="shared" si="180"/>
        <v>-</v>
      </c>
      <c r="I302" s="24">
        <f t="shared" si="180"/>
        <v>0</v>
      </c>
      <c r="J302" s="24">
        <f t="shared" si="180"/>
        <v>2176</v>
      </c>
      <c r="K302" s="142">
        <f t="shared" si="180"/>
        <v>2176</v>
      </c>
      <c r="M302" s="24">
        <f t="shared" si="181"/>
        <v>0</v>
      </c>
      <c r="N302" s="142">
        <f t="shared" si="181"/>
        <v>0</v>
      </c>
      <c r="O302" s="142">
        <f t="shared" si="181"/>
        <v>0</v>
      </c>
      <c r="P302" s="142">
        <f t="shared" si="181"/>
        <v>517</v>
      </c>
      <c r="Q302" s="142">
        <f t="shared" si="181"/>
        <v>12700</v>
      </c>
      <c r="R302" s="142">
        <f t="shared" si="181"/>
        <v>8616</v>
      </c>
      <c r="S302" s="142" t="str">
        <f t="shared" si="181"/>
        <v>-</v>
      </c>
      <c r="T302" s="24">
        <f t="shared" si="181"/>
        <v>0</v>
      </c>
      <c r="U302" s="24">
        <f t="shared" si="181"/>
        <v>21833</v>
      </c>
      <c r="V302" s="142">
        <f t="shared" si="181"/>
        <v>21833</v>
      </c>
    </row>
    <row r="303" spans="1:22" ht="11.25" customHeight="1">
      <c r="V303" s="24"/>
    </row>
    <row r="304" spans="1:22" ht="11.25" customHeight="1">
      <c r="A304" s="282" t="s">
        <v>131</v>
      </c>
      <c r="B304" s="282"/>
      <c r="C304" s="282"/>
      <c r="D304" s="282"/>
      <c r="E304" s="282"/>
      <c r="F304" s="282"/>
      <c r="G304" s="282"/>
      <c r="H304" s="282"/>
      <c r="I304" s="282"/>
      <c r="J304" s="282"/>
      <c r="K304" s="282"/>
      <c r="L304" s="282"/>
      <c r="M304" s="282"/>
      <c r="N304" s="282"/>
      <c r="O304" s="282"/>
      <c r="P304" s="282"/>
      <c r="Q304" s="282"/>
      <c r="R304" s="282"/>
      <c r="S304" s="282"/>
      <c r="T304" s="282"/>
      <c r="U304" s="282"/>
      <c r="V304" s="282"/>
    </row>
    <row r="305" spans="1:22" ht="11.25" customHeight="1">
      <c r="A305" s="344" t="s">
        <v>27</v>
      </c>
      <c r="B305" s="14"/>
      <c r="C305" s="14"/>
      <c r="D305" s="14"/>
      <c r="E305" s="14"/>
      <c r="F305" s="14"/>
      <c r="G305" s="14"/>
      <c r="H305" s="14"/>
      <c r="I305" s="14"/>
      <c r="J305" s="284" t="s">
        <v>55</v>
      </c>
      <c r="K305" s="284"/>
      <c r="L305" s="14"/>
      <c r="M305" s="14"/>
      <c r="N305" s="14"/>
      <c r="O305" s="14"/>
      <c r="P305" s="14"/>
      <c r="Q305" s="14"/>
      <c r="R305" s="14"/>
      <c r="S305" s="14"/>
      <c r="T305" s="14"/>
      <c r="U305" s="284" t="s">
        <v>55</v>
      </c>
      <c r="V305" s="284"/>
    </row>
    <row r="306" spans="1:22" ht="11.25" customHeight="1">
      <c r="A306" s="275"/>
      <c r="B306" s="15" t="s">
        <v>65</v>
      </c>
      <c r="C306" s="15" t="s">
        <v>29</v>
      </c>
      <c r="D306" s="15" t="s">
        <v>30</v>
      </c>
      <c r="E306" s="15" t="s">
        <v>31</v>
      </c>
      <c r="F306" s="15" t="s">
        <v>32</v>
      </c>
      <c r="G306" s="15" t="s">
        <v>33</v>
      </c>
      <c r="H306" s="15" t="s">
        <v>218</v>
      </c>
      <c r="I306" s="37" t="s">
        <v>67</v>
      </c>
      <c r="J306" s="37" t="s">
        <v>68</v>
      </c>
      <c r="K306" s="15" t="s">
        <v>46</v>
      </c>
      <c r="L306" s="15"/>
      <c r="M306" s="15" t="s">
        <v>65</v>
      </c>
      <c r="N306" s="15" t="s">
        <v>29</v>
      </c>
      <c r="O306" s="15" t="s">
        <v>30</v>
      </c>
      <c r="P306" s="15" t="s">
        <v>31</v>
      </c>
      <c r="Q306" s="15" t="s">
        <v>32</v>
      </c>
      <c r="R306" s="15" t="s">
        <v>33</v>
      </c>
      <c r="S306" s="15" t="s">
        <v>218</v>
      </c>
      <c r="T306" s="37" t="s">
        <v>67</v>
      </c>
      <c r="U306" s="37" t="s">
        <v>68</v>
      </c>
      <c r="V306" s="15" t="s">
        <v>46</v>
      </c>
    </row>
    <row r="307" spans="1:22" ht="11.25" customHeight="1">
      <c r="A307" s="94"/>
      <c r="B307" s="334" t="s">
        <v>61</v>
      </c>
      <c r="C307" s="334"/>
      <c r="D307" s="334"/>
      <c r="E307" s="334"/>
      <c r="F307" s="334"/>
      <c r="G307" s="334"/>
      <c r="H307" s="334"/>
      <c r="I307" s="334"/>
      <c r="J307" s="334"/>
      <c r="K307" s="334"/>
      <c r="M307" s="334" t="s">
        <v>62</v>
      </c>
      <c r="N307" s="334"/>
      <c r="O307" s="334"/>
      <c r="P307" s="334"/>
      <c r="Q307" s="334"/>
      <c r="R307" s="334"/>
      <c r="S307" s="334"/>
      <c r="T307" s="334"/>
      <c r="U307" s="334"/>
      <c r="V307" s="334"/>
    </row>
    <row r="308" spans="1:22" ht="11.25" customHeight="1">
      <c r="A308" s="94" t="s">
        <v>60</v>
      </c>
      <c r="V308" s="24"/>
    </row>
    <row r="309" spans="1:22" ht="11.25" customHeight="1">
      <c r="A309" s="71" t="s">
        <v>24</v>
      </c>
      <c r="B309" s="24">
        <f t="shared" ref="B309:K309" si="182">AVERAGE(B107:B111)</f>
        <v>0</v>
      </c>
      <c r="C309" s="142">
        <f t="shared" si="182"/>
        <v>243</v>
      </c>
      <c r="D309" s="142">
        <f t="shared" si="182"/>
        <v>321.2</v>
      </c>
      <c r="E309" s="142">
        <f t="shared" si="182"/>
        <v>826.8</v>
      </c>
      <c r="F309" s="142">
        <f t="shared" si="182"/>
        <v>508.4</v>
      </c>
      <c r="G309" s="142">
        <f t="shared" si="182"/>
        <v>212.4</v>
      </c>
      <c r="H309" s="142">
        <f t="shared" si="182"/>
        <v>0</v>
      </c>
      <c r="I309" s="24">
        <f t="shared" si="182"/>
        <v>0</v>
      </c>
      <c r="J309" s="24">
        <f t="shared" si="182"/>
        <v>2111.8000000000002</v>
      </c>
      <c r="K309" s="142">
        <f t="shared" si="182"/>
        <v>2111.8000000000002</v>
      </c>
      <c r="M309" s="24">
        <f t="shared" ref="M309:V309" si="183">AVERAGE(M107:M111)</f>
        <v>0</v>
      </c>
      <c r="N309" s="142">
        <f t="shared" si="183"/>
        <v>30.2</v>
      </c>
      <c r="O309" s="142">
        <f t="shared" si="183"/>
        <v>2251.1999999999998</v>
      </c>
      <c r="P309" s="142">
        <f t="shared" si="183"/>
        <v>5302</v>
      </c>
      <c r="Q309" s="142">
        <f t="shared" si="183"/>
        <v>6393.4</v>
      </c>
      <c r="R309" s="142">
        <f t="shared" si="183"/>
        <v>2855</v>
      </c>
      <c r="S309" s="142">
        <f t="shared" si="183"/>
        <v>0</v>
      </c>
      <c r="T309" s="24">
        <f t="shared" si="183"/>
        <v>0</v>
      </c>
      <c r="U309" s="24">
        <f t="shared" si="183"/>
        <v>16831.8</v>
      </c>
      <c r="V309" s="142">
        <f t="shared" si="183"/>
        <v>16831.8</v>
      </c>
    </row>
    <row r="310" spans="1:22" ht="11.25" customHeight="1">
      <c r="A310" s="71" t="s">
        <v>78</v>
      </c>
      <c r="B310" s="24">
        <f t="shared" ref="B310:K310" si="184">AVERAGE(B112:B116)</f>
        <v>0</v>
      </c>
      <c r="C310" s="142">
        <f t="shared" si="184"/>
        <v>1062.2</v>
      </c>
      <c r="D310" s="142">
        <f t="shared" si="184"/>
        <v>943.8</v>
      </c>
      <c r="E310" s="142">
        <f t="shared" si="184"/>
        <v>2044.4</v>
      </c>
      <c r="F310" s="142">
        <f t="shared" si="184"/>
        <v>744</v>
      </c>
      <c r="G310" s="142">
        <f t="shared" si="184"/>
        <v>259.2</v>
      </c>
      <c r="H310" s="142" t="s">
        <v>23</v>
      </c>
      <c r="I310" s="24" t="s">
        <v>23</v>
      </c>
      <c r="J310" s="24">
        <f t="shared" si="184"/>
        <v>5053.6000000000004</v>
      </c>
      <c r="K310" s="142">
        <f t="shared" si="184"/>
        <v>5053.6000000000004</v>
      </c>
      <c r="M310" s="24">
        <f t="shared" ref="M310:V310" si="185">AVERAGE(M112:M116)</f>
        <v>0</v>
      </c>
      <c r="N310" s="142">
        <f t="shared" si="185"/>
        <v>0</v>
      </c>
      <c r="O310" s="142">
        <f t="shared" si="185"/>
        <v>2694.4</v>
      </c>
      <c r="P310" s="142">
        <f t="shared" si="185"/>
        <v>8430</v>
      </c>
      <c r="Q310" s="142">
        <f t="shared" si="185"/>
        <v>7020.8</v>
      </c>
      <c r="R310" s="142">
        <f t="shared" si="185"/>
        <v>2250.1999999999998</v>
      </c>
      <c r="S310" s="142" t="s">
        <v>23</v>
      </c>
      <c r="T310" s="24" t="s">
        <v>23</v>
      </c>
      <c r="U310" s="24">
        <f t="shared" si="185"/>
        <v>20395.400000000001</v>
      </c>
      <c r="V310" s="142">
        <f t="shared" si="185"/>
        <v>20395.400000000001</v>
      </c>
    </row>
    <row r="311" spans="1:22" ht="11.25" customHeight="1">
      <c r="A311" s="71" t="s">
        <v>10</v>
      </c>
      <c r="B311" s="24">
        <f>AVERAGE(B117:B121)</f>
        <v>0</v>
      </c>
      <c r="C311" s="142">
        <f t="shared" ref="C311:K311" si="186">AVERAGE(C117:C121)</f>
        <v>61</v>
      </c>
      <c r="D311" s="142">
        <f t="shared" si="186"/>
        <v>278.39999999999998</v>
      </c>
      <c r="E311" s="142">
        <f t="shared" si="186"/>
        <v>465</v>
      </c>
      <c r="F311" s="142">
        <f t="shared" si="186"/>
        <v>601.20000000000005</v>
      </c>
      <c r="G311" s="142">
        <f t="shared" si="186"/>
        <v>22.4</v>
      </c>
      <c r="H311" s="142" t="s">
        <v>23</v>
      </c>
      <c r="I311" s="24" t="s">
        <v>23</v>
      </c>
      <c r="J311" s="24">
        <f t="shared" si="186"/>
        <v>1428</v>
      </c>
      <c r="K311" s="142">
        <f t="shared" si="186"/>
        <v>1428</v>
      </c>
      <c r="M311" s="24">
        <f t="shared" ref="M311:V311" si="187">AVERAGE(M117:M121)</f>
        <v>0</v>
      </c>
      <c r="N311" s="142">
        <f t="shared" si="187"/>
        <v>0</v>
      </c>
      <c r="O311" s="142">
        <f t="shared" si="187"/>
        <v>0</v>
      </c>
      <c r="P311" s="142">
        <f t="shared" si="187"/>
        <v>2863.2</v>
      </c>
      <c r="Q311" s="142">
        <f t="shared" si="187"/>
        <v>6123</v>
      </c>
      <c r="R311" s="142">
        <f t="shared" si="187"/>
        <v>201</v>
      </c>
      <c r="S311" s="142" t="s">
        <v>23</v>
      </c>
      <c r="T311" s="24" t="s">
        <v>23</v>
      </c>
      <c r="U311" s="24">
        <f t="shared" si="187"/>
        <v>9187.2000000000007</v>
      </c>
      <c r="V311" s="142">
        <f t="shared" si="187"/>
        <v>9187.2000000000007</v>
      </c>
    </row>
    <row r="312" spans="1:22" ht="11.25" customHeight="1">
      <c r="A312" s="71" t="s">
        <v>144</v>
      </c>
      <c r="B312" s="24">
        <f>AVERAGE(B122:B126)</f>
        <v>0</v>
      </c>
      <c r="C312" s="142">
        <f t="shared" ref="C312:K312" si="188">AVERAGE(C122:C126)</f>
        <v>0</v>
      </c>
      <c r="D312" s="142">
        <f t="shared" si="188"/>
        <v>16.2</v>
      </c>
      <c r="E312" s="142">
        <f t="shared" si="188"/>
        <v>0</v>
      </c>
      <c r="F312" s="142">
        <f t="shared" si="188"/>
        <v>39.799999999999997</v>
      </c>
      <c r="G312" s="142">
        <f t="shared" si="188"/>
        <v>6.8</v>
      </c>
      <c r="H312" s="142" t="s">
        <v>23</v>
      </c>
      <c r="I312" s="24" t="s">
        <v>23</v>
      </c>
      <c r="J312" s="24">
        <f t="shared" si="188"/>
        <v>62.8</v>
      </c>
      <c r="K312" s="142">
        <f t="shared" si="188"/>
        <v>62.8</v>
      </c>
      <c r="M312" s="24">
        <f t="shared" ref="M312:V312" si="189">AVERAGE(M122:M126)</f>
        <v>0</v>
      </c>
      <c r="N312" s="142">
        <f t="shared" si="189"/>
        <v>0</v>
      </c>
      <c r="O312" s="142">
        <f t="shared" si="189"/>
        <v>0</v>
      </c>
      <c r="P312" s="142">
        <f t="shared" si="189"/>
        <v>0</v>
      </c>
      <c r="Q312" s="142">
        <f t="shared" si="189"/>
        <v>102.8</v>
      </c>
      <c r="R312" s="142">
        <f t="shared" si="189"/>
        <v>94.8</v>
      </c>
      <c r="S312" s="142" t="s">
        <v>23</v>
      </c>
      <c r="T312" s="24" t="s">
        <v>23</v>
      </c>
      <c r="U312" s="24">
        <f t="shared" si="189"/>
        <v>197.6</v>
      </c>
      <c r="V312" s="142">
        <f t="shared" si="189"/>
        <v>197.6</v>
      </c>
    </row>
    <row r="313" spans="1:22" ht="11.25" customHeight="1">
      <c r="A313" s="71" t="s">
        <v>166</v>
      </c>
      <c r="B313" s="24">
        <f t="shared" ref="B313:H313" si="190">AVERAGE(B127:B131)</f>
        <v>0</v>
      </c>
      <c r="C313" s="142">
        <f t="shared" si="190"/>
        <v>51.6</v>
      </c>
      <c r="D313" s="142">
        <f t="shared" si="190"/>
        <v>9.6</v>
      </c>
      <c r="E313" s="142">
        <f t="shared" si="190"/>
        <v>70.2</v>
      </c>
      <c r="F313" s="142">
        <f t="shared" si="190"/>
        <v>39.6</v>
      </c>
      <c r="G313" s="142">
        <f t="shared" si="190"/>
        <v>15.4</v>
      </c>
      <c r="H313" s="142">
        <f t="shared" si="190"/>
        <v>22.5</v>
      </c>
      <c r="I313" s="24" t="str">
        <f>+I127</f>
        <v>-</v>
      </c>
      <c r="J313" s="24">
        <f t="shared" ref="J313:R313" si="191">AVERAGE(J127:J131)</f>
        <v>186.4</v>
      </c>
      <c r="K313" s="142">
        <f t="shared" si="191"/>
        <v>204.4</v>
      </c>
      <c r="L313" s="142" t="e">
        <f t="shared" si="191"/>
        <v>#DIV/0!</v>
      </c>
      <c r="M313" s="24">
        <f t="shared" si="191"/>
        <v>0</v>
      </c>
      <c r="N313" s="142">
        <f t="shared" si="191"/>
        <v>0</v>
      </c>
      <c r="O313" s="142">
        <f t="shared" si="191"/>
        <v>0</v>
      </c>
      <c r="P313" s="142">
        <f t="shared" si="191"/>
        <v>12.4</v>
      </c>
      <c r="Q313" s="142">
        <f t="shared" si="191"/>
        <v>84.2</v>
      </c>
      <c r="R313" s="142">
        <f t="shared" si="191"/>
        <v>12</v>
      </c>
      <c r="S313" s="142">
        <f>AVERAGE(S127:S131)</f>
        <v>66.25</v>
      </c>
      <c r="T313" s="24" t="str">
        <f>+T127</f>
        <v>-</v>
      </c>
      <c r="U313" s="24">
        <f>AVERAGE(U127:U131)</f>
        <v>108.6</v>
      </c>
      <c r="V313" s="142">
        <f>AVERAGE(V127:V131)</f>
        <v>161.6</v>
      </c>
    </row>
    <row r="314" spans="1:22" ht="11.25" customHeight="1">
      <c r="A314" s="71" t="s">
        <v>315</v>
      </c>
      <c r="B314" s="24">
        <f>AVERAGE(B132:B136)</f>
        <v>0</v>
      </c>
      <c r="C314" s="142">
        <f t="shared" ref="C314:V314" si="192">AVERAGE(C132:C136)</f>
        <v>45.8</v>
      </c>
      <c r="D314" s="142">
        <f t="shared" si="192"/>
        <v>1007.8</v>
      </c>
      <c r="E314" s="142">
        <f t="shared" si="192"/>
        <v>407.8</v>
      </c>
      <c r="F314" s="142">
        <f t="shared" si="192"/>
        <v>570.4</v>
      </c>
      <c r="G314" s="142">
        <f t="shared" si="192"/>
        <v>102.6</v>
      </c>
      <c r="H314" s="142">
        <f t="shared" si="192"/>
        <v>10.199999999999999</v>
      </c>
      <c r="I314" s="24" t="str">
        <f>I132</f>
        <v>-</v>
      </c>
      <c r="J314" s="24">
        <f t="shared" si="192"/>
        <v>2134.4</v>
      </c>
      <c r="K314" s="142">
        <f t="shared" si="192"/>
        <v>2144.6</v>
      </c>
      <c r="L314" s="142"/>
      <c r="M314" s="24">
        <f t="shared" si="192"/>
        <v>0</v>
      </c>
      <c r="N314" s="142">
        <f t="shared" si="192"/>
        <v>0.4</v>
      </c>
      <c r="O314" s="142">
        <f t="shared" si="192"/>
        <v>0.4</v>
      </c>
      <c r="P314" s="142">
        <f t="shared" si="192"/>
        <v>244</v>
      </c>
      <c r="Q314" s="142">
        <f t="shared" si="192"/>
        <v>1190.8</v>
      </c>
      <c r="R314" s="142">
        <f t="shared" si="192"/>
        <v>124</v>
      </c>
      <c r="S314" s="142">
        <f t="shared" si="192"/>
        <v>7</v>
      </c>
      <c r="T314" s="24" t="str">
        <f>T132</f>
        <v>-</v>
      </c>
      <c r="U314" s="24">
        <f t="shared" si="192"/>
        <v>1559.6</v>
      </c>
      <c r="V314" s="142">
        <f t="shared" si="192"/>
        <v>1566.6</v>
      </c>
    </row>
    <row r="315" spans="1:22" ht="11.25" customHeight="1">
      <c r="A315" s="71">
        <v>2011</v>
      </c>
      <c r="B315" s="24">
        <f t="shared" ref="B315:K315" si="193">+B137</f>
        <v>0</v>
      </c>
      <c r="C315" s="142">
        <f t="shared" si="193"/>
        <v>0</v>
      </c>
      <c r="D315" s="142">
        <f t="shared" si="193"/>
        <v>457</v>
      </c>
      <c r="E315" s="142">
        <f t="shared" si="193"/>
        <v>0</v>
      </c>
      <c r="F315" s="142">
        <f t="shared" si="193"/>
        <v>69</v>
      </c>
      <c r="G315" s="142">
        <f t="shared" si="193"/>
        <v>46</v>
      </c>
      <c r="H315" s="142">
        <f t="shared" si="193"/>
        <v>0</v>
      </c>
      <c r="I315" s="24" t="str">
        <f t="shared" si="193"/>
        <v>-</v>
      </c>
      <c r="J315" s="24">
        <f t="shared" si="193"/>
        <v>572</v>
      </c>
      <c r="K315" s="142">
        <f t="shared" si="193"/>
        <v>572</v>
      </c>
      <c r="M315" s="24">
        <f t="shared" ref="M315:V315" si="194">+M137</f>
        <v>0</v>
      </c>
      <c r="N315" s="142">
        <f t="shared" si="194"/>
        <v>0</v>
      </c>
      <c r="O315" s="142">
        <f t="shared" si="194"/>
        <v>0</v>
      </c>
      <c r="P315" s="142">
        <f t="shared" si="194"/>
        <v>0</v>
      </c>
      <c r="Q315" s="142">
        <f t="shared" si="194"/>
        <v>29</v>
      </c>
      <c r="R315" s="142">
        <f t="shared" si="194"/>
        <v>482</v>
      </c>
      <c r="S315" s="142">
        <f t="shared" si="194"/>
        <v>0</v>
      </c>
      <c r="T315" s="24" t="str">
        <f t="shared" si="194"/>
        <v>-</v>
      </c>
      <c r="U315" s="24">
        <f t="shared" si="194"/>
        <v>511</v>
      </c>
      <c r="V315" s="142">
        <f t="shared" si="194"/>
        <v>511</v>
      </c>
    </row>
    <row r="316" spans="1:22" ht="11.25" customHeight="1">
      <c r="A316" s="71">
        <v>2012</v>
      </c>
      <c r="B316" s="24">
        <f t="shared" ref="B316:K316" si="195">+B138</f>
        <v>0</v>
      </c>
      <c r="C316" s="142">
        <f t="shared" si="195"/>
        <v>722</v>
      </c>
      <c r="D316" s="142">
        <f t="shared" si="195"/>
        <v>258</v>
      </c>
      <c r="E316" s="142">
        <f t="shared" si="195"/>
        <v>322</v>
      </c>
      <c r="F316" s="142">
        <f t="shared" si="195"/>
        <v>1060</v>
      </c>
      <c r="G316" s="142">
        <f t="shared" si="195"/>
        <v>164</v>
      </c>
      <c r="H316" s="142">
        <f t="shared" si="195"/>
        <v>10</v>
      </c>
      <c r="I316" s="24" t="str">
        <f t="shared" si="195"/>
        <v>-</v>
      </c>
      <c r="J316" s="24">
        <f t="shared" si="195"/>
        <v>2526</v>
      </c>
      <c r="K316" s="142">
        <f t="shared" si="195"/>
        <v>2536</v>
      </c>
      <c r="M316" s="24">
        <f t="shared" ref="M316:V316" si="196">+M138</f>
        <v>0</v>
      </c>
      <c r="N316" s="142">
        <f t="shared" si="196"/>
        <v>0</v>
      </c>
      <c r="O316" s="142">
        <f t="shared" si="196"/>
        <v>1</v>
      </c>
      <c r="P316" s="142">
        <f t="shared" si="196"/>
        <v>44</v>
      </c>
      <c r="Q316" s="142">
        <f t="shared" si="196"/>
        <v>1002</v>
      </c>
      <c r="R316" s="142">
        <f t="shared" si="196"/>
        <v>179</v>
      </c>
      <c r="S316" s="142">
        <f t="shared" si="196"/>
        <v>0</v>
      </c>
      <c r="T316" s="24" t="str">
        <f t="shared" si="196"/>
        <v>-</v>
      </c>
      <c r="U316" s="24">
        <f t="shared" si="196"/>
        <v>1226</v>
      </c>
      <c r="V316" s="142">
        <f t="shared" si="196"/>
        <v>1226</v>
      </c>
    </row>
    <row r="317" spans="1:22" ht="11.25" customHeight="1">
      <c r="A317" s="71">
        <v>2013</v>
      </c>
      <c r="B317" s="24">
        <f t="shared" ref="B317:K317" si="197">+B139</f>
        <v>0</v>
      </c>
      <c r="C317" s="142">
        <f t="shared" si="197"/>
        <v>954</v>
      </c>
      <c r="D317" s="142">
        <f t="shared" si="197"/>
        <v>2694</v>
      </c>
      <c r="E317" s="142">
        <f t="shared" si="197"/>
        <v>1197</v>
      </c>
      <c r="F317" s="142">
        <f t="shared" si="197"/>
        <v>207</v>
      </c>
      <c r="G317" s="142">
        <f t="shared" si="197"/>
        <v>794</v>
      </c>
      <c r="H317" s="142">
        <f t="shared" si="197"/>
        <v>0</v>
      </c>
      <c r="I317" s="24" t="str">
        <f t="shared" si="197"/>
        <v>-</v>
      </c>
      <c r="J317" s="24">
        <f t="shared" si="197"/>
        <v>5846</v>
      </c>
      <c r="K317" s="142">
        <f t="shared" si="197"/>
        <v>5846</v>
      </c>
      <c r="M317" s="24">
        <f t="shared" ref="M317:V317" si="198">+M139</f>
        <v>0</v>
      </c>
      <c r="N317" s="142">
        <f t="shared" si="198"/>
        <v>0</v>
      </c>
      <c r="O317" s="142">
        <f t="shared" si="198"/>
        <v>7</v>
      </c>
      <c r="P317" s="142">
        <f t="shared" si="198"/>
        <v>370</v>
      </c>
      <c r="Q317" s="142">
        <f t="shared" si="198"/>
        <v>1176</v>
      </c>
      <c r="R317" s="142">
        <f t="shared" si="198"/>
        <v>127</v>
      </c>
      <c r="S317" s="142">
        <f t="shared" si="198"/>
        <v>0</v>
      </c>
      <c r="T317" s="24" t="str">
        <f t="shared" si="198"/>
        <v>-</v>
      </c>
      <c r="U317" s="24">
        <f t="shared" si="198"/>
        <v>1680</v>
      </c>
      <c r="V317" s="142">
        <f t="shared" si="198"/>
        <v>1680</v>
      </c>
    </row>
    <row r="318" spans="1:22" ht="11.25" customHeight="1">
      <c r="A318" s="71">
        <v>2014</v>
      </c>
      <c r="B318" s="24">
        <f t="shared" ref="B318:K318" si="199">+B140</f>
        <v>0</v>
      </c>
      <c r="C318" s="142">
        <f t="shared" si="199"/>
        <v>4192</v>
      </c>
      <c r="D318" s="142">
        <f t="shared" si="199"/>
        <v>7992</v>
      </c>
      <c r="E318" s="142">
        <f t="shared" si="199"/>
        <v>15669</v>
      </c>
      <c r="F318" s="142">
        <f t="shared" si="199"/>
        <v>5502</v>
      </c>
      <c r="G318" s="142">
        <f t="shared" si="199"/>
        <v>2152</v>
      </c>
      <c r="H318" s="142">
        <f t="shared" si="199"/>
        <v>0</v>
      </c>
      <c r="I318" s="24" t="str">
        <f t="shared" si="199"/>
        <v>-</v>
      </c>
      <c r="J318" s="24">
        <f t="shared" si="199"/>
        <v>35507</v>
      </c>
      <c r="K318" s="142">
        <f t="shared" si="199"/>
        <v>35507</v>
      </c>
      <c r="M318" s="24">
        <f t="shared" ref="M318:V318" si="200">+M140</f>
        <v>0</v>
      </c>
      <c r="N318" s="142">
        <f t="shared" si="200"/>
        <v>0</v>
      </c>
      <c r="O318" s="142">
        <f t="shared" si="200"/>
        <v>4</v>
      </c>
      <c r="P318" s="142">
        <f t="shared" si="200"/>
        <v>7446</v>
      </c>
      <c r="Q318" s="142">
        <f t="shared" si="200"/>
        <v>29203</v>
      </c>
      <c r="R318" s="142">
        <f t="shared" si="200"/>
        <v>5031</v>
      </c>
      <c r="S318" s="142">
        <f t="shared" si="200"/>
        <v>0</v>
      </c>
      <c r="T318" s="24" t="str">
        <f t="shared" si="200"/>
        <v>-</v>
      </c>
      <c r="U318" s="24">
        <f t="shared" si="200"/>
        <v>41684</v>
      </c>
      <c r="V318" s="142">
        <f t="shared" si="200"/>
        <v>41684</v>
      </c>
    </row>
    <row r="319" spans="1:22" ht="11.25" customHeight="1">
      <c r="A319" s="71">
        <v>2015</v>
      </c>
      <c r="B319" s="24">
        <f t="shared" ref="B319:K319" si="201">+B141</f>
        <v>0</v>
      </c>
      <c r="C319" s="142">
        <f t="shared" si="201"/>
        <v>1868</v>
      </c>
      <c r="D319" s="142">
        <f t="shared" si="201"/>
        <v>1371</v>
      </c>
      <c r="E319" s="142">
        <f t="shared" si="201"/>
        <v>14068</v>
      </c>
      <c r="F319" s="142">
        <f t="shared" si="201"/>
        <v>1999</v>
      </c>
      <c r="G319" s="142">
        <f t="shared" si="201"/>
        <v>524</v>
      </c>
      <c r="H319" s="142">
        <f t="shared" si="201"/>
        <v>0</v>
      </c>
      <c r="I319" s="24" t="str">
        <f t="shared" si="201"/>
        <v>-</v>
      </c>
      <c r="J319" s="24">
        <f t="shared" si="201"/>
        <v>19830</v>
      </c>
      <c r="K319" s="142">
        <f t="shared" si="201"/>
        <v>19830</v>
      </c>
      <c r="M319" s="24">
        <f t="shared" ref="M319:V319" si="202">+M141</f>
        <v>0</v>
      </c>
      <c r="N319" s="142">
        <f t="shared" si="202"/>
        <v>0</v>
      </c>
      <c r="O319" s="142">
        <f t="shared" si="202"/>
        <v>0</v>
      </c>
      <c r="P319" s="142">
        <f t="shared" si="202"/>
        <v>1008</v>
      </c>
      <c r="Q319" s="142">
        <f t="shared" si="202"/>
        <v>383</v>
      </c>
      <c r="R319" s="142">
        <f t="shared" si="202"/>
        <v>298</v>
      </c>
      <c r="S319" s="142">
        <f t="shared" si="202"/>
        <v>0</v>
      </c>
      <c r="T319" s="24" t="str">
        <f t="shared" si="202"/>
        <v>-</v>
      </c>
      <c r="U319" s="24">
        <f t="shared" si="202"/>
        <v>1689</v>
      </c>
      <c r="V319" s="142">
        <f t="shared" si="202"/>
        <v>1689</v>
      </c>
    </row>
    <row r="320" spans="1:22" ht="11.25" customHeight="1">
      <c r="A320" s="71">
        <v>2016</v>
      </c>
      <c r="B320" s="24">
        <f t="shared" ref="B320:K320" si="203">+B142</f>
        <v>0</v>
      </c>
      <c r="C320" s="142">
        <f t="shared" si="203"/>
        <v>641</v>
      </c>
      <c r="D320" s="142">
        <f t="shared" si="203"/>
        <v>555</v>
      </c>
      <c r="E320" s="142">
        <f t="shared" si="203"/>
        <v>256</v>
      </c>
      <c r="F320" s="142">
        <f t="shared" si="203"/>
        <v>4</v>
      </c>
      <c r="G320" s="142">
        <f t="shared" si="203"/>
        <v>0</v>
      </c>
      <c r="H320" s="142">
        <f t="shared" si="203"/>
        <v>0</v>
      </c>
      <c r="I320" s="24" t="str">
        <f t="shared" si="203"/>
        <v>-</v>
      </c>
      <c r="J320" s="24">
        <f t="shared" si="203"/>
        <v>1456</v>
      </c>
      <c r="K320" s="142">
        <f t="shared" si="203"/>
        <v>1456</v>
      </c>
      <c r="M320" s="24">
        <f t="shared" ref="M320:V320" si="204">+M142</f>
        <v>0</v>
      </c>
      <c r="N320" s="142">
        <f t="shared" si="204"/>
        <v>0</v>
      </c>
      <c r="O320" s="142">
        <f t="shared" si="204"/>
        <v>0</v>
      </c>
      <c r="P320" s="142">
        <f t="shared" si="204"/>
        <v>0</v>
      </c>
      <c r="Q320" s="142">
        <f t="shared" si="204"/>
        <v>0</v>
      </c>
      <c r="R320" s="142">
        <f t="shared" si="204"/>
        <v>0</v>
      </c>
      <c r="S320" s="142">
        <f t="shared" si="204"/>
        <v>1</v>
      </c>
      <c r="T320" s="24" t="str">
        <f t="shared" si="204"/>
        <v>-</v>
      </c>
      <c r="U320" s="24">
        <f t="shared" si="204"/>
        <v>0</v>
      </c>
      <c r="V320" s="142">
        <f t="shared" si="204"/>
        <v>1</v>
      </c>
    </row>
    <row r="321" spans="1:22" ht="11.25" customHeight="1">
      <c r="A321" s="99">
        <v>2017</v>
      </c>
      <c r="B321" s="24">
        <f t="shared" ref="B321:K321" si="205">+B143</f>
        <v>0</v>
      </c>
      <c r="C321" s="142">
        <f t="shared" si="205"/>
        <v>0</v>
      </c>
      <c r="D321" s="142">
        <f t="shared" si="205"/>
        <v>10</v>
      </c>
      <c r="E321" s="142">
        <f t="shared" si="205"/>
        <v>5</v>
      </c>
      <c r="F321" s="142">
        <f t="shared" si="205"/>
        <v>4</v>
      </c>
      <c r="G321" s="142">
        <f t="shared" si="205"/>
        <v>30</v>
      </c>
      <c r="H321" s="142">
        <f t="shared" si="205"/>
        <v>0</v>
      </c>
      <c r="I321" s="24" t="str">
        <f t="shared" si="205"/>
        <v>-</v>
      </c>
      <c r="J321" s="24">
        <f t="shared" si="205"/>
        <v>49</v>
      </c>
      <c r="K321" s="142">
        <f t="shared" si="205"/>
        <v>49</v>
      </c>
      <c r="M321" s="24">
        <f t="shared" ref="M321:V321" si="206">+M143</f>
        <v>0</v>
      </c>
      <c r="N321" s="142">
        <f t="shared" si="206"/>
        <v>0</v>
      </c>
      <c r="O321" s="142">
        <f t="shared" si="206"/>
        <v>0</v>
      </c>
      <c r="P321" s="142">
        <f t="shared" si="206"/>
        <v>8</v>
      </c>
      <c r="Q321" s="142">
        <f t="shared" si="206"/>
        <v>14</v>
      </c>
      <c r="R321" s="142">
        <f t="shared" si="206"/>
        <v>167</v>
      </c>
      <c r="S321" s="142">
        <f t="shared" si="206"/>
        <v>0</v>
      </c>
      <c r="T321" s="24" t="str">
        <f t="shared" si="206"/>
        <v>-</v>
      </c>
      <c r="U321" s="24">
        <f t="shared" si="206"/>
        <v>189</v>
      </c>
      <c r="V321" s="142">
        <f t="shared" si="206"/>
        <v>189</v>
      </c>
    </row>
    <row r="322" spans="1:22" ht="11.25" customHeight="1">
      <c r="A322" s="99">
        <v>2018</v>
      </c>
      <c r="B322" s="24">
        <f t="shared" ref="B322:K322" si="207">+B144</f>
        <v>0</v>
      </c>
      <c r="C322" s="142">
        <f t="shared" si="207"/>
        <v>0</v>
      </c>
      <c r="D322" s="142">
        <f t="shared" si="207"/>
        <v>25</v>
      </c>
      <c r="E322" s="142">
        <f t="shared" si="207"/>
        <v>0</v>
      </c>
      <c r="F322" s="142">
        <f t="shared" si="207"/>
        <v>0</v>
      </c>
      <c r="G322" s="142">
        <f t="shared" si="207"/>
        <v>3</v>
      </c>
      <c r="H322" s="142">
        <f t="shared" si="207"/>
        <v>0</v>
      </c>
      <c r="I322" s="24" t="str">
        <f t="shared" si="207"/>
        <v>-</v>
      </c>
      <c r="J322" s="24">
        <f t="shared" si="207"/>
        <v>28</v>
      </c>
      <c r="K322" s="142">
        <f t="shared" si="207"/>
        <v>28</v>
      </c>
      <c r="M322" s="24">
        <f t="shared" ref="M322:V322" si="208">+M144</f>
        <v>0</v>
      </c>
      <c r="N322" s="142">
        <f t="shared" si="208"/>
        <v>0</v>
      </c>
      <c r="O322" s="142">
        <f t="shared" si="208"/>
        <v>0</v>
      </c>
      <c r="P322" s="142">
        <f t="shared" si="208"/>
        <v>0</v>
      </c>
      <c r="Q322" s="142">
        <f t="shared" si="208"/>
        <v>0</v>
      </c>
      <c r="R322" s="142">
        <f t="shared" si="208"/>
        <v>17</v>
      </c>
      <c r="S322" s="142">
        <f t="shared" si="208"/>
        <v>0</v>
      </c>
      <c r="T322" s="24" t="str">
        <f t="shared" si="208"/>
        <v>-</v>
      </c>
      <c r="U322" s="24">
        <f t="shared" si="208"/>
        <v>17</v>
      </c>
      <c r="V322" s="142">
        <f t="shared" si="208"/>
        <v>17</v>
      </c>
    </row>
    <row r="323" spans="1:22" ht="11.25" customHeight="1">
      <c r="A323" s="99">
        <v>2019</v>
      </c>
      <c r="B323" s="24">
        <f t="shared" ref="B323:K323" si="209">+B145</f>
        <v>0</v>
      </c>
      <c r="C323" s="142">
        <f t="shared" si="209"/>
        <v>0</v>
      </c>
      <c r="D323" s="142">
        <f t="shared" si="209"/>
        <v>0</v>
      </c>
      <c r="E323" s="142">
        <f t="shared" si="209"/>
        <v>0</v>
      </c>
      <c r="F323" s="142">
        <f t="shared" si="209"/>
        <v>14</v>
      </c>
      <c r="G323" s="142">
        <f t="shared" si="209"/>
        <v>23</v>
      </c>
      <c r="H323" s="142">
        <f t="shared" si="209"/>
        <v>0</v>
      </c>
      <c r="I323" s="24" t="str">
        <f t="shared" si="209"/>
        <v>-</v>
      </c>
      <c r="J323" s="24">
        <f t="shared" si="209"/>
        <v>37</v>
      </c>
      <c r="K323" s="142">
        <f t="shared" si="209"/>
        <v>37</v>
      </c>
      <c r="M323" s="24">
        <f t="shared" ref="M323:V323" si="210">+M145</f>
        <v>0</v>
      </c>
      <c r="N323" s="142">
        <f t="shared" si="210"/>
        <v>0</v>
      </c>
      <c r="O323" s="142">
        <f t="shared" si="210"/>
        <v>0</v>
      </c>
      <c r="P323" s="142">
        <f t="shared" si="210"/>
        <v>0</v>
      </c>
      <c r="Q323" s="142">
        <f t="shared" si="210"/>
        <v>123</v>
      </c>
      <c r="R323" s="142">
        <f t="shared" si="210"/>
        <v>219</v>
      </c>
      <c r="S323" s="142">
        <f t="shared" si="210"/>
        <v>0</v>
      </c>
      <c r="T323" s="24" t="str">
        <f t="shared" si="210"/>
        <v>-</v>
      </c>
      <c r="U323" s="24">
        <f t="shared" si="210"/>
        <v>342</v>
      </c>
      <c r="V323" s="142">
        <f t="shared" si="210"/>
        <v>342</v>
      </c>
    </row>
    <row r="324" spans="1:22" ht="11.25" customHeight="1">
      <c r="A324" s="99">
        <v>2020</v>
      </c>
      <c r="B324" s="24">
        <f t="shared" ref="B324:K325" si="211">+B146</f>
        <v>0</v>
      </c>
      <c r="C324" s="142">
        <f t="shared" si="211"/>
        <v>0</v>
      </c>
      <c r="D324" s="142">
        <f t="shared" si="211"/>
        <v>0</v>
      </c>
      <c r="E324" s="142">
        <f t="shared" si="211"/>
        <v>0</v>
      </c>
      <c r="F324" s="142">
        <f t="shared" si="211"/>
        <v>27</v>
      </c>
      <c r="G324" s="142">
        <f t="shared" si="211"/>
        <v>0</v>
      </c>
      <c r="H324" s="142">
        <f t="shared" si="211"/>
        <v>0</v>
      </c>
      <c r="I324" s="24" t="str">
        <f t="shared" si="211"/>
        <v>-</v>
      </c>
      <c r="J324" s="24">
        <f t="shared" si="211"/>
        <v>27</v>
      </c>
      <c r="K324" s="142">
        <f t="shared" si="211"/>
        <v>27</v>
      </c>
      <c r="M324" s="24">
        <f t="shared" ref="M324:V325" si="212">+M146</f>
        <v>0</v>
      </c>
      <c r="N324" s="142">
        <f t="shared" si="212"/>
        <v>0</v>
      </c>
      <c r="O324" s="142">
        <f t="shared" si="212"/>
        <v>0</v>
      </c>
      <c r="P324" s="142">
        <f t="shared" si="212"/>
        <v>0</v>
      </c>
      <c r="Q324" s="142">
        <f t="shared" si="212"/>
        <v>5</v>
      </c>
      <c r="R324" s="142">
        <f t="shared" si="212"/>
        <v>0</v>
      </c>
      <c r="S324" s="142">
        <f t="shared" si="212"/>
        <v>0</v>
      </c>
      <c r="T324" s="24" t="str">
        <f t="shared" si="212"/>
        <v>-</v>
      </c>
      <c r="U324" s="24">
        <f t="shared" si="212"/>
        <v>5</v>
      </c>
      <c r="V324" s="142">
        <f t="shared" si="212"/>
        <v>5</v>
      </c>
    </row>
    <row r="325" spans="1:22" ht="11.25" customHeight="1">
      <c r="A325" s="99" t="s">
        <v>316</v>
      </c>
      <c r="B325" s="24">
        <f t="shared" si="211"/>
        <v>0</v>
      </c>
      <c r="C325" s="142">
        <f t="shared" si="211"/>
        <v>0</v>
      </c>
      <c r="D325" s="142">
        <f t="shared" si="211"/>
        <v>0</v>
      </c>
      <c r="E325" s="142">
        <f t="shared" si="211"/>
        <v>81</v>
      </c>
      <c r="F325" s="142">
        <f t="shared" si="211"/>
        <v>256</v>
      </c>
      <c r="G325" s="142">
        <f t="shared" si="211"/>
        <v>0</v>
      </c>
      <c r="H325" s="142">
        <f t="shared" si="211"/>
        <v>0</v>
      </c>
      <c r="I325" s="24" t="str">
        <f t="shared" si="211"/>
        <v>-</v>
      </c>
      <c r="J325" s="24">
        <f t="shared" si="211"/>
        <v>337</v>
      </c>
      <c r="K325" s="142">
        <f t="shared" si="211"/>
        <v>337</v>
      </c>
      <c r="M325" s="24">
        <f t="shared" si="212"/>
        <v>0</v>
      </c>
      <c r="N325" s="142">
        <f t="shared" si="212"/>
        <v>0</v>
      </c>
      <c r="O325" s="142">
        <f t="shared" si="212"/>
        <v>0</v>
      </c>
      <c r="P325" s="142">
        <f t="shared" si="212"/>
        <v>45</v>
      </c>
      <c r="Q325" s="142">
        <f t="shared" si="212"/>
        <v>1578</v>
      </c>
      <c r="R325" s="142">
        <f t="shared" si="212"/>
        <v>0</v>
      </c>
      <c r="S325" s="142">
        <f t="shared" si="212"/>
        <v>0</v>
      </c>
      <c r="T325" s="24" t="str">
        <f t="shared" si="212"/>
        <v>-</v>
      </c>
      <c r="U325" s="24">
        <f t="shared" si="212"/>
        <v>1623</v>
      </c>
      <c r="V325" s="142">
        <f t="shared" si="212"/>
        <v>1623</v>
      </c>
    </row>
    <row r="326" spans="1:22" ht="11.25" customHeight="1">
      <c r="V326" s="24"/>
    </row>
    <row r="327" spans="1:22" ht="11.25" customHeight="1">
      <c r="A327" s="94" t="s">
        <v>58</v>
      </c>
      <c r="V327" s="24"/>
    </row>
    <row r="328" spans="1:22" ht="11.25" customHeight="1">
      <c r="A328" s="99" t="s">
        <v>24</v>
      </c>
      <c r="B328" s="24">
        <f t="shared" ref="B328:K328" si="213">AVERAGE(B155:B159)</f>
        <v>0</v>
      </c>
      <c r="C328" s="142">
        <f t="shared" si="213"/>
        <v>321.2</v>
      </c>
      <c r="D328" s="142">
        <f t="shared" si="213"/>
        <v>123.4</v>
      </c>
      <c r="E328" s="142">
        <f t="shared" si="213"/>
        <v>310</v>
      </c>
      <c r="F328" s="142">
        <f t="shared" si="213"/>
        <v>104.8</v>
      </c>
      <c r="G328" s="142">
        <f t="shared" si="213"/>
        <v>5.6</v>
      </c>
      <c r="H328" s="142">
        <f t="shared" si="213"/>
        <v>0</v>
      </c>
      <c r="I328" s="24">
        <f t="shared" si="213"/>
        <v>0</v>
      </c>
      <c r="J328" s="24">
        <f t="shared" si="213"/>
        <v>865</v>
      </c>
      <c r="K328" s="142">
        <f t="shared" si="213"/>
        <v>865</v>
      </c>
      <c r="M328" s="24">
        <f t="shared" ref="M328:V328" si="214">AVERAGE(M155:M159)</f>
        <v>0</v>
      </c>
      <c r="N328" s="142">
        <f t="shared" si="214"/>
        <v>0.2</v>
      </c>
      <c r="O328" s="142">
        <f t="shared" si="214"/>
        <v>353.2</v>
      </c>
      <c r="P328" s="142">
        <f t="shared" si="214"/>
        <v>1261.8</v>
      </c>
      <c r="Q328" s="142">
        <f t="shared" si="214"/>
        <v>561.4</v>
      </c>
      <c r="R328" s="142">
        <f t="shared" si="214"/>
        <v>199</v>
      </c>
      <c r="S328" s="142">
        <f t="shared" si="214"/>
        <v>0</v>
      </c>
      <c r="T328" s="24">
        <f t="shared" si="214"/>
        <v>0</v>
      </c>
      <c r="U328" s="24">
        <f t="shared" si="214"/>
        <v>2375.6</v>
      </c>
      <c r="V328" s="142">
        <f t="shared" si="214"/>
        <v>2375.6</v>
      </c>
    </row>
    <row r="329" spans="1:22" ht="11.25" customHeight="1">
      <c r="A329" s="99" t="s">
        <v>78</v>
      </c>
      <c r="B329" s="24">
        <f t="shared" ref="B329:K329" si="215">AVERAGE(B160:B164)</f>
        <v>0</v>
      </c>
      <c r="C329" s="142">
        <f t="shared" si="215"/>
        <v>670.8</v>
      </c>
      <c r="D329" s="142">
        <f t="shared" si="215"/>
        <v>949</v>
      </c>
      <c r="E329" s="142">
        <f t="shared" si="215"/>
        <v>1283</v>
      </c>
      <c r="F329" s="142">
        <f t="shared" si="215"/>
        <v>782.8</v>
      </c>
      <c r="G329" s="142">
        <f t="shared" si="215"/>
        <v>240.6</v>
      </c>
      <c r="H329" s="142" t="s">
        <v>23</v>
      </c>
      <c r="I329" s="24" t="s">
        <v>23</v>
      </c>
      <c r="J329" s="24">
        <f t="shared" si="215"/>
        <v>3926.2</v>
      </c>
      <c r="K329" s="142">
        <f t="shared" si="215"/>
        <v>3926.2</v>
      </c>
      <c r="M329" s="24">
        <f t="shared" ref="M329:V329" si="216">AVERAGE(M160:M164)</f>
        <v>0</v>
      </c>
      <c r="N329" s="142">
        <f t="shared" si="216"/>
        <v>0</v>
      </c>
      <c r="O329" s="142">
        <f t="shared" si="216"/>
        <v>1391.2</v>
      </c>
      <c r="P329" s="142">
        <f t="shared" si="216"/>
        <v>4900.8</v>
      </c>
      <c r="Q329" s="142">
        <f t="shared" si="216"/>
        <v>4220.8</v>
      </c>
      <c r="R329" s="142">
        <f t="shared" si="216"/>
        <v>746.8</v>
      </c>
      <c r="S329" s="142" t="s">
        <v>23</v>
      </c>
      <c r="T329" s="24" t="s">
        <v>23</v>
      </c>
      <c r="U329" s="24">
        <f t="shared" si="216"/>
        <v>11259.6</v>
      </c>
      <c r="V329" s="142">
        <f t="shared" si="216"/>
        <v>11259.6</v>
      </c>
    </row>
    <row r="330" spans="1:22" ht="11.25" customHeight="1">
      <c r="A330" s="99" t="s">
        <v>10</v>
      </c>
      <c r="B330" s="24">
        <f>AVERAGE(B165:B169)</f>
        <v>0</v>
      </c>
      <c r="C330" s="142">
        <f t="shared" ref="C330:K330" si="217">AVERAGE(C165:C169)</f>
        <v>14.8</v>
      </c>
      <c r="D330" s="142">
        <f t="shared" si="217"/>
        <v>231.2</v>
      </c>
      <c r="E330" s="142">
        <f t="shared" si="217"/>
        <v>188.2</v>
      </c>
      <c r="F330" s="142">
        <f t="shared" si="217"/>
        <v>656</v>
      </c>
      <c r="G330" s="142">
        <f t="shared" si="217"/>
        <v>74.400000000000006</v>
      </c>
      <c r="H330" s="142" t="s">
        <v>23</v>
      </c>
      <c r="I330" s="24" t="s">
        <v>23</v>
      </c>
      <c r="J330" s="24">
        <f t="shared" si="217"/>
        <v>1164.5999999999999</v>
      </c>
      <c r="K330" s="142">
        <f t="shared" si="217"/>
        <v>1164.5999999999999</v>
      </c>
      <c r="M330" s="24">
        <f t="shared" ref="M330:V330" si="218">AVERAGE(M165:M169)</f>
        <v>0</v>
      </c>
      <c r="N330" s="142">
        <f t="shared" si="218"/>
        <v>0</v>
      </c>
      <c r="O330" s="142">
        <f t="shared" si="218"/>
        <v>0</v>
      </c>
      <c r="P330" s="142">
        <f t="shared" si="218"/>
        <v>1137.8</v>
      </c>
      <c r="Q330" s="142">
        <f t="shared" si="218"/>
        <v>2019.4</v>
      </c>
      <c r="R330" s="142">
        <f t="shared" si="218"/>
        <v>228.2</v>
      </c>
      <c r="S330" s="142" t="s">
        <v>23</v>
      </c>
      <c r="T330" s="24" t="s">
        <v>23</v>
      </c>
      <c r="U330" s="24">
        <f t="shared" si="218"/>
        <v>3385.4</v>
      </c>
      <c r="V330" s="142">
        <f t="shared" si="218"/>
        <v>3385.4</v>
      </c>
    </row>
    <row r="331" spans="1:22" ht="11.25" customHeight="1">
      <c r="A331" s="99" t="s">
        <v>144</v>
      </c>
      <c r="B331" s="24">
        <f>AVERAGE(B170:B174)</f>
        <v>0</v>
      </c>
      <c r="C331" s="142">
        <f t="shared" ref="C331:K331" si="219">AVERAGE(C170:C174)</f>
        <v>17.600000000000001</v>
      </c>
      <c r="D331" s="142">
        <f t="shared" si="219"/>
        <v>91</v>
      </c>
      <c r="E331" s="142">
        <f t="shared" si="219"/>
        <v>67.400000000000006</v>
      </c>
      <c r="F331" s="142">
        <f t="shared" si="219"/>
        <v>285.60000000000002</v>
      </c>
      <c r="G331" s="142">
        <f t="shared" si="219"/>
        <v>46</v>
      </c>
      <c r="H331" s="142" t="s">
        <v>23</v>
      </c>
      <c r="I331" s="24" t="s">
        <v>23</v>
      </c>
      <c r="J331" s="24">
        <f t="shared" si="219"/>
        <v>507.6</v>
      </c>
      <c r="K331" s="142">
        <f t="shared" si="219"/>
        <v>507.6</v>
      </c>
      <c r="M331" s="24">
        <f t="shared" ref="M331:V331" si="220">AVERAGE(M170:M174)</f>
        <v>0</v>
      </c>
      <c r="N331" s="142">
        <f t="shared" si="220"/>
        <v>0</v>
      </c>
      <c r="O331" s="142">
        <f t="shared" si="220"/>
        <v>0</v>
      </c>
      <c r="P331" s="142">
        <f t="shared" si="220"/>
        <v>0</v>
      </c>
      <c r="Q331" s="142">
        <f t="shared" si="220"/>
        <v>712</v>
      </c>
      <c r="R331" s="142">
        <f t="shared" si="220"/>
        <v>366.8</v>
      </c>
      <c r="S331" s="142" t="s">
        <v>23</v>
      </c>
      <c r="T331" s="24" t="s">
        <v>23</v>
      </c>
      <c r="U331" s="24">
        <f t="shared" si="220"/>
        <v>1078.8</v>
      </c>
      <c r="V331" s="142">
        <f t="shared" si="220"/>
        <v>1078.8</v>
      </c>
    </row>
    <row r="332" spans="1:22" ht="11.25" customHeight="1">
      <c r="A332" s="99" t="s">
        <v>166</v>
      </c>
      <c r="B332" s="24">
        <f t="shared" ref="B332:G332" si="221">AVERAGE(B175:B179)</f>
        <v>0</v>
      </c>
      <c r="C332" s="142">
        <f t="shared" si="221"/>
        <v>355.4</v>
      </c>
      <c r="D332" s="142">
        <f t="shared" si="221"/>
        <v>92.2</v>
      </c>
      <c r="E332" s="142">
        <f t="shared" si="221"/>
        <v>49</v>
      </c>
      <c r="F332" s="142">
        <f t="shared" si="221"/>
        <v>222</v>
      </c>
      <c r="G332" s="142">
        <f t="shared" si="221"/>
        <v>124.8</v>
      </c>
      <c r="H332" s="142" t="str">
        <f>+H175</f>
        <v>-</v>
      </c>
      <c r="I332" s="24" t="str">
        <f>+I175</f>
        <v>-</v>
      </c>
      <c r="J332" s="24">
        <f t="shared" ref="J332:R332" si="222">AVERAGE(J175:J179)</f>
        <v>843.4</v>
      </c>
      <c r="K332" s="142">
        <f t="shared" si="222"/>
        <v>843.4</v>
      </c>
      <c r="L332" s="24" t="e">
        <f t="shared" si="222"/>
        <v>#DIV/0!</v>
      </c>
      <c r="M332" s="24">
        <f t="shared" si="222"/>
        <v>0</v>
      </c>
      <c r="N332" s="142">
        <f t="shared" si="222"/>
        <v>0</v>
      </c>
      <c r="O332" s="142">
        <f t="shared" si="222"/>
        <v>0</v>
      </c>
      <c r="P332" s="142">
        <f t="shared" si="222"/>
        <v>0</v>
      </c>
      <c r="Q332" s="142">
        <f t="shared" si="222"/>
        <v>113.6</v>
      </c>
      <c r="R332" s="142">
        <f t="shared" si="222"/>
        <v>80</v>
      </c>
      <c r="S332" s="142" t="str">
        <f>+S175</f>
        <v>-</v>
      </c>
      <c r="T332" s="24" t="str">
        <f>+T175</f>
        <v>-</v>
      </c>
      <c r="U332" s="24">
        <f>AVERAGE(U175:U179)</f>
        <v>193.6</v>
      </c>
      <c r="V332" s="142">
        <f>AVERAGE(V175:V179)</f>
        <v>193.6</v>
      </c>
    </row>
    <row r="333" spans="1:22" ht="11.25" customHeight="1">
      <c r="A333" s="99" t="s">
        <v>315</v>
      </c>
      <c r="B333" s="24">
        <f>AVERAGE(B180:B184)</f>
        <v>0</v>
      </c>
      <c r="C333" s="142">
        <f t="shared" ref="C333:K333" si="223">AVERAGE(C180:C184)</f>
        <v>40.6</v>
      </c>
      <c r="D333" s="142">
        <f t="shared" si="223"/>
        <v>198.4</v>
      </c>
      <c r="E333" s="142">
        <f t="shared" si="223"/>
        <v>240.4</v>
      </c>
      <c r="F333" s="142">
        <f t="shared" si="223"/>
        <v>223</v>
      </c>
      <c r="G333" s="142">
        <f t="shared" si="223"/>
        <v>146.80000000000001</v>
      </c>
      <c r="H333" s="142" t="str">
        <f>H180</f>
        <v>-</v>
      </c>
      <c r="I333" s="24" t="str">
        <f>I180</f>
        <v>-</v>
      </c>
      <c r="J333" s="24">
        <f t="shared" si="223"/>
        <v>849.2</v>
      </c>
      <c r="K333" s="142">
        <f t="shared" si="223"/>
        <v>849.2</v>
      </c>
      <c r="M333" s="24">
        <f>AVERAGE(M180:M184)</f>
        <v>0</v>
      </c>
      <c r="N333" s="142">
        <f t="shared" ref="N333:V333" si="224">AVERAGE(N180:N184)</f>
        <v>0</v>
      </c>
      <c r="O333" s="142">
        <f t="shared" si="224"/>
        <v>10</v>
      </c>
      <c r="P333" s="142">
        <f t="shared" si="224"/>
        <v>207.8</v>
      </c>
      <c r="Q333" s="142">
        <f t="shared" si="224"/>
        <v>999.4</v>
      </c>
      <c r="R333" s="142">
        <f t="shared" si="224"/>
        <v>341.8</v>
      </c>
      <c r="S333" s="142" t="str">
        <f t="shared" ref="S333:T333" si="225">S180</f>
        <v>-</v>
      </c>
      <c r="T333" s="24" t="str">
        <f t="shared" si="225"/>
        <v>-</v>
      </c>
      <c r="U333" s="24">
        <f t="shared" si="224"/>
        <v>1559</v>
      </c>
      <c r="V333" s="142">
        <f t="shared" si="224"/>
        <v>1559</v>
      </c>
    </row>
    <row r="334" spans="1:22" ht="11.25" customHeight="1">
      <c r="A334" s="71">
        <v>2011</v>
      </c>
      <c r="B334" s="24">
        <f t="shared" ref="B334:K334" si="226">+B185</f>
        <v>0</v>
      </c>
      <c r="C334" s="142">
        <f t="shared" si="226"/>
        <v>0</v>
      </c>
      <c r="D334" s="142">
        <f t="shared" si="226"/>
        <v>286</v>
      </c>
      <c r="E334" s="142">
        <f t="shared" si="226"/>
        <v>253</v>
      </c>
      <c r="F334" s="142">
        <f t="shared" si="226"/>
        <v>1610</v>
      </c>
      <c r="G334" s="142">
        <f t="shared" si="226"/>
        <v>13</v>
      </c>
      <c r="H334" s="142" t="str">
        <f t="shared" si="226"/>
        <v>-</v>
      </c>
      <c r="I334" s="24" t="str">
        <f t="shared" si="226"/>
        <v>-</v>
      </c>
      <c r="J334" s="24">
        <f t="shared" si="226"/>
        <v>2162</v>
      </c>
      <c r="K334" s="142">
        <f t="shared" si="226"/>
        <v>2162</v>
      </c>
      <c r="M334" s="24">
        <f t="shared" ref="M334:V334" si="227">+M185</f>
        <v>0</v>
      </c>
      <c r="N334" s="142">
        <f t="shared" si="227"/>
        <v>0</v>
      </c>
      <c r="O334" s="142">
        <f t="shared" si="227"/>
        <v>0</v>
      </c>
      <c r="P334" s="142">
        <f t="shared" si="227"/>
        <v>101</v>
      </c>
      <c r="Q334" s="142">
        <f t="shared" si="227"/>
        <v>553</v>
      </c>
      <c r="R334" s="142">
        <f t="shared" si="227"/>
        <v>55</v>
      </c>
      <c r="S334" s="142" t="str">
        <f t="shared" si="227"/>
        <v>-</v>
      </c>
      <c r="T334" s="24" t="str">
        <f t="shared" si="227"/>
        <v>-</v>
      </c>
      <c r="U334" s="24">
        <f t="shared" si="227"/>
        <v>709</v>
      </c>
      <c r="V334" s="142">
        <f t="shared" si="227"/>
        <v>709</v>
      </c>
    </row>
    <row r="335" spans="1:22" ht="11.25" customHeight="1">
      <c r="A335" s="71">
        <v>2012</v>
      </c>
      <c r="B335" s="24">
        <f t="shared" ref="B335:K335" si="228">+B186</f>
        <v>0</v>
      </c>
      <c r="C335" s="142">
        <f t="shared" si="228"/>
        <v>133</v>
      </c>
      <c r="D335" s="142">
        <f t="shared" si="228"/>
        <v>521</v>
      </c>
      <c r="E335" s="142">
        <f t="shared" si="228"/>
        <v>366</v>
      </c>
      <c r="F335" s="142">
        <f t="shared" si="228"/>
        <v>174</v>
      </c>
      <c r="G335" s="142">
        <f t="shared" si="228"/>
        <v>0</v>
      </c>
      <c r="H335" s="142" t="str">
        <f t="shared" si="228"/>
        <v>-</v>
      </c>
      <c r="I335" s="24" t="str">
        <f t="shared" si="228"/>
        <v>-</v>
      </c>
      <c r="J335" s="24">
        <f t="shared" si="228"/>
        <v>1194</v>
      </c>
      <c r="K335" s="142">
        <f t="shared" si="228"/>
        <v>1194</v>
      </c>
      <c r="M335" s="24">
        <f t="shared" ref="M335:V335" si="229">+M186</f>
        <v>0</v>
      </c>
      <c r="N335" s="142">
        <f t="shared" si="229"/>
        <v>0</v>
      </c>
      <c r="O335" s="142">
        <f t="shared" si="229"/>
        <v>71</v>
      </c>
      <c r="P335" s="142">
        <f t="shared" si="229"/>
        <v>359</v>
      </c>
      <c r="Q335" s="142">
        <f t="shared" si="229"/>
        <v>809</v>
      </c>
      <c r="R335" s="142">
        <f t="shared" si="229"/>
        <v>0</v>
      </c>
      <c r="S335" s="142" t="str">
        <f t="shared" si="229"/>
        <v>-</v>
      </c>
      <c r="T335" s="24" t="str">
        <f t="shared" si="229"/>
        <v>-</v>
      </c>
      <c r="U335" s="24">
        <f t="shared" si="229"/>
        <v>1239</v>
      </c>
      <c r="V335" s="142">
        <f t="shared" si="229"/>
        <v>1239</v>
      </c>
    </row>
    <row r="336" spans="1:22" ht="11.25" customHeight="1">
      <c r="A336" s="71">
        <v>2013</v>
      </c>
      <c r="B336" s="24">
        <f t="shared" ref="B336:K336" si="230">+B187</f>
        <v>0</v>
      </c>
      <c r="C336" s="142">
        <f t="shared" si="230"/>
        <v>3</v>
      </c>
      <c r="D336" s="142">
        <f t="shared" si="230"/>
        <v>153</v>
      </c>
      <c r="E336" s="142">
        <f t="shared" si="230"/>
        <v>56</v>
      </c>
      <c r="F336" s="142">
        <f t="shared" si="230"/>
        <v>331</v>
      </c>
      <c r="G336" s="142">
        <f t="shared" si="230"/>
        <v>25</v>
      </c>
      <c r="H336" s="142" t="str">
        <f t="shared" si="230"/>
        <v>-</v>
      </c>
      <c r="I336" s="24" t="str">
        <f t="shared" si="230"/>
        <v>-</v>
      </c>
      <c r="J336" s="24">
        <f t="shared" si="230"/>
        <v>568</v>
      </c>
      <c r="K336" s="142">
        <f t="shared" si="230"/>
        <v>568</v>
      </c>
      <c r="M336" s="24">
        <f t="shared" ref="M336:V336" si="231">+M187</f>
        <v>0</v>
      </c>
      <c r="N336" s="142">
        <f t="shared" si="231"/>
        <v>0</v>
      </c>
      <c r="O336" s="142">
        <f t="shared" si="231"/>
        <v>0</v>
      </c>
      <c r="P336" s="142">
        <f t="shared" si="231"/>
        <v>19</v>
      </c>
      <c r="Q336" s="142">
        <f t="shared" si="231"/>
        <v>974</v>
      </c>
      <c r="R336" s="142">
        <f t="shared" si="231"/>
        <v>48</v>
      </c>
      <c r="S336" s="142" t="str">
        <f t="shared" si="231"/>
        <v>-</v>
      </c>
      <c r="T336" s="24" t="str">
        <f t="shared" si="231"/>
        <v>-</v>
      </c>
      <c r="U336" s="24">
        <f t="shared" si="231"/>
        <v>1041</v>
      </c>
      <c r="V336" s="142">
        <f t="shared" si="231"/>
        <v>1041</v>
      </c>
    </row>
    <row r="337" spans="1:22" ht="11.25" customHeight="1">
      <c r="A337" s="71">
        <v>2014</v>
      </c>
      <c r="B337" s="24">
        <f t="shared" ref="B337:K337" si="232">+B188</f>
        <v>0</v>
      </c>
      <c r="C337" s="142">
        <f t="shared" si="232"/>
        <v>350</v>
      </c>
      <c r="D337" s="142">
        <f t="shared" si="232"/>
        <v>205</v>
      </c>
      <c r="E337" s="142">
        <f t="shared" si="232"/>
        <v>592</v>
      </c>
      <c r="F337" s="142">
        <f t="shared" si="232"/>
        <v>652</v>
      </c>
      <c r="G337" s="142">
        <f t="shared" si="232"/>
        <v>59</v>
      </c>
      <c r="H337" s="142" t="str">
        <f t="shared" si="232"/>
        <v>-</v>
      </c>
      <c r="I337" s="24" t="str">
        <f t="shared" si="232"/>
        <v>-</v>
      </c>
      <c r="J337" s="24">
        <f t="shared" si="232"/>
        <v>1858</v>
      </c>
      <c r="K337" s="142">
        <f t="shared" si="232"/>
        <v>1858</v>
      </c>
      <c r="M337" s="24">
        <f t="shared" ref="M337:V337" si="233">+M188</f>
        <v>0</v>
      </c>
      <c r="N337" s="142">
        <f t="shared" si="233"/>
        <v>0</v>
      </c>
      <c r="O337" s="142">
        <f t="shared" si="233"/>
        <v>15</v>
      </c>
      <c r="P337" s="142">
        <f t="shared" si="233"/>
        <v>95</v>
      </c>
      <c r="Q337" s="142">
        <f t="shared" si="233"/>
        <v>265</v>
      </c>
      <c r="R337" s="142">
        <f t="shared" si="233"/>
        <v>249</v>
      </c>
      <c r="S337" s="142" t="str">
        <f t="shared" si="233"/>
        <v>-</v>
      </c>
      <c r="T337" s="24" t="str">
        <f t="shared" si="233"/>
        <v>-</v>
      </c>
      <c r="U337" s="24">
        <f t="shared" si="233"/>
        <v>624</v>
      </c>
      <c r="V337" s="142">
        <f t="shared" si="233"/>
        <v>624</v>
      </c>
    </row>
    <row r="338" spans="1:22" ht="11.25" customHeight="1">
      <c r="A338" s="71">
        <v>2015</v>
      </c>
      <c r="B338" s="24">
        <f t="shared" ref="B338:K338" si="234">+B189</f>
        <v>0</v>
      </c>
      <c r="C338" s="142">
        <f t="shared" si="234"/>
        <v>109</v>
      </c>
      <c r="D338" s="142">
        <f t="shared" si="234"/>
        <v>691</v>
      </c>
      <c r="E338" s="142">
        <f t="shared" si="234"/>
        <v>1634</v>
      </c>
      <c r="F338" s="142">
        <f t="shared" si="234"/>
        <v>744</v>
      </c>
      <c r="G338" s="142">
        <f t="shared" si="234"/>
        <v>0</v>
      </c>
      <c r="H338" s="142" t="str">
        <f t="shared" si="234"/>
        <v>-</v>
      </c>
      <c r="I338" s="24" t="str">
        <f t="shared" si="234"/>
        <v>-</v>
      </c>
      <c r="J338" s="24">
        <f t="shared" si="234"/>
        <v>3178</v>
      </c>
      <c r="K338" s="142">
        <f t="shared" si="234"/>
        <v>3178</v>
      </c>
      <c r="M338" s="24">
        <f t="shared" ref="M338:V338" si="235">+M189</f>
        <v>0</v>
      </c>
      <c r="N338" s="142">
        <f t="shared" si="235"/>
        <v>0</v>
      </c>
      <c r="O338" s="142">
        <f t="shared" si="235"/>
        <v>3</v>
      </c>
      <c r="P338" s="142">
        <f t="shared" si="235"/>
        <v>105</v>
      </c>
      <c r="Q338" s="142">
        <f t="shared" si="235"/>
        <v>107</v>
      </c>
      <c r="R338" s="142">
        <f t="shared" si="235"/>
        <v>0</v>
      </c>
      <c r="S338" s="142" t="str">
        <f t="shared" si="235"/>
        <v>-</v>
      </c>
      <c r="T338" s="24" t="str">
        <f t="shared" si="235"/>
        <v>-</v>
      </c>
      <c r="U338" s="24">
        <f t="shared" si="235"/>
        <v>215</v>
      </c>
      <c r="V338" s="142">
        <f t="shared" si="235"/>
        <v>215</v>
      </c>
    </row>
    <row r="339" spans="1:22" ht="11.25" customHeight="1">
      <c r="A339" s="71">
        <v>2016</v>
      </c>
      <c r="B339" s="24">
        <f t="shared" ref="B339:K339" si="236">+B190</f>
        <v>0</v>
      </c>
      <c r="C339" s="142">
        <f t="shared" si="236"/>
        <v>134</v>
      </c>
      <c r="D339" s="142">
        <f t="shared" si="236"/>
        <v>271</v>
      </c>
      <c r="E339" s="142">
        <f t="shared" si="236"/>
        <v>396</v>
      </c>
      <c r="F339" s="142">
        <f t="shared" si="236"/>
        <v>186</v>
      </c>
      <c r="G339" s="142">
        <f t="shared" si="236"/>
        <v>0</v>
      </c>
      <c r="H339" s="142" t="str">
        <f t="shared" si="236"/>
        <v>-</v>
      </c>
      <c r="I339" s="24" t="str">
        <f t="shared" si="236"/>
        <v>-</v>
      </c>
      <c r="J339" s="24">
        <f t="shared" si="236"/>
        <v>987</v>
      </c>
      <c r="K339" s="142">
        <f t="shared" si="236"/>
        <v>987</v>
      </c>
      <c r="M339" s="24">
        <f t="shared" ref="M339:V339" si="237">+M190</f>
        <v>0</v>
      </c>
      <c r="N339" s="142">
        <f t="shared" si="237"/>
        <v>0</v>
      </c>
      <c r="O339" s="142">
        <f t="shared" si="237"/>
        <v>0</v>
      </c>
      <c r="P339" s="142">
        <f t="shared" si="237"/>
        <v>6</v>
      </c>
      <c r="Q339" s="142">
        <f t="shared" si="237"/>
        <v>5</v>
      </c>
      <c r="R339" s="142">
        <f t="shared" si="237"/>
        <v>0</v>
      </c>
      <c r="S339" s="142" t="str">
        <f t="shared" si="237"/>
        <v>-</v>
      </c>
      <c r="T339" s="24" t="str">
        <f t="shared" si="237"/>
        <v>-</v>
      </c>
      <c r="U339" s="24">
        <f t="shared" si="237"/>
        <v>11</v>
      </c>
      <c r="V339" s="142">
        <f t="shared" si="237"/>
        <v>11</v>
      </c>
    </row>
    <row r="340" spans="1:22" ht="11.25" customHeight="1">
      <c r="A340" s="99">
        <v>2017</v>
      </c>
      <c r="B340" s="24">
        <f t="shared" ref="B340:K340" si="238">+B191</f>
        <v>0</v>
      </c>
      <c r="C340" s="142">
        <f t="shared" si="238"/>
        <v>86</v>
      </c>
      <c r="D340" s="142">
        <f t="shared" si="238"/>
        <v>20</v>
      </c>
      <c r="E340" s="142">
        <f t="shared" si="238"/>
        <v>19</v>
      </c>
      <c r="F340" s="142">
        <f t="shared" si="238"/>
        <v>229</v>
      </c>
      <c r="G340" s="142">
        <f t="shared" si="238"/>
        <v>34</v>
      </c>
      <c r="H340" s="142" t="str">
        <f t="shared" si="238"/>
        <v>-</v>
      </c>
      <c r="I340" s="24" t="str">
        <f t="shared" si="238"/>
        <v>-</v>
      </c>
      <c r="J340" s="24">
        <f t="shared" si="238"/>
        <v>388</v>
      </c>
      <c r="K340" s="142">
        <f t="shared" si="238"/>
        <v>388</v>
      </c>
      <c r="M340" s="24">
        <f t="shared" ref="M340:V340" si="239">+M191</f>
        <v>0</v>
      </c>
      <c r="N340" s="142">
        <f t="shared" si="239"/>
        <v>0</v>
      </c>
      <c r="O340" s="142">
        <f t="shared" si="239"/>
        <v>0</v>
      </c>
      <c r="P340" s="142">
        <f t="shared" si="239"/>
        <v>114</v>
      </c>
      <c r="Q340" s="142">
        <f t="shared" si="239"/>
        <v>274</v>
      </c>
      <c r="R340" s="142">
        <f t="shared" si="239"/>
        <v>379</v>
      </c>
      <c r="S340" s="142" t="str">
        <f t="shared" si="239"/>
        <v>-</v>
      </c>
      <c r="T340" s="24" t="str">
        <f t="shared" si="239"/>
        <v>-</v>
      </c>
      <c r="U340" s="24">
        <f t="shared" si="239"/>
        <v>767</v>
      </c>
      <c r="V340" s="142">
        <f t="shared" si="239"/>
        <v>767</v>
      </c>
    </row>
    <row r="341" spans="1:22" ht="11.25" customHeight="1">
      <c r="A341" s="99">
        <v>2018</v>
      </c>
      <c r="B341" s="24">
        <f t="shared" ref="B341:K341" si="240">+B192</f>
        <v>0</v>
      </c>
      <c r="C341" s="142">
        <f t="shared" si="240"/>
        <v>71</v>
      </c>
      <c r="D341" s="142">
        <f t="shared" si="240"/>
        <v>152</v>
      </c>
      <c r="E341" s="142">
        <f t="shared" si="240"/>
        <v>23</v>
      </c>
      <c r="F341" s="142">
        <f t="shared" si="240"/>
        <v>185</v>
      </c>
      <c r="G341" s="142">
        <f t="shared" si="240"/>
        <v>5</v>
      </c>
      <c r="H341" s="142" t="str">
        <f t="shared" si="240"/>
        <v>-</v>
      </c>
      <c r="I341" s="24" t="str">
        <f t="shared" si="240"/>
        <v>-</v>
      </c>
      <c r="J341" s="24">
        <f t="shared" si="240"/>
        <v>436</v>
      </c>
      <c r="K341" s="142">
        <f t="shared" si="240"/>
        <v>436</v>
      </c>
      <c r="M341" s="24">
        <f t="shared" ref="M341:V341" si="241">+M192</f>
        <v>0</v>
      </c>
      <c r="N341" s="142">
        <f t="shared" si="241"/>
        <v>0</v>
      </c>
      <c r="O341" s="142">
        <f t="shared" si="241"/>
        <v>0</v>
      </c>
      <c r="P341" s="142">
        <f t="shared" si="241"/>
        <v>0</v>
      </c>
      <c r="Q341" s="142">
        <f t="shared" si="241"/>
        <v>509</v>
      </c>
      <c r="R341" s="142">
        <f t="shared" si="241"/>
        <v>296</v>
      </c>
      <c r="S341" s="142" t="str">
        <f t="shared" si="241"/>
        <v>-</v>
      </c>
      <c r="T341" s="24" t="str">
        <f t="shared" si="241"/>
        <v>-</v>
      </c>
      <c r="U341" s="24">
        <f t="shared" si="241"/>
        <v>805</v>
      </c>
      <c r="V341" s="142">
        <f t="shared" si="241"/>
        <v>805</v>
      </c>
    </row>
    <row r="342" spans="1:22" ht="11.25" customHeight="1">
      <c r="A342" s="99">
        <v>2019</v>
      </c>
      <c r="B342" s="24">
        <f t="shared" ref="B342:K342" si="242">+B193</f>
        <v>0</v>
      </c>
      <c r="C342" s="142">
        <f t="shared" si="242"/>
        <v>120</v>
      </c>
      <c r="D342" s="142">
        <f t="shared" si="242"/>
        <v>15</v>
      </c>
      <c r="E342" s="142">
        <f t="shared" si="242"/>
        <v>25</v>
      </c>
      <c r="F342" s="142">
        <f t="shared" si="242"/>
        <v>58</v>
      </c>
      <c r="G342" s="142">
        <f t="shared" si="242"/>
        <v>47</v>
      </c>
      <c r="H342" s="142" t="str">
        <f t="shared" si="242"/>
        <v>-</v>
      </c>
      <c r="I342" s="24" t="str">
        <f t="shared" si="242"/>
        <v>-</v>
      </c>
      <c r="J342" s="24">
        <f t="shared" si="242"/>
        <v>265</v>
      </c>
      <c r="K342" s="142">
        <f t="shared" si="242"/>
        <v>265</v>
      </c>
      <c r="M342" s="24">
        <f t="shared" ref="M342:V342" si="243">+M193</f>
        <v>0</v>
      </c>
      <c r="N342" s="142">
        <f t="shared" si="243"/>
        <v>0</v>
      </c>
      <c r="O342" s="142">
        <f t="shared" si="243"/>
        <v>0</v>
      </c>
      <c r="P342" s="142">
        <f t="shared" si="243"/>
        <v>260</v>
      </c>
      <c r="Q342" s="142">
        <f t="shared" si="243"/>
        <v>1794</v>
      </c>
      <c r="R342" s="142">
        <f t="shared" si="243"/>
        <v>1068</v>
      </c>
      <c r="S342" s="142" t="str">
        <f t="shared" si="243"/>
        <v>-</v>
      </c>
      <c r="T342" s="24" t="str">
        <f t="shared" si="243"/>
        <v>-</v>
      </c>
      <c r="U342" s="24">
        <f t="shared" si="243"/>
        <v>3122</v>
      </c>
      <c r="V342" s="142">
        <f t="shared" si="243"/>
        <v>3122</v>
      </c>
    </row>
    <row r="343" spans="1:22" ht="11.25" customHeight="1">
      <c r="A343" s="99">
        <v>2020</v>
      </c>
      <c r="B343" s="24">
        <f t="shared" ref="B343:K344" si="244">+B194</f>
        <v>0</v>
      </c>
      <c r="C343" s="142">
        <f t="shared" si="244"/>
        <v>8</v>
      </c>
      <c r="D343" s="142">
        <f t="shared" si="244"/>
        <v>23</v>
      </c>
      <c r="E343" s="142">
        <f t="shared" si="244"/>
        <v>239</v>
      </c>
      <c r="F343" s="142">
        <f t="shared" si="244"/>
        <v>117</v>
      </c>
      <c r="G343" s="142">
        <f t="shared" si="244"/>
        <v>14</v>
      </c>
      <c r="H343" s="142" t="str">
        <f t="shared" si="244"/>
        <v>-</v>
      </c>
      <c r="I343" s="24" t="str">
        <f t="shared" si="244"/>
        <v>-</v>
      </c>
      <c r="J343" s="24">
        <f t="shared" si="244"/>
        <v>401</v>
      </c>
      <c r="K343" s="142">
        <f t="shared" si="244"/>
        <v>401</v>
      </c>
      <c r="M343" s="24">
        <f t="shared" ref="M343:V344" si="245">+M194</f>
        <v>0</v>
      </c>
      <c r="N343" s="142">
        <f t="shared" si="245"/>
        <v>0</v>
      </c>
      <c r="O343" s="142">
        <f t="shared" si="245"/>
        <v>0</v>
      </c>
      <c r="P343" s="142">
        <f t="shared" si="245"/>
        <v>0</v>
      </c>
      <c r="Q343" s="142">
        <f t="shared" si="245"/>
        <v>86</v>
      </c>
      <c r="R343" s="142">
        <f t="shared" si="245"/>
        <v>205</v>
      </c>
      <c r="S343" s="142" t="str">
        <f t="shared" si="245"/>
        <v>-</v>
      </c>
      <c r="T343" s="24" t="str">
        <f t="shared" si="245"/>
        <v>-</v>
      </c>
      <c r="U343" s="24">
        <f t="shared" si="245"/>
        <v>291</v>
      </c>
      <c r="V343" s="142">
        <f t="shared" si="245"/>
        <v>291</v>
      </c>
    </row>
    <row r="344" spans="1:22" ht="11.25" customHeight="1">
      <c r="A344" s="99" t="s">
        <v>316</v>
      </c>
      <c r="B344" s="24">
        <f t="shared" si="244"/>
        <v>0</v>
      </c>
      <c r="C344" s="142">
        <f t="shared" si="244"/>
        <v>210</v>
      </c>
      <c r="D344" s="142">
        <f t="shared" si="244"/>
        <v>128</v>
      </c>
      <c r="E344" s="142">
        <f t="shared" si="244"/>
        <v>1</v>
      </c>
      <c r="F344" s="142">
        <f t="shared" si="244"/>
        <v>10</v>
      </c>
      <c r="G344" s="142">
        <f t="shared" si="244"/>
        <v>58</v>
      </c>
      <c r="H344" s="142" t="str">
        <f t="shared" si="244"/>
        <v>-</v>
      </c>
      <c r="I344" s="24" t="str">
        <f t="shared" si="244"/>
        <v>-</v>
      </c>
      <c r="J344" s="24">
        <f t="shared" si="244"/>
        <v>407</v>
      </c>
      <c r="K344" s="142">
        <f t="shared" si="244"/>
        <v>407</v>
      </c>
      <c r="M344" s="24">
        <f t="shared" si="245"/>
        <v>0</v>
      </c>
      <c r="N344" s="142">
        <f t="shared" si="245"/>
        <v>0</v>
      </c>
      <c r="O344" s="142">
        <f t="shared" si="245"/>
        <v>0</v>
      </c>
      <c r="P344" s="142">
        <f t="shared" si="245"/>
        <v>2</v>
      </c>
      <c r="Q344" s="142">
        <f t="shared" si="245"/>
        <v>210</v>
      </c>
      <c r="R344" s="142">
        <f t="shared" si="245"/>
        <v>1325</v>
      </c>
      <c r="S344" s="142" t="str">
        <f t="shared" si="245"/>
        <v>-</v>
      </c>
      <c r="T344" s="24" t="str">
        <f t="shared" si="245"/>
        <v>-</v>
      </c>
      <c r="U344" s="24">
        <f t="shared" si="245"/>
        <v>1537</v>
      </c>
      <c r="V344" s="142">
        <f t="shared" si="245"/>
        <v>1537</v>
      </c>
    </row>
    <row r="345" spans="1:22" ht="11.25" customHeight="1">
      <c r="V345" s="24"/>
    </row>
    <row r="346" spans="1:22" ht="11.25" customHeight="1">
      <c r="A346" s="282" t="s">
        <v>133</v>
      </c>
      <c r="B346" s="282"/>
      <c r="C346" s="282"/>
      <c r="D346" s="282"/>
      <c r="E346" s="282"/>
      <c r="F346" s="282"/>
      <c r="G346" s="282"/>
      <c r="H346" s="282"/>
      <c r="I346" s="282"/>
      <c r="J346" s="282"/>
      <c r="K346" s="282"/>
      <c r="L346" s="282"/>
      <c r="M346" s="282"/>
      <c r="N346" s="282"/>
      <c r="O346" s="282"/>
      <c r="P346" s="282"/>
      <c r="Q346" s="282"/>
      <c r="R346" s="282"/>
      <c r="S346" s="282"/>
      <c r="T346" s="282"/>
      <c r="U346" s="282"/>
      <c r="V346" s="282"/>
    </row>
    <row r="347" spans="1:22" ht="11.25" customHeight="1">
      <c r="A347" s="344" t="s">
        <v>27</v>
      </c>
      <c r="B347" s="14"/>
      <c r="C347" s="14"/>
      <c r="D347" s="14"/>
      <c r="E347" s="14"/>
      <c r="F347" s="14"/>
      <c r="G347" s="14"/>
      <c r="H347" s="14"/>
      <c r="I347" s="14"/>
      <c r="J347" s="284" t="s">
        <v>55</v>
      </c>
      <c r="K347" s="284"/>
      <c r="L347" s="14"/>
      <c r="M347" s="14"/>
      <c r="N347" s="14"/>
      <c r="O347" s="14"/>
      <c r="P347" s="14"/>
      <c r="Q347" s="14"/>
      <c r="R347" s="14"/>
      <c r="S347" s="14"/>
      <c r="T347" s="14"/>
      <c r="U347" s="284" t="s">
        <v>55</v>
      </c>
      <c r="V347" s="284"/>
    </row>
    <row r="348" spans="1:22" ht="11.25" customHeight="1">
      <c r="A348" s="275"/>
      <c r="B348" s="15" t="s">
        <v>65</v>
      </c>
      <c r="C348" s="15" t="s">
        <v>29</v>
      </c>
      <c r="D348" s="15" t="s">
        <v>30</v>
      </c>
      <c r="E348" s="15" t="s">
        <v>31</v>
      </c>
      <c r="F348" s="15" t="s">
        <v>32</v>
      </c>
      <c r="G348" s="15" t="s">
        <v>33</v>
      </c>
      <c r="H348" s="15" t="s">
        <v>218</v>
      </c>
      <c r="I348" s="37" t="s">
        <v>67</v>
      </c>
      <c r="J348" s="37" t="s">
        <v>68</v>
      </c>
      <c r="K348" s="15" t="s">
        <v>46</v>
      </c>
      <c r="L348" s="15"/>
      <c r="M348" s="15" t="s">
        <v>65</v>
      </c>
      <c r="N348" s="15" t="s">
        <v>29</v>
      </c>
      <c r="O348" s="15" t="s">
        <v>30</v>
      </c>
      <c r="P348" s="15" t="s">
        <v>31</v>
      </c>
      <c r="Q348" s="15" t="s">
        <v>32</v>
      </c>
      <c r="R348" s="15" t="s">
        <v>33</v>
      </c>
      <c r="S348" s="15" t="s">
        <v>218</v>
      </c>
      <c r="T348" s="37" t="s">
        <v>67</v>
      </c>
      <c r="U348" s="37" t="s">
        <v>68</v>
      </c>
      <c r="V348" s="15" t="s">
        <v>46</v>
      </c>
    </row>
    <row r="349" spans="1:22" ht="11.25" customHeight="1">
      <c r="A349" s="94"/>
      <c r="B349" s="334" t="s">
        <v>61</v>
      </c>
      <c r="C349" s="334"/>
      <c r="D349" s="334"/>
      <c r="E349" s="334"/>
      <c r="F349" s="334"/>
      <c r="G349" s="334"/>
      <c r="H349" s="334"/>
      <c r="I349" s="334"/>
      <c r="J349" s="334"/>
      <c r="K349" s="334"/>
      <c r="M349" s="334" t="s">
        <v>62</v>
      </c>
      <c r="N349" s="334"/>
      <c r="O349" s="334"/>
      <c r="P349" s="334"/>
      <c r="Q349" s="334"/>
      <c r="R349" s="334"/>
      <c r="S349" s="334"/>
      <c r="T349" s="334"/>
      <c r="U349" s="334"/>
      <c r="V349" s="334"/>
    </row>
    <row r="350" spans="1:22" ht="11.25" customHeight="1">
      <c r="A350" s="97" t="s">
        <v>101</v>
      </c>
      <c r="V350" s="24"/>
    </row>
    <row r="351" spans="1:22" ht="11.25" customHeight="1">
      <c r="A351" s="71" t="s">
        <v>24</v>
      </c>
      <c r="B351" s="24">
        <f t="shared" ref="B351:J351" si="246">AVERAGE(B203:B207)</f>
        <v>13109</v>
      </c>
      <c r="C351" s="142">
        <f t="shared" si="246"/>
        <v>2150.1999999999998</v>
      </c>
      <c r="D351" s="142">
        <f t="shared" si="246"/>
        <v>1883.2</v>
      </c>
      <c r="E351" s="142">
        <f t="shared" si="246"/>
        <v>3636.2</v>
      </c>
      <c r="F351" s="142">
        <f t="shared" si="246"/>
        <v>1335.6</v>
      </c>
      <c r="G351" s="142">
        <f t="shared" si="246"/>
        <v>1018.2</v>
      </c>
      <c r="H351" s="142">
        <f t="shared" si="246"/>
        <v>198.4</v>
      </c>
      <c r="I351" s="24">
        <f t="shared" si="246"/>
        <v>833.6</v>
      </c>
      <c r="J351" s="24">
        <f t="shared" si="246"/>
        <v>10023.4</v>
      </c>
      <c r="K351" s="142">
        <f>AVERAGE(K203:K207)</f>
        <v>24164.400000000001</v>
      </c>
      <c r="M351" s="24">
        <f t="shared" ref="M351:V351" si="247">AVERAGE(M203:M207)</f>
        <v>41.6</v>
      </c>
      <c r="N351" s="142">
        <f t="shared" si="247"/>
        <v>282.8</v>
      </c>
      <c r="O351" s="142">
        <f t="shared" si="247"/>
        <v>7435.4</v>
      </c>
      <c r="P351" s="142">
        <f t="shared" si="247"/>
        <v>16405.8</v>
      </c>
      <c r="Q351" s="142">
        <f t="shared" si="247"/>
        <v>24484</v>
      </c>
      <c r="R351" s="142">
        <f t="shared" si="247"/>
        <v>16665.8</v>
      </c>
      <c r="S351" s="142">
        <f t="shared" si="247"/>
        <v>54.2</v>
      </c>
      <c r="T351" s="24">
        <f t="shared" si="247"/>
        <v>7</v>
      </c>
      <c r="U351" s="24">
        <f t="shared" si="247"/>
        <v>65273.8</v>
      </c>
      <c r="V351" s="142">
        <f t="shared" si="247"/>
        <v>65376.6</v>
      </c>
    </row>
    <row r="352" spans="1:22" ht="11.25" customHeight="1">
      <c r="A352" s="71" t="s">
        <v>78</v>
      </c>
      <c r="B352" s="24">
        <f t="shared" ref="B352:K352" si="248">AVERAGE(B208:B212)</f>
        <v>6015.2</v>
      </c>
      <c r="C352" s="142">
        <f t="shared" si="248"/>
        <v>6876.6</v>
      </c>
      <c r="D352" s="142">
        <f t="shared" si="248"/>
        <v>5955.2</v>
      </c>
      <c r="E352" s="142">
        <f t="shared" si="248"/>
        <v>6725.8</v>
      </c>
      <c r="F352" s="142">
        <f t="shared" si="248"/>
        <v>4506.3999999999996</v>
      </c>
      <c r="G352" s="142">
        <f t="shared" si="248"/>
        <v>1248</v>
      </c>
      <c r="H352" s="142">
        <f t="shared" si="248"/>
        <v>12</v>
      </c>
      <c r="I352" s="24">
        <f t="shared" si="248"/>
        <v>2677.2</v>
      </c>
      <c r="J352" s="24">
        <f t="shared" si="248"/>
        <v>25312</v>
      </c>
      <c r="K352" s="142">
        <f t="shared" si="248"/>
        <v>34016.400000000001</v>
      </c>
      <c r="M352" s="24">
        <f t="shared" ref="M352:V352" si="249">AVERAGE(M208:M212)</f>
        <v>8.6</v>
      </c>
      <c r="N352" s="142">
        <f t="shared" si="249"/>
        <v>3.4</v>
      </c>
      <c r="O352" s="142">
        <f t="shared" si="249"/>
        <v>4256.2</v>
      </c>
      <c r="P352" s="142">
        <f t="shared" si="249"/>
        <v>32310.2</v>
      </c>
      <c r="Q352" s="142">
        <f t="shared" si="249"/>
        <v>35942.199999999997</v>
      </c>
      <c r="R352" s="142">
        <f t="shared" si="249"/>
        <v>11051</v>
      </c>
      <c r="S352" s="142">
        <f t="shared" si="249"/>
        <v>6.8</v>
      </c>
      <c r="T352" s="24">
        <f t="shared" si="249"/>
        <v>12.6</v>
      </c>
      <c r="U352" s="24">
        <f t="shared" si="249"/>
        <v>83563</v>
      </c>
      <c r="V352" s="142">
        <f t="shared" si="249"/>
        <v>83591</v>
      </c>
    </row>
    <row r="353" spans="1:22" ht="11.25" customHeight="1">
      <c r="A353" s="71" t="s">
        <v>10</v>
      </c>
      <c r="B353" s="24">
        <f>AVERAGE(B213:B217)</f>
        <v>3548.8</v>
      </c>
      <c r="C353" s="142">
        <f t="shared" ref="C353:K353" si="250">AVERAGE(C213:C217)</f>
        <v>4343</v>
      </c>
      <c r="D353" s="142">
        <f t="shared" si="250"/>
        <v>4181.3999999999996</v>
      </c>
      <c r="E353" s="142">
        <f t="shared" si="250"/>
        <v>3510.6</v>
      </c>
      <c r="F353" s="142">
        <f t="shared" si="250"/>
        <v>4243.2</v>
      </c>
      <c r="G353" s="142">
        <f t="shared" si="250"/>
        <v>570.6</v>
      </c>
      <c r="H353" s="142">
        <f t="shared" si="250"/>
        <v>29.4</v>
      </c>
      <c r="I353" s="24">
        <f t="shared" si="250"/>
        <v>1083.8</v>
      </c>
      <c r="J353" s="24">
        <f t="shared" si="250"/>
        <v>16848.8</v>
      </c>
      <c r="K353" s="142">
        <f t="shared" si="250"/>
        <v>21510.799999999999</v>
      </c>
      <c r="M353" s="24">
        <f t="shared" ref="M353:V353" si="251">AVERAGE(M213:M217)</f>
        <v>1.8</v>
      </c>
      <c r="N353" s="142">
        <f t="shared" si="251"/>
        <v>0.6</v>
      </c>
      <c r="O353" s="142">
        <f t="shared" si="251"/>
        <v>0.6</v>
      </c>
      <c r="P353" s="142">
        <f t="shared" si="251"/>
        <v>17220.400000000001</v>
      </c>
      <c r="Q353" s="142">
        <f t="shared" si="251"/>
        <v>26038</v>
      </c>
      <c r="R353" s="142">
        <f t="shared" si="251"/>
        <v>5275</v>
      </c>
      <c r="S353" s="142">
        <f t="shared" si="251"/>
        <v>102.6</v>
      </c>
      <c r="T353" s="24">
        <f t="shared" si="251"/>
        <v>7.6</v>
      </c>
      <c r="U353" s="24">
        <f t="shared" si="251"/>
        <v>48534.6</v>
      </c>
      <c r="V353" s="142">
        <f t="shared" si="251"/>
        <v>48646.6</v>
      </c>
    </row>
    <row r="354" spans="1:22" ht="11.25" customHeight="1">
      <c r="A354" s="71" t="s">
        <v>144</v>
      </c>
      <c r="B354" s="24">
        <f>AVERAGE(B218:B222)</f>
        <v>695</v>
      </c>
      <c r="C354" s="142">
        <f t="shared" ref="C354:K354" si="252">AVERAGE(C218:C222)</f>
        <v>2580.4</v>
      </c>
      <c r="D354" s="142">
        <f t="shared" si="252"/>
        <v>6524</v>
      </c>
      <c r="E354" s="142">
        <f t="shared" si="252"/>
        <v>446</v>
      </c>
      <c r="F354" s="142">
        <f t="shared" si="252"/>
        <v>3806.2</v>
      </c>
      <c r="G354" s="142">
        <f t="shared" si="252"/>
        <v>1892.8</v>
      </c>
      <c r="H354" s="142" t="s">
        <v>23</v>
      </c>
      <c r="I354" s="24">
        <f t="shared" si="252"/>
        <v>49.4</v>
      </c>
      <c r="J354" s="24">
        <f t="shared" si="252"/>
        <v>15249.4</v>
      </c>
      <c r="K354" s="142">
        <f t="shared" si="252"/>
        <v>15993.8</v>
      </c>
      <c r="M354" s="24">
        <f t="shared" ref="M354:V354" si="253">AVERAGE(M218:M222)</f>
        <v>0</v>
      </c>
      <c r="N354" s="142">
        <f t="shared" si="253"/>
        <v>0</v>
      </c>
      <c r="O354" s="142">
        <f t="shared" si="253"/>
        <v>0.2</v>
      </c>
      <c r="P354" s="142">
        <f t="shared" si="253"/>
        <v>14.8</v>
      </c>
      <c r="Q354" s="142">
        <f t="shared" si="253"/>
        <v>11063.2</v>
      </c>
      <c r="R354" s="142">
        <f t="shared" si="253"/>
        <v>8533.2000000000007</v>
      </c>
      <c r="S354" s="142" t="s">
        <v>23</v>
      </c>
      <c r="T354" s="24">
        <f t="shared" si="253"/>
        <v>0</v>
      </c>
      <c r="U354" s="24">
        <f t="shared" si="253"/>
        <v>19611.400000000001</v>
      </c>
      <c r="V354" s="142">
        <f t="shared" si="253"/>
        <v>19611.400000000001</v>
      </c>
    </row>
    <row r="355" spans="1:22" ht="11.25" customHeight="1">
      <c r="A355" s="71" t="s">
        <v>166</v>
      </c>
      <c r="B355" s="24">
        <f>AVERAGE(B223:B227)</f>
        <v>905.2</v>
      </c>
      <c r="C355" s="142">
        <f>AVERAGE(C223:C227)</f>
        <v>5460.6</v>
      </c>
      <c r="D355" s="142">
        <f t="shared" ref="D355:V355" si="254">AVERAGE(D223:D227)</f>
        <v>14660.2</v>
      </c>
      <c r="E355" s="142">
        <f t="shared" si="254"/>
        <v>9462.2000000000007</v>
      </c>
      <c r="F355" s="142">
        <f t="shared" si="254"/>
        <v>6270.8</v>
      </c>
      <c r="G355" s="142">
        <f t="shared" si="254"/>
        <v>3260.4</v>
      </c>
      <c r="H355" s="142">
        <f t="shared" si="254"/>
        <v>22.5</v>
      </c>
      <c r="I355" s="24">
        <f t="shared" si="254"/>
        <v>3764.8</v>
      </c>
      <c r="J355" s="24">
        <f t="shared" si="254"/>
        <v>39114.199999999997</v>
      </c>
      <c r="K355" s="142">
        <f t="shared" si="254"/>
        <v>43802.2</v>
      </c>
      <c r="L355" s="142" t="e">
        <f t="shared" si="254"/>
        <v>#DIV/0!</v>
      </c>
      <c r="M355" s="24">
        <f t="shared" si="254"/>
        <v>20.2</v>
      </c>
      <c r="N355" s="142">
        <f t="shared" si="254"/>
        <v>2</v>
      </c>
      <c r="O355" s="142">
        <f t="shared" si="254"/>
        <v>3.4</v>
      </c>
      <c r="P355" s="142">
        <f t="shared" si="254"/>
        <v>7259.4</v>
      </c>
      <c r="Q355" s="142">
        <f t="shared" si="254"/>
        <v>17964.400000000001</v>
      </c>
      <c r="R355" s="142">
        <f t="shared" si="254"/>
        <v>9381.4</v>
      </c>
      <c r="S355" s="142">
        <f t="shared" si="254"/>
        <v>66.25</v>
      </c>
      <c r="T355" s="24">
        <f t="shared" si="254"/>
        <v>30</v>
      </c>
      <c r="U355" s="24">
        <f t="shared" si="254"/>
        <v>34610.6</v>
      </c>
      <c r="V355" s="142">
        <f t="shared" si="254"/>
        <v>34713.800000000003</v>
      </c>
    </row>
    <row r="356" spans="1:22" ht="11.25" customHeight="1">
      <c r="A356" s="71" t="s">
        <v>315</v>
      </c>
      <c r="B356" s="24">
        <f>AVERAGE(B228:B232)</f>
        <v>1021</v>
      </c>
      <c r="C356" s="142">
        <f t="shared" ref="C356:V356" si="255">AVERAGE(C228:C232)</f>
        <v>1382.4</v>
      </c>
      <c r="D356" s="142">
        <f t="shared" si="255"/>
        <v>9962.4</v>
      </c>
      <c r="E356" s="142">
        <f t="shared" si="255"/>
        <v>4491.2</v>
      </c>
      <c r="F356" s="142">
        <f t="shared" si="255"/>
        <v>5907</v>
      </c>
      <c r="G356" s="142">
        <f t="shared" si="255"/>
        <v>2056.4</v>
      </c>
      <c r="H356" s="142">
        <f t="shared" si="255"/>
        <v>10.199999999999999</v>
      </c>
      <c r="I356" s="24">
        <f t="shared" si="255"/>
        <v>494.8</v>
      </c>
      <c r="J356" s="24">
        <f t="shared" si="255"/>
        <v>23799.4</v>
      </c>
      <c r="K356" s="142">
        <f t="shared" si="255"/>
        <v>25325.4</v>
      </c>
      <c r="L356" s="142"/>
      <c r="M356" s="24">
        <f t="shared" si="255"/>
        <v>3.8</v>
      </c>
      <c r="N356" s="142">
        <f t="shared" si="255"/>
        <v>3.6</v>
      </c>
      <c r="O356" s="142">
        <f t="shared" si="255"/>
        <v>39</v>
      </c>
      <c r="P356" s="142">
        <f t="shared" si="255"/>
        <v>12304</v>
      </c>
      <c r="Q356" s="142">
        <f t="shared" si="255"/>
        <v>14163.4</v>
      </c>
      <c r="R356" s="142">
        <f t="shared" si="255"/>
        <v>5162.8</v>
      </c>
      <c r="S356" s="142">
        <f t="shared" si="255"/>
        <v>7</v>
      </c>
      <c r="T356" s="24">
        <f t="shared" si="255"/>
        <v>3.4</v>
      </c>
      <c r="U356" s="24">
        <f t="shared" si="255"/>
        <v>31672.799999999999</v>
      </c>
      <c r="V356" s="142">
        <f t="shared" si="255"/>
        <v>31687</v>
      </c>
    </row>
    <row r="357" spans="1:22" ht="11.25" customHeight="1">
      <c r="A357" s="71">
        <v>2011</v>
      </c>
      <c r="B357" s="24">
        <f t="shared" ref="B357:K357" si="256">+B233</f>
        <v>2883</v>
      </c>
      <c r="C357" s="142">
        <f t="shared" si="256"/>
        <v>1120</v>
      </c>
      <c r="D357" s="142">
        <f t="shared" si="256"/>
        <v>8817</v>
      </c>
      <c r="E357" s="142">
        <f t="shared" si="256"/>
        <v>14761</v>
      </c>
      <c r="F357" s="142">
        <f t="shared" si="256"/>
        <v>6708</v>
      </c>
      <c r="G357" s="142">
        <f t="shared" si="256"/>
        <v>418</v>
      </c>
      <c r="H357" s="142">
        <f t="shared" si="256"/>
        <v>0</v>
      </c>
      <c r="I357" s="24">
        <f t="shared" si="256"/>
        <v>90</v>
      </c>
      <c r="J357" s="24">
        <f t="shared" si="256"/>
        <v>31824</v>
      </c>
      <c r="K357" s="142">
        <f t="shared" si="256"/>
        <v>34797</v>
      </c>
      <c r="M357" s="24">
        <f t="shared" ref="M357:V357" si="257">+M233</f>
        <v>2</v>
      </c>
      <c r="N357" s="142">
        <f t="shared" si="257"/>
        <v>0</v>
      </c>
      <c r="O357" s="142">
        <f t="shared" si="257"/>
        <v>0</v>
      </c>
      <c r="P357" s="142">
        <f t="shared" si="257"/>
        <v>2062</v>
      </c>
      <c r="Q357" s="142">
        <f t="shared" si="257"/>
        <v>4791</v>
      </c>
      <c r="R357" s="142">
        <f t="shared" si="257"/>
        <v>6711</v>
      </c>
      <c r="S357" s="142">
        <f t="shared" si="257"/>
        <v>0</v>
      </c>
      <c r="T357" s="24">
        <f t="shared" si="257"/>
        <v>2</v>
      </c>
      <c r="U357" s="24">
        <f t="shared" si="257"/>
        <v>13564</v>
      </c>
      <c r="V357" s="142">
        <f t="shared" si="257"/>
        <v>13568</v>
      </c>
    </row>
    <row r="358" spans="1:22" ht="11.25" customHeight="1">
      <c r="A358" s="71">
        <v>2012</v>
      </c>
      <c r="B358" s="24">
        <f t="shared" ref="B358:K358" si="258">+B234</f>
        <v>1216</v>
      </c>
      <c r="C358" s="142">
        <f t="shared" si="258"/>
        <v>4465</v>
      </c>
      <c r="D358" s="142">
        <f t="shared" si="258"/>
        <v>20696</v>
      </c>
      <c r="E358" s="142">
        <f t="shared" si="258"/>
        <v>10144</v>
      </c>
      <c r="F358" s="142">
        <f t="shared" si="258"/>
        <v>14650</v>
      </c>
      <c r="G358" s="142">
        <f t="shared" si="258"/>
        <v>4834</v>
      </c>
      <c r="H358" s="142">
        <f t="shared" si="258"/>
        <v>10</v>
      </c>
      <c r="I358" s="24">
        <f t="shared" si="258"/>
        <v>335</v>
      </c>
      <c r="J358" s="24">
        <f t="shared" si="258"/>
        <v>54789</v>
      </c>
      <c r="K358" s="142">
        <f t="shared" si="258"/>
        <v>56350</v>
      </c>
      <c r="M358" s="24">
        <f t="shared" ref="M358:V358" si="259">+M234</f>
        <v>0</v>
      </c>
      <c r="N358" s="142">
        <f t="shared" si="259"/>
        <v>1</v>
      </c>
      <c r="O358" s="142">
        <f t="shared" si="259"/>
        <v>101</v>
      </c>
      <c r="P358" s="142">
        <f t="shared" si="259"/>
        <v>2769</v>
      </c>
      <c r="Q358" s="142">
        <f t="shared" si="259"/>
        <v>18790</v>
      </c>
      <c r="R358" s="142">
        <f t="shared" si="259"/>
        <v>15869</v>
      </c>
      <c r="S358" s="142">
        <f t="shared" si="259"/>
        <v>0</v>
      </c>
      <c r="T358" s="24">
        <f t="shared" si="259"/>
        <v>4</v>
      </c>
      <c r="U358" s="24">
        <f t="shared" si="259"/>
        <v>37530</v>
      </c>
      <c r="V358" s="142">
        <f t="shared" si="259"/>
        <v>37534</v>
      </c>
    </row>
    <row r="359" spans="1:22" ht="11.25" customHeight="1">
      <c r="A359" s="71">
        <v>2013</v>
      </c>
      <c r="B359" s="24">
        <f t="shared" ref="B359:K359" si="260">+B235</f>
        <v>1661</v>
      </c>
      <c r="C359" s="142">
        <f t="shared" si="260"/>
        <v>11929</v>
      </c>
      <c r="D359" s="142">
        <f t="shared" si="260"/>
        <v>19103</v>
      </c>
      <c r="E359" s="142">
        <f t="shared" si="260"/>
        <v>9310</v>
      </c>
      <c r="F359" s="142">
        <f t="shared" si="260"/>
        <v>7916</v>
      </c>
      <c r="G359" s="142">
        <f t="shared" si="260"/>
        <v>2902</v>
      </c>
      <c r="H359" s="142">
        <f t="shared" si="260"/>
        <v>0</v>
      </c>
      <c r="I359" s="24">
        <f t="shared" si="260"/>
        <v>721</v>
      </c>
      <c r="J359" s="24">
        <f t="shared" si="260"/>
        <v>51160</v>
      </c>
      <c r="K359" s="142">
        <f t="shared" si="260"/>
        <v>53542</v>
      </c>
      <c r="M359" s="24">
        <f t="shared" ref="M359:V359" si="261">+M235</f>
        <v>3</v>
      </c>
      <c r="N359" s="142">
        <f t="shared" si="261"/>
        <v>0</v>
      </c>
      <c r="O359" s="142">
        <f t="shared" si="261"/>
        <v>7</v>
      </c>
      <c r="P359" s="142">
        <f t="shared" si="261"/>
        <v>7722</v>
      </c>
      <c r="Q359" s="142">
        <f t="shared" si="261"/>
        <v>36163</v>
      </c>
      <c r="R359" s="142">
        <f t="shared" si="261"/>
        <v>4376</v>
      </c>
      <c r="S359" s="142">
        <f t="shared" si="261"/>
        <v>0</v>
      </c>
      <c r="T359" s="24">
        <f t="shared" si="261"/>
        <v>11</v>
      </c>
      <c r="U359" s="24">
        <f t="shared" si="261"/>
        <v>48268</v>
      </c>
      <c r="V359" s="142">
        <f t="shared" si="261"/>
        <v>48282</v>
      </c>
    </row>
    <row r="360" spans="1:22" ht="11.25" customHeight="1">
      <c r="A360" s="71">
        <v>2014</v>
      </c>
      <c r="B360" s="24">
        <f t="shared" ref="B360:K360" si="262">+B236</f>
        <v>3316</v>
      </c>
      <c r="C360" s="142">
        <f t="shared" si="262"/>
        <v>12608</v>
      </c>
      <c r="D360" s="142">
        <f t="shared" si="262"/>
        <v>17002</v>
      </c>
      <c r="E360" s="142">
        <f t="shared" si="262"/>
        <v>20643</v>
      </c>
      <c r="F360" s="142">
        <f t="shared" si="262"/>
        <v>8793</v>
      </c>
      <c r="G360" s="142">
        <f t="shared" si="262"/>
        <v>2715</v>
      </c>
      <c r="H360" s="142">
        <f t="shared" si="262"/>
        <v>0</v>
      </c>
      <c r="I360" s="24">
        <f t="shared" si="262"/>
        <v>267</v>
      </c>
      <c r="J360" s="24">
        <f t="shared" si="262"/>
        <v>61761</v>
      </c>
      <c r="K360" s="142">
        <f t="shared" si="262"/>
        <v>65344</v>
      </c>
      <c r="M360" s="24">
        <f t="shared" ref="M360:V360" si="263">+M236</f>
        <v>3</v>
      </c>
      <c r="N360" s="142">
        <f t="shared" si="263"/>
        <v>0</v>
      </c>
      <c r="O360" s="142">
        <f t="shared" si="263"/>
        <v>30</v>
      </c>
      <c r="P360" s="142">
        <f t="shared" si="263"/>
        <v>10405</v>
      </c>
      <c r="Q360" s="142">
        <f t="shared" si="263"/>
        <v>39231</v>
      </c>
      <c r="R360" s="142">
        <f t="shared" si="263"/>
        <v>6369</v>
      </c>
      <c r="S360" s="142">
        <f t="shared" si="263"/>
        <v>0</v>
      </c>
      <c r="T360" s="24">
        <f t="shared" si="263"/>
        <v>0</v>
      </c>
      <c r="U360" s="24">
        <f t="shared" si="263"/>
        <v>56035</v>
      </c>
      <c r="V360" s="142">
        <f t="shared" si="263"/>
        <v>56038</v>
      </c>
    </row>
    <row r="361" spans="1:22" ht="11.25" customHeight="1">
      <c r="A361" s="71">
        <v>2015</v>
      </c>
      <c r="B361" s="24">
        <f t="shared" ref="B361:K361" si="264">+B237</f>
        <v>3249</v>
      </c>
      <c r="C361" s="142">
        <f t="shared" si="264"/>
        <v>7315</v>
      </c>
      <c r="D361" s="142">
        <f t="shared" si="264"/>
        <v>23697</v>
      </c>
      <c r="E361" s="142">
        <f t="shared" si="264"/>
        <v>23110</v>
      </c>
      <c r="F361" s="142">
        <f t="shared" si="264"/>
        <v>4031</v>
      </c>
      <c r="G361" s="142">
        <f t="shared" si="264"/>
        <v>786</v>
      </c>
      <c r="H361" s="142">
        <f t="shared" si="264"/>
        <v>0</v>
      </c>
      <c r="I361" s="24">
        <f t="shared" si="264"/>
        <v>17</v>
      </c>
      <c r="J361" s="24">
        <f t="shared" si="264"/>
        <v>58939</v>
      </c>
      <c r="K361" s="142">
        <f t="shared" si="264"/>
        <v>62205</v>
      </c>
      <c r="M361" s="24">
        <f t="shared" ref="M361:V361" si="265">+M237</f>
        <v>0</v>
      </c>
      <c r="N361" s="142">
        <f t="shared" si="265"/>
        <v>0</v>
      </c>
      <c r="O361" s="142">
        <f t="shared" si="265"/>
        <v>3</v>
      </c>
      <c r="P361" s="142">
        <f t="shared" si="265"/>
        <v>1994</v>
      </c>
      <c r="Q361" s="142">
        <f t="shared" si="265"/>
        <v>1307</v>
      </c>
      <c r="R361" s="142">
        <f t="shared" si="265"/>
        <v>706</v>
      </c>
      <c r="S361" s="142">
        <f t="shared" si="265"/>
        <v>0</v>
      </c>
      <c r="T361" s="24">
        <f t="shared" si="265"/>
        <v>2</v>
      </c>
      <c r="U361" s="24">
        <f t="shared" si="265"/>
        <v>4010</v>
      </c>
      <c r="V361" s="142">
        <f t="shared" si="265"/>
        <v>4012</v>
      </c>
    </row>
    <row r="362" spans="1:22" ht="11.25" customHeight="1">
      <c r="A362" s="71">
        <v>2016</v>
      </c>
      <c r="B362" s="24">
        <f t="shared" ref="B362:K362" si="266">+B238</f>
        <v>244</v>
      </c>
      <c r="C362" s="142">
        <f t="shared" si="266"/>
        <v>2905</v>
      </c>
      <c r="D362" s="142">
        <f t="shared" si="266"/>
        <v>13752</v>
      </c>
      <c r="E362" s="142">
        <f t="shared" si="266"/>
        <v>5129</v>
      </c>
      <c r="F362" s="142">
        <f t="shared" si="266"/>
        <v>1310</v>
      </c>
      <c r="G362" s="142">
        <f t="shared" si="266"/>
        <v>5</v>
      </c>
      <c r="H362" s="142">
        <f t="shared" si="266"/>
        <v>0</v>
      </c>
      <c r="I362" s="24">
        <f t="shared" si="266"/>
        <v>183</v>
      </c>
      <c r="J362" s="24">
        <f t="shared" si="266"/>
        <v>23101</v>
      </c>
      <c r="K362" s="142">
        <f t="shared" si="266"/>
        <v>23528</v>
      </c>
      <c r="M362" s="24">
        <f t="shared" ref="M362:V362" si="267">+M238</f>
        <v>0</v>
      </c>
      <c r="N362" s="142">
        <f t="shared" si="267"/>
        <v>0</v>
      </c>
      <c r="O362" s="142">
        <f t="shared" si="267"/>
        <v>0</v>
      </c>
      <c r="P362" s="142">
        <f t="shared" si="267"/>
        <v>29</v>
      </c>
      <c r="Q362" s="142">
        <f t="shared" si="267"/>
        <v>15</v>
      </c>
      <c r="R362" s="142">
        <f t="shared" si="267"/>
        <v>0</v>
      </c>
      <c r="S362" s="142">
        <f t="shared" si="267"/>
        <v>1</v>
      </c>
      <c r="T362" s="24">
        <f t="shared" si="267"/>
        <v>1</v>
      </c>
      <c r="U362" s="24">
        <f t="shared" si="267"/>
        <v>44</v>
      </c>
      <c r="V362" s="142">
        <f t="shared" si="267"/>
        <v>46</v>
      </c>
    </row>
    <row r="363" spans="1:22" ht="11.25" customHeight="1">
      <c r="A363" s="99">
        <v>2017</v>
      </c>
      <c r="B363" s="24">
        <f t="shared" ref="B363:K363" si="268">+B239</f>
        <v>1343</v>
      </c>
      <c r="C363" s="142">
        <f t="shared" si="268"/>
        <v>1253</v>
      </c>
      <c r="D363" s="142">
        <f t="shared" si="268"/>
        <v>2039</v>
      </c>
      <c r="E363" s="142">
        <f t="shared" si="268"/>
        <v>15772</v>
      </c>
      <c r="F363" s="142">
        <f t="shared" si="268"/>
        <v>4605</v>
      </c>
      <c r="G363" s="142">
        <f t="shared" si="268"/>
        <v>745</v>
      </c>
      <c r="H363" s="142">
        <f t="shared" si="268"/>
        <v>0</v>
      </c>
      <c r="I363" s="24">
        <f t="shared" si="268"/>
        <v>11</v>
      </c>
      <c r="J363" s="24">
        <f t="shared" si="268"/>
        <v>24414</v>
      </c>
      <c r="K363" s="142">
        <f t="shared" si="268"/>
        <v>25768</v>
      </c>
      <c r="M363" s="24">
        <f t="shared" ref="M363:V363" si="269">+M239</f>
        <v>0</v>
      </c>
      <c r="N363" s="142">
        <f t="shared" si="269"/>
        <v>0</v>
      </c>
      <c r="O363" s="142">
        <f t="shared" si="269"/>
        <v>0</v>
      </c>
      <c r="P363" s="142">
        <f t="shared" si="269"/>
        <v>1003</v>
      </c>
      <c r="Q363" s="142">
        <f t="shared" si="269"/>
        <v>7150</v>
      </c>
      <c r="R363" s="142">
        <f t="shared" si="269"/>
        <v>5197</v>
      </c>
      <c r="S363" s="142">
        <f t="shared" si="269"/>
        <v>0</v>
      </c>
      <c r="T363" s="24">
        <f t="shared" si="269"/>
        <v>0</v>
      </c>
      <c r="U363" s="24">
        <f t="shared" si="269"/>
        <v>13350</v>
      </c>
      <c r="V363" s="142">
        <f t="shared" si="269"/>
        <v>13350</v>
      </c>
    </row>
    <row r="364" spans="1:22" ht="11.25" customHeight="1">
      <c r="A364" s="99">
        <v>2018</v>
      </c>
      <c r="B364" s="24">
        <f t="shared" ref="B364:K364" si="270">+B240</f>
        <v>798</v>
      </c>
      <c r="C364" s="142">
        <f t="shared" si="270"/>
        <v>1319</v>
      </c>
      <c r="D364" s="142">
        <f t="shared" si="270"/>
        <v>11756</v>
      </c>
      <c r="E364" s="142">
        <f t="shared" si="270"/>
        <v>8486</v>
      </c>
      <c r="F364" s="142">
        <f t="shared" si="270"/>
        <v>1883</v>
      </c>
      <c r="G364" s="142">
        <f t="shared" si="270"/>
        <v>459</v>
      </c>
      <c r="H364" s="142">
        <f t="shared" si="270"/>
        <v>0</v>
      </c>
      <c r="I364" s="24">
        <f t="shared" si="270"/>
        <v>129</v>
      </c>
      <c r="J364" s="24">
        <f t="shared" si="270"/>
        <v>23903</v>
      </c>
      <c r="K364" s="142">
        <f t="shared" si="270"/>
        <v>24830</v>
      </c>
      <c r="M364" s="24">
        <f t="shared" ref="M364:V364" si="271">+M240</f>
        <v>0</v>
      </c>
      <c r="N364" s="142">
        <f t="shared" si="271"/>
        <v>0</v>
      </c>
      <c r="O364" s="142">
        <f t="shared" si="271"/>
        <v>15</v>
      </c>
      <c r="P364" s="142">
        <f t="shared" si="271"/>
        <v>1751</v>
      </c>
      <c r="Q364" s="142">
        <f t="shared" si="271"/>
        <v>5512</v>
      </c>
      <c r="R364" s="142">
        <f t="shared" si="271"/>
        <v>4524</v>
      </c>
      <c r="S364" s="142">
        <f t="shared" si="271"/>
        <v>0</v>
      </c>
      <c r="T364" s="24">
        <f t="shared" si="271"/>
        <v>0</v>
      </c>
      <c r="U364" s="24">
        <f t="shared" si="271"/>
        <v>11802</v>
      </c>
      <c r="V364" s="142">
        <f t="shared" si="271"/>
        <v>11802</v>
      </c>
    </row>
    <row r="365" spans="1:22" ht="11.25" customHeight="1">
      <c r="A365" s="99">
        <v>2019</v>
      </c>
      <c r="B365" s="24">
        <f t="shared" ref="B365:K365" si="272">+B241</f>
        <v>1001</v>
      </c>
      <c r="C365" s="142">
        <f t="shared" si="272"/>
        <v>809</v>
      </c>
      <c r="D365" s="142">
        <f t="shared" si="272"/>
        <v>2110</v>
      </c>
      <c r="E365" s="142">
        <f t="shared" si="272"/>
        <v>12314</v>
      </c>
      <c r="F365" s="142">
        <f t="shared" si="272"/>
        <v>2789</v>
      </c>
      <c r="G365" s="142">
        <f t="shared" si="272"/>
        <v>299</v>
      </c>
      <c r="H365" s="142">
        <f t="shared" si="272"/>
        <v>0</v>
      </c>
      <c r="I365" s="24">
        <f t="shared" si="272"/>
        <v>70</v>
      </c>
      <c r="J365" s="24">
        <f t="shared" si="272"/>
        <v>18321</v>
      </c>
      <c r="K365" s="142">
        <f t="shared" si="272"/>
        <v>19392</v>
      </c>
      <c r="M365" s="24">
        <f t="shared" ref="M365:V365" si="273">+M241</f>
        <v>0</v>
      </c>
      <c r="N365" s="142">
        <f t="shared" si="273"/>
        <v>0</v>
      </c>
      <c r="O365" s="142">
        <f t="shared" si="273"/>
        <v>0</v>
      </c>
      <c r="P365" s="142">
        <f t="shared" si="273"/>
        <v>14414</v>
      </c>
      <c r="Q365" s="142">
        <f t="shared" si="273"/>
        <v>33818</v>
      </c>
      <c r="R365" s="142">
        <f t="shared" si="273"/>
        <v>7273</v>
      </c>
      <c r="S365" s="142">
        <f t="shared" si="273"/>
        <v>0</v>
      </c>
      <c r="T365" s="24">
        <f t="shared" si="273"/>
        <v>0</v>
      </c>
      <c r="U365" s="24">
        <f t="shared" si="273"/>
        <v>55505</v>
      </c>
      <c r="V365" s="142">
        <f t="shared" si="273"/>
        <v>55505</v>
      </c>
    </row>
    <row r="366" spans="1:22" ht="11.25" customHeight="1">
      <c r="A366" s="99">
        <v>2020</v>
      </c>
      <c r="B366" s="24">
        <f t="shared" ref="B366:K367" si="274">+B242</f>
        <v>661</v>
      </c>
      <c r="C366" s="142">
        <f t="shared" si="274"/>
        <v>8</v>
      </c>
      <c r="D366" s="142">
        <f t="shared" si="274"/>
        <v>23</v>
      </c>
      <c r="E366" s="142">
        <f t="shared" si="274"/>
        <v>622</v>
      </c>
      <c r="F366" s="142">
        <f t="shared" si="274"/>
        <v>1718</v>
      </c>
      <c r="G366" s="142">
        <f t="shared" si="274"/>
        <v>66</v>
      </c>
      <c r="H366" s="142">
        <f t="shared" si="274"/>
        <v>0</v>
      </c>
      <c r="I366" s="24">
        <f t="shared" si="274"/>
        <v>0</v>
      </c>
      <c r="J366" s="24">
        <f t="shared" si="274"/>
        <v>2437</v>
      </c>
      <c r="K366" s="142">
        <f t="shared" si="274"/>
        <v>3098</v>
      </c>
      <c r="M366" s="24">
        <f t="shared" ref="M366:V367" si="275">+M242</f>
        <v>0</v>
      </c>
      <c r="N366" s="142">
        <f t="shared" si="275"/>
        <v>0</v>
      </c>
      <c r="O366" s="142">
        <f t="shared" si="275"/>
        <v>0</v>
      </c>
      <c r="P366" s="142">
        <f t="shared" si="275"/>
        <v>587</v>
      </c>
      <c r="Q366" s="142">
        <f t="shared" si="275"/>
        <v>10864</v>
      </c>
      <c r="R366" s="142">
        <f t="shared" si="275"/>
        <v>2940</v>
      </c>
      <c r="S366" s="142">
        <f t="shared" si="275"/>
        <v>0</v>
      </c>
      <c r="T366" s="24">
        <f t="shared" si="275"/>
        <v>0</v>
      </c>
      <c r="U366" s="24">
        <f t="shared" si="275"/>
        <v>14391</v>
      </c>
      <c r="V366" s="142">
        <f t="shared" si="275"/>
        <v>14391</v>
      </c>
    </row>
    <row r="367" spans="1:22" ht="11.25" customHeight="1">
      <c r="A367" s="99" t="s">
        <v>316</v>
      </c>
      <c r="B367" s="24">
        <f t="shared" si="274"/>
        <v>88</v>
      </c>
      <c r="C367" s="142">
        <f t="shared" si="274"/>
        <v>421</v>
      </c>
      <c r="D367" s="142">
        <f t="shared" si="274"/>
        <v>2144</v>
      </c>
      <c r="E367" s="142">
        <f t="shared" si="274"/>
        <v>3761</v>
      </c>
      <c r="F367" s="142">
        <f t="shared" si="274"/>
        <v>1668</v>
      </c>
      <c r="G367" s="142">
        <f t="shared" si="274"/>
        <v>233</v>
      </c>
      <c r="H367" s="142">
        <f t="shared" si="274"/>
        <v>0</v>
      </c>
      <c r="I367" s="24">
        <f t="shared" si="274"/>
        <v>0</v>
      </c>
      <c r="J367" s="24">
        <f t="shared" si="274"/>
        <v>8227</v>
      </c>
      <c r="K367" s="142">
        <f t="shared" si="274"/>
        <v>8315</v>
      </c>
      <c r="M367" s="24">
        <f t="shared" si="275"/>
        <v>0</v>
      </c>
      <c r="N367" s="142">
        <f t="shared" si="275"/>
        <v>0</v>
      </c>
      <c r="O367" s="142">
        <f t="shared" si="275"/>
        <v>0</v>
      </c>
      <c r="P367" s="142">
        <f t="shared" si="275"/>
        <v>1039</v>
      </c>
      <c r="Q367" s="142">
        <f t="shared" si="275"/>
        <v>14995</v>
      </c>
      <c r="R367" s="142">
        <f t="shared" si="275"/>
        <v>10377</v>
      </c>
      <c r="S367" s="142">
        <f t="shared" si="275"/>
        <v>0</v>
      </c>
      <c r="T367" s="24">
        <f t="shared" si="275"/>
        <v>0</v>
      </c>
      <c r="U367" s="24">
        <f t="shared" si="275"/>
        <v>26411</v>
      </c>
      <c r="V367" s="142">
        <f t="shared" si="275"/>
        <v>26411</v>
      </c>
    </row>
    <row r="368" spans="1:22" ht="11.25" customHeight="1">
      <c r="A368" s="338" t="str">
        <f>+A244</f>
        <v>a/  Preliminary.</v>
      </c>
      <c r="B368" s="338"/>
      <c r="C368" s="338"/>
      <c r="D368" s="338"/>
      <c r="E368" s="338"/>
      <c r="F368" s="338"/>
      <c r="G368" s="338"/>
      <c r="H368" s="338"/>
      <c r="I368" s="338"/>
      <c r="J368" s="338"/>
      <c r="K368" s="338"/>
      <c r="L368" s="338"/>
      <c r="M368" s="338"/>
      <c r="N368" s="338"/>
      <c r="O368" s="338"/>
      <c r="P368" s="338"/>
      <c r="Q368" s="338"/>
      <c r="R368" s="338"/>
      <c r="S368" s="338"/>
      <c r="T368" s="338"/>
      <c r="U368" s="338"/>
      <c r="V368" s="338"/>
    </row>
    <row r="369" spans="1:22" ht="11.25" customHeight="1">
      <c r="A369" s="337" t="str">
        <f>+A245</f>
        <v>b/ October landings beginning in 2002 occurred during Quileute ceremonial and subsistence fishery.</v>
      </c>
      <c r="B369" s="337"/>
      <c r="C369" s="337"/>
      <c r="D369" s="337"/>
      <c r="E369" s="337"/>
      <c r="F369" s="337"/>
      <c r="G369" s="337"/>
      <c r="H369" s="337"/>
      <c r="I369" s="337"/>
      <c r="J369" s="337"/>
      <c r="K369" s="337"/>
      <c r="L369" s="337"/>
      <c r="M369" s="337"/>
      <c r="N369" s="337"/>
      <c r="O369" s="337"/>
      <c r="P369" s="337"/>
      <c r="Q369" s="337"/>
      <c r="R369" s="337"/>
      <c r="S369" s="337"/>
      <c r="T369" s="337"/>
      <c r="U369" s="337"/>
      <c r="V369" s="337"/>
    </row>
    <row r="370" spans="1:22" ht="12" customHeight="1"/>
    <row r="371" spans="1:22" ht="12" customHeight="1"/>
    <row r="372" spans="1:22" ht="12" customHeight="1"/>
    <row r="373" spans="1:22" ht="12" customHeight="1"/>
    <row r="374" spans="1:22" ht="12" customHeight="1"/>
    <row r="375" spans="1:22" ht="12" customHeight="1"/>
    <row r="376" spans="1:22" ht="12" customHeight="1"/>
    <row r="377" spans="1:22" ht="12" customHeight="1"/>
    <row r="378" spans="1:22" ht="12" customHeight="1"/>
    <row r="379" spans="1:22" ht="12" customHeight="1"/>
    <row r="380" spans="1:22" ht="12" customHeight="1"/>
    <row r="381" spans="1:22" ht="12" customHeight="1"/>
    <row r="382" spans="1:22" ht="12" customHeight="1"/>
    <row r="383" spans="1:22" ht="12" customHeight="1"/>
    <row r="384" spans="1:22" ht="12" customHeight="1"/>
    <row r="385" ht="12" customHeight="1"/>
    <row r="386" ht="12" customHeight="1"/>
    <row r="387" ht="12" customHeight="1"/>
  </sheetData>
  <mergeCells count="26">
    <mergeCell ref="A368:V368"/>
    <mergeCell ref="A369:V369"/>
    <mergeCell ref="A346:V346"/>
    <mergeCell ref="A347:A348"/>
    <mergeCell ref="J347:K347"/>
    <mergeCell ref="U347:V347"/>
    <mergeCell ref="B349:K349"/>
    <mergeCell ref="M349:V349"/>
    <mergeCell ref="A304:V304"/>
    <mergeCell ref="A305:A306"/>
    <mergeCell ref="J305:K305"/>
    <mergeCell ref="U305:V305"/>
    <mergeCell ref="B307:K307"/>
    <mergeCell ref="M307:V307"/>
    <mergeCell ref="A262:V262"/>
    <mergeCell ref="A263:A264"/>
    <mergeCell ref="J263:K263"/>
    <mergeCell ref="U263:V263"/>
    <mergeCell ref="B265:K265"/>
    <mergeCell ref="M265:V265"/>
    <mergeCell ref="A1:V1"/>
    <mergeCell ref="A2:A3"/>
    <mergeCell ref="J2:K2"/>
    <mergeCell ref="U2:V2"/>
    <mergeCell ref="B4:K4"/>
    <mergeCell ref="M4:V4"/>
  </mergeCells>
  <pageMargins left="0.7" right="0.7" top="0.75" bottom="0.75" header="0.3" footer="0.3"/>
  <pageSetup scale="94" orientation="landscape" r:id="rId1"/>
  <rowBreaks count="2" manualBreakCount="2">
    <brk id="303" max="21" man="1"/>
    <brk id="345" max="2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9"/>
  <dimension ref="A1:M253"/>
  <sheetViews>
    <sheetView showGridLines="0" zoomScaleNormal="100" zoomScaleSheetLayoutView="90" workbookViewId="0">
      <pane xSplit="1" ySplit="3" topLeftCell="B4"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9" defaultRowHeight="11"/>
  <cols>
    <col min="1" max="1" width="7.6640625" style="99" customWidth="1"/>
    <col min="2" max="11" width="7" style="24" customWidth="1"/>
    <col min="12" max="16384" width="9" style="1"/>
  </cols>
  <sheetData>
    <row r="1" spans="1:12" ht="12" customHeight="1">
      <c r="A1" s="345" t="s">
        <v>134</v>
      </c>
      <c r="B1" s="345"/>
      <c r="C1" s="345"/>
      <c r="D1" s="345"/>
      <c r="E1" s="345"/>
      <c r="F1" s="345"/>
      <c r="G1" s="345"/>
      <c r="H1" s="345"/>
      <c r="I1" s="345"/>
      <c r="J1" s="345"/>
      <c r="K1" s="345"/>
    </row>
    <row r="2" spans="1:12" s="119" customFormat="1" ht="12" customHeight="1">
      <c r="A2" s="281" t="s">
        <v>212</v>
      </c>
      <c r="B2" s="225"/>
      <c r="C2" s="225"/>
      <c r="D2" s="225"/>
      <c r="E2" s="225"/>
      <c r="F2" s="225"/>
      <c r="G2" s="225"/>
      <c r="H2" s="225"/>
      <c r="I2" s="225"/>
      <c r="J2" s="341" t="s">
        <v>55</v>
      </c>
      <c r="K2" s="341"/>
    </row>
    <row r="3" spans="1:12" ht="12" customHeight="1">
      <c r="A3" s="275"/>
      <c r="B3" s="225" t="s">
        <v>65</v>
      </c>
      <c r="C3" s="225" t="s">
        <v>29</v>
      </c>
      <c r="D3" s="225" t="s">
        <v>30</v>
      </c>
      <c r="E3" s="225" t="s">
        <v>31</v>
      </c>
      <c r="F3" s="225" t="s">
        <v>32</v>
      </c>
      <c r="G3" s="225" t="s">
        <v>33</v>
      </c>
      <c r="H3" s="225" t="s">
        <v>34</v>
      </c>
      <c r="I3" s="225" t="s">
        <v>67</v>
      </c>
      <c r="J3" s="225" t="s">
        <v>68</v>
      </c>
      <c r="K3" s="225" t="s">
        <v>46</v>
      </c>
    </row>
    <row r="4" spans="1:12" ht="12" customHeight="1">
      <c r="A4" s="94" t="s">
        <v>66</v>
      </c>
      <c r="B4" s="21"/>
    </row>
    <row r="5" spans="1:12" ht="12" customHeight="1">
      <c r="A5" s="99">
        <v>1977</v>
      </c>
      <c r="B5" s="24">
        <v>0</v>
      </c>
      <c r="C5" s="26">
        <v>4</v>
      </c>
      <c r="D5" s="26">
        <v>1</v>
      </c>
      <c r="E5" s="26">
        <v>68</v>
      </c>
      <c r="F5" s="26">
        <v>528</v>
      </c>
      <c r="G5" s="26">
        <v>6</v>
      </c>
      <c r="H5" s="26">
        <v>0</v>
      </c>
      <c r="I5" s="26">
        <v>0</v>
      </c>
      <c r="J5" s="26">
        <f t="shared" ref="J5:J24" si="0">SUM(C5:G5)</f>
        <v>607</v>
      </c>
      <c r="K5" s="26">
        <f t="shared" ref="K5:K24" si="1">SUM(B5:I5)</f>
        <v>607</v>
      </c>
    </row>
    <row r="6" spans="1:12" ht="12" customHeight="1">
      <c r="A6" s="99">
        <v>1979</v>
      </c>
      <c r="B6" s="24">
        <v>1</v>
      </c>
      <c r="C6" s="26">
        <v>0</v>
      </c>
      <c r="D6" s="26">
        <v>533</v>
      </c>
      <c r="E6" s="26">
        <v>248</v>
      </c>
      <c r="F6" s="26">
        <v>769</v>
      </c>
      <c r="G6" s="26">
        <v>26</v>
      </c>
      <c r="H6" s="26">
        <v>0</v>
      </c>
      <c r="I6" s="26">
        <v>0</v>
      </c>
      <c r="J6" s="26">
        <f t="shared" si="0"/>
        <v>1576</v>
      </c>
      <c r="K6" s="26">
        <f t="shared" si="1"/>
        <v>1577</v>
      </c>
    </row>
    <row r="7" spans="1:12" ht="12" customHeight="1">
      <c r="A7" s="99">
        <v>1981</v>
      </c>
      <c r="B7" s="24">
        <v>0</v>
      </c>
      <c r="C7" s="26">
        <v>68</v>
      </c>
      <c r="D7" s="26">
        <v>2</v>
      </c>
      <c r="E7" s="26">
        <v>73</v>
      </c>
      <c r="F7" s="26">
        <v>835</v>
      </c>
      <c r="G7" s="26">
        <v>8</v>
      </c>
      <c r="H7" s="26">
        <v>0</v>
      </c>
      <c r="I7" s="26">
        <v>0</v>
      </c>
      <c r="J7" s="26">
        <f t="shared" si="0"/>
        <v>986</v>
      </c>
      <c r="K7" s="26">
        <f t="shared" si="1"/>
        <v>986</v>
      </c>
    </row>
    <row r="8" spans="1:12" ht="12" customHeight="1">
      <c r="A8" s="99">
        <v>1983</v>
      </c>
      <c r="B8" s="24">
        <v>0</v>
      </c>
      <c r="C8" s="26">
        <v>1</v>
      </c>
      <c r="D8" s="26">
        <v>3</v>
      </c>
      <c r="E8" s="26">
        <v>235</v>
      </c>
      <c r="F8" s="26">
        <v>1246</v>
      </c>
      <c r="G8" s="26">
        <v>13</v>
      </c>
      <c r="H8" s="26">
        <v>0</v>
      </c>
      <c r="I8" s="26">
        <v>0</v>
      </c>
      <c r="J8" s="26">
        <f t="shared" si="0"/>
        <v>1498</v>
      </c>
      <c r="K8" s="26">
        <f t="shared" si="1"/>
        <v>1498</v>
      </c>
    </row>
    <row r="9" spans="1:12" ht="12" customHeight="1">
      <c r="A9" s="99">
        <v>1985</v>
      </c>
      <c r="B9" s="24">
        <v>0</v>
      </c>
      <c r="C9" s="26">
        <v>0</v>
      </c>
      <c r="D9" s="26">
        <v>0</v>
      </c>
      <c r="E9" s="26">
        <v>16</v>
      </c>
      <c r="F9" s="26">
        <v>14</v>
      </c>
      <c r="G9" s="26">
        <v>0</v>
      </c>
      <c r="H9" s="26">
        <v>0</v>
      </c>
      <c r="I9" s="26">
        <v>0</v>
      </c>
      <c r="J9" s="26">
        <f t="shared" si="0"/>
        <v>30</v>
      </c>
      <c r="K9" s="26">
        <f t="shared" si="1"/>
        <v>30</v>
      </c>
    </row>
    <row r="10" spans="1:12" ht="12" customHeight="1">
      <c r="A10" s="99">
        <v>1987</v>
      </c>
      <c r="B10" s="24">
        <v>0</v>
      </c>
      <c r="C10" s="26">
        <v>0</v>
      </c>
      <c r="D10" s="26">
        <v>0</v>
      </c>
      <c r="E10" s="26">
        <v>247</v>
      </c>
      <c r="F10" s="26">
        <v>621</v>
      </c>
      <c r="G10" s="26">
        <v>0</v>
      </c>
      <c r="H10" s="26">
        <v>0</v>
      </c>
      <c r="I10" s="26">
        <v>0</v>
      </c>
      <c r="J10" s="26">
        <f t="shared" si="0"/>
        <v>868</v>
      </c>
      <c r="K10" s="26">
        <f t="shared" si="1"/>
        <v>868</v>
      </c>
    </row>
    <row r="11" spans="1:12" ht="12" customHeight="1">
      <c r="A11" s="99">
        <v>1989</v>
      </c>
      <c r="B11" s="24">
        <v>0</v>
      </c>
      <c r="C11" s="26">
        <v>0</v>
      </c>
      <c r="D11" s="26">
        <v>0</v>
      </c>
      <c r="E11" s="26">
        <v>2542</v>
      </c>
      <c r="F11" s="26">
        <v>664</v>
      </c>
      <c r="G11" s="26">
        <v>283</v>
      </c>
      <c r="H11" s="26">
        <v>0</v>
      </c>
      <c r="I11" s="26">
        <v>0</v>
      </c>
      <c r="J11" s="26">
        <f t="shared" si="0"/>
        <v>3489</v>
      </c>
      <c r="K11" s="26">
        <f t="shared" si="1"/>
        <v>3489</v>
      </c>
    </row>
    <row r="12" spans="1:12" ht="12" customHeight="1">
      <c r="A12" s="99">
        <v>1991</v>
      </c>
      <c r="B12" s="24">
        <v>0</v>
      </c>
      <c r="C12" s="26">
        <v>0</v>
      </c>
      <c r="D12" s="26">
        <v>0</v>
      </c>
      <c r="E12" s="26">
        <v>74</v>
      </c>
      <c r="F12" s="26">
        <v>1260</v>
      </c>
      <c r="G12" s="26">
        <v>0</v>
      </c>
      <c r="H12" s="26">
        <v>0</v>
      </c>
      <c r="I12" s="26">
        <v>0</v>
      </c>
      <c r="J12" s="26">
        <f t="shared" si="0"/>
        <v>1334</v>
      </c>
      <c r="K12" s="26">
        <f t="shared" si="1"/>
        <v>1334</v>
      </c>
      <c r="L12" s="17"/>
    </row>
    <row r="13" spans="1:12" ht="12" customHeight="1">
      <c r="A13" s="99">
        <v>1993</v>
      </c>
      <c r="B13" s="24">
        <v>0</v>
      </c>
      <c r="C13" s="26">
        <v>0</v>
      </c>
      <c r="D13" s="26">
        <v>0</v>
      </c>
      <c r="E13" s="26">
        <v>54</v>
      </c>
      <c r="F13" s="26">
        <v>123</v>
      </c>
      <c r="G13" s="26">
        <v>5</v>
      </c>
      <c r="H13" s="26" t="s">
        <v>23</v>
      </c>
      <c r="I13" s="26">
        <v>0</v>
      </c>
      <c r="J13" s="26">
        <f t="shared" si="0"/>
        <v>182</v>
      </c>
      <c r="K13" s="26">
        <f t="shared" si="1"/>
        <v>182</v>
      </c>
      <c r="L13" s="17"/>
    </row>
    <row r="14" spans="1:12" ht="12" customHeight="1">
      <c r="A14" s="99">
        <v>1995</v>
      </c>
      <c r="B14" s="24">
        <v>0</v>
      </c>
      <c r="C14" s="26">
        <v>0</v>
      </c>
      <c r="D14" s="26">
        <v>0</v>
      </c>
      <c r="E14" s="26">
        <v>0</v>
      </c>
      <c r="F14" s="26">
        <v>2317</v>
      </c>
      <c r="G14" s="26">
        <v>0</v>
      </c>
      <c r="H14" s="26" t="s">
        <v>23</v>
      </c>
      <c r="I14" s="26">
        <v>0</v>
      </c>
      <c r="J14" s="26">
        <f t="shared" si="0"/>
        <v>2317</v>
      </c>
      <c r="K14" s="26">
        <f t="shared" si="1"/>
        <v>2317</v>
      </c>
      <c r="L14" s="17"/>
    </row>
    <row r="15" spans="1:12" ht="12" customHeight="1">
      <c r="A15" s="99">
        <v>1997</v>
      </c>
      <c r="B15" s="24">
        <v>0</v>
      </c>
      <c r="C15" s="26">
        <v>0</v>
      </c>
      <c r="D15" s="26">
        <v>0</v>
      </c>
      <c r="E15" s="26">
        <v>0</v>
      </c>
      <c r="F15" s="26">
        <v>696</v>
      </c>
      <c r="G15" s="26">
        <v>10</v>
      </c>
      <c r="H15" s="26" t="s">
        <v>23</v>
      </c>
      <c r="I15" s="26">
        <v>0</v>
      </c>
      <c r="J15" s="26">
        <f t="shared" si="0"/>
        <v>706</v>
      </c>
      <c r="K15" s="26">
        <f t="shared" si="1"/>
        <v>706</v>
      </c>
      <c r="L15" s="17"/>
    </row>
    <row r="16" spans="1:12" ht="12" customHeight="1">
      <c r="A16" s="99">
        <v>1999</v>
      </c>
      <c r="B16" s="24">
        <v>0</v>
      </c>
      <c r="C16" s="26">
        <v>0</v>
      </c>
      <c r="D16" s="26">
        <v>0</v>
      </c>
      <c r="E16" s="26">
        <v>0</v>
      </c>
      <c r="F16" s="26">
        <v>404</v>
      </c>
      <c r="G16" s="26">
        <v>4</v>
      </c>
      <c r="H16" s="26" t="s">
        <v>23</v>
      </c>
      <c r="I16" s="26">
        <v>0</v>
      </c>
      <c r="J16" s="26">
        <f t="shared" si="0"/>
        <v>408</v>
      </c>
      <c r="K16" s="26">
        <f t="shared" si="1"/>
        <v>408</v>
      </c>
      <c r="L16" s="17"/>
    </row>
    <row r="17" spans="1:12" ht="12" customHeight="1">
      <c r="A17" s="99">
        <v>2001</v>
      </c>
      <c r="B17" s="24">
        <v>0</v>
      </c>
      <c r="C17" s="26">
        <v>0</v>
      </c>
      <c r="D17" s="26">
        <v>0</v>
      </c>
      <c r="E17" s="26">
        <v>504</v>
      </c>
      <c r="F17" s="26">
        <v>334</v>
      </c>
      <c r="G17" s="26">
        <v>15</v>
      </c>
      <c r="H17" s="26" t="s">
        <v>23</v>
      </c>
      <c r="I17" s="26">
        <v>0</v>
      </c>
      <c r="J17" s="26">
        <f t="shared" si="0"/>
        <v>853</v>
      </c>
      <c r="K17" s="26">
        <f t="shared" si="1"/>
        <v>853</v>
      </c>
      <c r="L17" s="17"/>
    </row>
    <row r="18" spans="1:12" ht="12" customHeight="1">
      <c r="A18" s="99">
        <v>2003</v>
      </c>
      <c r="B18" s="24">
        <v>0</v>
      </c>
      <c r="C18" s="26">
        <v>0</v>
      </c>
      <c r="D18" s="26">
        <v>0</v>
      </c>
      <c r="E18" s="26">
        <v>0</v>
      </c>
      <c r="F18" s="26">
        <v>0</v>
      </c>
      <c r="G18" s="26">
        <v>0</v>
      </c>
      <c r="H18" s="26" t="s">
        <v>23</v>
      </c>
      <c r="I18" s="26">
        <v>0</v>
      </c>
      <c r="J18" s="26">
        <f t="shared" si="0"/>
        <v>0</v>
      </c>
      <c r="K18" s="26">
        <f t="shared" si="1"/>
        <v>0</v>
      </c>
      <c r="L18" s="17"/>
    </row>
    <row r="19" spans="1:12" ht="12" customHeight="1">
      <c r="A19" s="99">
        <v>2005</v>
      </c>
      <c r="B19" s="24">
        <v>0</v>
      </c>
      <c r="C19" s="79">
        <v>0</v>
      </c>
      <c r="D19" s="79">
        <v>0</v>
      </c>
      <c r="E19" s="79">
        <v>154</v>
      </c>
      <c r="F19" s="79">
        <v>88</v>
      </c>
      <c r="G19" s="79">
        <v>0</v>
      </c>
      <c r="H19" s="26" t="s">
        <v>23</v>
      </c>
      <c r="I19" s="79">
        <v>0</v>
      </c>
      <c r="J19" s="26">
        <f t="shared" si="0"/>
        <v>242</v>
      </c>
      <c r="K19" s="26">
        <f t="shared" si="1"/>
        <v>242</v>
      </c>
      <c r="L19" s="17"/>
    </row>
    <row r="20" spans="1:12" ht="12" customHeight="1">
      <c r="A20" s="99">
        <v>2007</v>
      </c>
      <c r="B20" s="24">
        <v>0</v>
      </c>
      <c r="C20" s="79">
        <v>0</v>
      </c>
      <c r="D20" s="79">
        <v>0</v>
      </c>
      <c r="E20" s="79">
        <v>82</v>
      </c>
      <c r="F20" s="79">
        <v>141</v>
      </c>
      <c r="G20" s="79">
        <v>0</v>
      </c>
      <c r="H20" s="79" t="s">
        <v>23</v>
      </c>
      <c r="I20" s="79">
        <v>0</v>
      </c>
      <c r="J20" s="79">
        <f t="shared" si="0"/>
        <v>223</v>
      </c>
      <c r="K20" s="79">
        <f t="shared" si="1"/>
        <v>223</v>
      </c>
      <c r="L20" s="17"/>
    </row>
    <row r="21" spans="1:12" ht="12" customHeight="1">
      <c r="A21" s="99">
        <v>2009</v>
      </c>
      <c r="B21" s="24">
        <v>0</v>
      </c>
      <c r="C21" s="79">
        <v>0</v>
      </c>
      <c r="D21" s="79">
        <v>0</v>
      </c>
      <c r="E21" s="79">
        <v>189</v>
      </c>
      <c r="F21" s="79">
        <v>219</v>
      </c>
      <c r="G21" s="79">
        <v>0</v>
      </c>
      <c r="H21" s="79" t="s">
        <v>23</v>
      </c>
      <c r="I21" s="79">
        <v>0</v>
      </c>
      <c r="J21" s="79">
        <f t="shared" si="0"/>
        <v>408</v>
      </c>
      <c r="K21" s="79">
        <f t="shared" si="1"/>
        <v>408</v>
      </c>
      <c r="L21" s="17"/>
    </row>
    <row r="22" spans="1:12" ht="12" customHeight="1">
      <c r="A22" s="99">
        <v>2011</v>
      </c>
      <c r="B22" s="24">
        <v>0</v>
      </c>
      <c r="C22" s="79">
        <v>0</v>
      </c>
      <c r="D22" s="79">
        <v>3</v>
      </c>
      <c r="E22" s="79">
        <v>55</v>
      </c>
      <c r="F22" s="79">
        <v>15</v>
      </c>
      <c r="G22" s="79">
        <v>0</v>
      </c>
      <c r="H22" s="79" t="s">
        <v>23</v>
      </c>
      <c r="I22" s="79">
        <v>0</v>
      </c>
      <c r="J22" s="79">
        <f t="shared" si="0"/>
        <v>73</v>
      </c>
      <c r="K22" s="79">
        <f t="shared" si="1"/>
        <v>73</v>
      </c>
      <c r="L22" s="17"/>
    </row>
    <row r="23" spans="1:12" ht="12" customHeight="1">
      <c r="A23" s="99">
        <v>2013</v>
      </c>
      <c r="B23" s="24">
        <v>0</v>
      </c>
      <c r="C23" s="79">
        <v>0</v>
      </c>
      <c r="D23" s="79">
        <v>0</v>
      </c>
      <c r="E23" s="79">
        <v>39</v>
      </c>
      <c r="F23" s="79">
        <v>0</v>
      </c>
      <c r="G23" s="79">
        <v>0</v>
      </c>
      <c r="H23" s="79" t="s">
        <v>23</v>
      </c>
      <c r="I23" s="79">
        <v>0</v>
      </c>
      <c r="J23" s="79">
        <f t="shared" si="0"/>
        <v>39</v>
      </c>
      <c r="K23" s="79">
        <f t="shared" si="1"/>
        <v>39</v>
      </c>
      <c r="L23" s="17"/>
    </row>
    <row r="24" spans="1:12" ht="12" customHeight="1">
      <c r="A24" s="99">
        <v>2015</v>
      </c>
      <c r="B24" s="24">
        <v>0</v>
      </c>
      <c r="C24" s="79">
        <v>0</v>
      </c>
      <c r="D24" s="79">
        <v>2</v>
      </c>
      <c r="E24" s="79">
        <v>0</v>
      </c>
      <c r="F24" s="79">
        <v>2</v>
      </c>
      <c r="G24" s="79">
        <v>0</v>
      </c>
      <c r="H24" s="79" t="s">
        <v>23</v>
      </c>
      <c r="I24" s="79">
        <v>0</v>
      </c>
      <c r="J24" s="79">
        <f t="shared" si="0"/>
        <v>4</v>
      </c>
      <c r="K24" s="79">
        <f t="shared" si="1"/>
        <v>4</v>
      </c>
      <c r="L24" s="17"/>
    </row>
    <row r="25" spans="1:12" ht="12" customHeight="1">
      <c r="A25" s="99">
        <v>2017</v>
      </c>
      <c r="B25" s="24">
        <v>0</v>
      </c>
      <c r="C25" s="79">
        <v>0</v>
      </c>
      <c r="D25" s="79">
        <v>0</v>
      </c>
      <c r="E25" s="79">
        <v>1</v>
      </c>
      <c r="F25" s="79">
        <v>1</v>
      </c>
      <c r="G25" s="79">
        <v>0</v>
      </c>
      <c r="H25" s="79" t="s">
        <v>23</v>
      </c>
      <c r="I25" s="79">
        <v>0</v>
      </c>
      <c r="J25" s="79">
        <f>SUM(C25:G25)</f>
        <v>2</v>
      </c>
      <c r="K25" s="79">
        <f>SUM(B25:I25)</f>
        <v>2</v>
      </c>
      <c r="L25" s="17"/>
    </row>
    <row r="26" spans="1:12" ht="12" customHeight="1">
      <c r="A26" s="99">
        <v>2019</v>
      </c>
      <c r="B26" s="24">
        <v>0</v>
      </c>
      <c r="C26" s="79">
        <v>0</v>
      </c>
      <c r="D26" s="79">
        <v>0</v>
      </c>
      <c r="E26" s="79">
        <v>0</v>
      </c>
      <c r="F26" s="79">
        <v>0</v>
      </c>
      <c r="G26" s="79">
        <v>0</v>
      </c>
      <c r="H26" s="79" t="s">
        <v>23</v>
      </c>
      <c r="I26" s="79">
        <v>0</v>
      </c>
      <c r="J26" s="79">
        <f t="shared" ref="J26" si="2">SUM(C26:G26)</f>
        <v>0</v>
      </c>
      <c r="K26" s="79">
        <f t="shared" ref="K26" si="3">SUM(B26:I26)</f>
        <v>0</v>
      </c>
      <c r="L26" s="17"/>
    </row>
    <row r="27" spans="1:12" ht="12" customHeight="1">
      <c r="A27" s="99" t="s">
        <v>317</v>
      </c>
      <c r="B27" s="24">
        <v>0</v>
      </c>
      <c r="C27" s="79">
        <v>0</v>
      </c>
      <c r="D27" s="79">
        <v>0</v>
      </c>
      <c r="E27" s="79">
        <v>9</v>
      </c>
      <c r="F27" s="79">
        <v>10</v>
      </c>
      <c r="G27" s="79">
        <v>0</v>
      </c>
      <c r="H27" s="79" t="s">
        <v>23</v>
      </c>
      <c r="I27" s="79">
        <v>0</v>
      </c>
      <c r="J27" s="79">
        <f t="shared" ref="J27" si="4">SUM(C27:G27)</f>
        <v>19</v>
      </c>
      <c r="K27" s="79">
        <f t="shared" ref="K27" si="5">SUM(B27:I27)</f>
        <v>19</v>
      </c>
      <c r="L27" s="17"/>
    </row>
    <row r="28" spans="1:12">
      <c r="C28" s="79"/>
      <c r="D28" s="79"/>
      <c r="E28" s="79"/>
      <c r="F28" s="79"/>
      <c r="G28" s="79"/>
      <c r="H28" s="26"/>
      <c r="I28" s="79"/>
      <c r="J28" s="26"/>
      <c r="K28" s="26"/>
      <c r="L28" s="17"/>
    </row>
    <row r="29" spans="1:12">
      <c r="C29" s="26"/>
      <c r="D29" s="26"/>
      <c r="E29" s="26"/>
      <c r="F29" s="26"/>
      <c r="G29" s="26"/>
      <c r="H29" s="26"/>
      <c r="I29" s="26"/>
      <c r="J29" s="26"/>
      <c r="K29" s="26"/>
    </row>
    <row r="30" spans="1:12" ht="12" customHeight="1">
      <c r="A30" s="94" t="s">
        <v>59</v>
      </c>
      <c r="B30" s="21"/>
      <c r="C30" s="26"/>
      <c r="D30" s="26"/>
      <c r="E30" s="26"/>
      <c r="F30" s="26"/>
      <c r="G30" s="26"/>
      <c r="H30" s="26"/>
      <c r="I30" s="26"/>
      <c r="J30" s="26"/>
      <c r="K30" s="26"/>
    </row>
    <row r="31" spans="1:12" ht="12" customHeight="1">
      <c r="A31" s="99">
        <v>1977</v>
      </c>
      <c r="B31" s="24">
        <v>0</v>
      </c>
      <c r="C31" s="26">
        <v>84</v>
      </c>
      <c r="D31" s="26">
        <v>1</v>
      </c>
      <c r="E31" s="26">
        <v>1041</v>
      </c>
      <c r="F31" s="26">
        <v>1284</v>
      </c>
      <c r="G31" s="26">
        <v>1</v>
      </c>
      <c r="H31" s="26">
        <v>0</v>
      </c>
      <c r="I31" s="26">
        <v>0</v>
      </c>
      <c r="J31" s="26">
        <f t="shared" ref="J31:J51" si="6">SUM(C31:G31)</f>
        <v>2411</v>
      </c>
      <c r="K31" s="26">
        <f t="shared" ref="K31:K51" si="7">SUM(B31:I31)</f>
        <v>2411</v>
      </c>
    </row>
    <row r="32" spans="1:12" ht="12" customHeight="1">
      <c r="A32" s="99">
        <v>1979</v>
      </c>
      <c r="B32" s="24">
        <v>0</v>
      </c>
      <c r="C32" s="26">
        <v>0</v>
      </c>
      <c r="D32" s="26">
        <v>180</v>
      </c>
      <c r="E32" s="26">
        <v>231</v>
      </c>
      <c r="F32" s="26">
        <v>1393</v>
      </c>
      <c r="G32" s="26">
        <v>9</v>
      </c>
      <c r="H32" s="26">
        <v>0</v>
      </c>
      <c r="I32" s="26">
        <v>0</v>
      </c>
      <c r="J32" s="26">
        <f t="shared" si="6"/>
        <v>1813</v>
      </c>
      <c r="K32" s="26">
        <f t="shared" si="7"/>
        <v>1813</v>
      </c>
    </row>
    <row r="33" spans="1:11" ht="12" customHeight="1">
      <c r="A33" s="99">
        <v>1981</v>
      </c>
      <c r="B33" s="24">
        <v>0</v>
      </c>
      <c r="C33" s="26">
        <v>0</v>
      </c>
      <c r="D33" s="26">
        <v>0</v>
      </c>
      <c r="E33" s="26">
        <v>563</v>
      </c>
      <c r="F33" s="26">
        <v>2020</v>
      </c>
      <c r="G33" s="26">
        <v>405</v>
      </c>
      <c r="H33" s="26">
        <v>0</v>
      </c>
      <c r="I33" s="26">
        <v>0</v>
      </c>
      <c r="J33" s="26">
        <f t="shared" si="6"/>
        <v>2988</v>
      </c>
      <c r="K33" s="26">
        <f t="shared" si="7"/>
        <v>2988</v>
      </c>
    </row>
    <row r="34" spans="1:11" ht="12" customHeight="1">
      <c r="A34" s="99">
        <v>1983</v>
      </c>
      <c r="B34" s="24">
        <v>0</v>
      </c>
      <c r="C34" s="26">
        <v>0</v>
      </c>
      <c r="D34" s="26">
        <v>7</v>
      </c>
      <c r="E34" s="26">
        <v>1233</v>
      </c>
      <c r="F34" s="26">
        <v>16227</v>
      </c>
      <c r="G34" s="26">
        <v>334</v>
      </c>
      <c r="H34" s="26">
        <v>0</v>
      </c>
      <c r="I34" s="26">
        <v>0</v>
      </c>
      <c r="J34" s="26">
        <f t="shared" si="6"/>
        <v>17801</v>
      </c>
      <c r="K34" s="26">
        <f t="shared" si="7"/>
        <v>17801</v>
      </c>
    </row>
    <row r="35" spans="1:11" ht="12" customHeight="1">
      <c r="A35" s="99">
        <v>1985</v>
      </c>
      <c r="B35" s="24">
        <v>0</v>
      </c>
      <c r="C35" s="26">
        <v>0</v>
      </c>
      <c r="D35" s="26">
        <v>275</v>
      </c>
      <c r="E35" s="26">
        <v>2223</v>
      </c>
      <c r="F35" s="26">
        <v>1805</v>
      </c>
      <c r="G35" s="26">
        <v>166</v>
      </c>
      <c r="H35" s="26">
        <v>0</v>
      </c>
      <c r="I35" s="26">
        <v>0</v>
      </c>
      <c r="J35" s="26">
        <f t="shared" si="6"/>
        <v>4469</v>
      </c>
      <c r="K35" s="26">
        <f t="shared" si="7"/>
        <v>4469</v>
      </c>
    </row>
    <row r="36" spans="1:11" ht="12" customHeight="1">
      <c r="A36" s="99">
        <v>1987</v>
      </c>
      <c r="B36" s="24">
        <v>0</v>
      </c>
      <c r="C36" s="26">
        <v>4</v>
      </c>
      <c r="D36" s="26">
        <v>0</v>
      </c>
      <c r="E36" s="26">
        <v>8688</v>
      </c>
      <c r="F36" s="26">
        <v>3933</v>
      </c>
      <c r="G36" s="26">
        <v>0</v>
      </c>
      <c r="H36" s="26">
        <v>0</v>
      </c>
      <c r="I36" s="26">
        <v>0</v>
      </c>
      <c r="J36" s="26">
        <f t="shared" si="6"/>
        <v>12625</v>
      </c>
      <c r="K36" s="26">
        <f t="shared" si="7"/>
        <v>12625</v>
      </c>
    </row>
    <row r="37" spans="1:11" ht="12" customHeight="1">
      <c r="A37" s="99">
        <v>1989</v>
      </c>
      <c r="B37" s="24">
        <v>0</v>
      </c>
      <c r="C37" s="26">
        <v>0</v>
      </c>
      <c r="D37" s="26">
        <v>8</v>
      </c>
      <c r="E37" s="26">
        <v>4417</v>
      </c>
      <c r="F37" s="26">
        <v>1869</v>
      </c>
      <c r="G37" s="26">
        <v>754</v>
      </c>
      <c r="H37" s="26">
        <v>0</v>
      </c>
      <c r="I37" s="26">
        <v>0</v>
      </c>
      <c r="J37" s="26">
        <f t="shared" si="6"/>
        <v>7048</v>
      </c>
      <c r="K37" s="26">
        <f t="shared" si="7"/>
        <v>7048</v>
      </c>
    </row>
    <row r="38" spans="1:11" ht="12" customHeight="1">
      <c r="A38" s="99">
        <v>1991</v>
      </c>
      <c r="B38" s="24">
        <v>0</v>
      </c>
      <c r="C38" s="26">
        <v>0</v>
      </c>
      <c r="D38" s="26">
        <v>2</v>
      </c>
      <c r="E38" s="26">
        <v>999</v>
      </c>
      <c r="F38" s="26">
        <v>1643</v>
      </c>
      <c r="G38" s="26">
        <v>0</v>
      </c>
      <c r="H38" s="26">
        <v>0</v>
      </c>
      <c r="I38" s="26">
        <v>0</v>
      </c>
      <c r="J38" s="26">
        <f t="shared" si="6"/>
        <v>2644</v>
      </c>
      <c r="K38" s="26">
        <f t="shared" si="7"/>
        <v>2644</v>
      </c>
    </row>
    <row r="39" spans="1:11" ht="12" customHeight="1">
      <c r="A39" s="99">
        <v>1993</v>
      </c>
      <c r="B39" s="24">
        <v>0</v>
      </c>
      <c r="C39" s="26">
        <v>0</v>
      </c>
      <c r="D39" s="26">
        <v>0</v>
      </c>
      <c r="E39" s="26">
        <v>155</v>
      </c>
      <c r="F39" s="26">
        <v>1774</v>
      </c>
      <c r="G39" s="26">
        <v>747</v>
      </c>
      <c r="H39" s="26">
        <v>0</v>
      </c>
      <c r="I39" s="26">
        <v>0</v>
      </c>
      <c r="J39" s="26">
        <f t="shared" si="6"/>
        <v>2676</v>
      </c>
      <c r="K39" s="26">
        <f t="shared" si="7"/>
        <v>2676</v>
      </c>
    </row>
    <row r="40" spans="1:11" ht="12" customHeight="1">
      <c r="A40" s="99">
        <v>1995</v>
      </c>
      <c r="B40" s="24">
        <v>0</v>
      </c>
      <c r="C40" s="26">
        <v>0</v>
      </c>
      <c r="D40" s="26">
        <v>0</v>
      </c>
      <c r="E40" s="26">
        <v>0</v>
      </c>
      <c r="F40" s="26">
        <v>8589</v>
      </c>
      <c r="G40" s="26">
        <v>0</v>
      </c>
      <c r="H40" s="26">
        <v>0</v>
      </c>
      <c r="I40" s="26">
        <v>0</v>
      </c>
      <c r="J40" s="26">
        <f t="shared" si="6"/>
        <v>8589</v>
      </c>
      <c r="K40" s="26">
        <f t="shared" si="7"/>
        <v>8589</v>
      </c>
    </row>
    <row r="41" spans="1:11" ht="12" customHeight="1">
      <c r="A41" s="99">
        <v>1997</v>
      </c>
      <c r="B41" s="24">
        <v>0</v>
      </c>
      <c r="C41" s="26">
        <v>0</v>
      </c>
      <c r="D41" s="26">
        <v>0</v>
      </c>
      <c r="E41" s="26">
        <v>0</v>
      </c>
      <c r="F41" s="26">
        <v>1061</v>
      </c>
      <c r="G41" s="26">
        <v>43</v>
      </c>
      <c r="H41" s="26" t="s">
        <v>23</v>
      </c>
      <c r="I41" s="26">
        <v>0</v>
      </c>
      <c r="J41" s="26">
        <f t="shared" si="6"/>
        <v>1104</v>
      </c>
      <c r="K41" s="26">
        <f t="shared" si="7"/>
        <v>1104</v>
      </c>
    </row>
    <row r="42" spans="1:11" ht="12" customHeight="1">
      <c r="A42" s="99">
        <v>1999</v>
      </c>
      <c r="B42" s="24">
        <v>0</v>
      </c>
      <c r="C42" s="26">
        <v>0</v>
      </c>
      <c r="D42" s="26">
        <v>0</v>
      </c>
      <c r="E42" s="26">
        <v>0</v>
      </c>
      <c r="F42" s="26">
        <v>984</v>
      </c>
      <c r="G42" s="26">
        <v>104</v>
      </c>
      <c r="H42" s="26" t="s">
        <v>23</v>
      </c>
      <c r="I42" s="26">
        <v>0</v>
      </c>
      <c r="J42" s="26">
        <f t="shared" si="6"/>
        <v>1088</v>
      </c>
      <c r="K42" s="26">
        <f t="shared" si="7"/>
        <v>1088</v>
      </c>
    </row>
    <row r="43" spans="1:11" ht="12" customHeight="1">
      <c r="A43" s="99">
        <v>2001</v>
      </c>
      <c r="B43" s="24">
        <v>0</v>
      </c>
      <c r="C43" s="26">
        <v>11</v>
      </c>
      <c r="D43" s="26">
        <v>0</v>
      </c>
      <c r="E43" s="26">
        <v>192</v>
      </c>
      <c r="F43" s="26">
        <v>1203</v>
      </c>
      <c r="G43" s="26">
        <v>192</v>
      </c>
      <c r="H43" s="26" t="s">
        <v>23</v>
      </c>
      <c r="I43" s="26">
        <v>0</v>
      </c>
      <c r="J43" s="26">
        <f t="shared" si="6"/>
        <v>1598</v>
      </c>
      <c r="K43" s="26">
        <f t="shared" si="7"/>
        <v>1598</v>
      </c>
    </row>
    <row r="44" spans="1:11" ht="12" customHeight="1">
      <c r="A44" s="99">
        <v>2003</v>
      </c>
      <c r="B44" s="24">
        <v>0</v>
      </c>
      <c r="C44" s="26">
        <v>0</v>
      </c>
      <c r="D44" s="26">
        <v>0</v>
      </c>
      <c r="E44" s="26">
        <v>172</v>
      </c>
      <c r="F44" s="26">
        <v>41</v>
      </c>
      <c r="G44" s="26">
        <v>23</v>
      </c>
      <c r="H44" s="26" t="s">
        <v>23</v>
      </c>
      <c r="I44" s="26">
        <v>0</v>
      </c>
      <c r="J44" s="26">
        <f t="shared" si="6"/>
        <v>236</v>
      </c>
      <c r="K44" s="26">
        <f t="shared" si="7"/>
        <v>236</v>
      </c>
    </row>
    <row r="45" spans="1:11" ht="12" customHeight="1">
      <c r="A45" s="99">
        <v>2005</v>
      </c>
      <c r="B45" s="24">
        <v>0</v>
      </c>
      <c r="C45" s="79">
        <v>0</v>
      </c>
      <c r="D45" s="79">
        <v>0</v>
      </c>
      <c r="E45" s="79">
        <v>32</v>
      </c>
      <c r="F45" s="79">
        <v>103</v>
      </c>
      <c r="G45" s="79">
        <v>3</v>
      </c>
      <c r="H45" s="26" t="s">
        <v>23</v>
      </c>
      <c r="I45" s="79">
        <v>0</v>
      </c>
      <c r="J45" s="79">
        <f t="shared" si="6"/>
        <v>138</v>
      </c>
      <c r="K45" s="79">
        <f t="shared" si="7"/>
        <v>138</v>
      </c>
    </row>
    <row r="46" spans="1:11" ht="12" customHeight="1">
      <c r="A46" s="99">
        <v>2007</v>
      </c>
      <c r="B46" s="24">
        <v>0</v>
      </c>
      <c r="C46" s="79">
        <v>0</v>
      </c>
      <c r="D46" s="79">
        <v>7</v>
      </c>
      <c r="E46" s="79">
        <v>244</v>
      </c>
      <c r="F46" s="79">
        <v>96</v>
      </c>
      <c r="G46" s="79">
        <v>0</v>
      </c>
      <c r="H46" s="79" t="s">
        <v>23</v>
      </c>
      <c r="I46" s="79">
        <v>0</v>
      </c>
      <c r="J46" s="79">
        <f t="shared" si="6"/>
        <v>347</v>
      </c>
      <c r="K46" s="79">
        <f t="shared" si="7"/>
        <v>347</v>
      </c>
    </row>
    <row r="47" spans="1:11" ht="12" customHeight="1">
      <c r="A47" s="99">
        <v>2009</v>
      </c>
      <c r="B47" s="24">
        <v>0</v>
      </c>
      <c r="C47" s="79">
        <v>0</v>
      </c>
      <c r="D47" s="79">
        <v>0</v>
      </c>
      <c r="E47" s="79">
        <v>237</v>
      </c>
      <c r="F47" s="79">
        <v>145</v>
      </c>
      <c r="G47" s="79">
        <v>0</v>
      </c>
      <c r="H47" s="79" t="s">
        <v>23</v>
      </c>
      <c r="I47" s="79">
        <v>0</v>
      </c>
      <c r="J47" s="79">
        <f t="shared" si="6"/>
        <v>382</v>
      </c>
      <c r="K47" s="79">
        <f t="shared" si="7"/>
        <v>382</v>
      </c>
    </row>
    <row r="48" spans="1:11" ht="12" customHeight="1">
      <c r="A48" s="99">
        <v>2011</v>
      </c>
      <c r="B48" s="24">
        <v>0</v>
      </c>
      <c r="C48" s="79">
        <v>0</v>
      </c>
      <c r="D48" s="79">
        <v>3</v>
      </c>
      <c r="E48" s="79">
        <v>659</v>
      </c>
      <c r="F48" s="79">
        <v>310</v>
      </c>
      <c r="G48" s="79">
        <v>16</v>
      </c>
      <c r="H48" s="79" t="s">
        <v>23</v>
      </c>
      <c r="I48" s="79">
        <v>0</v>
      </c>
      <c r="J48" s="79">
        <f t="shared" si="6"/>
        <v>988</v>
      </c>
      <c r="K48" s="79">
        <f t="shared" si="7"/>
        <v>988</v>
      </c>
    </row>
    <row r="49" spans="1:12" ht="12" customHeight="1">
      <c r="A49" s="99">
        <v>2013</v>
      </c>
      <c r="B49" s="24">
        <v>0</v>
      </c>
      <c r="C49" s="79">
        <v>0</v>
      </c>
      <c r="D49" s="79">
        <v>0</v>
      </c>
      <c r="E49" s="79">
        <v>49</v>
      </c>
      <c r="F49" s="79">
        <v>115</v>
      </c>
      <c r="G49" s="79">
        <v>0</v>
      </c>
      <c r="H49" s="79" t="s">
        <v>23</v>
      </c>
      <c r="I49" s="79">
        <v>0</v>
      </c>
      <c r="J49" s="79">
        <f t="shared" si="6"/>
        <v>164</v>
      </c>
      <c r="K49" s="79">
        <f t="shared" si="7"/>
        <v>164</v>
      </c>
    </row>
    <row r="50" spans="1:12" ht="12" customHeight="1">
      <c r="A50" s="99">
        <v>2015</v>
      </c>
      <c r="B50" s="24">
        <v>0</v>
      </c>
      <c r="C50" s="79">
        <v>0</v>
      </c>
      <c r="D50" s="79">
        <v>4</v>
      </c>
      <c r="E50" s="79">
        <v>0</v>
      </c>
      <c r="F50" s="79">
        <v>16</v>
      </c>
      <c r="G50" s="79">
        <v>0</v>
      </c>
      <c r="H50" s="79" t="s">
        <v>23</v>
      </c>
      <c r="I50" s="79">
        <v>0</v>
      </c>
      <c r="J50" s="79">
        <f t="shared" si="6"/>
        <v>20</v>
      </c>
      <c r="K50" s="79">
        <f t="shared" si="7"/>
        <v>20</v>
      </c>
    </row>
    <row r="51" spans="1:12" ht="12" customHeight="1">
      <c r="A51" s="99">
        <v>2017</v>
      </c>
      <c r="B51" s="24">
        <v>0</v>
      </c>
      <c r="C51" s="79">
        <v>0</v>
      </c>
      <c r="D51" s="79">
        <v>0</v>
      </c>
      <c r="E51" s="79">
        <v>60</v>
      </c>
      <c r="F51" s="79">
        <v>133</v>
      </c>
      <c r="G51" s="79">
        <v>0</v>
      </c>
      <c r="H51" s="79" t="s">
        <v>23</v>
      </c>
      <c r="I51" s="79">
        <v>0</v>
      </c>
      <c r="J51" s="79">
        <f t="shared" si="6"/>
        <v>193</v>
      </c>
      <c r="K51" s="79">
        <f t="shared" si="7"/>
        <v>193</v>
      </c>
    </row>
    <row r="52" spans="1:12" ht="12" customHeight="1">
      <c r="A52" s="99">
        <v>2019</v>
      </c>
      <c r="B52" s="24">
        <v>0</v>
      </c>
      <c r="C52" s="79">
        <v>0</v>
      </c>
      <c r="D52" s="79">
        <v>0</v>
      </c>
      <c r="E52" s="79">
        <v>243</v>
      </c>
      <c r="F52" s="79">
        <v>270</v>
      </c>
      <c r="G52" s="79">
        <v>0</v>
      </c>
      <c r="H52" s="79" t="s">
        <v>23</v>
      </c>
      <c r="I52" s="79">
        <v>0</v>
      </c>
      <c r="J52" s="79">
        <f>SUM(C52:G52)</f>
        <v>513</v>
      </c>
      <c r="K52" s="79">
        <f>SUM(B52:I52)</f>
        <v>513</v>
      </c>
    </row>
    <row r="53" spans="1:12" ht="13">
      <c r="A53" s="99" t="s">
        <v>317</v>
      </c>
      <c r="B53" s="24">
        <v>0</v>
      </c>
      <c r="C53" s="79">
        <v>0</v>
      </c>
      <c r="D53" s="79">
        <v>0</v>
      </c>
      <c r="E53" s="79">
        <v>8</v>
      </c>
      <c r="F53" s="79">
        <v>31</v>
      </c>
      <c r="G53" s="79">
        <v>0</v>
      </c>
      <c r="H53" s="79" t="s">
        <v>23</v>
      </c>
      <c r="I53" s="79">
        <v>0</v>
      </c>
      <c r="J53" s="79">
        <f>SUM(C53:G53)</f>
        <v>39</v>
      </c>
      <c r="K53" s="79">
        <f>SUM(B53:I53)</f>
        <v>39</v>
      </c>
    </row>
    <row r="54" spans="1:12">
      <c r="C54" s="79"/>
      <c r="D54" s="79"/>
      <c r="E54" s="79"/>
      <c r="F54" s="79"/>
      <c r="G54" s="79"/>
      <c r="H54" s="26"/>
      <c r="I54" s="79"/>
      <c r="J54" s="79"/>
      <c r="K54" s="79"/>
    </row>
    <row r="55" spans="1:12">
      <c r="C55" s="26"/>
      <c r="D55" s="26"/>
      <c r="E55" s="26"/>
      <c r="F55" s="26"/>
      <c r="G55" s="26"/>
      <c r="H55" s="26"/>
      <c r="I55" s="26"/>
      <c r="J55" s="26"/>
      <c r="K55" s="26"/>
    </row>
    <row r="56" spans="1:12" ht="12" customHeight="1">
      <c r="A56" s="94" t="s">
        <v>60</v>
      </c>
      <c r="B56" s="21"/>
      <c r="C56" s="26"/>
      <c r="D56" s="26"/>
      <c r="E56" s="26"/>
      <c r="F56" s="26"/>
      <c r="G56" s="26"/>
      <c r="H56" s="26"/>
      <c r="I56" s="26"/>
      <c r="J56" s="26"/>
      <c r="K56" s="26"/>
    </row>
    <row r="57" spans="1:12" ht="12" customHeight="1">
      <c r="A57" s="99">
        <v>1977</v>
      </c>
      <c r="B57" s="24">
        <v>0</v>
      </c>
      <c r="C57" s="26">
        <v>10</v>
      </c>
      <c r="D57" s="26">
        <v>1431</v>
      </c>
      <c r="E57" s="26">
        <v>160</v>
      </c>
      <c r="F57" s="26">
        <v>302</v>
      </c>
      <c r="G57" s="26">
        <v>0</v>
      </c>
      <c r="H57" s="26">
        <v>0</v>
      </c>
      <c r="I57" s="26">
        <v>0</v>
      </c>
      <c r="J57" s="26">
        <f t="shared" ref="J57:J76" si="8">SUM(C57:G57)</f>
        <v>1903</v>
      </c>
      <c r="K57" s="26">
        <f t="shared" ref="K57:K76" si="9">SUM(B57:I57)</f>
        <v>1903</v>
      </c>
    </row>
    <row r="58" spans="1:12" ht="12" customHeight="1">
      <c r="A58" s="99">
        <v>1979</v>
      </c>
      <c r="B58" s="24">
        <v>0</v>
      </c>
      <c r="C58" s="26">
        <v>0</v>
      </c>
      <c r="D58" s="26">
        <v>953</v>
      </c>
      <c r="E58" s="26">
        <v>357</v>
      </c>
      <c r="F58" s="26">
        <v>1762</v>
      </c>
      <c r="G58" s="26">
        <v>0</v>
      </c>
      <c r="H58" s="26">
        <v>0</v>
      </c>
      <c r="I58" s="26">
        <v>0</v>
      </c>
      <c r="J58" s="26">
        <f t="shared" si="8"/>
        <v>3072</v>
      </c>
      <c r="K58" s="26">
        <f t="shared" si="9"/>
        <v>3072</v>
      </c>
    </row>
    <row r="59" spans="1:12" ht="12" customHeight="1">
      <c r="A59" s="99">
        <v>1981</v>
      </c>
      <c r="B59" s="24">
        <v>0</v>
      </c>
      <c r="C59" s="26">
        <v>22</v>
      </c>
      <c r="D59" s="26">
        <v>183</v>
      </c>
      <c r="E59" s="26">
        <v>494</v>
      </c>
      <c r="F59" s="26">
        <v>311</v>
      </c>
      <c r="G59" s="26">
        <v>28</v>
      </c>
      <c r="H59" s="26">
        <v>0</v>
      </c>
      <c r="I59" s="26">
        <v>0</v>
      </c>
      <c r="J59" s="26">
        <f t="shared" si="8"/>
        <v>1038</v>
      </c>
      <c r="K59" s="26">
        <f t="shared" si="9"/>
        <v>1038</v>
      </c>
    </row>
    <row r="60" spans="1:12" ht="12" customHeight="1">
      <c r="A60" s="99">
        <v>1983</v>
      </c>
      <c r="B60" s="24">
        <v>0</v>
      </c>
      <c r="C60" s="26">
        <v>0</v>
      </c>
      <c r="D60" s="26">
        <v>27</v>
      </c>
      <c r="E60" s="26">
        <v>69</v>
      </c>
      <c r="F60" s="26">
        <v>469</v>
      </c>
      <c r="G60" s="26">
        <v>0</v>
      </c>
      <c r="H60" s="26" t="s">
        <v>23</v>
      </c>
      <c r="I60" s="26" t="s">
        <v>23</v>
      </c>
      <c r="J60" s="26">
        <f t="shared" si="8"/>
        <v>565</v>
      </c>
      <c r="K60" s="26">
        <f t="shared" si="9"/>
        <v>565</v>
      </c>
    </row>
    <row r="61" spans="1:12" ht="12" customHeight="1">
      <c r="A61" s="99">
        <v>1985</v>
      </c>
      <c r="B61" s="24">
        <v>0</v>
      </c>
      <c r="C61" s="26">
        <v>0</v>
      </c>
      <c r="D61" s="26">
        <v>90</v>
      </c>
      <c r="E61" s="26">
        <v>1398</v>
      </c>
      <c r="F61" s="26">
        <v>474</v>
      </c>
      <c r="G61" s="26">
        <v>7</v>
      </c>
      <c r="H61" s="26" t="s">
        <v>23</v>
      </c>
      <c r="I61" s="26" t="s">
        <v>23</v>
      </c>
      <c r="J61" s="26">
        <f t="shared" si="8"/>
        <v>1969</v>
      </c>
      <c r="K61" s="26">
        <f t="shared" si="9"/>
        <v>1969</v>
      </c>
    </row>
    <row r="62" spans="1:12" ht="12" customHeight="1">
      <c r="A62" s="99">
        <v>1987</v>
      </c>
      <c r="B62" s="24">
        <v>0</v>
      </c>
      <c r="C62" s="26">
        <v>0</v>
      </c>
      <c r="D62" s="26">
        <v>0</v>
      </c>
      <c r="E62" s="26">
        <v>1025</v>
      </c>
      <c r="F62" s="26">
        <v>1226</v>
      </c>
      <c r="G62" s="26">
        <v>0</v>
      </c>
      <c r="H62" s="26" t="s">
        <v>23</v>
      </c>
      <c r="I62" s="26" t="s">
        <v>23</v>
      </c>
      <c r="J62" s="26">
        <f t="shared" si="8"/>
        <v>2251</v>
      </c>
      <c r="K62" s="26">
        <f t="shared" si="9"/>
        <v>2251</v>
      </c>
    </row>
    <row r="63" spans="1:12" ht="12" customHeight="1">
      <c r="A63" s="99">
        <v>1989</v>
      </c>
      <c r="B63" s="24">
        <v>0</v>
      </c>
      <c r="C63" s="26">
        <v>6</v>
      </c>
      <c r="D63" s="26">
        <v>12</v>
      </c>
      <c r="E63" s="26">
        <v>225</v>
      </c>
      <c r="F63" s="26">
        <v>107</v>
      </c>
      <c r="G63" s="26">
        <v>129</v>
      </c>
      <c r="H63" s="26" t="s">
        <v>23</v>
      </c>
      <c r="I63" s="26" t="s">
        <v>23</v>
      </c>
      <c r="J63" s="26">
        <f t="shared" si="8"/>
        <v>479</v>
      </c>
      <c r="K63" s="26">
        <f t="shared" si="9"/>
        <v>479</v>
      </c>
    </row>
    <row r="64" spans="1:12" ht="12" customHeight="1">
      <c r="A64" s="99">
        <v>1991</v>
      </c>
      <c r="B64" s="24">
        <v>0</v>
      </c>
      <c r="C64" s="26">
        <v>0</v>
      </c>
      <c r="D64" s="26">
        <v>0</v>
      </c>
      <c r="E64" s="26">
        <v>75</v>
      </c>
      <c r="F64" s="26">
        <v>449</v>
      </c>
      <c r="G64" s="26">
        <v>0</v>
      </c>
      <c r="H64" s="26" t="s">
        <v>23</v>
      </c>
      <c r="I64" s="26" t="s">
        <v>23</v>
      </c>
      <c r="J64" s="26">
        <f t="shared" si="8"/>
        <v>524</v>
      </c>
      <c r="K64" s="26">
        <f t="shared" si="9"/>
        <v>524</v>
      </c>
      <c r="L64" s="23"/>
    </row>
    <row r="65" spans="1:12" ht="12" customHeight="1">
      <c r="A65" s="99">
        <v>1993</v>
      </c>
      <c r="B65" s="24">
        <v>0</v>
      </c>
      <c r="C65" s="26">
        <v>0</v>
      </c>
      <c r="D65" s="26">
        <v>0</v>
      </c>
      <c r="E65" s="26">
        <v>120</v>
      </c>
      <c r="F65" s="26">
        <v>351</v>
      </c>
      <c r="G65" s="26">
        <v>31</v>
      </c>
      <c r="H65" s="26" t="s">
        <v>23</v>
      </c>
      <c r="I65" s="26" t="s">
        <v>23</v>
      </c>
      <c r="J65" s="26">
        <f t="shared" si="8"/>
        <v>502</v>
      </c>
      <c r="K65" s="26">
        <f t="shared" si="9"/>
        <v>502</v>
      </c>
      <c r="L65" s="23"/>
    </row>
    <row r="66" spans="1:12" ht="12" customHeight="1">
      <c r="A66" s="99">
        <v>1995</v>
      </c>
      <c r="B66" s="24">
        <v>0</v>
      </c>
      <c r="C66" s="26">
        <v>0</v>
      </c>
      <c r="D66" s="26">
        <v>0</v>
      </c>
      <c r="E66" s="26">
        <v>0</v>
      </c>
      <c r="F66" s="26">
        <v>32</v>
      </c>
      <c r="G66" s="26">
        <v>0</v>
      </c>
      <c r="H66" s="26" t="s">
        <v>23</v>
      </c>
      <c r="I66" s="26" t="s">
        <v>23</v>
      </c>
      <c r="J66" s="26">
        <f t="shared" si="8"/>
        <v>32</v>
      </c>
      <c r="K66" s="26">
        <f t="shared" si="9"/>
        <v>32</v>
      </c>
      <c r="L66" s="23"/>
    </row>
    <row r="67" spans="1:12" ht="12" customHeight="1">
      <c r="A67" s="99">
        <v>1997</v>
      </c>
      <c r="B67" s="24">
        <v>0</v>
      </c>
      <c r="C67" s="26">
        <v>0</v>
      </c>
      <c r="D67" s="26">
        <v>0</v>
      </c>
      <c r="E67" s="26">
        <v>0</v>
      </c>
      <c r="F67" s="26">
        <v>0</v>
      </c>
      <c r="G67" s="26">
        <v>0</v>
      </c>
      <c r="H67" s="26" t="s">
        <v>23</v>
      </c>
      <c r="I67" s="26" t="s">
        <v>23</v>
      </c>
      <c r="J67" s="26">
        <f t="shared" si="8"/>
        <v>0</v>
      </c>
      <c r="K67" s="26">
        <f t="shared" si="9"/>
        <v>0</v>
      </c>
      <c r="L67" s="23"/>
    </row>
    <row r="68" spans="1:12" ht="12" customHeight="1">
      <c r="A68" s="99">
        <v>1999</v>
      </c>
      <c r="B68" s="24">
        <v>0</v>
      </c>
      <c r="C68" s="26">
        <v>0</v>
      </c>
      <c r="D68" s="26">
        <v>0</v>
      </c>
      <c r="E68" s="26">
        <v>0</v>
      </c>
      <c r="F68" s="26">
        <v>0</v>
      </c>
      <c r="G68" s="26">
        <v>0</v>
      </c>
      <c r="H68" s="26" t="s">
        <v>23</v>
      </c>
      <c r="I68" s="26" t="s">
        <v>23</v>
      </c>
      <c r="J68" s="26">
        <f t="shared" si="8"/>
        <v>0</v>
      </c>
      <c r="K68" s="26">
        <f t="shared" si="9"/>
        <v>0</v>
      </c>
      <c r="L68" s="23"/>
    </row>
    <row r="69" spans="1:12" ht="12" customHeight="1">
      <c r="A69" s="99">
        <v>2001</v>
      </c>
      <c r="B69" s="24">
        <v>0</v>
      </c>
      <c r="C69" s="26">
        <v>0</v>
      </c>
      <c r="D69" s="26">
        <v>0</v>
      </c>
      <c r="E69" s="26">
        <v>0</v>
      </c>
      <c r="F69" s="26">
        <v>0</v>
      </c>
      <c r="G69" s="26">
        <v>0</v>
      </c>
      <c r="H69" s="26" t="s">
        <v>23</v>
      </c>
      <c r="I69" s="26" t="s">
        <v>23</v>
      </c>
      <c r="J69" s="26">
        <f t="shared" si="8"/>
        <v>0</v>
      </c>
      <c r="K69" s="26">
        <f t="shared" si="9"/>
        <v>0</v>
      </c>
      <c r="L69" s="23"/>
    </row>
    <row r="70" spans="1:12" ht="12" customHeight="1">
      <c r="A70" s="99">
        <v>2003</v>
      </c>
      <c r="B70" s="24">
        <v>0</v>
      </c>
      <c r="C70" s="26">
        <v>0</v>
      </c>
      <c r="D70" s="26">
        <v>0</v>
      </c>
      <c r="E70" s="26">
        <v>0</v>
      </c>
      <c r="F70" s="26">
        <v>0</v>
      </c>
      <c r="G70" s="26">
        <v>0</v>
      </c>
      <c r="H70" s="26">
        <v>0</v>
      </c>
      <c r="I70" s="26" t="s">
        <v>23</v>
      </c>
      <c r="J70" s="26">
        <f t="shared" si="8"/>
        <v>0</v>
      </c>
      <c r="K70" s="26">
        <f t="shared" si="9"/>
        <v>0</v>
      </c>
      <c r="L70" s="23"/>
    </row>
    <row r="71" spans="1:12" ht="12" customHeight="1">
      <c r="A71" s="99">
        <v>2005</v>
      </c>
      <c r="B71" s="24">
        <v>0</v>
      </c>
      <c r="C71" s="79">
        <v>0</v>
      </c>
      <c r="D71" s="79">
        <v>0</v>
      </c>
      <c r="E71" s="79">
        <v>0</v>
      </c>
      <c r="F71" s="79">
        <v>1</v>
      </c>
      <c r="G71" s="79">
        <v>0</v>
      </c>
      <c r="H71" s="79">
        <v>0</v>
      </c>
      <c r="I71" s="26" t="s">
        <v>23</v>
      </c>
      <c r="J71" s="79">
        <f t="shared" si="8"/>
        <v>1</v>
      </c>
      <c r="K71" s="79">
        <f t="shared" si="9"/>
        <v>1</v>
      </c>
      <c r="L71" s="23"/>
    </row>
    <row r="72" spans="1:12" ht="12" customHeight="1">
      <c r="A72" s="99">
        <v>2007</v>
      </c>
      <c r="B72" s="24">
        <v>0</v>
      </c>
      <c r="C72" s="79">
        <v>0</v>
      </c>
      <c r="D72" s="79">
        <v>0</v>
      </c>
      <c r="E72" s="79">
        <v>0</v>
      </c>
      <c r="F72" s="79">
        <v>14</v>
      </c>
      <c r="G72" s="79">
        <v>0</v>
      </c>
      <c r="H72" s="79">
        <v>0</v>
      </c>
      <c r="I72" s="79" t="s">
        <v>23</v>
      </c>
      <c r="J72" s="79">
        <f t="shared" si="8"/>
        <v>14</v>
      </c>
      <c r="K72" s="79">
        <f t="shared" si="9"/>
        <v>14</v>
      </c>
      <c r="L72" s="23"/>
    </row>
    <row r="73" spans="1:12" ht="12" customHeight="1">
      <c r="A73" s="99">
        <v>2009</v>
      </c>
      <c r="B73" s="24">
        <v>0</v>
      </c>
      <c r="C73" s="79">
        <v>0</v>
      </c>
      <c r="D73" s="79">
        <v>0</v>
      </c>
      <c r="E73" s="79">
        <v>1</v>
      </c>
      <c r="F73" s="79">
        <v>4</v>
      </c>
      <c r="G73" s="79">
        <v>0</v>
      </c>
      <c r="H73" s="79">
        <v>0</v>
      </c>
      <c r="I73" s="79" t="s">
        <v>23</v>
      </c>
      <c r="J73" s="79">
        <f t="shared" si="8"/>
        <v>5</v>
      </c>
      <c r="K73" s="79">
        <f t="shared" si="9"/>
        <v>5</v>
      </c>
      <c r="L73" s="23"/>
    </row>
    <row r="74" spans="1:12" ht="12" customHeight="1">
      <c r="A74" s="99">
        <v>2011</v>
      </c>
      <c r="B74" s="24">
        <v>0</v>
      </c>
      <c r="C74" s="79">
        <v>0</v>
      </c>
      <c r="D74" s="79">
        <v>0</v>
      </c>
      <c r="E74" s="79">
        <v>0</v>
      </c>
      <c r="F74" s="79">
        <v>4</v>
      </c>
      <c r="G74" s="79">
        <v>0</v>
      </c>
      <c r="H74" s="79">
        <v>0</v>
      </c>
      <c r="I74" s="79" t="s">
        <v>23</v>
      </c>
      <c r="J74" s="79">
        <f t="shared" si="8"/>
        <v>4</v>
      </c>
      <c r="K74" s="79">
        <f t="shared" si="9"/>
        <v>4</v>
      </c>
      <c r="L74" s="23"/>
    </row>
    <row r="75" spans="1:12" ht="12" customHeight="1">
      <c r="A75" s="99">
        <v>2013</v>
      </c>
      <c r="B75" s="24">
        <v>0</v>
      </c>
      <c r="C75" s="79">
        <v>0</v>
      </c>
      <c r="D75" s="79">
        <v>0</v>
      </c>
      <c r="E75" s="79">
        <v>1</v>
      </c>
      <c r="F75" s="79">
        <v>5</v>
      </c>
      <c r="G75" s="79">
        <v>0</v>
      </c>
      <c r="H75" s="79">
        <v>0</v>
      </c>
      <c r="I75" s="79" t="s">
        <v>23</v>
      </c>
      <c r="J75" s="79">
        <f t="shared" si="8"/>
        <v>6</v>
      </c>
      <c r="K75" s="79">
        <f t="shared" si="9"/>
        <v>6</v>
      </c>
      <c r="L75" s="23"/>
    </row>
    <row r="76" spans="1:12" ht="12" customHeight="1">
      <c r="A76" s="99">
        <v>2015</v>
      </c>
      <c r="B76" s="24">
        <v>0</v>
      </c>
      <c r="C76" s="79">
        <v>0</v>
      </c>
      <c r="D76" s="79">
        <v>0</v>
      </c>
      <c r="E76" s="79">
        <v>98</v>
      </c>
      <c r="F76" s="79">
        <v>0</v>
      </c>
      <c r="G76" s="79">
        <v>0</v>
      </c>
      <c r="H76" s="79">
        <v>0</v>
      </c>
      <c r="I76" s="79" t="s">
        <v>23</v>
      </c>
      <c r="J76" s="79">
        <f t="shared" si="8"/>
        <v>98</v>
      </c>
      <c r="K76" s="79">
        <f t="shared" si="9"/>
        <v>98</v>
      </c>
      <c r="L76" s="23"/>
    </row>
    <row r="77" spans="1:12" ht="12" customHeight="1">
      <c r="A77" s="99">
        <v>2017</v>
      </c>
      <c r="B77" s="24">
        <v>0</v>
      </c>
      <c r="C77" s="79">
        <v>0</v>
      </c>
      <c r="D77" s="79">
        <v>0</v>
      </c>
      <c r="E77" s="79">
        <v>0</v>
      </c>
      <c r="F77" s="79">
        <v>0</v>
      </c>
      <c r="G77" s="79">
        <v>0</v>
      </c>
      <c r="H77" s="79">
        <v>0</v>
      </c>
      <c r="I77" s="79" t="s">
        <v>23</v>
      </c>
      <c r="J77" s="79">
        <f>SUM(C77:G77)</f>
        <v>0</v>
      </c>
      <c r="K77" s="79">
        <f>SUM(B77:I77)</f>
        <v>0</v>
      </c>
      <c r="L77" s="23"/>
    </row>
    <row r="78" spans="1:12" ht="12" customHeight="1">
      <c r="A78" s="99">
        <v>2019</v>
      </c>
      <c r="B78" s="24">
        <v>0</v>
      </c>
      <c r="C78" s="79">
        <v>0</v>
      </c>
      <c r="D78" s="79">
        <v>0</v>
      </c>
      <c r="E78" s="79">
        <v>0</v>
      </c>
      <c r="F78" s="79">
        <v>0</v>
      </c>
      <c r="G78" s="79">
        <v>0</v>
      </c>
      <c r="H78" s="79">
        <v>0</v>
      </c>
      <c r="I78" s="79" t="s">
        <v>23</v>
      </c>
      <c r="J78" s="79">
        <f t="shared" ref="J78" si="10">SUM(C78:G78)</f>
        <v>0</v>
      </c>
      <c r="K78" s="79">
        <f t="shared" ref="K78" si="11">SUM(B78:I78)</f>
        <v>0</v>
      </c>
      <c r="L78" s="23"/>
    </row>
    <row r="79" spans="1:12" ht="13">
      <c r="A79" s="99" t="s">
        <v>317</v>
      </c>
      <c r="B79" s="24">
        <v>0</v>
      </c>
      <c r="C79" s="79">
        <v>0</v>
      </c>
      <c r="D79" s="79">
        <v>0</v>
      </c>
      <c r="E79" s="79">
        <v>0</v>
      </c>
      <c r="F79" s="79">
        <v>0</v>
      </c>
      <c r="G79" s="79">
        <v>0</v>
      </c>
      <c r="H79" s="79">
        <v>0</v>
      </c>
      <c r="I79" s="79" t="s">
        <v>23</v>
      </c>
      <c r="J79" s="79">
        <f t="shared" ref="J79" si="12">SUM(C79:G79)</f>
        <v>0</v>
      </c>
      <c r="K79" s="79">
        <f t="shared" ref="K79" si="13">SUM(B79:I79)</f>
        <v>0</v>
      </c>
      <c r="L79" s="23"/>
    </row>
    <row r="80" spans="1:12">
      <c r="C80" s="79"/>
      <c r="D80" s="79"/>
      <c r="E80" s="79"/>
      <c r="F80" s="79"/>
      <c r="G80" s="79"/>
      <c r="H80" s="79"/>
      <c r="I80" s="79"/>
      <c r="J80" s="79"/>
      <c r="K80" s="79"/>
      <c r="L80" s="23"/>
    </row>
    <row r="81" spans="1:11" ht="12" customHeight="1">
      <c r="A81" s="94" t="s">
        <v>58</v>
      </c>
      <c r="B81" s="21"/>
      <c r="C81" s="26"/>
      <c r="D81" s="26"/>
      <c r="E81" s="26"/>
      <c r="F81" s="26"/>
      <c r="G81" s="26"/>
      <c r="H81" s="26"/>
      <c r="I81" s="26"/>
      <c r="J81" s="26"/>
      <c r="K81" s="26"/>
    </row>
    <row r="82" spans="1:11" ht="12" customHeight="1">
      <c r="A82" s="99">
        <v>1977</v>
      </c>
      <c r="B82" s="24">
        <v>0</v>
      </c>
      <c r="C82" s="26">
        <v>0</v>
      </c>
      <c r="D82" s="26">
        <v>0</v>
      </c>
      <c r="E82" s="26">
        <v>0</v>
      </c>
      <c r="F82" s="26">
        <v>0</v>
      </c>
      <c r="G82" s="26">
        <v>0</v>
      </c>
      <c r="H82" s="26">
        <v>0</v>
      </c>
      <c r="I82" s="26">
        <v>0</v>
      </c>
      <c r="J82" s="26">
        <f t="shared" ref="J82:J103" si="14">SUM(C82:G82)</f>
        <v>0</v>
      </c>
      <c r="K82" s="26">
        <f t="shared" ref="K82:K103" si="15">SUM(B82:I82)</f>
        <v>0</v>
      </c>
    </row>
    <row r="83" spans="1:11" ht="12" customHeight="1">
      <c r="A83" s="99">
        <v>1979</v>
      </c>
      <c r="B83" s="24">
        <v>0</v>
      </c>
      <c r="C83" s="26">
        <v>0</v>
      </c>
      <c r="D83" s="26">
        <v>0</v>
      </c>
      <c r="E83" s="26">
        <v>0</v>
      </c>
      <c r="F83" s="26">
        <v>0</v>
      </c>
      <c r="G83" s="26">
        <v>0</v>
      </c>
      <c r="H83" s="26">
        <v>0</v>
      </c>
      <c r="I83" s="26">
        <v>0</v>
      </c>
      <c r="J83" s="26">
        <f t="shared" si="14"/>
        <v>0</v>
      </c>
      <c r="K83" s="26">
        <f t="shared" si="15"/>
        <v>0</v>
      </c>
    </row>
    <row r="84" spans="1:11" ht="12" customHeight="1">
      <c r="A84" s="99">
        <v>1981</v>
      </c>
      <c r="B84" s="24">
        <v>0</v>
      </c>
      <c r="C84" s="26">
        <v>0</v>
      </c>
      <c r="D84" s="26">
        <v>25</v>
      </c>
      <c r="E84" s="26">
        <v>25</v>
      </c>
      <c r="F84" s="26">
        <v>1</v>
      </c>
      <c r="G84" s="26">
        <v>0</v>
      </c>
      <c r="H84" s="26">
        <v>0</v>
      </c>
      <c r="I84" s="26">
        <v>0</v>
      </c>
      <c r="J84" s="26">
        <f t="shared" si="14"/>
        <v>51</v>
      </c>
      <c r="K84" s="26">
        <f t="shared" si="15"/>
        <v>51</v>
      </c>
    </row>
    <row r="85" spans="1:11" ht="12" customHeight="1">
      <c r="A85" s="99">
        <v>1983</v>
      </c>
      <c r="B85" s="24">
        <v>0</v>
      </c>
      <c r="C85" s="26">
        <v>0</v>
      </c>
      <c r="D85" s="26">
        <v>0</v>
      </c>
      <c r="E85" s="26">
        <v>0</v>
      </c>
      <c r="F85" s="26">
        <v>0</v>
      </c>
      <c r="G85" s="26">
        <v>0</v>
      </c>
      <c r="H85" s="26" t="s">
        <v>23</v>
      </c>
      <c r="I85" s="26" t="s">
        <v>23</v>
      </c>
      <c r="J85" s="26">
        <f t="shared" si="14"/>
        <v>0</v>
      </c>
      <c r="K85" s="26">
        <f t="shared" si="15"/>
        <v>0</v>
      </c>
    </row>
    <row r="86" spans="1:11" ht="12" customHeight="1">
      <c r="A86" s="99">
        <v>1985</v>
      </c>
      <c r="B86" s="24">
        <v>0</v>
      </c>
      <c r="C86" s="26">
        <v>4</v>
      </c>
      <c r="D86" s="26">
        <v>30</v>
      </c>
      <c r="E86" s="26">
        <v>294</v>
      </c>
      <c r="F86" s="26">
        <v>17</v>
      </c>
      <c r="G86" s="26">
        <v>0</v>
      </c>
      <c r="H86" s="26" t="s">
        <v>23</v>
      </c>
      <c r="I86" s="26" t="s">
        <v>23</v>
      </c>
      <c r="J86" s="26">
        <f t="shared" si="14"/>
        <v>345</v>
      </c>
      <c r="K86" s="26">
        <f t="shared" si="15"/>
        <v>345</v>
      </c>
    </row>
    <row r="87" spans="1:11" ht="12" customHeight="1">
      <c r="A87" s="99">
        <v>1987</v>
      </c>
      <c r="B87" s="24">
        <v>0</v>
      </c>
      <c r="C87" s="26">
        <v>0</v>
      </c>
      <c r="D87" s="26">
        <v>0</v>
      </c>
      <c r="E87" s="26">
        <v>816</v>
      </c>
      <c r="F87" s="26">
        <v>60</v>
      </c>
      <c r="G87" s="26">
        <v>0</v>
      </c>
      <c r="H87" s="26" t="s">
        <v>23</v>
      </c>
      <c r="I87" s="26" t="s">
        <v>23</v>
      </c>
      <c r="J87" s="26">
        <f t="shared" si="14"/>
        <v>876</v>
      </c>
      <c r="K87" s="26">
        <f t="shared" si="15"/>
        <v>876</v>
      </c>
    </row>
    <row r="88" spans="1:11" ht="12" customHeight="1">
      <c r="A88" s="99">
        <v>1989</v>
      </c>
      <c r="B88" s="24">
        <v>0</v>
      </c>
      <c r="C88" s="26">
        <v>0</v>
      </c>
      <c r="D88" s="26">
        <v>0</v>
      </c>
      <c r="E88" s="26">
        <v>22</v>
      </c>
      <c r="F88" s="26">
        <v>27</v>
      </c>
      <c r="G88" s="26">
        <v>16</v>
      </c>
      <c r="H88" s="26" t="s">
        <v>23</v>
      </c>
      <c r="I88" s="26" t="s">
        <v>23</v>
      </c>
      <c r="J88" s="26">
        <f t="shared" si="14"/>
        <v>65</v>
      </c>
      <c r="K88" s="26">
        <f t="shared" si="15"/>
        <v>65</v>
      </c>
    </row>
    <row r="89" spans="1:11" ht="12" customHeight="1">
      <c r="A89" s="99">
        <v>1991</v>
      </c>
      <c r="B89" s="24">
        <v>0</v>
      </c>
      <c r="C89" s="26">
        <v>0</v>
      </c>
      <c r="D89" s="26">
        <v>0</v>
      </c>
      <c r="E89" s="26">
        <v>0</v>
      </c>
      <c r="F89" s="26">
        <v>4</v>
      </c>
      <c r="G89" s="26">
        <v>0</v>
      </c>
      <c r="H89" s="26" t="s">
        <v>23</v>
      </c>
      <c r="I89" s="26" t="s">
        <v>23</v>
      </c>
      <c r="J89" s="26">
        <f t="shared" si="14"/>
        <v>4</v>
      </c>
      <c r="K89" s="26">
        <f t="shared" si="15"/>
        <v>4</v>
      </c>
    </row>
    <row r="90" spans="1:11" ht="12" customHeight="1">
      <c r="A90" s="99">
        <v>1993</v>
      </c>
      <c r="B90" s="24">
        <v>0</v>
      </c>
      <c r="C90" s="26">
        <v>0</v>
      </c>
      <c r="D90" s="26">
        <v>0</v>
      </c>
      <c r="E90" s="26">
        <v>20</v>
      </c>
      <c r="F90" s="26">
        <v>13</v>
      </c>
      <c r="G90" s="26">
        <v>0</v>
      </c>
      <c r="H90" s="26" t="s">
        <v>23</v>
      </c>
      <c r="I90" s="26" t="s">
        <v>23</v>
      </c>
      <c r="J90" s="26">
        <f t="shared" si="14"/>
        <v>33</v>
      </c>
      <c r="K90" s="26">
        <f t="shared" si="15"/>
        <v>33</v>
      </c>
    </row>
    <row r="91" spans="1:11" ht="12" customHeight="1">
      <c r="A91" s="99">
        <v>1995</v>
      </c>
      <c r="B91" s="24">
        <v>0</v>
      </c>
      <c r="C91" s="26">
        <v>0</v>
      </c>
      <c r="D91" s="26">
        <v>0</v>
      </c>
      <c r="E91" s="26">
        <v>0</v>
      </c>
      <c r="F91" s="26">
        <v>2</v>
      </c>
      <c r="G91" s="26">
        <v>0</v>
      </c>
      <c r="H91" s="26" t="s">
        <v>23</v>
      </c>
      <c r="I91" s="26" t="s">
        <v>23</v>
      </c>
      <c r="J91" s="26">
        <f t="shared" si="14"/>
        <v>2</v>
      </c>
      <c r="K91" s="26">
        <f t="shared" si="15"/>
        <v>2</v>
      </c>
    </row>
    <row r="92" spans="1:11" ht="12" customHeight="1">
      <c r="A92" s="99">
        <v>1997</v>
      </c>
      <c r="B92" s="24">
        <v>0</v>
      </c>
      <c r="C92" s="26">
        <v>0</v>
      </c>
      <c r="D92" s="26">
        <v>0</v>
      </c>
      <c r="E92" s="26">
        <v>0</v>
      </c>
      <c r="F92" s="26">
        <v>0</v>
      </c>
      <c r="G92" s="26">
        <v>0</v>
      </c>
      <c r="H92" s="26" t="s">
        <v>23</v>
      </c>
      <c r="I92" s="26" t="s">
        <v>23</v>
      </c>
      <c r="J92" s="26">
        <f t="shared" si="14"/>
        <v>0</v>
      </c>
      <c r="K92" s="26">
        <f t="shared" si="15"/>
        <v>0</v>
      </c>
    </row>
    <row r="93" spans="1:11" ht="12" customHeight="1">
      <c r="A93" s="99">
        <v>1999</v>
      </c>
      <c r="B93" s="24">
        <v>0</v>
      </c>
      <c r="C93" s="26">
        <v>0</v>
      </c>
      <c r="D93" s="26">
        <v>0</v>
      </c>
      <c r="E93" s="26">
        <v>0</v>
      </c>
      <c r="F93" s="26">
        <v>0</v>
      </c>
      <c r="G93" s="26">
        <v>0</v>
      </c>
      <c r="H93" s="26" t="s">
        <v>23</v>
      </c>
      <c r="I93" s="26" t="s">
        <v>23</v>
      </c>
      <c r="J93" s="26">
        <f t="shared" si="14"/>
        <v>0</v>
      </c>
      <c r="K93" s="26">
        <f t="shared" si="15"/>
        <v>0</v>
      </c>
    </row>
    <row r="94" spans="1:11" ht="12" customHeight="1">
      <c r="A94" s="99">
        <v>2001</v>
      </c>
      <c r="B94" s="24">
        <v>0</v>
      </c>
      <c r="C94" s="26">
        <v>0</v>
      </c>
      <c r="D94" s="26">
        <v>0</v>
      </c>
      <c r="E94" s="26">
        <v>0</v>
      </c>
      <c r="F94" s="26">
        <v>0</v>
      </c>
      <c r="G94" s="26">
        <v>0</v>
      </c>
      <c r="H94" s="26" t="s">
        <v>23</v>
      </c>
      <c r="I94" s="26" t="s">
        <v>23</v>
      </c>
      <c r="J94" s="26">
        <f t="shared" si="14"/>
        <v>0</v>
      </c>
      <c r="K94" s="26">
        <f t="shared" si="15"/>
        <v>0</v>
      </c>
    </row>
    <row r="95" spans="1:11" ht="12" customHeight="1">
      <c r="A95" s="99">
        <v>2003</v>
      </c>
      <c r="B95" s="24">
        <v>0</v>
      </c>
      <c r="C95" s="26">
        <v>0</v>
      </c>
      <c r="D95" s="26">
        <v>0</v>
      </c>
      <c r="E95" s="26">
        <v>0</v>
      </c>
      <c r="F95" s="26">
        <v>0</v>
      </c>
      <c r="G95" s="26">
        <v>0</v>
      </c>
      <c r="H95" s="26" t="s">
        <v>23</v>
      </c>
      <c r="I95" s="26" t="s">
        <v>23</v>
      </c>
      <c r="J95" s="26">
        <f t="shared" si="14"/>
        <v>0</v>
      </c>
      <c r="K95" s="26">
        <f t="shared" si="15"/>
        <v>0</v>
      </c>
    </row>
    <row r="96" spans="1:11" ht="12" customHeight="1">
      <c r="A96" s="99">
        <v>2005</v>
      </c>
      <c r="B96" s="24">
        <v>0</v>
      </c>
      <c r="C96" s="26">
        <v>0</v>
      </c>
      <c r="D96" s="26">
        <v>0</v>
      </c>
      <c r="E96" s="26">
        <v>0</v>
      </c>
      <c r="F96" s="26">
        <v>6</v>
      </c>
      <c r="G96" s="26">
        <v>0</v>
      </c>
      <c r="H96" s="26" t="s">
        <v>23</v>
      </c>
      <c r="I96" s="26" t="s">
        <v>23</v>
      </c>
      <c r="J96" s="26">
        <f t="shared" si="14"/>
        <v>6</v>
      </c>
      <c r="K96" s="26">
        <f t="shared" si="15"/>
        <v>6</v>
      </c>
    </row>
    <row r="97" spans="1:11" ht="12" customHeight="1">
      <c r="A97" s="99">
        <v>2007</v>
      </c>
      <c r="B97" s="24">
        <v>0</v>
      </c>
      <c r="C97" s="79">
        <v>0</v>
      </c>
      <c r="D97" s="79">
        <v>0</v>
      </c>
      <c r="E97" s="79">
        <v>0</v>
      </c>
      <c r="F97" s="79">
        <v>0</v>
      </c>
      <c r="G97" s="79">
        <v>0</v>
      </c>
      <c r="H97" s="79" t="s">
        <v>23</v>
      </c>
      <c r="I97" s="79" t="s">
        <v>23</v>
      </c>
      <c r="J97" s="79">
        <f t="shared" si="14"/>
        <v>0</v>
      </c>
      <c r="K97" s="79">
        <f t="shared" si="15"/>
        <v>0</v>
      </c>
    </row>
    <row r="98" spans="1:11" ht="12" customHeight="1">
      <c r="A98" s="99">
        <v>2009</v>
      </c>
      <c r="B98" s="24">
        <v>0</v>
      </c>
      <c r="C98" s="79">
        <v>0</v>
      </c>
      <c r="D98" s="79">
        <v>0</v>
      </c>
      <c r="E98" s="79">
        <v>4</v>
      </c>
      <c r="F98" s="79">
        <v>1</v>
      </c>
      <c r="G98" s="79">
        <v>0</v>
      </c>
      <c r="H98" s="79" t="s">
        <v>23</v>
      </c>
      <c r="I98" s="79" t="s">
        <v>23</v>
      </c>
      <c r="J98" s="79">
        <f t="shared" si="14"/>
        <v>5</v>
      </c>
      <c r="K98" s="79">
        <f t="shared" si="15"/>
        <v>5</v>
      </c>
    </row>
    <row r="99" spans="1:11" ht="12" customHeight="1">
      <c r="A99" s="99">
        <v>2011</v>
      </c>
      <c r="B99" s="24">
        <v>0</v>
      </c>
      <c r="C99" s="79">
        <v>0</v>
      </c>
      <c r="D99" s="79">
        <v>0</v>
      </c>
      <c r="E99" s="79">
        <v>4</v>
      </c>
      <c r="F99" s="79">
        <v>5</v>
      </c>
      <c r="G99" s="79">
        <v>0</v>
      </c>
      <c r="H99" s="79" t="s">
        <v>23</v>
      </c>
      <c r="I99" s="79" t="s">
        <v>23</v>
      </c>
      <c r="J99" s="79">
        <f t="shared" si="14"/>
        <v>9</v>
      </c>
      <c r="K99" s="79">
        <f t="shared" si="15"/>
        <v>9</v>
      </c>
    </row>
    <row r="100" spans="1:11" ht="12" customHeight="1">
      <c r="A100" s="99">
        <v>2013</v>
      </c>
      <c r="B100" s="24">
        <v>0</v>
      </c>
      <c r="C100" s="79">
        <v>0</v>
      </c>
      <c r="D100" s="79">
        <v>0</v>
      </c>
      <c r="E100" s="79">
        <v>0</v>
      </c>
      <c r="F100" s="79">
        <v>0</v>
      </c>
      <c r="G100" s="79">
        <v>0</v>
      </c>
      <c r="H100" s="79" t="s">
        <v>23</v>
      </c>
      <c r="I100" s="79" t="s">
        <v>23</v>
      </c>
      <c r="J100" s="79">
        <f t="shared" si="14"/>
        <v>0</v>
      </c>
      <c r="K100" s="79">
        <f t="shared" si="15"/>
        <v>0</v>
      </c>
    </row>
    <row r="101" spans="1:11" ht="12" customHeight="1">
      <c r="A101" s="99">
        <v>2015</v>
      </c>
      <c r="B101" s="24">
        <v>0</v>
      </c>
      <c r="C101" s="79">
        <v>0</v>
      </c>
      <c r="D101" s="79">
        <v>0</v>
      </c>
      <c r="E101" s="79">
        <v>0</v>
      </c>
      <c r="F101" s="79">
        <v>0</v>
      </c>
      <c r="G101" s="79">
        <v>0</v>
      </c>
      <c r="H101" s="79" t="s">
        <v>23</v>
      </c>
      <c r="I101" s="79" t="s">
        <v>23</v>
      </c>
      <c r="J101" s="79">
        <f t="shared" si="14"/>
        <v>0</v>
      </c>
      <c r="K101" s="79">
        <f t="shared" si="15"/>
        <v>0</v>
      </c>
    </row>
    <row r="102" spans="1:11" ht="12" customHeight="1">
      <c r="A102" s="99">
        <v>2017</v>
      </c>
      <c r="B102" s="24">
        <v>0</v>
      </c>
      <c r="C102" s="79">
        <v>0</v>
      </c>
      <c r="D102" s="79">
        <v>0</v>
      </c>
      <c r="E102" s="79">
        <v>0</v>
      </c>
      <c r="F102" s="79">
        <v>0</v>
      </c>
      <c r="G102" s="79">
        <v>0</v>
      </c>
      <c r="H102" s="79" t="s">
        <v>23</v>
      </c>
      <c r="I102" s="79" t="s">
        <v>23</v>
      </c>
      <c r="J102" s="79">
        <f>SUM(C102:G102)</f>
        <v>0</v>
      </c>
      <c r="K102" s="79">
        <f>SUM(B102:I102)</f>
        <v>0</v>
      </c>
    </row>
    <row r="103" spans="1:11" ht="12" customHeight="1">
      <c r="A103" s="99">
        <v>2019</v>
      </c>
      <c r="B103" s="24">
        <v>0</v>
      </c>
      <c r="C103" s="79">
        <v>0</v>
      </c>
      <c r="D103" s="79">
        <v>0</v>
      </c>
      <c r="E103" s="79">
        <v>0</v>
      </c>
      <c r="F103" s="79">
        <v>0</v>
      </c>
      <c r="G103" s="79">
        <v>0</v>
      </c>
      <c r="H103" s="79" t="s">
        <v>23</v>
      </c>
      <c r="I103" s="79" t="s">
        <v>23</v>
      </c>
      <c r="J103" s="79">
        <f t="shared" si="14"/>
        <v>0</v>
      </c>
      <c r="K103" s="79">
        <f t="shared" si="15"/>
        <v>0</v>
      </c>
    </row>
    <row r="104" spans="1:11" ht="13">
      <c r="A104" s="99" t="s">
        <v>317</v>
      </c>
      <c r="B104" s="24">
        <v>0</v>
      </c>
      <c r="C104" s="79">
        <v>0</v>
      </c>
      <c r="D104" s="79">
        <v>0</v>
      </c>
      <c r="E104" s="79">
        <v>0</v>
      </c>
      <c r="F104" s="79">
        <v>0</v>
      </c>
      <c r="G104" s="79">
        <v>0</v>
      </c>
      <c r="H104" s="79" t="s">
        <v>23</v>
      </c>
      <c r="I104" s="79" t="s">
        <v>23</v>
      </c>
      <c r="J104" s="79">
        <f t="shared" ref="J104" si="16">SUM(C104:G104)</f>
        <v>0</v>
      </c>
      <c r="K104" s="79">
        <f t="shared" ref="K104" si="17">SUM(B104:I104)</f>
        <v>0</v>
      </c>
    </row>
    <row r="105" spans="1:11">
      <c r="C105" s="22"/>
      <c r="D105" s="22"/>
      <c r="E105" s="22"/>
      <c r="F105" s="22"/>
      <c r="G105" s="22"/>
      <c r="H105" s="22"/>
      <c r="I105" s="22"/>
      <c r="J105" s="22"/>
      <c r="K105" s="22"/>
    </row>
    <row r="106" spans="1:11" ht="12" customHeight="1">
      <c r="A106" s="97" t="s">
        <v>35</v>
      </c>
      <c r="B106" s="21"/>
      <c r="C106" s="22"/>
      <c r="D106" s="22"/>
      <c r="E106" s="22"/>
      <c r="F106" s="22"/>
      <c r="G106" s="22"/>
      <c r="H106" s="22"/>
      <c r="I106" s="22"/>
      <c r="J106" s="22"/>
      <c r="K106" s="22"/>
    </row>
    <row r="107" spans="1:11" ht="12" customHeight="1">
      <c r="A107" s="99">
        <v>1977</v>
      </c>
      <c r="B107" s="24">
        <f t="shared" ref="B107:K107" si="18">IF(AND(B82="-",B57="-",B31="-",B5="-"),"-",SUM(B82,B57,B31,B5))</f>
        <v>0</v>
      </c>
      <c r="C107" s="24">
        <f t="shared" si="18"/>
        <v>98</v>
      </c>
      <c r="D107" s="24">
        <f t="shared" si="18"/>
        <v>1433</v>
      </c>
      <c r="E107" s="24">
        <f t="shared" si="18"/>
        <v>1269</v>
      </c>
      <c r="F107" s="24">
        <f t="shared" si="18"/>
        <v>2114</v>
      </c>
      <c r="G107" s="24">
        <f t="shared" si="18"/>
        <v>7</v>
      </c>
      <c r="H107" s="24">
        <f t="shared" si="18"/>
        <v>0</v>
      </c>
      <c r="I107" s="24">
        <f t="shared" si="18"/>
        <v>0</v>
      </c>
      <c r="J107" s="24">
        <f t="shared" si="18"/>
        <v>4921</v>
      </c>
      <c r="K107" s="24">
        <f t="shared" si="18"/>
        <v>4921</v>
      </c>
    </row>
    <row r="108" spans="1:11" ht="12" customHeight="1">
      <c r="A108" s="99">
        <v>1979</v>
      </c>
      <c r="B108" s="24">
        <f t="shared" ref="B108:K108" si="19">IF(AND(B83="-",B58="-",B32="-",B6="-"),"-",SUM(B83,B58,B32,B6))</f>
        <v>1</v>
      </c>
      <c r="C108" s="24">
        <f t="shared" si="19"/>
        <v>0</v>
      </c>
      <c r="D108" s="24">
        <f t="shared" si="19"/>
        <v>1666</v>
      </c>
      <c r="E108" s="24">
        <f t="shared" si="19"/>
        <v>836</v>
      </c>
      <c r="F108" s="24">
        <f t="shared" si="19"/>
        <v>3924</v>
      </c>
      <c r="G108" s="24">
        <f t="shared" si="19"/>
        <v>35</v>
      </c>
      <c r="H108" s="24">
        <f t="shared" si="19"/>
        <v>0</v>
      </c>
      <c r="I108" s="24">
        <f t="shared" si="19"/>
        <v>0</v>
      </c>
      <c r="J108" s="24">
        <f t="shared" si="19"/>
        <v>6461</v>
      </c>
      <c r="K108" s="24">
        <f t="shared" si="19"/>
        <v>6462</v>
      </c>
    </row>
    <row r="109" spans="1:11" ht="12" customHeight="1">
      <c r="A109" s="99">
        <v>1981</v>
      </c>
      <c r="B109" s="24">
        <f t="shared" ref="B109:K109" si="20">IF(AND(B84="-",B59="-",B33="-",B7="-"),"-",SUM(B84,B59,B33,B7))</f>
        <v>0</v>
      </c>
      <c r="C109" s="24">
        <f t="shared" si="20"/>
        <v>90</v>
      </c>
      <c r="D109" s="24">
        <f t="shared" si="20"/>
        <v>210</v>
      </c>
      <c r="E109" s="24">
        <f t="shared" si="20"/>
        <v>1155</v>
      </c>
      <c r="F109" s="24">
        <f t="shared" si="20"/>
        <v>3167</v>
      </c>
      <c r="G109" s="24">
        <f t="shared" si="20"/>
        <v>441</v>
      </c>
      <c r="H109" s="24">
        <f t="shared" si="20"/>
        <v>0</v>
      </c>
      <c r="I109" s="24">
        <f t="shared" si="20"/>
        <v>0</v>
      </c>
      <c r="J109" s="24">
        <f t="shared" si="20"/>
        <v>5063</v>
      </c>
      <c r="K109" s="24">
        <f t="shared" si="20"/>
        <v>5063</v>
      </c>
    </row>
    <row r="110" spans="1:11" ht="12" customHeight="1">
      <c r="A110" s="99">
        <v>1983</v>
      </c>
      <c r="B110" s="24">
        <f t="shared" ref="B110:K110" si="21">IF(AND(B85="-",B60="-",B34="-",B8="-"),"-",SUM(B85,B60,B34,B8))</f>
        <v>0</v>
      </c>
      <c r="C110" s="24">
        <f t="shared" si="21"/>
        <v>1</v>
      </c>
      <c r="D110" s="24">
        <f t="shared" si="21"/>
        <v>37</v>
      </c>
      <c r="E110" s="24">
        <f t="shared" si="21"/>
        <v>1537</v>
      </c>
      <c r="F110" s="24">
        <f t="shared" si="21"/>
        <v>17942</v>
      </c>
      <c r="G110" s="24">
        <f t="shared" si="21"/>
        <v>347</v>
      </c>
      <c r="H110" s="24">
        <f t="shared" si="21"/>
        <v>0</v>
      </c>
      <c r="I110" s="24">
        <f t="shared" si="21"/>
        <v>0</v>
      </c>
      <c r="J110" s="24">
        <f t="shared" si="21"/>
        <v>19864</v>
      </c>
      <c r="K110" s="24">
        <f t="shared" si="21"/>
        <v>19864</v>
      </c>
    </row>
    <row r="111" spans="1:11" ht="12" customHeight="1">
      <c r="A111" s="99">
        <v>1985</v>
      </c>
      <c r="B111" s="24">
        <f t="shared" ref="B111:K111" si="22">IF(AND(B86="-",B61="-",B35="-",B9="-"),"-",SUM(B86,B61,B35,B9))</f>
        <v>0</v>
      </c>
      <c r="C111" s="24">
        <f t="shared" si="22"/>
        <v>4</v>
      </c>
      <c r="D111" s="24">
        <f t="shared" si="22"/>
        <v>395</v>
      </c>
      <c r="E111" s="24">
        <f t="shared" si="22"/>
        <v>3931</v>
      </c>
      <c r="F111" s="24">
        <f t="shared" si="22"/>
        <v>2310</v>
      </c>
      <c r="G111" s="24">
        <f t="shared" si="22"/>
        <v>173</v>
      </c>
      <c r="H111" s="24">
        <f t="shared" si="22"/>
        <v>0</v>
      </c>
      <c r="I111" s="24">
        <f t="shared" si="22"/>
        <v>0</v>
      </c>
      <c r="J111" s="24">
        <f t="shared" si="22"/>
        <v>6813</v>
      </c>
      <c r="K111" s="24">
        <f t="shared" si="22"/>
        <v>6813</v>
      </c>
    </row>
    <row r="112" spans="1:11" ht="12" customHeight="1">
      <c r="A112" s="99">
        <v>1987</v>
      </c>
      <c r="B112" s="24">
        <f t="shared" ref="B112:K112" si="23">IF(AND(B87="-",B62="-",B36="-",B10="-"),"-",SUM(B87,B62,B36,B10))</f>
        <v>0</v>
      </c>
      <c r="C112" s="24">
        <f t="shared" si="23"/>
        <v>4</v>
      </c>
      <c r="D112" s="24">
        <f t="shared" si="23"/>
        <v>0</v>
      </c>
      <c r="E112" s="24">
        <f t="shared" si="23"/>
        <v>10776</v>
      </c>
      <c r="F112" s="24">
        <f t="shared" si="23"/>
        <v>5840</v>
      </c>
      <c r="G112" s="24">
        <f t="shared" si="23"/>
        <v>0</v>
      </c>
      <c r="H112" s="24">
        <f t="shared" si="23"/>
        <v>0</v>
      </c>
      <c r="I112" s="24">
        <f t="shared" si="23"/>
        <v>0</v>
      </c>
      <c r="J112" s="24">
        <f t="shared" si="23"/>
        <v>16620</v>
      </c>
      <c r="K112" s="24">
        <f t="shared" si="23"/>
        <v>16620</v>
      </c>
    </row>
    <row r="113" spans="1:11" ht="12" customHeight="1">
      <c r="A113" s="99">
        <v>1989</v>
      </c>
      <c r="B113" s="24">
        <f t="shared" ref="B113:K113" si="24">IF(AND(B88="-",B63="-",B37="-",B11="-"),"-",SUM(B88,B63,B37,B11))</f>
        <v>0</v>
      </c>
      <c r="C113" s="24">
        <f t="shared" si="24"/>
        <v>6</v>
      </c>
      <c r="D113" s="24">
        <f t="shared" si="24"/>
        <v>20</v>
      </c>
      <c r="E113" s="24">
        <f t="shared" si="24"/>
        <v>7206</v>
      </c>
      <c r="F113" s="24">
        <f t="shared" si="24"/>
        <v>2667</v>
      </c>
      <c r="G113" s="24">
        <f t="shared" si="24"/>
        <v>1182</v>
      </c>
      <c r="H113" s="24">
        <f t="shared" si="24"/>
        <v>0</v>
      </c>
      <c r="I113" s="24">
        <f t="shared" si="24"/>
        <v>0</v>
      </c>
      <c r="J113" s="24">
        <f t="shared" si="24"/>
        <v>11081</v>
      </c>
      <c r="K113" s="24">
        <f t="shared" si="24"/>
        <v>11081</v>
      </c>
    </row>
    <row r="114" spans="1:11" ht="12" customHeight="1">
      <c r="A114" s="99">
        <v>1991</v>
      </c>
      <c r="B114" s="24">
        <f t="shared" ref="B114:K114" si="25">IF(AND(B89="-",B64="-",B38="-",B12="-"),"-",SUM(B89,B64,B38,B12))</f>
        <v>0</v>
      </c>
      <c r="C114" s="24">
        <f t="shared" si="25"/>
        <v>0</v>
      </c>
      <c r="D114" s="24">
        <f t="shared" si="25"/>
        <v>2</v>
      </c>
      <c r="E114" s="24">
        <f t="shared" si="25"/>
        <v>1148</v>
      </c>
      <c r="F114" s="24">
        <f t="shared" si="25"/>
        <v>3356</v>
      </c>
      <c r="G114" s="24">
        <f t="shared" si="25"/>
        <v>0</v>
      </c>
      <c r="H114" s="24">
        <f t="shared" si="25"/>
        <v>0</v>
      </c>
      <c r="I114" s="24">
        <f t="shared" si="25"/>
        <v>0</v>
      </c>
      <c r="J114" s="24">
        <f t="shared" si="25"/>
        <v>4506</v>
      </c>
      <c r="K114" s="24">
        <f t="shared" si="25"/>
        <v>4506</v>
      </c>
    </row>
    <row r="115" spans="1:11" ht="12" customHeight="1">
      <c r="A115" s="99">
        <v>1993</v>
      </c>
      <c r="B115" s="24">
        <f t="shared" ref="B115:K115" si="26">IF(AND(B90="-",B65="-",B39="-",B13="-"),"-",SUM(B90,B65,B39,B13))</f>
        <v>0</v>
      </c>
      <c r="C115" s="24">
        <f t="shared" si="26"/>
        <v>0</v>
      </c>
      <c r="D115" s="24">
        <f t="shared" si="26"/>
        <v>0</v>
      </c>
      <c r="E115" s="24">
        <f t="shared" si="26"/>
        <v>349</v>
      </c>
      <c r="F115" s="24">
        <f t="shared" si="26"/>
        <v>2261</v>
      </c>
      <c r="G115" s="24">
        <f t="shared" si="26"/>
        <v>783</v>
      </c>
      <c r="H115" s="24">
        <f t="shared" si="26"/>
        <v>0</v>
      </c>
      <c r="I115" s="24">
        <f t="shared" si="26"/>
        <v>0</v>
      </c>
      <c r="J115" s="24">
        <f t="shared" si="26"/>
        <v>3393</v>
      </c>
      <c r="K115" s="24">
        <f t="shared" si="26"/>
        <v>3393</v>
      </c>
    </row>
    <row r="116" spans="1:11" ht="12" customHeight="1">
      <c r="A116" s="99">
        <v>1995</v>
      </c>
      <c r="B116" s="24">
        <f t="shared" ref="B116:K116" si="27">IF(AND(B91="-",B66="-",B40="-",B14="-"),"-",SUM(B91,B66,B40,B14))</f>
        <v>0</v>
      </c>
      <c r="C116" s="24">
        <f t="shared" si="27"/>
        <v>0</v>
      </c>
      <c r="D116" s="24">
        <f t="shared" si="27"/>
        <v>0</v>
      </c>
      <c r="E116" s="24">
        <f t="shared" si="27"/>
        <v>0</v>
      </c>
      <c r="F116" s="24">
        <f t="shared" si="27"/>
        <v>10940</v>
      </c>
      <c r="G116" s="24">
        <f t="shared" si="27"/>
        <v>0</v>
      </c>
      <c r="H116" s="24">
        <f t="shared" si="27"/>
        <v>0</v>
      </c>
      <c r="I116" s="24">
        <f t="shared" si="27"/>
        <v>0</v>
      </c>
      <c r="J116" s="24">
        <f t="shared" si="27"/>
        <v>10940</v>
      </c>
      <c r="K116" s="24">
        <f t="shared" si="27"/>
        <v>10940</v>
      </c>
    </row>
    <row r="117" spans="1:11" ht="12" customHeight="1">
      <c r="A117" s="99">
        <v>1997</v>
      </c>
      <c r="B117" s="24">
        <f t="shared" ref="B117:K117" si="28">IF(AND(B92="-",B67="-",B41="-",B15="-"),"-",SUM(B92,B67,B41,B15))</f>
        <v>0</v>
      </c>
      <c r="C117" s="24">
        <f t="shared" si="28"/>
        <v>0</v>
      </c>
      <c r="D117" s="24">
        <f t="shared" si="28"/>
        <v>0</v>
      </c>
      <c r="E117" s="24">
        <f t="shared" si="28"/>
        <v>0</v>
      </c>
      <c r="F117" s="24">
        <f t="shared" si="28"/>
        <v>1757</v>
      </c>
      <c r="G117" s="24">
        <f t="shared" si="28"/>
        <v>53</v>
      </c>
      <c r="H117" s="24" t="str">
        <f t="shared" si="28"/>
        <v>-</v>
      </c>
      <c r="I117" s="24">
        <f t="shared" si="28"/>
        <v>0</v>
      </c>
      <c r="J117" s="24">
        <f t="shared" si="28"/>
        <v>1810</v>
      </c>
      <c r="K117" s="24">
        <f t="shared" si="28"/>
        <v>1810</v>
      </c>
    </row>
    <row r="118" spans="1:11" ht="12" customHeight="1">
      <c r="A118" s="99">
        <v>1999</v>
      </c>
      <c r="B118" s="24">
        <f t="shared" ref="B118:K118" si="29">IF(AND(B93="-",B68="-",B42="-",B16="-"),"-",SUM(B93,B68,B42,B16))</f>
        <v>0</v>
      </c>
      <c r="C118" s="24">
        <f t="shared" si="29"/>
        <v>0</v>
      </c>
      <c r="D118" s="24">
        <f t="shared" si="29"/>
        <v>0</v>
      </c>
      <c r="E118" s="24">
        <f t="shared" si="29"/>
        <v>0</v>
      </c>
      <c r="F118" s="24">
        <f t="shared" si="29"/>
        <v>1388</v>
      </c>
      <c r="G118" s="24">
        <f t="shared" si="29"/>
        <v>108</v>
      </c>
      <c r="H118" s="24" t="str">
        <f t="shared" si="29"/>
        <v>-</v>
      </c>
      <c r="I118" s="24">
        <f t="shared" si="29"/>
        <v>0</v>
      </c>
      <c r="J118" s="24">
        <f t="shared" si="29"/>
        <v>1496</v>
      </c>
      <c r="K118" s="24">
        <f t="shared" si="29"/>
        <v>1496</v>
      </c>
    </row>
    <row r="119" spans="1:11" ht="12" customHeight="1">
      <c r="A119" s="99">
        <v>2001</v>
      </c>
      <c r="B119" s="24">
        <f t="shared" ref="B119:K119" si="30">IF(AND(B94="-",B69="-",B43="-",B17="-"),"-",SUM(B94,B69,B43,B17))</f>
        <v>0</v>
      </c>
      <c r="C119" s="24">
        <f t="shared" si="30"/>
        <v>11</v>
      </c>
      <c r="D119" s="24">
        <f t="shared" si="30"/>
        <v>0</v>
      </c>
      <c r="E119" s="24">
        <f t="shared" si="30"/>
        <v>696</v>
      </c>
      <c r="F119" s="24">
        <f t="shared" si="30"/>
        <v>1537</v>
      </c>
      <c r="G119" s="24">
        <f t="shared" si="30"/>
        <v>207</v>
      </c>
      <c r="H119" s="24" t="str">
        <f t="shared" si="30"/>
        <v>-</v>
      </c>
      <c r="I119" s="24">
        <f t="shared" si="30"/>
        <v>0</v>
      </c>
      <c r="J119" s="24">
        <f t="shared" si="30"/>
        <v>2451</v>
      </c>
      <c r="K119" s="24">
        <f t="shared" si="30"/>
        <v>2451</v>
      </c>
    </row>
    <row r="120" spans="1:11" ht="12" customHeight="1">
      <c r="A120" s="99">
        <v>2003</v>
      </c>
      <c r="B120" s="24">
        <f t="shared" ref="B120:K120" si="31">IF(AND(B95="-",B70="-",B44="-",B18="-"),"-",SUM(B95,B70,B44,B18))</f>
        <v>0</v>
      </c>
      <c r="C120" s="24">
        <f t="shared" si="31"/>
        <v>0</v>
      </c>
      <c r="D120" s="24">
        <f t="shared" si="31"/>
        <v>0</v>
      </c>
      <c r="E120" s="24">
        <f t="shared" si="31"/>
        <v>172</v>
      </c>
      <c r="F120" s="24">
        <f t="shared" si="31"/>
        <v>41</v>
      </c>
      <c r="G120" s="24">
        <f t="shared" si="31"/>
        <v>23</v>
      </c>
      <c r="H120" s="24">
        <f t="shared" si="31"/>
        <v>0</v>
      </c>
      <c r="I120" s="24">
        <f t="shared" si="31"/>
        <v>0</v>
      </c>
      <c r="J120" s="24">
        <f t="shared" si="31"/>
        <v>236</v>
      </c>
      <c r="K120" s="24">
        <f t="shared" si="31"/>
        <v>236</v>
      </c>
    </row>
    <row r="121" spans="1:11" ht="12" customHeight="1">
      <c r="A121" s="99">
        <v>2005</v>
      </c>
      <c r="B121" s="24">
        <f t="shared" ref="B121:K121" si="32">IF(AND(B96="-",B71="-",B45="-",B19="-"),"-",SUM(B96,B71,B45,B19))</f>
        <v>0</v>
      </c>
      <c r="C121" s="24">
        <f t="shared" si="32"/>
        <v>0</v>
      </c>
      <c r="D121" s="24">
        <f t="shared" si="32"/>
        <v>0</v>
      </c>
      <c r="E121" s="24">
        <f t="shared" si="32"/>
        <v>186</v>
      </c>
      <c r="F121" s="24">
        <f t="shared" si="32"/>
        <v>198</v>
      </c>
      <c r="G121" s="24">
        <f t="shared" si="32"/>
        <v>3</v>
      </c>
      <c r="H121" s="24">
        <f t="shared" si="32"/>
        <v>0</v>
      </c>
      <c r="I121" s="24">
        <f t="shared" si="32"/>
        <v>0</v>
      </c>
      <c r="J121" s="24">
        <f t="shared" si="32"/>
        <v>387</v>
      </c>
      <c r="K121" s="24">
        <f t="shared" si="32"/>
        <v>387</v>
      </c>
    </row>
    <row r="122" spans="1:11" ht="12" customHeight="1">
      <c r="A122" s="99">
        <v>2007</v>
      </c>
      <c r="B122" s="24">
        <f t="shared" ref="B122:K122" si="33">IF(AND(B97="-",B72="-",B46="-",B20="-"),"-",SUM(B97,B72,B46,B20))</f>
        <v>0</v>
      </c>
      <c r="C122" s="24">
        <f t="shared" si="33"/>
        <v>0</v>
      </c>
      <c r="D122" s="24">
        <f t="shared" si="33"/>
        <v>7</v>
      </c>
      <c r="E122" s="24">
        <f t="shared" si="33"/>
        <v>326</v>
      </c>
      <c r="F122" s="24">
        <f t="shared" si="33"/>
        <v>251</v>
      </c>
      <c r="G122" s="24">
        <f t="shared" si="33"/>
        <v>0</v>
      </c>
      <c r="H122" s="24">
        <f t="shared" si="33"/>
        <v>0</v>
      </c>
      <c r="I122" s="24">
        <f t="shared" si="33"/>
        <v>0</v>
      </c>
      <c r="J122" s="24">
        <f t="shared" si="33"/>
        <v>584</v>
      </c>
      <c r="K122" s="24">
        <f t="shared" si="33"/>
        <v>584</v>
      </c>
    </row>
    <row r="123" spans="1:11" ht="12" customHeight="1">
      <c r="A123" s="99">
        <v>2009</v>
      </c>
      <c r="B123" s="24">
        <f t="shared" ref="B123:K123" si="34">IF(AND(B98="-",B73="-",B47="-",B21="-"),"-",SUM(B98,B73,B47,B21))</f>
        <v>0</v>
      </c>
      <c r="C123" s="24">
        <f t="shared" si="34"/>
        <v>0</v>
      </c>
      <c r="D123" s="24">
        <f t="shared" si="34"/>
        <v>0</v>
      </c>
      <c r="E123" s="24">
        <f t="shared" si="34"/>
        <v>431</v>
      </c>
      <c r="F123" s="24">
        <f t="shared" si="34"/>
        <v>369</v>
      </c>
      <c r="G123" s="24">
        <f t="shared" si="34"/>
        <v>0</v>
      </c>
      <c r="H123" s="24">
        <f t="shared" si="34"/>
        <v>0</v>
      </c>
      <c r="I123" s="24">
        <f t="shared" si="34"/>
        <v>0</v>
      </c>
      <c r="J123" s="24">
        <f t="shared" si="34"/>
        <v>800</v>
      </c>
      <c r="K123" s="24">
        <f t="shared" si="34"/>
        <v>800</v>
      </c>
    </row>
    <row r="124" spans="1:11" ht="12" customHeight="1">
      <c r="A124" s="99">
        <v>2011</v>
      </c>
      <c r="B124" s="24">
        <f t="shared" ref="B124:K124" si="35">IF(AND(B99="-",B74="-",B48="-",B22="-"),"-",SUM(B99,B74,B48,B22))</f>
        <v>0</v>
      </c>
      <c r="C124" s="24">
        <f t="shared" si="35"/>
        <v>0</v>
      </c>
      <c r="D124" s="24">
        <f t="shared" si="35"/>
        <v>6</v>
      </c>
      <c r="E124" s="24">
        <f t="shared" si="35"/>
        <v>718</v>
      </c>
      <c r="F124" s="24">
        <f t="shared" si="35"/>
        <v>334</v>
      </c>
      <c r="G124" s="24">
        <f t="shared" si="35"/>
        <v>16</v>
      </c>
      <c r="H124" s="24">
        <f t="shared" si="35"/>
        <v>0</v>
      </c>
      <c r="I124" s="24">
        <f t="shared" si="35"/>
        <v>0</v>
      </c>
      <c r="J124" s="24">
        <f t="shared" si="35"/>
        <v>1074</v>
      </c>
      <c r="K124" s="24">
        <f t="shared" si="35"/>
        <v>1074</v>
      </c>
    </row>
    <row r="125" spans="1:11" ht="12" customHeight="1">
      <c r="A125" s="99">
        <v>2013</v>
      </c>
      <c r="B125" s="24">
        <f t="shared" ref="B125:K125" si="36">IF(AND(B100="-",B75="-",B49="-",B23="-"),"-",SUM(B100,B75,B49,B23))</f>
        <v>0</v>
      </c>
      <c r="C125" s="24">
        <f t="shared" si="36"/>
        <v>0</v>
      </c>
      <c r="D125" s="24">
        <f t="shared" si="36"/>
        <v>0</v>
      </c>
      <c r="E125" s="24">
        <f t="shared" si="36"/>
        <v>89</v>
      </c>
      <c r="F125" s="24">
        <f t="shared" si="36"/>
        <v>120</v>
      </c>
      <c r="G125" s="24">
        <f t="shared" si="36"/>
        <v>0</v>
      </c>
      <c r="H125" s="24">
        <f t="shared" si="36"/>
        <v>0</v>
      </c>
      <c r="I125" s="24">
        <f t="shared" si="36"/>
        <v>0</v>
      </c>
      <c r="J125" s="24">
        <f t="shared" si="36"/>
        <v>209</v>
      </c>
      <c r="K125" s="24">
        <f t="shared" si="36"/>
        <v>209</v>
      </c>
    </row>
    <row r="126" spans="1:11" ht="12" customHeight="1">
      <c r="A126" s="99">
        <v>2015</v>
      </c>
      <c r="B126" s="24">
        <f t="shared" ref="B126:K126" si="37">IF(AND(B101="-",B76="-",B50="-",B24="-"),"-",SUM(B101,B76,B50,B24))</f>
        <v>0</v>
      </c>
      <c r="C126" s="24">
        <f t="shared" si="37"/>
        <v>0</v>
      </c>
      <c r="D126" s="24">
        <f t="shared" si="37"/>
        <v>6</v>
      </c>
      <c r="E126" s="24">
        <f t="shared" si="37"/>
        <v>98</v>
      </c>
      <c r="F126" s="24">
        <f t="shared" si="37"/>
        <v>18</v>
      </c>
      <c r="G126" s="24">
        <f t="shared" si="37"/>
        <v>0</v>
      </c>
      <c r="H126" s="24">
        <f t="shared" si="37"/>
        <v>0</v>
      </c>
      <c r="I126" s="24">
        <f t="shared" si="37"/>
        <v>0</v>
      </c>
      <c r="J126" s="24">
        <f t="shared" si="37"/>
        <v>122</v>
      </c>
      <c r="K126" s="24">
        <f t="shared" si="37"/>
        <v>122</v>
      </c>
    </row>
    <row r="127" spans="1:11" ht="12" customHeight="1">
      <c r="A127" s="99">
        <v>2017</v>
      </c>
      <c r="B127" s="24">
        <f t="shared" ref="B127:K127" si="38">IF(AND(B102="-",B77="-",B51="-",B25="-"),"-",SUM(B102,B77,B51,B25))</f>
        <v>0</v>
      </c>
      <c r="C127" s="24">
        <f t="shared" si="38"/>
        <v>0</v>
      </c>
      <c r="D127" s="24">
        <f t="shared" si="38"/>
        <v>0</v>
      </c>
      <c r="E127" s="24">
        <f t="shared" si="38"/>
        <v>61</v>
      </c>
      <c r="F127" s="24">
        <f t="shared" si="38"/>
        <v>134</v>
      </c>
      <c r="G127" s="24">
        <f t="shared" si="38"/>
        <v>0</v>
      </c>
      <c r="H127" s="24">
        <f t="shared" si="38"/>
        <v>0</v>
      </c>
      <c r="I127" s="24">
        <f t="shared" si="38"/>
        <v>0</v>
      </c>
      <c r="J127" s="24">
        <f t="shared" si="38"/>
        <v>195</v>
      </c>
      <c r="K127" s="24">
        <f t="shared" si="38"/>
        <v>195</v>
      </c>
    </row>
    <row r="128" spans="1:11" ht="12" customHeight="1">
      <c r="A128" s="99">
        <v>2019</v>
      </c>
      <c r="B128" s="24">
        <f t="shared" ref="B128:K129" si="39">IF(AND(B103="-",B78="-",B52="-",B26="-"),"-",SUM(B103,B78,B52,B26))</f>
        <v>0</v>
      </c>
      <c r="C128" s="24">
        <f t="shared" si="39"/>
        <v>0</v>
      </c>
      <c r="D128" s="24">
        <f t="shared" si="39"/>
        <v>0</v>
      </c>
      <c r="E128" s="24">
        <f>IF(AND(E103="-",E78="-",E52="-",E26="-"),"-",SUM(E103,E78,E52,E26))</f>
        <v>243</v>
      </c>
      <c r="F128" s="24">
        <f t="shared" si="39"/>
        <v>270</v>
      </c>
      <c r="G128" s="24">
        <f t="shared" si="39"/>
        <v>0</v>
      </c>
      <c r="H128" s="24">
        <f t="shared" si="39"/>
        <v>0</v>
      </c>
      <c r="I128" s="24">
        <f t="shared" si="39"/>
        <v>0</v>
      </c>
      <c r="J128" s="24">
        <f t="shared" si="39"/>
        <v>513</v>
      </c>
      <c r="K128" s="24">
        <f t="shared" si="39"/>
        <v>513</v>
      </c>
    </row>
    <row r="129" spans="1:11" ht="12" customHeight="1">
      <c r="A129" s="99" t="s">
        <v>317</v>
      </c>
      <c r="B129" s="24">
        <f t="shared" si="39"/>
        <v>0</v>
      </c>
      <c r="C129" s="24">
        <f t="shared" si="39"/>
        <v>0</v>
      </c>
      <c r="D129" s="24">
        <f t="shared" si="39"/>
        <v>0</v>
      </c>
      <c r="E129" s="24">
        <f>IF(AND(E104="-",E79="-",E53="-",E27="-"),"-",SUM(E104,E79,E53,E27))</f>
        <v>17</v>
      </c>
      <c r="F129" s="24">
        <f t="shared" si="39"/>
        <v>41</v>
      </c>
      <c r="G129" s="24">
        <f t="shared" si="39"/>
        <v>0</v>
      </c>
      <c r="H129" s="24">
        <f t="shared" si="39"/>
        <v>0</v>
      </c>
      <c r="I129" s="24">
        <f t="shared" si="39"/>
        <v>0</v>
      </c>
      <c r="J129" s="24">
        <f t="shared" si="39"/>
        <v>58</v>
      </c>
      <c r="K129" s="24">
        <f t="shared" si="39"/>
        <v>58</v>
      </c>
    </row>
    <row r="130" spans="1:11" ht="12" customHeight="1">
      <c r="A130" s="346" t="s">
        <v>110</v>
      </c>
      <c r="B130" s="346"/>
      <c r="C130" s="346"/>
      <c r="D130" s="346"/>
      <c r="E130" s="346"/>
      <c r="F130" s="346"/>
      <c r="G130" s="346"/>
      <c r="H130" s="346"/>
      <c r="I130" s="346"/>
      <c r="J130" s="346"/>
      <c r="K130" s="346"/>
    </row>
    <row r="131" spans="1:11" ht="12" customHeight="1">
      <c r="A131" s="347" t="s">
        <v>319</v>
      </c>
      <c r="B131" s="347"/>
      <c r="C131" s="347"/>
      <c r="D131" s="347"/>
      <c r="E131" s="347"/>
      <c r="F131" s="347"/>
      <c r="G131" s="347"/>
      <c r="H131" s="347"/>
      <c r="I131" s="347"/>
      <c r="J131" s="347"/>
      <c r="K131" s="347"/>
    </row>
    <row r="132" spans="1:11" ht="12" customHeight="1"/>
    <row r="133" spans="1:11" ht="12" customHeight="1"/>
    <row r="134" spans="1:11" s="199" customFormat="1" ht="12" customHeight="1">
      <c r="A134" s="158"/>
      <c r="B134" s="160"/>
      <c r="C134" s="160"/>
      <c r="D134" s="160"/>
      <c r="E134" s="160"/>
      <c r="F134" s="160"/>
      <c r="G134" s="160"/>
      <c r="H134" s="160"/>
      <c r="I134" s="160"/>
      <c r="J134" s="160"/>
      <c r="K134" s="160"/>
    </row>
    <row r="135" spans="1:11" ht="12" customHeight="1"/>
    <row r="136" spans="1:11" ht="12" customHeight="1"/>
    <row r="137" spans="1:11" ht="12" customHeight="1"/>
    <row r="138" spans="1:11" ht="12" customHeight="1"/>
    <row r="139" spans="1:11" ht="12" customHeight="1"/>
    <row r="140" spans="1:11" ht="12" customHeight="1"/>
    <row r="141" spans="1:11" ht="12" customHeight="1"/>
    <row r="142" spans="1:11" ht="12" customHeight="1">
      <c r="A142" s="327" t="s">
        <v>15</v>
      </c>
      <c r="B142" s="327"/>
      <c r="C142" s="327"/>
      <c r="D142" s="327"/>
      <c r="E142" s="327"/>
      <c r="F142" s="327"/>
      <c r="G142" s="327"/>
      <c r="H142" s="327"/>
      <c r="I142" s="327"/>
      <c r="J142" s="327"/>
      <c r="K142" s="327"/>
    </row>
    <row r="143" spans="1:11" ht="12" customHeight="1">
      <c r="A143" s="327"/>
      <c r="B143" s="327"/>
      <c r="C143" s="327"/>
      <c r="D143" s="327"/>
      <c r="E143" s="327"/>
      <c r="F143" s="327"/>
      <c r="G143" s="327"/>
      <c r="H143" s="327"/>
      <c r="I143" s="327"/>
      <c r="J143" s="327"/>
      <c r="K143" s="327"/>
    </row>
    <row r="144" spans="1:11" ht="12" customHeight="1">
      <c r="A144" s="344" t="s">
        <v>212</v>
      </c>
      <c r="B144" s="262"/>
      <c r="C144" s="262"/>
      <c r="D144" s="262"/>
      <c r="E144" s="262"/>
      <c r="F144" s="262"/>
      <c r="G144" s="262"/>
      <c r="H144" s="262"/>
      <c r="I144" s="262"/>
      <c r="J144" s="284" t="s">
        <v>55</v>
      </c>
      <c r="K144" s="284"/>
    </row>
    <row r="145" spans="1:11" ht="12" customHeight="1">
      <c r="A145" s="349"/>
      <c r="B145" s="225" t="s">
        <v>65</v>
      </c>
      <c r="C145" s="225" t="s">
        <v>29</v>
      </c>
      <c r="D145" s="225" t="s">
        <v>30</v>
      </c>
      <c r="E145" s="225" t="s">
        <v>31</v>
      </c>
      <c r="F145" s="225" t="s">
        <v>32</v>
      </c>
      <c r="G145" s="225" t="s">
        <v>33</v>
      </c>
      <c r="H145" s="225" t="s">
        <v>34</v>
      </c>
      <c r="I145" s="225" t="s">
        <v>67</v>
      </c>
      <c r="J145" s="225" t="s">
        <v>68</v>
      </c>
      <c r="K145" s="225" t="s">
        <v>46</v>
      </c>
    </row>
    <row r="146" spans="1:11" ht="12" customHeight="1">
      <c r="A146" s="94" t="s">
        <v>66</v>
      </c>
      <c r="B146" s="21"/>
    </row>
    <row r="147" spans="1:11" ht="12" customHeight="1">
      <c r="A147" s="99" t="s">
        <v>24</v>
      </c>
      <c r="B147" s="24">
        <f t="shared" ref="B147:K147" si="40">AVERAGE(B7,B8,B9)</f>
        <v>0</v>
      </c>
      <c r="C147" s="24">
        <f t="shared" si="40"/>
        <v>23</v>
      </c>
      <c r="D147" s="24">
        <f t="shared" si="40"/>
        <v>1.6666666666666667</v>
      </c>
      <c r="E147" s="24">
        <f t="shared" si="40"/>
        <v>108</v>
      </c>
      <c r="F147" s="24">
        <f t="shared" si="40"/>
        <v>698.33333333333337</v>
      </c>
      <c r="G147" s="24">
        <f t="shared" si="40"/>
        <v>7</v>
      </c>
      <c r="H147" s="24">
        <f t="shared" si="40"/>
        <v>0</v>
      </c>
      <c r="I147" s="24">
        <f t="shared" si="40"/>
        <v>0</v>
      </c>
      <c r="J147" s="24">
        <f t="shared" si="40"/>
        <v>838</v>
      </c>
      <c r="K147" s="24">
        <f t="shared" si="40"/>
        <v>838</v>
      </c>
    </row>
    <row r="148" spans="1:11" ht="12" customHeight="1">
      <c r="A148" s="99" t="s">
        <v>109</v>
      </c>
      <c r="B148" s="24">
        <f t="shared" ref="B148:K148" si="41">AVERAGE(B10,B11)</f>
        <v>0</v>
      </c>
      <c r="C148" s="24">
        <f t="shared" si="41"/>
        <v>0</v>
      </c>
      <c r="D148" s="24">
        <f t="shared" si="41"/>
        <v>0</v>
      </c>
      <c r="E148" s="24">
        <f t="shared" si="41"/>
        <v>1394.5</v>
      </c>
      <c r="F148" s="24">
        <f t="shared" si="41"/>
        <v>642.5</v>
      </c>
      <c r="G148" s="24">
        <f t="shared" si="41"/>
        <v>141.5</v>
      </c>
      <c r="H148" s="24">
        <f t="shared" si="41"/>
        <v>0</v>
      </c>
      <c r="I148" s="24">
        <f t="shared" si="41"/>
        <v>0</v>
      </c>
      <c r="J148" s="24">
        <f t="shared" si="41"/>
        <v>2178.5</v>
      </c>
      <c r="K148" s="24">
        <f t="shared" si="41"/>
        <v>2178.5</v>
      </c>
    </row>
    <row r="149" spans="1:11" ht="12" customHeight="1">
      <c r="A149" s="99" t="s">
        <v>10</v>
      </c>
      <c r="B149" s="24">
        <f t="shared" ref="B149:K149" si="42">AVERAGE(B12,B13,B14)</f>
        <v>0</v>
      </c>
      <c r="C149" s="24">
        <f t="shared" si="42"/>
        <v>0</v>
      </c>
      <c r="D149" s="24">
        <f t="shared" si="42"/>
        <v>0</v>
      </c>
      <c r="E149" s="24">
        <f t="shared" si="42"/>
        <v>42.666666666666664</v>
      </c>
      <c r="F149" s="24">
        <f t="shared" si="42"/>
        <v>1233.3333333333333</v>
      </c>
      <c r="G149" s="24">
        <f t="shared" si="42"/>
        <v>1.6666666666666667</v>
      </c>
      <c r="H149" s="24">
        <f t="shared" si="42"/>
        <v>0</v>
      </c>
      <c r="I149" s="24">
        <f t="shared" si="42"/>
        <v>0</v>
      </c>
      <c r="J149" s="24">
        <f t="shared" si="42"/>
        <v>1277.6666666666667</v>
      </c>
      <c r="K149" s="24">
        <f t="shared" si="42"/>
        <v>1277.6666666666667</v>
      </c>
    </row>
    <row r="150" spans="1:11" ht="12" customHeight="1">
      <c r="A150" s="99" t="s">
        <v>147</v>
      </c>
      <c r="B150" s="24">
        <f t="shared" ref="B150:G150" si="43">AVERAGE(B15,B16)</f>
        <v>0</v>
      </c>
      <c r="C150" s="24">
        <f t="shared" si="43"/>
        <v>0</v>
      </c>
      <c r="D150" s="24">
        <f t="shared" si="43"/>
        <v>0</v>
      </c>
      <c r="E150" s="24">
        <f t="shared" si="43"/>
        <v>0</v>
      </c>
      <c r="F150" s="24">
        <f t="shared" si="43"/>
        <v>550</v>
      </c>
      <c r="G150" s="24">
        <f t="shared" si="43"/>
        <v>7</v>
      </c>
      <c r="H150" s="24" t="s">
        <v>23</v>
      </c>
      <c r="I150" s="24">
        <f>AVERAGE(I15,I16)</f>
        <v>0</v>
      </c>
      <c r="J150" s="24">
        <f>AVERAGE(J15,J16)</f>
        <v>557</v>
      </c>
      <c r="K150" s="24">
        <f>AVERAGE(K15,K16)</f>
        <v>557</v>
      </c>
    </row>
    <row r="151" spans="1:11" ht="12" customHeight="1">
      <c r="A151" s="99">
        <v>2001</v>
      </c>
      <c r="B151" s="24">
        <f t="shared" ref="B151:K151" si="44">B17</f>
        <v>0</v>
      </c>
      <c r="C151" s="24">
        <f t="shared" si="44"/>
        <v>0</v>
      </c>
      <c r="D151" s="24">
        <f t="shared" si="44"/>
        <v>0</v>
      </c>
      <c r="E151" s="24">
        <f t="shared" si="44"/>
        <v>504</v>
      </c>
      <c r="F151" s="24">
        <f t="shared" si="44"/>
        <v>334</v>
      </c>
      <c r="G151" s="24">
        <f t="shared" si="44"/>
        <v>15</v>
      </c>
      <c r="H151" s="24" t="str">
        <f t="shared" si="44"/>
        <v>-</v>
      </c>
      <c r="I151" s="24">
        <f t="shared" si="44"/>
        <v>0</v>
      </c>
      <c r="J151" s="24">
        <f t="shared" si="44"/>
        <v>853</v>
      </c>
      <c r="K151" s="24">
        <f t="shared" si="44"/>
        <v>853</v>
      </c>
    </row>
    <row r="152" spans="1:11" ht="12" customHeight="1">
      <c r="A152" s="99">
        <v>2003</v>
      </c>
      <c r="B152" s="24">
        <f t="shared" ref="B152:K152" si="45">B18</f>
        <v>0</v>
      </c>
      <c r="C152" s="24">
        <f t="shared" si="45"/>
        <v>0</v>
      </c>
      <c r="D152" s="24">
        <f t="shared" si="45"/>
        <v>0</v>
      </c>
      <c r="E152" s="24">
        <f t="shared" si="45"/>
        <v>0</v>
      </c>
      <c r="F152" s="24">
        <f t="shared" si="45"/>
        <v>0</v>
      </c>
      <c r="G152" s="24">
        <f t="shared" si="45"/>
        <v>0</v>
      </c>
      <c r="H152" s="24" t="str">
        <f t="shared" si="45"/>
        <v>-</v>
      </c>
      <c r="I152" s="24">
        <f t="shared" si="45"/>
        <v>0</v>
      </c>
      <c r="J152" s="24">
        <f t="shared" si="45"/>
        <v>0</v>
      </c>
      <c r="K152" s="24">
        <f t="shared" si="45"/>
        <v>0</v>
      </c>
    </row>
    <row r="153" spans="1:11" ht="12" customHeight="1">
      <c r="A153" s="99">
        <v>2005</v>
      </c>
      <c r="B153" s="24">
        <f t="shared" ref="B153:K153" si="46">B19</f>
        <v>0</v>
      </c>
      <c r="C153" s="24">
        <f t="shared" si="46"/>
        <v>0</v>
      </c>
      <c r="D153" s="24">
        <f t="shared" si="46"/>
        <v>0</v>
      </c>
      <c r="E153" s="24">
        <f t="shared" si="46"/>
        <v>154</v>
      </c>
      <c r="F153" s="24">
        <f t="shared" si="46"/>
        <v>88</v>
      </c>
      <c r="G153" s="24">
        <f t="shared" si="46"/>
        <v>0</v>
      </c>
      <c r="H153" s="24" t="str">
        <f t="shared" si="46"/>
        <v>-</v>
      </c>
      <c r="I153" s="24">
        <f t="shared" si="46"/>
        <v>0</v>
      </c>
      <c r="J153" s="24">
        <f t="shared" si="46"/>
        <v>242</v>
      </c>
      <c r="K153" s="24">
        <f t="shared" si="46"/>
        <v>242</v>
      </c>
    </row>
    <row r="154" spans="1:11" ht="12" customHeight="1">
      <c r="A154" s="99">
        <v>2007</v>
      </c>
      <c r="B154" s="24">
        <f t="shared" ref="B154:K154" si="47">B20</f>
        <v>0</v>
      </c>
      <c r="C154" s="24">
        <f t="shared" si="47"/>
        <v>0</v>
      </c>
      <c r="D154" s="24">
        <f t="shared" si="47"/>
        <v>0</v>
      </c>
      <c r="E154" s="24">
        <f t="shared" si="47"/>
        <v>82</v>
      </c>
      <c r="F154" s="24">
        <f t="shared" si="47"/>
        <v>141</v>
      </c>
      <c r="G154" s="24">
        <f t="shared" si="47"/>
        <v>0</v>
      </c>
      <c r="H154" s="24" t="str">
        <f t="shared" si="47"/>
        <v>-</v>
      </c>
      <c r="I154" s="24">
        <f t="shared" si="47"/>
        <v>0</v>
      </c>
      <c r="J154" s="24">
        <f t="shared" si="47"/>
        <v>223</v>
      </c>
      <c r="K154" s="24">
        <f t="shared" si="47"/>
        <v>223</v>
      </c>
    </row>
    <row r="155" spans="1:11" ht="12" customHeight="1">
      <c r="A155" s="99">
        <v>2009</v>
      </c>
      <c r="B155" s="24">
        <f t="shared" ref="B155:K155" si="48">B21</f>
        <v>0</v>
      </c>
      <c r="C155" s="24">
        <f t="shared" si="48"/>
        <v>0</v>
      </c>
      <c r="D155" s="24">
        <f t="shared" si="48"/>
        <v>0</v>
      </c>
      <c r="E155" s="24">
        <f t="shared" si="48"/>
        <v>189</v>
      </c>
      <c r="F155" s="24">
        <f t="shared" si="48"/>
        <v>219</v>
      </c>
      <c r="G155" s="24">
        <f t="shared" si="48"/>
        <v>0</v>
      </c>
      <c r="H155" s="24" t="str">
        <f t="shared" si="48"/>
        <v>-</v>
      </c>
      <c r="I155" s="24">
        <f t="shared" si="48"/>
        <v>0</v>
      </c>
      <c r="J155" s="24">
        <f t="shared" si="48"/>
        <v>408</v>
      </c>
      <c r="K155" s="24">
        <f t="shared" si="48"/>
        <v>408</v>
      </c>
    </row>
    <row r="156" spans="1:11" ht="12" customHeight="1">
      <c r="A156" s="99">
        <v>2011</v>
      </c>
      <c r="B156" s="24">
        <f t="shared" ref="B156:K156" si="49">B22</f>
        <v>0</v>
      </c>
      <c r="C156" s="24">
        <f t="shared" si="49"/>
        <v>0</v>
      </c>
      <c r="D156" s="24">
        <f t="shared" si="49"/>
        <v>3</v>
      </c>
      <c r="E156" s="24">
        <f t="shared" si="49"/>
        <v>55</v>
      </c>
      <c r="F156" s="24">
        <f t="shared" si="49"/>
        <v>15</v>
      </c>
      <c r="G156" s="24">
        <f t="shared" si="49"/>
        <v>0</v>
      </c>
      <c r="H156" s="24" t="str">
        <f t="shared" si="49"/>
        <v>-</v>
      </c>
      <c r="I156" s="24">
        <f t="shared" si="49"/>
        <v>0</v>
      </c>
      <c r="J156" s="24">
        <f t="shared" si="49"/>
        <v>73</v>
      </c>
      <c r="K156" s="24">
        <f t="shared" si="49"/>
        <v>73</v>
      </c>
    </row>
    <row r="157" spans="1:11" ht="12" customHeight="1">
      <c r="A157" s="99">
        <v>2013</v>
      </c>
      <c r="B157" s="24">
        <f t="shared" ref="B157:K157" si="50">B23</f>
        <v>0</v>
      </c>
      <c r="C157" s="24">
        <f t="shared" si="50"/>
        <v>0</v>
      </c>
      <c r="D157" s="24">
        <f t="shared" si="50"/>
        <v>0</v>
      </c>
      <c r="E157" s="24">
        <f t="shared" si="50"/>
        <v>39</v>
      </c>
      <c r="F157" s="24">
        <f t="shared" si="50"/>
        <v>0</v>
      </c>
      <c r="G157" s="24">
        <f t="shared" si="50"/>
        <v>0</v>
      </c>
      <c r="H157" s="24" t="str">
        <f t="shared" si="50"/>
        <v>-</v>
      </c>
      <c r="I157" s="24">
        <f t="shared" si="50"/>
        <v>0</v>
      </c>
      <c r="J157" s="24">
        <f t="shared" si="50"/>
        <v>39</v>
      </c>
      <c r="K157" s="24">
        <f t="shared" si="50"/>
        <v>39</v>
      </c>
    </row>
    <row r="158" spans="1:11" ht="12" customHeight="1">
      <c r="A158" s="99">
        <v>2015</v>
      </c>
      <c r="B158" s="24">
        <f t="shared" ref="B158:K158" si="51">B24</f>
        <v>0</v>
      </c>
      <c r="C158" s="24">
        <f t="shared" si="51"/>
        <v>0</v>
      </c>
      <c r="D158" s="24">
        <f t="shared" si="51"/>
        <v>2</v>
      </c>
      <c r="E158" s="24">
        <f t="shared" si="51"/>
        <v>0</v>
      </c>
      <c r="F158" s="24">
        <f t="shared" si="51"/>
        <v>2</v>
      </c>
      <c r="G158" s="24">
        <f t="shared" si="51"/>
        <v>0</v>
      </c>
      <c r="H158" s="24" t="str">
        <f t="shared" si="51"/>
        <v>-</v>
      </c>
      <c r="I158" s="24">
        <f t="shared" si="51"/>
        <v>0</v>
      </c>
      <c r="J158" s="24">
        <f t="shared" si="51"/>
        <v>4</v>
      </c>
      <c r="K158" s="24">
        <f t="shared" si="51"/>
        <v>4</v>
      </c>
    </row>
    <row r="159" spans="1:11">
      <c r="A159" s="99">
        <v>2017</v>
      </c>
      <c r="B159" s="24">
        <f t="shared" ref="B159:K159" si="52">B25</f>
        <v>0</v>
      </c>
      <c r="C159" s="24">
        <f t="shared" si="52"/>
        <v>0</v>
      </c>
      <c r="D159" s="24">
        <f t="shared" si="52"/>
        <v>0</v>
      </c>
      <c r="E159" s="24">
        <f t="shared" si="52"/>
        <v>1</v>
      </c>
      <c r="F159" s="24">
        <f t="shared" si="52"/>
        <v>1</v>
      </c>
      <c r="G159" s="24">
        <f t="shared" si="52"/>
        <v>0</v>
      </c>
      <c r="H159" s="24" t="str">
        <f t="shared" si="52"/>
        <v>-</v>
      </c>
      <c r="I159" s="24">
        <f t="shared" si="52"/>
        <v>0</v>
      </c>
      <c r="J159" s="24">
        <f t="shared" si="52"/>
        <v>2</v>
      </c>
      <c r="K159" s="24">
        <f t="shared" si="52"/>
        <v>2</v>
      </c>
    </row>
    <row r="160" spans="1:11">
      <c r="A160" s="99">
        <v>2019</v>
      </c>
      <c r="B160" s="24">
        <f t="shared" ref="B160:K161" si="53">B27</f>
        <v>0</v>
      </c>
      <c r="C160" s="24">
        <f t="shared" si="53"/>
        <v>0</v>
      </c>
      <c r="D160" s="24">
        <f t="shared" si="53"/>
        <v>0</v>
      </c>
      <c r="E160" s="24">
        <f t="shared" si="53"/>
        <v>9</v>
      </c>
      <c r="F160" s="24">
        <f t="shared" si="53"/>
        <v>10</v>
      </c>
      <c r="G160" s="24">
        <f t="shared" si="53"/>
        <v>0</v>
      </c>
      <c r="H160" s="24" t="str">
        <f t="shared" ref="H160" si="54">H26</f>
        <v>-</v>
      </c>
      <c r="I160" s="24">
        <f t="shared" si="53"/>
        <v>0</v>
      </c>
      <c r="J160" s="24">
        <f t="shared" si="53"/>
        <v>19</v>
      </c>
      <c r="K160" s="24">
        <f t="shared" si="53"/>
        <v>19</v>
      </c>
    </row>
    <row r="161" spans="1:11" ht="13">
      <c r="A161" s="99" t="s">
        <v>317</v>
      </c>
      <c r="B161" s="24">
        <f t="shared" si="53"/>
        <v>0</v>
      </c>
      <c r="C161" s="24">
        <f t="shared" si="53"/>
        <v>0</v>
      </c>
      <c r="D161" s="24">
        <f t="shared" si="53"/>
        <v>0</v>
      </c>
      <c r="E161" s="24">
        <f t="shared" si="53"/>
        <v>0</v>
      </c>
      <c r="F161" s="24">
        <f t="shared" si="53"/>
        <v>0</v>
      </c>
      <c r="G161" s="24">
        <f t="shared" si="53"/>
        <v>0</v>
      </c>
      <c r="H161" s="24" t="str">
        <f t="shared" ref="H161" si="55">H27</f>
        <v>-</v>
      </c>
      <c r="I161" s="24">
        <f t="shared" si="53"/>
        <v>0</v>
      </c>
      <c r="J161" s="24">
        <f t="shared" si="53"/>
        <v>0</v>
      </c>
      <c r="K161" s="24">
        <f t="shared" si="53"/>
        <v>0</v>
      </c>
    </row>
    <row r="163" spans="1:11">
      <c r="A163" s="94" t="s">
        <v>59</v>
      </c>
    </row>
    <row r="164" spans="1:11" ht="12" customHeight="1">
      <c r="A164" s="99" t="s">
        <v>24</v>
      </c>
      <c r="B164" s="24">
        <f t="shared" ref="B164:K164" si="56">AVERAGE(B33,B34,B35)</f>
        <v>0</v>
      </c>
      <c r="C164" s="24">
        <f t="shared" si="56"/>
        <v>0</v>
      </c>
      <c r="D164" s="24">
        <f t="shared" si="56"/>
        <v>94</v>
      </c>
      <c r="E164" s="24">
        <f t="shared" si="56"/>
        <v>1339.6666666666667</v>
      </c>
      <c r="F164" s="24">
        <f t="shared" si="56"/>
        <v>6684</v>
      </c>
      <c r="G164" s="24">
        <f t="shared" si="56"/>
        <v>301.66666666666669</v>
      </c>
      <c r="H164" s="24">
        <f t="shared" si="56"/>
        <v>0</v>
      </c>
      <c r="I164" s="24">
        <f t="shared" si="56"/>
        <v>0</v>
      </c>
      <c r="J164" s="24">
        <f t="shared" si="56"/>
        <v>8419.3333333333339</v>
      </c>
      <c r="K164" s="24">
        <f t="shared" si="56"/>
        <v>8419.3333333333339</v>
      </c>
    </row>
    <row r="165" spans="1:11" ht="12" customHeight="1">
      <c r="A165" s="99" t="s">
        <v>109</v>
      </c>
      <c r="B165" s="24">
        <f t="shared" ref="B165:K165" si="57">AVERAGE(B36,B37)</f>
        <v>0</v>
      </c>
      <c r="C165" s="24">
        <f t="shared" si="57"/>
        <v>2</v>
      </c>
      <c r="D165" s="24">
        <f t="shared" si="57"/>
        <v>4</v>
      </c>
      <c r="E165" s="24">
        <f t="shared" si="57"/>
        <v>6552.5</v>
      </c>
      <c r="F165" s="24">
        <f t="shared" si="57"/>
        <v>2901</v>
      </c>
      <c r="G165" s="24">
        <f t="shared" si="57"/>
        <v>377</v>
      </c>
      <c r="H165" s="24">
        <f t="shared" si="57"/>
        <v>0</v>
      </c>
      <c r="I165" s="24">
        <f t="shared" si="57"/>
        <v>0</v>
      </c>
      <c r="J165" s="24">
        <f t="shared" si="57"/>
        <v>9836.5</v>
      </c>
      <c r="K165" s="24">
        <f t="shared" si="57"/>
        <v>9836.5</v>
      </c>
    </row>
    <row r="166" spans="1:11" ht="12" customHeight="1">
      <c r="A166" s="99" t="s">
        <v>10</v>
      </c>
      <c r="B166" s="24">
        <f t="shared" ref="B166:K166" si="58">AVERAGE(B38,B39,B40)</f>
        <v>0</v>
      </c>
      <c r="C166" s="24">
        <f t="shared" si="58"/>
        <v>0</v>
      </c>
      <c r="D166" s="24">
        <f t="shared" si="58"/>
        <v>0.66666666666666663</v>
      </c>
      <c r="E166" s="24">
        <f t="shared" si="58"/>
        <v>384.66666666666669</v>
      </c>
      <c r="F166" s="24">
        <f t="shared" si="58"/>
        <v>4002</v>
      </c>
      <c r="G166" s="24">
        <f t="shared" si="58"/>
        <v>249</v>
      </c>
      <c r="H166" s="24">
        <f t="shared" si="58"/>
        <v>0</v>
      </c>
      <c r="I166" s="24">
        <f t="shared" si="58"/>
        <v>0</v>
      </c>
      <c r="J166" s="24">
        <f t="shared" si="58"/>
        <v>4636.333333333333</v>
      </c>
      <c r="K166" s="24">
        <f t="shared" si="58"/>
        <v>4636.333333333333</v>
      </c>
    </row>
    <row r="167" spans="1:11" ht="12" customHeight="1">
      <c r="A167" s="99" t="s">
        <v>147</v>
      </c>
      <c r="B167" s="24">
        <f t="shared" ref="B167:G167" si="59">AVERAGE(B41, B42)</f>
        <v>0</v>
      </c>
      <c r="C167" s="24">
        <f t="shared" si="59"/>
        <v>0</v>
      </c>
      <c r="D167" s="24">
        <f t="shared" si="59"/>
        <v>0</v>
      </c>
      <c r="E167" s="24">
        <f t="shared" si="59"/>
        <v>0</v>
      </c>
      <c r="F167" s="24">
        <f t="shared" si="59"/>
        <v>1022.5</v>
      </c>
      <c r="G167" s="24">
        <f t="shared" si="59"/>
        <v>73.5</v>
      </c>
      <c r="H167" s="24" t="s">
        <v>23</v>
      </c>
      <c r="I167" s="24">
        <f>AVERAGE(I41, I42)</f>
        <v>0</v>
      </c>
      <c r="J167" s="24">
        <f>AVERAGE(J41, J42)</f>
        <v>1096</v>
      </c>
      <c r="K167" s="24">
        <f>AVERAGE(K41, K42)</f>
        <v>1096</v>
      </c>
    </row>
    <row r="168" spans="1:11" ht="12" customHeight="1">
      <c r="A168" s="99">
        <v>2001</v>
      </c>
      <c r="B168" s="24">
        <f t="shared" ref="B168:K168" si="60">B43</f>
        <v>0</v>
      </c>
      <c r="C168" s="24">
        <f t="shared" si="60"/>
        <v>11</v>
      </c>
      <c r="D168" s="24">
        <f t="shared" si="60"/>
        <v>0</v>
      </c>
      <c r="E168" s="24">
        <f t="shared" si="60"/>
        <v>192</v>
      </c>
      <c r="F168" s="24">
        <f t="shared" si="60"/>
        <v>1203</v>
      </c>
      <c r="G168" s="24">
        <f t="shared" si="60"/>
        <v>192</v>
      </c>
      <c r="H168" s="24" t="str">
        <f t="shared" si="60"/>
        <v>-</v>
      </c>
      <c r="I168" s="24">
        <f t="shared" si="60"/>
        <v>0</v>
      </c>
      <c r="J168" s="24">
        <f t="shared" si="60"/>
        <v>1598</v>
      </c>
      <c r="K168" s="24">
        <f t="shared" si="60"/>
        <v>1598</v>
      </c>
    </row>
    <row r="169" spans="1:11" ht="12" customHeight="1">
      <c r="A169" s="99">
        <v>2003</v>
      </c>
      <c r="B169" s="24">
        <f t="shared" ref="B169:K169" si="61">B44</f>
        <v>0</v>
      </c>
      <c r="C169" s="24">
        <f t="shared" si="61"/>
        <v>0</v>
      </c>
      <c r="D169" s="24">
        <f t="shared" si="61"/>
        <v>0</v>
      </c>
      <c r="E169" s="24">
        <f t="shared" si="61"/>
        <v>172</v>
      </c>
      <c r="F169" s="24">
        <f t="shared" si="61"/>
        <v>41</v>
      </c>
      <c r="G169" s="24">
        <f t="shared" si="61"/>
        <v>23</v>
      </c>
      <c r="H169" s="24" t="str">
        <f t="shared" si="61"/>
        <v>-</v>
      </c>
      <c r="I169" s="24">
        <f t="shared" si="61"/>
        <v>0</v>
      </c>
      <c r="J169" s="24">
        <f t="shared" si="61"/>
        <v>236</v>
      </c>
      <c r="K169" s="24">
        <f t="shared" si="61"/>
        <v>236</v>
      </c>
    </row>
    <row r="170" spans="1:11" ht="12" customHeight="1">
      <c r="A170" s="99">
        <v>2005</v>
      </c>
      <c r="B170" s="24">
        <f t="shared" ref="B170:K170" si="62">B45</f>
        <v>0</v>
      </c>
      <c r="C170" s="24">
        <f t="shared" si="62"/>
        <v>0</v>
      </c>
      <c r="D170" s="24">
        <f t="shared" si="62"/>
        <v>0</v>
      </c>
      <c r="E170" s="24">
        <f t="shared" si="62"/>
        <v>32</v>
      </c>
      <c r="F170" s="24">
        <f t="shared" si="62"/>
        <v>103</v>
      </c>
      <c r="G170" s="24">
        <f t="shared" si="62"/>
        <v>3</v>
      </c>
      <c r="H170" s="24" t="str">
        <f t="shared" si="62"/>
        <v>-</v>
      </c>
      <c r="I170" s="24">
        <f t="shared" si="62"/>
        <v>0</v>
      </c>
      <c r="J170" s="24">
        <f t="shared" si="62"/>
        <v>138</v>
      </c>
      <c r="K170" s="24">
        <f t="shared" si="62"/>
        <v>138</v>
      </c>
    </row>
    <row r="171" spans="1:11" ht="12" customHeight="1">
      <c r="A171" s="99">
        <v>2007</v>
      </c>
      <c r="B171" s="24">
        <f t="shared" ref="B171:K171" si="63">B46</f>
        <v>0</v>
      </c>
      <c r="C171" s="24">
        <f t="shared" si="63"/>
        <v>0</v>
      </c>
      <c r="D171" s="24">
        <f t="shared" si="63"/>
        <v>7</v>
      </c>
      <c r="E171" s="24">
        <f t="shared" si="63"/>
        <v>244</v>
      </c>
      <c r="F171" s="24">
        <f t="shared" si="63"/>
        <v>96</v>
      </c>
      <c r="G171" s="24">
        <f t="shared" si="63"/>
        <v>0</v>
      </c>
      <c r="H171" s="24" t="str">
        <f t="shared" si="63"/>
        <v>-</v>
      </c>
      <c r="I171" s="24">
        <f t="shared" si="63"/>
        <v>0</v>
      </c>
      <c r="J171" s="24">
        <f t="shared" si="63"/>
        <v>347</v>
      </c>
      <c r="K171" s="24">
        <f t="shared" si="63"/>
        <v>347</v>
      </c>
    </row>
    <row r="172" spans="1:11" ht="12" customHeight="1">
      <c r="A172" s="99">
        <v>2009</v>
      </c>
      <c r="B172" s="24">
        <f t="shared" ref="B172:K172" si="64">B47</f>
        <v>0</v>
      </c>
      <c r="C172" s="24">
        <f t="shared" si="64"/>
        <v>0</v>
      </c>
      <c r="D172" s="24">
        <f t="shared" si="64"/>
        <v>0</v>
      </c>
      <c r="E172" s="24">
        <f t="shared" si="64"/>
        <v>237</v>
      </c>
      <c r="F172" s="24">
        <f t="shared" si="64"/>
        <v>145</v>
      </c>
      <c r="G172" s="24">
        <f t="shared" si="64"/>
        <v>0</v>
      </c>
      <c r="H172" s="24" t="str">
        <f t="shared" si="64"/>
        <v>-</v>
      </c>
      <c r="I172" s="24">
        <f t="shared" si="64"/>
        <v>0</v>
      </c>
      <c r="J172" s="24">
        <f t="shared" si="64"/>
        <v>382</v>
      </c>
      <c r="K172" s="24">
        <f t="shared" si="64"/>
        <v>382</v>
      </c>
    </row>
    <row r="173" spans="1:11" ht="12" customHeight="1">
      <c r="A173" s="99">
        <v>2011</v>
      </c>
      <c r="B173" s="24">
        <f t="shared" ref="B173:K173" si="65">B48</f>
        <v>0</v>
      </c>
      <c r="C173" s="24">
        <f t="shared" si="65"/>
        <v>0</v>
      </c>
      <c r="D173" s="24">
        <f t="shared" si="65"/>
        <v>3</v>
      </c>
      <c r="E173" s="24">
        <f t="shared" si="65"/>
        <v>659</v>
      </c>
      <c r="F173" s="24">
        <f t="shared" si="65"/>
        <v>310</v>
      </c>
      <c r="G173" s="24">
        <f t="shared" si="65"/>
        <v>16</v>
      </c>
      <c r="H173" s="24" t="str">
        <f t="shared" si="65"/>
        <v>-</v>
      </c>
      <c r="I173" s="24">
        <f t="shared" si="65"/>
        <v>0</v>
      </c>
      <c r="J173" s="24">
        <f t="shared" si="65"/>
        <v>988</v>
      </c>
      <c r="K173" s="24">
        <f t="shared" si="65"/>
        <v>988</v>
      </c>
    </row>
    <row r="174" spans="1:11" ht="12" customHeight="1">
      <c r="A174" s="99">
        <v>2013</v>
      </c>
      <c r="B174" s="24">
        <f t="shared" ref="B174:K174" si="66">B49</f>
        <v>0</v>
      </c>
      <c r="C174" s="24">
        <f t="shared" si="66"/>
        <v>0</v>
      </c>
      <c r="D174" s="24">
        <f t="shared" si="66"/>
        <v>0</v>
      </c>
      <c r="E174" s="24">
        <f t="shared" si="66"/>
        <v>49</v>
      </c>
      <c r="F174" s="24">
        <f t="shared" si="66"/>
        <v>115</v>
      </c>
      <c r="G174" s="24">
        <f t="shared" si="66"/>
        <v>0</v>
      </c>
      <c r="H174" s="24" t="str">
        <f t="shared" si="66"/>
        <v>-</v>
      </c>
      <c r="I174" s="24">
        <f t="shared" si="66"/>
        <v>0</v>
      </c>
      <c r="J174" s="24">
        <f t="shared" si="66"/>
        <v>164</v>
      </c>
      <c r="K174" s="24">
        <f t="shared" si="66"/>
        <v>164</v>
      </c>
    </row>
    <row r="175" spans="1:11" ht="12" customHeight="1">
      <c r="A175" s="99">
        <v>2015</v>
      </c>
      <c r="B175" s="24">
        <f t="shared" ref="B175:K175" si="67">B50</f>
        <v>0</v>
      </c>
      <c r="C175" s="24">
        <f t="shared" si="67"/>
        <v>0</v>
      </c>
      <c r="D175" s="24">
        <f t="shared" si="67"/>
        <v>4</v>
      </c>
      <c r="E175" s="24">
        <f t="shared" si="67"/>
        <v>0</v>
      </c>
      <c r="F175" s="24">
        <f t="shared" si="67"/>
        <v>16</v>
      </c>
      <c r="G175" s="24">
        <f t="shared" si="67"/>
        <v>0</v>
      </c>
      <c r="H175" s="24" t="str">
        <f t="shared" si="67"/>
        <v>-</v>
      </c>
      <c r="I175" s="24">
        <f t="shared" si="67"/>
        <v>0</v>
      </c>
      <c r="J175" s="24">
        <f t="shared" si="67"/>
        <v>20</v>
      </c>
      <c r="K175" s="24">
        <f t="shared" si="67"/>
        <v>20</v>
      </c>
    </row>
    <row r="176" spans="1:11">
      <c r="A176" s="99">
        <v>2017</v>
      </c>
      <c r="B176" s="24">
        <f t="shared" ref="B176:K176" si="68">B51</f>
        <v>0</v>
      </c>
      <c r="C176" s="24">
        <f t="shared" si="68"/>
        <v>0</v>
      </c>
      <c r="D176" s="24">
        <f t="shared" si="68"/>
        <v>0</v>
      </c>
      <c r="E176" s="24">
        <f t="shared" si="68"/>
        <v>60</v>
      </c>
      <c r="F176" s="24">
        <f t="shared" si="68"/>
        <v>133</v>
      </c>
      <c r="G176" s="24">
        <f t="shared" si="68"/>
        <v>0</v>
      </c>
      <c r="H176" s="24" t="str">
        <f t="shared" si="68"/>
        <v>-</v>
      </c>
      <c r="I176" s="24">
        <f t="shared" si="68"/>
        <v>0</v>
      </c>
      <c r="J176" s="24">
        <f t="shared" si="68"/>
        <v>193</v>
      </c>
      <c r="K176" s="24">
        <f t="shared" si="68"/>
        <v>193</v>
      </c>
    </row>
    <row r="177" spans="1:11">
      <c r="A177" s="99">
        <v>2019</v>
      </c>
      <c r="B177" s="24">
        <f t="shared" ref="B177:K178" si="69">B52</f>
        <v>0</v>
      </c>
      <c r="C177" s="24">
        <f t="shared" si="69"/>
        <v>0</v>
      </c>
      <c r="D177" s="24">
        <f t="shared" si="69"/>
        <v>0</v>
      </c>
      <c r="E177" s="24">
        <f t="shared" si="69"/>
        <v>243</v>
      </c>
      <c r="F177" s="24">
        <f t="shared" si="69"/>
        <v>270</v>
      </c>
      <c r="G177" s="24">
        <f t="shared" si="69"/>
        <v>0</v>
      </c>
      <c r="H177" s="24" t="str">
        <f t="shared" si="69"/>
        <v>-</v>
      </c>
      <c r="I177" s="24">
        <f t="shared" si="69"/>
        <v>0</v>
      </c>
      <c r="J177" s="24">
        <f t="shared" si="69"/>
        <v>513</v>
      </c>
      <c r="K177" s="24">
        <f t="shared" si="69"/>
        <v>513</v>
      </c>
    </row>
    <row r="178" spans="1:11" ht="13">
      <c r="A178" s="99" t="s">
        <v>317</v>
      </c>
      <c r="B178" s="24">
        <f t="shared" si="69"/>
        <v>0</v>
      </c>
      <c r="C178" s="24">
        <f t="shared" si="69"/>
        <v>0</v>
      </c>
      <c r="D178" s="24">
        <f t="shared" si="69"/>
        <v>0</v>
      </c>
      <c r="E178" s="24">
        <f t="shared" si="69"/>
        <v>8</v>
      </c>
      <c r="F178" s="24">
        <f t="shared" si="69"/>
        <v>31</v>
      </c>
      <c r="G178" s="24">
        <f t="shared" si="69"/>
        <v>0</v>
      </c>
      <c r="H178" s="24" t="str">
        <f t="shared" si="69"/>
        <v>-</v>
      </c>
      <c r="I178" s="24">
        <f t="shared" si="69"/>
        <v>0</v>
      </c>
      <c r="J178" s="24">
        <f t="shared" si="69"/>
        <v>39</v>
      </c>
      <c r="K178" s="24">
        <f t="shared" si="69"/>
        <v>39</v>
      </c>
    </row>
    <row r="180" spans="1:11">
      <c r="A180" s="94" t="s">
        <v>60</v>
      </c>
    </row>
    <row r="181" spans="1:11" ht="12" customHeight="1">
      <c r="A181" s="99" t="s">
        <v>24</v>
      </c>
      <c r="B181" s="24">
        <f t="shared" ref="B181:G181" si="70">AVERAGE(B59,B60,B61)</f>
        <v>0</v>
      </c>
      <c r="C181" s="24">
        <f t="shared" si="70"/>
        <v>7.333333333333333</v>
      </c>
      <c r="D181" s="24">
        <f t="shared" si="70"/>
        <v>100</v>
      </c>
      <c r="E181" s="24">
        <f t="shared" si="70"/>
        <v>653.66666666666663</v>
      </c>
      <c r="F181" s="24">
        <f t="shared" si="70"/>
        <v>418</v>
      </c>
      <c r="G181" s="24">
        <f t="shared" si="70"/>
        <v>11.666666666666666</v>
      </c>
      <c r="H181" s="24">
        <f>AVERAGE(H58, H59)</f>
        <v>0</v>
      </c>
      <c r="I181" s="24">
        <f>AVERAGE(I58, I59)</f>
        <v>0</v>
      </c>
      <c r="J181" s="24">
        <f>AVERAGE(J59,J60,J61)</f>
        <v>1190.6666666666667</v>
      </c>
      <c r="K181" s="24">
        <f>AVERAGE(K59,K60,K61)</f>
        <v>1190.6666666666667</v>
      </c>
    </row>
    <row r="182" spans="1:11" ht="12" customHeight="1">
      <c r="A182" s="99" t="s">
        <v>109</v>
      </c>
      <c r="B182" s="24">
        <f t="shared" ref="B182:G182" si="71">AVERAGE(B62,B63)</f>
        <v>0</v>
      </c>
      <c r="C182" s="24">
        <f t="shared" si="71"/>
        <v>3</v>
      </c>
      <c r="D182" s="24">
        <f t="shared" si="71"/>
        <v>6</v>
      </c>
      <c r="E182" s="24">
        <f t="shared" si="71"/>
        <v>625</v>
      </c>
      <c r="F182" s="24">
        <f t="shared" si="71"/>
        <v>666.5</v>
      </c>
      <c r="G182" s="24">
        <f t="shared" si="71"/>
        <v>64.5</v>
      </c>
      <c r="H182" s="24" t="s">
        <v>23</v>
      </c>
      <c r="I182" s="24" t="s">
        <v>23</v>
      </c>
      <c r="J182" s="24">
        <f>AVERAGE(J62,J63)</f>
        <v>1365</v>
      </c>
      <c r="K182" s="24">
        <f>AVERAGE(K62,K63)</f>
        <v>1365</v>
      </c>
    </row>
    <row r="183" spans="1:11" ht="12" customHeight="1">
      <c r="A183" s="99" t="s">
        <v>10</v>
      </c>
      <c r="B183" s="24">
        <f t="shared" ref="B183:G183" si="72">AVERAGE(B64,B65,B66)</f>
        <v>0</v>
      </c>
      <c r="C183" s="24">
        <f t="shared" si="72"/>
        <v>0</v>
      </c>
      <c r="D183" s="24">
        <f t="shared" si="72"/>
        <v>0</v>
      </c>
      <c r="E183" s="24">
        <f t="shared" si="72"/>
        <v>65</v>
      </c>
      <c r="F183" s="24">
        <f t="shared" si="72"/>
        <v>277.33333333333331</v>
      </c>
      <c r="G183" s="24">
        <f t="shared" si="72"/>
        <v>10.333333333333334</v>
      </c>
      <c r="H183" s="24" t="s">
        <v>23</v>
      </c>
      <c r="I183" s="24" t="s">
        <v>23</v>
      </c>
      <c r="J183" s="24">
        <f>AVERAGE(J64,J65,J66)</f>
        <v>352.66666666666669</v>
      </c>
      <c r="K183" s="24">
        <f>AVERAGE(K64,K65,K66)</f>
        <v>352.66666666666669</v>
      </c>
    </row>
    <row r="184" spans="1:11" ht="12" customHeight="1">
      <c r="A184" s="99" t="s">
        <v>147</v>
      </c>
      <c r="B184" s="24">
        <f t="shared" ref="B184:G184" si="73">AVERAGE(B67,B68)</f>
        <v>0</v>
      </c>
      <c r="C184" s="24">
        <f t="shared" si="73"/>
        <v>0</v>
      </c>
      <c r="D184" s="24">
        <f t="shared" si="73"/>
        <v>0</v>
      </c>
      <c r="E184" s="24">
        <f t="shared" si="73"/>
        <v>0</v>
      </c>
      <c r="F184" s="24">
        <f t="shared" si="73"/>
        <v>0</v>
      </c>
      <c r="G184" s="24">
        <f t="shared" si="73"/>
        <v>0</v>
      </c>
      <c r="H184" s="24" t="s">
        <v>23</v>
      </c>
      <c r="I184" s="24" t="s">
        <v>23</v>
      </c>
      <c r="J184" s="24">
        <f>AVERAGE(J67,J68)</f>
        <v>0</v>
      </c>
      <c r="K184" s="24">
        <f>AVERAGE(K67,K68)</f>
        <v>0</v>
      </c>
    </row>
    <row r="185" spans="1:11" ht="12" customHeight="1">
      <c r="A185" s="99">
        <v>2001</v>
      </c>
      <c r="B185" s="24">
        <f t="shared" ref="B185:K185" si="74">B69</f>
        <v>0</v>
      </c>
      <c r="C185" s="24">
        <f t="shared" si="74"/>
        <v>0</v>
      </c>
      <c r="D185" s="24">
        <f t="shared" si="74"/>
        <v>0</v>
      </c>
      <c r="E185" s="24">
        <f t="shared" si="74"/>
        <v>0</v>
      </c>
      <c r="F185" s="24">
        <f t="shared" si="74"/>
        <v>0</v>
      </c>
      <c r="G185" s="24">
        <f t="shared" si="74"/>
        <v>0</v>
      </c>
      <c r="H185" s="24" t="str">
        <f t="shared" si="74"/>
        <v>-</v>
      </c>
      <c r="I185" s="24" t="str">
        <f t="shared" si="74"/>
        <v>-</v>
      </c>
      <c r="J185" s="24">
        <f t="shared" si="74"/>
        <v>0</v>
      </c>
      <c r="K185" s="24">
        <f t="shared" si="74"/>
        <v>0</v>
      </c>
    </row>
    <row r="186" spans="1:11" ht="12" customHeight="1">
      <c r="A186" s="99">
        <v>2003</v>
      </c>
      <c r="B186" s="24">
        <f t="shared" ref="B186:K186" si="75">B70</f>
        <v>0</v>
      </c>
      <c r="C186" s="24">
        <f t="shared" si="75"/>
        <v>0</v>
      </c>
      <c r="D186" s="24">
        <f t="shared" si="75"/>
        <v>0</v>
      </c>
      <c r="E186" s="24">
        <f t="shared" si="75"/>
        <v>0</v>
      </c>
      <c r="F186" s="24">
        <f t="shared" si="75"/>
        <v>0</v>
      </c>
      <c r="G186" s="24">
        <f t="shared" si="75"/>
        <v>0</v>
      </c>
      <c r="H186" s="24">
        <f t="shared" si="75"/>
        <v>0</v>
      </c>
      <c r="I186" s="24" t="str">
        <f t="shared" si="75"/>
        <v>-</v>
      </c>
      <c r="J186" s="24">
        <f t="shared" si="75"/>
        <v>0</v>
      </c>
      <c r="K186" s="24">
        <f t="shared" si="75"/>
        <v>0</v>
      </c>
    </row>
    <row r="187" spans="1:11" ht="12" customHeight="1">
      <c r="A187" s="99">
        <v>2005</v>
      </c>
      <c r="B187" s="24">
        <f t="shared" ref="B187:K187" si="76">B71</f>
        <v>0</v>
      </c>
      <c r="C187" s="24">
        <f t="shared" si="76"/>
        <v>0</v>
      </c>
      <c r="D187" s="24">
        <f t="shared" si="76"/>
        <v>0</v>
      </c>
      <c r="E187" s="24">
        <f t="shared" si="76"/>
        <v>0</v>
      </c>
      <c r="F187" s="24">
        <f t="shared" si="76"/>
        <v>1</v>
      </c>
      <c r="G187" s="24">
        <f t="shared" si="76"/>
        <v>0</v>
      </c>
      <c r="H187" s="24">
        <f t="shared" si="76"/>
        <v>0</v>
      </c>
      <c r="I187" s="24" t="str">
        <f t="shared" si="76"/>
        <v>-</v>
      </c>
      <c r="J187" s="24">
        <f t="shared" si="76"/>
        <v>1</v>
      </c>
      <c r="K187" s="24">
        <f t="shared" si="76"/>
        <v>1</v>
      </c>
    </row>
    <row r="188" spans="1:11" ht="12" customHeight="1">
      <c r="A188" s="99">
        <v>2007</v>
      </c>
      <c r="B188" s="24">
        <f t="shared" ref="B188:K188" si="77">B72</f>
        <v>0</v>
      </c>
      <c r="C188" s="24">
        <f t="shared" si="77"/>
        <v>0</v>
      </c>
      <c r="D188" s="24">
        <f t="shared" si="77"/>
        <v>0</v>
      </c>
      <c r="E188" s="24">
        <f t="shared" si="77"/>
        <v>0</v>
      </c>
      <c r="F188" s="24">
        <f t="shared" si="77"/>
        <v>14</v>
      </c>
      <c r="G188" s="24">
        <f t="shared" si="77"/>
        <v>0</v>
      </c>
      <c r="H188" s="24">
        <f t="shared" si="77"/>
        <v>0</v>
      </c>
      <c r="I188" s="24" t="str">
        <f t="shared" si="77"/>
        <v>-</v>
      </c>
      <c r="J188" s="24">
        <f t="shared" si="77"/>
        <v>14</v>
      </c>
      <c r="K188" s="24">
        <f t="shared" si="77"/>
        <v>14</v>
      </c>
    </row>
    <row r="189" spans="1:11" ht="12" customHeight="1">
      <c r="A189" s="99">
        <v>2009</v>
      </c>
      <c r="B189" s="24">
        <f t="shared" ref="B189:K189" si="78">B73</f>
        <v>0</v>
      </c>
      <c r="C189" s="24">
        <f t="shared" si="78"/>
        <v>0</v>
      </c>
      <c r="D189" s="24">
        <f t="shared" si="78"/>
        <v>0</v>
      </c>
      <c r="E189" s="24">
        <f t="shared" si="78"/>
        <v>1</v>
      </c>
      <c r="F189" s="24">
        <f t="shared" si="78"/>
        <v>4</v>
      </c>
      <c r="G189" s="24">
        <f t="shared" si="78"/>
        <v>0</v>
      </c>
      <c r="H189" s="24">
        <f t="shared" si="78"/>
        <v>0</v>
      </c>
      <c r="I189" s="24" t="str">
        <f t="shared" si="78"/>
        <v>-</v>
      </c>
      <c r="J189" s="24">
        <f t="shared" si="78"/>
        <v>5</v>
      </c>
      <c r="K189" s="24">
        <f t="shared" si="78"/>
        <v>5</v>
      </c>
    </row>
    <row r="190" spans="1:11" ht="12" customHeight="1">
      <c r="A190" s="99">
        <v>2011</v>
      </c>
      <c r="B190" s="24">
        <f t="shared" ref="B190:K190" si="79">B74</f>
        <v>0</v>
      </c>
      <c r="C190" s="24">
        <f t="shared" si="79"/>
        <v>0</v>
      </c>
      <c r="D190" s="24">
        <f t="shared" si="79"/>
        <v>0</v>
      </c>
      <c r="E190" s="24">
        <f t="shared" si="79"/>
        <v>0</v>
      </c>
      <c r="F190" s="24">
        <f t="shared" si="79"/>
        <v>4</v>
      </c>
      <c r="G190" s="24">
        <f t="shared" si="79"/>
        <v>0</v>
      </c>
      <c r="H190" s="24">
        <f t="shared" si="79"/>
        <v>0</v>
      </c>
      <c r="I190" s="24" t="str">
        <f t="shared" si="79"/>
        <v>-</v>
      </c>
      <c r="J190" s="24">
        <f t="shared" si="79"/>
        <v>4</v>
      </c>
      <c r="K190" s="24">
        <f t="shared" si="79"/>
        <v>4</v>
      </c>
    </row>
    <row r="191" spans="1:11" ht="12" customHeight="1">
      <c r="A191" s="99">
        <v>2013</v>
      </c>
      <c r="B191" s="24">
        <f t="shared" ref="B191:K191" si="80">B75</f>
        <v>0</v>
      </c>
      <c r="C191" s="24">
        <f t="shared" si="80"/>
        <v>0</v>
      </c>
      <c r="D191" s="24">
        <f t="shared" si="80"/>
        <v>0</v>
      </c>
      <c r="E191" s="24">
        <f t="shared" si="80"/>
        <v>1</v>
      </c>
      <c r="F191" s="24">
        <f t="shared" si="80"/>
        <v>5</v>
      </c>
      <c r="G191" s="24">
        <f t="shared" si="80"/>
        <v>0</v>
      </c>
      <c r="H191" s="24">
        <f t="shared" si="80"/>
        <v>0</v>
      </c>
      <c r="I191" s="24" t="str">
        <f t="shared" si="80"/>
        <v>-</v>
      </c>
      <c r="J191" s="24">
        <f t="shared" si="80"/>
        <v>6</v>
      </c>
      <c r="K191" s="24">
        <f t="shared" si="80"/>
        <v>6</v>
      </c>
    </row>
    <row r="192" spans="1:11" ht="12" customHeight="1">
      <c r="A192" s="99">
        <v>2015</v>
      </c>
      <c r="B192" s="24">
        <f t="shared" ref="B192:K192" si="81">B76</f>
        <v>0</v>
      </c>
      <c r="C192" s="24">
        <f t="shared" si="81"/>
        <v>0</v>
      </c>
      <c r="D192" s="24">
        <f t="shared" si="81"/>
        <v>0</v>
      </c>
      <c r="E192" s="24">
        <f t="shared" si="81"/>
        <v>98</v>
      </c>
      <c r="F192" s="24">
        <f t="shared" si="81"/>
        <v>0</v>
      </c>
      <c r="G192" s="24">
        <f t="shared" si="81"/>
        <v>0</v>
      </c>
      <c r="H192" s="24">
        <f t="shared" si="81"/>
        <v>0</v>
      </c>
      <c r="I192" s="24" t="str">
        <f t="shared" si="81"/>
        <v>-</v>
      </c>
      <c r="J192" s="24">
        <f t="shared" si="81"/>
        <v>98</v>
      </c>
      <c r="K192" s="24">
        <f t="shared" si="81"/>
        <v>98</v>
      </c>
    </row>
    <row r="193" spans="1:11">
      <c r="A193" s="99">
        <v>2017</v>
      </c>
      <c r="B193" s="24">
        <f t="shared" ref="B193:K193" si="82">B77</f>
        <v>0</v>
      </c>
      <c r="C193" s="24">
        <f t="shared" si="82"/>
        <v>0</v>
      </c>
      <c r="D193" s="24">
        <f t="shared" si="82"/>
        <v>0</v>
      </c>
      <c r="E193" s="24">
        <f t="shared" si="82"/>
        <v>0</v>
      </c>
      <c r="F193" s="24">
        <f t="shared" si="82"/>
        <v>0</v>
      </c>
      <c r="G193" s="24">
        <f t="shared" si="82"/>
        <v>0</v>
      </c>
      <c r="H193" s="24">
        <f t="shared" si="82"/>
        <v>0</v>
      </c>
      <c r="I193" s="24" t="str">
        <f t="shared" si="82"/>
        <v>-</v>
      </c>
      <c r="J193" s="24">
        <f t="shared" si="82"/>
        <v>0</v>
      </c>
      <c r="K193" s="24">
        <f t="shared" si="82"/>
        <v>0</v>
      </c>
    </row>
    <row r="194" spans="1:11">
      <c r="A194" s="99">
        <v>2019</v>
      </c>
      <c r="B194" s="24">
        <f t="shared" ref="B194:K195" si="83">B78</f>
        <v>0</v>
      </c>
      <c r="C194" s="24">
        <f t="shared" si="83"/>
        <v>0</v>
      </c>
      <c r="D194" s="24">
        <f t="shared" si="83"/>
        <v>0</v>
      </c>
      <c r="E194" s="24">
        <f t="shared" si="83"/>
        <v>0</v>
      </c>
      <c r="F194" s="24">
        <f t="shared" si="83"/>
        <v>0</v>
      </c>
      <c r="G194" s="24">
        <f t="shared" si="83"/>
        <v>0</v>
      </c>
      <c r="H194" s="24">
        <f t="shared" si="83"/>
        <v>0</v>
      </c>
      <c r="I194" s="24" t="str">
        <f t="shared" si="83"/>
        <v>-</v>
      </c>
      <c r="J194" s="24">
        <f t="shared" si="83"/>
        <v>0</v>
      </c>
      <c r="K194" s="24">
        <f t="shared" si="83"/>
        <v>0</v>
      </c>
    </row>
    <row r="195" spans="1:11" ht="13">
      <c r="A195" s="99" t="s">
        <v>317</v>
      </c>
      <c r="B195" s="24">
        <f t="shared" si="83"/>
        <v>0</v>
      </c>
      <c r="C195" s="24">
        <f t="shared" si="83"/>
        <v>0</v>
      </c>
      <c r="D195" s="24">
        <f t="shared" si="83"/>
        <v>0</v>
      </c>
      <c r="E195" s="24">
        <f t="shared" si="83"/>
        <v>0</v>
      </c>
      <c r="F195" s="24">
        <f t="shared" si="83"/>
        <v>0</v>
      </c>
      <c r="G195" s="24">
        <f t="shared" si="83"/>
        <v>0</v>
      </c>
      <c r="H195" s="24">
        <f t="shared" si="83"/>
        <v>0</v>
      </c>
      <c r="I195" s="24" t="str">
        <f t="shared" si="83"/>
        <v>-</v>
      </c>
      <c r="J195" s="24">
        <f t="shared" si="83"/>
        <v>0</v>
      </c>
      <c r="K195" s="24">
        <f t="shared" si="83"/>
        <v>0</v>
      </c>
    </row>
    <row r="197" spans="1:11">
      <c r="A197" s="327" t="s">
        <v>151</v>
      </c>
      <c r="B197" s="327"/>
      <c r="C197" s="327"/>
      <c r="D197" s="327"/>
      <c r="E197" s="327"/>
      <c r="F197" s="327"/>
      <c r="G197" s="327"/>
      <c r="H197" s="327"/>
      <c r="I197" s="327"/>
      <c r="J197" s="327"/>
      <c r="K197" s="327"/>
    </row>
    <row r="198" spans="1:11" ht="12" customHeight="1">
      <c r="A198" s="345"/>
      <c r="B198" s="345"/>
      <c r="C198" s="345"/>
      <c r="D198" s="345"/>
      <c r="E198" s="345"/>
      <c r="F198" s="345"/>
      <c r="G198" s="345"/>
      <c r="H198" s="345"/>
      <c r="I198" s="345"/>
      <c r="J198" s="345"/>
      <c r="K198" s="345"/>
    </row>
    <row r="199" spans="1:11" ht="12" customHeight="1">
      <c r="A199" s="344" t="s">
        <v>212</v>
      </c>
      <c r="B199" s="14"/>
      <c r="C199" s="14"/>
      <c r="D199" s="14"/>
      <c r="E199" s="14"/>
      <c r="F199" s="14"/>
      <c r="G199" s="14"/>
      <c r="H199" s="14"/>
      <c r="I199" s="14"/>
      <c r="J199" s="284" t="s">
        <v>55</v>
      </c>
      <c r="K199" s="284"/>
    </row>
    <row r="200" spans="1:11" ht="12" customHeight="1">
      <c r="A200" s="349"/>
      <c r="B200" s="225" t="s">
        <v>65</v>
      </c>
      <c r="C200" s="225" t="s">
        <v>29</v>
      </c>
      <c r="D200" s="225" t="s">
        <v>30</v>
      </c>
      <c r="E200" s="225" t="s">
        <v>31</v>
      </c>
      <c r="F200" s="225" t="s">
        <v>32</v>
      </c>
      <c r="G200" s="225" t="s">
        <v>33</v>
      </c>
      <c r="H200" s="225" t="s">
        <v>34</v>
      </c>
      <c r="I200" s="225" t="s">
        <v>67</v>
      </c>
      <c r="J200" s="225" t="s">
        <v>68</v>
      </c>
      <c r="K200" s="225" t="s">
        <v>46</v>
      </c>
    </row>
    <row r="201" spans="1:11" ht="12" customHeight="1">
      <c r="A201" s="94" t="s">
        <v>58</v>
      </c>
    </row>
    <row r="202" spans="1:11" ht="12" customHeight="1">
      <c r="A202" s="99" t="s">
        <v>24</v>
      </c>
      <c r="B202" s="24">
        <f t="shared" ref="B202:K202" si="84">AVERAGE(B84,B85,B86)</f>
        <v>0</v>
      </c>
      <c r="C202" s="24">
        <f t="shared" si="84"/>
        <v>1.3333333333333333</v>
      </c>
      <c r="D202" s="24">
        <f t="shared" si="84"/>
        <v>18.333333333333332</v>
      </c>
      <c r="E202" s="24">
        <f t="shared" si="84"/>
        <v>106.33333333333333</v>
      </c>
      <c r="F202" s="24">
        <f t="shared" si="84"/>
        <v>6</v>
      </c>
      <c r="G202" s="24">
        <f t="shared" si="84"/>
        <v>0</v>
      </c>
      <c r="H202" s="24">
        <f>AVERAGE(H84,H85,H86)</f>
        <v>0</v>
      </c>
      <c r="I202" s="24">
        <f>AVERAGE(I84,I85,I86)</f>
        <v>0</v>
      </c>
      <c r="J202" s="24">
        <f t="shared" si="84"/>
        <v>132</v>
      </c>
      <c r="K202" s="24">
        <f t="shared" si="84"/>
        <v>132</v>
      </c>
    </row>
    <row r="203" spans="1:11" ht="12" customHeight="1">
      <c r="A203" s="99" t="s">
        <v>109</v>
      </c>
      <c r="B203" s="24">
        <f t="shared" ref="B203:K203" si="85">AVERAGE(B87,B88)</f>
        <v>0</v>
      </c>
      <c r="C203" s="24">
        <f t="shared" si="85"/>
        <v>0</v>
      </c>
      <c r="D203" s="24">
        <f t="shared" si="85"/>
        <v>0</v>
      </c>
      <c r="E203" s="24">
        <f t="shared" si="85"/>
        <v>419</v>
      </c>
      <c r="F203" s="24">
        <f t="shared" si="85"/>
        <v>43.5</v>
      </c>
      <c r="G203" s="24">
        <f t="shared" si="85"/>
        <v>8</v>
      </c>
      <c r="H203" s="24" t="s">
        <v>23</v>
      </c>
      <c r="I203" s="24" t="s">
        <v>23</v>
      </c>
      <c r="J203" s="24">
        <f t="shared" si="85"/>
        <v>470.5</v>
      </c>
      <c r="K203" s="24">
        <f t="shared" si="85"/>
        <v>470.5</v>
      </c>
    </row>
    <row r="204" spans="1:11" ht="12" customHeight="1">
      <c r="A204" s="99" t="s">
        <v>10</v>
      </c>
      <c r="B204" s="24">
        <f t="shared" ref="B204:K204" si="86">AVERAGE(B89,B90,B91)</f>
        <v>0</v>
      </c>
      <c r="C204" s="24">
        <f t="shared" si="86"/>
        <v>0</v>
      </c>
      <c r="D204" s="24">
        <f t="shared" si="86"/>
        <v>0</v>
      </c>
      <c r="E204" s="24">
        <f t="shared" si="86"/>
        <v>6.666666666666667</v>
      </c>
      <c r="F204" s="24">
        <f t="shared" si="86"/>
        <v>6.333333333333333</v>
      </c>
      <c r="G204" s="24">
        <f t="shared" si="86"/>
        <v>0</v>
      </c>
      <c r="H204" s="24" t="s">
        <v>23</v>
      </c>
      <c r="I204" s="24" t="s">
        <v>23</v>
      </c>
      <c r="J204" s="24">
        <f t="shared" si="86"/>
        <v>13</v>
      </c>
      <c r="K204" s="24">
        <f t="shared" si="86"/>
        <v>13</v>
      </c>
    </row>
    <row r="205" spans="1:11" ht="12" customHeight="1">
      <c r="A205" s="99" t="s">
        <v>147</v>
      </c>
      <c r="B205" s="24">
        <f t="shared" ref="B205:G205" si="87">AVERAGE(B92,B93)</f>
        <v>0</v>
      </c>
      <c r="C205" s="24">
        <f t="shared" si="87"/>
        <v>0</v>
      </c>
      <c r="D205" s="24">
        <f t="shared" si="87"/>
        <v>0</v>
      </c>
      <c r="E205" s="24">
        <f t="shared" si="87"/>
        <v>0</v>
      </c>
      <c r="F205" s="24">
        <f t="shared" si="87"/>
        <v>0</v>
      </c>
      <c r="G205" s="24">
        <f t="shared" si="87"/>
        <v>0</v>
      </c>
      <c r="H205" s="24" t="s">
        <v>23</v>
      </c>
      <c r="I205" s="24" t="s">
        <v>23</v>
      </c>
      <c r="J205" s="24">
        <f>AVERAGE(J92,J93)</f>
        <v>0</v>
      </c>
      <c r="K205" s="24">
        <f>AVERAGE(K92,K93)</f>
        <v>0</v>
      </c>
    </row>
    <row r="206" spans="1:11" ht="12" customHeight="1">
      <c r="A206" s="99">
        <v>2001</v>
      </c>
      <c r="B206" s="24">
        <f t="shared" ref="B206:K206" si="88">B94</f>
        <v>0</v>
      </c>
      <c r="C206" s="24">
        <f t="shared" si="88"/>
        <v>0</v>
      </c>
      <c r="D206" s="24">
        <f t="shared" si="88"/>
        <v>0</v>
      </c>
      <c r="E206" s="24">
        <f t="shared" si="88"/>
        <v>0</v>
      </c>
      <c r="F206" s="24">
        <f t="shared" si="88"/>
        <v>0</v>
      </c>
      <c r="G206" s="24">
        <f t="shared" si="88"/>
        <v>0</v>
      </c>
      <c r="H206" s="24" t="str">
        <f t="shared" si="88"/>
        <v>-</v>
      </c>
      <c r="I206" s="24" t="str">
        <f t="shared" si="88"/>
        <v>-</v>
      </c>
      <c r="J206" s="24">
        <f t="shared" si="88"/>
        <v>0</v>
      </c>
      <c r="K206" s="24">
        <f t="shared" si="88"/>
        <v>0</v>
      </c>
    </row>
    <row r="207" spans="1:11" ht="12" customHeight="1">
      <c r="A207" s="99">
        <v>2003</v>
      </c>
      <c r="B207" s="24">
        <f t="shared" ref="B207:K207" si="89">B95</f>
        <v>0</v>
      </c>
      <c r="C207" s="24">
        <f t="shared" si="89"/>
        <v>0</v>
      </c>
      <c r="D207" s="24">
        <f t="shared" si="89"/>
        <v>0</v>
      </c>
      <c r="E207" s="24">
        <f t="shared" si="89"/>
        <v>0</v>
      </c>
      <c r="F207" s="24">
        <f t="shared" si="89"/>
        <v>0</v>
      </c>
      <c r="G207" s="24">
        <f t="shared" si="89"/>
        <v>0</v>
      </c>
      <c r="H207" s="24" t="str">
        <f t="shared" si="89"/>
        <v>-</v>
      </c>
      <c r="I207" s="24" t="str">
        <f t="shared" si="89"/>
        <v>-</v>
      </c>
      <c r="J207" s="24">
        <f t="shared" si="89"/>
        <v>0</v>
      </c>
      <c r="K207" s="24">
        <f t="shared" si="89"/>
        <v>0</v>
      </c>
    </row>
    <row r="208" spans="1:11" ht="12" customHeight="1">
      <c r="A208" s="99">
        <v>2005</v>
      </c>
      <c r="B208" s="24">
        <f t="shared" ref="B208:K208" si="90">B96</f>
        <v>0</v>
      </c>
      <c r="C208" s="24">
        <f t="shared" si="90"/>
        <v>0</v>
      </c>
      <c r="D208" s="24">
        <f t="shared" si="90"/>
        <v>0</v>
      </c>
      <c r="E208" s="24">
        <f t="shared" si="90"/>
        <v>0</v>
      </c>
      <c r="F208" s="24">
        <f t="shared" si="90"/>
        <v>6</v>
      </c>
      <c r="G208" s="24">
        <f t="shared" si="90"/>
        <v>0</v>
      </c>
      <c r="H208" s="24" t="str">
        <f t="shared" si="90"/>
        <v>-</v>
      </c>
      <c r="I208" s="24" t="str">
        <f t="shared" si="90"/>
        <v>-</v>
      </c>
      <c r="J208" s="24">
        <f t="shared" si="90"/>
        <v>6</v>
      </c>
      <c r="K208" s="24">
        <f t="shared" si="90"/>
        <v>6</v>
      </c>
    </row>
    <row r="209" spans="1:13" ht="12" customHeight="1">
      <c r="A209" s="99">
        <v>2007</v>
      </c>
      <c r="B209" s="24">
        <f t="shared" ref="B209:K209" si="91">B97</f>
        <v>0</v>
      </c>
      <c r="C209" s="24">
        <f t="shared" si="91"/>
        <v>0</v>
      </c>
      <c r="D209" s="24">
        <f t="shared" si="91"/>
        <v>0</v>
      </c>
      <c r="E209" s="24">
        <f t="shared" si="91"/>
        <v>0</v>
      </c>
      <c r="F209" s="24">
        <f t="shared" si="91"/>
        <v>0</v>
      </c>
      <c r="G209" s="24">
        <f t="shared" si="91"/>
        <v>0</v>
      </c>
      <c r="H209" s="24" t="str">
        <f t="shared" si="91"/>
        <v>-</v>
      </c>
      <c r="I209" s="24" t="str">
        <f t="shared" si="91"/>
        <v>-</v>
      </c>
      <c r="J209" s="24">
        <f t="shared" si="91"/>
        <v>0</v>
      </c>
      <c r="K209" s="24">
        <f t="shared" si="91"/>
        <v>0</v>
      </c>
    </row>
    <row r="210" spans="1:13" ht="12" customHeight="1">
      <c r="A210" s="99">
        <v>2009</v>
      </c>
      <c r="B210" s="24">
        <f t="shared" ref="B210:K210" si="92">B98</f>
        <v>0</v>
      </c>
      <c r="C210" s="24">
        <f t="shared" si="92"/>
        <v>0</v>
      </c>
      <c r="D210" s="24">
        <f t="shared" si="92"/>
        <v>0</v>
      </c>
      <c r="E210" s="24">
        <f t="shared" si="92"/>
        <v>4</v>
      </c>
      <c r="F210" s="24">
        <f t="shared" si="92"/>
        <v>1</v>
      </c>
      <c r="G210" s="24">
        <f t="shared" si="92"/>
        <v>0</v>
      </c>
      <c r="H210" s="24" t="str">
        <f t="shared" si="92"/>
        <v>-</v>
      </c>
      <c r="I210" s="24" t="str">
        <f t="shared" si="92"/>
        <v>-</v>
      </c>
      <c r="J210" s="24">
        <f t="shared" si="92"/>
        <v>5</v>
      </c>
      <c r="K210" s="24">
        <f t="shared" si="92"/>
        <v>5</v>
      </c>
    </row>
    <row r="211" spans="1:13" ht="12" customHeight="1">
      <c r="A211" s="99">
        <v>2011</v>
      </c>
      <c r="B211" s="24">
        <f t="shared" ref="B211:K211" si="93">B99</f>
        <v>0</v>
      </c>
      <c r="C211" s="24">
        <f t="shared" si="93"/>
        <v>0</v>
      </c>
      <c r="D211" s="24">
        <f t="shared" si="93"/>
        <v>0</v>
      </c>
      <c r="E211" s="24">
        <f t="shared" si="93"/>
        <v>4</v>
      </c>
      <c r="F211" s="24">
        <f t="shared" si="93"/>
        <v>5</v>
      </c>
      <c r="G211" s="24">
        <f t="shared" si="93"/>
        <v>0</v>
      </c>
      <c r="H211" s="24" t="str">
        <f t="shared" si="93"/>
        <v>-</v>
      </c>
      <c r="I211" s="24" t="str">
        <f t="shared" si="93"/>
        <v>-</v>
      </c>
      <c r="J211" s="24">
        <f t="shared" si="93"/>
        <v>9</v>
      </c>
      <c r="K211" s="24">
        <f t="shared" si="93"/>
        <v>9</v>
      </c>
    </row>
    <row r="212" spans="1:13" ht="12" customHeight="1">
      <c r="A212" s="99">
        <v>2013</v>
      </c>
      <c r="B212" s="24">
        <f t="shared" ref="B212:K212" si="94">B100</f>
        <v>0</v>
      </c>
      <c r="C212" s="24">
        <f t="shared" si="94"/>
        <v>0</v>
      </c>
      <c r="D212" s="24">
        <f t="shared" si="94"/>
        <v>0</v>
      </c>
      <c r="E212" s="24">
        <f t="shared" si="94"/>
        <v>0</v>
      </c>
      <c r="F212" s="24">
        <f t="shared" si="94"/>
        <v>0</v>
      </c>
      <c r="G212" s="24">
        <f t="shared" si="94"/>
        <v>0</v>
      </c>
      <c r="H212" s="24" t="str">
        <f t="shared" si="94"/>
        <v>-</v>
      </c>
      <c r="I212" s="24" t="str">
        <f t="shared" si="94"/>
        <v>-</v>
      </c>
      <c r="J212" s="24">
        <f t="shared" si="94"/>
        <v>0</v>
      </c>
      <c r="K212" s="24">
        <f t="shared" si="94"/>
        <v>0</v>
      </c>
    </row>
    <row r="213" spans="1:13" ht="12" customHeight="1">
      <c r="A213" s="99">
        <v>2015</v>
      </c>
      <c r="B213" s="24">
        <f t="shared" ref="B213:K213" si="95">B101</f>
        <v>0</v>
      </c>
      <c r="C213" s="24">
        <f t="shared" si="95"/>
        <v>0</v>
      </c>
      <c r="D213" s="24">
        <f t="shared" si="95"/>
        <v>0</v>
      </c>
      <c r="E213" s="24">
        <f t="shared" si="95"/>
        <v>0</v>
      </c>
      <c r="F213" s="24">
        <f t="shared" si="95"/>
        <v>0</v>
      </c>
      <c r="G213" s="24">
        <f t="shared" si="95"/>
        <v>0</v>
      </c>
      <c r="H213" s="24" t="str">
        <f t="shared" si="95"/>
        <v>-</v>
      </c>
      <c r="I213" s="24" t="str">
        <f t="shared" si="95"/>
        <v>-</v>
      </c>
      <c r="J213" s="24">
        <f t="shared" si="95"/>
        <v>0</v>
      </c>
      <c r="K213" s="24">
        <f t="shared" si="95"/>
        <v>0</v>
      </c>
    </row>
    <row r="214" spans="1:13">
      <c r="A214" s="99">
        <v>2017</v>
      </c>
      <c r="B214" s="24">
        <f t="shared" ref="B214:K216" si="96">B102</f>
        <v>0</v>
      </c>
      <c r="C214" s="24">
        <f t="shared" si="96"/>
        <v>0</v>
      </c>
      <c r="D214" s="24">
        <f t="shared" si="96"/>
        <v>0</v>
      </c>
      <c r="E214" s="24">
        <f t="shared" si="96"/>
        <v>0</v>
      </c>
      <c r="F214" s="24">
        <f t="shared" si="96"/>
        <v>0</v>
      </c>
      <c r="G214" s="24">
        <f t="shared" si="96"/>
        <v>0</v>
      </c>
      <c r="H214" s="24" t="str">
        <f t="shared" si="96"/>
        <v>-</v>
      </c>
      <c r="I214" s="24" t="str">
        <f t="shared" si="96"/>
        <v>-</v>
      </c>
      <c r="J214" s="24">
        <f t="shared" si="96"/>
        <v>0</v>
      </c>
      <c r="K214" s="24">
        <f t="shared" si="96"/>
        <v>0</v>
      </c>
    </row>
    <row r="215" spans="1:13">
      <c r="A215" s="99">
        <v>2019</v>
      </c>
      <c r="B215" s="24">
        <f t="shared" si="96"/>
        <v>0</v>
      </c>
      <c r="C215" s="24">
        <f t="shared" si="96"/>
        <v>0</v>
      </c>
      <c r="D215" s="24">
        <f t="shared" si="96"/>
        <v>0</v>
      </c>
      <c r="E215" s="24">
        <f t="shared" si="96"/>
        <v>0</v>
      </c>
      <c r="F215" s="24">
        <f t="shared" si="96"/>
        <v>0</v>
      </c>
      <c r="G215" s="24">
        <f t="shared" si="96"/>
        <v>0</v>
      </c>
      <c r="H215" s="24" t="str">
        <f t="shared" si="96"/>
        <v>-</v>
      </c>
      <c r="I215" s="24" t="str">
        <f t="shared" si="96"/>
        <v>-</v>
      </c>
      <c r="J215" s="24">
        <f t="shared" si="96"/>
        <v>0</v>
      </c>
      <c r="K215" s="24">
        <f t="shared" si="96"/>
        <v>0</v>
      </c>
    </row>
    <row r="216" spans="1:13" ht="13">
      <c r="A216" s="99" t="s">
        <v>317</v>
      </c>
      <c r="B216" s="24">
        <f t="shared" si="96"/>
        <v>0</v>
      </c>
      <c r="C216" s="24">
        <f t="shared" si="96"/>
        <v>0</v>
      </c>
      <c r="D216" s="24">
        <f t="shared" si="96"/>
        <v>0</v>
      </c>
      <c r="E216" s="24">
        <f t="shared" si="96"/>
        <v>0</v>
      </c>
      <c r="F216" s="24">
        <f t="shared" si="96"/>
        <v>0</v>
      </c>
      <c r="G216" s="24">
        <f t="shared" si="96"/>
        <v>0</v>
      </c>
      <c r="H216" s="24" t="str">
        <f t="shared" si="96"/>
        <v>-</v>
      </c>
      <c r="I216" s="24" t="str">
        <f t="shared" si="96"/>
        <v>-</v>
      </c>
      <c r="J216" s="24">
        <f t="shared" si="96"/>
        <v>0</v>
      </c>
      <c r="K216" s="24">
        <f t="shared" si="96"/>
        <v>0</v>
      </c>
    </row>
    <row r="218" spans="1:13" ht="12" customHeight="1">
      <c r="A218" s="97" t="s">
        <v>35</v>
      </c>
    </row>
    <row r="219" spans="1:13" ht="12" customHeight="1">
      <c r="A219" s="99" t="s">
        <v>24</v>
      </c>
      <c r="B219" s="24">
        <f t="shared" ref="B219:K219" si="97">AVERAGE(B109,B110,B111)</f>
        <v>0</v>
      </c>
      <c r="C219" s="24">
        <f t="shared" si="97"/>
        <v>31.666666666666668</v>
      </c>
      <c r="D219" s="24">
        <f t="shared" si="97"/>
        <v>214</v>
      </c>
      <c r="E219" s="24">
        <f t="shared" si="97"/>
        <v>2207.6666666666665</v>
      </c>
      <c r="F219" s="24">
        <f t="shared" si="97"/>
        <v>7806.333333333333</v>
      </c>
      <c r="G219" s="24">
        <f t="shared" si="97"/>
        <v>320.33333333333331</v>
      </c>
      <c r="H219" s="24">
        <f t="shared" si="97"/>
        <v>0</v>
      </c>
      <c r="I219" s="24">
        <f t="shared" si="97"/>
        <v>0</v>
      </c>
      <c r="J219" s="24">
        <f t="shared" si="97"/>
        <v>10580</v>
      </c>
      <c r="K219" s="24">
        <f t="shared" si="97"/>
        <v>10580</v>
      </c>
    </row>
    <row r="220" spans="1:13" ht="12" customHeight="1">
      <c r="A220" s="99" t="s">
        <v>109</v>
      </c>
      <c r="B220" s="24">
        <f t="shared" ref="B220:K220" si="98">AVERAGE(B112,B113)</f>
        <v>0</v>
      </c>
      <c r="C220" s="24">
        <f t="shared" si="98"/>
        <v>5</v>
      </c>
      <c r="D220" s="24">
        <f t="shared" si="98"/>
        <v>10</v>
      </c>
      <c r="E220" s="24">
        <f t="shared" si="98"/>
        <v>8991</v>
      </c>
      <c r="F220" s="24">
        <f t="shared" si="98"/>
        <v>4253.5</v>
      </c>
      <c r="G220" s="24">
        <f t="shared" si="98"/>
        <v>591</v>
      </c>
      <c r="H220" s="24">
        <f t="shared" si="98"/>
        <v>0</v>
      </c>
      <c r="I220" s="24">
        <f t="shared" si="98"/>
        <v>0</v>
      </c>
      <c r="J220" s="24">
        <f t="shared" si="98"/>
        <v>13850.5</v>
      </c>
      <c r="K220" s="24">
        <f t="shared" si="98"/>
        <v>13850.5</v>
      </c>
    </row>
    <row r="221" spans="1:13" ht="12" customHeight="1">
      <c r="A221" s="99" t="s">
        <v>10</v>
      </c>
      <c r="B221" s="24">
        <f t="shared" ref="B221:K221" si="99">AVERAGE(B114,B115,B116)</f>
        <v>0</v>
      </c>
      <c r="C221" s="24">
        <f t="shared" si="99"/>
        <v>0</v>
      </c>
      <c r="D221" s="24">
        <f t="shared" si="99"/>
        <v>0.66666666666666663</v>
      </c>
      <c r="E221" s="24">
        <f t="shared" si="99"/>
        <v>499</v>
      </c>
      <c r="F221" s="24">
        <f t="shared" si="99"/>
        <v>5519</v>
      </c>
      <c r="G221" s="24">
        <f t="shared" si="99"/>
        <v>261</v>
      </c>
      <c r="H221" s="24">
        <f t="shared" si="99"/>
        <v>0</v>
      </c>
      <c r="I221" s="24">
        <f t="shared" si="99"/>
        <v>0</v>
      </c>
      <c r="J221" s="24">
        <f t="shared" si="99"/>
        <v>6279.666666666667</v>
      </c>
      <c r="K221" s="24">
        <f t="shared" si="99"/>
        <v>6279.666666666667</v>
      </c>
    </row>
    <row r="222" spans="1:13" ht="12" customHeight="1">
      <c r="A222" s="99" t="s">
        <v>147</v>
      </c>
      <c r="B222" s="24">
        <f t="shared" ref="B222:G222" si="100">AVERAGE(B117,B118)</f>
        <v>0</v>
      </c>
      <c r="C222" s="24">
        <f t="shared" si="100"/>
        <v>0</v>
      </c>
      <c r="D222" s="24">
        <f t="shared" si="100"/>
        <v>0</v>
      </c>
      <c r="E222" s="24">
        <f t="shared" si="100"/>
        <v>0</v>
      </c>
      <c r="F222" s="24">
        <f t="shared" si="100"/>
        <v>1572.5</v>
      </c>
      <c r="G222" s="24">
        <f t="shared" si="100"/>
        <v>80.5</v>
      </c>
      <c r="H222" s="24" t="s">
        <v>23</v>
      </c>
      <c r="I222" s="24">
        <f>AVERAGE(I117,I118)</f>
        <v>0</v>
      </c>
      <c r="J222" s="24">
        <f>AVERAGE(J117,J118)</f>
        <v>1653</v>
      </c>
      <c r="K222" s="24">
        <f>AVERAGE(K117,K118)</f>
        <v>1653</v>
      </c>
    </row>
    <row r="223" spans="1:13" ht="12" customHeight="1">
      <c r="A223" s="99">
        <v>2001</v>
      </c>
      <c r="B223" s="24">
        <f t="shared" ref="B223:K223" si="101">B119</f>
        <v>0</v>
      </c>
      <c r="C223" s="24">
        <f t="shared" si="101"/>
        <v>11</v>
      </c>
      <c r="D223" s="24">
        <f t="shared" si="101"/>
        <v>0</v>
      </c>
      <c r="E223" s="24">
        <f t="shared" si="101"/>
        <v>696</v>
      </c>
      <c r="F223" s="24">
        <f t="shared" si="101"/>
        <v>1537</v>
      </c>
      <c r="G223" s="24">
        <f t="shared" si="101"/>
        <v>207</v>
      </c>
      <c r="H223" s="24" t="str">
        <f t="shared" si="101"/>
        <v>-</v>
      </c>
      <c r="I223" s="24">
        <f t="shared" si="101"/>
        <v>0</v>
      </c>
      <c r="J223" s="24">
        <f t="shared" si="101"/>
        <v>2451</v>
      </c>
      <c r="K223" s="24">
        <f t="shared" si="101"/>
        <v>2451</v>
      </c>
    </row>
    <row r="224" spans="1:13" ht="12" customHeight="1">
      <c r="A224" s="99">
        <v>2003</v>
      </c>
      <c r="B224" s="24">
        <f t="shared" ref="B224:K224" si="102">B120</f>
        <v>0</v>
      </c>
      <c r="C224" s="24">
        <f t="shared" si="102"/>
        <v>0</v>
      </c>
      <c r="D224" s="24">
        <f t="shared" si="102"/>
        <v>0</v>
      </c>
      <c r="E224" s="24">
        <f t="shared" si="102"/>
        <v>172</v>
      </c>
      <c r="F224" s="24">
        <f t="shared" si="102"/>
        <v>41</v>
      </c>
      <c r="G224" s="24">
        <f t="shared" si="102"/>
        <v>23</v>
      </c>
      <c r="H224" s="24">
        <f t="shared" si="102"/>
        <v>0</v>
      </c>
      <c r="I224" s="24">
        <f t="shared" si="102"/>
        <v>0</v>
      </c>
      <c r="J224" s="24">
        <f t="shared" si="102"/>
        <v>236</v>
      </c>
      <c r="K224" s="24">
        <f t="shared" si="102"/>
        <v>236</v>
      </c>
      <c r="M224" s="17"/>
    </row>
    <row r="225" spans="1:11" ht="12" customHeight="1">
      <c r="A225" s="99">
        <v>2005</v>
      </c>
      <c r="B225" s="24">
        <f t="shared" ref="B225:K225" si="103">B121</f>
        <v>0</v>
      </c>
      <c r="C225" s="24">
        <f t="shared" si="103"/>
        <v>0</v>
      </c>
      <c r="D225" s="24">
        <f t="shared" si="103"/>
        <v>0</v>
      </c>
      <c r="E225" s="24">
        <f t="shared" si="103"/>
        <v>186</v>
      </c>
      <c r="F225" s="24">
        <f t="shared" si="103"/>
        <v>198</v>
      </c>
      <c r="G225" s="24">
        <f t="shared" si="103"/>
        <v>3</v>
      </c>
      <c r="H225" s="24">
        <f t="shared" si="103"/>
        <v>0</v>
      </c>
      <c r="I225" s="24">
        <f t="shared" si="103"/>
        <v>0</v>
      </c>
      <c r="J225" s="24">
        <f t="shared" si="103"/>
        <v>387</v>
      </c>
      <c r="K225" s="24">
        <f t="shared" si="103"/>
        <v>387</v>
      </c>
    </row>
    <row r="226" spans="1:11" ht="12" customHeight="1">
      <c r="A226" s="99">
        <v>2007</v>
      </c>
      <c r="B226" s="24">
        <f t="shared" ref="B226:K226" si="104">B122</f>
        <v>0</v>
      </c>
      <c r="C226" s="24">
        <f t="shared" si="104"/>
        <v>0</v>
      </c>
      <c r="D226" s="24">
        <f t="shared" si="104"/>
        <v>7</v>
      </c>
      <c r="E226" s="24">
        <f t="shared" si="104"/>
        <v>326</v>
      </c>
      <c r="F226" s="24">
        <f t="shared" si="104"/>
        <v>251</v>
      </c>
      <c r="G226" s="24">
        <f t="shared" si="104"/>
        <v>0</v>
      </c>
      <c r="H226" s="24">
        <f t="shared" si="104"/>
        <v>0</v>
      </c>
      <c r="I226" s="24">
        <f t="shared" si="104"/>
        <v>0</v>
      </c>
      <c r="J226" s="24">
        <f t="shared" si="104"/>
        <v>584</v>
      </c>
      <c r="K226" s="24">
        <f t="shared" si="104"/>
        <v>584</v>
      </c>
    </row>
    <row r="227" spans="1:11" ht="12" customHeight="1">
      <c r="A227" s="99">
        <v>2009</v>
      </c>
      <c r="B227" s="24">
        <f t="shared" ref="B227:K227" si="105">B123</f>
        <v>0</v>
      </c>
      <c r="C227" s="24">
        <f t="shared" si="105"/>
        <v>0</v>
      </c>
      <c r="D227" s="24">
        <f t="shared" si="105"/>
        <v>0</v>
      </c>
      <c r="E227" s="24">
        <f t="shared" si="105"/>
        <v>431</v>
      </c>
      <c r="F227" s="24">
        <f t="shared" si="105"/>
        <v>369</v>
      </c>
      <c r="G227" s="24">
        <f t="shared" si="105"/>
        <v>0</v>
      </c>
      <c r="H227" s="24">
        <f t="shared" si="105"/>
        <v>0</v>
      </c>
      <c r="I227" s="24">
        <f t="shared" si="105"/>
        <v>0</v>
      </c>
      <c r="J227" s="24">
        <f t="shared" si="105"/>
        <v>800</v>
      </c>
      <c r="K227" s="24">
        <f t="shared" si="105"/>
        <v>800</v>
      </c>
    </row>
    <row r="228" spans="1:11" ht="12" customHeight="1">
      <c r="A228" s="99">
        <v>2011</v>
      </c>
      <c r="B228" s="24">
        <f t="shared" ref="B228:K228" si="106">B124</f>
        <v>0</v>
      </c>
      <c r="C228" s="24">
        <f t="shared" si="106"/>
        <v>0</v>
      </c>
      <c r="D228" s="24">
        <f t="shared" si="106"/>
        <v>6</v>
      </c>
      <c r="E228" s="24">
        <f t="shared" si="106"/>
        <v>718</v>
      </c>
      <c r="F228" s="24">
        <f t="shared" si="106"/>
        <v>334</v>
      </c>
      <c r="G228" s="24">
        <f t="shared" si="106"/>
        <v>16</v>
      </c>
      <c r="H228" s="24">
        <f t="shared" si="106"/>
        <v>0</v>
      </c>
      <c r="I228" s="24">
        <f t="shared" si="106"/>
        <v>0</v>
      </c>
      <c r="J228" s="24">
        <f t="shared" si="106"/>
        <v>1074</v>
      </c>
      <c r="K228" s="24">
        <f t="shared" si="106"/>
        <v>1074</v>
      </c>
    </row>
    <row r="229" spans="1:11" ht="12" customHeight="1">
      <c r="A229" s="99">
        <v>2013</v>
      </c>
      <c r="B229" s="24">
        <f t="shared" ref="B229:K229" si="107">B125</f>
        <v>0</v>
      </c>
      <c r="C229" s="24">
        <f t="shared" si="107"/>
        <v>0</v>
      </c>
      <c r="D229" s="24">
        <f t="shared" si="107"/>
        <v>0</v>
      </c>
      <c r="E229" s="24">
        <f t="shared" si="107"/>
        <v>89</v>
      </c>
      <c r="F229" s="24">
        <f t="shared" si="107"/>
        <v>120</v>
      </c>
      <c r="G229" s="24">
        <f t="shared" si="107"/>
        <v>0</v>
      </c>
      <c r="H229" s="24">
        <f t="shared" si="107"/>
        <v>0</v>
      </c>
      <c r="I229" s="24">
        <f t="shared" si="107"/>
        <v>0</v>
      </c>
      <c r="J229" s="24">
        <f t="shared" si="107"/>
        <v>209</v>
      </c>
      <c r="K229" s="24">
        <f t="shared" si="107"/>
        <v>209</v>
      </c>
    </row>
    <row r="230" spans="1:11" ht="12" customHeight="1">
      <c r="A230" s="99">
        <v>2015</v>
      </c>
      <c r="B230" s="24">
        <f t="shared" ref="B230:K230" si="108">B126</f>
        <v>0</v>
      </c>
      <c r="C230" s="24">
        <f t="shared" si="108"/>
        <v>0</v>
      </c>
      <c r="D230" s="24">
        <f t="shared" si="108"/>
        <v>6</v>
      </c>
      <c r="E230" s="24">
        <f t="shared" si="108"/>
        <v>98</v>
      </c>
      <c r="F230" s="24">
        <f t="shared" si="108"/>
        <v>18</v>
      </c>
      <c r="G230" s="24">
        <f t="shared" si="108"/>
        <v>0</v>
      </c>
      <c r="H230" s="24">
        <f t="shared" si="108"/>
        <v>0</v>
      </c>
      <c r="I230" s="24">
        <f t="shared" si="108"/>
        <v>0</v>
      </c>
      <c r="J230" s="24">
        <f t="shared" si="108"/>
        <v>122</v>
      </c>
      <c r="K230" s="24">
        <f t="shared" si="108"/>
        <v>122</v>
      </c>
    </row>
    <row r="231" spans="1:11" ht="12" customHeight="1">
      <c r="A231" s="99">
        <v>2017</v>
      </c>
      <c r="B231" s="24">
        <f t="shared" ref="B231:K233" si="109">B127</f>
        <v>0</v>
      </c>
      <c r="C231" s="24">
        <f t="shared" si="109"/>
        <v>0</v>
      </c>
      <c r="D231" s="24">
        <f t="shared" si="109"/>
        <v>0</v>
      </c>
      <c r="E231" s="24">
        <f t="shared" si="109"/>
        <v>61</v>
      </c>
      <c r="F231" s="24">
        <f t="shared" si="109"/>
        <v>134</v>
      </c>
      <c r="G231" s="24">
        <f t="shared" si="109"/>
        <v>0</v>
      </c>
      <c r="H231" s="24">
        <f t="shared" si="109"/>
        <v>0</v>
      </c>
      <c r="I231" s="24">
        <f t="shared" si="109"/>
        <v>0</v>
      </c>
      <c r="J231" s="24">
        <f t="shared" si="109"/>
        <v>195</v>
      </c>
      <c r="K231" s="24">
        <f t="shared" si="109"/>
        <v>195</v>
      </c>
    </row>
    <row r="232" spans="1:11" ht="12" customHeight="1">
      <c r="A232" s="99">
        <v>2019</v>
      </c>
      <c r="B232" s="24">
        <f t="shared" si="109"/>
        <v>0</v>
      </c>
      <c r="C232" s="24">
        <f t="shared" si="109"/>
        <v>0</v>
      </c>
      <c r="D232" s="24">
        <f t="shared" si="109"/>
        <v>0</v>
      </c>
      <c r="E232" s="24">
        <f t="shared" si="109"/>
        <v>243</v>
      </c>
      <c r="F232" s="24">
        <f t="shared" si="109"/>
        <v>270</v>
      </c>
      <c r="G232" s="24">
        <f t="shared" si="109"/>
        <v>0</v>
      </c>
      <c r="H232" s="24">
        <f t="shared" si="109"/>
        <v>0</v>
      </c>
      <c r="I232" s="24">
        <f t="shared" si="109"/>
        <v>0</v>
      </c>
      <c r="J232" s="24">
        <f t="shared" si="109"/>
        <v>513</v>
      </c>
      <c r="K232" s="24">
        <f t="shared" si="109"/>
        <v>513</v>
      </c>
    </row>
    <row r="233" spans="1:11" ht="12" customHeight="1">
      <c r="A233" s="99" t="s">
        <v>317</v>
      </c>
      <c r="B233" s="24">
        <f t="shared" si="109"/>
        <v>0</v>
      </c>
      <c r="C233" s="24">
        <f t="shared" si="109"/>
        <v>0</v>
      </c>
      <c r="D233" s="24">
        <f t="shared" si="109"/>
        <v>0</v>
      </c>
      <c r="E233" s="24">
        <f t="shared" si="109"/>
        <v>17</v>
      </c>
      <c r="F233" s="24">
        <f t="shared" si="109"/>
        <v>41</v>
      </c>
      <c r="G233" s="24">
        <f t="shared" si="109"/>
        <v>0</v>
      </c>
      <c r="H233" s="24">
        <f t="shared" si="109"/>
        <v>0</v>
      </c>
      <c r="I233" s="24">
        <f t="shared" si="109"/>
        <v>0</v>
      </c>
      <c r="J233" s="24">
        <f t="shared" si="109"/>
        <v>58</v>
      </c>
      <c r="K233" s="24">
        <f t="shared" si="109"/>
        <v>58</v>
      </c>
    </row>
    <row r="234" spans="1:11" ht="12" customHeight="1">
      <c r="A234" s="346" t="str">
        <f>A130</f>
        <v>a/  Odd year averages only.</v>
      </c>
      <c r="B234" s="346"/>
      <c r="C234" s="346"/>
      <c r="D234" s="346"/>
      <c r="E234" s="346"/>
      <c r="F234" s="346"/>
      <c r="G234" s="346"/>
      <c r="H234" s="346"/>
      <c r="I234" s="346"/>
      <c r="J234" s="346"/>
      <c r="K234" s="346"/>
    </row>
    <row r="235" spans="1:11" ht="12" customHeight="1">
      <c r="A235" s="348" t="str">
        <f>A131</f>
        <v>b/ Preliminary.</v>
      </c>
      <c r="B235" s="348"/>
      <c r="C235" s="348"/>
      <c r="D235" s="348"/>
      <c r="E235" s="348"/>
      <c r="F235" s="348"/>
      <c r="G235" s="348"/>
      <c r="H235" s="348"/>
      <c r="I235" s="348"/>
      <c r="J235" s="348"/>
      <c r="K235" s="348"/>
    </row>
    <row r="236" spans="1:11" ht="12" customHeight="1"/>
    <row r="237" spans="1:11" ht="12" customHeight="1"/>
    <row r="238" spans="1:11" ht="12" customHeight="1"/>
    <row r="239" spans="1:11" ht="12" customHeight="1"/>
    <row r="240" spans="1:11" ht="12" customHeight="1"/>
    <row r="241" ht="12" customHeight="1"/>
    <row r="242" ht="12" customHeight="1"/>
    <row r="243" ht="12" customHeight="1"/>
    <row r="244" ht="12" customHeight="1"/>
    <row r="245" ht="12" customHeight="1"/>
    <row r="246" ht="12" customHeight="1"/>
    <row r="247" ht="12" customHeight="1"/>
    <row r="248" ht="12" customHeight="1"/>
    <row r="249" ht="12" customHeight="1"/>
    <row r="250" ht="12" customHeight="1"/>
    <row r="251" ht="12" customHeight="1"/>
    <row r="252" ht="12" customHeight="1"/>
    <row r="253" ht="12" customHeight="1"/>
  </sheetData>
  <mergeCells count="13">
    <mergeCell ref="A235:K235"/>
    <mergeCell ref="A144:A145"/>
    <mergeCell ref="J144:K144"/>
    <mergeCell ref="A197:K198"/>
    <mergeCell ref="A199:A200"/>
    <mergeCell ref="J199:K199"/>
    <mergeCell ref="A234:K234"/>
    <mergeCell ref="A142:K143"/>
    <mergeCell ref="A1:K1"/>
    <mergeCell ref="A2:A3"/>
    <mergeCell ref="J2:K2"/>
    <mergeCell ref="A130:K130"/>
    <mergeCell ref="A131:K131"/>
  </mergeCells>
  <pageMargins left="0.7" right="0.7" top="0.75" bottom="0.75" header="0.3" footer="0.3"/>
  <pageSetup orientation="portrait" r:id="rId1"/>
  <rowBreaks count="1" manualBreakCount="1">
    <brk id="196" max="10" man="1"/>
  </rowBreak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50"/>
  <dimension ref="A1:P367"/>
  <sheetViews>
    <sheetView showGridLines="0" topLeftCell="A349" zoomScaleNormal="100" workbookViewId="0">
      <selection activeCell="N421" sqref="N421"/>
    </sheetView>
  </sheetViews>
  <sheetFormatPr baseColWidth="10" defaultColWidth="9" defaultRowHeight="11"/>
  <cols>
    <col min="1" max="1" width="7.6640625" style="99" customWidth="1"/>
    <col min="2" max="9" width="9.1640625" style="24" customWidth="1"/>
    <col min="10" max="16384" width="9" style="1"/>
  </cols>
  <sheetData>
    <row r="1" spans="1:9">
      <c r="A1" s="282" t="s">
        <v>1</v>
      </c>
      <c r="B1" s="282"/>
      <c r="C1" s="282"/>
      <c r="D1" s="282"/>
      <c r="E1" s="282"/>
      <c r="F1" s="282"/>
      <c r="G1" s="282"/>
      <c r="H1" s="282"/>
      <c r="I1" s="282"/>
    </row>
    <row r="2" spans="1:9" s="119" customFormat="1">
      <c r="A2" s="2" t="s">
        <v>27</v>
      </c>
      <c r="B2" s="46" t="s">
        <v>28</v>
      </c>
      <c r="C2" s="46" t="s">
        <v>29</v>
      </c>
      <c r="D2" s="46" t="s">
        <v>30</v>
      </c>
      <c r="E2" s="46" t="s">
        <v>31</v>
      </c>
      <c r="F2" s="46" t="s">
        <v>32</v>
      </c>
      <c r="G2" s="46" t="s">
        <v>33</v>
      </c>
      <c r="H2" s="46" t="s">
        <v>34</v>
      </c>
      <c r="I2" s="196" t="s">
        <v>22</v>
      </c>
    </row>
    <row r="3" spans="1:9">
      <c r="A3" s="94" t="s">
        <v>59</v>
      </c>
    </row>
    <row r="4" spans="1:9">
      <c r="A4" s="99">
        <v>1976</v>
      </c>
      <c r="B4" s="24">
        <f>445+334+246</f>
        <v>1025</v>
      </c>
      <c r="C4" s="24">
        <v>1492</v>
      </c>
      <c r="D4" s="24">
        <v>3115</v>
      </c>
      <c r="E4" s="24">
        <v>12609</v>
      </c>
      <c r="F4" s="24">
        <v>17709</v>
      </c>
      <c r="G4" s="24">
        <v>8172</v>
      </c>
      <c r="H4" s="24">
        <v>160</v>
      </c>
      <c r="I4" s="24">
        <f t="shared" ref="I4:I21" si="0">SUM(B4:H4)</f>
        <v>44282</v>
      </c>
    </row>
    <row r="5" spans="1:9">
      <c r="A5" s="99">
        <v>1977</v>
      </c>
      <c r="B5" s="24">
        <v>315</v>
      </c>
      <c r="C5" s="24">
        <v>812</v>
      </c>
      <c r="D5" s="24">
        <v>5140</v>
      </c>
      <c r="E5" s="24">
        <v>12983</v>
      </c>
      <c r="F5" s="24">
        <v>25531</v>
      </c>
      <c r="G5" s="24">
        <v>10922</v>
      </c>
      <c r="H5" s="24">
        <v>535</v>
      </c>
      <c r="I5" s="24">
        <f t="shared" si="0"/>
        <v>56238</v>
      </c>
    </row>
    <row r="6" spans="1:9">
      <c r="A6" s="99">
        <v>1978</v>
      </c>
      <c r="B6" s="24">
        <f>44+251</f>
        <v>295</v>
      </c>
      <c r="C6" s="24">
        <v>1926</v>
      </c>
      <c r="D6" s="24">
        <v>4970</v>
      </c>
      <c r="E6" s="24">
        <v>17196</v>
      </c>
      <c r="F6" s="24">
        <v>20654</v>
      </c>
      <c r="G6" s="24">
        <v>12209</v>
      </c>
      <c r="H6" s="24">
        <f>1738+100</f>
        <v>1838</v>
      </c>
      <c r="I6" s="24">
        <f t="shared" si="0"/>
        <v>59088</v>
      </c>
    </row>
    <row r="7" spans="1:9">
      <c r="A7" s="99">
        <v>1979</v>
      </c>
      <c r="B7" s="24">
        <v>1347</v>
      </c>
      <c r="C7" s="24">
        <v>610</v>
      </c>
      <c r="D7" s="24">
        <v>3836</v>
      </c>
      <c r="E7" s="24">
        <v>10732</v>
      </c>
      <c r="F7" s="24">
        <v>13835</v>
      </c>
      <c r="G7" s="24">
        <v>1557</v>
      </c>
      <c r="H7" s="24">
        <v>84</v>
      </c>
      <c r="I7" s="24">
        <f t="shared" si="0"/>
        <v>32001</v>
      </c>
    </row>
    <row r="8" spans="1:9">
      <c r="A8" s="99">
        <v>1980</v>
      </c>
      <c r="B8" s="24" t="s">
        <v>23</v>
      </c>
      <c r="C8" s="24">
        <v>632</v>
      </c>
      <c r="D8" s="24">
        <v>3440</v>
      </c>
      <c r="E8" s="24">
        <v>11613</v>
      </c>
      <c r="F8" s="24">
        <v>11694</v>
      </c>
      <c r="G8" s="24">
        <v>2011</v>
      </c>
      <c r="H8" s="24">
        <v>30</v>
      </c>
      <c r="I8" s="24">
        <f t="shared" si="0"/>
        <v>29420</v>
      </c>
    </row>
    <row r="9" spans="1:9">
      <c r="A9" s="99">
        <v>1981</v>
      </c>
      <c r="B9" s="24">
        <f>39+78+60</f>
        <v>177</v>
      </c>
      <c r="C9" s="24">
        <v>1198</v>
      </c>
      <c r="D9" s="24">
        <v>2210</v>
      </c>
      <c r="E9" s="24">
        <v>9823</v>
      </c>
      <c r="F9" s="24">
        <v>12000</v>
      </c>
      <c r="G9" s="24">
        <v>3052</v>
      </c>
      <c r="H9" s="24">
        <v>223</v>
      </c>
      <c r="I9" s="24">
        <f t="shared" si="0"/>
        <v>28683</v>
      </c>
    </row>
    <row r="10" spans="1:9">
      <c r="A10" s="99">
        <v>1982</v>
      </c>
      <c r="B10" s="24">
        <v>18</v>
      </c>
      <c r="C10" s="24">
        <v>573</v>
      </c>
      <c r="D10" s="24">
        <v>1532</v>
      </c>
      <c r="E10" s="24">
        <v>10891</v>
      </c>
      <c r="F10" s="24">
        <v>17254</v>
      </c>
      <c r="G10" s="24">
        <v>5787</v>
      </c>
      <c r="H10" s="24">
        <v>113</v>
      </c>
      <c r="I10" s="24">
        <f t="shared" si="0"/>
        <v>36168</v>
      </c>
    </row>
    <row r="11" spans="1:9">
      <c r="A11" s="99">
        <v>1983</v>
      </c>
      <c r="B11" s="24">
        <v>142</v>
      </c>
      <c r="C11" s="24">
        <v>453</v>
      </c>
      <c r="D11" s="24" t="s">
        <v>23</v>
      </c>
      <c r="E11" s="24">
        <v>16126</v>
      </c>
      <c r="F11" s="24">
        <v>22218</v>
      </c>
      <c r="G11" s="24">
        <v>7741</v>
      </c>
      <c r="H11" s="24">
        <v>43</v>
      </c>
      <c r="I11" s="24">
        <f t="shared" si="0"/>
        <v>46723</v>
      </c>
    </row>
    <row r="12" spans="1:9">
      <c r="A12" s="99">
        <v>1984</v>
      </c>
      <c r="B12" s="24">
        <f>35+20</f>
        <v>55</v>
      </c>
      <c r="C12" s="24" t="s">
        <v>23</v>
      </c>
      <c r="D12" s="24">
        <v>0</v>
      </c>
      <c r="E12" s="24">
        <v>2494</v>
      </c>
      <c r="F12" s="24">
        <v>5905</v>
      </c>
      <c r="G12" s="24">
        <v>179</v>
      </c>
      <c r="H12" s="24" t="s">
        <v>23</v>
      </c>
      <c r="I12" s="24">
        <f t="shared" si="0"/>
        <v>8633</v>
      </c>
    </row>
    <row r="13" spans="1:9">
      <c r="A13" s="99">
        <v>1985</v>
      </c>
      <c r="B13" s="24">
        <v>9</v>
      </c>
      <c r="C13" s="24">
        <v>2</v>
      </c>
      <c r="D13" s="24">
        <v>173</v>
      </c>
      <c r="E13" s="24">
        <v>7356</v>
      </c>
      <c r="F13" s="24">
        <v>9576</v>
      </c>
      <c r="G13" s="24">
        <v>151</v>
      </c>
      <c r="H13" s="24" t="s">
        <v>23</v>
      </c>
      <c r="I13" s="24">
        <f t="shared" si="0"/>
        <v>17267</v>
      </c>
    </row>
    <row r="14" spans="1:9">
      <c r="A14" s="99">
        <v>1986</v>
      </c>
      <c r="B14" s="24" t="s">
        <v>23</v>
      </c>
      <c r="C14" s="24" t="s">
        <v>23</v>
      </c>
      <c r="D14" s="24">
        <v>448</v>
      </c>
      <c r="E14" s="24">
        <v>10779</v>
      </c>
      <c r="F14" s="24">
        <v>7325</v>
      </c>
      <c r="G14" s="24" t="s">
        <v>23</v>
      </c>
      <c r="H14" s="24" t="s">
        <v>23</v>
      </c>
      <c r="I14" s="24">
        <f t="shared" si="0"/>
        <v>18552</v>
      </c>
    </row>
    <row r="15" spans="1:9">
      <c r="A15" s="99">
        <v>1987</v>
      </c>
      <c r="B15" s="24" t="s">
        <v>23</v>
      </c>
      <c r="C15" s="24" t="s">
        <v>23</v>
      </c>
      <c r="D15" s="24">
        <v>577</v>
      </c>
      <c r="E15" s="24">
        <v>12224</v>
      </c>
      <c r="F15" s="24">
        <v>6442</v>
      </c>
      <c r="G15" s="24" t="s">
        <v>23</v>
      </c>
      <c r="H15" s="24" t="s">
        <v>23</v>
      </c>
      <c r="I15" s="24">
        <f t="shared" si="0"/>
        <v>19243</v>
      </c>
    </row>
    <row r="16" spans="1:9">
      <c r="A16" s="99">
        <v>1988</v>
      </c>
      <c r="B16" s="24" t="s">
        <v>23</v>
      </c>
      <c r="C16" s="24">
        <v>6</v>
      </c>
      <c r="D16" s="24" t="s">
        <v>23</v>
      </c>
      <c r="E16" s="24">
        <v>13470</v>
      </c>
      <c r="F16" s="24">
        <v>1944</v>
      </c>
      <c r="G16" s="24">
        <v>518</v>
      </c>
      <c r="H16" s="24" t="s">
        <v>23</v>
      </c>
      <c r="I16" s="24">
        <f t="shared" si="0"/>
        <v>15938</v>
      </c>
    </row>
    <row r="17" spans="1:16" ht="13">
      <c r="A17" s="99" t="s">
        <v>193</v>
      </c>
      <c r="B17" s="24" t="s">
        <v>23</v>
      </c>
      <c r="C17" s="24">
        <v>856</v>
      </c>
      <c r="D17" s="24">
        <v>928</v>
      </c>
      <c r="E17" s="24">
        <v>14722</v>
      </c>
      <c r="F17" s="24">
        <v>6454</v>
      </c>
      <c r="G17" s="24">
        <v>5362</v>
      </c>
      <c r="H17" s="24" t="s">
        <v>23</v>
      </c>
      <c r="I17" s="24">
        <f t="shared" si="0"/>
        <v>28322</v>
      </c>
    </row>
    <row r="18" spans="1:16" ht="13">
      <c r="A18" s="99" t="s">
        <v>194</v>
      </c>
      <c r="B18" s="24" t="s">
        <v>23</v>
      </c>
      <c r="C18" s="24" t="s">
        <v>23</v>
      </c>
      <c r="D18" s="24">
        <v>9</v>
      </c>
      <c r="E18" s="24">
        <v>18572</v>
      </c>
      <c r="F18" s="24">
        <v>14539</v>
      </c>
      <c r="G18" s="24">
        <v>699</v>
      </c>
      <c r="H18" s="24" t="s">
        <v>23</v>
      </c>
      <c r="I18" s="24">
        <f t="shared" si="0"/>
        <v>33819</v>
      </c>
    </row>
    <row r="19" spans="1:16" ht="13">
      <c r="A19" s="99" t="s">
        <v>195</v>
      </c>
      <c r="B19" s="24" t="s">
        <v>23</v>
      </c>
      <c r="C19" s="24" t="s">
        <v>23</v>
      </c>
      <c r="D19" s="24">
        <v>4</v>
      </c>
      <c r="E19" s="24">
        <v>16192</v>
      </c>
      <c r="F19" s="24">
        <v>9236</v>
      </c>
      <c r="G19" s="24">
        <v>9</v>
      </c>
      <c r="H19" s="24" t="s">
        <v>23</v>
      </c>
      <c r="I19" s="24">
        <f t="shared" si="0"/>
        <v>25441</v>
      </c>
      <c r="J19" s="29"/>
      <c r="K19" s="29"/>
      <c r="L19" s="29"/>
      <c r="O19" s="29"/>
      <c r="P19" s="29"/>
    </row>
    <row r="20" spans="1:16" ht="13">
      <c r="A20" s="99" t="s">
        <v>196</v>
      </c>
      <c r="B20" s="24" t="s">
        <v>23</v>
      </c>
      <c r="C20" s="24">
        <v>1344</v>
      </c>
      <c r="D20" s="24" t="s">
        <v>23</v>
      </c>
      <c r="E20" s="24">
        <v>10375</v>
      </c>
      <c r="F20" s="24">
        <v>7949</v>
      </c>
      <c r="G20" s="24">
        <v>50</v>
      </c>
      <c r="H20" s="24" t="s">
        <v>23</v>
      </c>
      <c r="I20" s="24">
        <f t="shared" si="0"/>
        <v>19718</v>
      </c>
      <c r="L20" s="29"/>
      <c r="P20" s="29"/>
    </row>
    <row r="21" spans="1:16" ht="13">
      <c r="A21" s="99" t="s">
        <v>197</v>
      </c>
      <c r="B21" s="24" t="s">
        <v>23</v>
      </c>
      <c r="C21" s="24">
        <v>1172</v>
      </c>
      <c r="D21" s="24" t="s">
        <v>23</v>
      </c>
      <c r="E21" s="24">
        <v>11093</v>
      </c>
      <c r="F21" s="24">
        <v>11245</v>
      </c>
      <c r="G21" s="24">
        <v>3819</v>
      </c>
      <c r="H21" s="24" t="s">
        <v>23</v>
      </c>
      <c r="I21" s="24">
        <f t="shared" si="0"/>
        <v>27329</v>
      </c>
      <c r="J21" s="29"/>
      <c r="P21" s="29"/>
    </row>
    <row r="22" spans="1:16">
      <c r="A22" s="99">
        <v>1994</v>
      </c>
      <c r="B22" s="24" t="s">
        <v>23</v>
      </c>
      <c r="C22" s="24" t="s">
        <v>23</v>
      </c>
      <c r="D22" s="24" t="s">
        <v>23</v>
      </c>
      <c r="E22" s="24" t="s">
        <v>23</v>
      </c>
      <c r="F22" s="24" t="s">
        <v>23</v>
      </c>
      <c r="G22" s="24" t="s">
        <v>23</v>
      </c>
      <c r="H22" s="24" t="s">
        <v>23</v>
      </c>
      <c r="I22" s="24" t="s">
        <v>23</v>
      </c>
      <c r="J22" s="29"/>
      <c r="K22" s="29"/>
      <c r="L22" s="29"/>
      <c r="M22" s="29"/>
      <c r="N22" s="29"/>
      <c r="O22" s="29"/>
      <c r="P22" s="29"/>
    </row>
    <row r="23" spans="1:16" ht="13">
      <c r="A23" s="99" t="s">
        <v>198</v>
      </c>
      <c r="B23" s="24" t="s">
        <v>23</v>
      </c>
      <c r="C23" s="24" t="s">
        <v>23</v>
      </c>
      <c r="D23" s="24" t="s">
        <v>23</v>
      </c>
      <c r="E23" s="24" t="s">
        <v>23</v>
      </c>
      <c r="F23" s="24">
        <v>9391</v>
      </c>
      <c r="G23" s="24">
        <v>98</v>
      </c>
      <c r="H23" s="24" t="s">
        <v>23</v>
      </c>
      <c r="I23" s="24">
        <f t="shared" ref="I23:I34" si="1">SUM(B23:H23)</f>
        <v>9489</v>
      </c>
      <c r="J23" s="29"/>
      <c r="K23" s="29"/>
      <c r="L23" s="29"/>
      <c r="M23" s="29"/>
      <c r="P23" s="29"/>
    </row>
    <row r="24" spans="1:16" ht="13">
      <c r="A24" s="99" t="s">
        <v>199</v>
      </c>
      <c r="B24" s="24" t="s">
        <v>23</v>
      </c>
      <c r="C24" s="24" t="s">
        <v>23</v>
      </c>
      <c r="D24" s="24" t="s">
        <v>23</v>
      </c>
      <c r="E24" s="24" t="s">
        <v>23</v>
      </c>
      <c r="F24" s="24">
        <v>9786</v>
      </c>
      <c r="G24" s="24">
        <v>1096</v>
      </c>
      <c r="H24" s="24" t="s">
        <v>23</v>
      </c>
      <c r="I24" s="24">
        <f t="shared" si="1"/>
        <v>10882</v>
      </c>
      <c r="J24" s="29"/>
      <c r="K24" s="29"/>
      <c r="L24" s="29"/>
      <c r="M24" s="29"/>
      <c r="P24" s="29"/>
    </row>
    <row r="25" spans="1:16" ht="13">
      <c r="A25" s="99" t="s">
        <v>200</v>
      </c>
      <c r="B25" s="24" t="s">
        <v>23</v>
      </c>
      <c r="C25" s="24" t="s">
        <v>23</v>
      </c>
      <c r="D25" s="24" t="s">
        <v>23</v>
      </c>
      <c r="E25" s="24">
        <v>2883</v>
      </c>
      <c r="F25" s="24">
        <v>1897</v>
      </c>
      <c r="G25" s="24">
        <v>21</v>
      </c>
      <c r="H25" s="24" t="s">
        <v>23</v>
      </c>
      <c r="I25" s="24">
        <f t="shared" si="1"/>
        <v>4801</v>
      </c>
      <c r="J25" s="29"/>
      <c r="K25" s="29"/>
      <c r="L25" s="29"/>
      <c r="O25" s="29"/>
      <c r="P25" s="29"/>
    </row>
    <row r="26" spans="1:16" ht="13">
      <c r="A26" s="99" t="s">
        <v>201</v>
      </c>
      <c r="B26" s="24" t="s">
        <v>23</v>
      </c>
      <c r="C26" s="24" t="s">
        <v>23</v>
      </c>
      <c r="D26" s="24" t="s">
        <v>23</v>
      </c>
      <c r="E26" s="24" t="s">
        <v>23</v>
      </c>
      <c r="F26" s="24">
        <v>6367</v>
      </c>
      <c r="G26" s="24" t="s">
        <v>23</v>
      </c>
      <c r="H26" s="24" t="s">
        <v>23</v>
      </c>
      <c r="I26" s="24">
        <f t="shared" si="1"/>
        <v>6367</v>
      </c>
      <c r="J26" s="29"/>
      <c r="K26" s="29"/>
      <c r="L26" s="29"/>
      <c r="M26" s="29"/>
      <c r="O26" s="29"/>
      <c r="P26" s="29"/>
    </row>
    <row r="27" spans="1:16" ht="10.5" customHeight="1">
      <c r="A27" s="99">
        <v>1999</v>
      </c>
      <c r="B27" s="24" t="s">
        <v>23</v>
      </c>
      <c r="C27" s="24" t="s">
        <v>23</v>
      </c>
      <c r="D27" s="24" t="s">
        <v>23</v>
      </c>
      <c r="E27" s="24">
        <v>2524</v>
      </c>
      <c r="F27" s="24">
        <v>3950</v>
      </c>
      <c r="G27" s="24">
        <f>1628</f>
        <v>1628</v>
      </c>
      <c r="H27" s="24" t="s">
        <v>23</v>
      </c>
      <c r="I27" s="24">
        <f t="shared" si="1"/>
        <v>8102</v>
      </c>
      <c r="J27" s="29"/>
      <c r="K27" s="29"/>
      <c r="L27" s="29"/>
    </row>
    <row r="28" spans="1:16" ht="13">
      <c r="A28" s="99" t="s">
        <v>202</v>
      </c>
      <c r="B28" s="24" t="s">
        <v>23</v>
      </c>
      <c r="C28" s="24" t="s">
        <v>23</v>
      </c>
      <c r="D28" s="24" t="s">
        <v>23</v>
      </c>
      <c r="E28" s="24">
        <v>4980</v>
      </c>
      <c r="F28" s="24">
        <v>4727</v>
      </c>
      <c r="G28" s="24">
        <v>1646</v>
      </c>
      <c r="H28" s="24" t="s">
        <v>23</v>
      </c>
      <c r="I28" s="24">
        <f t="shared" si="1"/>
        <v>11353</v>
      </c>
      <c r="J28" s="29"/>
      <c r="K28" s="29"/>
      <c r="L28" s="29"/>
      <c r="P28" s="29"/>
    </row>
    <row r="29" spans="1:16">
      <c r="A29" s="99">
        <v>2001</v>
      </c>
      <c r="B29" s="24" t="s">
        <v>23</v>
      </c>
      <c r="C29" s="24" t="s">
        <v>23</v>
      </c>
      <c r="D29" s="24" t="s">
        <v>23</v>
      </c>
      <c r="E29" s="24">
        <v>10450</v>
      </c>
      <c r="F29" s="24">
        <v>6516</v>
      </c>
      <c r="G29" s="24">
        <v>981</v>
      </c>
      <c r="H29" s="24" t="s">
        <v>23</v>
      </c>
      <c r="I29" s="24">
        <f t="shared" si="1"/>
        <v>17947</v>
      </c>
      <c r="J29" s="29"/>
      <c r="K29" s="29"/>
      <c r="L29" s="29"/>
      <c r="P29" s="29"/>
    </row>
    <row r="30" spans="1:16">
      <c r="A30" s="99">
        <v>2002</v>
      </c>
      <c r="B30" s="24" t="s">
        <v>23</v>
      </c>
      <c r="C30" s="24">
        <v>576</v>
      </c>
      <c r="D30" s="24">
        <v>2533</v>
      </c>
      <c r="E30" s="24">
        <v>3957</v>
      </c>
      <c r="F30" s="24">
        <v>5467</v>
      </c>
      <c r="G30" s="24">
        <v>1151</v>
      </c>
      <c r="H30" s="24" t="s">
        <v>23</v>
      </c>
      <c r="I30" s="24">
        <f t="shared" si="1"/>
        <v>13684</v>
      </c>
      <c r="J30" s="29"/>
    </row>
    <row r="31" spans="1:16">
      <c r="A31" s="99">
        <v>2003</v>
      </c>
      <c r="B31" s="24" t="s">
        <v>23</v>
      </c>
      <c r="C31" s="24" t="s">
        <v>23</v>
      </c>
      <c r="D31" s="24">
        <v>1372</v>
      </c>
      <c r="E31" s="24">
        <v>10109</v>
      </c>
      <c r="F31" s="24">
        <v>8071</v>
      </c>
      <c r="G31" s="24">
        <v>897</v>
      </c>
      <c r="H31" s="24" t="s">
        <v>23</v>
      </c>
      <c r="I31" s="24">
        <f t="shared" si="1"/>
        <v>20449</v>
      </c>
      <c r="J31" s="29"/>
      <c r="K31" s="29"/>
      <c r="P31" s="29"/>
    </row>
    <row r="32" spans="1:16">
      <c r="A32" s="99">
        <v>2004</v>
      </c>
      <c r="B32" s="24" t="s">
        <v>23</v>
      </c>
      <c r="C32" s="24" t="s">
        <v>23</v>
      </c>
      <c r="D32" s="24">
        <v>435</v>
      </c>
      <c r="E32" s="24">
        <v>14337</v>
      </c>
      <c r="F32" s="24">
        <v>10376</v>
      </c>
      <c r="G32" s="24">
        <v>993</v>
      </c>
      <c r="H32" s="24" t="s">
        <v>23</v>
      </c>
      <c r="I32" s="24">
        <f t="shared" si="1"/>
        <v>26141</v>
      </c>
    </row>
    <row r="33" spans="1:9">
      <c r="A33" s="99">
        <v>2005</v>
      </c>
      <c r="B33" s="24" t="s">
        <v>23</v>
      </c>
      <c r="C33" s="24" t="s">
        <v>23</v>
      </c>
      <c r="D33" s="24" t="s">
        <v>23</v>
      </c>
      <c r="E33" s="24">
        <v>11461.744915506741</v>
      </c>
      <c r="F33" s="24">
        <v>4976.536814377022</v>
      </c>
      <c r="G33" s="24">
        <v>1972.1950999392814</v>
      </c>
      <c r="H33" s="24" t="s">
        <v>23</v>
      </c>
      <c r="I33" s="24">
        <f t="shared" si="1"/>
        <v>18410.476829823045</v>
      </c>
    </row>
    <row r="34" spans="1:9">
      <c r="A34" s="99">
        <v>2006</v>
      </c>
      <c r="B34" s="24" t="s">
        <v>23</v>
      </c>
      <c r="C34" s="24" t="s">
        <v>23</v>
      </c>
      <c r="D34" s="24">
        <v>946.38</v>
      </c>
      <c r="E34" s="24">
        <v>6600.08</v>
      </c>
      <c r="F34" s="24">
        <v>4934.7</v>
      </c>
      <c r="G34" s="24">
        <v>928.28</v>
      </c>
      <c r="H34" s="24" t="s">
        <v>23</v>
      </c>
      <c r="I34" s="24">
        <f t="shared" si="1"/>
        <v>13409.44</v>
      </c>
    </row>
    <row r="35" spans="1:9">
      <c r="A35" s="99">
        <v>2007</v>
      </c>
      <c r="B35" s="24" t="s">
        <v>23</v>
      </c>
      <c r="C35" s="24" t="s">
        <v>23</v>
      </c>
      <c r="D35" s="24" t="s">
        <v>23</v>
      </c>
      <c r="E35" s="24">
        <v>6944.6</v>
      </c>
      <c r="F35" s="24">
        <v>5731.14</v>
      </c>
      <c r="G35" s="24">
        <v>691.05</v>
      </c>
      <c r="H35" s="24" t="s">
        <v>23</v>
      </c>
      <c r="I35" s="24">
        <f>SUM(B35:H35)</f>
        <v>13366.79</v>
      </c>
    </row>
    <row r="36" spans="1:9">
      <c r="A36" s="99">
        <v>2008</v>
      </c>
      <c r="B36" s="24" t="s">
        <v>23</v>
      </c>
      <c r="C36" s="24" t="s">
        <v>23</v>
      </c>
      <c r="D36" s="24">
        <v>1066.31</v>
      </c>
      <c r="E36" s="24">
        <v>2475.31</v>
      </c>
      <c r="F36" s="24">
        <v>2581.77</v>
      </c>
      <c r="G36" s="24">
        <v>246.55</v>
      </c>
      <c r="H36" s="24" t="s">
        <v>23</v>
      </c>
      <c r="I36" s="24">
        <f t="shared" ref="I36:I49" si="2">SUM(B36:H36)</f>
        <v>6369.94</v>
      </c>
    </row>
    <row r="37" spans="1:9">
      <c r="A37" s="99">
        <v>2009</v>
      </c>
      <c r="B37" s="24" t="s">
        <v>23</v>
      </c>
      <c r="C37" s="24" t="s">
        <v>23</v>
      </c>
      <c r="D37" s="24">
        <v>224.88</v>
      </c>
      <c r="E37" s="24">
        <v>6436.32</v>
      </c>
      <c r="F37" s="24">
        <v>8607.83</v>
      </c>
      <c r="G37" s="24">
        <v>1201.92</v>
      </c>
      <c r="H37" s="24" t="s">
        <v>23</v>
      </c>
      <c r="I37" s="24">
        <f t="shared" si="2"/>
        <v>16470.949999999997</v>
      </c>
    </row>
    <row r="38" spans="1:9">
      <c r="A38" s="99">
        <v>2010</v>
      </c>
      <c r="B38" s="24" t="s">
        <v>23</v>
      </c>
      <c r="C38" s="24" t="s">
        <v>23</v>
      </c>
      <c r="D38" s="24">
        <v>1239.23</v>
      </c>
      <c r="E38" s="24">
        <v>5700.79</v>
      </c>
      <c r="F38" s="24">
        <v>3802.5</v>
      </c>
      <c r="G38" s="24">
        <v>806.83999999999992</v>
      </c>
      <c r="H38" s="24" t="s">
        <v>23</v>
      </c>
      <c r="I38" s="24">
        <f t="shared" si="2"/>
        <v>11549.36</v>
      </c>
    </row>
    <row r="39" spans="1:9">
      <c r="A39" s="99">
        <v>2011</v>
      </c>
      <c r="B39" s="24" t="s">
        <v>23</v>
      </c>
      <c r="C39" s="24" t="s">
        <v>23</v>
      </c>
      <c r="D39" s="24">
        <v>638.43000000000006</v>
      </c>
      <c r="E39" s="24">
        <v>5500.32</v>
      </c>
      <c r="F39" s="24">
        <v>4259.45</v>
      </c>
      <c r="G39" s="24">
        <v>671.22</v>
      </c>
      <c r="H39" s="24" t="s">
        <v>23</v>
      </c>
      <c r="I39" s="24">
        <f t="shared" si="2"/>
        <v>11069.42</v>
      </c>
    </row>
    <row r="40" spans="1:9">
      <c r="A40" s="99">
        <v>2012</v>
      </c>
      <c r="B40" s="24" t="s">
        <v>23</v>
      </c>
      <c r="C40" s="24" t="s">
        <v>23</v>
      </c>
      <c r="D40" s="24">
        <v>1204.44</v>
      </c>
      <c r="E40" s="24">
        <v>7324.48</v>
      </c>
      <c r="F40" s="24">
        <v>3641.32</v>
      </c>
      <c r="G40" s="24">
        <v>1268.3599999999999</v>
      </c>
      <c r="H40" s="24" t="s">
        <v>23</v>
      </c>
      <c r="I40" s="24">
        <f t="shared" si="2"/>
        <v>13438.6</v>
      </c>
    </row>
    <row r="41" spans="1:9">
      <c r="A41" s="99">
        <v>2013</v>
      </c>
      <c r="B41" s="24" t="s">
        <v>23</v>
      </c>
      <c r="C41" s="24">
        <v>814.98</v>
      </c>
      <c r="D41" s="24">
        <v>1713.94</v>
      </c>
      <c r="E41" s="24">
        <v>7398.92</v>
      </c>
      <c r="F41" s="24">
        <v>5043.95</v>
      </c>
      <c r="G41" s="24">
        <v>390.53</v>
      </c>
      <c r="H41" s="24" t="s">
        <v>23</v>
      </c>
      <c r="I41" s="24">
        <f t="shared" si="2"/>
        <v>15362.320000000002</v>
      </c>
    </row>
    <row r="42" spans="1:9">
      <c r="A42" s="99">
        <v>2014</v>
      </c>
      <c r="B42" s="24" t="s">
        <v>23</v>
      </c>
      <c r="C42" s="24">
        <v>827.09</v>
      </c>
      <c r="D42" s="24">
        <v>2334.31</v>
      </c>
      <c r="E42" s="24">
        <v>8101.53</v>
      </c>
      <c r="F42" s="24">
        <v>3547.48</v>
      </c>
      <c r="G42" s="24">
        <v>1706.28</v>
      </c>
      <c r="H42" s="24" t="s">
        <v>23</v>
      </c>
      <c r="I42" s="24">
        <f t="shared" si="2"/>
        <v>16516.689999999999</v>
      </c>
    </row>
    <row r="43" spans="1:9">
      <c r="A43" s="99">
        <v>2015</v>
      </c>
      <c r="B43" s="24" t="s">
        <v>23</v>
      </c>
      <c r="C43" s="24">
        <v>370.23</v>
      </c>
      <c r="D43" s="24">
        <v>2370.8000000000002</v>
      </c>
      <c r="E43" s="24">
        <v>8760.52</v>
      </c>
      <c r="F43" s="24">
        <v>2345.36</v>
      </c>
      <c r="G43" s="24">
        <v>918.56999999999994</v>
      </c>
      <c r="H43" s="24" t="s">
        <v>23</v>
      </c>
      <c r="I43" s="24">
        <f>SUM(B43:H43)</f>
        <v>14765.480000000001</v>
      </c>
    </row>
    <row r="44" spans="1:9">
      <c r="A44" s="99">
        <v>2016</v>
      </c>
      <c r="B44" s="24" t="s">
        <v>23</v>
      </c>
      <c r="C44" s="24" t="s">
        <v>23</v>
      </c>
      <c r="D44" s="24" t="s">
        <v>23</v>
      </c>
      <c r="E44" s="24">
        <v>7503.69</v>
      </c>
      <c r="F44" s="24">
        <v>751.07</v>
      </c>
      <c r="G44" s="24" t="s">
        <v>23</v>
      </c>
      <c r="H44" s="24" t="s">
        <v>23</v>
      </c>
      <c r="I44" s="24">
        <f>SUM(B44:H44)</f>
        <v>8254.76</v>
      </c>
    </row>
    <row r="45" spans="1:9">
      <c r="A45" s="99">
        <v>2017</v>
      </c>
      <c r="B45" s="24" t="s">
        <v>23</v>
      </c>
      <c r="C45" s="24" t="s">
        <v>23</v>
      </c>
      <c r="D45" s="24">
        <v>385.86</v>
      </c>
      <c r="E45" s="24">
        <v>7874.17</v>
      </c>
      <c r="F45" s="24">
        <v>2037</v>
      </c>
      <c r="G45" s="24">
        <v>493.65</v>
      </c>
      <c r="H45" s="24" t="s">
        <v>23</v>
      </c>
      <c r="I45" s="24">
        <f>SUM(B45:H45)</f>
        <v>10790.68</v>
      </c>
    </row>
    <row r="46" spans="1:9">
      <c r="A46" s="99">
        <v>2018</v>
      </c>
      <c r="B46" s="24" t="s">
        <v>23</v>
      </c>
      <c r="C46" s="24" t="s">
        <v>23</v>
      </c>
      <c r="D46" s="24">
        <v>1169.17</v>
      </c>
      <c r="E46" s="24">
        <v>5989.08</v>
      </c>
      <c r="F46" s="24">
        <v>1499.01</v>
      </c>
      <c r="G46" s="24">
        <v>0</v>
      </c>
      <c r="H46" s="24" t="s">
        <v>23</v>
      </c>
      <c r="I46" s="24">
        <f>SUM(B46:H46)</f>
        <v>8657.26</v>
      </c>
    </row>
    <row r="47" spans="1:9">
      <c r="A47" s="99">
        <v>2019</v>
      </c>
      <c r="B47" s="24" t="s">
        <v>23</v>
      </c>
      <c r="C47" s="24" t="s">
        <v>23</v>
      </c>
      <c r="D47" s="24">
        <v>2526.71</v>
      </c>
      <c r="E47" s="24">
        <v>5150.1400000000003</v>
      </c>
      <c r="F47" s="24">
        <v>1986.97</v>
      </c>
      <c r="G47" s="24">
        <v>400.36</v>
      </c>
      <c r="H47" s="24" t="s">
        <v>23</v>
      </c>
      <c r="I47" s="24">
        <f t="shared" ref="I47:I48" si="3">SUM(B47:H47)</f>
        <v>10064.18</v>
      </c>
    </row>
    <row r="48" spans="1:9" ht="13">
      <c r="A48" s="99" t="s">
        <v>310</v>
      </c>
      <c r="B48" s="24" t="s">
        <v>23</v>
      </c>
      <c r="C48" s="24" t="s">
        <v>23</v>
      </c>
      <c r="D48" s="24">
        <v>1322.47</v>
      </c>
      <c r="E48" s="24">
        <v>4700.04</v>
      </c>
      <c r="F48" s="24">
        <v>767.93</v>
      </c>
      <c r="G48" s="24" t="s">
        <v>23</v>
      </c>
      <c r="H48" s="24" t="s">
        <v>23</v>
      </c>
      <c r="I48" s="24">
        <f t="shared" si="3"/>
        <v>6790.4400000000005</v>
      </c>
    </row>
    <row r="49" spans="1:9" ht="13">
      <c r="A49" s="99" t="s">
        <v>320</v>
      </c>
      <c r="B49" s="24" t="s">
        <v>23</v>
      </c>
      <c r="C49" s="24" t="s">
        <v>23</v>
      </c>
      <c r="D49" s="24">
        <v>1939.44</v>
      </c>
      <c r="E49" s="24">
        <v>6668.16</v>
      </c>
      <c r="F49" s="24">
        <v>1774.79</v>
      </c>
      <c r="G49" s="24">
        <v>516.35</v>
      </c>
      <c r="H49" s="24" t="s">
        <v>23</v>
      </c>
      <c r="I49" s="24">
        <f t="shared" si="2"/>
        <v>10898.74</v>
      </c>
    </row>
    <row r="51" spans="1:9">
      <c r="A51" s="94" t="s">
        <v>60</v>
      </c>
    </row>
    <row r="52" spans="1:9">
      <c r="A52" s="99">
        <v>1976</v>
      </c>
      <c r="B52" s="24" t="s">
        <v>23</v>
      </c>
      <c r="C52" s="24">
        <v>916</v>
      </c>
      <c r="D52" s="24">
        <v>2940</v>
      </c>
      <c r="E52" s="24">
        <v>13001</v>
      </c>
      <c r="F52" s="24">
        <v>19862</v>
      </c>
      <c r="G52" s="24">
        <v>9326</v>
      </c>
      <c r="H52" s="24">
        <v>85</v>
      </c>
      <c r="I52" s="24">
        <f t="shared" ref="I52:I69" si="4">SUM(B52:H52)</f>
        <v>46130</v>
      </c>
    </row>
    <row r="53" spans="1:9">
      <c r="A53" s="99">
        <v>1977</v>
      </c>
      <c r="B53" s="24">
        <v>0</v>
      </c>
      <c r="C53" s="24">
        <v>476</v>
      </c>
      <c r="D53" s="24">
        <v>1082</v>
      </c>
      <c r="E53" s="24">
        <v>7530</v>
      </c>
      <c r="F53" s="24">
        <v>15382</v>
      </c>
      <c r="G53" s="24">
        <v>4439</v>
      </c>
      <c r="H53" s="24">
        <v>72</v>
      </c>
      <c r="I53" s="24">
        <f t="shared" si="4"/>
        <v>28981</v>
      </c>
    </row>
    <row r="54" spans="1:9">
      <c r="A54" s="99">
        <v>1978</v>
      </c>
      <c r="B54" s="24">
        <v>48</v>
      </c>
      <c r="C54" s="24">
        <v>143</v>
      </c>
      <c r="D54" s="24">
        <v>1363</v>
      </c>
      <c r="E54" s="24">
        <v>9308</v>
      </c>
      <c r="F54" s="24">
        <v>9531</v>
      </c>
      <c r="G54" s="24">
        <v>1884</v>
      </c>
      <c r="H54" s="24">
        <v>1150</v>
      </c>
      <c r="I54" s="24">
        <f t="shared" si="4"/>
        <v>23427</v>
      </c>
    </row>
    <row r="55" spans="1:9">
      <c r="A55" s="99">
        <v>1979</v>
      </c>
      <c r="B55" s="24" t="s">
        <v>23</v>
      </c>
      <c r="C55" s="24">
        <v>53</v>
      </c>
      <c r="D55" s="24">
        <v>229</v>
      </c>
      <c r="E55" s="24">
        <v>4393</v>
      </c>
      <c r="F55" s="24">
        <v>7857</v>
      </c>
      <c r="G55" s="24">
        <v>15</v>
      </c>
      <c r="H55" s="24" t="s">
        <v>23</v>
      </c>
      <c r="I55" s="24">
        <f t="shared" si="4"/>
        <v>12547</v>
      </c>
    </row>
    <row r="56" spans="1:9">
      <c r="A56" s="99">
        <v>1980</v>
      </c>
      <c r="B56" s="24" t="s">
        <v>23</v>
      </c>
      <c r="C56" s="24">
        <v>130</v>
      </c>
      <c r="D56" s="24">
        <v>1089</v>
      </c>
      <c r="E56" s="24">
        <v>5426</v>
      </c>
      <c r="F56" s="24">
        <v>5950</v>
      </c>
      <c r="G56" s="24" t="s">
        <v>23</v>
      </c>
      <c r="H56" s="24" t="s">
        <v>23</v>
      </c>
      <c r="I56" s="24">
        <f t="shared" si="4"/>
        <v>12595</v>
      </c>
    </row>
    <row r="57" spans="1:9">
      <c r="A57" s="99">
        <v>1981</v>
      </c>
      <c r="B57" s="24" t="s">
        <v>23</v>
      </c>
      <c r="C57" s="24">
        <v>0</v>
      </c>
      <c r="D57" s="24">
        <v>0</v>
      </c>
      <c r="E57" s="24">
        <v>0</v>
      </c>
      <c r="F57" s="24">
        <v>1392</v>
      </c>
      <c r="G57" s="24" t="s">
        <v>23</v>
      </c>
      <c r="H57" s="24" t="s">
        <v>23</v>
      </c>
      <c r="I57" s="24">
        <f t="shared" si="4"/>
        <v>1392</v>
      </c>
    </row>
    <row r="58" spans="1:9">
      <c r="A58" s="99">
        <v>1982</v>
      </c>
      <c r="B58" s="24" t="s">
        <v>23</v>
      </c>
      <c r="C58" s="24">
        <v>0</v>
      </c>
      <c r="D58" s="24">
        <v>208</v>
      </c>
      <c r="E58" s="24">
        <v>3453</v>
      </c>
      <c r="F58" s="24">
        <v>3709</v>
      </c>
      <c r="G58" s="24" t="s">
        <v>23</v>
      </c>
      <c r="H58" s="24" t="s">
        <v>23</v>
      </c>
      <c r="I58" s="24">
        <f t="shared" si="4"/>
        <v>7370</v>
      </c>
    </row>
    <row r="59" spans="1:9">
      <c r="A59" s="99">
        <v>1983</v>
      </c>
      <c r="B59" s="24" t="s">
        <v>23</v>
      </c>
      <c r="C59" s="24" t="s">
        <v>23</v>
      </c>
      <c r="D59" s="24" t="s">
        <v>23</v>
      </c>
      <c r="E59" s="24">
        <v>1314</v>
      </c>
      <c r="F59" s="24">
        <v>4333</v>
      </c>
      <c r="G59" s="24">
        <v>461</v>
      </c>
      <c r="H59" s="24" t="s">
        <v>23</v>
      </c>
      <c r="I59" s="24">
        <f t="shared" si="4"/>
        <v>6108</v>
      </c>
    </row>
    <row r="60" spans="1:9">
      <c r="A60" s="99">
        <v>1984</v>
      </c>
      <c r="B60" s="24" t="s">
        <v>23</v>
      </c>
      <c r="C60" s="24" t="s">
        <v>23</v>
      </c>
      <c r="D60" s="24" t="s">
        <v>23</v>
      </c>
      <c r="E60" s="24">
        <v>66</v>
      </c>
      <c r="F60" s="24">
        <v>176</v>
      </c>
      <c r="G60" s="24" t="s">
        <v>23</v>
      </c>
      <c r="H60" s="24" t="s">
        <v>23</v>
      </c>
      <c r="I60" s="24">
        <f t="shared" si="4"/>
        <v>242</v>
      </c>
    </row>
    <row r="61" spans="1:9">
      <c r="A61" s="99">
        <v>1985</v>
      </c>
      <c r="B61" s="24" t="s">
        <v>23</v>
      </c>
      <c r="C61" s="24" t="s">
        <v>23</v>
      </c>
      <c r="D61" s="24">
        <v>23</v>
      </c>
      <c r="E61" s="24">
        <v>762</v>
      </c>
      <c r="F61" s="24">
        <v>764</v>
      </c>
      <c r="G61" s="24">
        <v>0</v>
      </c>
      <c r="H61" s="24" t="s">
        <v>23</v>
      </c>
      <c r="I61" s="24">
        <f t="shared" si="4"/>
        <v>1549</v>
      </c>
    </row>
    <row r="62" spans="1:9">
      <c r="A62" s="99">
        <v>1986</v>
      </c>
      <c r="B62" s="24" t="s">
        <v>23</v>
      </c>
      <c r="C62" s="24" t="s">
        <v>23</v>
      </c>
      <c r="D62" s="24">
        <v>54</v>
      </c>
      <c r="E62" s="24">
        <v>887</v>
      </c>
      <c r="F62" s="24">
        <v>761</v>
      </c>
      <c r="G62" s="24" t="s">
        <v>23</v>
      </c>
      <c r="H62" s="24" t="s">
        <v>23</v>
      </c>
      <c r="I62" s="24">
        <f t="shared" si="4"/>
        <v>1702</v>
      </c>
    </row>
    <row r="63" spans="1:9">
      <c r="A63" s="99">
        <v>1987</v>
      </c>
      <c r="B63" s="24" t="s">
        <v>23</v>
      </c>
      <c r="C63" s="24" t="s">
        <v>23</v>
      </c>
      <c r="D63" s="24">
        <v>70</v>
      </c>
      <c r="E63" s="24">
        <v>1203</v>
      </c>
      <c r="F63" s="24">
        <v>767</v>
      </c>
      <c r="G63" s="24" t="s">
        <v>23</v>
      </c>
      <c r="H63" s="24" t="s">
        <v>23</v>
      </c>
      <c r="I63" s="24">
        <f t="shared" si="4"/>
        <v>2040</v>
      </c>
    </row>
    <row r="64" spans="1:9">
      <c r="A64" s="99">
        <v>1988</v>
      </c>
      <c r="B64" s="24" t="s">
        <v>23</v>
      </c>
      <c r="C64" s="24" t="s">
        <v>23</v>
      </c>
      <c r="D64" s="24" t="s">
        <v>23</v>
      </c>
      <c r="E64" s="24">
        <v>2377</v>
      </c>
      <c r="F64" s="24">
        <v>346</v>
      </c>
      <c r="G64" s="24">
        <v>86</v>
      </c>
      <c r="H64" s="24" t="s">
        <v>23</v>
      </c>
      <c r="I64" s="24">
        <f t="shared" si="4"/>
        <v>2809</v>
      </c>
    </row>
    <row r="65" spans="1:16">
      <c r="A65" s="99">
        <v>1989</v>
      </c>
      <c r="B65" s="24" t="s">
        <v>23</v>
      </c>
      <c r="C65" s="24">
        <v>66</v>
      </c>
      <c r="D65" s="24">
        <v>57</v>
      </c>
      <c r="E65" s="24">
        <v>1524</v>
      </c>
      <c r="F65" s="24" t="s">
        <v>23</v>
      </c>
      <c r="G65" s="24" t="s">
        <v>23</v>
      </c>
      <c r="H65" s="24" t="s">
        <v>23</v>
      </c>
      <c r="I65" s="24">
        <f t="shared" si="4"/>
        <v>1647</v>
      </c>
    </row>
    <row r="66" spans="1:16">
      <c r="A66" s="99">
        <v>1990</v>
      </c>
      <c r="B66" s="24" t="s">
        <v>23</v>
      </c>
      <c r="C66" s="24" t="s">
        <v>23</v>
      </c>
      <c r="D66" s="24" t="s">
        <v>23</v>
      </c>
      <c r="E66" s="24">
        <v>2847</v>
      </c>
      <c r="F66" s="24">
        <v>1122</v>
      </c>
      <c r="G66" s="24">
        <v>221</v>
      </c>
      <c r="H66" s="24" t="s">
        <v>23</v>
      </c>
      <c r="I66" s="24">
        <f t="shared" si="4"/>
        <v>4190</v>
      </c>
    </row>
    <row r="67" spans="1:16">
      <c r="A67" s="99">
        <v>1991</v>
      </c>
      <c r="B67" s="24" t="s">
        <v>23</v>
      </c>
      <c r="C67" s="24" t="s">
        <v>23</v>
      </c>
      <c r="D67" s="24" t="s">
        <v>23</v>
      </c>
      <c r="E67" s="24">
        <v>3528</v>
      </c>
      <c r="F67" s="24">
        <v>6</v>
      </c>
      <c r="G67" s="24" t="s">
        <v>23</v>
      </c>
      <c r="H67" s="24" t="s">
        <v>23</v>
      </c>
      <c r="I67" s="24">
        <f t="shared" si="4"/>
        <v>3534</v>
      </c>
      <c r="J67" s="29"/>
      <c r="K67" s="29"/>
      <c r="L67" s="29"/>
      <c r="N67" s="29"/>
      <c r="O67" s="29"/>
      <c r="P67" s="29"/>
    </row>
    <row r="68" spans="1:16">
      <c r="A68" s="99">
        <v>1992</v>
      </c>
      <c r="B68" s="24" t="s">
        <v>23</v>
      </c>
      <c r="C68" s="24" t="s">
        <v>23</v>
      </c>
      <c r="D68" s="24" t="s">
        <v>23</v>
      </c>
      <c r="E68" s="24">
        <v>1675</v>
      </c>
      <c r="F68" s="24">
        <v>513</v>
      </c>
      <c r="G68" s="24">
        <v>266</v>
      </c>
      <c r="H68" s="24">
        <v>8</v>
      </c>
      <c r="I68" s="24">
        <f t="shared" si="4"/>
        <v>2462</v>
      </c>
      <c r="J68" s="29"/>
      <c r="K68" s="29"/>
      <c r="L68" s="29"/>
      <c r="P68" s="29"/>
    </row>
    <row r="69" spans="1:16">
      <c r="A69" s="99">
        <v>1993</v>
      </c>
      <c r="B69" s="24" t="s">
        <v>23</v>
      </c>
      <c r="C69" s="24" t="s">
        <v>23</v>
      </c>
      <c r="D69" s="24" t="s">
        <v>23</v>
      </c>
      <c r="E69" s="24">
        <v>1505</v>
      </c>
      <c r="F69" s="24">
        <v>762</v>
      </c>
      <c r="G69" s="24">
        <f>557+76</f>
        <v>633</v>
      </c>
      <c r="H69" s="24" t="s">
        <v>23</v>
      </c>
      <c r="I69" s="24">
        <f t="shared" si="4"/>
        <v>2900</v>
      </c>
      <c r="J69" s="29"/>
      <c r="K69" s="29"/>
      <c r="L69" s="29"/>
      <c r="P69" s="29"/>
    </row>
    <row r="70" spans="1:16">
      <c r="A70" s="99">
        <v>1994</v>
      </c>
      <c r="B70" s="24" t="s">
        <v>23</v>
      </c>
      <c r="C70" s="24" t="s">
        <v>23</v>
      </c>
      <c r="D70" s="24" t="s">
        <v>23</v>
      </c>
      <c r="E70" s="24" t="s">
        <v>23</v>
      </c>
      <c r="F70" s="24" t="s">
        <v>23</v>
      </c>
      <c r="G70" s="24" t="s">
        <v>23</v>
      </c>
      <c r="H70" s="24" t="s">
        <v>23</v>
      </c>
      <c r="I70" s="24" t="s">
        <v>23</v>
      </c>
      <c r="J70" s="29"/>
      <c r="K70" s="29"/>
      <c r="L70" s="29"/>
      <c r="M70" s="29"/>
      <c r="N70" s="29"/>
      <c r="O70" s="29"/>
      <c r="P70" s="29"/>
    </row>
    <row r="71" spans="1:16">
      <c r="A71" s="99">
        <v>1995</v>
      </c>
      <c r="B71" s="24" t="s">
        <v>23</v>
      </c>
      <c r="C71" s="24" t="s">
        <v>23</v>
      </c>
      <c r="D71" s="24" t="s">
        <v>23</v>
      </c>
      <c r="E71" s="24" t="s">
        <v>23</v>
      </c>
      <c r="F71" s="24">
        <v>911</v>
      </c>
      <c r="G71" s="24">
        <v>540</v>
      </c>
      <c r="H71" s="24" t="s">
        <v>23</v>
      </c>
      <c r="I71" s="24">
        <f t="shared" ref="I71:I82" si="5">SUM(B71:H71)</f>
        <v>1451</v>
      </c>
      <c r="J71" s="29"/>
      <c r="K71" s="29"/>
      <c r="L71" s="29"/>
      <c r="M71" s="29"/>
      <c r="P71" s="29"/>
    </row>
    <row r="72" spans="1:16">
      <c r="A72" s="99">
        <v>1996</v>
      </c>
      <c r="B72" s="24" t="s">
        <v>23</v>
      </c>
      <c r="C72" s="24" t="s">
        <v>23</v>
      </c>
      <c r="D72" s="24" t="s">
        <v>23</v>
      </c>
      <c r="E72" s="24" t="s">
        <v>23</v>
      </c>
      <c r="F72" s="24">
        <v>781</v>
      </c>
      <c r="G72" s="24">
        <v>506</v>
      </c>
      <c r="H72" s="24" t="s">
        <v>23</v>
      </c>
      <c r="I72" s="24">
        <f t="shared" si="5"/>
        <v>1287</v>
      </c>
      <c r="J72" s="29"/>
      <c r="K72" s="29"/>
      <c r="L72" s="29"/>
      <c r="M72" s="29"/>
      <c r="P72" s="29"/>
    </row>
    <row r="73" spans="1:16">
      <c r="A73" s="99">
        <v>1997</v>
      </c>
      <c r="B73" s="24" t="s">
        <v>23</v>
      </c>
      <c r="C73" s="24" t="s">
        <v>23</v>
      </c>
      <c r="D73" s="24" t="s">
        <v>23</v>
      </c>
      <c r="E73" s="24">
        <v>925</v>
      </c>
      <c r="F73" s="24">
        <v>0</v>
      </c>
      <c r="G73" s="24" t="s">
        <v>23</v>
      </c>
      <c r="H73" s="24" t="s">
        <v>23</v>
      </c>
      <c r="I73" s="24">
        <f t="shared" si="5"/>
        <v>925</v>
      </c>
      <c r="J73" s="29"/>
      <c r="K73" s="29"/>
      <c r="L73" s="29"/>
      <c r="N73" s="29"/>
      <c r="O73" s="29"/>
      <c r="P73" s="29"/>
    </row>
    <row r="74" spans="1:16">
      <c r="A74" s="99">
        <v>1998</v>
      </c>
      <c r="B74" s="24" t="s">
        <v>23</v>
      </c>
      <c r="C74" s="24" t="s">
        <v>23</v>
      </c>
      <c r="D74" s="24" t="s">
        <v>23</v>
      </c>
      <c r="E74" s="24" t="s">
        <v>23</v>
      </c>
      <c r="F74" s="24">
        <v>578</v>
      </c>
      <c r="G74" s="24" t="s">
        <v>23</v>
      </c>
      <c r="H74" s="24" t="s">
        <v>23</v>
      </c>
      <c r="I74" s="24">
        <f t="shared" si="5"/>
        <v>578</v>
      </c>
      <c r="J74" s="29"/>
      <c r="K74" s="29"/>
      <c r="L74" s="29"/>
      <c r="M74" s="29"/>
      <c r="O74" s="29"/>
      <c r="P74" s="29"/>
    </row>
    <row r="75" spans="1:16">
      <c r="A75" s="99">
        <v>1999</v>
      </c>
      <c r="B75" s="24" t="s">
        <v>23</v>
      </c>
      <c r="C75" s="24" t="s">
        <v>23</v>
      </c>
      <c r="D75" s="24" t="s">
        <v>23</v>
      </c>
      <c r="E75" s="24">
        <v>1022</v>
      </c>
      <c r="F75" s="24">
        <v>1230</v>
      </c>
      <c r="G75" s="24">
        <v>669</v>
      </c>
      <c r="H75" s="24" t="s">
        <v>23</v>
      </c>
      <c r="I75" s="24">
        <f t="shared" si="5"/>
        <v>2921</v>
      </c>
      <c r="J75" s="29"/>
      <c r="K75" s="29"/>
      <c r="L75" s="29"/>
      <c r="P75" s="29"/>
    </row>
    <row r="76" spans="1:16">
      <c r="A76" s="99">
        <v>2000</v>
      </c>
      <c r="B76" s="24" t="s">
        <v>23</v>
      </c>
      <c r="C76" s="24" t="s">
        <v>23</v>
      </c>
      <c r="D76" s="24" t="s">
        <v>23</v>
      </c>
      <c r="E76" s="24">
        <v>1233</v>
      </c>
      <c r="F76" s="24">
        <v>742</v>
      </c>
      <c r="G76" s="24" t="s">
        <v>23</v>
      </c>
      <c r="H76" s="24" t="s">
        <v>23</v>
      </c>
      <c r="I76" s="24">
        <f t="shared" si="5"/>
        <v>1975</v>
      </c>
      <c r="J76" s="29"/>
      <c r="K76" s="29"/>
      <c r="L76" s="29"/>
      <c r="O76" s="29"/>
      <c r="P76" s="29"/>
    </row>
    <row r="77" spans="1:16">
      <c r="A77" s="99">
        <v>2001</v>
      </c>
      <c r="B77" s="24" t="s">
        <v>23</v>
      </c>
      <c r="C77" s="24" t="s">
        <v>23</v>
      </c>
      <c r="D77" s="24" t="s">
        <v>23</v>
      </c>
      <c r="E77" s="24">
        <v>1941</v>
      </c>
      <c r="F77" s="24">
        <v>960</v>
      </c>
      <c r="G77" s="24">
        <v>247</v>
      </c>
      <c r="H77" s="24">
        <v>239</v>
      </c>
      <c r="I77" s="24">
        <f t="shared" si="5"/>
        <v>3387</v>
      </c>
      <c r="J77" s="29"/>
      <c r="K77" s="29"/>
      <c r="L77" s="29"/>
    </row>
    <row r="78" spans="1:16">
      <c r="A78" s="99">
        <v>2002</v>
      </c>
      <c r="B78" s="24" t="s">
        <v>23</v>
      </c>
      <c r="C78" s="24">
        <v>59</v>
      </c>
      <c r="D78" s="24">
        <v>231</v>
      </c>
      <c r="E78" s="24">
        <v>1089</v>
      </c>
      <c r="F78" s="24">
        <v>1350</v>
      </c>
      <c r="G78" s="24">
        <v>568</v>
      </c>
      <c r="H78" s="24">
        <v>113</v>
      </c>
      <c r="I78" s="24">
        <f t="shared" si="5"/>
        <v>3410</v>
      </c>
      <c r="J78" s="29"/>
    </row>
    <row r="79" spans="1:16">
      <c r="A79" s="99">
        <v>2003</v>
      </c>
      <c r="B79" s="24" t="s">
        <v>23</v>
      </c>
      <c r="C79" s="24" t="s">
        <v>23</v>
      </c>
      <c r="D79" s="24">
        <v>244</v>
      </c>
      <c r="E79" s="24">
        <v>1774</v>
      </c>
      <c r="F79" s="24">
        <v>1595</v>
      </c>
      <c r="G79" s="24">
        <v>628</v>
      </c>
      <c r="H79" s="24">
        <v>128</v>
      </c>
      <c r="I79" s="24">
        <f t="shared" si="5"/>
        <v>4369</v>
      </c>
      <c r="J79" s="29"/>
      <c r="K79" s="29"/>
    </row>
    <row r="80" spans="1:16">
      <c r="A80" s="99">
        <v>2004</v>
      </c>
      <c r="B80" s="24" t="s">
        <v>23</v>
      </c>
      <c r="C80" s="24" t="s">
        <v>23</v>
      </c>
      <c r="D80" s="24">
        <v>123</v>
      </c>
      <c r="E80" s="24">
        <v>1883</v>
      </c>
      <c r="F80" s="24">
        <v>1484</v>
      </c>
      <c r="G80" s="24">
        <v>1053</v>
      </c>
      <c r="H80" s="24">
        <v>20</v>
      </c>
      <c r="I80" s="24">
        <f t="shared" si="5"/>
        <v>4563</v>
      </c>
    </row>
    <row r="81" spans="1:9">
      <c r="A81" s="99">
        <v>2005</v>
      </c>
      <c r="B81" s="24" t="s">
        <v>23</v>
      </c>
      <c r="C81" s="24" t="s">
        <v>23</v>
      </c>
      <c r="D81" s="24" t="s">
        <v>23</v>
      </c>
      <c r="E81" s="24">
        <v>1867</v>
      </c>
      <c r="F81" s="24">
        <v>2039</v>
      </c>
      <c r="G81" s="24">
        <v>895</v>
      </c>
      <c r="H81" s="24">
        <v>160</v>
      </c>
      <c r="I81" s="24">
        <f t="shared" si="5"/>
        <v>4961</v>
      </c>
    </row>
    <row r="82" spans="1:9">
      <c r="A82" s="99">
        <v>2006</v>
      </c>
      <c r="B82" s="24" t="s">
        <v>23</v>
      </c>
      <c r="C82" s="24" t="s">
        <v>23</v>
      </c>
      <c r="D82" s="24">
        <v>172.55</v>
      </c>
      <c r="E82" s="24">
        <v>1029.3</v>
      </c>
      <c r="F82" s="24">
        <v>1942.5</v>
      </c>
      <c r="G82" s="24">
        <v>740.28</v>
      </c>
      <c r="H82" s="24">
        <v>258.35000000000002</v>
      </c>
      <c r="I82" s="24">
        <f t="shared" si="5"/>
        <v>4142.9800000000005</v>
      </c>
    </row>
    <row r="83" spans="1:9">
      <c r="A83" s="99">
        <v>2007</v>
      </c>
      <c r="B83" s="24" t="s">
        <v>23</v>
      </c>
      <c r="C83" s="24" t="s">
        <v>23</v>
      </c>
      <c r="D83" s="24" t="s">
        <v>23</v>
      </c>
      <c r="E83" s="24">
        <v>989.28</v>
      </c>
      <c r="F83" s="24">
        <v>1639.83</v>
      </c>
      <c r="G83" s="24">
        <v>639.07000000000005</v>
      </c>
      <c r="H83" s="24">
        <v>0</v>
      </c>
      <c r="I83" s="24">
        <f>SUM(B83:H83)</f>
        <v>3268.18</v>
      </c>
    </row>
    <row r="84" spans="1:9">
      <c r="A84" s="99">
        <v>2008</v>
      </c>
      <c r="B84" s="24" t="s">
        <v>23</v>
      </c>
      <c r="C84" s="24" t="s">
        <v>23</v>
      </c>
      <c r="D84" s="24">
        <v>281.12</v>
      </c>
      <c r="E84" s="24">
        <v>535.26</v>
      </c>
      <c r="F84" s="24">
        <v>708.58</v>
      </c>
      <c r="G84" s="24">
        <v>508.07</v>
      </c>
      <c r="H84" s="24">
        <v>37.5</v>
      </c>
      <c r="I84" s="24">
        <f t="shared" ref="I84:I97" si="6">SUM(B84:H84)</f>
        <v>2070.5299999999997</v>
      </c>
    </row>
    <row r="85" spans="1:9">
      <c r="A85" s="99">
        <v>2009</v>
      </c>
      <c r="B85" s="24" t="s">
        <v>23</v>
      </c>
      <c r="C85" s="24" t="s">
        <v>23</v>
      </c>
      <c r="D85" s="24">
        <v>101.94</v>
      </c>
      <c r="E85" s="24">
        <v>1462.33</v>
      </c>
      <c r="F85" s="24">
        <v>2699.54</v>
      </c>
      <c r="G85" s="24">
        <v>600.89</v>
      </c>
      <c r="H85" s="24">
        <v>212.42</v>
      </c>
      <c r="I85" s="24">
        <f t="shared" si="6"/>
        <v>5077.12</v>
      </c>
    </row>
    <row r="86" spans="1:9">
      <c r="A86" s="99">
        <v>2010</v>
      </c>
      <c r="B86" s="24" t="s">
        <v>23</v>
      </c>
      <c r="C86" s="24" t="s">
        <v>23</v>
      </c>
      <c r="D86" s="24">
        <v>390.17</v>
      </c>
      <c r="E86" s="24">
        <v>838.42</v>
      </c>
      <c r="F86" s="24">
        <v>1939.67</v>
      </c>
      <c r="G86" s="24">
        <v>513.42999999999995</v>
      </c>
      <c r="H86" s="24">
        <v>153.97</v>
      </c>
      <c r="I86" s="24">
        <f t="shared" si="6"/>
        <v>3835.66</v>
      </c>
    </row>
    <row r="87" spans="1:9">
      <c r="A87" s="99">
        <v>2011</v>
      </c>
      <c r="B87" s="24" t="s">
        <v>23</v>
      </c>
      <c r="C87" s="24" t="s">
        <v>23</v>
      </c>
      <c r="D87" s="24">
        <v>193.5</v>
      </c>
      <c r="E87" s="24">
        <v>1406.3</v>
      </c>
      <c r="F87" s="24">
        <v>1945.76</v>
      </c>
      <c r="G87" s="24">
        <v>675.82</v>
      </c>
      <c r="H87" s="24">
        <v>16.05</v>
      </c>
      <c r="I87" s="24">
        <f t="shared" si="6"/>
        <v>4237.43</v>
      </c>
    </row>
    <row r="88" spans="1:9">
      <c r="A88" s="99">
        <v>2012</v>
      </c>
      <c r="B88" s="24" t="s">
        <v>23</v>
      </c>
      <c r="C88" s="24" t="s">
        <v>23</v>
      </c>
      <c r="D88" s="24">
        <v>235.73</v>
      </c>
      <c r="E88" s="24">
        <v>1189.72</v>
      </c>
      <c r="F88" s="24">
        <v>1379.4</v>
      </c>
      <c r="G88" s="24">
        <v>767.68</v>
      </c>
      <c r="H88" s="24">
        <v>353.11</v>
      </c>
      <c r="I88" s="24">
        <f t="shared" si="6"/>
        <v>3925.6400000000003</v>
      </c>
    </row>
    <row r="89" spans="1:9">
      <c r="A89" s="99">
        <v>2013</v>
      </c>
      <c r="B89" s="24" t="s">
        <v>23</v>
      </c>
      <c r="C89" s="24">
        <v>135.88</v>
      </c>
      <c r="D89" s="24">
        <v>239.16</v>
      </c>
      <c r="E89" s="24">
        <v>970.73</v>
      </c>
      <c r="F89" s="24">
        <v>2263.3000000000002</v>
      </c>
      <c r="G89" s="24">
        <v>419.6</v>
      </c>
      <c r="H89" s="24">
        <v>237.41</v>
      </c>
      <c r="I89" s="24">
        <f t="shared" si="6"/>
        <v>4266.08</v>
      </c>
    </row>
    <row r="90" spans="1:9">
      <c r="A90" s="99">
        <v>2014</v>
      </c>
      <c r="B90" s="24" t="s">
        <v>23</v>
      </c>
      <c r="C90" s="24">
        <v>35.909999999999997</v>
      </c>
      <c r="D90" s="24">
        <v>351.96</v>
      </c>
      <c r="E90" s="24">
        <v>1421.59</v>
      </c>
      <c r="F90" s="24">
        <v>2006.75</v>
      </c>
      <c r="G90" s="24">
        <v>882.89</v>
      </c>
      <c r="H90" s="24">
        <v>364.82</v>
      </c>
      <c r="I90" s="24">
        <f t="shared" si="6"/>
        <v>5063.92</v>
      </c>
    </row>
    <row r="91" spans="1:9">
      <c r="A91" s="99">
        <v>2015</v>
      </c>
      <c r="B91" s="24" t="s">
        <v>23</v>
      </c>
      <c r="C91" s="24">
        <v>89.81</v>
      </c>
      <c r="D91" s="24">
        <v>247.25</v>
      </c>
      <c r="E91" s="24">
        <v>1389.02</v>
      </c>
      <c r="F91" s="24">
        <v>1058.25</v>
      </c>
      <c r="G91" s="24">
        <v>419.76</v>
      </c>
      <c r="H91" s="24">
        <v>300.16000000000003</v>
      </c>
      <c r="I91" s="24">
        <f>SUM(B91:H91)</f>
        <v>3504.25</v>
      </c>
    </row>
    <row r="92" spans="1:9">
      <c r="A92" s="99">
        <v>2016</v>
      </c>
      <c r="B92" s="24" t="s">
        <v>23</v>
      </c>
      <c r="C92" s="24" t="s">
        <v>23</v>
      </c>
      <c r="D92" s="24" t="s">
        <v>23</v>
      </c>
      <c r="E92" s="24">
        <v>701.78</v>
      </c>
      <c r="F92" s="24">
        <v>387.06</v>
      </c>
      <c r="G92" s="24" t="s">
        <v>23</v>
      </c>
      <c r="H92" s="24" t="s">
        <v>23</v>
      </c>
      <c r="I92" s="24">
        <f>SUM(B92:H92)</f>
        <v>1088.8399999999999</v>
      </c>
    </row>
    <row r="93" spans="1:9">
      <c r="A93" s="99">
        <v>2017</v>
      </c>
      <c r="B93" s="24" t="s">
        <v>23</v>
      </c>
      <c r="C93" s="24" t="s">
        <v>23</v>
      </c>
      <c r="D93" s="24">
        <v>82.3</v>
      </c>
      <c r="E93" s="24">
        <v>465.42</v>
      </c>
      <c r="F93" s="24">
        <v>1004.77</v>
      </c>
      <c r="G93" s="24">
        <v>348.11</v>
      </c>
      <c r="H93" s="24" t="s">
        <v>23</v>
      </c>
      <c r="I93" s="24">
        <f>SUM(B93:H93)</f>
        <v>1900.6</v>
      </c>
    </row>
    <row r="94" spans="1:9">
      <c r="A94" s="99">
        <v>2018</v>
      </c>
      <c r="B94" s="24" t="s">
        <v>23</v>
      </c>
      <c r="C94" s="24" t="s">
        <v>23</v>
      </c>
      <c r="D94" s="24">
        <v>79.83</v>
      </c>
      <c r="E94" s="24">
        <v>399.74</v>
      </c>
      <c r="F94" s="24">
        <v>1407.96</v>
      </c>
      <c r="G94" s="24">
        <v>20</v>
      </c>
      <c r="H94" s="24" t="s">
        <v>23</v>
      </c>
      <c r="I94" s="24">
        <f>SUM(B94:H94)</f>
        <v>1907.53</v>
      </c>
    </row>
    <row r="95" spans="1:9">
      <c r="A95" s="99">
        <v>2019</v>
      </c>
      <c r="B95" s="24" t="s">
        <v>23</v>
      </c>
      <c r="C95" s="24" t="s">
        <v>23</v>
      </c>
      <c r="D95" s="24">
        <v>123.52</v>
      </c>
      <c r="E95" s="24">
        <v>529.84</v>
      </c>
      <c r="F95" s="24">
        <v>1114.17</v>
      </c>
      <c r="G95" s="24">
        <v>293.72000000000003</v>
      </c>
      <c r="H95" s="24">
        <v>239.57</v>
      </c>
      <c r="I95" s="24">
        <f t="shared" ref="I95:I96" si="7">SUM(B95:H95)</f>
        <v>2300.8200000000002</v>
      </c>
    </row>
    <row r="96" spans="1:9" ht="13">
      <c r="A96" s="99" t="s">
        <v>310</v>
      </c>
      <c r="B96" s="24" t="s">
        <v>23</v>
      </c>
      <c r="C96" s="24" t="s">
        <v>23</v>
      </c>
      <c r="D96" s="24">
        <v>0</v>
      </c>
      <c r="E96" s="24">
        <v>16.649999999999999</v>
      </c>
      <c r="F96" s="24">
        <v>145.68</v>
      </c>
      <c r="G96" s="24">
        <v>62.94</v>
      </c>
      <c r="H96" s="24" t="s">
        <v>23</v>
      </c>
      <c r="I96" s="24">
        <f t="shared" si="7"/>
        <v>225.27</v>
      </c>
    </row>
    <row r="97" spans="1:9" ht="13">
      <c r="A97" s="99" t="s">
        <v>320</v>
      </c>
      <c r="B97" s="24" t="s">
        <v>23</v>
      </c>
      <c r="C97" s="24" t="s">
        <v>23</v>
      </c>
      <c r="D97" s="24">
        <v>0</v>
      </c>
      <c r="E97" s="24">
        <v>538.98</v>
      </c>
      <c r="F97" s="24">
        <v>796.9</v>
      </c>
      <c r="G97" s="24">
        <v>265.05</v>
      </c>
      <c r="H97" s="24" t="s">
        <v>23</v>
      </c>
      <c r="I97" s="24">
        <f t="shared" si="6"/>
        <v>1600.93</v>
      </c>
    </row>
    <row r="99" spans="1:9">
      <c r="A99" s="94" t="s">
        <v>58</v>
      </c>
    </row>
    <row r="100" spans="1:9">
      <c r="A100" s="99">
        <v>1976</v>
      </c>
      <c r="B100" s="24" t="s">
        <v>23</v>
      </c>
      <c r="C100" s="24">
        <v>12466</v>
      </c>
      <c r="D100" s="24">
        <v>39431</v>
      </c>
      <c r="E100" s="24">
        <v>77844</v>
      </c>
      <c r="F100" s="24">
        <v>73035</v>
      </c>
      <c r="G100" s="24">
        <v>38311</v>
      </c>
      <c r="H100" s="24">
        <v>5901</v>
      </c>
      <c r="I100" s="24">
        <f t="shared" ref="I100:I117" si="8">SUM(B100:H100)</f>
        <v>246988</v>
      </c>
    </row>
    <row r="101" spans="1:9">
      <c r="A101" s="99">
        <v>1977</v>
      </c>
      <c r="B101" s="24">
        <v>7367</v>
      </c>
      <c r="C101" s="24">
        <v>11761</v>
      </c>
      <c r="D101" s="24">
        <v>39957</v>
      </c>
      <c r="E101" s="24">
        <v>70431</v>
      </c>
      <c r="F101" s="24">
        <v>88609</v>
      </c>
      <c r="G101" s="24">
        <v>42309</v>
      </c>
      <c r="H101" s="24">
        <v>2772</v>
      </c>
      <c r="I101" s="24">
        <f t="shared" si="8"/>
        <v>263206</v>
      </c>
    </row>
    <row r="102" spans="1:9">
      <c r="A102" s="99">
        <v>1978</v>
      </c>
      <c r="B102" s="24">
        <v>2073</v>
      </c>
      <c r="C102" s="24">
        <v>11933</v>
      </c>
      <c r="D102" s="24">
        <v>42265</v>
      </c>
      <c r="E102" s="24">
        <v>79473</v>
      </c>
      <c r="F102" s="24">
        <v>72955</v>
      </c>
      <c r="G102" s="24">
        <v>31200</v>
      </c>
      <c r="H102" s="24">
        <v>4822</v>
      </c>
      <c r="I102" s="24">
        <f t="shared" si="8"/>
        <v>244721</v>
      </c>
    </row>
    <row r="103" spans="1:9">
      <c r="A103" s="99">
        <v>1979</v>
      </c>
      <c r="B103" s="24" t="s">
        <v>23</v>
      </c>
      <c r="C103" s="24">
        <v>14410</v>
      </c>
      <c r="D103" s="24">
        <v>34571</v>
      </c>
      <c r="E103" s="24">
        <v>53195</v>
      </c>
      <c r="F103" s="24">
        <v>55093</v>
      </c>
      <c r="G103" s="24">
        <v>3052</v>
      </c>
      <c r="H103" s="24">
        <v>322</v>
      </c>
      <c r="I103" s="24">
        <f t="shared" si="8"/>
        <v>160643</v>
      </c>
    </row>
    <row r="104" spans="1:9">
      <c r="A104" s="99">
        <v>1980</v>
      </c>
      <c r="B104" s="24" t="s">
        <v>23</v>
      </c>
      <c r="C104" s="24">
        <v>11128</v>
      </c>
      <c r="D104" s="24">
        <v>30618</v>
      </c>
      <c r="E104" s="24">
        <v>51493</v>
      </c>
      <c r="F104" s="24">
        <v>41837</v>
      </c>
      <c r="G104" s="24">
        <v>795</v>
      </c>
      <c r="H104" s="24" t="s">
        <v>23</v>
      </c>
      <c r="I104" s="24">
        <f t="shared" si="8"/>
        <v>135871</v>
      </c>
    </row>
    <row r="105" spans="1:9">
      <c r="A105" s="99">
        <v>1981</v>
      </c>
      <c r="B105" s="24" t="s">
        <v>23</v>
      </c>
      <c r="C105" s="24">
        <v>6465</v>
      </c>
      <c r="D105" s="24">
        <v>23446</v>
      </c>
      <c r="E105" s="24">
        <v>48013</v>
      </c>
      <c r="F105" s="24">
        <v>39129</v>
      </c>
      <c r="G105" s="24">
        <v>620</v>
      </c>
      <c r="H105" s="24">
        <v>208</v>
      </c>
      <c r="I105" s="24">
        <f t="shared" si="8"/>
        <v>117881</v>
      </c>
    </row>
    <row r="106" spans="1:9">
      <c r="A106" s="99">
        <v>1982</v>
      </c>
      <c r="B106" s="24" t="s">
        <v>23</v>
      </c>
      <c r="C106" s="24">
        <v>2125</v>
      </c>
      <c r="D106" s="24">
        <v>29608</v>
      </c>
      <c r="E106" s="24">
        <v>55050</v>
      </c>
      <c r="F106" s="24">
        <v>26422</v>
      </c>
      <c r="G106" s="24">
        <v>71</v>
      </c>
      <c r="H106" s="24" t="s">
        <v>23</v>
      </c>
      <c r="I106" s="24">
        <f t="shared" si="8"/>
        <v>113276</v>
      </c>
    </row>
    <row r="107" spans="1:9">
      <c r="A107" s="99">
        <v>1983</v>
      </c>
      <c r="B107" s="24" t="s">
        <v>23</v>
      </c>
      <c r="C107" s="24">
        <v>2470</v>
      </c>
      <c r="D107" s="24">
        <v>25634</v>
      </c>
      <c r="E107" s="24">
        <v>36720</v>
      </c>
      <c r="F107" s="24">
        <v>21811</v>
      </c>
      <c r="G107" s="24">
        <v>6299</v>
      </c>
      <c r="H107" s="24" t="s">
        <v>23</v>
      </c>
      <c r="I107" s="24">
        <f t="shared" si="8"/>
        <v>92934</v>
      </c>
    </row>
    <row r="108" spans="1:9">
      <c r="A108" s="99">
        <v>1984</v>
      </c>
      <c r="B108" s="24" t="s">
        <v>23</v>
      </c>
      <c r="C108" s="24">
        <v>3367</v>
      </c>
      <c r="D108" s="24" t="s">
        <v>23</v>
      </c>
      <c r="E108" s="24">
        <v>3424</v>
      </c>
      <c r="F108" s="24">
        <v>7077</v>
      </c>
      <c r="G108" s="24" t="s">
        <v>23</v>
      </c>
      <c r="H108" s="24" t="s">
        <v>23</v>
      </c>
      <c r="I108" s="24">
        <f t="shared" si="8"/>
        <v>13868</v>
      </c>
    </row>
    <row r="109" spans="1:9">
      <c r="A109" s="99">
        <v>1985</v>
      </c>
      <c r="B109" s="24" t="s">
        <v>23</v>
      </c>
      <c r="C109" s="24" t="s">
        <v>23</v>
      </c>
      <c r="D109" s="24">
        <v>1881</v>
      </c>
      <c r="E109" s="24">
        <v>27651</v>
      </c>
      <c r="F109" s="24">
        <v>22922</v>
      </c>
      <c r="G109" s="24">
        <v>3416</v>
      </c>
      <c r="H109" s="24" t="s">
        <v>23</v>
      </c>
      <c r="I109" s="24">
        <f t="shared" si="8"/>
        <v>55870</v>
      </c>
    </row>
    <row r="110" spans="1:9">
      <c r="A110" s="99">
        <v>1986</v>
      </c>
      <c r="B110" s="24" t="s">
        <v>23</v>
      </c>
      <c r="C110" s="24" t="s">
        <v>23</v>
      </c>
      <c r="D110" s="24">
        <v>1967</v>
      </c>
      <c r="E110" s="24">
        <v>30133</v>
      </c>
      <c r="F110" s="24">
        <v>19253</v>
      </c>
      <c r="G110" s="24">
        <v>943</v>
      </c>
      <c r="H110" s="24">
        <v>86</v>
      </c>
      <c r="I110" s="24">
        <f t="shared" si="8"/>
        <v>52382</v>
      </c>
    </row>
    <row r="111" spans="1:9">
      <c r="A111" s="99">
        <v>1987</v>
      </c>
      <c r="B111" s="24" t="s">
        <v>23</v>
      </c>
      <c r="C111" s="24" t="s">
        <v>23</v>
      </c>
      <c r="D111" s="24">
        <v>2063</v>
      </c>
      <c r="E111" s="24">
        <v>29670</v>
      </c>
      <c r="F111" s="24">
        <v>11371</v>
      </c>
      <c r="G111" s="24">
        <v>784</v>
      </c>
      <c r="H111" s="24">
        <v>22</v>
      </c>
      <c r="I111" s="24">
        <f t="shared" si="8"/>
        <v>43910</v>
      </c>
    </row>
    <row r="112" spans="1:9">
      <c r="A112" s="99">
        <v>1988</v>
      </c>
      <c r="B112" s="24" t="s">
        <v>23</v>
      </c>
      <c r="C112" s="24" t="s">
        <v>23</v>
      </c>
      <c r="D112" s="24" t="s">
        <v>23</v>
      </c>
      <c r="E112" s="24">
        <v>35445</v>
      </c>
      <c r="F112" s="24">
        <v>1889</v>
      </c>
      <c r="G112" s="24" t="s">
        <v>23</v>
      </c>
      <c r="H112" s="24">
        <v>12</v>
      </c>
      <c r="I112" s="24">
        <f t="shared" si="8"/>
        <v>37346</v>
      </c>
    </row>
    <row r="113" spans="1:16">
      <c r="A113" s="99">
        <v>1989</v>
      </c>
      <c r="B113" s="24" t="s">
        <v>23</v>
      </c>
      <c r="C113" s="24">
        <v>1451</v>
      </c>
      <c r="D113" s="24">
        <v>3406</v>
      </c>
      <c r="E113" s="24">
        <v>29205</v>
      </c>
      <c r="F113" s="24">
        <v>25449</v>
      </c>
      <c r="G113" s="24" t="s">
        <v>23</v>
      </c>
      <c r="H113" s="24" t="s">
        <v>23</v>
      </c>
      <c r="I113" s="24">
        <f t="shared" si="8"/>
        <v>59511</v>
      </c>
    </row>
    <row r="114" spans="1:16">
      <c r="A114" s="99">
        <v>1990</v>
      </c>
      <c r="B114" s="24" t="s">
        <v>23</v>
      </c>
      <c r="C114" s="24" t="s">
        <v>23</v>
      </c>
      <c r="D114" s="24">
        <v>7216</v>
      </c>
      <c r="E114" s="24">
        <v>26825</v>
      </c>
      <c r="F114" s="24">
        <v>21995</v>
      </c>
      <c r="G114" s="24">
        <v>13273</v>
      </c>
      <c r="H114" s="24" t="s">
        <v>23</v>
      </c>
      <c r="I114" s="24">
        <f t="shared" si="8"/>
        <v>69309</v>
      </c>
    </row>
    <row r="115" spans="1:16">
      <c r="A115" s="99">
        <v>1991</v>
      </c>
      <c r="B115" s="24" t="s">
        <v>23</v>
      </c>
      <c r="C115" s="24" t="s">
        <v>23</v>
      </c>
      <c r="D115" s="24">
        <v>4955</v>
      </c>
      <c r="E115" s="24">
        <v>35028</v>
      </c>
      <c r="F115" s="24">
        <v>8900</v>
      </c>
      <c r="G115" s="24">
        <v>3855</v>
      </c>
      <c r="H115" s="24" t="s">
        <v>23</v>
      </c>
      <c r="I115" s="24">
        <f t="shared" si="8"/>
        <v>52738</v>
      </c>
      <c r="J115" s="29"/>
      <c r="K115" s="29"/>
      <c r="P115" s="29"/>
    </row>
    <row r="116" spans="1:16">
      <c r="A116" s="99">
        <v>1992</v>
      </c>
      <c r="B116" s="24" t="s">
        <v>23</v>
      </c>
      <c r="C116" s="24" t="s">
        <v>23</v>
      </c>
      <c r="D116" s="24" t="s">
        <v>23</v>
      </c>
      <c r="E116" s="24">
        <v>22868</v>
      </c>
      <c r="F116" s="24">
        <v>20722</v>
      </c>
      <c r="G116" s="24">
        <v>9405</v>
      </c>
      <c r="H116" s="24">
        <v>706</v>
      </c>
      <c r="I116" s="24">
        <f t="shared" si="8"/>
        <v>53701</v>
      </c>
      <c r="J116" s="29"/>
      <c r="K116" s="29"/>
      <c r="L116" s="29"/>
    </row>
    <row r="117" spans="1:16">
      <c r="A117" s="99">
        <v>1993</v>
      </c>
      <c r="B117" s="24" t="s">
        <v>23</v>
      </c>
      <c r="C117" s="24" t="s">
        <v>23</v>
      </c>
      <c r="D117" s="24" t="s">
        <v>23</v>
      </c>
      <c r="E117" s="24">
        <v>17753</v>
      </c>
      <c r="F117" s="24">
        <v>19390</v>
      </c>
      <c r="G117" s="24">
        <v>13747</v>
      </c>
      <c r="H117" s="24" t="s">
        <v>23</v>
      </c>
      <c r="I117" s="24">
        <f t="shared" si="8"/>
        <v>50890</v>
      </c>
      <c r="J117" s="29"/>
      <c r="K117" s="29"/>
      <c r="L117" s="29"/>
      <c r="P117" s="29"/>
    </row>
    <row r="118" spans="1:16">
      <c r="A118" s="99">
        <v>1994</v>
      </c>
      <c r="B118" s="24" t="s">
        <v>23</v>
      </c>
      <c r="C118" s="24" t="s">
        <v>23</v>
      </c>
      <c r="D118" s="24" t="s">
        <v>23</v>
      </c>
      <c r="E118" s="24" t="s">
        <v>23</v>
      </c>
      <c r="F118" s="24" t="s">
        <v>23</v>
      </c>
      <c r="G118" s="24" t="s">
        <v>23</v>
      </c>
      <c r="H118" s="24" t="s">
        <v>23</v>
      </c>
      <c r="I118" s="24" t="s">
        <v>23</v>
      </c>
      <c r="J118" s="29"/>
      <c r="K118" s="29"/>
      <c r="L118" s="29"/>
      <c r="M118" s="29"/>
      <c r="N118" s="29"/>
      <c r="O118" s="29"/>
      <c r="P118" s="29"/>
    </row>
    <row r="119" spans="1:16">
      <c r="A119" s="99">
        <v>1995</v>
      </c>
      <c r="B119" s="24" t="s">
        <v>23</v>
      </c>
      <c r="C119" s="24" t="s">
        <v>23</v>
      </c>
      <c r="D119" s="24" t="s">
        <v>23</v>
      </c>
      <c r="E119" s="24">
        <v>4859</v>
      </c>
      <c r="F119" s="24">
        <v>11572</v>
      </c>
      <c r="G119" s="24">
        <v>5279</v>
      </c>
      <c r="H119" s="24" t="s">
        <v>23</v>
      </c>
      <c r="I119" s="24">
        <f t="shared" ref="I119:I130" si="9">SUM(B119:H119)</f>
        <v>21710</v>
      </c>
      <c r="J119" s="29"/>
      <c r="K119" s="29"/>
      <c r="L119" s="29"/>
      <c r="P119" s="29"/>
    </row>
    <row r="120" spans="1:16">
      <c r="A120" s="99">
        <v>1996</v>
      </c>
      <c r="B120" s="24" t="s">
        <v>23</v>
      </c>
      <c r="C120" s="24" t="s">
        <v>23</v>
      </c>
      <c r="D120" s="24" t="s">
        <v>23</v>
      </c>
      <c r="E120" s="24">
        <v>4458</v>
      </c>
      <c r="F120" s="24">
        <v>9638</v>
      </c>
      <c r="G120" s="24">
        <v>1392</v>
      </c>
      <c r="H120" s="24" t="s">
        <v>23</v>
      </c>
      <c r="I120" s="24">
        <f t="shared" si="9"/>
        <v>15488</v>
      </c>
      <c r="J120" s="29"/>
      <c r="K120" s="29"/>
      <c r="L120" s="29"/>
      <c r="P120" s="29"/>
    </row>
    <row r="121" spans="1:16">
      <c r="A121" s="99">
        <v>1997</v>
      </c>
      <c r="B121" s="24" t="s">
        <v>23</v>
      </c>
      <c r="C121" s="24" t="s">
        <v>23</v>
      </c>
      <c r="D121" s="24" t="s">
        <v>23</v>
      </c>
      <c r="E121" s="24">
        <v>7986</v>
      </c>
      <c r="F121" s="24">
        <v>8147</v>
      </c>
      <c r="G121" s="24">
        <v>1150</v>
      </c>
      <c r="H121" s="24" t="s">
        <v>23</v>
      </c>
      <c r="I121" s="24">
        <f t="shared" si="9"/>
        <v>17283</v>
      </c>
      <c r="J121" s="29"/>
      <c r="K121" s="29"/>
      <c r="L121" s="29"/>
      <c r="P121" s="29"/>
    </row>
    <row r="122" spans="1:16">
      <c r="A122" s="99">
        <v>1998</v>
      </c>
      <c r="B122" s="24" t="s">
        <v>23</v>
      </c>
      <c r="C122" s="24" t="s">
        <v>23</v>
      </c>
      <c r="D122" s="24" t="s">
        <v>23</v>
      </c>
      <c r="E122" s="24" t="s">
        <v>23</v>
      </c>
      <c r="F122" s="24">
        <v>7068</v>
      </c>
      <c r="G122" s="24">
        <v>943</v>
      </c>
      <c r="H122" s="24" t="s">
        <v>23</v>
      </c>
      <c r="I122" s="24">
        <f t="shared" si="9"/>
        <v>8011</v>
      </c>
      <c r="J122" s="29"/>
      <c r="K122" s="29"/>
      <c r="L122" s="29"/>
      <c r="M122" s="29"/>
      <c r="P122" s="29"/>
    </row>
    <row r="123" spans="1:16">
      <c r="A123" s="99">
        <v>1999</v>
      </c>
      <c r="B123" s="24" t="s">
        <v>23</v>
      </c>
      <c r="C123" s="24" t="s">
        <v>23</v>
      </c>
      <c r="D123" s="24" t="s">
        <v>23</v>
      </c>
      <c r="E123" s="24">
        <v>5329</v>
      </c>
      <c r="F123" s="24">
        <v>9427</v>
      </c>
      <c r="G123" s="24">
        <v>4319</v>
      </c>
      <c r="H123" s="24" t="s">
        <v>23</v>
      </c>
      <c r="I123" s="24">
        <f t="shared" si="9"/>
        <v>19075</v>
      </c>
      <c r="J123" s="29"/>
      <c r="K123" s="29"/>
      <c r="L123" s="29"/>
    </row>
    <row r="124" spans="1:16">
      <c r="A124" s="99">
        <v>2000</v>
      </c>
      <c r="B124" s="24" t="s">
        <v>23</v>
      </c>
      <c r="C124" s="24" t="s">
        <v>23</v>
      </c>
      <c r="D124" s="24" t="s">
        <v>23</v>
      </c>
      <c r="E124" s="24">
        <v>12343</v>
      </c>
      <c r="F124" s="24">
        <v>7491</v>
      </c>
      <c r="G124" s="24" t="s">
        <v>23</v>
      </c>
      <c r="H124" s="24" t="s">
        <v>23</v>
      </c>
      <c r="I124" s="24">
        <f t="shared" si="9"/>
        <v>19834</v>
      </c>
      <c r="J124" s="29"/>
      <c r="K124" s="29"/>
      <c r="L124" s="29"/>
      <c r="O124" s="29"/>
      <c r="P124" s="29"/>
    </row>
    <row r="125" spans="1:16">
      <c r="A125" s="99">
        <v>2001</v>
      </c>
      <c r="B125" s="24" t="s">
        <v>23</v>
      </c>
      <c r="C125" s="24" t="s">
        <v>23</v>
      </c>
      <c r="D125" s="24" t="s">
        <v>23</v>
      </c>
      <c r="E125" s="24">
        <v>25363</v>
      </c>
      <c r="F125" s="24">
        <v>16256</v>
      </c>
      <c r="G125" s="24">
        <v>8063</v>
      </c>
      <c r="H125" s="24" t="s">
        <v>23</v>
      </c>
      <c r="I125" s="24">
        <f t="shared" si="9"/>
        <v>49682</v>
      </c>
      <c r="J125" s="29"/>
      <c r="K125" s="29"/>
      <c r="L125" s="29"/>
      <c r="P125" s="29"/>
    </row>
    <row r="126" spans="1:16">
      <c r="A126" s="99">
        <v>2002</v>
      </c>
      <c r="B126" s="24" t="s">
        <v>23</v>
      </c>
      <c r="C126" s="24">
        <v>1861</v>
      </c>
      <c r="D126" s="24">
        <v>10849</v>
      </c>
      <c r="E126" s="24">
        <v>16358</v>
      </c>
      <c r="F126" s="24">
        <v>12343</v>
      </c>
      <c r="G126" s="24" t="s">
        <v>23</v>
      </c>
      <c r="H126" s="24" t="s">
        <v>23</v>
      </c>
      <c r="I126" s="24">
        <f t="shared" si="9"/>
        <v>41411</v>
      </c>
      <c r="J126" s="29"/>
      <c r="O126" s="29"/>
      <c r="P126" s="29"/>
    </row>
    <row r="127" spans="1:16">
      <c r="A127" s="99">
        <v>2003</v>
      </c>
      <c r="B127" s="24" t="s">
        <v>23</v>
      </c>
      <c r="C127" s="24" t="s">
        <v>23</v>
      </c>
      <c r="D127" s="24">
        <v>4278</v>
      </c>
      <c r="E127" s="24">
        <v>20747</v>
      </c>
      <c r="F127" s="24">
        <v>18302</v>
      </c>
      <c r="G127" s="24">
        <v>4722</v>
      </c>
      <c r="H127" s="24" t="s">
        <v>23</v>
      </c>
      <c r="I127" s="24">
        <f t="shared" si="9"/>
        <v>48049</v>
      </c>
      <c r="J127" s="29"/>
      <c r="K127" s="29"/>
      <c r="P127" s="29"/>
    </row>
    <row r="128" spans="1:16">
      <c r="A128" s="99">
        <v>2004</v>
      </c>
      <c r="B128" s="24" t="s">
        <v>23</v>
      </c>
      <c r="C128" s="24" t="s">
        <v>23</v>
      </c>
      <c r="D128" s="24">
        <v>1455</v>
      </c>
      <c r="E128" s="24">
        <v>15722</v>
      </c>
      <c r="F128" s="24">
        <v>15045</v>
      </c>
      <c r="G128" s="24">
        <v>5967</v>
      </c>
      <c r="H128" s="24" t="s">
        <v>23</v>
      </c>
      <c r="I128" s="24">
        <f t="shared" si="9"/>
        <v>38189</v>
      </c>
    </row>
    <row r="129" spans="1:9">
      <c r="A129" s="99">
        <v>2005</v>
      </c>
      <c r="B129" s="24" t="s">
        <v>23</v>
      </c>
      <c r="C129" s="24" t="s">
        <v>23</v>
      </c>
      <c r="D129" s="24">
        <v>1119</v>
      </c>
      <c r="E129" s="24">
        <v>12560</v>
      </c>
      <c r="F129" s="24">
        <v>15488</v>
      </c>
      <c r="G129" s="24">
        <v>6003</v>
      </c>
      <c r="H129" s="24" t="s">
        <v>23</v>
      </c>
      <c r="I129" s="24">
        <f t="shared" si="9"/>
        <v>35170</v>
      </c>
    </row>
    <row r="130" spans="1:9">
      <c r="A130" s="99">
        <v>2006</v>
      </c>
      <c r="B130" s="24" t="s">
        <v>23</v>
      </c>
      <c r="C130" s="24" t="s">
        <v>23</v>
      </c>
      <c r="D130" s="24" t="s">
        <v>23</v>
      </c>
      <c r="E130" s="24">
        <v>8856.86</v>
      </c>
      <c r="F130" s="24">
        <v>13801.51</v>
      </c>
      <c r="G130" s="24">
        <v>1882.64</v>
      </c>
      <c r="H130" s="24" t="s">
        <v>23</v>
      </c>
      <c r="I130" s="24">
        <f t="shared" si="9"/>
        <v>24541.010000000002</v>
      </c>
    </row>
    <row r="131" spans="1:9">
      <c r="A131" s="99">
        <v>2007</v>
      </c>
      <c r="B131" s="24" t="s">
        <v>23</v>
      </c>
      <c r="C131" s="24" t="s">
        <v>23</v>
      </c>
      <c r="D131" s="24" t="s">
        <v>23</v>
      </c>
      <c r="E131" s="24">
        <v>9547.9599999999991</v>
      </c>
      <c r="F131" s="24">
        <v>14143.2</v>
      </c>
      <c r="G131" s="24">
        <v>2225.15</v>
      </c>
      <c r="H131" s="24" t="s">
        <v>23</v>
      </c>
      <c r="I131" s="24">
        <f>SUM(B131:H131)</f>
        <v>25916.31</v>
      </c>
    </row>
    <row r="132" spans="1:9">
      <c r="A132" s="99">
        <v>2008</v>
      </c>
      <c r="B132" s="24" t="s">
        <v>23</v>
      </c>
      <c r="C132" s="24" t="s">
        <v>23</v>
      </c>
      <c r="D132" s="24">
        <v>2659.91</v>
      </c>
      <c r="E132" s="24">
        <v>8381.2000000000007</v>
      </c>
      <c r="F132" s="24">
        <v>5880.24</v>
      </c>
      <c r="G132" s="24">
        <v>1809.16</v>
      </c>
      <c r="H132" s="24" t="s">
        <v>23</v>
      </c>
      <c r="I132" s="24">
        <f t="shared" ref="I132:I145" si="10">SUM(B132:H132)</f>
        <v>18730.509999999998</v>
      </c>
    </row>
    <row r="133" spans="1:9">
      <c r="A133" s="99">
        <v>2009</v>
      </c>
      <c r="B133" s="24" t="s">
        <v>23</v>
      </c>
      <c r="C133" s="24" t="s">
        <v>23</v>
      </c>
      <c r="D133" s="24">
        <v>777.47</v>
      </c>
      <c r="E133" s="24">
        <v>10216.51</v>
      </c>
      <c r="F133" s="24">
        <v>21238.2</v>
      </c>
      <c r="G133" s="24">
        <v>5599.22</v>
      </c>
      <c r="H133" s="24" t="s">
        <v>23</v>
      </c>
      <c r="I133" s="24">
        <f t="shared" si="10"/>
        <v>37831.4</v>
      </c>
    </row>
    <row r="134" spans="1:9">
      <c r="A134" s="99">
        <v>2010</v>
      </c>
      <c r="B134" s="24" t="s">
        <v>23</v>
      </c>
      <c r="C134" s="24" t="s">
        <v>23</v>
      </c>
      <c r="D134" s="24">
        <v>7821.73</v>
      </c>
      <c r="E134" s="24">
        <v>11840.99</v>
      </c>
      <c r="F134" s="24">
        <v>13804.28</v>
      </c>
      <c r="G134" s="24">
        <v>4961.33</v>
      </c>
      <c r="H134" s="24" t="s">
        <v>23</v>
      </c>
      <c r="I134" s="24">
        <f t="shared" si="10"/>
        <v>38428.33</v>
      </c>
    </row>
    <row r="135" spans="1:9">
      <c r="A135" s="99">
        <v>2011</v>
      </c>
      <c r="B135" s="24" t="s">
        <v>23</v>
      </c>
      <c r="C135" s="24" t="s">
        <v>23</v>
      </c>
      <c r="D135" s="24">
        <v>4704.8999999999996</v>
      </c>
      <c r="E135" s="24">
        <v>10427.73</v>
      </c>
      <c r="F135" s="24">
        <v>14973.04</v>
      </c>
      <c r="G135" s="24">
        <v>3439.54</v>
      </c>
      <c r="H135" s="24" t="s">
        <v>23</v>
      </c>
      <c r="I135" s="24">
        <f t="shared" si="10"/>
        <v>33545.21</v>
      </c>
    </row>
    <row r="136" spans="1:9">
      <c r="A136" s="99">
        <v>2012</v>
      </c>
      <c r="B136" s="24" t="s">
        <v>23</v>
      </c>
      <c r="C136" s="24" t="s">
        <v>23</v>
      </c>
      <c r="D136" s="24">
        <v>8187.05</v>
      </c>
      <c r="E136" s="24">
        <v>8898.33</v>
      </c>
      <c r="F136" s="24">
        <v>14147.32</v>
      </c>
      <c r="G136" s="24">
        <v>6092.07</v>
      </c>
      <c r="H136" s="24" t="s">
        <v>23</v>
      </c>
      <c r="I136" s="24">
        <f t="shared" si="10"/>
        <v>37324.770000000004</v>
      </c>
    </row>
    <row r="137" spans="1:9">
      <c r="A137" s="99">
        <v>2013</v>
      </c>
      <c r="B137" s="24" t="s">
        <v>23</v>
      </c>
      <c r="C137" s="24" t="s">
        <v>23</v>
      </c>
      <c r="D137" s="24">
        <v>7019.98</v>
      </c>
      <c r="E137" s="24">
        <v>7640.77</v>
      </c>
      <c r="F137" s="24">
        <v>16639.23</v>
      </c>
      <c r="G137" s="24">
        <v>4589.41</v>
      </c>
      <c r="H137" s="24" t="s">
        <v>23</v>
      </c>
      <c r="I137" s="24">
        <f t="shared" si="10"/>
        <v>35889.39</v>
      </c>
    </row>
    <row r="138" spans="1:9">
      <c r="A138" s="99">
        <v>2014</v>
      </c>
      <c r="B138" s="24" t="s">
        <v>23</v>
      </c>
      <c r="C138" s="24">
        <v>779.56</v>
      </c>
      <c r="D138" s="24">
        <v>7644.65</v>
      </c>
      <c r="E138" s="24">
        <v>19005.55</v>
      </c>
      <c r="F138" s="24">
        <v>18838.48</v>
      </c>
      <c r="G138" s="24">
        <v>7500.28</v>
      </c>
      <c r="H138" s="24" t="s">
        <v>23</v>
      </c>
      <c r="I138" s="24">
        <f t="shared" si="10"/>
        <v>53768.52</v>
      </c>
    </row>
    <row r="139" spans="1:9">
      <c r="A139" s="99">
        <v>2015</v>
      </c>
      <c r="B139" s="24" t="s">
        <v>23</v>
      </c>
      <c r="C139" s="24">
        <v>980.88</v>
      </c>
      <c r="D139" s="24">
        <v>6355.74</v>
      </c>
      <c r="E139" s="24">
        <v>18629.23</v>
      </c>
      <c r="F139" s="24">
        <v>12162.23</v>
      </c>
      <c r="G139" s="24">
        <v>7327.39</v>
      </c>
      <c r="H139" s="24" t="s">
        <v>23</v>
      </c>
      <c r="I139" s="24">
        <f>SUM(B139:H139)</f>
        <v>45455.47</v>
      </c>
    </row>
    <row r="140" spans="1:9">
      <c r="A140" s="99">
        <v>2016</v>
      </c>
      <c r="B140" s="24" t="s">
        <v>23</v>
      </c>
      <c r="C140" s="24" t="s">
        <v>23</v>
      </c>
      <c r="D140" s="24" t="s">
        <v>23</v>
      </c>
      <c r="E140" s="24">
        <v>9586.74</v>
      </c>
      <c r="F140" s="24">
        <v>8252.7900000000009</v>
      </c>
      <c r="G140" s="24" t="s">
        <v>23</v>
      </c>
      <c r="H140" s="24" t="s">
        <v>23</v>
      </c>
      <c r="I140" s="24">
        <f>SUM(B140:H140)</f>
        <v>17839.53</v>
      </c>
    </row>
    <row r="141" spans="1:9">
      <c r="A141" s="99">
        <v>2017</v>
      </c>
      <c r="B141" s="24" t="s">
        <v>23</v>
      </c>
      <c r="C141" s="24" t="s">
        <v>23</v>
      </c>
      <c r="D141" s="24" t="s">
        <v>23</v>
      </c>
      <c r="E141" s="24">
        <v>13216.220000000001</v>
      </c>
      <c r="F141" s="24">
        <v>12780.4</v>
      </c>
      <c r="G141" s="24" t="s">
        <v>23</v>
      </c>
      <c r="H141" s="24" t="s">
        <v>23</v>
      </c>
      <c r="I141" s="24">
        <f>SUM(B141:H141)</f>
        <v>25996.620000000003</v>
      </c>
    </row>
    <row r="142" spans="1:9">
      <c r="A142" s="99">
        <v>2018</v>
      </c>
      <c r="B142" s="24" t="s">
        <v>23</v>
      </c>
      <c r="C142" s="24" t="s">
        <v>23</v>
      </c>
      <c r="D142" s="24" t="s">
        <v>23</v>
      </c>
      <c r="E142" s="24">
        <v>8019.12</v>
      </c>
      <c r="F142" s="24">
        <v>14109.73</v>
      </c>
      <c r="G142" s="24">
        <v>390.35</v>
      </c>
      <c r="H142" s="24" t="s">
        <v>23</v>
      </c>
      <c r="I142" s="24">
        <f>SUM(B142:H142)</f>
        <v>22519.199999999997</v>
      </c>
    </row>
    <row r="143" spans="1:9">
      <c r="A143" s="99">
        <v>2019</v>
      </c>
      <c r="B143" s="24" t="s">
        <v>23</v>
      </c>
      <c r="C143" s="24" t="s">
        <v>23</v>
      </c>
      <c r="D143" s="24">
        <v>1604.25</v>
      </c>
      <c r="E143" s="24">
        <v>9823.31</v>
      </c>
      <c r="F143" s="24">
        <v>10177.58</v>
      </c>
      <c r="G143" s="24">
        <v>1787.53</v>
      </c>
      <c r="H143" s="24" t="s">
        <v>23</v>
      </c>
      <c r="I143" s="24">
        <f t="shared" ref="I143:I144" si="11">SUM(B143:H143)</f>
        <v>23392.67</v>
      </c>
    </row>
    <row r="144" spans="1:9" ht="13">
      <c r="A144" s="99" t="s">
        <v>310</v>
      </c>
      <c r="B144" s="24" t="s">
        <v>23</v>
      </c>
      <c r="C144" s="24" t="s">
        <v>23</v>
      </c>
      <c r="D144" s="24">
        <v>676.47</v>
      </c>
      <c r="E144" s="24">
        <v>7936.97</v>
      </c>
      <c r="F144" s="24">
        <v>6205.16</v>
      </c>
      <c r="G144" s="24">
        <v>3277.97</v>
      </c>
      <c r="H144" s="24" t="s">
        <v>23</v>
      </c>
      <c r="I144" s="24">
        <f t="shared" si="11"/>
        <v>18096.57</v>
      </c>
    </row>
    <row r="145" spans="1:9" ht="13">
      <c r="A145" s="99" t="s">
        <v>320</v>
      </c>
      <c r="B145" s="24" t="s">
        <v>23</v>
      </c>
      <c r="C145" s="24" t="s">
        <v>23</v>
      </c>
      <c r="D145" s="24">
        <v>1752.22</v>
      </c>
      <c r="E145" s="24">
        <v>9576.56</v>
      </c>
      <c r="F145" s="24">
        <v>9598.81</v>
      </c>
      <c r="G145" s="24">
        <v>3986.95</v>
      </c>
      <c r="H145" s="24" t="s">
        <v>23</v>
      </c>
      <c r="I145" s="24">
        <f t="shared" si="10"/>
        <v>24914.539999999997</v>
      </c>
    </row>
    <row r="146" spans="1:9" ht="9" customHeight="1"/>
    <row r="147" spans="1:9" ht="13">
      <c r="A147" s="94" t="s">
        <v>256</v>
      </c>
    </row>
    <row r="148" spans="1:9">
      <c r="A148" s="99">
        <v>1976</v>
      </c>
      <c r="B148" s="24" t="s">
        <v>23</v>
      </c>
      <c r="C148" s="24">
        <v>6033</v>
      </c>
      <c r="D148" s="24">
        <v>24523</v>
      </c>
      <c r="E148" s="24">
        <v>51234</v>
      </c>
      <c r="F148" s="24">
        <v>81534</v>
      </c>
      <c r="G148" s="24">
        <v>34115</v>
      </c>
      <c r="H148" s="24">
        <v>3227</v>
      </c>
      <c r="I148" s="24">
        <f t="shared" ref="I148:I165" si="12">SUM(B148:H148)</f>
        <v>200666</v>
      </c>
    </row>
    <row r="149" spans="1:9">
      <c r="A149" s="99">
        <v>1977</v>
      </c>
      <c r="B149" s="24">
        <v>1333</v>
      </c>
      <c r="C149" s="24">
        <v>6009</v>
      </c>
      <c r="D149" s="24">
        <v>21219</v>
      </c>
      <c r="E149" s="24">
        <v>43253</v>
      </c>
      <c r="F149" s="24">
        <v>81093</v>
      </c>
      <c r="G149" s="24">
        <v>26547</v>
      </c>
      <c r="H149" s="24">
        <v>2074</v>
      </c>
      <c r="I149" s="24">
        <f t="shared" si="12"/>
        <v>181528</v>
      </c>
    </row>
    <row r="150" spans="1:9">
      <c r="A150" s="99">
        <v>1978</v>
      </c>
      <c r="B150" s="24">
        <v>494</v>
      </c>
      <c r="C150" s="24">
        <v>3257</v>
      </c>
      <c r="D150" s="24">
        <v>23042</v>
      </c>
      <c r="E150" s="24">
        <v>42678</v>
      </c>
      <c r="F150" s="24">
        <v>56249</v>
      </c>
      <c r="G150" s="24">
        <v>27911</v>
      </c>
      <c r="H150" s="24">
        <v>1934</v>
      </c>
      <c r="I150" s="24">
        <f t="shared" si="12"/>
        <v>155565</v>
      </c>
    </row>
    <row r="151" spans="1:9">
      <c r="A151" s="99">
        <v>1979</v>
      </c>
      <c r="B151" s="24" t="s">
        <v>23</v>
      </c>
      <c r="C151" s="24">
        <v>4216</v>
      </c>
      <c r="D151" s="24">
        <v>15553</v>
      </c>
      <c r="E151" s="24">
        <v>37243</v>
      </c>
      <c r="F151" s="24">
        <v>50936</v>
      </c>
      <c r="G151" s="24">
        <v>2810</v>
      </c>
      <c r="H151" s="24">
        <v>1272</v>
      </c>
      <c r="I151" s="24">
        <f t="shared" si="12"/>
        <v>112030</v>
      </c>
    </row>
    <row r="152" spans="1:9">
      <c r="A152" s="99">
        <v>1980</v>
      </c>
      <c r="B152" s="24" t="s">
        <v>23</v>
      </c>
      <c r="C152" s="24">
        <v>3833</v>
      </c>
      <c r="D152" s="24">
        <v>19707</v>
      </c>
      <c r="E152" s="24">
        <v>35532</v>
      </c>
      <c r="F152" s="24">
        <v>42047</v>
      </c>
      <c r="G152" s="24">
        <v>1997</v>
      </c>
      <c r="H152" s="24" t="s">
        <v>23</v>
      </c>
      <c r="I152" s="24">
        <f t="shared" si="12"/>
        <v>103116</v>
      </c>
    </row>
    <row r="153" spans="1:9">
      <c r="A153" s="99">
        <v>1981</v>
      </c>
      <c r="B153" s="24" t="s">
        <v>23</v>
      </c>
      <c r="C153" s="24">
        <v>3077</v>
      </c>
      <c r="D153" s="24">
        <v>12333</v>
      </c>
      <c r="E153" s="24">
        <v>28174</v>
      </c>
      <c r="F153" s="24">
        <f>39892+5347</f>
        <v>45239</v>
      </c>
      <c r="G153" s="24" t="s">
        <v>23</v>
      </c>
      <c r="H153" s="24" t="s">
        <v>23</v>
      </c>
      <c r="I153" s="24">
        <f t="shared" si="12"/>
        <v>88823</v>
      </c>
    </row>
    <row r="154" spans="1:9">
      <c r="A154" s="99">
        <v>1982</v>
      </c>
      <c r="B154" s="24" t="s">
        <v>23</v>
      </c>
      <c r="C154" s="24">
        <v>0</v>
      </c>
      <c r="D154" s="24">
        <v>10209</v>
      </c>
      <c r="E154" s="24">
        <v>38492</v>
      </c>
      <c r="F154" s="24">
        <v>7902</v>
      </c>
      <c r="G154" s="24">
        <v>4538</v>
      </c>
      <c r="H154" s="24">
        <f>654+67</f>
        <v>721</v>
      </c>
      <c r="I154" s="24">
        <f t="shared" si="12"/>
        <v>61862</v>
      </c>
    </row>
    <row r="155" spans="1:9">
      <c r="A155" s="99">
        <v>1983</v>
      </c>
      <c r="B155" s="24" t="s">
        <v>23</v>
      </c>
      <c r="C155" s="24">
        <v>270</v>
      </c>
      <c r="D155" s="24">
        <v>6700</v>
      </c>
      <c r="E155" s="24">
        <v>26575</v>
      </c>
      <c r="F155" s="24">
        <v>24136</v>
      </c>
      <c r="G155" s="24">
        <v>6220</v>
      </c>
      <c r="H155" s="24" t="s">
        <v>23</v>
      </c>
      <c r="I155" s="24">
        <f t="shared" si="12"/>
        <v>63901</v>
      </c>
    </row>
    <row r="156" spans="1:9">
      <c r="A156" s="99">
        <v>1984</v>
      </c>
      <c r="B156" s="24" t="s">
        <v>23</v>
      </c>
      <c r="C156" s="24">
        <v>337</v>
      </c>
      <c r="D156" s="24" t="s">
        <v>23</v>
      </c>
      <c r="E156" s="24">
        <v>3863</v>
      </c>
      <c r="F156" s="24">
        <v>9844</v>
      </c>
      <c r="G156" s="24" t="s">
        <v>23</v>
      </c>
      <c r="H156" s="24" t="s">
        <v>23</v>
      </c>
      <c r="I156" s="24">
        <f t="shared" si="12"/>
        <v>14044</v>
      </c>
    </row>
    <row r="157" spans="1:9">
      <c r="A157" s="99">
        <v>1985</v>
      </c>
      <c r="B157" s="24" t="s">
        <v>23</v>
      </c>
      <c r="C157" s="24" t="s">
        <v>23</v>
      </c>
      <c r="D157" s="24">
        <v>996</v>
      </c>
      <c r="E157" s="24">
        <v>19139</v>
      </c>
      <c r="F157" s="24">
        <v>19795</v>
      </c>
      <c r="G157" s="24">
        <v>197</v>
      </c>
      <c r="H157" s="24" t="s">
        <v>23</v>
      </c>
      <c r="I157" s="24">
        <f t="shared" si="12"/>
        <v>40127</v>
      </c>
    </row>
    <row r="158" spans="1:9">
      <c r="A158" s="99">
        <v>1986</v>
      </c>
      <c r="B158" s="24" t="s">
        <v>23</v>
      </c>
      <c r="C158" s="24" t="s">
        <v>23</v>
      </c>
      <c r="D158" s="24">
        <v>1141</v>
      </c>
      <c r="E158" s="24">
        <v>19644</v>
      </c>
      <c r="F158" s="24">
        <v>15860</v>
      </c>
      <c r="G158" s="24" t="s">
        <v>23</v>
      </c>
      <c r="H158" s="24" t="s">
        <v>23</v>
      </c>
      <c r="I158" s="24">
        <f t="shared" si="12"/>
        <v>36645</v>
      </c>
    </row>
    <row r="159" spans="1:9">
      <c r="A159" s="99">
        <v>1987</v>
      </c>
      <c r="B159" s="24" t="s">
        <v>23</v>
      </c>
      <c r="C159" s="24" t="s">
        <v>23</v>
      </c>
      <c r="D159" s="24">
        <v>989</v>
      </c>
      <c r="E159" s="24">
        <v>17553</v>
      </c>
      <c r="F159" s="24">
        <v>17730</v>
      </c>
      <c r="G159" s="24" t="s">
        <v>23</v>
      </c>
      <c r="H159" s="24" t="s">
        <v>23</v>
      </c>
      <c r="I159" s="24">
        <f t="shared" si="12"/>
        <v>36272</v>
      </c>
    </row>
    <row r="160" spans="1:9">
      <c r="A160" s="99">
        <v>1988</v>
      </c>
      <c r="B160" s="24" t="s">
        <v>23</v>
      </c>
      <c r="C160" s="24" t="s">
        <v>23</v>
      </c>
      <c r="D160" s="24" t="s">
        <v>23</v>
      </c>
      <c r="E160" s="24">
        <v>12183</v>
      </c>
      <c r="F160" s="24">
        <v>595</v>
      </c>
      <c r="G160" s="24">
        <v>47</v>
      </c>
      <c r="H160" s="24" t="s">
        <v>23</v>
      </c>
      <c r="I160" s="24">
        <f t="shared" si="12"/>
        <v>12825</v>
      </c>
    </row>
    <row r="161" spans="1:16">
      <c r="A161" s="99">
        <v>1989</v>
      </c>
      <c r="B161" s="24" t="s">
        <v>23</v>
      </c>
      <c r="C161" s="24">
        <v>298</v>
      </c>
      <c r="D161" s="24">
        <v>563</v>
      </c>
      <c r="E161" s="24">
        <v>22295</v>
      </c>
      <c r="F161" s="24">
        <v>29612</v>
      </c>
      <c r="G161" s="24" t="s">
        <v>23</v>
      </c>
      <c r="H161" s="24" t="s">
        <v>23</v>
      </c>
      <c r="I161" s="24">
        <f t="shared" si="12"/>
        <v>52768</v>
      </c>
    </row>
    <row r="162" spans="1:16">
      <c r="A162" s="99">
        <v>1990</v>
      </c>
      <c r="B162" s="24" t="s">
        <v>23</v>
      </c>
      <c r="C162" s="24" t="s">
        <v>23</v>
      </c>
      <c r="D162" s="24">
        <v>3870</v>
      </c>
      <c r="E162" s="24">
        <v>26992</v>
      </c>
      <c r="F162" s="24">
        <v>33454</v>
      </c>
      <c r="G162" s="24">
        <v>3516</v>
      </c>
      <c r="H162" s="24" t="s">
        <v>23</v>
      </c>
      <c r="I162" s="24">
        <f t="shared" si="12"/>
        <v>67832</v>
      </c>
    </row>
    <row r="163" spans="1:16">
      <c r="A163" s="99">
        <v>1991</v>
      </c>
      <c r="B163" s="24" t="s">
        <v>23</v>
      </c>
      <c r="C163" s="24" t="s">
        <v>23</v>
      </c>
      <c r="D163" s="24">
        <v>3320</v>
      </c>
      <c r="E163" s="24">
        <v>26055</v>
      </c>
      <c r="F163" s="24">
        <v>11294</v>
      </c>
      <c r="G163" s="24">
        <v>4798</v>
      </c>
      <c r="H163" s="24" t="s">
        <v>23</v>
      </c>
      <c r="I163" s="24">
        <f t="shared" si="12"/>
        <v>45467</v>
      </c>
      <c r="J163" s="29"/>
      <c r="K163" s="29"/>
      <c r="P163" s="29"/>
    </row>
    <row r="164" spans="1:16">
      <c r="A164" s="99">
        <v>1992</v>
      </c>
      <c r="B164" s="24" t="s">
        <v>23</v>
      </c>
      <c r="C164" s="24" t="s">
        <v>23</v>
      </c>
      <c r="D164" s="24">
        <v>0</v>
      </c>
      <c r="E164" s="24">
        <v>25611</v>
      </c>
      <c r="F164" s="24">
        <v>4505</v>
      </c>
      <c r="G164" s="24">
        <v>2903</v>
      </c>
      <c r="H164" s="24" t="s">
        <v>23</v>
      </c>
      <c r="I164" s="24">
        <f t="shared" si="12"/>
        <v>33019</v>
      </c>
      <c r="J164" s="29"/>
      <c r="K164" s="29"/>
      <c r="L164" s="29"/>
      <c r="P164" s="29"/>
    </row>
    <row r="165" spans="1:16">
      <c r="A165" s="99">
        <v>1993</v>
      </c>
      <c r="B165" s="24" t="s">
        <v>23</v>
      </c>
      <c r="C165" s="24" t="s">
        <v>23</v>
      </c>
      <c r="D165" s="24" t="s">
        <v>23</v>
      </c>
      <c r="E165" s="24">
        <v>12914</v>
      </c>
      <c r="F165" s="24">
        <v>19681</v>
      </c>
      <c r="G165" s="24">
        <v>15056</v>
      </c>
      <c r="H165" s="24" t="s">
        <v>23</v>
      </c>
      <c r="I165" s="24">
        <f t="shared" si="12"/>
        <v>47651</v>
      </c>
      <c r="J165" s="29"/>
      <c r="K165" s="29"/>
      <c r="L165" s="29"/>
      <c r="P165" s="29"/>
    </row>
    <row r="166" spans="1:16">
      <c r="A166" s="99">
        <v>1994</v>
      </c>
      <c r="B166" s="24" t="s">
        <v>23</v>
      </c>
      <c r="C166" s="24" t="s">
        <v>23</v>
      </c>
      <c r="D166" s="24" t="s">
        <v>23</v>
      </c>
      <c r="E166" s="24" t="s">
        <v>23</v>
      </c>
      <c r="F166" s="24" t="s">
        <v>23</v>
      </c>
      <c r="G166" s="24" t="s">
        <v>23</v>
      </c>
      <c r="H166" s="24" t="s">
        <v>23</v>
      </c>
      <c r="I166" s="24" t="s">
        <v>23</v>
      </c>
      <c r="J166" s="29"/>
      <c r="K166" s="29"/>
      <c r="L166" s="29"/>
      <c r="M166" s="29"/>
      <c r="N166" s="29"/>
      <c r="O166" s="29"/>
      <c r="P166" s="29"/>
    </row>
    <row r="167" spans="1:16">
      <c r="A167" s="99">
        <v>1995</v>
      </c>
      <c r="B167" s="24" t="s">
        <v>23</v>
      </c>
      <c r="C167" s="24" t="s">
        <v>23</v>
      </c>
      <c r="D167" s="24" t="s">
        <v>23</v>
      </c>
      <c r="E167" s="24">
        <v>3821</v>
      </c>
      <c r="F167" s="24">
        <v>11583</v>
      </c>
      <c r="G167" s="24">
        <v>6890</v>
      </c>
      <c r="H167" s="24" t="s">
        <v>23</v>
      </c>
      <c r="I167" s="24">
        <f t="shared" ref="I167:I178" si="13">SUM(B167:H167)</f>
        <v>22294</v>
      </c>
      <c r="J167" s="29"/>
      <c r="K167" s="29"/>
      <c r="L167" s="29"/>
      <c r="P167" s="29"/>
    </row>
    <row r="168" spans="1:16">
      <c r="A168" s="99">
        <v>1996</v>
      </c>
      <c r="B168" s="24" t="s">
        <v>23</v>
      </c>
      <c r="C168" s="24" t="s">
        <v>23</v>
      </c>
      <c r="D168" s="24" t="s">
        <v>23</v>
      </c>
      <c r="E168" s="24">
        <v>3252</v>
      </c>
      <c r="F168" s="24">
        <v>8745</v>
      </c>
      <c r="G168" s="24">
        <v>3596</v>
      </c>
      <c r="H168" s="24" t="s">
        <v>23</v>
      </c>
      <c r="I168" s="24">
        <f t="shared" si="13"/>
        <v>15593</v>
      </c>
      <c r="J168" s="29"/>
      <c r="K168" s="29"/>
      <c r="L168" s="29"/>
      <c r="P168" s="29"/>
    </row>
    <row r="169" spans="1:16">
      <c r="A169" s="99">
        <v>1997</v>
      </c>
      <c r="B169" s="24" t="s">
        <v>23</v>
      </c>
      <c r="C169" s="24" t="s">
        <v>23</v>
      </c>
      <c r="D169" s="24" t="s">
        <v>23</v>
      </c>
      <c r="E169" s="24">
        <v>4556</v>
      </c>
      <c r="F169" s="24">
        <v>2134</v>
      </c>
      <c r="G169" s="24" t="s">
        <v>23</v>
      </c>
      <c r="H169" s="24" t="s">
        <v>23</v>
      </c>
      <c r="I169" s="24">
        <f t="shared" si="13"/>
        <v>6690</v>
      </c>
      <c r="J169" s="29"/>
      <c r="K169" s="29"/>
      <c r="L169" s="29"/>
      <c r="O169" s="29"/>
      <c r="P169" s="29"/>
    </row>
    <row r="170" spans="1:16">
      <c r="A170" s="99">
        <v>1998</v>
      </c>
      <c r="B170" s="24" t="s">
        <v>23</v>
      </c>
      <c r="C170" s="24" t="s">
        <v>23</v>
      </c>
      <c r="D170" s="24" t="s">
        <v>23</v>
      </c>
      <c r="E170" s="24" t="s">
        <v>23</v>
      </c>
      <c r="F170" s="24">
        <v>4277</v>
      </c>
      <c r="G170" s="24">
        <v>420</v>
      </c>
      <c r="H170" s="24" t="s">
        <v>23</v>
      </c>
      <c r="I170" s="24">
        <f t="shared" si="13"/>
        <v>4697</v>
      </c>
      <c r="J170" s="29"/>
      <c r="K170" s="29"/>
      <c r="L170" s="29"/>
      <c r="M170" s="29"/>
      <c r="P170" s="29"/>
    </row>
    <row r="171" spans="1:16">
      <c r="A171" s="99">
        <v>1999</v>
      </c>
      <c r="B171" s="24" t="s">
        <v>23</v>
      </c>
      <c r="C171" s="24" t="s">
        <v>23</v>
      </c>
      <c r="D171" s="24" t="s">
        <v>23</v>
      </c>
      <c r="E171" s="24">
        <v>4448</v>
      </c>
      <c r="F171" s="24">
        <v>11133</v>
      </c>
      <c r="G171" s="24">
        <v>5095</v>
      </c>
      <c r="H171" s="24" t="s">
        <v>23</v>
      </c>
      <c r="I171" s="24">
        <f t="shared" si="13"/>
        <v>20676</v>
      </c>
      <c r="J171" s="29"/>
      <c r="K171" s="29"/>
      <c r="L171" s="29"/>
      <c r="P171" s="29"/>
    </row>
    <row r="172" spans="1:16">
      <c r="A172" s="99">
        <v>2000</v>
      </c>
      <c r="B172" s="24" t="s">
        <v>23</v>
      </c>
      <c r="C172" s="24" t="s">
        <v>23</v>
      </c>
      <c r="D172" s="24" t="s">
        <v>23</v>
      </c>
      <c r="E172" s="24">
        <v>6842</v>
      </c>
      <c r="F172" s="24">
        <v>8915</v>
      </c>
      <c r="G172" s="24" t="s">
        <v>23</v>
      </c>
      <c r="H172" s="24" t="s">
        <v>23</v>
      </c>
      <c r="I172" s="24">
        <f t="shared" si="13"/>
        <v>15757</v>
      </c>
      <c r="J172" s="29"/>
      <c r="K172" s="29"/>
      <c r="L172" s="29"/>
      <c r="O172" s="29"/>
      <c r="P172" s="29"/>
    </row>
    <row r="173" spans="1:16">
      <c r="A173" s="99">
        <v>2001</v>
      </c>
      <c r="B173" s="24" t="s">
        <v>23</v>
      </c>
      <c r="C173" s="24" t="s">
        <v>23</v>
      </c>
      <c r="D173" s="24" t="s">
        <v>23</v>
      </c>
      <c r="E173" s="24">
        <v>21097</v>
      </c>
      <c r="F173" s="24">
        <v>25229</v>
      </c>
      <c r="G173" s="24">
        <v>9060</v>
      </c>
      <c r="H173" s="24" t="s">
        <v>23</v>
      </c>
      <c r="I173" s="24">
        <f t="shared" si="13"/>
        <v>55386</v>
      </c>
      <c r="J173" s="29"/>
      <c r="K173" s="29"/>
      <c r="L173" s="29"/>
      <c r="P173" s="29"/>
    </row>
    <row r="174" spans="1:16">
      <c r="A174" s="99">
        <v>2002</v>
      </c>
      <c r="B174" s="24" t="s">
        <v>23</v>
      </c>
      <c r="C174" s="24">
        <v>215</v>
      </c>
      <c r="D174" s="24">
        <v>1290</v>
      </c>
      <c r="E174" s="24">
        <v>9004</v>
      </c>
      <c r="F174" s="24">
        <v>18137</v>
      </c>
      <c r="G174" s="24">
        <v>8016</v>
      </c>
      <c r="H174" s="24" t="s">
        <v>23</v>
      </c>
      <c r="I174" s="24">
        <f t="shared" si="13"/>
        <v>36662</v>
      </c>
      <c r="J174" s="29"/>
      <c r="P174" s="29"/>
    </row>
    <row r="175" spans="1:16">
      <c r="A175" s="99">
        <v>2003</v>
      </c>
      <c r="B175" s="24" t="s">
        <v>23</v>
      </c>
      <c r="C175" s="24" t="s">
        <v>23</v>
      </c>
      <c r="D175" s="24">
        <v>455</v>
      </c>
      <c r="E175" s="24">
        <v>15033</v>
      </c>
      <c r="F175" s="24">
        <v>29574</v>
      </c>
      <c r="G175" s="24">
        <v>6938</v>
      </c>
      <c r="H175" s="24" t="s">
        <v>23</v>
      </c>
      <c r="I175" s="24">
        <f t="shared" si="13"/>
        <v>52000</v>
      </c>
      <c r="J175" s="29"/>
      <c r="K175" s="29"/>
      <c r="P175" s="29"/>
    </row>
    <row r="176" spans="1:16">
      <c r="A176" s="99">
        <v>2004</v>
      </c>
      <c r="B176" s="24" t="s">
        <v>23</v>
      </c>
      <c r="C176" s="24" t="s">
        <v>23</v>
      </c>
      <c r="D176" s="24">
        <v>597</v>
      </c>
      <c r="E176" s="24">
        <v>11662</v>
      </c>
      <c r="F176" s="24">
        <v>23716</v>
      </c>
      <c r="G176" s="24">
        <v>7836</v>
      </c>
      <c r="H176" s="24" t="s">
        <v>23</v>
      </c>
      <c r="I176" s="24">
        <f t="shared" si="13"/>
        <v>43811</v>
      </c>
    </row>
    <row r="177" spans="1:9">
      <c r="A177" s="99">
        <v>2005</v>
      </c>
      <c r="B177" s="24" t="s">
        <v>23</v>
      </c>
      <c r="C177" s="24" t="s">
        <v>23</v>
      </c>
      <c r="D177" s="24" t="s">
        <v>23</v>
      </c>
      <c r="E177" s="24">
        <v>6070</v>
      </c>
      <c r="F177" s="24">
        <v>18968</v>
      </c>
      <c r="G177" s="24">
        <v>7016</v>
      </c>
      <c r="H177" s="24" t="s">
        <v>23</v>
      </c>
      <c r="I177" s="24">
        <f t="shared" si="13"/>
        <v>32054</v>
      </c>
    </row>
    <row r="178" spans="1:9">
      <c r="A178" s="99">
        <v>2006</v>
      </c>
      <c r="B178" s="24" t="s">
        <v>23</v>
      </c>
      <c r="C178" s="24" t="s">
        <v>23</v>
      </c>
      <c r="D178" s="24" t="s">
        <v>23</v>
      </c>
      <c r="E178" s="24">
        <v>5739.97</v>
      </c>
      <c r="F178" s="24">
        <v>15479.84</v>
      </c>
      <c r="G178" s="24">
        <v>1949.75</v>
      </c>
      <c r="H178" s="24" t="s">
        <v>23</v>
      </c>
      <c r="I178" s="24">
        <f t="shared" si="13"/>
        <v>23169.56</v>
      </c>
    </row>
    <row r="179" spans="1:9">
      <c r="A179" s="99">
        <v>2007</v>
      </c>
      <c r="B179" s="24" t="s">
        <v>23</v>
      </c>
      <c r="C179" s="24" t="s">
        <v>23</v>
      </c>
      <c r="D179" s="24" t="s">
        <v>23</v>
      </c>
      <c r="E179" s="24">
        <v>7485.66</v>
      </c>
      <c r="F179" s="24">
        <v>20350.48</v>
      </c>
      <c r="G179" s="24">
        <v>2295.4899999999998</v>
      </c>
      <c r="H179" s="24" t="s">
        <v>23</v>
      </c>
      <c r="I179" s="24">
        <f>SUM(B179:H179)</f>
        <v>30131.629999999997</v>
      </c>
    </row>
    <row r="180" spans="1:9">
      <c r="A180" s="99">
        <v>2008</v>
      </c>
      <c r="B180" s="24" t="s">
        <v>23</v>
      </c>
      <c r="C180" s="24" t="s">
        <v>23</v>
      </c>
      <c r="D180" s="24">
        <v>777.02</v>
      </c>
      <c r="E180" s="24">
        <v>4506.17</v>
      </c>
      <c r="F180" s="24">
        <v>5156.0600000000004</v>
      </c>
      <c r="G180" s="24" t="s">
        <v>23</v>
      </c>
      <c r="H180" s="24" t="s">
        <v>23</v>
      </c>
      <c r="I180" s="24">
        <f t="shared" ref="I180:I193" si="14">SUM(B180:H180)</f>
        <v>10439.25</v>
      </c>
    </row>
    <row r="181" spans="1:9">
      <c r="A181" s="99">
        <v>2009</v>
      </c>
      <c r="B181" s="24" t="s">
        <v>23</v>
      </c>
      <c r="C181" s="24" t="s">
        <v>23</v>
      </c>
      <c r="D181" s="24">
        <v>192.9</v>
      </c>
      <c r="E181" s="24">
        <v>10270.84</v>
      </c>
      <c r="F181" s="24">
        <v>30246.92</v>
      </c>
      <c r="G181" s="24">
        <v>1469.92</v>
      </c>
      <c r="H181" s="24" t="s">
        <v>23</v>
      </c>
      <c r="I181" s="24">
        <f t="shared" si="14"/>
        <v>42180.579999999994</v>
      </c>
    </row>
    <row r="182" spans="1:9">
      <c r="A182" s="99">
        <v>2010</v>
      </c>
      <c r="B182" s="24" t="s">
        <v>23</v>
      </c>
      <c r="C182" s="24" t="s">
        <v>23</v>
      </c>
      <c r="D182" s="24">
        <v>556.7299999999999</v>
      </c>
      <c r="E182" s="24">
        <v>7165.41</v>
      </c>
      <c r="F182" s="24">
        <v>17349.330000000002</v>
      </c>
      <c r="G182" s="24">
        <v>2069.6799999999998</v>
      </c>
      <c r="H182" s="24" t="s">
        <v>23</v>
      </c>
      <c r="I182" s="24">
        <f t="shared" si="14"/>
        <v>27141.15</v>
      </c>
    </row>
    <row r="183" spans="1:9">
      <c r="A183" s="99">
        <v>2011</v>
      </c>
      <c r="B183" s="24" t="s">
        <v>23</v>
      </c>
      <c r="C183" s="24" t="s">
        <v>23</v>
      </c>
      <c r="D183" s="24">
        <v>673.74</v>
      </c>
      <c r="E183" s="24">
        <v>5358.06</v>
      </c>
      <c r="F183" s="24">
        <v>15126.68</v>
      </c>
      <c r="G183" s="24">
        <v>3585.7</v>
      </c>
      <c r="H183" s="24" t="s">
        <v>23</v>
      </c>
      <c r="I183" s="24">
        <f t="shared" si="14"/>
        <v>24744.18</v>
      </c>
    </row>
    <row r="184" spans="1:9">
      <c r="A184" s="99">
        <v>2012</v>
      </c>
      <c r="B184" s="24" t="s">
        <v>23</v>
      </c>
      <c r="C184" s="24" t="s">
        <v>23</v>
      </c>
      <c r="D184" s="24">
        <v>1964.24</v>
      </c>
      <c r="E184" s="24">
        <v>5627.21</v>
      </c>
      <c r="F184" s="24">
        <v>10154.34</v>
      </c>
      <c r="G184" s="24">
        <v>5223.7700000000004</v>
      </c>
      <c r="H184" s="24" t="s">
        <v>23</v>
      </c>
      <c r="I184" s="24">
        <f t="shared" si="14"/>
        <v>22969.56</v>
      </c>
    </row>
    <row r="185" spans="1:9">
      <c r="A185" s="99">
        <v>2013</v>
      </c>
      <c r="B185" s="24" t="s">
        <v>23</v>
      </c>
      <c r="C185" s="24" t="s">
        <v>23</v>
      </c>
      <c r="D185" s="24">
        <v>2842.8199999999997</v>
      </c>
      <c r="E185" s="24">
        <v>4833.45</v>
      </c>
      <c r="F185" s="24">
        <v>13381.33</v>
      </c>
      <c r="G185" s="24">
        <v>3438.4</v>
      </c>
      <c r="H185" s="24" t="s">
        <v>23</v>
      </c>
      <c r="I185" s="24">
        <f t="shared" si="14"/>
        <v>24496</v>
      </c>
    </row>
    <row r="186" spans="1:9">
      <c r="A186" s="99">
        <v>2014</v>
      </c>
      <c r="B186" s="24" t="s">
        <v>23</v>
      </c>
      <c r="C186" s="24">
        <v>35.86</v>
      </c>
      <c r="D186" s="24">
        <v>2574.9900000000002</v>
      </c>
      <c r="E186" s="24">
        <v>11305.62</v>
      </c>
      <c r="F186" s="24">
        <v>22617.119999999999</v>
      </c>
      <c r="G186" s="24">
        <v>7734.6</v>
      </c>
      <c r="H186" s="24" t="s">
        <v>23</v>
      </c>
      <c r="I186" s="24">
        <f t="shared" si="14"/>
        <v>44268.189999999995</v>
      </c>
    </row>
    <row r="187" spans="1:9">
      <c r="A187" s="99">
        <v>2015</v>
      </c>
      <c r="B187" s="24" t="s">
        <v>23</v>
      </c>
      <c r="C187" s="24">
        <v>207.04</v>
      </c>
      <c r="D187" s="24">
        <v>2346.5299999999997</v>
      </c>
      <c r="E187" s="24">
        <v>8520.15</v>
      </c>
      <c r="F187" s="24">
        <v>15496.98</v>
      </c>
      <c r="G187" s="24">
        <v>6818.5599999999995</v>
      </c>
      <c r="H187" s="24" t="s">
        <v>23</v>
      </c>
      <c r="I187" s="24">
        <f>SUM(B187:H187)</f>
        <v>33389.259999999995</v>
      </c>
    </row>
    <row r="188" spans="1:9">
      <c r="A188" s="99">
        <v>2016</v>
      </c>
      <c r="B188" s="24" t="s">
        <v>23</v>
      </c>
      <c r="C188" s="24" t="s">
        <v>23</v>
      </c>
      <c r="D188" s="24" t="s">
        <v>23</v>
      </c>
      <c r="E188" s="24">
        <v>7666.17</v>
      </c>
      <c r="F188" s="24">
        <v>16587.330000000002</v>
      </c>
      <c r="G188" s="24" t="s">
        <v>23</v>
      </c>
      <c r="H188" s="24" t="s">
        <v>23</v>
      </c>
      <c r="I188" s="24">
        <f>SUM(B188:H188)</f>
        <v>24253.5</v>
      </c>
    </row>
    <row r="189" spans="1:9">
      <c r="A189" s="99">
        <v>2017</v>
      </c>
      <c r="B189" s="24" t="s">
        <v>23</v>
      </c>
      <c r="C189" s="24" t="s">
        <v>23</v>
      </c>
      <c r="D189" s="24">
        <v>388.48</v>
      </c>
      <c r="E189" s="24">
        <v>8532.23</v>
      </c>
      <c r="F189" s="24">
        <v>13844.1</v>
      </c>
      <c r="G189" s="24" t="s">
        <v>23</v>
      </c>
      <c r="H189" s="24" t="s">
        <v>23</v>
      </c>
      <c r="I189" s="24">
        <f>SUM(B189:H189)</f>
        <v>22764.809999999998</v>
      </c>
    </row>
    <row r="190" spans="1:9">
      <c r="A190" s="99">
        <v>2018</v>
      </c>
      <c r="B190" s="24" t="s">
        <v>23</v>
      </c>
      <c r="C190" s="24" t="s">
        <v>23</v>
      </c>
      <c r="D190" s="24">
        <v>1194.55</v>
      </c>
      <c r="E190" s="24">
        <v>5098.37</v>
      </c>
      <c r="F190" s="24">
        <v>7978.5</v>
      </c>
      <c r="G190" s="24">
        <v>612.73</v>
      </c>
      <c r="H190" s="24" t="s">
        <v>23</v>
      </c>
      <c r="I190" s="24">
        <f>SUM(B190:H190)</f>
        <v>14884.15</v>
      </c>
    </row>
    <row r="191" spans="1:9">
      <c r="A191" s="99">
        <v>2019</v>
      </c>
      <c r="B191" s="24" t="s">
        <v>23</v>
      </c>
      <c r="C191" s="24" t="s">
        <v>23</v>
      </c>
      <c r="D191" s="24">
        <v>2396.15</v>
      </c>
      <c r="E191" s="24">
        <v>10576.04</v>
      </c>
      <c r="F191" s="24">
        <v>15601.87</v>
      </c>
      <c r="G191" s="24">
        <v>1334.82</v>
      </c>
      <c r="H191" s="24" t="s">
        <v>23</v>
      </c>
      <c r="I191" s="24">
        <f t="shared" ref="I191:I192" si="15">SUM(B191:H191)</f>
        <v>29908.880000000001</v>
      </c>
    </row>
    <row r="192" spans="1:9" ht="13">
      <c r="A192" s="99" t="s">
        <v>310</v>
      </c>
      <c r="B192" s="24" t="s">
        <v>23</v>
      </c>
      <c r="C192" s="24" t="s">
        <v>23</v>
      </c>
      <c r="D192" s="24">
        <v>609.98</v>
      </c>
      <c r="E192" s="24">
        <v>8162.54</v>
      </c>
      <c r="F192" s="24" t="s">
        <v>23</v>
      </c>
      <c r="G192" s="24" t="s">
        <v>23</v>
      </c>
      <c r="H192" s="24" t="s">
        <v>23</v>
      </c>
      <c r="I192" s="24">
        <f t="shared" si="15"/>
        <v>8772.52</v>
      </c>
    </row>
    <row r="193" spans="1:9" ht="13">
      <c r="A193" s="99" t="s">
        <v>320</v>
      </c>
      <c r="B193" s="24" t="s">
        <v>23</v>
      </c>
      <c r="C193" s="24" t="s">
        <v>23</v>
      </c>
      <c r="D193" s="24">
        <v>1298.69</v>
      </c>
      <c r="E193" s="24">
        <v>9246.99</v>
      </c>
      <c r="F193" s="24">
        <v>17909.990000000002</v>
      </c>
      <c r="G193" s="24" t="s">
        <v>23</v>
      </c>
      <c r="H193" s="24" t="s">
        <v>23</v>
      </c>
      <c r="I193" s="24">
        <f t="shared" si="14"/>
        <v>28455.670000000002</v>
      </c>
    </row>
    <row r="194" spans="1:9">
      <c r="A194" s="99" t="s">
        <v>39</v>
      </c>
    </row>
    <row r="195" spans="1:9" ht="13">
      <c r="A195" s="103" t="s">
        <v>262</v>
      </c>
    </row>
    <row r="196" spans="1:9">
      <c r="A196" s="99">
        <v>1976</v>
      </c>
      <c r="B196" s="24">
        <f t="shared" ref="B196:I205" si="16">IF(AND(B148="-",B100="-",B52="-",B4="-"),"-",SUM(B148,B100,B52,B4))</f>
        <v>1025</v>
      </c>
      <c r="C196" s="24">
        <f t="shared" si="16"/>
        <v>20907</v>
      </c>
      <c r="D196" s="24">
        <f t="shared" si="16"/>
        <v>70009</v>
      </c>
      <c r="E196" s="24">
        <f t="shared" si="16"/>
        <v>154688</v>
      </c>
      <c r="F196" s="24">
        <f t="shared" si="16"/>
        <v>192140</v>
      </c>
      <c r="G196" s="24">
        <f t="shared" si="16"/>
        <v>89924</v>
      </c>
      <c r="H196" s="24">
        <f t="shared" si="16"/>
        <v>9373</v>
      </c>
      <c r="I196" s="24">
        <f t="shared" si="16"/>
        <v>538066</v>
      </c>
    </row>
    <row r="197" spans="1:9">
      <c r="A197" s="99">
        <v>1977</v>
      </c>
      <c r="B197" s="24">
        <f t="shared" si="16"/>
        <v>9015</v>
      </c>
      <c r="C197" s="24">
        <f t="shared" si="16"/>
        <v>19058</v>
      </c>
      <c r="D197" s="24">
        <f t="shared" si="16"/>
        <v>67398</v>
      </c>
      <c r="E197" s="24">
        <f t="shared" si="16"/>
        <v>134197</v>
      </c>
      <c r="F197" s="24">
        <f t="shared" si="16"/>
        <v>210615</v>
      </c>
      <c r="G197" s="24">
        <f t="shared" si="16"/>
        <v>84217</v>
      </c>
      <c r="H197" s="24">
        <f t="shared" si="16"/>
        <v>5453</v>
      </c>
      <c r="I197" s="24">
        <f t="shared" si="16"/>
        <v>529953</v>
      </c>
    </row>
    <row r="198" spans="1:9">
      <c r="A198" s="99">
        <v>1978</v>
      </c>
      <c r="B198" s="24">
        <f t="shared" si="16"/>
        <v>2910</v>
      </c>
      <c r="C198" s="24">
        <f t="shared" si="16"/>
        <v>17259</v>
      </c>
      <c r="D198" s="24">
        <f t="shared" si="16"/>
        <v>71640</v>
      </c>
      <c r="E198" s="24">
        <f t="shared" si="16"/>
        <v>148655</v>
      </c>
      <c r="F198" s="24">
        <f t="shared" si="16"/>
        <v>159389</v>
      </c>
      <c r="G198" s="24">
        <f t="shared" si="16"/>
        <v>73204</v>
      </c>
      <c r="H198" s="24">
        <f t="shared" si="16"/>
        <v>9744</v>
      </c>
      <c r="I198" s="24">
        <f t="shared" si="16"/>
        <v>482801</v>
      </c>
    </row>
    <row r="199" spans="1:9">
      <c r="A199" s="99">
        <v>1979</v>
      </c>
      <c r="B199" s="24">
        <f t="shared" si="16"/>
        <v>1347</v>
      </c>
      <c r="C199" s="24">
        <f t="shared" si="16"/>
        <v>19289</v>
      </c>
      <c r="D199" s="24">
        <f t="shared" si="16"/>
        <v>54189</v>
      </c>
      <c r="E199" s="24">
        <f t="shared" si="16"/>
        <v>105563</v>
      </c>
      <c r="F199" s="24">
        <f t="shared" si="16"/>
        <v>127721</v>
      </c>
      <c r="G199" s="24">
        <f t="shared" si="16"/>
        <v>7434</v>
      </c>
      <c r="H199" s="24">
        <f t="shared" si="16"/>
        <v>1678</v>
      </c>
      <c r="I199" s="24">
        <f t="shared" si="16"/>
        <v>317221</v>
      </c>
    </row>
    <row r="200" spans="1:9">
      <c r="A200" s="99">
        <v>1980</v>
      </c>
      <c r="B200" s="24" t="str">
        <f t="shared" si="16"/>
        <v>-</v>
      </c>
      <c r="C200" s="24">
        <f t="shared" si="16"/>
        <v>15723</v>
      </c>
      <c r="D200" s="24">
        <f t="shared" si="16"/>
        <v>54854</v>
      </c>
      <c r="E200" s="24">
        <f t="shared" si="16"/>
        <v>104064</v>
      </c>
      <c r="F200" s="24">
        <f t="shared" si="16"/>
        <v>101528</v>
      </c>
      <c r="G200" s="24">
        <f t="shared" si="16"/>
        <v>4803</v>
      </c>
      <c r="H200" s="24">
        <f t="shared" si="16"/>
        <v>30</v>
      </c>
      <c r="I200" s="24">
        <f t="shared" si="16"/>
        <v>281002</v>
      </c>
    </row>
    <row r="201" spans="1:9">
      <c r="A201" s="99">
        <v>1981</v>
      </c>
      <c r="B201" s="24">
        <f t="shared" si="16"/>
        <v>177</v>
      </c>
      <c r="C201" s="24">
        <f t="shared" si="16"/>
        <v>10740</v>
      </c>
      <c r="D201" s="24">
        <f t="shared" si="16"/>
        <v>37989</v>
      </c>
      <c r="E201" s="24">
        <f t="shared" si="16"/>
        <v>86010</v>
      </c>
      <c r="F201" s="24">
        <f t="shared" si="16"/>
        <v>97760</v>
      </c>
      <c r="G201" s="24">
        <f t="shared" si="16"/>
        <v>3672</v>
      </c>
      <c r="H201" s="24">
        <f t="shared" si="16"/>
        <v>431</v>
      </c>
      <c r="I201" s="24">
        <f t="shared" si="16"/>
        <v>236779</v>
      </c>
    </row>
    <row r="202" spans="1:9">
      <c r="A202" s="99">
        <v>1982</v>
      </c>
      <c r="B202" s="24">
        <f t="shared" si="16"/>
        <v>18</v>
      </c>
      <c r="C202" s="24">
        <f t="shared" si="16"/>
        <v>2698</v>
      </c>
      <c r="D202" s="24">
        <f t="shared" si="16"/>
        <v>41557</v>
      </c>
      <c r="E202" s="24">
        <f t="shared" si="16"/>
        <v>107886</v>
      </c>
      <c r="F202" s="24">
        <f t="shared" si="16"/>
        <v>55287</v>
      </c>
      <c r="G202" s="24">
        <f t="shared" si="16"/>
        <v>10396</v>
      </c>
      <c r="H202" s="24">
        <f t="shared" si="16"/>
        <v>834</v>
      </c>
      <c r="I202" s="24">
        <f t="shared" si="16"/>
        <v>218676</v>
      </c>
    </row>
    <row r="203" spans="1:9">
      <c r="A203" s="99">
        <v>1983</v>
      </c>
      <c r="B203" s="24">
        <f t="shared" si="16"/>
        <v>142</v>
      </c>
      <c r="C203" s="24">
        <f t="shared" si="16"/>
        <v>3193</v>
      </c>
      <c r="D203" s="24">
        <f t="shared" si="16"/>
        <v>32334</v>
      </c>
      <c r="E203" s="24">
        <f t="shared" si="16"/>
        <v>80735</v>
      </c>
      <c r="F203" s="24">
        <f t="shared" si="16"/>
        <v>72498</v>
      </c>
      <c r="G203" s="24">
        <f t="shared" si="16"/>
        <v>20721</v>
      </c>
      <c r="H203" s="24">
        <f t="shared" si="16"/>
        <v>43</v>
      </c>
      <c r="I203" s="24">
        <f t="shared" si="16"/>
        <v>209666</v>
      </c>
    </row>
    <row r="204" spans="1:9">
      <c r="A204" s="99">
        <v>1984</v>
      </c>
      <c r="B204" s="24">
        <f t="shared" si="16"/>
        <v>55</v>
      </c>
      <c r="C204" s="24">
        <f t="shared" si="16"/>
        <v>3704</v>
      </c>
      <c r="D204" s="24">
        <f t="shared" si="16"/>
        <v>0</v>
      </c>
      <c r="E204" s="24">
        <f t="shared" si="16"/>
        <v>9847</v>
      </c>
      <c r="F204" s="24">
        <f t="shared" si="16"/>
        <v>23002</v>
      </c>
      <c r="G204" s="24">
        <f t="shared" si="16"/>
        <v>179</v>
      </c>
      <c r="H204" s="24" t="str">
        <f t="shared" si="16"/>
        <v>-</v>
      </c>
      <c r="I204" s="24">
        <f t="shared" si="16"/>
        <v>36787</v>
      </c>
    </row>
    <row r="205" spans="1:9">
      <c r="A205" s="99">
        <v>1985</v>
      </c>
      <c r="B205" s="24">
        <f t="shared" si="16"/>
        <v>9</v>
      </c>
      <c r="C205" s="24">
        <f t="shared" si="16"/>
        <v>2</v>
      </c>
      <c r="D205" s="24">
        <f t="shared" si="16"/>
        <v>3073</v>
      </c>
      <c r="E205" s="24">
        <f t="shared" si="16"/>
        <v>54908</v>
      </c>
      <c r="F205" s="24">
        <f t="shared" si="16"/>
        <v>53057</v>
      </c>
      <c r="G205" s="24">
        <f t="shared" si="16"/>
        <v>3764</v>
      </c>
      <c r="H205" s="24" t="str">
        <f t="shared" si="16"/>
        <v>-</v>
      </c>
      <c r="I205" s="24">
        <f t="shared" si="16"/>
        <v>114813</v>
      </c>
    </row>
    <row r="206" spans="1:9">
      <c r="A206" s="99">
        <v>1986</v>
      </c>
      <c r="B206" s="24" t="str">
        <f t="shared" ref="B206:I213" si="17">IF(AND(B158="-",B110="-",B62="-",B14="-"),"-",SUM(B158,B110,B62,B14))</f>
        <v>-</v>
      </c>
      <c r="C206" s="24" t="str">
        <f t="shared" si="17"/>
        <v>-</v>
      </c>
      <c r="D206" s="24">
        <f t="shared" si="17"/>
        <v>3610</v>
      </c>
      <c r="E206" s="24">
        <f t="shared" si="17"/>
        <v>61443</v>
      </c>
      <c r="F206" s="24">
        <f t="shared" si="17"/>
        <v>43199</v>
      </c>
      <c r="G206" s="24">
        <f t="shared" si="17"/>
        <v>943</v>
      </c>
      <c r="H206" s="24">
        <f t="shared" si="17"/>
        <v>86</v>
      </c>
      <c r="I206" s="24">
        <f t="shared" si="17"/>
        <v>109281</v>
      </c>
    </row>
    <row r="207" spans="1:9">
      <c r="A207" s="99">
        <v>1987</v>
      </c>
      <c r="B207" s="24" t="str">
        <f t="shared" si="17"/>
        <v>-</v>
      </c>
      <c r="C207" s="24" t="str">
        <f t="shared" si="17"/>
        <v>-</v>
      </c>
      <c r="D207" s="24">
        <f t="shared" si="17"/>
        <v>3699</v>
      </c>
      <c r="E207" s="24">
        <f t="shared" si="17"/>
        <v>60650</v>
      </c>
      <c r="F207" s="24">
        <f t="shared" si="17"/>
        <v>36310</v>
      </c>
      <c r="G207" s="24">
        <f t="shared" si="17"/>
        <v>784</v>
      </c>
      <c r="H207" s="24">
        <f t="shared" si="17"/>
        <v>22</v>
      </c>
      <c r="I207" s="24">
        <f t="shared" si="17"/>
        <v>101465</v>
      </c>
    </row>
    <row r="208" spans="1:9">
      <c r="A208" s="99">
        <v>1988</v>
      </c>
      <c r="B208" s="24" t="str">
        <f t="shared" si="17"/>
        <v>-</v>
      </c>
      <c r="C208" s="24">
        <f t="shared" si="17"/>
        <v>6</v>
      </c>
      <c r="D208" s="24" t="str">
        <f t="shared" si="17"/>
        <v>-</v>
      </c>
      <c r="E208" s="24">
        <f t="shared" si="17"/>
        <v>63475</v>
      </c>
      <c r="F208" s="24">
        <f t="shared" si="17"/>
        <v>4774</v>
      </c>
      <c r="G208" s="24">
        <f t="shared" si="17"/>
        <v>651</v>
      </c>
      <c r="H208" s="24">
        <f t="shared" si="17"/>
        <v>12</v>
      </c>
      <c r="I208" s="24">
        <f t="shared" si="17"/>
        <v>68918</v>
      </c>
    </row>
    <row r="209" spans="1:9">
      <c r="A209" s="99">
        <v>1989</v>
      </c>
      <c r="B209" s="24" t="str">
        <f t="shared" si="17"/>
        <v>-</v>
      </c>
      <c r="C209" s="24">
        <f t="shared" si="17"/>
        <v>2671</v>
      </c>
      <c r="D209" s="24">
        <f t="shared" si="17"/>
        <v>4954</v>
      </c>
      <c r="E209" s="24">
        <f t="shared" si="17"/>
        <v>67746</v>
      </c>
      <c r="F209" s="24">
        <f t="shared" si="17"/>
        <v>61515</v>
      </c>
      <c r="G209" s="24">
        <f t="shared" si="17"/>
        <v>5362</v>
      </c>
      <c r="H209" s="24" t="str">
        <f t="shared" si="17"/>
        <v>-</v>
      </c>
      <c r="I209" s="24">
        <f t="shared" si="17"/>
        <v>142248</v>
      </c>
    </row>
    <row r="210" spans="1:9">
      <c r="A210" s="99">
        <v>1990</v>
      </c>
      <c r="B210" s="24" t="str">
        <f t="shared" si="17"/>
        <v>-</v>
      </c>
      <c r="C210" s="24" t="str">
        <f t="shared" si="17"/>
        <v>-</v>
      </c>
      <c r="D210" s="24">
        <f t="shared" si="17"/>
        <v>11095</v>
      </c>
      <c r="E210" s="24">
        <f t="shared" si="17"/>
        <v>75236</v>
      </c>
      <c r="F210" s="24">
        <f t="shared" si="17"/>
        <v>71110</v>
      </c>
      <c r="G210" s="24">
        <f t="shared" si="17"/>
        <v>17709</v>
      </c>
      <c r="H210" s="24" t="str">
        <f t="shared" si="17"/>
        <v>-</v>
      </c>
      <c r="I210" s="24">
        <f t="shared" si="17"/>
        <v>175150</v>
      </c>
    </row>
    <row r="211" spans="1:9">
      <c r="A211" s="99">
        <v>1991</v>
      </c>
      <c r="B211" s="24" t="str">
        <f t="shared" si="17"/>
        <v>-</v>
      </c>
      <c r="C211" s="24" t="str">
        <f t="shared" si="17"/>
        <v>-</v>
      </c>
      <c r="D211" s="24">
        <f t="shared" si="17"/>
        <v>8279</v>
      </c>
      <c r="E211" s="24">
        <f t="shared" si="17"/>
        <v>80803</v>
      </c>
      <c r="F211" s="24">
        <f t="shared" si="17"/>
        <v>29436</v>
      </c>
      <c r="G211" s="24">
        <f t="shared" si="17"/>
        <v>8662</v>
      </c>
      <c r="H211" s="24" t="str">
        <f t="shared" si="17"/>
        <v>-</v>
      </c>
      <c r="I211" s="24">
        <f t="shared" si="17"/>
        <v>127180</v>
      </c>
    </row>
    <row r="212" spans="1:9">
      <c r="A212" s="99">
        <v>1992</v>
      </c>
      <c r="B212" s="24" t="str">
        <f t="shared" si="17"/>
        <v>-</v>
      </c>
      <c r="C212" s="24">
        <f t="shared" si="17"/>
        <v>1344</v>
      </c>
      <c r="D212" s="24">
        <f t="shared" si="17"/>
        <v>0</v>
      </c>
      <c r="E212" s="24">
        <f t="shared" si="17"/>
        <v>60529</v>
      </c>
      <c r="F212" s="24">
        <f t="shared" si="17"/>
        <v>33689</v>
      </c>
      <c r="G212" s="24">
        <f t="shared" si="17"/>
        <v>12624</v>
      </c>
      <c r="H212" s="24">
        <f t="shared" si="17"/>
        <v>714</v>
      </c>
      <c r="I212" s="24">
        <f t="shared" si="17"/>
        <v>108900</v>
      </c>
    </row>
    <row r="213" spans="1:9">
      <c r="A213" s="99">
        <v>1993</v>
      </c>
      <c r="B213" s="24" t="str">
        <f t="shared" si="17"/>
        <v>-</v>
      </c>
      <c r="C213" s="24">
        <f t="shared" si="17"/>
        <v>1172</v>
      </c>
      <c r="D213" s="24" t="str">
        <f t="shared" si="17"/>
        <v>-</v>
      </c>
      <c r="E213" s="24">
        <f t="shared" si="17"/>
        <v>43265</v>
      </c>
      <c r="F213" s="24">
        <f t="shared" si="17"/>
        <v>51078</v>
      </c>
      <c r="G213" s="24">
        <f t="shared" si="17"/>
        <v>33255</v>
      </c>
      <c r="H213" s="24" t="str">
        <f t="shared" si="17"/>
        <v>-</v>
      </c>
      <c r="I213" s="24">
        <f t="shared" si="17"/>
        <v>128770</v>
      </c>
    </row>
    <row r="214" spans="1:9">
      <c r="A214" s="99">
        <v>1994</v>
      </c>
      <c r="B214" s="24" t="str">
        <f t="shared" ref="B214:H223" si="18">IF(AND(B166="-",B118="-",B70="-",B22="-"),"-",SUM(B166,B118,B70,B22))</f>
        <v>-</v>
      </c>
      <c r="C214" s="24" t="str">
        <f t="shared" si="18"/>
        <v>-</v>
      </c>
      <c r="D214" s="24" t="str">
        <f t="shared" si="18"/>
        <v>-</v>
      </c>
      <c r="E214" s="24" t="str">
        <f t="shared" si="18"/>
        <v>-</v>
      </c>
      <c r="F214" s="24" t="str">
        <f t="shared" si="18"/>
        <v>-</v>
      </c>
      <c r="G214" s="24" t="str">
        <f t="shared" si="18"/>
        <v>-</v>
      </c>
      <c r="H214" s="24" t="str">
        <f t="shared" si="18"/>
        <v>-</v>
      </c>
      <c r="I214" s="24" t="s">
        <v>23</v>
      </c>
    </row>
    <row r="215" spans="1:9">
      <c r="A215" s="99">
        <v>1995</v>
      </c>
      <c r="B215" s="24" t="str">
        <f t="shared" si="18"/>
        <v>-</v>
      </c>
      <c r="C215" s="24" t="str">
        <f t="shared" si="18"/>
        <v>-</v>
      </c>
      <c r="D215" s="24" t="str">
        <f t="shared" si="18"/>
        <v>-</v>
      </c>
      <c r="E215" s="24">
        <f t="shared" si="18"/>
        <v>8680</v>
      </c>
      <c r="F215" s="24">
        <f t="shared" si="18"/>
        <v>33457</v>
      </c>
      <c r="G215" s="24">
        <f t="shared" si="18"/>
        <v>12807</v>
      </c>
      <c r="H215" s="24" t="str">
        <f t="shared" si="18"/>
        <v>-</v>
      </c>
      <c r="I215" s="24">
        <f t="shared" ref="I215:I239" si="19">IF(AND(I167="-",I119="-",I71="-",I23="-"),"-",SUM(I167,I119,I71,I23))</f>
        <v>54944</v>
      </c>
    </row>
    <row r="216" spans="1:9">
      <c r="A216" s="99">
        <v>1996</v>
      </c>
      <c r="B216" s="24" t="str">
        <f t="shared" si="18"/>
        <v>-</v>
      </c>
      <c r="C216" s="24" t="str">
        <f t="shared" si="18"/>
        <v>-</v>
      </c>
      <c r="D216" s="24" t="str">
        <f t="shared" si="18"/>
        <v>-</v>
      </c>
      <c r="E216" s="24">
        <f t="shared" si="18"/>
        <v>7710</v>
      </c>
      <c r="F216" s="24">
        <f t="shared" si="18"/>
        <v>28950</v>
      </c>
      <c r="G216" s="24">
        <f t="shared" si="18"/>
        <v>6590</v>
      </c>
      <c r="H216" s="24" t="str">
        <f t="shared" si="18"/>
        <v>-</v>
      </c>
      <c r="I216" s="24">
        <f t="shared" si="19"/>
        <v>43250</v>
      </c>
    </row>
    <row r="217" spans="1:9">
      <c r="A217" s="99">
        <v>1997</v>
      </c>
      <c r="B217" s="24" t="str">
        <f t="shared" si="18"/>
        <v>-</v>
      </c>
      <c r="C217" s="24" t="str">
        <f t="shared" si="18"/>
        <v>-</v>
      </c>
      <c r="D217" s="24" t="str">
        <f t="shared" si="18"/>
        <v>-</v>
      </c>
      <c r="E217" s="24">
        <f t="shared" si="18"/>
        <v>16350</v>
      </c>
      <c r="F217" s="24">
        <f t="shared" si="18"/>
        <v>12178</v>
      </c>
      <c r="G217" s="24">
        <f t="shared" si="18"/>
        <v>1171</v>
      </c>
      <c r="H217" s="24" t="str">
        <f t="shared" si="18"/>
        <v>-</v>
      </c>
      <c r="I217" s="24">
        <f t="shared" si="19"/>
        <v>29699</v>
      </c>
    </row>
    <row r="218" spans="1:9">
      <c r="A218" s="99">
        <v>1998</v>
      </c>
      <c r="B218" s="24" t="str">
        <f t="shared" si="18"/>
        <v>-</v>
      </c>
      <c r="C218" s="24" t="str">
        <f t="shared" si="18"/>
        <v>-</v>
      </c>
      <c r="D218" s="24" t="str">
        <f t="shared" si="18"/>
        <v>-</v>
      </c>
      <c r="E218" s="24" t="str">
        <f t="shared" si="18"/>
        <v>-</v>
      </c>
      <c r="F218" s="24">
        <f t="shared" si="18"/>
        <v>18290</v>
      </c>
      <c r="G218" s="24">
        <f t="shared" si="18"/>
        <v>1363</v>
      </c>
      <c r="H218" s="24" t="str">
        <f t="shared" si="18"/>
        <v>-</v>
      </c>
      <c r="I218" s="24">
        <f t="shared" si="19"/>
        <v>19653</v>
      </c>
    </row>
    <row r="219" spans="1:9">
      <c r="A219" s="99">
        <v>1999</v>
      </c>
      <c r="B219" s="24" t="str">
        <f t="shared" si="18"/>
        <v>-</v>
      </c>
      <c r="C219" s="24" t="str">
        <f t="shared" si="18"/>
        <v>-</v>
      </c>
      <c r="D219" s="24" t="str">
        <f t="shared" si="18"/>
        <v>-</v>
      </c>
      <c r="E219" s="24">
        <f t="shared" si="18"/>
        <v>13323</v>
      </c>
      <c r="F219" s="24">
        <f t="shared" si="18"/>
        <v>25740</v>
      </c>
      <c r="G219" s="24">
        <f t="shared" si="18"/>
        <v>11711</v>
      </c>
      <c r="H219" s="24" t="str">
        <f t="shared" si="18"/>
        <v>-</v>
      </c>
      <c r="I219" s="24">
        <f t="shared" si="19"/>
        <v>50774</v>
      </c>
    </row>
    <row r="220" spans="1:9">
      <c r="A220" s="99">
        <v>2000</v>
      </c>
      <c r="B220" s="24" t="str">
        <f t="shared" si="18"/>
        <v>-</v>
      </c>
      <c r="C220" s="24" t="str">
        <f t="shared" si="18"/>
        <v>-</v>
      </c>
      <c r="D220" s="24" t="str">
        <f t="shared" si="18"/>
        <v>-</v>
      </c>
      <c r="E220" s="24">
        <f t="shared" si="18"/>
        <v>25398</v>
      </c>
      <c r="F220" s="24">
        <f t="shared" si="18"/>
        <v>21875</v>
      </c>
      <c r="G220" s="24">
        <f t="shared" si="18"/>
        <v>1646</v>
      </c>
      <c r="H220" s="24" t="str">
        <f t="shared" si="18"/>
        <v>-</v>
      </c>
      <c r="I220" s="24">
        <f t="shared" si="19"/>
        <v>48919</v>
      </c>
    </row>
    <row r="221" spans="1:9">
      <c r="A221" s="99">
        <v>2001</v>
      </c>
      <c r="B221" s="24" t="str">
        <f t="shared" si="18"/>
        <v>-</v>
      </c>
      <c r="C221" s="24" t="str">
        <f t="shared" si="18"/>
        <v>-</v>
      </c>
      <c r="D221" s="24" t="str">
        <f t="shared" si="18"/>
        <v>-</v>
      </c>
      <c r="E221" s="24">
        <f t="shared" si="18"/>
        <v>58851</v>
      </c>
      <c r="F221" s="24">
        <f t="shared" si="18"/>
        <v>48961</v>
      </c>
      <c r="G221" s="24">
        <f t="shared" si="18"/>
        <v>18351</v>
      </c>
      <c r="H221" s="24">
        <f t="shared" si="18"/>
        <v>239</v>
      </c>
      <c r="I221" s="24">
        <f t="shared" si="19"/>
        <v>126402</v>
      </c>
    </row>
    <row r="222" spans="1:9">
      <c r="A222" s="99">
        <v>2002</v>
      </c>
      <c r="B222" s="24" t="str">
        <f t="shared" si="18"/>
        <v>-</v>
      </c>
      <c r="C222" s="24">
        <f t="shared" si="18"/>
        <v>2711</v>
      </c>
      <c r="D222" s="24">
        <f t="shared" si="18"/>
        <v>14903</v>
      </c>
      <c r="E222" s="24">
        <f t="shared" si="18"/>
        <v>30408</v>
      </c>
      <c r="F222" s="24">
        <f t="shared" si="18"/>
        <v>37297</v>
      </c>
      <c r="G222" s="24">
        <f t="shared" si="18"/>
        <v>9735</v>
      </c>
      <c r="H222" s="24">
        <f t="shared" si="18"/>
        <v>113</v>
      </c>
      <c r="I222" s="24">
        <f t="shared" si="19"/>
        <v>95167</v>
      </c>
    </row>
    <row r="223" spans="1:9">
      <c r="A223" s="99">
        <v>2003</v>
      </c>
      <c r="B223" s="24" t="str">
        <f t="shared" si="18"/>
        <v>-</v>
      </c>
      <c r="C223" s="24" t="str">
        <f t="shared" si="18"/>
        <v>-</v>
      </c>
      <c r="D223" s="24">
        <f t="shared" si="18"/>
        <v>6349</v>
      </c>
      <c r="E223" s="24">
        <f t="shared" si="18"/>
        <v>47663</v>
      </c>
      <c r="F223" s="24">
        <f t="shared" si="18"/>
        <v>57542</v>
      </c>
      <c r="G223" s="24">
        <f t="shared" si="18"/>
        <v>13185</v>
      </c>
      <c r="H223" s="24">
        <f t="shared" si="18"/>
        <v>128</v>
      </c>
      <c r="I223" s="24">
        <f t="shared" si="19"/>
        <v>124867</v>
      </c>
    </row>
    <row r="224" spans="1:9">
      <c r="A224" s="99">
        <v>2004</v>
      </c>
      <c r="B224" s="24" t="str">
        <f t="shared" ref="B224:H233" si="20">IF(AND(B176="-",B128="-",B80="-",B32="-"),"-",SUM(B176,B128,B80,B32))</f>
        <v>-</v>
      </c>
      <c r="C224" s="24" t="str">
        <f t="shared" si="20"/>
        <v>-</v>
      </c>
      <c r="D224" s="24">
        <f t="shared" si="20"/>
        <v>2610</v>
      </c>
      <c r="E224" s="24">
        <f t="shared" si="20"/>
        <v>43604</v>
      </c>
      <c r="F224" s="24">
        <f t="shared" si="20"/>
        <v>50621</v>
      </c>
      <c r="G224" s="24">
        <f t="shared" si="20"/>
        <v>15849</v>
      </c>
      <c r="H224" s="24">
        <f t="shared" si="20"/>
        <v>20</v>
      </c>
      <c r="I224" s="24">
        <f t="shared" si="19"/>
        <v>112704</v>
      </c>
    </row>
    <row r="225" spans="1:9">
      <c r="A225" s="99">
        <v>2005</v>
      </c>
      <c r="B225" s="24" t="str">
        <f t="shared" si="20"/>
        <v>-</v>
      </c>
      <c r="C225" s="24" t="str">
        <f t="shared" si="20"/>
        <v>-</v>
      </c>
      <c r="D225" s="24">
        <f t="shared" si="20"/>
        <v>1119</v>
      </c>
      <c r="E225" s="24">
        <f t="shared" si="20"/>
        <v>31958.744915506741</v>
      </c>
      <c r="F225" s="24">
        <f t="shared" si="20"/>
        <v>41471.536814377025</v>
      </c>
      <c r="G225" s="24">
        <f t="shared" si="20"/>
        <v>15886.195099939281</v>
      </c>
      <c r="H225" s="24">
        <f t="shared" si="20"/>
        <v>160</v>
      </c>
      <c r="I225" s="24">
        <f t="shared" si="19"/>
        <v>90595.476829823048</v>
      </c>
    </row>
    <row r="226" spans="1:9">
      <c r="A226" s="99">
        <v>2006</v>
      </c>
      <c r="B226" s="24" t="str">
        <f t="shared" si="20"/>
        <v>-</v>
      </c>
      <c r="C226" s="24" t="str">
        <f t="shared" si="20"/>
        <v>-</v>
      </c>
      <c r="D226" s="24">
        <f t="shared" si="20"/>
        <v>1118.93</v>
      </c>
      <c r="E226" s="24">
        <f t="shared" si="20"/>
        <v>22226.21</v>
      </c>
      <c r="F226" s="24">
        <f t="shared" si="20"/>
        <v>36158.549999999996</v>
      </c>
      <c r="G226" s="24">
        <f t="shared" si="20"/>
        <v>5500.95</v>
      </c>
      <c r="H226" s="24">
        <f t="shared" si="20"/>
        <v>258.35000000000002</v>
      </c>
      <c r="I226" s="24">
        <f t="shared" si="19"/>
        <v>65262.990000000013</v>
      </c>
    </row>
    <row r="227" spans="1:9">
      <c r="A227" s="99">
        <v>2007</v>
      </c>
      <c r="B227" s="24" t="str">
        <f t="shared" si="20"/>
        <v>-</v>
      </c>
      <c r="C227" s="24" t="str">
        <f t="shared" si="20"/>
        <v>-</v>
      </c>
      <c r="D227" s="24" t="str">
        <f t="shared" si="20"/>
        <v>-</v>
      </c>
      <c r="E227" s="24">
        <f t="shared" si="20"/>
        <v>24967.5</v>
      </c>
      <c r="F227" s="24">
        <f t="shared" si="20"/>
        <v>41864.65</v>
      </c>
      <c r="G227" s="24">
        <f t="shared" si="20"/>
        <v>5850.7599999999993</v>
      </c>
      <c r="H227" s="24">
        <f t="shared" si="20"/>
        <v>0</v>
      </c>
      <c r="I227" s="24">
        <f t="shared" si="19"/>
        <v>72682.91</v>
      </c>
    </row>
    <row r="228" spans="1:9">
      <c r="A228" s="99">
        <v>2008</v>
      </c>
      <c r="B228" s="24" t="str">
        <f t="shared" si="20"/>
        <v>-</v>
      </c>
      <c r="C228" s="24" t="str">
        <f t="shared" si="20"/>
        <v>-</v>
      </c>
      <c r="D228" s="24">
        <f t="shared" si="20"/>
        <v>4784.3599999999997</v>
      </c>
      <c r="E228" s="24">
        <f t="shared" si="20"/>
        <v>15897.94</v>
      </c>
      <c r="F228" s="24">
        <f t="shared" si="20"/>
        <v>14326.65</v>
      </c>
      <c r="G228" s="24">
        <f t="shared" si="20"/>
        <v>2563.7800000000002</v>
      </c>
      <c r="H228" s="24">
        <f t="shared" si="20"/>
        <v>37.5</v>
      </c>
      <c r="I228" s="24">
        <f t="shared" si="19"/>
        <v>37610.229999999996</v>
      </c>
    </row>
    <row r="229" spans="1:9">
      <c r="A229" s="99">
        <v>2009</v>
      </c>
      <c r="B229" s="24" t="str">
        <f t="shared" si="20"/>
        <v>-</v>
      </c>
      <c r="C229" s="24" t="str">
        <f t="shared" si="20"/>
        <v>-</v>
      </c>
      <c r="D229" s="24">
        <f t="shared" si="20"/>
        <v>1297.19</v>
      </c>
      <c r="E229" s="24">
        <f t="shared" si="20"/>
        <v>28386</v>
      </c>
      <c r="F229" s="24">
        <f t="shared" si="20"/>
        <v>62792.49</v>
      </c>
      <c r="G229" s="24">
        <f t="shared" si="20"/>
        <v>8871.9500000000007</v>
      </c>
      <c r="H229" s="24">
        <f t="shared" si="20"/>
        <v>212.42</v>
      </c>
      <c r="I229" s="24">
        <f t="shared" si="19"/>
        <v>101560.04999999999</v>
      </c>
    </row>
    <row r="230" spans="1:9">
      <c r="A230" s="99">
        <v>2010</v>
      </c>
      <c r="B230" s="24" t="str">
        <f t="shared" si="20"/>
        <v>-</v>
      </c>
      <c r="C230" s="24" t="str">
        <f t="shared" si="20"/>
        <v>-</v>
      </c>
      <c r="D230" s="24">
        <f t="shared" si="20"/>
        <v>10007.859999999999</v>
      </c>
      <c r="E230" s="24">
        <f t="shared" si="20"/>
        <v>25545.61</v>
      </c>
      <c r="F230" s="24">
        <f t="shared" si="20"/>
        <v>36895.78</v>
      </c>
      <c r="G230" s="24">
        <f t="shared" si="20"/>
        <v>8351.2800000000007</v>
      </c>
      <c r="H230" s="24">
        <f t="shared" si="20"/>
        <v>153.97</v>
      </c>
      <c r="I230" s="24">
        <f t="shared" si="19"/>
        <v>80954.500000000015</v>
      </c>
    </row>
    <row r="231" spans="1:9">
      <c r="A231" s="99">
        <v>2011</v>
      </c>
      <c r="B231" s="24" t="str">
        <f t="shared" si="20"/>
        <v>-</v>
      </c>
      <c r="C231" s="24" t="str">
        <f t="shared" si="20"/>
        <v>-</v>
      </c>
      <c r="D231" s="24">
        <f t="shared" si="20"/>
        <v>6210.57</v>
      </c>
      <c r="E231" s="24">
        <f t="shared" si="20"/>
        <v>22692.41</v>
      </c>
      <c r="F231" s="24">
        <f t="shared" si="20"/>
        <v>36304.93</v>
      </c>
      <c r="G231" s="24">
        <f t="shared" si="20"/>
        <v>8372.2799999999988</v>
      </c>
      <c r="H231" s="24">
        <f t="shared" si="20"/>
        <v>16.05</v>
      </c>
      <c r="I231" s="24">
        <f t="shared" si="19"/>
        <v>73596.240000000005</v>
      </c>
    </row>
    <row r="232" spans="1:9">
      <c r="A232" s="99">
        <v>2012</v>
      </c>
      <c r="B232" s="24" t="str">
        <f t="shared" si="20"/>
        <v>-</v>
      </c>
      <c r="C232" s="24" t="str">
        <f t="shared" si="20"/>
        <v>-</v>
      </c>
      <c r="D232" s="24">
        <f t="shared" si="20"/>
        <v>11591.460000000001</v>
      </c>
      <c r="E232" s="24">
        <f t="shared" si="20"/>
        <v>23039.739999999998</v>
      </c>
      <c r="F232" s="24">
        <f t="shared" si="20"/>
        <v>29322.38</v>
      </c>
      <c r="G232" s="24">
        <f t="shared" si="20"/>
        <v>13351.880000000001</v>
      </c>
      <c r="H232" s="24">
        <f t="shared" si="20"/>
        <v>353.11</v>
      </c>
      <c r="I232" s="24">
        <f t="shared" si="19"/>
        <v>77658.570000000007</v>
      </c>
    </row>
    <row r="233" spans="1:9">
      <c r="A233" s="99">
        <v>2013</v>
      </c>
      <c r="B233" s="24" t="str">
        <f t="shared" si="20"/>
        <v>-</v>
      </c>
      <c r="C233" s="24">
        <f t="shared" si="20"/>
        <v>950.86</v>
      </c>
      <c r="D233" s="24">
        <f t="shared" si="20"/>
        <v>11815.9</v>
      </c>
      <c r="E233" s="24">
        <f t="shared" si="20"/>
        <v>20843.870000000003</v>
      </c>
      <c r="F233" s="24">
        <f t="shared" si="20"/>
        <v>37327.81</v>
      </c>
      <c r="G233" s="24">
        <f t="shared" si="20"/>
        <v>8837.94</v>
      </c>
      <c r="H233" s="24">
        <f t="shared" si="20"/>
        <v>237.41</v>
      </c>
      <c r="I233" s="24">
        <f t="shared" si="19"/>
        <v>80013.790000000008</v>
      </c>
    </row>
    <row r="234" spans="1:9">
      <c r="A234" s="99">
        <v>2014</v>
      </c>
      <c r="B234" s="24" t="str">
        <f t="shared" ref="B234:H234" si="21">IF(AND(B186="-",B138="-",B90="-",B42="-"),"-",SUM(B186,B138,B90,B42))</f>
        <v>-</v>
      </c>
      <c r="C234" s="24">
        <f t="shared" si="21"/>
        <v>1678.42</v>
      </c>
      <c r="D234" s="24">
        <f t="shared" si="21"/>
        <v>12905.909999999998</v>
      </c>
      <c r="E234" s="24">
        <f t="shared" si="21"/>
        <v>39834.29</v>
      </c>
      <c r="F234" s="24">
        <f t="shared" si="21"/>
        <v>47009.83</v>
      </c>
      <c r="G234" s="24">
        <f t="shared" si="21"/>
        <v>17824.05</v>
      </c>
      <c r="H234" s="24">
        <f t="shared" si="21"/>
        <v>364.82</v>
      </c>
      <c r="I234" s="24">
        <f t="shared" si="19"/>
        <v>119617.31999999999</v>
      </c>
    </row>
    <row r="235" spans="1:9">
      <c r="A235" s="99">
        <v>2015</v>
      </c>
      <c r="B235" s="24" t="str">
        <f t="shared" ref="B235:H235" si="22">IF(AND(B187="-",B139="-",B91="-",B43="-"),"-",SUM(B187,B139,B91,B43))</f>
        <v>-</v>
      </c>
      <c r="C235" s="24">
        <f t="shared" si="22"/>
        <v>1647.96</v>
      </c>
      <c r="D235" s="24">
        <f t="shared" si="22"/>
        <v>11320.32</v>
      </c>
      <c r="E235" s="24">
        <f t="shared" si="22"/>
        <v>37298.92</v>
      </c>
      <c r="F235" s="24">
        <f t="shared" si="22"/>
        <v>31062.82</v>
      </c>
      <c r="G235" s="24">
        <f t="shared" si="22"/>
        <v>15484.28</v>
      </c>
      <c r="H235" s="24">
        <f t="shared" si="22"/>
        <v>300.16000000000003</v>
      </c>
      <c r="I235" s="24">
        <f t="shared" si="19"/>
        <v>97114.459999999992</v>
      </c>
    </row>
    <row r="236" spans="1:9">
      <c r="A236" s="99">
        <v>2016</v>
      </c>
      <c r="B236" s="24" t="str">
        <f t="shared" ref="B236:H236" si="23">IF(AND(B188="-",B140="-",B92="-",B44="-"),"-",SUM(B188,B140,B92,B44))</f>
        <v>-</v>
      </c>
      <c r="C236" s="24" t="str">
        <f t="shared" si="23"/>
        <v>-</v>
      </c>
      <c r="D236" s="24" t="str">
        <f t="shared" si="23"/>
        <v>-</v>
      </c>
      <c r="E236" s="24">
        <f t="shared" si="23"/>
        <v>25458.379999999997</v>
      </c>
      <c r="F236" s="24">
        <f t="shared" si="23"/>
        <v>25978.250000000004</v>
      </c>
      <c r="G236" s="24" t="str">
        <f t="shared" si="23"/>
        <v>-</v>
      </c>
      <c r="H236" s="24" t="str">
        <f t="shared" si="23"/>
        <v>-</v>
      </c>
      <c r="I236" s="24">
        <f t="shared" si="19"/>
        <v>51436.63</v>
      </c>
    </row>
    <row r="237" spans="1:9">
      <c r="A237" s="99">
        <v>2017</v>
      </c>
      <c r="B237" s="24" t="str">
        <f t="shared" ref="B237:H237" si="24">IF(AND(B189="-",B141="-",B93="-",B45="-"),"-",SUM(B189,B141,B93,B45))</f>
        <v>-</v>
      </c>
      <c r="C237" s="24" t="str">
        <f t="shared" si="24"/>
        <v>-</v>
      </c>
      <c r="D237" s="24">
        <f t="shared" si="24"/>
        <v>856.6400000000001</v>
      </c>
      <c r="E237" s="24">
        <f t="shared" si="24"/>
        <v>30088.04</v>
      </c>
      <c r="F237" s="24">
        <f t="shared" si="24"/>
        <v>29666.27</v>
      </c>
      <c r="G237" s="24">
        <f t="shared" si="24"/>
        <v>841.76</v>
      </c>
      <c r="H237" s="24" t="str">
        <f t="shared" si="24"/>
        <v>-</v>
      </c>
      <c r="I237" s="24">
        <f t="shared" si="19"/>
        <v>61452.71</v>
      </c>
    </row>
    <row r="238" spans="1:9" ht="13">
      <c r="A238" s="99" t="s">
        <v>255</v>
      </c>
      <c r="B238" s="24" t="str">
        <f t="shared" ref="B238:H238" si="25">IF(AND(B190="-",B142="-",B94="-",B46="-"),"-",SUM(B190,B142,B94,B46))</f>
        <v>-</v>
      </c>
      <c r="C238" s="24" t="str">
        <f t="shared" si="25"/>
        <v>-</v>
      </c>
      <c r="D238" s="24">
        <f t="shared" si="25"/>
        <v>2443.5500000000002</v>
      </c>
      <c r="E238" s="24">
        <f t="shared" si="25"/>
        <v>19506.309999999998</v>
      </c>
      <c r="F238" s="24">
        <f t="shared" si="25"/>
        <v>24995.199999999997</v>
      </c>
      <c r="G238" s="24">
        <f t="shared" si="25"/>
        <v>1023.08</v>
      </c>
      <c r="H238" s="24" t="str">
        <f t="shared" si="25"/>
        <v>-</v>
      </c>
      <c r="I238" s="24">
        <f t="shared" si="19"/>
        <v>47968.14</v>
      </c>
    </row>
    <row r="239" spans="1:9">
      <c r="A239" s="99">
        <v>2019</v>
      </c>
      <c r="B239" s="24" t="str">
        <f t="shared" ref="B239:H239" si="26">IF(AND(B191="-",B143="-",B95="-",B47="-"),"-",SUM(B191,B143,B95,B47))</f>
        <v>-</v>
      </c>
      <c r="C239" s="24" t="str">
        <f t="shared" si="26"/>
        <v>-</v>
      </c>
      <c r="D239" s="24">
        <f t="shared" si="26"/>
        <v>6650.63</v>
      </c>
      <c r="E239" s="24">
        <f t="shared" si="26"/>
        <v>26079.329999999998</v>
      </c>
      <c r="F239" s="24">
        <f t="shared" si="26"/>
        <v>28880.590000000004</v>
      </c>
      <c r="G239" s="24">
        <f t="shared" si="26"/>
        <v>3816.43</v>
      </c>
      <c r="H239" s="24">
        <f t="shared" si="26"/>
        <v>239.57</v>
      </c>
      <c r="I239" s="24">
        <f t="shared" si="19"/>
        <v>65666.55</v>
      </c>
    </row>
    <row r="240" spans="1:9" ht="13">
      <c r="A240" s="99" t="s">
        <v>310</v>
      </c>
      <c r="B240" s="24" t="str">
        <f t="shared" ref="B240:I241" si="27">IF(AND(B192="-",B144="-",B96="-",B48="-"),"-",SUM(B192,B144,B96,B48))</f>
        <v>-</v>
      </c>
      <c r="C240" s="24" t="str">
        <f t="shared" si="27"/>
        <v>-</v>
      </c>
      <c r="D240" s="24">
        <f t="shared" si="27"/>
        <v>2608.92</v>
      </c>
      <c r="E240" s="24">
        <f t="shared" si="27"/>
        <v>20816.2</v>
      </c>
      <c r="F240" s="24">
        <f t="shared" si="27"/>
        <v>7118.77</v>
      </c>
      <c r="G240" s="24">
        <f t="shared" si="27"/>
        <v>3340.91</v>
      </c>
      <c r="H240" s="24" t="str">
        <f t="shared" si="27"/>
        <v>-</v>
      </c>
      <c r="I240" s="24">
        <f t="shared" si="27"/>
        <v>33884.800000000003</v>
      </c>
    </row>
    <row r="241" spans="1:9" ht="13">
      <c r="A241" s="99" t="s">
        <v>320</v>
      </c>
      <c r="B241" s="24" t="str">
        <f t="shared" si="27"/>
        <v>-</v>
      </c>
      <c r="C241" s="24" t="str">
        <f t="shared" si="27"/>
        <v>-</v>
      </c>
      <c r="D241" s="24">
        <f t="shared" si="27"/>
        <v>4990.3500000000004</v>
      </c>
      <c r="E241" s="24">
        <f t="shared" si="27"/>
        <v>26030.69</v>
      </c>
      <c r="F241" s="24">
        <f t="shared" si="27"/>
        <v>30080.490000000005</v>
      </c>
      <c r="G241" s="24">
        <f t="shared" si="27"/>
        <v>4768.3500000000004</v>
      </c>
      <c r="H241" s="24" t="str">
        <f t="shared" si="27"/>
        <v>-</v>
      </c>
      <c r="I241" s="24">
        <f t="shared" si="27"/>
        <v>65869.88</v>
      </c>
    </row>
    <row r="242" spans="1:9">
      <c r="A242" s="126" t="s">
        <v>145</v>
      </c>
      <c r="B242" s="269"/>
      <c r="C242" s="269"/>
      <c r="D242" s="269"/>
      <c r="E242" s="269"/>
      <c r="F242" s="269"/>
      <c r="G242" s="269"/>
      <c r="H242" s="269"/>
      <c r="I242" s="269"/>
    </row>
    <row r="243" spans="1:9">
      <c r="A243" s="99" t="s">
        <v>42</v>
      </c>
    </row>
    <row r="244" spans="1:9">
      <c r="A244" s="327" t="s">
        <v>72</v>
      </c>
      <c r="B244" s="327"/>
      <c r="C244" s="327"/>
      <c r="D244" s="327"/>
      <c r="E244" s="327"/>
      <c r="F244" s="327"/>
      <c r="G244" s="327"/>
      <c r="H244" s="327"/>
      <c r="I244" s="327"/>
    </row>
    <row r="245" spans="1:9">
      <c r="A245" s="327"/>
      <c r="B245" s="327"/>
      <c r="C245" s="327"/>
      <c r="D245" s="327"/>
      <c r="E245" s="327"/>
      <c r="F245" s="327"/>
      <c r="G245" s="327"/>
      <c r="H245" s="327"/>
      <c r="I245" s="327"/>
    </row>
    <row r="246" spans="1:9" ht="46.5" customHeight="1">
      <c r="A246" s="352" t="s">
        <v>337</v>
      </c>
      <c r="B246" s="352"/>
      <c r="C246" s="352"/>
      <c r="D246" s="352"/>
      <c r="E246" s="352"/>
      <c r="F246" s="352"/>
      <c r="G246" s="352"/>
      <c r="H246" s="352"/>
      <c r="I246" s="352"/>
    </row>
    <row r="250" spans="1:9" s="199" customFormat="1">
      <c r="A250" s="158"/>
      <c r="B250" s="160"/>
      <c r="C250" s="160"/>
      <c r="D250" s="160"/>
      <c r="E250" s="160"/>
      <c r="F250" s="160"/>
      <c r="G250" s="160"/>
      <c r="H250" s="160"/>
      <c r="I250" s="160"/>
    </row>
    <row r="262" spans="1:10">
      <c r="A262" s="282" t="s">
        <v>321</v>
      </c>
      <c r="B262" s="282"/>
      <c r="C262" s="282"/>
      <c r="D262" s="282"/>
      <c r="E262" s="282"/>
      <c r="F262" s="282"/>
      <c r="G262" s="282"/>
      <c r="H262" s="282"/>
      <c r="I262" s="282"/>
    </row>
    <row r="263" spans="1:10" ht="26.25" customHeight="1">
      <c r="A263" s="271" t="s">
        <v>27</v>
      </c>
      <c r="B263" s="232" t="s">
        <v>28</v>
      </c>
      <c r="C263" s="232" t="s">
        <v>29</v>
      </c>
      <c r="D263" s="232" t="s">
        <v>30</v>
      </c>
      <c r="E263" s="232" t="s">
        <v>31</v>
      </c>
      <c r="F263" s="232" t="s">
        <v>32</v>
      </c>
      <c r="G263" s="232" t="s">
        <v>33</v>
      </c>
      <c r="H263" s="232" t="s">
        <v>34</v>
      </c>
      <c r="I263" s="196" t="s">
        <v>22</v>
      </c>
    </row>
    <row r="264" spans="1:10">
      <c r="A264" s="94" t="s">
        <v>59</v>
      </c>
    </row>
    <row r="265" spans="1:10" ht="11.25" customHeight="1">
      <c r="A265" s="71" t="s">
        <v>24</v>
      </c>
      <c r="B265" s="24">
        <f t="shared" ref="B265:H265" si="28">AVERAGE(B9:B13)</f>
        <v>80.2</v>
      </c>
      <c r="C265" s="24">
        <f t="shared" si="28"/>
        <v>556.5</v>
      </c>
      <c r="D265" s="24">
        <f t="shared" si="28"/>
        <v>978.75</v>
      </c>
      <c r="E265" s="24">
        <f t="shared" si="28"/>
        <v>9338</v>
      </c>
      <c r="F265" s="24">
        <f t="shared" si="28"/>
        <v>13390.6</v>
      </c>
      <c r="G265" s="24">
        <f t="shared" si="28"/>
        <v>3382</v>
      </c>
      <c r="H265" s="24">
        <f t="shared" si="28"/>
        <v>126.33333333333333</v>
      </c>
      <c r="I265" s="24">
        <f>AVERAGE(I9:I13)</f>
        <v>27494.799999999999</v>
      </c>
      <c r="J265" s="17">
        <f>SUM(B265:G265)</f>
        <v>27726.050000000003</v>
      </c>
    </row>
    <row r="266" spans="1:10" ht="11.25" customHeight="1">
      <c r="A266" s="71" t="s">
        <v>264</v>
      </c>
      <c r="B266" s="24" t="s">
        <v>23</v>
      </c>
      <c r="C266" s="24">
        <f>AVERAGE(C14:C18)</f>
        <v>431</v>
      </c>
      <c r="D266" s="24">
        <f>AVERAGE(D14:D18)</f>
        <v>490.5</v>
      </c>
      <c r="E266" s="24">
        <f>AVERAGE(E14:E18)</f>
        <v>13953.4</v>
      </c>
      <c r="F266" s="24">
        <f>AVERAGE(F14:F18)</f>
        <v>7340.8</v>
      </c>
      <c r="G266" s="24">
        <f>AVERAGE(G14:G18)</f>
        <v>2193</v>
      </c>
      <c r="H266" s="24" t="s">
        <v>23</v>
      </c>
      <c r="I266" s="24">
        <f>AVERAGE(I14:I18)</f>
        <v>23174.799999999999</v>
      </c>
      <c r="J266" s="17">
        <f>SUM(B266:G266)</f>
        <v>24408.7</v>
      </c>
    </row>
    <row r="267" spans="1:10" ht="11.25" customHeight="1">
      <c r="A267" s="71" t="s">
        <v>263</v>
      </c>
      <c r="B267" s="24" t="s">
        <v>23</v>
      </c>
      <c r="C267" s="24">
        <f>AVERAGE(C19:C23)</f>
        <v>1258</v>
      </c>
      <c r="D267" s="24">
        <f>AVERAGE(D19:D23)</f>
        <v>4</v>
      </c>
      <c r="E267" s="24">
        <f>AVERAGE(E19:E23)</f>
        <v>12553.333333333334</v>
      </c>
      <c r="F267" s="24">
        <f>AVERAGE(F19:F23)</f>
        <v>9455.25</v>
      </c>
      <c r="G267" s="24">
        <f>AVERAGE(G19:G23)</f>
        <v>994</v>
      </c>
      <c r="H267" s="24" t="s">
        <v>23</v>
      </c>
      <c r="I267" s="24">
        <f>AVERAGE(I19:I23)</f>
        <v>20494.25</v>
      </c>
      <c r="J267" s="17">
        <f>SUM(B267:G267)</f>
        <v>24264.583333333336</v>
      </c>
    </row>
    <row r="268" spans="1:10" ht="11.25" customHeight="1">
      <c r="A268" s="71" t="s">
        <v>144</v>
      </c>
      <c r="B268" s="24" t="s">
        <v>23</v>
      </c>
      <c r="C268" s="24" t="s">
        <v>23</v>
      </c>
      <c r="D268" s="24" t="s">
        <v>23</v>
      </c>
      <c r="E268" s="24">
        <f>AVERAGE(E24:E28)</f>
        <v>3462.3333333333335</v>
      </c>
      <c r="F268" s="24">
        <f>AVERAGE(F24:F28)</f>
        <v>5345.4</v>
      </c>
      <c r="G268" s="24">
        <f>AVERAGE(G24:G28)</f>
        <v>1097.75</v>
      </c>
      <c r="H268" s="24" t="s">
        <v>23</v>
      </c>
      <c r="I268" s="24">
        <f>AVERAGE(I24:I28)</f>
        <v>8301</v>
      </c>
    </row>
    <row r="269" spans="1:10" ht="11.25" customHeight="1">
      <c r="A269" s="71" t="s">
        <v>166</v>
      </c>
      <c r="B269" s="24" t="str">
        <f>B29</f>
        <v>-</v>
      </c>
      <c r="C269" s="24">
        <f>AVERAGE(C29:C33)</f>
        <v>576</v>
      </c>
      <c r="D269" s="24">
        <f>AVERAGE(D29:D33)</f>
        <v>1446.6666666666667</v>
      </c>
      <c r="E269" s="24">
        <f>AVERAGE(E29:E33)</f>
        <v>10062.948983101349</v>
      </c>
      <c r="F269" s="24">
        <f>AVERAGE(F29:F33)</f>
        <v>7081.3073628754046</v>
      </c>
      <c r="G269" s="24">
        <f>AVERAGE(G29:G33)</f>
        <v>1198.8390199878563</v>
      </c>
      <c r="H269" s="24" t="str">
        <f>H29</f>
        <v>-</v>
      </c>
      <c r="I269" s="24">
        <f>AVERAGE(I29:I33)</f>
        <v>19326.295365964608</v>
      </c>
    </row>
    <row r="270" spans="1:10" ht="11.25" customHeight="1">
      <c r="A270" s="71" t="s">
        <v>315</v>
      </c>
      <c r="B270" s="24" t="str">
        <f>B34</f>
        <v>-</v>
      </c>
      <c r="C270" s="24" t="str">
        <f>C34</f>
        <v>-</v>
      </c>
      <c r="D270" s="24">
        <f>AVERAGE(D34:D38)</f>
        <v>869.2</v>
      </c>
      <c r="E270" s="24">
        <f t="shared" ref="E270:I270" si="29">AVERAGE(E34:E38)</f>
        <v>5631.42</v>
      </c>
      <c r="F270" s="24">
        <f t="shared" si="29"/>
        <v>5131.5880000000006</v>
      </c>
      <c r="G270" s="24">
        <f t="shared" si="29"/>
        <v>774.92800000000011</v>
      </c>
      <c r="H270" s="24" t="str">
        <f>H34</f>
        <v>-</v>
      </c>
      <c r="I270" s="24">
        <f t="shared" si="29"/>
        <v>12233.296</v>
      </c>
    </row>
    <row r="271" spans="1:10" ht="11.25" customHeight="1">
      <c r="A271" s="71">
        <v>2011</v>
      </c>
      <c r="B271" s="24" t="str">
        <f t="shared" ref="B271:H271" si="30">B39</f>
        <v>-</v>
      </c>
      <c r="C271" s="24" t="str">
        <f t="shared" si="30"/>
        <v>-</v>
      </c>
      <c r="D271" s="24">
        <f t="shared" si="30"/>
        <v>638.43000000000006</v>
      </c>
      <c r="E271" s="24">
        <f t="shared" si="30"/>
        <v>5500.32</v>
      </c>
      <c r="F271" s="24">
        <f t="shared" si="30"/>
        <v>4259.45</v>
      </c>
      <c r="G271" s="24">
        <f t="shared" si="30"/>
        <v>671.22</v>
      </c>
      <c r="H271" s="24" t="str">
        <f t="shared" si="30"/>
        <v>-</v>
      </c>
      <c r="I271" s="24">
        <f>I39</f>
        <v>11069.42</v>
      </c>
    </row>
    <row r="272" spans="1:10" ht="11.25" customHeight="1">
      <c r="A272" s="71">
        <v>2012</v>
      </c>
      <c r="B272" s="24" t="str">
        <f t="shared" ref="B272:I272" si="31">B40</f>
        <v>-</v>
      </c>
      <c r="C272" s="24" t="str">
        <f t="shared" si="31"/>
        <v>-</v>
      </c>
      <c r="D272" s="24">
        <f t="shared" si="31"/>
        <v>1204.44</v>
      </c>
      <c r="E272" s="24">
        <f t="shared" si="31"/>
        <v>7324.48</v>
      </c>
      <c r="F272" s="24">
        <f t="shared" si="31"/>
        <v>3641.32</v>
      </c>
      <c r="G272" s="24">
        <f t="shared" si="31"/>
        <v>1268.3599999999999</v>
      </c>
      <c r="H272" s="24" t="str">
        <f t="shared" si="31"/>
        <v>-</v>
      </c>
      <c r="I272" s="24">
        <f t="shared" si="31"/>
        <v>13438.6</v>
      </c>
    </row>
    <row r="273" spans="1:9" ht="11.25" customHeight="1">
      <c r="A273" s="71">
        <v>2013</v>
      </c>
      <c r="B273" s="24" t="str">
        <f t="shared" ref="B273:I273" si="32">B41</f>
        <v>-</v>
      </c>
      <c r="C273" s="24">
        <f t="shared" si="32"/>
        <v>814.98</v>
      </c>
      <c r="D273" s="24">
        <f t="shared" si="32"/>
        <v>1713.94</v>
      </c>
      <c r="E273" s="24">
        <f t="shared" si="32"/>
        <v>7398.92</v>
      </c>
      <c r="F273" s="24">
        <f t="shared" si="32"/>
        <v>5043.95</v>
      </c>
      <c r="G273" s="24">
        <f t="shared" si="32"/>
        <v>390.53</v>
      </c>
      <c r="H273" s="24" t="str">
        <f t="shared" si="32"/>
        <v>-</v>
      </c>
      <c r="I273" s="24">
        <f t="shared" si="32"/>
        <v>15362.320000000002</v>
      </c>
    </row>
    <row r="274" spans="1:9" ht="11.25" customHeight="1">
      <c r="A274" s="71">
        <v>2014</v>
      </c>
      <c r="B274" s="24" t="str">
        <f t="shared" ref="B274:I274" si="33">B42</f>
        <v>-</v>
      </c>
      <c r="C274" s="24">
        <f t="shared" si="33"/>
        <v>827.09</v>
      </c>
      <c r="D274" s="24">
        <f t="shared" si="33"/>
        <v>2334.31</v>
      </c>
      <c r="E274" s="24">
        <f t="shared" si="33"/>
        <v>8101.53</v>
      </c>
      <c r="F274" s="24">
        <f t="shared" si="33"/>
        <v>3547.48</v>
      </c>
      <c r="G274" s="24">
        <f t="shared" si="33"/>
        <v>1706.28</v>
      </c>
      <c r="H274" s="24" t="str">
        <f t="shared" si="33"/>
        <v>-</v>
      </c>
      <c r="I274" s="24">
        <f t="shared" si="33"/>
        <v>16516.689999999999</v>
      </c>
    </row>
    <row r="275" spans="1:9" ht="11.25" customHeight="1">
      <c r="A275" s="71">
        <v>2015</v>
      </c>
      <c r="B275" s="24" t="str">
        <f t="shared" ref="B275:I275" si="34">B43</f>
        <v>-</v>
      </c>
      <c r="C275" s="24">
        <f t="shared" si="34"/>
        <v>370.23</v>
      </c>
      <c r="D275" s="24">
        <f t="shared" si="34"/>
        <v>2370.8000000000002</v>
      </c>
      <c r="E275" s="24">
        <f t="shared" si="34"/>
        <v>8760.52</v>
      </c>
      <c r="F275" s="24">
        <f t="shared" si="34"/>
        <v>2345.36</v>
      </c>
      <c r="G275" s="24">
        <f t="shared" si="34"/>
        <v>918.56999999999994</v>
      </c>
      <c r="H275" s="24" t="str">
        <f t="shared" si="34"/>
        <v>-</v>
      </c>
      <c r="I275" s="24">
        <f t="shared" si="34"/>
        <v>14765.480000000001</v>
      </c>
    </row>
    <row r="276" spans="1:9" ht="11.25" customHeight="1">
      <c r="A276" s="71">
        <v>2016</v>
      </c>
      <c r="B276" s="24" t="str">
        <f t="shared" ref="B276:I276" si="35">B44</f>
        <v>-</v>
      </c>
      <c r="C276" s="24" t="str">
        <f t="shared" si="35"/>
        <v>-</v>
      </c>
      <c r="D276" s="24" t="str">
        <f t="shared" si="35"/>
        <v>-</v>
      </c>
      <c r="E276" s="24">
        <f t="shared" si="35"/>
        <v>7503.69</v>
      </c>
      <c r="F276" s="24">
        <f t="shared" si="35"/>
        <v>751.07</v>
      </c>
      <c r="G276" s="24" t="str">
        <f t="shared" si="35"/>
        <v>-</v>
      </c>
      <c r="H276" s="24" t="str">
        <f t="shared" si="35"/>
        <v>-</v>
      </c>
      <c r="I276" s="24">
        <f t="shared" si="35"/>
        <v>8254.76</v>
      </c>
    </row>
    <row r="277" spans="1:9" ht="11.25" customHeight="1">
      <c r="A277" s="99">
        <v>2017</v>
      </c>
      <c r="B277" s="24" t="str">
        <f t="shared" ref="B277:I277" si="36">B45</f>
        <v>-</v>
      </c>
      <c r="C277" s="24" t="str">
        <f t="shared" si="36"/>
        <v>-</v>
      </c>
      <c r="D277" s="24">
        <f t="shared" si="36"/>
        <v>385.86</v>
      </c>
      <c r="E277" s="24">
        <f t="shared" si="36"/>
        <v>7874.17</v>
      </c>
      <c r="F277" s="24">
        <f t="shared" si="36"/>
        <v>2037</v>
      </c>
      <c r="G277" s="24">
        <f t="shared" si="36"/>
        <v>493.65</v>
      </c>
      <c r="H277" s="24" t="str">
        <f t="shared" si="36"/>
        <v>-</v>
      </c>
      <c r="I277" s="24">
        <f t="shared" si="36"/>
        <v>10790.68</v>
      </c>
    </row>
    <row r="278" spans="1:9" ht="11.25" customHeight="1">
      <c r="A278" s="99">
        <v>2018</v>
      </c>
      <c r="B278" s="24" t="str">
        <f t="shared" ref="B278:I278" si="37">B46</f>
        <v>-</v>
      </c>
      <c r="C278" s="24" t="str">
        <f t="shared" si="37"/>
        <v>-</v>
      </c>
      <c r="D278" s="24">
        <f t="shared" si="37"/>
        <v>1169.17</v>
      </c>
      <c r="E278" s="24">
        <f t="shared" si="37"/>
        <v>5989.08</v>
      </c>
      <c r="F278" s="24">
        <f t="shared" si="37"/>
        <v>1499.01</v>
      </c>
      <c r="G278" s="24">
        <f t="shared" si="37"/>
        <v>0</v>
      </c>
      <c r="H278" s="24" t="str">
        <f t="shared" si="37"/>
        <v>-</v>
      </c>
      <c r="I278" s="24">
        <f t="shared" si="37"/>
        <v>8657.26</v>
      </c>
    </row>
    <row r="279" spans="1:9" ht="11.25" customHeight="1">
      <c r="A279" s="99">
        <v>2019</v>
      </c>
      <c r="B279" s="24" t="str">
        <f t="shared" ref="B279:I279" si="38">B47</f>
        <v>-</v>
      </c>
      <c r="C279" s="24" t="str">
        <f t="shared" si="38"/>
        <v>-</v>
      </c>
      <c r="D279" s="24">
        <f t="shared" si="38"/>
        <v>2526.71</v>
      </c>
      <c r="E279" s="24">
        <f t="shared" si="38"/>
        <v>5150.1400000000003</v>
      </c>
      <c r="F279" s="24">
        <f t="shared" si="38"/>
        <v>1986.97</v>
      </c>
      <c r="G279" s="24">
        <f t="shared" si="38"/>
        <v>400.36</v>
      </c>
      <c r="H279" s="24" t="str">
        <f t="shared" si="38"/>
        <v>-</v>
      </c>
      <c r="I279" s="24">
        <f t="shared" si="38"/>
        <v>10064.18</v>
      </c>
    </row>
    <row r="280" spans="1:9" ht="11.25" customHeight="1">
      <c r="A280" s="99" t="s">
        <v>310</v>
      </c>
      <c r="B280" s="24" t="str">
        <f t="shared" ref="B280:I281" si="39">B48</f>
        <v>-</v>
      </c>
      <c r="C280" s="24" t="str">
        <f t="shared" si="39"/>
        <v>-</v>
      </c>
      <c r="D280" s="24">
        <f t="shared" si="39"/>
        <v>1322.47</v>
      </c>
      <c r="E280" s="24">
        <f t="shared" si="39"/>
        <v>4700.04</v>
      </c>
      <c r="F280" s="24">
        <f t="shared" si="39"/>
        <v>767.93</v>
      </c>
      <c r="G280" s="24" t="str">
        <f t="shared" si="39"/>
        <v>-</v>
      </c>
      <c r="H280" s="24" t="str">
        <f t="shared" si="39"/>
        <v>-</v>
      </c>
      <c r="I280" s="24">
        <f t="shared" si="39"/>
        <v>6790.4400000000005</v>
      </c>
    </row>
    <row r="281" spans="1:9" ht="11.25" customHeight="1">
      <c r="A281" s="99" t="s">
        <v>320</v>
      </c>
      <c r="B281" s="24" t="str">
        <f t="shared" si="39"/>
        <v>-</v>
      </c>
      <c r="C281" s="24" t="str">
        <f t="shared" si="39"/>
        <v>-</v>
      </c>
      <c r="D281" s="24">
        <f t="shared" si="39"/>
        <v>1939.44</v>
      </c>
      <c r="E281" s="24">
        <f t="shared" si="39"/>
        <v>6668.16</v>
      </c>
      <c r="F281" s="24">
        <f t="shared" si="39"/>
        <v>1774.79</v>
      </c>
      <c r="G281" s="24">
        <f t="shared" si="39"/>
        <v>516.35</v>
      </c>
      <c r="H281" s="24" t="str">
        <f t="shared" si="39"/>
        <v>-</v>
      </c>
      <c r="I281" s="24">
        <f t="shared" si="39"/>
        <v>10898.74</v>
      </c>
    </row>
    <row r="282" spans="1:9" ht="6.5" customHeight="1"/>
    <row r="283" spans="1:9">
      <c r="A283" s="94" t="s">
        <v>60</v>
      </c>
    </row>
    <row r="284" spans="1:9" ht="11.25" customHeight="1">
      <c r="A284" s="71" t="s">
        <v>24</v>
      </c>
      <c r="B284" s="24" t="s">
        <v>23</v>
      </c>
      <c r="C284" s="24">
        <f>AVERAGE(C57:C61)</f>
        <v>0</v>
      </c>
      <c r="D284" s="24">
        <f>AVERAGE(D57:D61)</f>
        <v>77</v>
      </c>
      <c r="E284" s="24">
        <f>AVERAGE(E57:E61)</f>
        <v>1119</v>
      </c>
      <c r="F284" s="24">
        <f>AVERAGE(F57:F61)</f>
        <v>2074.8000000000002</v>
      </c>
      <c r="G284" s="24">
        <f>AVERAGE(G57:G61)</f>
        <v>230.5</v>
      </c>
      <c r="H284" s="24">
        <f>+H77</f>
        <v>239</v>
      </c>
      <c r="I284" s="24">
        <f>AVERAGE(I57:I61)</f>
        <v>3332.2</v>
      </c>
    </row>
    <row r="285" spans="1:9" ht="11.25" customHeight="1">
      <c r="A285" s="71" t="s">
        <v>78</v>
      </c>
      <c r="B285" s="24" t="s">
        <v>23</v>
      </c>
      <c r="C285" s="24">
        <f>AVERAGE(C62:C66)</f>
        <v>66</v>
      </c>
      <c r="D285" s="24">
        <f>AVERAGE(D62:D66)</f>
        <v>60.333333333333336</v>
      </c>
      <c r="E285" s="24">
        <f>AVERAGE(E62:E66)</f>
        <v>1767.6</v>
      </c>
      <c r="F285" s="24">
        <f>AVERAGE(F62:F66)</f>
        <v>749</v>
      </c>
      <c r="G285" s="24">
        <f>AVERAGE(G62:G66)</f>
        <v>153.5</v>
      </c>
      <c r="H285" s="24">
        <f>+H78</f>
        <v>113</v>
      </c>
      <c r="I285" s="24">
        <f>AVERAGE(I62:I66)</f>
        <v>2477.6</v>
      </c>
    </row>
    <row r="286" spans="1:9" ht="11.25" customHeight="1">
      <c r="A286" s="71" t="s">
        <v>10</v>
      </c>
      <c r="B286" s="24" t="s">
        <v>23</v>
      </c>
      <c r="C286" s="24" t="s">
        <v>23</v>
      </c>
      <c r="D286" s="24" t="s">
        <v>23</v>
      </c>
      <c r="E286" s="24">
        <f>AVERAGE(E67:E71)</f>
        <v>2236</v>
      </c>
      <c r="F286" s="24">
        <f>AVERAGE(F67:F71)</f>
        <v>548</v>
      </c>
      <c r="G286" s="24">
        <f>AVERAGE(G67:G71)</f>
        <v>479.66666666666669</v>
      </c>
      <c r="H286" s="24">
        <f>AVERAGE(H67:H71)</f>
        <v>8</v>
      </c>
      <c r="I286" s="24">
        <f>AVERAGE(I67:I71)</f>
        <v>2586.75</v>
      </c>
    </row>
    <row r="287" spans="1:9" ht="11.25" customHeight="1">
      <c r="A287" s="71" t="s">
        <v>144</v>
      </c>
      <c r="B287" s="24" t="s">
        <v>23</v>
      </c>
      <c r="C287" s="24" t="s">
        <v>23</v>
      </c>
      <c r="D287" s="24" t="s">
        <v>23</v>
      </c>
      <c r="E287" s="24">
        <f>AVERAGE(E72:E76)</f>
        <v>1060</v>
      </c>
      <c r="F287" s="24">
        <f>AVERAGE(F72:F76)</f>
        <v>666.2</v>
      </c>
      <c r="G287" s="24">
        <f>AVERAGE(G72:G76)</f>
        <v>587.5</v>
      </c>
      <c r="H287" s="24" t="s">
        <v>23</v>
      </c>
      <c r="I287" s="24">
        <f>AVERAGE(I72:I76)</f>
        <v>1537.2</v>
      </c>
    </row>
    <row r="288" spans="1:9" ht="11.25" customHeight="1">
      <c r="A288" s="71" t="s">
        <v>166</v>
      </c>
      <c r="B288" s="24" t="str">
        <f>+B77</f>
        <v>-</v>
      </c>
      <c r="C288" s="24">
        <f t="shared" ref="C288:I288" si="40">AVERAGE(C77:C81)</f>
        <v>59</v>
      </c>
      <c r="D288" s="24">
        <f t="shared" si="40"/>
        <v>199.33333333333334</v>
      </c>
      <c r="E288" s="24">
        <f t="shared" si="40"/>
        <v>1710.8</v>
      </c>
      <c r="F288" s="24">
        <f t="shared" si="40"/>
        <v>1485.6</v>
      </c>
      <c r="G288" s="24">
        <f t="shared" si="40"/>
        <v>678.2</v>
      </c>
      <c r="H288" s="24">
        <f t="shared" si="40"/>
        <v>132</v>
      </c>
      <c r="I288" s="24">
        <f t="shared" si="40"/>
        <v>4138</v>
      </c>
    </row>
    <row r="289" spans="1:9" ht="11.25" customHeight="1">
      <c r="A289" s="71" t="s">
        <v>315</v>
      </c>
      <c r="B289" s="24" t="str">
        <f>B82</f>
        <v>-</v>
      </c>
      <c r="C289" s="24" t="str">
        <f>C82</f>
        <v>-</v>
      </c>
      <c r="D289" s="24">
        <f>AVERAGE(D82:D86)</f>
        <v>236.44499999999999</v>
      </c>
      <c r="E289" s="24">
        <f t="shared" ref="E289:I289" si="41">AVERAGE(E82:E86)</f>
        <v>970.91800000000001</v>
      </c>
      <c r="F289" s="24">
        <f t="shared" si="41"/>
        <v>1786.0239999999999</v>
      </c>
      <c r="G289" s="24">
        <f t="shared" si="41"/>
        <v>600.34799999999996</v>
      </c>
      <c r="H289" s="24">
        <f t="shared" si="41"/>
        <v>132.44800000000001</v>
      </c>
      <c r="I289" s="24">
        <f t="shared" si="41"/>
        <v>3678.8939999999993</v>
      </c>
    </row>
    <row r="290" spans="1:9" ht="11.25" customHeight="1">
      <c r="A290" s="71">
        <v>2011</v>
      </c>
      <c r="B290" s="24" t="str">
        <f t="shared" ref="B290:H290" si="42">+B87</f>
        <v>-</v>
      </c>
      <c r="C290" s="24" t="str">
        <f t="shared" si="42"/>
        <v>-</v>
      </c>
      <c r="D290" s="24">
        <f t="shared" si="42"/>
        <v>193.5</v>
      </c>
      <c r="E290" s="24">
        <f t="shared" si="42"/>
        <v>1406.3</v>
      </c>
      <c r="F290" s="24">
        <f t="shared" si="42"/>
        <v>1945.76</v>
      </c>
      <c r="G290" s="24">
        <f t="shared" si="42"/>
        <v>675.82</v>
      </c>
      <c r="H290" s="24">
        <f t="shared" si="42"/>
        <v>16.05</v>
      </c>
      <c r="I290" s="24">
        <f>+I87</f>
        <v>4237.43</v>
      </c>
    </row>
    <row r="291" spans="1:9" ht="11.25" customHeight="1">
      <c r="A291" s="71">
        <v>2012</v>
      </c>
      <c r="B291" s="24" t="str">
        <f t="shared" ref="B291:I291" si="43">+B88</f>
        <v>-</v>
      </c>
      <c r="C291" s="24" t="str">
        <f t="shared" si="43"/>
        <v>-</v>
      </c>
      <c r="D291" s="24">
        <f t="shared" si="43"/>
        <v>235.73</v>
      </c>
      <c r="E291" s="24">
        <f t="shared" si="43"/>
        <v>1189.72</v>
      </c>
      <c r="F291" s="24">
        <f t="shared" si="43"/>
        <v>1379.4</v>
      </c>
      <c r="G291" s="24">
        <f t="shared" si="43"/>
        <v>767.68</v>
      </c>
      <c r="H291" s="24">
        <f t="shared" si="43"/>
        <v>353.11</v>
      </c>
      <c r="I291" s="24">
        <f t="shared" si="43"/>
        <v>3925.6400000000003</v>
      </c>
    </row>
    <row r="292" spans="1:9" ht="11.25" customHeight="1">
      <c r="A292" s="71">
        <v>2013</v>
      </c>
      <c r="B292" s="24" t="str">
        <f t="shared" ref="B292:I292" si="44">+B89</f>
        <v>-</v>
      </c>
      <c r="C292" s="24">
        <f t="shared" si="44"/>
        <v>135.88</v>
      </c>
      <c r="D292" s="24">
        <f t="shared" si="44"/>
        <v>239.16</v>
      </c>
      <c r="E292" s="24">
        <f t="shared" si="44"/>
        <v>970.73</v>
      </c>
      <c r="F292" s="24">
        <f t="shared" si="44"/>
        <v>2263.3000000000002</v>
      </c>
      <c r="G292" s="24">
        <f t="shared" si="44"/>
        <v>419.6</v>
      </c>
      <c r="H292" s="24">
        <f t="shared" si="44"/>
        <v>237.41</v>
      </c>
      <c r="I292" s="24">
        <f t="shared" si="44"/>
        <v>4266.08</v>
      </c>
    </row>
    <row r="293" spans="1:9" ht="11.25" customHeight="1">
      <c r="A293" s="71">
        <v>2014</v>
      </c>
      <c r="B293" s="24" t="str">
        <f t="shared" ref="B293:I293" si="45">+B90</f>
        <v>-</v>
      </c>
      <c r="C293" s="24">
        <f t="shared" si="45"/>
        <v>35.909999999999997</v>
      </c>
      <c r="D293" s="24">
        <f t="shared" si="45"/>
        <v>351.96</v>
      </c>
      <c r="E293" s="24">
        <f t="shared" si="45"/>
        <v>1421.59</v>
      </c>
      <c r="F293" s="24">
        <f t="shared" si="45"/>
        <v>2006.75</v>
      </c>
      <c r="G293" s="24">
        <f t="shared" si="45"/>
        <v>882.89</v>
      </c>
      <c r="H293" s="24">
        <f t="shared" si="45"/>
        <v>364.82</v>
      </c>
      <c r="I293" s="24">
        <f t="shared" si="45"/>
        <v>5063.92</v>
      </c>
    </row>
    <row r="294" spans="1:9" ht="11.25" customHeight="1">
      <c r="A294" s="71">
        <v>2015</v>
      </c>
      <c r="B294" s="24" t="str">
        <f t="shared" ref="B294:I294" si="46">+B91</f>
        <v>-</v>
      </c>
      <c r="C294" s="24">
        <f t="shared" si="46"/>
        <v>89.81</v>
      </c>
      <c r="D294" s="24">
        <f t="shared" si="46"/>
        <v>247.25</v>
      </c>
      <c r="E294" s="24">
        <f t="shared" si="46"/>
        <v>1389.02</v>
      </c>
      <c r="F294" s="24">
        <f t="shared" si="46"/>
        <v>1058.25</v>
      </c>
      <c r="G294" s="24">
        <f t="shared" si="46"/>
        <v>419.76</v>
      </c>
      <c r="H294" s="24">
        <f t="shared" si="46"/>
        <v>300.16000000000003</v>
      </c>
      <c r="I294" s="24">
        <f t="shared" si="46"/>
        <v>3504.25</v>
      </c>
    </row>
    <row r="295" spans="1:9" ht="11.25" customHeight="1">
      <c r="A295" s="71">
        <v>2016</v>
      </c>
      <c r="B295" s="24" t="str">
        <f t="shared" ref="B295:I295" si="47">+B92</f>
        <v>-</v>
      </c>
      <c r="C295" s="24" t="str">
        <f t="shared" si="47"/>
        <v>-</v>
      </c>
      <c r="D295" s="24" t="str">
        <f t="shared" si="47"/>
        <v>-</v>
      </c>
      <c r="E295" s="24">
        <f t="shared" si="47"/>
        <v>701.78</v>
      </c>
      <c r="F295" s="24">
        <f t="shared" si="47"/>
        <v>387.06</v>
      </c>
      <c r="G295" s="24" t="str">
        <f t="shared" si="47"/>
        <v>-</v>
      </c>
      <c r="H295" s="24" t="str">
        <f t="shared" si="47"/>
        <v>-</v>
      </c>
      <c r="I295" s="24">
        <f t="shared" si="47"/>
        <v>1088.8399999999999</v>
      </c>
    </row>
    <row r="296" spans="1:9" ht="11.25" customHeight="1">
      <c r="A296" s="99">
        <v>2017</v>
      </c>
      <c r="B296" s="24" t="str">
        <f t="shared" ref="B296:I296" si="48">+B93</f>
        <v>-</v>
      </c>
      <c r="C296" s="24" t="str">
        <f t="shared" si="48"/>
        <v>-</v>
      </c>
      <c r="D296" s="24">
        <f t="shared" si="48"/>
        <v>82.3</v>
      </c>
      <c r="E296" s="24">
        <f t="shared" si="48"/>
        <v>465.42</v>
      </c>
      <c r="F296" s="24">
        <f t="shared" si="48"/>
        <v>1004.77</v>
      </c>
      <c r="G296" s="24">
        <f t="shared" si="48"/>
        <v>348.11</v>
      </c>
      <c r="H296" s="24" t="str">
        <f t="shared" si="48"/>
        <v>-</v>
      </c>
      <c r="I296" s="24">
        <f t="shared" si="48"/>
        <v>1900.6</v>
      </c>
    </row>
    <row r="297" spans="1:9" ht="11.25" customHeight="1">
      <c r="A297" s="99">
        <v>2018</v>
      </c>
      <c r="B297" s="24" t="str">
        <f t="shared" ref="B297:I297" si="49">+B94</f>
        <v>-</v>
      </c>
      <c r="C297" s="24" t="str">
        <f t="shared" si="49"/>
        <v>-</v>
      </c>
      <c r="D297" s="24">
        <f t="shared" si="49"/>
        <v>79.83</v>
      </c>
      <c r="E297" s="24">
        <f t="shared" si="49"/>
        <v>399.74</v>
      </c>
      <c r="F297" s="24">
        <f t="shared" si="49"/>
        <v>1407.96</v>
      </c>
      <c r="G297" s="24">
        <f t="shared" si="49"/>
        <v>20</v>
      </c>
      <c r="H297" s="24" t="str">
        <f t="shared" si="49"/>
        <v>-</v>
      </c>
      <c r="I297" s="24">
        <f t="shared" si="49"/>
        <v>1907.53</v>
      </c>
    </row>
    <row r="298" spans="1:9" ht="11.25" customHeight="1">
      <c r="A298" s="99">
        <v>2019</v>
      </c>
      <c r="B298" s="24" t="str">
        <f t="shared" ref="B298:I298" si="50">+B95</f>
        <v>-</v>
      </c>
      <c r="C298" s="24" t="str">
        <f t="shared" si="50"/>
        <v>-</v>
      </c>
      <c r="D298" s="24">
        <f t="shared" si="50"/>
        <v>123.52</v>
      </c>
      <c r="E298" s="24">
        <f t="shared" si="50"/>
        <v>529.84</v>
      </c>
      <c r="F298" s="24">
        <f t="shared" si="50"/>
        <v>1114.17</v>
      </c>
      <c r="G298" s="24">
        <f t="shared" si="50"/>
        <v>293.72000000000003</v>
      </c>
      <c r="H298" s="24">
        <f t="shared" si="50"/>
        <v>239.57</v>
      </c>
      <c r="I298" s="24">
        <f t="shared" si="50"/>
        <v>2300.8200000000002</v>
      </c>
    </row>
    <row r="299" spans="1:9" ht="11.25" customHeight="1">
      <c r="A299" s="99" t="s">
        <v>310</v>
      </c>
      <c r="B299" s="24" t="str">
        <f t="shared" ref="B299:I300" si="51">+B96</f>
        <v>-</v>
      </c>
      <c r="C299" s="24" t="str">
        <f t="shared" si="51"/>
        <v>-</v>
      </c>
      <c r="D299" s="24">
        <f t="shared" si="51"/>
        <v>0</v>
      </c>
      <c r="E299" s="24">
        <f t="shared" si="51"/>
        <v>16.649999999999999</v>
      </c>
      <c r="F299" s="24">
        <f t="shared" si="51"/>
        <v>145.68</v>
      </c>
      <c r="G299" s="24">
        <f t="shared" si="51"/>
        <v>62.94</v>
      </c>
      <c r="H299" s="24" t="str">
        <f t="shared" si="51"/>
        <v>-</v>
      </c>
      <c r="I299" s="24">
        <f t="shared" si="51"/>
        <v>225.27</v>
      </c>
    </row>
    <row r="300" spans="1:9" ht="11.25" customHeight="1">
      <c r="A300" s="99" t="s">
        <v>320</v>
      </c>
      <c r="B300" s="24" t="str">
        <f t="shared" si="51"/>
        <v>-</v>
      </c>
      <c r="C300" s="24" t="str">
        <f t="shared" si="51"/>
        <v>-</v>
      </c>
      <c r="D300" s="24">
        <f t="shared" si="51"/>
        <v>0</v>
      </c>
      <c r="E300" s="24">
        <f t="shared" si="51"/>
        <v>538.98</v>
      </c>
      <c r="F300" s="24">
        <f t="shared" si="51"/>
        <v>796.9</v>
      </c>
      <c r="G300" s="24">
        <f t="shared" si="51"/>
        <v>265.05</v>
      </c>
      <c r="H300" s="24" t="str">
        <f t="shared" si="51"/>
        <v>-</v>
      </c>
      <c r="I300" s="24">
        <f t="shared" si="51"/>
        <v>1600.93</v>
      </c>
    </row>
    <row r="301" spans="1:9" ht="11.25" customHeight="1"/>
    <row r="302" spans="1:9">
      <c r="A302" s="282" t="s">
        <v>322</v>
      </c>
      <c r="B302" s="282"/>
      <c r="C302" s="282"/>
      <c r="D302" s="282"/>
      <c r="E302" s="282"/>
      <c r="F302" s="282"/>
      <c r="G302" s="282"/>
      <c r="H302" s="282"/>
      <c r="I302" s="282"/>
    </row>
    <row r="303" spans="1:9" ht="24">
      <c r="A303" s="271" t="s">
        <v>27</v>
      </c>
      <c r="B303" s="232" t="s">
        <v>28</v>
      </c>
      <c r="C303" s="232" t="s">
        <v>29</v>
      </c>
      <c r="D303" s="232" t="s">
        <v>30</v>
      </c>
      <c r="E303" s="232" t="s">
        <v>31</v>
      </c>
      <c r="F303" s="232" t="s">
        <v>32</v>
      </c>
      <c r="G303" s="232" t="s">
        <v>33</v>
      </c>
      <c r="H303" s="232" t="s">
        <v>34</v>
      </c>
      <c r="I303" s="196" t="s">
        <v>22</v>
      </c>
    </row>
    <row r="304" spans="1:9" ht="6.5" customHeight="1"/>
    <row r="305" spans="1:9">
      <c r="A305" s="94" t="s">
        <v>58</v>
      </c>
    </row>
    <row r="306" spans="1:9" ht="11.25" customHeight="1">
      <c r="A306" s="71" t="s">
        <v>24</v>
      </c>
      <c r="B306" s="24" t="s">
        <v>23</v>
      </c>
      <c r="C306" s="24">
        <f t="shared" ref="C306:H306" si="52">AVERAGE(C105:C109)</f>
        <v>3606.75</v>
      </c>
      <c r="D306" s="24">
        <f t="shared" si="52"/>
        <v>20142.25</v>
      </c>
      <c r="E306" s="24">
        <f t="shared" si="52"/>
        <v>34171.599999999999</v>
      </c>
      <c r="F306" s="24">
        <f t="shared" si="52"/>
        <v>23472.2</v>
      </c>
      <c r="G306" s="24">
        <f t="shared" si="52"/>
        <v>2601.5</v>
      </c>
      <c r="H306" s="24">
        <f t="shared" si="52"/>
        <v>208</v>
      </c>
      <c r="I306" s="24">
        <f>AVERAGE(I105:I109)</f>
        <v>78765.8</v>
      </c>
    </row>
    <row r="307" spans="1:9" ht="11.25" customHeight="1">
      <c r="A307" s="71" t="s">
        <v>78</v>
      </c>
      <c r="B307" s="24" t="s">
        <v>23</v>
      </c>
      <c r="C307" s="24">
        <f t="shared" ref="C307:H307" si="53">AVERAGE(C110:C114)</f>
        <v>1451</v>
      </c>
      <c r="D307" s="24">
        <f t="shared" si="53"/>
        <v>3663</v>
      </c>
      <c r="E307" s="24">
        <f t="shared" si="53"/>
        <v>30255.599999999999</v>
      </c>
      <c r="F307" s="24">
        <f t="shared" si="53"/>
        <v>15991.4</v>
      </c>
      <c r="G307" s="24">
        <f t="shared" si="53"/>
        <v>5000</v>
      </c>
      <c r="H307" s="24">
        <f t="shared" si="53"/>
        <v>40</v>
      </c>
      <c r="I307" s="24">
        <f>AVERAGE(I110:I114)</f>
        <v>52491.6</v>
      </c>
    </row>
    <row r="308" spans="1:9" ht="11.25" customHeight="1">
      <c r="A308" s="71" t="s">
        <v>10</v>
      </c>
      <c r="B308" s="24" t="s">
        <v>23</v>
      </c>
      <c r="C308" s="24" t="s">
        <v>23</v>
      </c>
      <c r="D308" s="24">
        <f t="shared" ref="D308:I308" si="54">AVERAGE(D115:D119)</f>
        <v>4955</v>
      </c>
      <c r="E308" s="24">
        <f t="shared" si="54"/>
        <v>20127</v>
      </c>
      <c r="F308" s="24">
        <f t="shared" si="54"/>
        <v>15146</v>
      </c>
      <c r="G308" s="24">
        <f t="shared" si="54"/>
        <v>8071.5</v>
      </c>
      <c r="H308" s="24">
        <f t="shared" si="54"/>
        <v>706</v>
      </c>
      <c r="I308" s="24">
        <f t="shared" si="54"/>
        <v>44759.75</v>
      </c>
    </row>
    <row r="309" spans="1:9" ht="11.25" customHeight="1">
      <c r="A309" s="71" t="s">
        <v>144</v>
      </c>
      <c r="B309" s="24" t="s">
        <v>23</v>
      </c>
      <c r="C309" s="24" t="s">
        <v>23</v>
      </c>
      <c r="D309" s="24" t="s">
        <v>23</v>
      </c>
      <c r="E309" s="24">
        <f>AVERAGE(E120:E124)</f>
        <v>7529</v>
      </c>
      <c r="F309" s="24">
        <f>AVERAGE(F120:F124)</f>
        <v>8354.2000000000007</v>
      </c>
      <c r="G309" s="24">
        <f>AVERAGE(G120:G124)</f>
        <v>1951</v>
      </c>
      <c r="H309" s="24" t="s">
        <v>23</v>
      </c>
      <c r="I309" s="24">
        <f>AVERAGE(I120:I124)</f>
        <v>15938.2</v>
      </c>
    </row>
    <row r="310" spans="1:9" ht="11.25" customHeight="1">
      <c r="A310" s="71" t="s">
        <v>166</v>
      </c>
      <c r="B310" s="24" t="str">
        <f>+B125</f>
        <v>-</v>
      </c>
      <c r="C310" s="24">
        <f>AVERAGE(C125:C129)</f>
        <v>1861</v>
      </c>
      <c r="D310" s="24">
        <f>AVERAGE(D125:D129)</f>
        <v>4425.25</v>
      </c>
      <c r="E310" s="24">
        <f>AVERAGE(E125:E129)</f>
        <v>18150</v>
      </c>
      <c r="F310" s="24">
        <f>AVERAGE(F125:F129)</f>
        <v>15486.8</v>
      </c>
      <c r="G310" s="24">
        <f>AVERAGE(G125:G129)</f>
        <v>6188.75</v>
      </c>
      <c r="H310" s="24" t="str">
        <f>+H125</f>
        <v>-</v>
      </c>
      <c r="I310" s="24">
        <f>AVERAGE(I125:I129)</f>
        <v>42500.2</v>
      </c>
    </row>
    <row r="311" spans="1:9" ht="11.25" customHeight="1">
      <c r="A311" s="71" t="s">
        <v>315</v>
      </c>
      <c r="B311" s="24" t="str">
        <f>B130</f>
        <v>-</v>
      </c>
      <c r="C311" s="24" t="str">
        <f>C130</f>
        <v>-</v>
      </c>
      <c r="D311" s="24">
        <f>AVERAGE(D130:D134)</f>
        <v>3753.0366666666669</v>
      </c>
      <c r="E311" s="24">
        <f t="shared" ref="E311:I311" si="55">AVERAGE(E130:E134)</f>
        <v>9768.7039999999997</v>
      </c>
      <c r="F311" s="24">
        <f t="shared" si="55"/>
        <v>13773.485999999999</v>
      </c>
      <c r="G311" s="24">
        <f t="shared" si="55"/>
        <v>3295.5</v>
      </c>
      <c r="H311" s="24" t="str">
        <f>H130</f>
        <v>-</v>
      </c>
      <c r="I311" s="24">
        <f t="shared" si="55"/>
        <v>29089.511999999999</v>
      </c>
    </row>
    <row r="312" spans="1:9" ht="11.25" customHeight="1">
      <c r="A312" s="71">
        <v>2011</v>
      </c>
      <c r="B312" s="24" t="str">
        <f t="shared" ref="B312:H312" si="56">+B135</f>
        <v>-</v>
      </c>
      <c r="C312" s="24" t="str">
        <f t="shared" si="56"/>
        <v>-</v>
      </c>
      <c r="D312" s="24">
        <f t="shared" si="56"/>
        <v>4704.8999999999996</v>
      </c>
      <c r="E312" s="24">
        <f t="shared" si="56"/>
        <v>10427.73</v>
      </c>
      <c r="F312" s="24">
        <f t="shared" si="56"/>
        <v>14973.04</v>
      </c>
      <c r="G312" s="24">
        <f t="shared" si="56"/>
        <v>3439.54</v>
      </c>
      <c r="H312" s="24" t="str">
        <f t="shared" si="56"/>
        <v>-</v>
      </c>
      <c r="I312" s="24">
        <f>+I135</f>
        <v>33545.21</v>
      </c>
    </row>
    <row r="313" spans="1:9" ht="11.25" customHeight="1">
      <c r="A313" s="71">
        <v>2012</v>
      </c>
      <c r="B313" s="24" t="str">
        <f t="shared" ref="B313:I313" si="57">+B136</f>
        <v>-</v>
      </c>
      <c r="C313" s="24" t="str">
        <f t="shared" si="57"/>
        <v>-</v>
      </c>
      <c r="D313" s="24">
        <f t="shared" si="57"/>
        <v>8187.05</v>
      </c>
      <c r="E313" s="24">
        <f t="shared" si="57"/>
        <v>8898.33</v>
      </c>
      <c r="F313" s="24">
        <f t="shared" si="57"/>
        <v>14147.32</v>
      </c>
      <c r="G313" s="24">
        <f t="shared" si="57"/>
        <v>6092.07</v>
      </c>
      <c r="H313" s="24" t="str">
        <f t="shared" si="57"/>
        <v>-</v>
      </c>
      <c r="I313" s="24">
        <f t="shared" si="57"/>
        <v>37324.770000000004</v>
      </c>
    </row>
    <row r="314" spans="1:9" ht="11.25" customHeight="1">
      <c r="A314" s="71">
        <v>2013</v>
      </c>
      <c r="B314" s="24" t="str">
        <f t="shared" ref="B314:I314" si="58">+B137</f>
        <v>-</v>
      </c>
      <c r="C314" s="24" t="str">
        <f t="shared" si="58"/>
        <v>-</v>
      </c>
      <c r="D314" s="24">
        <f t="shared" si="58"/>
        <v>7019.98</v>
      </c>
      <c r="E314" s="24">
        <f t="shared" si="58"/>
        <v>7640.77</v>
      </c>
      <c r="F314" s="24">
        <f t="shared" si="58"/>
        <v>16639.23</v>
      </c>
      <c r="G314" s="24">
        <f t="shared" si="58"/>
        <v>4589.41</v>
      </c>
      <c r="H314" s="24" t="str">
        <f t="shared" si="58"/>
        <v>-</v>
      </c>
      <c r="I314" s="24">
        <f t="shared" si="58"/>
        <v>35889.39</v>
      </c>
    </row>
    <row r="315" spans="1:9" ht="11.25" customHeight="1">
      <c r="A315" s="71">
        <v>2014</v>
      </c>
      <c r="B315" s="24" t="str">
        <f t="shared" ref="B315:I315" si="59">+B138</f>
        <v>-</v>
      </c>
      <c r="C315" s="24">
        <f t="shared" si="59"/>
        <v>779.56</v>
      </c>
      <c r="D315" s="24">
        <f t="shared" si="59"/>
        <v>7644.65</v>
      </c>
      <c r="E315" s="24">
        <f t="shared" si="59"/>
        <v>19005.55</v>
      </c>
      <c r="F315" s="24">
        <f t="shared" si="59"/>
        <v>18838.48</v>
      </c>
      <c r="G315" s="24">
        <f t="shared" si="59"/>
        <v>7500.28</v>
      </c>
      <c r="H315" s="24" t="str">
        <f t="shared" si="59"/>
        <v>-</v>
      </c>
      <c r="I315" s="24">
        <f t="shared" si="59"/>
        <v>53768.52</v>
      </c>
    </row>
    <row r="316" spans="1:9" ht="11.25" customHeight="1">
      <c r="A316" s="71">
        <v>2015</v>
      </c>
      <c r="B316" s="24" t="str">
        <f t="shared" ref="B316:I316" si="60">+B139</f>
        <v>-</v>
      </c>
      <c r="C316" s="24">
        <f t="shared" si="60"/>
        <v>980.88</v>
      </c>
      <c r="D316" s="24">
        <f t="shared" si="60"/>
        <v>6355.74</v>
      </c>
      <c r="E316" s="24">
        <f t="shared" si="60"/>
        <v>18629.23</v>
      </c>
      <c r="F316" s="24">
        <f t="shared" si="60"/>
        <v>12162.23</v>
      </c>
      <c r="G316" s="24">
        <f t="shared" si="60"/>
        <v>7327.39</v>
      </c>
      <c r="H316" s="24" t="str">
        <f t="shared" si="60"/>
        <v>-</v>
      </c>
      <c r="I316" s="24">
        <f t="shared" si="60"/>
        <v>45455.47</v>
      </c>
    </row>
    <row r="317" spans="1:9" ht="11.25" customHeight="1">
      <c r="A317" s="71">
        <v>2016</v>
      </c>
      <c r="B317" s="24" t="str">
        <f t="shared" ref="B317:I317" si="61">+B140</f>
        <v>-</v>
      </c>
      <c r="C317" s="24" t="str">
        <f t="shared" si="61"/>
        <v>-</v>
      </c>
      <c r="D317" s="24" t="str">
        <f t="shared" si="61"/>
        <v>-</v>
      </c>
      <c r="E317" s="24">
        <f t="shared" si="61"/>
        <v>9586.74</v>
      </c>
      <c r="F317" s="24">
        <f t="shared" si="61"/>
        <v>8252.7900000000009</v>
      </c>
      <c r="G317" s="24" t="str">
        <f t="shared" si="61"/>
        <v>-</v>
      </c>
      <c r="H317" s="24" t="str">
        <f t="shared" si="61"/>
        <v>-</v>
      </c>
      <c r="I317" s="24">
        <f t="shared" si="61"/>
        <v>17839.53</v>
      </c>
    </row>
    <row r="318" spans="1:9" ht="11.25" customHeight="1">
      <c r="A318" s="99">
        <v>2017</v>
      </c>
      <c r="B318" s="24" t="str">
        <f t="shared" ref="B318:I318" si="62">+B141</f>
        <v>-</v>
      </c>
      <c r="C318" s="24" t="str">
        <f t="shared" si="62"/>
        <v>-</v>
      </c>
      <c r="D318" s="24" t="str">
        <f t="shared" si="62"/>
        <v>-</v>
      </c>
      <c r="E318" s="24">
        <f t="shared" si="62"/>
        <v>13216.220000000001</v>
      </c>
      <c r="F318" s="24">
        <f t="shared" si="62"/>
        <v>12780.4</v>
      </c>
      <c r="G318" s="24" t="str">
        <f t="shared" si="62"/>
        <v>-</v>
      </c>
      <c r="H318" s="24" t="str">
        <f t="shared" si="62"/>
        <v>-</v>
      </c>
      <c r="I318" s="24">
        <f t="shared" si="62"/>
        <v>25996.620000000003</v>
      </c>
    </row>
    <row r="319" spans="1:9" ht="11.25" customHeight="1">
      <c r="A319" s="99">
        <v>2018</v>
      </c>
      <c r="B319" s="24" t="str">
        <f t="shared" ref="B319:I319" si="63">+B142</f>
        <v>-</v>
      </c>
      <c r="C319" s="24" t="str">
        <f t="shared" si="63"/>
        <v>-</v>
      </c>
      <c r="D319" s="24" t="str">
        <f t="shared" si="63"/>
        <v>-</v>
      </c>
      <c r="E319" s="24">
        <f t="shared" si="63"/>
        <v>8019.12</v>
      </c>
      <c r="F319" s="24">
        <f t="shared" si="63"/>
        <v>14109.73</v>
      </c>
      <c r="G319" s="24">
        <f t="shared" si="63"/>
        <v>390.35</v>
      </c>
      <c r="H319" s="24" t="str">
        <f t="shared" si="63"/>
        <v>-</v>
      </c>
      <c r="I319" s="24">
        <f t="shared" si="63"/>
        <v>22519.199999999997</v>
      </c>
    </row>
    <row r="320" spans="1:9" ht="11.25" customHeight="1">
      <c r="A320" s="99">
        <v>2019</v>
      </c>
      <c r="B320" s="24" t="str">
        <f t="shared" ref="B320:I320" si="64">+B143</f>
        <v>-</v>
      </c>
      <c r="C320" s="24" t="str">
        <f t="shared" si="64"/>
        <v>-</v>
      </c>
      <c r="D320" s="24">
        <f t="shared" si="64"/>
        <v>1604.25</v>
      </c>
      <c r="E320" s="24">
        <f t="shared" si="64"/>
        <v>9823.31</v>
      </c>
      <c r="F320" s="24">
        <f t="shared" si="64"/>
        <v>10177.58</v>
      </c>
      <c r="G320" s="24">
        <f t="shared" si="64"/>
        <v>1787.53</v>
      </c>
      <c r="H320" s="24" t="str">
        <f t="shared" si="64"/>
        <v>-</v>
      </c>
      <c r="I320" s="24">
        <f t="shared" si="64"/>
        <v>23392.67</v>
      </c>
    </row>
    <row r="321" spans="1:9" ht="11.25" customHeight="1">
      <c r="A321" s="99" t="s">
        <v>310</v>
      </c>
      <c r="B321" s="24" t="str">
        <f t="shared" ref="B321:I322" si="65">+B144</f>
        <v>-</v>
      </c>
      <c r="C321" s="24" t="str">
        <f t="shared" si="65"/>
        <v>-</v>
      </c>
      <c r="D321" s="24">
        <f t="shared" si="65"/>
        <v>676.47</v>
      </c>
      <c r="E321" s="24">
        <f t="shared" si="65"/>
        <v>7936.97</v>
      </c>
      <c r="F321" s="24">
        <f t="shared" si="65"/>
        <v>6205.16</v>
      </c>
      <c r="G321" s="24">
        <f t="shared" si="65"/>
        <v>3277.97</v>
      </c>
      <c r="H321" s="24" t="str">
        <f t="shared" si="65"/>
        <v>-</v>
      </c>
      <c r="I321" s="24">
        <f t="shared" si="65"/>
        <v>18096.57</v>
      </c>
    </row>
    <row r="322" spans="1:9" ht="11.25" customHeight="1">
      <c r="A322" s="99" t="s">
        <v>320</v>
      </c>
      <c r="B322" s="24" t="str">
        <f t="shared" si="65"/>
        <v>-</v>
      </c>
      <c r="C322" s="24" t="str">
        <f t="shared" si="65"/>
        <v>-</v>
      </c>
      <c r="D322" s="24">
        <f t="shared" si="65"/>
        <v>1752.22</v>
      </c>
      <c r="E322" s="24">
        <f t="shared" si="65"/>
        <v>9576.56</v>
      </c>
      <c r="F322" s="24">
        <f t="shared" si="65"/>
        <v>9598.81</v>
      </c>
      <c r="G322" s="24">
        <f t="shared" si="65"/>
        <v>3986.95</v>
      </c>
      <c r="H322" s="24" t="str">
        <f t="shared" si="65"/>
        <v>-</v>
      </c>
      <c r="I322" s="24">
        <f t="shared" si="65"/>
        <v>24914.539999999997</v>
      </c>
    </row>
    <row r="323" spans="1:9" ht="12" customHeight="1"/>
    <row r="324" spans="1:9" ht="12.75" customHeight="1">
      <c r="A324" s="94" t="s">
        <v>256</v>
      </c>
    </row>
    <row r="325" spans="1:9" ht="11.25" customHeight="1">
      <c r="A325" s="71" t="s">
        <v>24</v>
      </c>
      <c r="B325" s="24" t="s">
        <v>23</v>
      </c>
      <c r="C325" s="24">
        <f t="shared" ref="C325:H325" si="66">AVERAGE(C153:C157)</f>
        <v>921</v>
      </c>
      <c r="D325" s="24">
        <f t="shared" si="66"/>
        <v>7559.5</v>
      </c>
      <c r="E325" s="24">
        <f t="shared" si="66"/>
        <v>23248.6</v>
      </c>
      <c r="F325" s="24">
        <f t="shared" si="66"/>
        <v>21383.200000000001</v>
      </c>
      <c r="G325" s="24">
        <f t="shared" si="66"/>
        <v>3651.6666666666665</v>
      </c>
      <c r="H325" s="24">
        <f t="shared" si="66"/>
        <v>721</v>
      </c>
      <c r="I325" s="24">
        <f>AVERAGE(I153:I157)</f>
        <v>53751.4</v>
      </c>
    </row>
    <row r="326" spans="1:9" ht="11.25" customHeight="1">
      <c r="A326" s="71" t="s">
        <v>78</v>
      </c>
      <c r="B326" s="24" t="s">
        <v>23</v>
      </c>
      <c r="C326" s="24">
        <f>AVERAGE(C158:C162)</f>
        <v>298</v>
      </c>
      <c r="D326" s="24">
        <f>AVERAGE(D158:D162)</f>
        <v>1640.75</v>
      </c>
      <c r="E326" s="24">
        <f>AVERAGE(E158:E162)</f>
        <v>19733.400000000001</v>
      </c>
      <c r="F326" s="24">
        <f>AVERAGE(F158:F162)</f>
        <v>19450.2</v>
      </c>
      <c r="G326" s="24">
        <f>AVERAGE(G158:G162)</f>
        <v>1781.5</v>
      </c>
      <c r="H326" s="24" t="s">
        <v>23</v>
      </c>
      <c r="I326" s="24">
        <f>AVERAGE(I158:I162)</f>
        <v>41268.400000000001</v>
      </c>
    </row>
    <row r="327" spans="1:9" ht="11.25" customHeight="1">
      <c r="A327" s="71" t="s">
        <v>10</v>
      </c>
      <c r="B327" s="24" t="s">
        <v>23</v>
      </c>
      <c r="C327" s="24" t="s">
        <v>23</v>
      </c>
      <c r="D327" s="24">
        <f>AVERAGE(D163:D167)</f>
        <v>1660</v>
      </c>
      <c r="E327" s="24">
        <f>AVERAGE(E163:E167)</f>
        <v>17100.25</v>
      </c>
      <c r="F327" s="24">
        <f>AVERAGE(F163:F167)</f>
        <v>11765.75</v>
      </c>
      <c r="G327" s="24">
        <f>AVERAGE(G163:G167)</f>
        <v>7411.75</v>
      </c>
      <c r="H327" s="24" t="s">
        <v>23</v>
      </c>
      <c r="I327" s="24">
        <f>AVERAGE(I163:I167)</f>
        <v>37107.75</v>
      </c>
    </row>
    <row r="328" spans="1:9" ht="11.25" customHeight="1">
      <c r="A328" s="71" t="s">
        <v>144</v>
      </c>
      <c r="B328" s="24" t="s">
        <v>23</v>
      </c>
      <c r="C328" s="24" t="s">
        <v>23</v>
      </c>
      <c r="D328" s="24" t="s">
        <v>23</v>
      </c>
      <c r="E328" s="24">
        <f>AVERAGE(E168:E172)</f>
        <v>4774.5</v>
      </c>
      <c r="F328" s="24">
        <f>AVERAGE(F168:F172)</f>
        <v>7040.8</v>
      </c>
      <c r="G328" s="24">
        <f>AVERAGE(G168:G172)</f>
        <v>3037</v>
      </c>
      <c r="H328" s="24" t="s">
        <v>23</v>
      </c>
      <c r="I328" s="24">
        <f>AVERAGE(I168:I172)</f>
        <v>12682.6</v>
      </c>
    </row>
    <row r="329" spans="1:9" ht="11.25" customHeight="1">
      <c r="A329" s="71" t="s">
        <v>166</v>
      </c>
      <c r="B329" s="24" t="s">
        <v>23</v>
      </c>
      <c r="C329" s="24">
        <f>AVERAGE(C173:C177)</f>
        <v>215</v>
      </c>
      <c r="D329" s="24">
        <f>AVERAGE(D173:D177)</f>
        <v>780.66666666666663</v>
      </c>
      <c r="E329" s="24">
        <f>AVERAGE(E173:E177)</f>
        <v>12573.2</v>
      </c>
      <c r="F329" s="24">
        <f>AVERAGE(F173:F177)</f>
        <v>23124.799999999999</v>
      </c>
      <c r="G329" s="24">
        <f>AVERAGE(G173:G177)</f>
        <v>7773.2</v>
      </c>
      <c r="H329" s="24" t="s">
        <v>23</v>
      </c>
      <c r="I329" s="24">
        <f>AVERAGE(I173:I177)</f>
        <v>43982.6</v>
      </c>
    </row>
    <row r="330" spans="1:9" ht="11.25" customHeight="1">
      <c r="A330" s="71" t="s">
        <v>315</v>
      </c>
      <c r="B330" s="24" t="str">
        <f>B178</f>
        <v>-</v>
      </c>
      <c r="C330" s="24" t="str">
        <f>C178</f>
        <v>-</v>
      </c>
      <c r="D330" s="24">
        <f>AVERAGE(D178:D182)</f>
        <v>508.88333333333327</v>
      </c>
      <c r="E330" s="24">
        <f t="shared" ref="E330:I330" si="67">AVERAGE(E178:E182)</f>
        <v>7033.6100000000006</v>
      </c>
      <c r="F330" s="24">
        <f t="shared" si="67"/>
        <v>17716.525999999998</v>
      </c>
      <c r="G330" s="24">
        <f t="shared" si="67"/>
        <v>1946.21</v>
      </c>
      <c r="H330" s="24" t="str">
        <f>H178</f>
        <v>-</v>
      </c>
      <c r="I330" s="24">
        <f t="shared" si="67"/>
        <v>26612.433999999997</v>
      </c>
    </row>
    <row r="331" spans="1:9" ht="11.25" customHeight="1">
      <c r="A331" s="71">
        <v>2011</v>
      </c>
      <c r="B331" s="24" t="str">
        <f t="shared" ref="B331:H331" si="68">+B183</f>
        <v>-</v>
      </c>
      <c r="C331" s="24" t="str">
        <f t="shared" si="68"/>
        <v>-</v>
      </c>
      <c r="D331" s="24">
        <f t="shared" si="68"/>
        <v>673.74</v>
      </c>
      <c r="E331" s="24">
        <f t="shared" si="68"/>
        <v>5358.06</v>
      </c>
      <c r="F331" s="24">
        <f t="shared" si="68"/>
        <v>15126.68</v>
      </c>
      <c r="G331" s="24">
        <f t="shared" si="68"/>
        <v>3585.7</v>
      </c>
      <c r="H331" s="24" t="str">
        <f t="shared" si="68"/>
        <v>-</v>
      </c>
      <c r="I331" s="24">
        <f>+I183</f>
        <v>24744.18</v>
      </c>
    </row>
    <row r="332" spans="1:9" ht="11.25" customHeight="1">
      <c r="A332" s="71">
        <v>2012</v>
      </c>
      <c r="B332" s="24" t="str">
        <f t="shared" ref="B332:I332" si="69">+B184</f>
        <v>-</v>
      </c>
      <c r="C332" s="24" t="str">
        <f t="shared" si="69"/>
        <v>-</v>
      </c>
      <c r="D332" s="24">
        <f t="shared" si="69"/>
        <v>1964.24</v>
      </c>
      <c r="E332" s="24">
        <f t="shared" si="69"/>
        <v>5627.21</v>
      </c>
      <c r="F332" s="24">
        <f t="shared" si="69"/>
        <v>10154.34</v>
      </c>
      <c r="G332" s="24">
        <f t="shared" si="69"/>
        <v>5223.7700000000004</v>
      </c>
      <c r="H332" s="24" t="str">
        <f t="shared" si="69"/>
        <v>-</v>
      </c>
      <c r="I332" s="24">
        <f t="shared" si="69"/>
        <v>22969.56</v>
      </c>
    </row>
    <row r="333" spans="1:9" ht="11.25" customHeight="1">
      <c r="A333" s="71">
        <v>2013</v>
      </c>
      <c r="B333" s="24" t="str">
        <f t="shared" ref="B333:I333" si="70">+B185</f>
        <v>-</v>
      </c>
      <c r="C333" s="24" t="str">
        <f t="shared" si="70"/>
        <v>-</v>
      </c>
      <c r="D333" s="24">
        <f t="shared" si="70"/>
        <v>2842.8199999999997</v>
      </c>
      <c r="E333" s="24">
        <f t="shared" si="70"/>
        <v>4833.45</v>
      </c>
      <c r="F333" s="24">
        <f t="shared" si="70"/>
        <v>13381.33</v>
      </c>
      <c r="G333" s="24">
        <f t="shared" si="70"/>
        <v>3438.4</v>
      </c>
      <c r="H333" s="24" t="str">
        <f t="shared" si="70"/>
        <v>-</v>
      </c>
      <c r="I333" s="24">
        <f t="shared" si="70"/>
        <v>24496</v>
      </c>
    </row>
    <row r="334" spans="1:9" ht="11.25" customHeight="1">
      <c r="A334" s="71">
        <v>2014</v>
      </c>
      <c r="B334" s="24" t="str">
        <f t="shared" ref="B334:I334" si="71">+B186</f>
        <v>-</v>
      </c>
      <c r="C334" s="24">
        <f t="shared" si="71"/>
        <v>35.86</v>
      </c>
      <c r="D334" s="24">
        <f t="shared" si="71"/>
        <v>2574.9900000000002</v>
      </c>
      <c r="E334" s="24">
        <f t="shared" si="71"/>
        <v>11305.62</v>
      </c>
      <c r="F334" s="24">
        <f t="shared" si="71"/>
        <v>22617.119999999999</v>
      </c>
      <c r="G334" s="24">
        <f t="shared" si="71"/>
        <v>7734.6</v>
      </c>
      <c r="H334" s="24" t="str">
        <f t="shared" si="71"/>
        <v>-</v>
      </c>
      <c r="I334" s="24">
        <f t="shared" si="71"/>
        <v>44268.189999999995</v>
      </c>
    </row>
    <row r="335" spans="1:9" ht="11.25" customHeight="1">
      <c r="A335" s="71">
        <v>2015</v>
      </c>
      <c r="B335" s="24" t="str">
        <f t="shared" ref="B335:I335" si="72">+B187</f>
        <v>-</v>
      </c>
      <c r="C335" s="24">
        <f t="shared" si="72"/>
        <v>207.04</v>
      </c>
      <c r="D335" s="24">
        <f t="shared" si="72"/>
        <v>2346.5299999999997</v>
      </c>
      <c r="E335" s="24">
        <f t="shared" si="72"/>
        <v>8520.15</v>
      </c>
      <c r="F335" s="24">
        <f t="shared" si="72"/>
        <v>15496.98</v>
      </c>
      <c r="G335" s="24">
        <f t="shared" si="72"/>
        <v>6818.5599999999995</v>
      </c>
      <c r="H335" s="24" t="str">
        <f t="shared" si="72"/>
        <v>-</v>
      </c>
      <c r="I335" s="24">
        <f t="shared" si="72"/>
        <v>33389.259999999995</v>
      </c>
    </row>
    <row r="336" spans="1:9" ht="11.25" customHeight="1">
      <c r="A336" s="71">
        <v>2016</v>
      </c>
      <c r="B336" s="24" t="str">
        <f t="shared" ref="B336:I336" si="73">+B188</f>
        <v>-</v>
      </c>
      <c r="C336" s="24" t="str">
        <f t="shared" si="73"/>
        <v>-</v>
      </c>
      <c r="D336" s="24" t="str">
        <f t="shared" si="73"/>
        <v>-</v>
      </c>
      <c r="E336" s="24">
        <f t="shared" si="73"/>
        <v>7666.17</v>
      </c>
      <c r="F336" s="24">
        <f t="shared" si="73"/>
        <v>16587.330000000002</v>
      </c>
      <c r="G336" s="24" t="str">
        <f t="shared" si="73"/>
        <v>-</v>
      </c>
      <c r="H336" s="24" t="str">
        <f t="shared" si="73"/>
        <v>-</v>
      </c>
      <c r="I336" s="24">
        <f t="shared" si="73"/>
        <v>24253.5</v>
      </c>
    </row>
    <row r="337" spans="1:9" ht="11.25" customHeight="1">
      <c r="A337" s="99">
        <v>2017</v>
      </c>
      <c r="B337" s="24" t="str">
        <f t="shared" ref="B337:I337" si="74">+B189</f>
        <v>-</v>
      </c>
      <c r="C337" s="24" t="str">
        <f t="shared" si="74"/>
        <v>-</v>
      </c>
      <c r="D337" s="24">
        <f t="shared" si="74"/>
        <v>388.48</v>
      </c>
      <c r="E337" s="24">
        <f t="shared" si="74"/>
        <v>8532.23</v>
      </c>
      <c r="F337" s="24">
        <f t="shared" si="74"/>
        <v>13844.1</v>
      </c>
      <c r="G337" s="24" t="str">
        <f t="shared" si="74"/>
        <v>-</v>
      </c>
      <c r="H337" s="24" t="str">
        <f t="shared" si="74"/>
        <v>-</v>
      </c>
      <c r="I337" s="24">
        <f t="shared" si="74"/>
        <v>22764.809999999998</v>
      </c>
    </row>
    <row r="338" spans="1:9" ht="11.25" customHeight="1">
      <c r="A338" s="99">
        <v>2018</v>
      </c>
      <c r="B338" s="24" t="str">
        <f t="shared" ref="B338:I338" si="75">+B190</f>
        <v>-</v>
      </c>
      <c r="C338" s="24" t="str">
        <f t="shared" si="75"/>
        <v>-</v>
      </c>
      <c r="D338" s="24">
        <f t="shared" si="75"/>
        <v>1194.55</v>
      </c>
      <c r="E338" s="24">
        <f t="shared" si="75"/>
        <v>5098.37</v>
      </c>
      <c r="F338" s="24">
        <f t="shared" si="75"/>
        <v>7978.5</v>
      </c>
      <c r="G338" s="24">
        <f t="shared" si="75"/>
        <v>612.73</v>
      </c>
      <c r="H338" s="24" t="str">
        <f t="shared" si="75"/>
        <v>-</v>
      </c>
      <c r="I338" s="24">
        <f t="shared" si="75"/>
        <v>14884.15</v>
      </c>
    </row>
    <row r="339" spans="1:9" ht="11.25" customHeight="1">
      <c r="A339" s="99">
        <v>2019</v>
      </c>
      <c r="B339" s="24" t="str">
        <f t="shared" ref="B339:I339" si="76">+B191</f>
        <v>-</v>
      </c>
      <c r="C339" s="24" t="str">
        <f t="shared" si="76"/>
        <v>-</v>
      </c>
      <c r="D339" s="24">
        <f t="shared" si="76"/>
        <v>2396.15</v>
      </c>
      <c r="E339" s="24">
        <f t="shared" si="76"/>
        <v>10576.04</v>
      </c>
      <c r="F339" s="24">
        <f t="shared" si="76"/>
        <v>15601.87</v>
      </c>
      <c r="G339" s="24">
        <f t="shared" si="76"/>
        <v>1334.82</v>
      </c>
      <c r="H339" s="24" t="str">
        <f t="shared" si="76"/>
        <v>-</v>
      </c>
      <c r="I339" s="24">
        <f t="shared" si="76"/>
        <v>29908.880000000001</v>
      </c>
    </row>
    <row r="340" spans="1:9" ht="11.25" customHeight="1">
      <c r="A340" s="99" t="s">
        <v>310</v>
      </c>
      <c r="B340" s="24" t="str">
        <f t="shared" ref="B340:I341" si="77">+B192</f>
        <v>-</v>
      </c>
      <c r="C340" s="24" t="str">
        <f t="shared" si="77"/>
        <v>-</v>
      </c>
      <c r="D340" s="24">
        <f t="shared" si="77"/>
        <v>609.98</v>
      </c>
      <c r="E340" s="24">
        <f t="shared" si="77"/>
        <v>8162.54</v>
      </c>
      <c r="F340" s="24" t="str">
        <f t="shared" si="77"/>
        <v>-</v>
      </c>
      <c r="G340" s="24" t="str">
        <f t="shared" si="77"/>
        <v>-</v>
      </c>
      <c r="H340" s="24" t="str">
        <f t="shared" si="77"/>
        <v>-</v>
      </c>
      <c r="I340" s="24">
        <f t="shared" si="77"/>
        <v>8772.52</v>
      </c>
    </row>
    <row r="341" spans="1:9" ht="11.25" customHeight="1">
      <c r="A341" s="99" t="s">
        <v>320</v>
      </c>
      <c r="B341" s="24" t="str">
        <f t="shared" si="77"/>
        <v>-</v>
      </c>
      <c r="C341" s="24" t="str">
        <f t="shared" si="77"/>
        <v>-</v>
      </c>
      <c r="D341" s="24">
        <f t="shared" si="77"/>
        <v>1298.69</v>
      </c>
      <c r="E341" s="24">
        <f t="shared" si="77"/>
        <v>9246.99</v>
      </c>
      <c r="F341" s="24">
        <f t="shared" si="77"/>
        <v>17909.990000000002</v>
      </c>
      <c r="G341" s="24" t="str">
        <f t="shared" si="77"/>
        <v>-</v>
      </c>
      <c r="H341" s="24" t="str">
        <f t="shared" si="77"/>
        <v>-</v>
      </c>
      <c r="I341" s="24">
        <f t="shared" si="77"/>
        <v>28455.670000000002</v>
      </c>
    </row>
    <row r="343" spans="1:9">
      <c r="A343" s="282" t="s">
        <v>323</v>
      </c>
      <c r="B343" s="282"/>
      <c r="C343" s="282"/>
      <c r="D343" s="282"/>
      <c r="E343" s="282"/>
      <c r="F343" s="282"/>
      <c r="G343" s="282"/>
      <c r="H343" s="282"/>
      <c r="I343" s="282"/>
    </row>
    <row r="344" spans="1:9" ht="24">
      <c r="A344" s="271" t="s">
        <v>27</v>
      </c>
      <c r="B344" s="232" t="s">
        <v>28</v>
      </c>
      <c r="C344" s="232" t="s">
        <v>29</v>
      </c>
      <c r="D344" s="232" t="s">
        <v>30</v>
      </c>
      <c r="E344" s="232" t="s">
        <v>31</v>
      </c>
      <c r="F344" s="232" t="s">
        <v>32</v>
      </c>
      <c r="G344" s="232" t="s">
        <v>33</v>
      </c>
      <c r="H344" s="232" t="s">
        <v>34</v>
      </c>
      <c r="I344" s="196" t="s">
        <v>22</v>
      </c>
    </row>
    <row r="345" spans="1:9" ht="13">
      <c r="A345" s="103" t="s">
        <v>262</v>
      </c>
    </row>
    <row r="346" spans="1:9" ht="11.25" customHeight="1">
      <c r="A346" s="71" t="s">
        <v>24</v>
      </c>
      <c r="B346" s="24">
        <f t="shared" ref="B346:H346" si="78">AVERAGE(B201:B205)</f>
        <v>80.2</v>
      </c>
      <c r="C346" s="24">
        <f t="shared" si="78"/>
        <v>4067.4</v>
      </c>
      <c r="D346" s="24">
        <f t="shared" si="78"/>
        <v>22990.6</v>
      </c>
      <c r="E346" s="24">
        <f t="shared" si="78"/>
        <v>67877.2</v>
      </c>
      <c r="F346" s="24">
        <f t="shared" si="78"/>
        <v>60320.800000000003</v>
      </c>
      <c r="G346" s="24">
        <f t="shared" si="78"/>
        <v>7746.4</v>
      </c>
      <c r="H346" s="24">
        <f t="shared" si="78"/>
        <v>436</v>
      </c>
      <c r="I346" s="24">
        <f>AVERAGE(I201:I205)</f>
        <v>163344.20000000001</v>
      </c>
    </row>
    <row r="347" spans="1:9" ht="11.25" customHeight="1">
      <c r="A347" s="71" t="s">
        <v>78</v>
      </c>
      <c r="B347" s="24" t="s">
        <v>23</v>
      </c>
      <c r="C347" s="24">
        <f t="shared" ref="C347:H347" si="79">AVERAGE(C206:C210)</f>
        <v>1338.5</v>
      </c>
      <c r="D347" s="24">
        <f t="shared" si="79"/>
        <v>5839.5</v>
      </c>
      <c r="E347" s="24">
        <f t="shared" si="79"/>
        <v>65710</v>
      </c>
      <c r="F347" s="24">
        <f t="shared" si="79"/>
        <v>43381.599999999999</v>
      </c>
      <c r="G347" s="24">
        <f t="shared" si="79"/>
        <v>5089.8</v>
      </c>
      <c r="H347" s="24">
        <f t="shared" si="79"/>
        <v>40</v>
      </c>
      <c r="I347" s="24">
        <f>AVERAGE(I206:I210)</f>
        <v>119412.4</v>
      </c>
    </row>
    <row r="348" spans="1:9" ht="11.25" customHeight="1">
      <c r="A348" s="71" t="s">
        <v>10</v>
      </c>
      <c r="B348" s="24" t="s">
        <v>23</v>
      </c>
      <c r="C348" s="24">
        <f>AVERAGE(C211:C215)</f>
        <v>1258</v>
      </c>
      <c r="D348" s="24">
        <f t="shared" ref="D348:I348" si="80">AVERAGE(D211:D215)</f>
        <v>4139.5</v>
      </c>
      <c r="E348" s="24">
        <f t="shared" si="80"/>
        <v>48319.25</v>
      </c>
      <c r="F348" s="24">
        <f t="shared" si="80"/>
        <v>36915</v>
      </c>
      <c r="G348" s="24">
        <f t="shared" si="80"/>
        <v>16837</v>
      </c>
      <c r="H348" s="24">
        <f t="shared" si="80"/>
        <v>714</v>
      </c>
      <c r="I348" s="24">
        <f t="shared" si="80"/>
        <v>104948.5</v>
      </c>
    </row>
    <row r="349" spans="1:9" ht="11.25" customHeight="1">
      <c r="A349" s="71" t="s">
        <v>144</v>
      </c>
      <c r="B349" s="24" t="s">
        <v>23</v>
      </c>
      <c r="C349" s="24" t="s">
        <v>23</v>
      </c>
      <c r="D349" s="24" t="s">
        <v>23</v>
      </c>
      <c r="E349" s="24">
        <f>AVERAGE(E216:E220)</f>
        <v>15695.25</v>
      </c>
      <c r="F349" s="24">
        <f>AVERAGE(F216:F220)</f>
        <v>21406.6</v>
      </c>
      <c r="G349" s="24">
        <f>AVERAGE(G216:G220)</f>
        <v>4496.2</v>
      </c>
      <c r="H349" s="24" t="s">
        <v>23</v>
      </c>
      <c r="I349" s="24">
        <f>AVERAGE(I216:I220)</f>
        <v>38459</v>
      </c>
    </row>
    <row r="350" spans="1:9" ht="11.25" customHeight="1">
      <c r="A350" s="71" t="s">
        <v>166</v>
      </c>
      <c r="B350" s="24" t="str">
        <f>+B221</f>
        <v>-</v>
      </c>
      <c r="C350" s="24">
        <f t="shared" ref="C350:I350" si="81">AVERAGE(C221:C225)</f>
        <v>2711</v>
      </c>
      <c r="D350" s="24">
        <f t="shared" si="81"/>
        <v>6245.25</v>
      </c>
      <c r="E350" s="24">
        <f t="shared" si="81"/>
        <v>42496.948983101349</v>
      </c>
      <c r="F350" s="24">
        <f t="shared" si="81"/>
        <v>47178.507362875403</v>
      </c>
      <c r="G350" s="24">
        <f t="shared" si="81"/>
        <v>14601.239019987857</v>
      </c>
      <c r="H350" s="24">
        <f t="shared" si="81"/>
        <v>132</v>
      </c>
      <c r="I350" s="24">
        <f t="shared" si="81"/>
        <v>109947.09536596462</v>
      </c>
    </row>
    <row r="351" spans="1:9" ht="11.25" customHeight="1">
      <c r="A351" s="71" t="s">
        <v>315</v>
      </c>
      <c r="B351" s="24" t="str">
        <f>B226</f>
        <v>-</v>
      </c>
      <c r="C351" s="24" t="str">
        <f>C226</f>
        <v>-</v>
      </c>
      <c r="D351" s="24">
        <f>AVERAGE(D226:D230)</f>
        <v>4302.0849999999991</v>
      </c>
      <c r="E351" s="24">
        <f t="shared" ref="E351:I351" si="82">AVERAGE(E226:E230)</f>
        <v>23404.651999999998</v>
      </c>
      <c r="F351" s="24">
        <f t="shared" si="82"/>
        <v>38407.623999999996</v>
      </c>
      <c r="G351" s="24">
        <f t="shared" si="82"/>
        <v>6227.7440000000006</v>
      </c>
      <c r="H351" s="24">
        <f t="shared" si="82"/>
        <v>132.44800000000001</v>
      </c>
      <c r="I351" s="24">
        <f t="shared" si="82"/>
        <v>71614.135999999999</v>
      </c>
    </row>
    <row r="352" spans="1:9" ht="11.25" customHeight="1">
      <c r="A352" s="71">
        <v>2011</v>
      </c>
      <c r="B352" s="24" t="str">
        <f t="shared" ref="B352:H352" si="83">+B231</f>
        <v>-</v>
      </c>
      <c r="C352" s="24" t="str">
        <f t="shared" si="83"/>
        <v>-</v>
      </c>
      <c r="D352" s="24">
        <f t="shared" si="83"/>
        <v>6210.57</v>
      </c>
      <c r="E352" s="24">
        <f t="shared" si="83"/>
        <v>22692.41</v>
      </c>
      <c r="F352" s="24">
        <f t="shared" si="83"/>
        <v>36304.93</v>
      </c>
      <c r="G352" s="24">
        <f t="shared" si="83"/>
        <v>8372.2799999999988</v>
      </c>
      <c r="H352" s="24">
        <f t="shared" si="83"/>
        <v>16.05</v>
      </c>
      <c r="I352" s="24">
        <f>+I231</f>
        <v>73596.240000000005</v>
      </c>
    </row>
    <row r="353" spans="1:9" ht="11.25" customHeight="1">
      <c r="A353" s="71">
        <v>2012</v>
      </c>
      <c r="B353" s="24" t="str">
        <f t="shared" ref="B353:I353" si="84">+B232</f>
        <v>-</v>
      </c>
      <c r="C353" s="24" t="str">
        <f t="shared" si="84"/>
        <v>-</v>
      </c>
      <c r="D353" s="24">
        <f t="shared" si="84"/>
        <v>11591.460000000001</v>
      </c>
      <c r="E353" s="24">
        <f t="shared" si="84"/>
        <v>23039.739999999998</v>
      </c>
      <c r="F353" s="24">
        <f t="shared" si="84"/>
        <v>29322.38</v>
      </c>
      <c r="G353" s="24">
        <f t="shared" si="84"/>
        <v>13351.880000000001</v>
      </c>
      <c r="H353" s="24">
        <f t="shared" si="84"/>
        <v>353.11</v>
      </c>
      <c r="I353" s="24">
        <f t="shared" si="84"/>
        <v>77658.570000000007</v>
      </c>
    </row>
    <row r="354" spans="1:9" ht="11.25" customHeight="1">
      <c r="A354" s="71">
        <v>2013</v>
      </c>
      <c r="B354" s="24" t="str">
        <f t="shared" ref="B354:I354" si="85">+B233</f>
        <v>-</v>
      </c>
      <c r="C354" s="24">
        <f t="shared" si="85"/>
        <v>950.86</v>
      </c>
      <c r="D354" s="24">
        <f t="shared" si="85"/>
        <v>11815.9</v>
      </c>
      <c r="E354" s="24">
        <f t="shared" si="85"/>
        <v>20843.870000000003</v>
      </c>
      <c r="F354" s="24">
        <f t="shared" si="85"/>
        <v>37327.81</v>
      </c>
      <c r="G354" s="24">
        <f t="shared" si="85"/>
        <v>8837.94</v>
      </c>
      <c r="H354" s="24">
        <f t="shared" si="85"/>
        <v>237.41</v>
      </c>
      <c r="I354" s="24">
        <f t="shared" si="85"/>
        <v>80013.790000000008</v>
      </c>
    </row>
    <row r="355" spans="1:9" ht="11.25" customHeight="1">
      <c r="A355" s="71">
        <v>2014</v>
      </c>
      <c r="B355" s="24" t="str">
        <f t="shared" ref="B355:I355" si="86">+B234</f>
        <v>-</v>
      </c>
      <c r="C355" s="24">
        <f t="shared" si="86"/>
        <v>1678.42</v>
      </c>
      <c r="D355" s="24">
        <f t="shared" si="86"/>
        <v>12905.909999999998</v>
      </c>
      <c r="E355" s="24">
        <f t="shared" si="86"/>
        <v>39834.29</v>
      </c>
      <c r="F355" s="24">
        <f t="shared" si="86"/>
        <v>47009.83</v>
      </c>
      <c r="G355" s="24">
        <f t="shared" si="86"/>
        <v>17824.05</v>
      </c>
      <c r="H355" s="24">
        <f t="shared" si="86"/>
        <v>364.82</v>
      </c>
      <c r="I355" s="24">
        <f t="shared" si="86"/>
        <v>119617.31999999999</v>
      </c>
    </row>
    <row r="356" spans="1:9" ht="11.25" customHeight="1">
      <c r="A356" s="71">
        <v>2015</v>
      </c>
      <c r="B356" s="24" t="str">
        <f t="shared" ref="B356:I356" si="87">+B235</f>
        <v>-</v>
      </c>
      <c r="C356" s="24">
        <f t="shared" si="87"/>
        <v>1647.96</v>
      </c>
      <c r="D356" s="24">
        <f t="shared" si="87"/>
        <v>11320.32</v>
      </c>
      <c r="E356" s="24">
        <f t="shared" si="87"/>
        <v>37298.92</v>
      </c>
      <c r="F356" s="24">
        <f t="shared" si="87"/>
        <v>31062.82</v>
      </c>
      <c r="G356" s="24">
        <f t="shared" si="87"/>
        <v>15484.28</v>
      </c>
      <c r="H356" s="24">
        <f t="shared" si="87"/>
        <v>300.16000000000003</v>
      </c>
      <c r="I356" s="24">
        <f t="shared" si="87"/>
        <v>97114.459999999992</v>
      </c>
    </row>
    <row r="357" spans="1:9" ht="11.25" customHeight="1">
      <c r="A357" s="71">
        <v>2016</v>
      </c>
      <c r="B357" s="24" t="str">
        <f t="shared" ref="B357:I357" si="88">+B236</f>
        <v>-</v>
      </c>
      <c r="C357" s="24" t="str">
        <f t="shared" si="88"/>
        <v>-</v>
      </c>
      <c r="D357" s="24" t="str">
        <f t="shared" si="88"/>
        <v>-</v>
      </c>
      <c r="E357" s="24">
        <f t="shared" si="88"/>
        <v>25458.379999999997</v>
      </c>
      <c r="F357" s="24">
        <f t="shared" si="88"/>
        <v>25978.250000000004</v>
      </c>
      <c r="G357" s="24" t="str">
        <f t="shared" si="88"/>
        <v>-</v>
      </c>
      <c r="H357" s="24" t="str">
        <f t="shared" si="88"/>
        <v>-</v>
      </c>
      <c r="I357" s="24">
        <f t="shared" si="88"/>
        <v>51436.63</v>
      </c>
    </row>
    <row r="358" spans="1:9" ht="11.25" customHeight="1">
      <c r="A358" s="99">
        <v>2017</v>
      </c>
      <c r="B358" s="24" t="str">
        <f t="shared" ref="B358:I358" si="89">+B237</f>
        <v>-</v>
      </c>
      <c r="C358" s="24" t="str">
        <f t="shared" si="89"/>
        <v>-</v>
      </c>
      <c r="D358" s="24">
        <f t="shared" si="89"/>
        <v>856.6400000000001</v>
      </c>
      <c r="E358" s="24">
        <f t="shared" si="89"/>
        <v>30088.04</v>
      </c>
      <c r="F358" s="24">
        <f t="shared" si="89"/>
        <v>29666.27</v>
      </c>
      <c r="G358" s="24">
        <f t="shared" si="89"/>
        <v>841.76</v>
      </c>
      <c r="H358" s="24" t="str">
        <f t="shared" si="89"/>
        <v>-</v>
      </c>
      <c r="I358" s="24">
        <f t="shared" si="89"/>
        <v>61452.71</v>
      </c>
    </row>
    <row r="359" spans="1:9" ht="11.25" customHeight="1">
      <c r="A359" s="99">
        <v>2018</v>
      </c>
      <c r="B359" s="24" t="str">
        <f t="shared" ref="B359:I359" si="90">+B238</f>
        <v>-</v>
      </c>
      <c r="C359" s="24" t="str">
        <f t="shared" si="90"/>
        <v>-</v>
      </c>
      <c r="D359" s="24">
        <f t="shared" si="90"/>
        <v>2443.5500000000002</v>
      </c>
      <c r="E359" s="24">
        <f t="shared" si="90"/>
        <v>19506.309999999998</v>
      </c>
      <c r="F359" s="24">
        <f t="shared" si="90"/>
        <v>24995.199999999997</v>
      </c>
      <c r="G359" s="24">
        <f t="shared" si="90"/>
        <v>1023.08</v>
      </c>
      <c r="H359" s="24" t="str">
        <f t="shared" si="90"/>
        <v>-</v>
      </c>
      <c r="I359" s="24">
        <f t="shared" si="90"/>
        <v>47968.14</v>
      </c>
    </row>
    <row r="360" spans="1:9" ht="11.25" customHeight="1">
      <c r="A360" s="99">
        <v>2019</v>
      </c>
      <c r="B360" s="24" t="str">
        <f t="shared" ref="B360:I360" si="91">+B239</f>
        <v>-</v>
      </c>
      <c r="C360" s="24" t="str">
        <f t="shared" si="91"/>
        <v>-</v>
      </c>
      <c r="D360" s="24">
        <f t="shared" si="91"/>
        <v>6650.63</v>
      </c>
      <c r="E360" s="24">
        <f t="shared" si="91"/>
        <v>26079.329999999998</v>
      </c>
      <c r="F360" s="24">
        <f t="shared" si="91"/>
        <v>28880.590000000004</v>
      </c>
      <c r="G360" s="24">
        <f t="shared" si="91"/>
        <v>3816.43</v>
      </c>
      <c r="H360" s="24">
        <f t="shared" si="91"/>
        <v>239.57</v>
      </c>
      <c r="I360" s="24">
        <f t="shared" si="91"/>
        <v>65666.55</v>
      </c>
    </row>
    <row r="361" spans="1:9" ht="11.25" customHeight="1">
      <c r="A361" s="99" t="s">
        <v>310</v>
      </c>
      <c r="B361" s="24" t="str">
        <f t="shared" ref="B361:I362" si="92">+B240</f>
        <v>-</v>
      </c>
      <c r="C361" s="24" t="str">
        <f t="shared" si="92"/>
        <v>-</v>
      </c>
      <c r="D361" s="24">
        <f t="shared" si="92"/>
        <v>2608.92</v>
      </c>
      <c r="E361" s="24">
        <f t="shared" si="92"/>
        <v>20816.2</v>
      </c>
      <c r="F361" s="24">
        <f t="shared" si="92"/>
        <v>7118.77</v>
      </c>
      <c r="G361" s="24">
        <f t="shared" si="92"/>
        <v>3340.91</v>
      </c>
      <c r="H361" s="24" t="str">
        <f t="shared" si="92"/>
        <v>-</v>
      </c>
      <c r="I361" s="24">
        <f t="shared" si="92"/>
        <v>33884.800000000003</v>
      </c>
    </row>
    <row r="362" spans="1:9" ht="11.25" customHeight="1">
      <c r="A362" s="99" t="s">
        <v>320</v>
      </c>
      <c r="B362" s="25" t="str">
        <f t="shared" si="92"/>
        <v>-</v>
      </c>
      <c r="C362" s="25" t="str">
        <f t="shared" si="92"/>
        <v>-</v>
      </c>
      <c r="D362" s="25">
        <f t="shared" si="92"/>
        <v>4990.3500000000004</v>
      </c>
      <c r="E362" s="25">
        <f t="shared" si="92"/>
        <v>26030.69</v>
      </c>
      <c r="F362" s="25">
        <f t="shared" si="92"/>
        <v>30080.490000000005</v>
      </c>
      <c r="G362" s="25">
        <f t="shared" si="92"/>
        <v>4768.3500000000004</v>
      </c>
      <c r="H362" s="25" t="str">
        <f t="shared" si="92"/>
        <v>-</v>
      </c>
      <c r="I362" s="25">
        <f t="shared" si="92"/>
        <v>65869.88</v>
      </c>
    </row>
    <row r="363" spans="1:9">
      <c r="A363" s="338" t="str">
        <f>+A242</f>
        <v>a/  Includes effort from the Washington State waters Area 4B fishery (none in 1994 or 1999).</v>
      </c>
      <c r="B363" s="338"/>
      <c r="C363" s="338"/>
      <c r="D363" s="338"/>
      <c r="E363" s="338"/>
      <c r="F363" s="338"/>
      <c r="G363" s="338"/>
      <c r="H363" s="338"/>
      <c r="I363" s="338"/>
    </row>
    <row r="364" spans="1:9">
      <c r="A364" s="337" t="str">
        <f>+A243</f>
        <v>b/  Preliminary.</v>
      </c>
      <c r="B364" s="337"/>
      <c r="C364" s="337"/>
      <c r="D364" s="337"/>
      <c r="E364" s="337"/>
      <c r="F364" s="337"/>
      <c r="G364" s="337"/>
      <c r="H364" s="337"/>
      <c r="I364" s="337"/>
    </row>
    <row r="365" spans="1:9">
      <c r="A365" s="350" t="str">
        <f>+A244</f>
        <v>c/  Includes effort from the North Jetty when the ocean fishery was open; does not include effort reported as occurring inside the Columbia River mouth (North Jetty effort when the ocean fishery was closed and Buoy 10 was open).</v>
      </c>
      <c r="B365" s="350"/>
      <c r="C365" s="350"/>
      <c r="D365" s="350"/>
      <c r="E365" s="350"/>
      <c r="F365" s="350"/>
      <c r="G365" s="350"/>
      <c r="H365" s="350"/>
      <c r="I365" s="350"/>
    </row>
    <row r="366" spans="1:9">
      <c r="A366" s="350"/>
      <c r="B366" s="350"/>
      <c r="C366" s="350"/>
      <c r="D366" s="350"/>
      <c r="E366" s="350"/>
      <c r="F366" s="350"/>
      <c r="G366" s="350"/>
      <c r="H366" s="350"/>
      <c r="I366" s="350"/>
    </row>
    <row r="367" spans="1:9" ht="44.25" customHeight="1">
      <c r="A367" s="351" t="str">
        <f>A246</f>
        <v xml:space="preserve">d/   The ports of Neah Bay and La Push were closed to public access in 2020 due to the COVID-19 pandemic. In 2021, Neah Bay remained closed to public access and La Push opened to public access July 12. Effort shown in this table includes effort that occurred in the adjacent catch areas and originated from Sekiu during periods Neah Bay and La Push remained closed to public access. </v>
      </c>
      <c r="B367" s="351"/>
      <c r="C367" s="351"/>
      <c r="D367" s="351"/>
      <c r="E367" s="351"/>
      <c r="F367" s="351"/>
      <c r="G367" s="351"/>
      <c r="H367" s="351"/>
      <c r="I367" s="351"/>
    </row>
  </sheetData>
  <mergeCells count="10">
    <mergeCell ref="A365:I366"/>
    <mergeCell ref="A367:I367"/>
    <mergeCell ref="A1:I1"/>
    <mergeCell ref="A244:I245"/>
    <mergeCell ref="A262:I262"/>
    <mergeCell ref="A302:I302"/>
    <mergeCell ref="A363:I363"/>
    <mergeCell ref="A364:I364"/>
    <mergeCell ref="A246:I246"/>
    <mergeCell ref="A343:I343"/>
  </mergeCells>
  <pageMargins left="0.7" right="0.7" top="0.75" bottom="0.75" header="0.3" footer="0.3"/>
  <pageSetup scale="98" orientation="portrait" r:id="rId1"/>
  <rowBreaks count="2" manualBreakCount="2">
    <brk id="301" max="8" man="1"/>
    <brk id="341" max="8" man="1"/>
  </rowBreak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1"/>
  <dimension ref="A1:U368"/>
  <sheetViews>
    <sheetView showGridLines="0" topLeftCell="A327" zoomScaleNormal="100" workbookViewId="0">
      <selection activeCell="N421" sqref="N421"/>
    </sheetView>
  </sheetViews>
  <sheetFormatPr baseColWidth="10" defaultColWidth="9" defaultRowHeight="11"/>
  <cols>
    <col min="1" max="1" width="8.1640625" style="99" customWidth="1"/>
    <col min="2" max="9" width="6.1640625" style="142" customWidth="1"/>
    <col min="10" max="10" width="1.6640625" style="24" customWidth="1"/>
    <col min="11" max="18" width="6.1640625" style="142" customWidth="1"/>
    <col min="19" max="25" width="9" style="1"/>
    <col min="26" max="26" width="2" style="1" customWidth="1"/>
    <col min="27" max="27" width="2.1640625" style="1" customWidth="1"/>
    <col min="28" max="16384" width="9" style="1"/>
  </cols>
  <sheetData>
    <row r="1" spans="1:18">
      <c r="A1" s="283" t="s">
        <v>3</v>
      </c>
      <c r="B1" s="283"/>
      <c r="C1" s="283"/>
      <c r="D1" s="283"/>
      <c r="E1" s="283"/>
      <c r="F1" s="283"/>
      <c r="G1" s="283"/>
      <c r="H1" s="283"/>
      <c r="I1" s="283"/>
      <c r="J1" s="283"/>
      <c r="K1" s="283"/>
      <c r="L1" s="283"/>
      <c r="M1" s="283"/>
      <c r="N1" s="283"/>
      <c r="O1" s="283"/>
      <c r="P1" s="283"/>
      <c r="Q1" s="283"/>
      <c r="R1" s="283"/>
    </row>
    <row r="2" spans="1:18" s="119" customFormat="1" ht="19.5" customHeight="1">
      <c r="A2" s="2" t="s">
        <v>27</v>
      </c>
      <c r="B2" s="46" t="s">
        <v>28</v>
      </c>
      <c r="C2" s="46" t="s">
        <v>29</v>
      </c>
      <c r="D2" s="46" t="s">
        <v>30</v>
      </c>
      <c r="E2" s="46" t="s">
        <v>31</v>
      </c>
      <c r="F2" s="46" t="s">
        <v>32</v>
      </c>
      <c r="G2" s="46" t="s">
        <v>33</v>
      </c>
      <c r="H2" s="46" t="s">
        <v>34</v>
      </c>
      <c r="I2" s="46" t="s">
        <v>22</v>
      </c>
      <c r="J2" s="196"/>
      <c r="K2" s="46" t="s">
        <v>28</v>
      </c>
      <c r="L2" s="46" t="s">
        <v>29</v>
      </c>
      <c r="M2" s="46" t="s">
        <v>30</v>
      </c>
      <c r="N2" s="46" t="s">
        <v>31</v>
      </c>
      <c r="O2" s="46" t="s">
        <v>32</v>
      </c>
      <c r="P2" s="46" t="s">
        <v>33</v>
      </c>
      <c r="Q2" s="46" t="s">
        <v>34</v>
      </c>
      <c r="R2" s="46" t="s">
        <v>22</v>
      </c>
    </row>
    <row r="3" spans="1:18">
      <c r="B3" s="336" t="s">
        <v>61</v>
      </c>
      <c r="C3" s="336"/>
      <c r="D3" s="336"/>
      <c r="E3" s="336"/>
      <c r="F3" s="336"/>
      <c r="G3" s="336"/>
      <c r="H3" s="336"/>
      <c r="I3" s="336"/>
      <c r="J3" s="14"/>
      <c r="K3" s="336" t="s">
        <v>62</v>
      </c>
      <c r="L3" s="336"/>
      <c r="M3" s="336"/>
      <c r="N3" s="336"/>
      <c r="O3" s="336"/>
      <c r="P3" s="336"/>
      <c r="Q3" s="336"/>
      <c r="R3" s="336"/>
    </row>
    <row r="4" spans="1:18">
      <c r="A4" s="94" t="s">
        <v>59</v>
      </c>
    </row>
    <row r="5" spans="1:18">
      <c r="A5" s="99">
        <v>1976</v>
      </c>
      <c r="B5" s="142" t="s">
        <v>23</v>
      </c>
      <c r="C5" s="142">
        <f>399+268+262+616</f>
        <v>1545</v>
      </c>
      <c r="D5" s="142">
        <v>1630</v>
      </c>
      <c r="E5" s="142">
        <v>4877</v>
      </c>
      <c r="F5" s="142">
        <v>1872</v>
      </c>
      <c r="G5" s="142">
        <v>1378</v>
      </c>
      <c r="H5" s="142">
        <v>18</v>
      </c>
      <c r="I5" s="142">
        <f t="shared" ref="I5:I22" si="0">SUM(B5:H5)</f>
        <v>11320</v>
      </c>
      <c r="K5" s="142">
        <f>19+46</f>
        <v>65</v>
      </c>
      <c r="L5" s="142">
        <v>795</v>
      </c>
      <c r="M5" s="142">
        <v>3228</v>
      </c>
      <c r="N5" s="142">
        <v>14225</v>
      </c>
      <c r="O5" s="142">
        <v>27843</v>
      </c>
      <c r="P5" s="142">
        <v>10277</v>
      </c>
      <c r="Q5" s="142">
        <v>139</v>
      </c>
      <c r="R5" s="142">
        <f t="shared" ref="R5:R22" si="1">SUM(K5:Q5)</f>
        <v>56572</v>
      </c>
    </row>
    <row r="6" spans="1:18">
      <c r="A6" s="99">
        <v>1977</v>
      </c>
      <c r="B6" s="142">
        <v>186</v>
      </c>
      <c r="C6" s="142">
        <v>359</v>
      </c>
      <c r="D6" s="142">
        <v>1310</v>
      </c>
      <c r="E6" s="142">
        <v>1662</v>
      </c>
      <c r="F6" s="142">
        <v>2971</v>
      </c>
      <c r="G6" s="142">
        <v>764</v>
      </c>
      <c r="H6" s="142">
        <v>25</v>
      </c>
      <c r="I6" s="142">
        <f t="shared" si="0"/>
        <v>7277</v>
      </c>
      <c r="K6" s="142">
        <v>254</v>
      </c>
      <c r="L6" s="142">
        <v>1006</v>
      </c>
      <c r="M6" s="142">
        <v>2672</v>
      </c>
      <c r="N6" s="142">
        <v>13290</v>
      </c>
      <c r="O6" s="142">
        <v>38078</v>
      </c>
      <c r="P6" s="142">
        <v>12213</v>
      </c>
      <c r="Q6" s="142">
        <v>591</v>
      </c>
      <c r="R6" s="142">
        <f t="shared" si="1"/>
        <v>68104</v>
      </c>
    </row>
    <row r="7" spans="1:18">
      <c r="A7" s="99">
        <v>1978</v>
      </c>
      <c r="B7" s="142">
        <f>242+22</f>
        <v>264</v>
      </c>
      <c r="C7" s="142">
        <v>455</v>
      </c>
      <c r="D7" s="142">
        <v>2248</v>
      </c>
      <c r="E7" s="142">
        <v>2640</v>
      </c>
      <c r="F7" s="142">
        <v>1002</v>
      </c>
      <c r="G7" s="142">
        <v>324</v>
      </c>
      <c r="H7" s="142">
        <f>146+100</f>
        <v>246</v>
      </c>
      <c r="I7" s="142">
        <f t="shared" si="0"/>
        <v>7179</v>
      </c>
      <c r="K7" s="142">
        <f>22+103</f>
        <v>125</v>
      </c>
      <c r="L7" s="142">
        <v>190</v>
      </c>
      <c r="M7" s="142">
        <v>2701</v>
      </c>
      <c r="N7" s="142">
        <v>11272</v>
      </c>
      <c r="O7" s="142">
        <v>17717</v>
      </c>
      <c r="P7" s="142">
        <v>12553</v>
      </c>
      <c r="Q7" s="142">
        <f>370+29</f>
        <v>399</v>
      </c>
      <c r="R7" s="142">
        <f t="shared" si="1"/>
        <v>44957</v>
      </c>
    </row>
    <row r="8" spans="1:18">
      <c r="A8" s="99">
        <v>1979</v>
      </c>
      <c r="B8" s="142">
        <v>504</v>
      </c>
      <c r="C8" s="142">
        <v>155</v>
      </c>
      <c r="D8" s="142">
        <v>424</v>
      </c>
      <c r="E8" s="142">
        <v>1173</v>
      </c>
      <c r="F8" s="142">
        <v>801</v>
      </c>
      <c r="G8" s="142">
        <v>1</v>
      </c>
      <c r="H8" s="142" t="s">
        <v>23</v>
      </c>
      <c r="I8" s="142">
        <f t="shared" si="0"/>
        <v>3058</v>
      </c>
      <c r="K8" s="142">
        <v>408</v>
      </c>
      <c r="L8" s="142">
        <v>119</v>
      </c>
      <c r="M8" s="142">
        <v>2469</v>
      </c>
      <c r="N8" s="142">
        <v>9781</v>
      </c>
      <c r="O8" s="142">
        <v>11547</v>
      </c>
      <c r="P8" s="142">
        <v>1475</v>
      </c>
      <c r="Q8" s="142">
        <v>85</v>
      </c>
      <c r="R8" s="142">
        <f t="shared" si="1"/>
        <v>25884</v>
      </c>
    </row>
    <row r="9" spans="1:18">
      <c r="A9" s="99">
        <v>1980</v>
      </c>
      <c r="B9" s="142" t="s">
        <v>23</v>
      </c>
      <c r="C9" s="142">
        <v>155</v>
      </c>
      <c r="D9" s="142">
        <v>372</v>
      </c>
      <c r="E9" s="142">
        <v>1836</v>
      </c>
      <c r="F9" s="142">
        <f>415+58</f>
        <v>473</v>
      </c>
      <c r="G9" s="142" t="s">
        <v>23</v>
      </c>
      <c r="H9" s="142" t="s">
        <v>23</v>
      </c>
      <c r="I9" s="142">
        <f t="shared" si="0"/>
        <v>2836</v>
      </c>
      <c r="K9" s="142" t="s">
        <v>23</v>
      </c>
      <c r="L9" s="142">
        <v>573</v>
      </c>
      <c r="M9" s="142">
        <v>5743</v>
      </c>
      <c r="N9" s="142">
        <v>8552</v>
      </c>
      <c r="O9" s="142">
        <v>8077</v>
      </c>
      <c r="P9" s="142">
        <v>2285</v>
      </c>
      <c r="Q9" s="142">
        <v>44</v>
      </c>
      <c r="R9" s="142">
        <f t="shared" si="1"/>
        <v>25274</v>
      </c>
    </row>
    <row r="10" spans="1:18">
      <c r="A10" s="99">
        <v>1981</v>
      </c>
      <c r="B10" s="142">
        <f>33+66+39</f>
        <v>138</v>
      </c>
      <c r="C10" s="142">
        <v>384</v>
      </c>
      <c r="D10" s="142">
        <v>502</v>
      </c>
      <c r="E10" s="142">
        <v>1608</v>
      </c>
      <c r="F10" s="142">
        <f>508+67</f>
        <v>575</v>
      </c>
      <c r="G10" s="142" t="s">
        <v>23</v>
      </c>
      <c r="H10" s="142" t="s">
        <v>23</v>
      </c>
      <c r="I10" s="142">
        <f t="shared" si="0"/>
        <v>3207</v>
      </c>
      <c r="K10" s="142">
        <f>18+36+26</f>
        <v>80</v>
      </c>
      <c r="L10" s="142">
        <v>480</v>
      </c>
      <c r="M10" s="142">
        <v>1086</v>
      </c>
      <c r="N10" s="142">
        <v>6816</v>
      </c>
      <c r="O10" s="142">
        <v>12925</v>
      </c>
      <c r="P10" s="142">
        <v>4143</v>
      </c>
      <c r="Q10" s="142">
        <v>338</v>
      </c>
      <c r="R10" s="142">
        <f t="shared" si="1"/>
        <v>25868</v>
      </c>
    </row>
    <row r="11" spans="1:18">
      <c r="A11" s="99">
        <v>1982</v>
      </c>
      <c r="B11" s="142">
        <v>3</v>
      </c>
      <c r="C11" s="142">
        <v>116</v>
      </c>
      <c r="D11" s="142">
        <v>422</v>
      </c>
      <c r="E11" s="142">
        <v>1571</v>
      </c>
      <c r="F11" s="142">
        <v>818</v>
      </c>
      <c r="G11" s="142">
        <v>215</v>
      </c>
      <c r="H11" s="142">
        <v>35</v>
      </c>
      <c r="I11" s="142">
        <f t="shared" si="0"/>
        <v>3180</v>
      </c>
      <c r="K11" s="142" t="s">
        <v>23</v>
      </c>
      <c r="L11" s="142">
        <v>113</v>
      </c>
      <c r="M11" s="142">
        <v>768</v>
      </c>
      <c r="N11" s="142">
        <v>10393</v>
      </c>
      <c r="O11" s="142">
        <v>22388</v>
      </c>
      <c r="P11" s="142">
        <v>5781</v>
      </c>
      <c r="Q11" s="142">
        <v>78</v>
      </c>
      <c r="R11" s="142">
        <f t="shared" si="1"/>
        <v>39521</v>
      </c>
    </row>
    <row r="12" spans="1:18">
      <c r="A12" s="99">
        <v>1983</v>
      </c>
      <c r="B12" s="142">
        <v>117</v>
      </c>
      <c r="C12" s="142">
        <v>96</v>
      </c>
      <c r="D12" s="142" t="s">
        <v>23</v>
      </c>
      <c r="E12" s="142">
        <v>1483</v>
      </c>
      <c r="F12" s="142">
        <v>584</v>
      </c>
      <c r="G12" s="142">
        <v>172</v>
      </c>
      <c r="H12" s="142" t="s">
        <v>23</v>
      </c>
      <c r="I12" s="142">
        <f t="shared" si="0"/>
        <v>2452</v>
      </c>
      <c r="K12" s="142" t="s">
        <v>23</v>
      </c>
      <c r="L12" s="142">
        <v>422</v>
      </c>
      <c r="M12" s="142" t="s">
        <v>23</v>
      </c>
      <c r="N12" s="142">
        <v>17694</v>
      </c>
      <c r="O12" s="142">
        <v>26932</v>
      </c>
      <c r="P12" s="142">
        <v>6743</v>
      </c>
      <c r="Q12" s="142">
        <v>33</v>
      </c>
      <c r="R12" s="142">
        <f t="shared" si="1"/>
        <v>51824</v>
      </c>
    </row>
    <row r="13" spans="1:18">
      <c r="A13" s="99">
        <v>1984</v>
      </c>
      <c r="B13" s="142">
        <f>16+8</f>
        <v>24</v>
      </c>
      <c r="C13" s="142" t="s">
        <v>23</v>
      </c>
      <c r="D13" s="142">
        <v>0</v>
      </c>
      <c r="E13" s="142">
        <v>109</v>
      </c>
      <c r="F13" s="142">
        <v>96</v>
      </c>
      <c r="G13" s="142" t="s">
        <v>23</v>
      </c>
      <c r="H13" s="142" t="s">
        <v>23</v>
      </c>
      <c r="I13" s="142">
        <f t="shared" si="0"/>
        <v>229</v>
      </c>
      <c r="K13" s="142" t="s">
        <v>23</v>
      </c>
      <c r="L13" s="142" t="s">
        <v>23</v>
      </c>
      <c r="M13" s="142" t="s">
        <v>23</v>
      </c>
      <c r="N13" s="142">
        <v>928</v>
      </c>
      <c r="O13" s="142">
        <v>5179</v>
      </c>
      <c r="P13" s="142">
        <v>264</v>
      </c>
      <c r="Q13" s="142" t="s">
        <v>23</v>
      </c>
      <c r="R13" s="142">
        <f t="shared" si="1"/>
        <v>6371</v>
      </c>
    </row>
    <row r="14" spans="1:18">
      <c r="A14" s="99">
        <v>1985</v>
      </c>
      <c r="B14" s="142">
        <v>5</v>
      </c>
      <c r="C14" s="142">
        <v>1</v>
      </c>
      <c r="D14" s="142">
        <v>12</v>
      </c>
      <c r="E14" s="142">
        <v>1692</v>
      </c>
      <c r="F14" s="142">
        <f>333+9</f>
        <v>342</v>
      </c>
      <c r="G14" s="142" t="s">
        <v>23</v>
      </c>
      <c r="H14" s="142" t="s">
        <v>23</v>
      </c>
      <c r="I14" s="142">
        <f t="shared" si="0"/>
        <v>2052</v>
      </c>
      <c r="K14" s="142" t="s">
        <v>23</v>
      </c>
      <c r="L14" s="142" t="s">
        <v>23</v>
      </c>
      <c r="M14" s="142">
        <v>64</v>
      </c>
      <c r="N14" s="142">
        <v>8557</v>
      </c>
      <c r="O14" s="142">
        <v>14834</v>
      </c>
      <c r="P14" s="142">
        <v>139</v>
      </c>
      <c r="Q14" s="142" t="s">
        <v>23</v>
      </c>
      <c r="R14" s="142">
        <f t="shared" si="1"/>
        <v>23594</v>
      </c>
    </row>
    <row r="15" spans="1:18">
      <c r="A15" s="99">
        <v>1986</v>
      </c>
      <c r="B15" s="142" t="s">
        <v>23</v>
      </c>
      <c r="C15" s="142" t="s">
        <v>23</v>
      </c>
      <c r="D15" s="142">
        <v>116</v>
      </c>
      <c r="E15" s="142">
        <v>2595</v>
      </c>
      <c r="F15" s="142">
        <v>537</v>
      </c>
      <c r="G15" s="142" t="s">
        <v>23</v>
      </c>
      <c r="H15" s="142" t="s">
        <v>23</v>
      </c>
      <c r="I15" s="142">
        <f t="shared" si="0"/>
        <v>3248</v>
      </c>
      <c r="K15" s="142" t="s">
        <v>23</v>
      </c>
      <c r="L15" s="142" t="s">
        <v>23</v>
      </c>
      <c r="M15" s="142">
        <v>550</v>
      </c>
      <c r="N15" s="142">
        <v>10522</v>
      </c>
      <c r="O15" s="142">
        <v>10687</v>
      </c>
      <c r="P15" s="142" t="s">
        <v>23</v>
      </c>
      <c r="Q15" s="142" t="s">
        <v>23</v>
      </c>
      <c r="R15" s="142">
        <f t="shared" si="1"/>
        <v>21759</v>
      </c>
    </row>
    <row r="16" spans="1:18" ht="13">
      <c r="A16" s="99" t="s">
        <v>324</v>
      </c>
      <c r="B16" s="142" t="s">
        <v>23</v>
      </c>
      <c r="C16" s="142" t="s">
        <v>23</v>
      </c>
      <c r="D16" s="142">
        <v>110</v>
      </c>
      <c r="E16" s="142" t="s">
        <v>39</v>
      </c>
      <c r="F16" s="142">
        <v>66</v>
      </c>
      <c r="G16" s="142" t="s">
        <v>23</v>
      </c>
      <c r="H16" s="142" t="s">
        <v>23</v>
      </c>
      <c r="I16" s="142">
        <f t="shared" si="0"/>
        <v>176</v>
      </c>
      <c r="K16" s="142" t="s">
        <v>23</v>
      </c>
      <c r="L16" s="142" t="s">
        <v>23</v>
      </c>
      <c r="M16" s="142">
        <v>218</v>
      </c>
      <c r="N16" s="142">
        <v>15042</v>
      </c>
      <c r="O16" s="142">
        <v>10146</v>
      </c>
      <c r="P16" s="142" t="s">
        <v>23</v>
      </c>
      <c r="Q16" s="142" t="s">
        <v>23</v>
      </c>
      <c r="R16" s="142">
        <f t="shared" si="1"/>
        <v>25406</v>
      </c>
    </row>
    <row r="17" spans="1:18">
      <c r="A17" s="99">
        <v>1988</v>
      </c>
      <c r="B17" s="142" t="s">
        <v>23</v>
      </c>
      <c r="C17" s="142" t="s">
        <v>23</v>
      </c>
      <c r="D17" s="142" t="s">
        <v>23</v>
      </c>
      <c r="E17" s="142">
        <v>3537</v>
      </c>
      <c r="F17" s="142">
        <v>208</v>
      </c>
      <c r="G17" s="142">
        <v>20</v>
      </c>
      <c r="H17" s="142" t="s">
        <v>23</v>
      </c>
      <c r="I17" s="142">
        <f t="shared" si="0"/>
        <v>3765</v>
      </c>
      <c r="K17" s="142" t="s">
        <v>23</v>
      </c>
      <c r="L17" s="142" t="s">
        <v>23</v>
      </c>
      <c r="M17" s="142" t="s">
        <v>23</v>
      </c>
      <c r="N17" s="142">
        <v>12790</v>
      </c>
      <c r="O17" s="142">
        <v>2593</v>
      </c>
      <c r="P17" s="142">
        <v>426</v>
      </c>
      <c r="Q17" s="142" t="s">
        <v>23</v>
      </c>
      <c r="R17" s="142">
        <f t="shared" si="1"/>
        <v>15809</v>
      </c>
    </row>
    <row r="18" spans="1:18">
      <c r="A18" s="99">
        <v>1989</v>
      </c>
      <c r="B18" s="142" t="s">
        <v>23</v>
      </c>
      <c r="C18" s="142">
        <v>114</v>
      </c>
      <c r="D18" s="142">
        <v>202</v>
      </c>
      <c r="E18" s="142">
        <f>1761+304+148</f>
        <v>2213</v>
      </c>
      <c r="F18" s="142" t="s">
        <v>23</v>
      </c>
      <c r="G18" s="142" t="s">
        <v>23</v>
      </c>
      <c r="H18" s="142" t="s">
        <v>23</v>
      </c>
      <c r="I18" s="142">
        <f t="shared" si="0"/>
        <v>2529</v>
      </c>
      <c r="K18" s="142" t="s">
        <v>23</v>
      </c>
      <c r="L18" s="142" t="s">
        <v>23</v>
      </c>
      <c r="M18" s="142" t="s">
        <v>23</v>
      </c>
      <c r="N18" s="142">
        <v>20227</v>
      </c>
      <c r="O18" s="142">
        <v>11036</v>
      </c>
      <c r="P18" s="142">
        <v>8855</v>
      </c>
      <c r="Q18" s="142" t="s">
        <v>23</v>
      </c>
      <c r="R18" s="142">
        <f t="shared" si="1"/>
        <v>40118</v>
      </c>
    </row>
    <row r="19" spans="1:18">
      <c r="A19" s="99">
        <v>1990</v>
      </c>
      <c r="B19" s="142" t="s">
        <v>23</v>
      </c>
      <c r="C19" s="142" t="s">
        <v>23</v>
      </c>
      <c r="D19" s="142" t="s">
        <v>23</v>
      </c>
      <c r="E19" s="142">
        <v>2003</v>
      </c>
      <c r="F19" s="142">
        <v>621</v>
      </c>
      <c r="G19" s="142">
        <v>50</v>
      </c>
      <c r="H19" s="142" t="s">
        <v>23</v>
      </c>
      <c r="I19" s="142">
        <f t="shared" si="0"/>
        <v>2674</v>
      </c>
      <c r="K19" s="142" t="s">
        <v>23</v>
      </c>
      <c r="L19" s="142" t="s">
        <v>23</v>
      </c>
      <c r="M19" s="142" t="s">
        <v>23</v>
      </c>
      <c r="N19" s="142">
        <f>20884+16</f>
        <v>20900</v>
      </c>
      <c r="O19" s="142">
        <v>23685</v>
      </c>
      <c r="P19" s="142">
        <v>1057</v>
      </c>
      <c r="Q19" s="142" t="s">
        <v>23</v>
      </c>
      <c r="R19" s="142">
        <f t="shared" si="1"/>
        <v>45642</v>
      </c>
    </row>
    <row r="20" spans="1:18" ht="13">
      <c r="A20" s="99" t="s">
        <v>203</v>
      </c>
      <c r="B20" s="142" t="s">
        <v>23</v>
      </c>
      <c r="C20" s="142" t="s">
        <v>23</v>
      </c>
      <c r="D20" s="142" t="s">
        <v>23</v>
      </c>
      <c r="E20" s="142">
        <v>2363</v>
      </c>
      <c r="F20" s="142">
        <v>380</v>
      </c>
      <c r="G20" s="142">
        <v>0</v>
      </c>
      <c r="H20" s="142" t="s">
        <v>23</v>
      </c>
      <c r="I20" s="142">
        <f t="shared" si="0"/>
        <v>2743</v>
      </c>
      <c r="K20" s="142" t="s">
        <v>23</v>
      </c>
      <c r="L20" s="142" t="s">
        <v>23</v>
      </c>
      <c r="M20" s="142" t="s">
        <v>23</v>
      </c>
      <c r="N20" s="142">
        <v>23339</v>
      </c>
      <c r="O20" s="142">
        <v>15131</v>
      </c>
      <c r="P20" s="142">
        <v>5</v>
      </c>
      <c r="Q20" s="142" t="s">
        <v>23</v>
      </c>
      <c r="R20" s="142">
        <f t="shared" si="1"/>
        <v>38475</v>
      </c>
    </row>
    <row r="21" spans="1:18" ht="13">
      <c r="A21" s="99" t="s">
        <v>204</v>
      </c>
      <c r="B21" s="142" t="s">
        <v>23</v>
      </c>
      <c r="C21" s="142">
        <v>118</v>
      </c>
      <c r="D21" s="142" t="s">
        <v>23</v>
      </c>
      <c r="E21" s="142">
        <v>964</v>
      </c>
      <c r="F21" s="142">
        <v>33</v>
      </c>
      <c r="G21" s="142" t="s">
        <v>23</v>
      </c>
      <c r="H21" s="142" t="s">
        <v>23</v>
      </c>
      <c r="I21" s="142">
        <f t="shared" si="0"/>
        <v>1115</v>
      </c>
      <c r="K21" s="142" t="s">
        <v>23</v>
      </c>
      <c r="L21" s="142">
        <v>32</v>
      </c>
      <c r="M21" s="142" t="s">
        <v>23</v>
      </c>
      <c r="N21" s="142">
        <v>12949</v>
      </c>
      <c r="O21" s="142">
        <v>11637</v>
      </c>
      <c r="P21" s="142">
        <v>83</v>
      </c>
      <c r="Q21" s="142" t="s">
        <v>23</v>
      </c>
      <c r="R21" s="142">
        <f t="shared" si="1"/>
        <v>24701</v>
      </c>
    </row>
    <row r="22" spans="1:18" ht="13">
      <c r="A22" s="99" t="s">
        <v>205</v>
      </c>
      <c r="B22" s="142" t="s">
        <v>23</v>
      </c>
      <c r="C22" s="142">
        <v>178</v>
      </c>
      <c r="D22" s="142" t="s">
        <v>23</v>
      </c>
      <c r="E22" s="142">
        <v>1002</v>
      </c>
      <c r="F22" s="142">
        <v>380</v>
      </c>
      <c r="G22" s="142">
        <v>124</v>
      </c>
      <c r="H22" s="142" t="s">
        <v>23</v>
      </c>
      <c r="I22" s="142">
        <f t="shared" si="0"/>
        <v>1684</v>
      </c>
      <c r="K22" s="142" t="s">
        <v>23</v>
      </c>
      <c r="L22" s="142">
        <v>48</v>
      </c>
      <c r="M22" s="142" t="s">
        <v>23</v>
      </c>
      <c r="N22" s="142">
        <v>10673</v>
      </c>
      <c r="O22" s="142">
        <v>12614</v>
      </c>
      <c r="P22" s="142">
        <v>3860</v>
      </c>
      <c r="Q22" s="142" t="s">
        <v>23</v>
      </c>
      <c r="R22" s="142">
        <f t="shared" si="1"/>
        <v>27195</v>
      </c>
    </row>
    <row r="23" spans="1:18">
      <c r="A23" s="99">
        <v>1994</v>
      </c>
      <c r="B23" s="142" t="s">
        <v>23</v>
      </c>
      <c r="C23" s="142" t="s">
        <v>23</v>
      </c>
      <c r="D23" s="142" t="s">
        <v>23</v>
      </c>
      <c r="E23" s="142" t="s">
        <v>23</v>
      </c>
      <c r="F23" s="142" t="s">
        <v>23</v>
      </c>
      <c r="G23" s="142" t="s">
        <v>23</v>
      </c>
      <c r="H23" s="142" t="s">
        <v>23</v>
      </c>
      <c r="I23" s="142" t="s">
        <v>23</v>
      </c>
      <c r="K23" s="142" t="s">
        <v>23</v>
      </c>
      <c r="L23" s="142" t="s">
        <v>23</v>
      </c>
      <c r="M23" s="142" t="s">
        <v>23</v>
      </c>
      <c r="N23" s="142" t="s">
        <v>23</v>
      </c>
      <c r="O23" s="142" t="s">
        <v>23</v>
      </c>
      <c r="P23" s="142" t="s">
        <v>23</v>
      </c>
      <c r="Q23" s="142" t="s">
        <v>23</v>
      </c>
      <c r="R23" s="142" t="s">
        <v>23</v>
      </c>
    </row>
    <row r="24" spans="1:18">
      <c r="A24" s="99">
        <v>1995</v>
      </c>
      <c r="B24" s="142" t="s">
        <v>23</v>
      </c>
      <c r="C24" s="142" t="s">
        <v>23</v>
      </c>
      <c r="D24" s="142" t="s">
        <v>23</v>
      </c>
      <c r="E24" s="142" t="s">
        <v>23</v>
      </c>
      <c r="F24" s="142">
        <v>136</v>
      </c>
      <c r="G24" s="142" t="s">
        <v>23</v>
      </c>
      <c r="H24" s="142" t="s">
        <v>23</v>
      </c>
      <c r="I24" s="142">
        <f>SUM(B24:H24)</f>
        <v>136</v>
      </c>
      <c r="K24" s="142" t="s">
        <v>23</v>
      </c>
      <c r="L24" s="142" t="s">
        <v>23</v>
      </c>
      <c r="M24" s="142" t="s">
        <v>23</v>
      </c>
      <c r="N24" s="142" t="s">
        <v>23</v>
      </c>
      <c r="O24" s="142">
        <v>12826</v>
      </c>
      <c r="P24" s="142">
        <v>17</v>
      </c>
      <c r="Q24" s="142" t="s">
        <v>23</v>
      </c>
      <c r="R24" s="142">
        <f t="shared" ref="R24:R35" si="2">SUM(K24:Q24)</f>
        <v>12843</v>
      </c>
    </row>
    <row r="25" spans="1:18" ht="13">
      <c r="A25" s="99" t="s">
        <v>206</v>
      </c>
      <c r="B25" s="142" t="s">
        <v>23</v>
      </c>
      <c r="C25" s="142" t="s">
        <v>23</v>
      </c>
      <c r="D25" s="142" t="s">
        <v>23</v>
      </c>
      <c r="E25" s="142" t="s">
        <v>23</v>
      </c>
      <c r="F25" s="142">
        <v>55</v>
      </c>
      <c r="G25" s="142">
        <v>5</v>
      </c>
      <c r="H25" s="142" t="s">
        <v>23</v>
      </c>
      <c r="I25" s="142">
        <f>SUM(B25:H25)</f>
        <v>60</v>
      </c>
      <c r="K25" s="142" t="s">
        <v>23</v>
      </c>
      <c r="L25" s="142" t="s">
        <v>23</v>
      </c>
      <c r="M25" s="142" t="s">
        <v>23</v>
      </c>
      <c r="N25" s="142" t="s">
        <v>23</v>
      </c>
      <c r="O25" s="142">
        <v>6634</v>
      </c>
      <c r="P25" s="142">
        <v>2327</v>
      </c>
      <c r="Q25" s="142" t="s">
        <v>23</v>
      </c>
      <c r="R25" s="142">
        <f t="shared" si="2"/>
        <v>8961</v>
      </c>
    </row>
    <row r="26" spans="1:18" ht="13">
      <c r="A26" s="99" t="s">
        <v>207</v>
      </c>
      <c r="B26" s="142" t="s">
        <v>23</v>
      </c>
      <c r="C26" s="142" t="s">
        <v>23</v>
      </c>
      <c r="D26" s="142" t="s">
        <v>23</v>
      </c>
      <c r="E26" s="142">
        <v>478</v>
      </c>
      <c r="F26" s="142">
        <v>8</v>
      </c>
      <c r="G26" s="142" t="s">
        <v>23</v>
      </c>
      <c r="H26" s="142" t="s">
        <v>23</v>
      </c>
      <c r="I26" s="142">
        <f>SUM(B26:H26)</f>
        <v>486</v>
      </c>
      <c r="K26" s="142" t="s">
        <v>23</v>
      </c>
      <c r="L26" s="142" t="s">
        <v>23</v>
      </c>
      <c r="M26" s="142" t="s">
        <v>23</v>
      </c>
      <c r="N26" s="142">
        <v>0</v>
      </c>
      <c r="O26" s="142">
        <v>1494</v>
      </c>
      <c r="P26" s="142" t="s">
        <v>23</v>
      </c>
      <c r="Q26" s="142" t="s">
        <v>23</v>
      </c>
      <c r="R26" s="142">
        <f t="shared" si="2"/>
        <v>1494</v>
      </c>
    </row>
    <row r="27" spans="1:18" ht="13">
      <c r="A27" s="99" t="s">
        <v>208</v>
      </c>
      <c r="B27" s="142" t="s">
        <v>23</v>
      </c>
      <c r="C27" s="142" t="s">
        <v>23</v>
      </c>
      <c r="D27" s="142" t="s">
        <v>23</v>
      </c>
      <c r="E27" s="142" t="s">
        <v>23</v>
      </c>
      <c r="F27" s="142">
        <v>103</v>
      </c>
      <c r="G27" s="142" t="s">
        <v>23</v>
      </c>
      <c r="H27" s="142" t="s">
        <v>23</v>
      </c>
      <c r="I27" s="142">
        <f>SUM(B27:H27)</f>
        <v>103</v>
      </c>
      <c r="K27" s="142" t="s">
        <v>23</v>
      </c>
      <c r="L27" s="142" t="s">
        <v>23</v>
      </c>
      <c r="M27" s="142" t="s">
        <v>23</v>
      </c>
      <c r="N27" s="142" t="s">
        <v>23</v>
      </c>
      <c r="O27" s="142">
        <v>8062</v>
      </c>
      <c r="P27" s="142" t="s">
        <v>23</v>
      </c>
      <c r="Q27" s="142" t="s">
        <v>23</v>
      </c>
      <c r="R27" s="142">
        <f t="shared" si="2"/>
        <v>8062</v>
      </c>
    </row>
    <row r="28" spans="1:18">
      <c r="A28" s="99">
        <v>1999</v>
      </c>
      <c r="B28" s="142" t="s">
        <v>23</v>
      </c>
      <c r="C28" s="142" t="s">
        <v>23</v>
      </c>
      <c r="D28" s="142" t="s">
        <v>23</v>
      </c>
      <c r="E28" s="142" t="s">
        <v>23</v>
      </c>
      <c r="F28" s="142" t="s">
        <v>23</v>
      </c>
      <c r="G28" s="142" t="s">
        <v>23</v>
      </c>
      <c r="H28" s="142" t="s">
        <v>23</v>
      </c>
      <c r="I28" s="142" t="s">
        <v>23</v>
      </c>
      <c r="K28" s="142" t="s">
        <v>23</v>
      </c>
      <c r="L28" s="142" t="s">
        <v>23</v>
      </c>
      <c r="M28" s="142" t="s">
        <v>23</v>
      </c>
      <c r="N28" s="142">
        <v>1456</v>
      </c>
      <c r="O28" s="142">
        <v>2963</v>
      </c>
      <c r="P28" s="142">
        <v>951</v>
      </c>
      <c r="Q28" s="142" t="s">
        <v>23</v>
      </c>
      <c r="R28" s="142">
        <f t="shared" si="2"/>
        <v>5370</v>
      </c>
    </row>
    <row r="29" spans="1:18" ht="13">
      <c r="A29" s="99" t="s">
        <v>209</v>
      </c>
      <c r="B29" s="142" t="s">
        <v>23</v>
      </c>
      <c r="C29" s="142" t="s">
        <v>23</v>
      </c>
      <c r="D29" s="142" t="s">
        <v>23</v>
      </c>
      <c r="E29" s="142">
        <v>313</v>
      </c>
      <c r="F29" s="142">
        <v>105</v>
      </c>
      <c r="G29" s="142" t="s">
        <v>23</v>
      </c>
      <c r="H29" s="142" t="s">
        <v>23</v>
      </c>
      <c r="I29" s="142">
        <f t="shared" ref="I29:I50" si="3">SUM(B29:H29)</f>
        <v>418</v>
      </c>
      <c r="K29" s="142" t="s">
        <v>23</v>
      </c>
      <c r="L29" s="142" t="s">
        <v>23</v>
      </c>
      <c r="M29" s="142" t="s">
        <v>23</v>
      </c>
      <c r="N29" s="142">
        <v>3603</v>
      </c>
      <c r="O29" s="142">
        <v>5960</v>
      </c>
      <c r="P29" s="142">
        <v>2067</v>
      </c>
      <c r="Q29" s="142" t="s">
        <v>23</v>
      </c>
      <c r="R29" s="142">
        <f t="shared" si="2"/>
        <v>11630</v>
      </c>
    </row>
    <row r="30" spans="1:18">
      <c r="A30" s="99">
        <v>2001</v>
      </c>
      <c r="B30" s="142" t="s">
        <v>23</v>
      </c>
      <c r="C30" s="142" t="s">
        <v>23</v>
      </c>
      <c r="D30" s="142" t="s">
        <v>23</v>
      </c>
      <c r="E30" s="142">
        <v>1103</v>
      </c>
      <c r="F30" s="142">
        <v>366</v>
      </c>
      <c r="G30" s="142">
        <v>54</v>
      </c>
      <c r="H30" s="142" t="s">
        <v>23</v>
      </c>
      <c r="I30" s="142">
        <f t="shared" si="3"/>
        <v>1523</v>
      </c>
      <c r="K30" s="142" t="s">
        <v>23</v>
      </c>
      <c r="L30" s="142" t="s">
        <v>23</v>
      </c>
      <c r="M30" s="142" t="s">
        <v>23</v>
      </c>
      <c r="N30" s="142">
        <v>9840</v>
      </c>
      <c r="O30" s="142">
        <v>6936</v>
      </c>
      <c r="P30" s="142">
        <v>1101</v>
      </c>
      <c r="Q30" s="142" t="s">
        <v>23</v>
      </c>
      <c r="R30" s="142">
        <f t="shared" si="2"/>
        <v>17877</v>
      </c>
    </row>
    <row r="31" spans="1:18">
      <c r="A31" s="99">
        <v>2002</v>
      </c>
      <c r="B31" s="142" t="s">
        <v>23</v>
      </c>
      <c r="C31" s="142">
        <v>234</v>
      </c>
      <c r="D31" s="142">
        <v>1225</v>
      </c>
      <c r="E31" s="142">
        <v>3004</v>
      </c>
      <c r="F31" s="142">
        <v>757</v>
      </c>
      <c r="G31" s="142">
        <v>7</v>
      </c>
      <c r="H31" s="142" t="s">
        <v>23</v>
      </c>
      <c r="I31" s="142">
        <f t="shared" si="3"/>
        <v>5227</v>
      </c>
      <c r="K31" s="142" t="s">
        <v>23</v>
      </c>
      <c r="L31" s="142" t="s">
        <v>23</v>
      </c>
      <c r="M31" s="142" t="s">
        <v>23</v>
      </c>
      <c r="N31" s="142">
        <v>1792</v>
      </c>
      <c r="O31" s="142">
        <v>5419</v>
      </c>
      <c r="P31" s="142">
        <v>1185</v>
      </c>
      <c r="Q31" s="142" t="s">
        <v>23</v>
      </c>
      <c r="R31" s="142">
        <f t="shared" si="2"/>
        <v>8396</v>
      </c>
    </row>
    <row r="32" spans="1:18">
      <c r="A32" s="99">
        <v>2003</v>
      </c>
      <c r="B32" s="142" t="s">
        <v>23</v>
      </c>
      <c r="C32" s="142" t="s">
        <v>23</v>
      </c>
      <c r="D32" s="142">
        <v>589</v>
      </c>
      <c r="E32" s="142">
        <v>3071</v>
      </c>
      <c r="F32" s="142">
        <v>997</v>
      </c>
      <c r="G32" s="142">
        <v>40</v>
      </c>
      <c r="H32" s="142" t="s">
        <v>23</v>
      </c>
      <c r="I32" s="142">
        <f t="shared" si="3"/>
        <v>4697</v>
      </c>
      <c r="K32" s="142" t="s">
        <v>23</v>
      </c>
      <c r="L32" s="142" t="s">
        <v>23</v>
      </c>
      <c r="M32" s="142">
        <v>785</v>
      </c>
      <c r="N32" s="142">
        <v>9104</v>
      </c>
      <c r="O32" s="142">
        <v>8721</v>
      </c>
      <c r="P32" s="142">
        <v>1139</v>
      </c>
      <c r="Q32" s="142" t="s">
        <v>23</v>
      </c>
      <c r="R32" s="142">
        <f t="shared" si="2"/>
        <v>19749</v>
      </c>
    </row>
    <row r="33" spans="1:18">
      <c r="A33" s="99">
        <v>2004</v>
      </c>
      <c r="B33" s="142" t="s">
        <v>23</v>
      </c>
      <c r="C33" s="142" t="s">
        <v>23</v>
      </c>
      <c r="D33" s="142">
        <v>235</v>
      </c>
      <c r="E33" s="142">
        <v>4117</v>
      </c>
      <c r="F33" s="142">
        <v>1090</v>
      </c>
      <c r="G33" s="142">
        <v>73</v>
      </c>
      <c r="H33" s="142" t="s">
        <v>23</v>
      </c>
      <c r="I33" s="142">
        <f t="shared" si="3"/>
        <v>5515</v>
      </c>
      <c r="K33" s="142" t="s">
        <v>23</v>
      </c>
      <c r="L33" s="142" t="s">
        <v>23</v>
      </c>
      <c r="M33" s="142">
        <v>361</v>
      </c>
      <c r="N33" s="142">
        <v>14188</v>
      </c>
      <c r="O33" s="142">
        <v>13846</v>
      </c>
      <c r="P33" s="142">
        <v>1005</v>
      </c>
      <c r="Q33" s="142" t="s">
        <v>23</v>
      </c>
      <c r="R33" s="142">
        <f t="shared" si="2"/>
        <v>29400</v>
      </c>
    </row>
    <row r="34" spans="1:18">
      <c r="A34" s="99">
        <v>2005</v>
      </c>
      <c r="B34" s="142" t="s">
        <v>23</v>
      </c>
      <c r="C34" s="142" t="s">
        <v>23</v>
      </c>
      <c r="D34" s="142" t="s">
        <v>23</v>
      </c>
      <c r="E34" s="142">
        <v>2254.4236039019879</v>
      </c>
      <c r="F34" s="142">
        <v>316.39951407676233</v>
      </c>
      <c r="G34" s="142">
        <v>212.95023116709282</v>
      </c>
      <c r="H34" s="142" t="s">
        <v>23</v>
      </c>
      <c r="I34" s="142">
        <f t="shared" si="3"/>
        <v>2783.773349145843</v>
      </c>
      <c r="K34" s="142" t="s">
        <v>23</v>
      </c>
      <c r="L34" s="142" t="s">
        <v>23</v>
      </c>
      <c r="M34" s="142" t="s">
        <v>23</v>
      </c>
      <c r="N34" s="142">
        <v>7032.7660887389111</v>
      </c>
      <c r="O34" s="142">
        <v>2420.1517073611403</v>
      </c>
      <c r="P34" s="142">
        <v>764.63443151327692</v>
      </c>
      <c r="Q34" s="142" t="s">
        <v>23</v>
      </c>
      <c r="R34" s="142">
        <f t="shared" si="2"/>
        <v>10217.552227613329</v>
      </c>
    </row>
    <row r="35" spans="1:18">
      <c r="A35" s="99">
        <v>2006</v>
      </c>
      <c r="B35" s="142" t="s">
        <v>23</v>
      </c>
      <c r="C35" s="142" t="s">
        <v>23</v>
      </c>
      <c r="D35" s="142">
        <v>166.48</v>
      </c>
      <c r="E35" s="142">
        <v>734.4</v>
      </c>
      <c r="F35" s="142">
        <v>442.92</v>
      </c>
      <c r="G35" s="142">
        <v>73.27</v>
      </c>
      <c r="H35" s="142" t="s">
        <v>23</v>
      </c>
      <c r="I35" s="142">
        <f t="shared" si="3"/>
        <v>1417.07</v>
      </c>
      <c r="K35" s="142" t="s">
        <v>23</v>
      </c>
      <c r="L35" s="142" t="s">
        <v>23</v>
      </c>
      <c r="M35" s="142">
        <v>380.49</v>
      </c>
      <c r="N35" s="142">
        <v>3762.92</v>
      </c>
      <c r="O35" s="142">
        <v>1570.31</v>
      </c>
      <c r="P35" s="142">
        <v>309.2</v>
      </c>
      <c r="Q35" s="142" t="s">
        <v>23</v>
      </c>
      <c r="R35" s="142">
        <f t="shared" si="2"/>
        <v>6022.9199999999992</v>
      </c>
    </row>
    <row r="36" spans="1:18">
      <c r="A36" s="99">
        <v>2007</v>
      </c>
      <c r="B36" s="142" t="s">
        <v>23</v>
      </c>
      <c r="C36" s="142" t="s">
        <v>23</v>
      </c>
      <c r="D36" s="142" t="s">
        <v>23</v>
      </c>
      <c r="E36" s="142">
        <v>1178.51</v>
      </c>
      <c r="F36" s="142">
        <v>245.24</v>
      </c>
      <c r="G36" s="142">
        <v>46.79</v>
      </c>
      <c r="H36" s="142" t="s">
        <v>23</v>
      </c>
      <c r="I36" s="142">
        <f t="shared" si="3"/>
        <v>1470.54</v>
      </c>
      <c r="K36" s="142" t="s">
        <v>23</v>
      </c>
      <c r="L36" s="142" t="s">
        <v>23</v>
      </c>
      <c r="M36" s="142" t="s">
        <v>23</v>
      </c>
      <c r="N36" s="142">
        <v>4981.05</v>
      </c>
      <c r="O36" s="142">
        <v>4996.53</v>
      </c>
      <c r="P36" s="142">
        <v>630.54999999999995</v>
      </c>
      <c r="Q36" s="142" t="s">
        <v>23</v>
      </c>
      <c r="R36" s="142">
        <f>SUM(K36:Q36)</f>
        <v>10608.13</v>
      </c>
    </row>
    <row r="37" spans="1:18" ht="13">
      <c r="A37" s="99" t="s">
        <v>210</v>
      </c>
      <c r="B37" s="142" t="s">
        <v>23</v>
      </c>
      <c r="C37" s="142" t="s">
        <v>23</v>
      </c>
      <c r="D37" s="142">
        <v>311.37</v>
      </c>
      <c r="E37" s="142">
        <v>725.42</v>
      </c>
      <c r="F37" s="142">
        <v>317.22000000000003</v>
      </c>
      <c r="G37" s="142">
        <v>2.54</v>
      </c>
      <c r="H37" s="142" t="s">
        <v>23</v>
      </c>
      <c r="I37" s="142">
        <f t="shared" si="3"/>
        <v>1356.55</v>
      </c>
      <c r="K37" s="142" t="s">
        <v>23</v>
      </c>
      <c r="L37" s="142" t="s">
        <v>23</v>
      </c>
      <c r="M37" s="142" t="s">
        <v>23</v>
      </c>
      <c r="N37" s="142">
        <v>679.3</v>
      </c>
      <c r="O37" s="142">
        <v>1458.92</v>
      </c>
      <c r="P37" s="142">
        <v>22.54</v>
      </c>
      <c r="Q37" s="142" t="s">
        <v>23</v>
      </c>
      <c r="R37" s="142">
        <f t="shared" ref="R37:R50" si="4">SUM(K37:Q37)</f>
        <v>2160.7600000000002</v>
      </c>
    </row>
    <row r="38" spans="1:18">
      <c r="A38" s="99">
        <v>2009</v>
      </c>
      <c r="B38" s="142" t="s">
        <v>23</v>
      </c>
      <c r="C38" s="142" t="s">
        <v>23</v>
      </c>
      <c r="D38" s="142">
        <v>51.18</v>
      </c>
      <c r="E38" s="142">
        <v>1277.05</v>
      </c>
      <c r="F38" s="142">
        <v>1071.07</v>
      </c>
      <c r="G38" s="142">
        <v>47.25</v>
      </c>
      <c r="H38" s="142" t="s">
        <v>23</v>
      </c>
      <c r="I38" s="142">
        <f t="shared" si="3"/>
        <v>2446.5500000000002</v>
      </c>
      <c r="K38" s="142" t="s">
        <v>23</v>
      </c>
      <c r="L38" s="142" t="s">
        <v>23</v>
      </c>
      <c r="M38" s="142">
        <v>118.04</v>
      </c>
      <c r="N38" s="142">
        <v>4806.9799999999996</v>
      </c>
      <c r="O38" s="142">
        <v>7499.52</v>
      </c>
      <c r="P38" s="142">
        <v>911.92</v>
      </c>
      <c r="Q38" s="142" t="s">
        <v>23</v>
      </c>
      <c r="R38" s="142">
        <f t="shared" si="4"/>
        <v>13336.460000000001</v>
      </c>
    </row>
    <row r="39" spans="1:18">
      <c r="A39" s="99">
        <v>2010</v>
      </c>
      <c r="B39" s="142" t="s">
        <v>23</v>
      </c>
      <c r="C39" s="142" t="s">
        <v>23</v>
      </c>
      <c r="D39" s="142">
        <v>144.34</v>
      </c>
      <c r="E39" s="142">
        <v>1572.79</v>
      </c>
      <c r="F39" s="142">
        <v>1452.5</v>
      </c>
      <c r="G39" s="142">
        <v>128.87</v>
      </c>
      <c r="H39" s="142" t="s">
        <v>23</v>
      </c>
      <c r="I39" s="142">
        <f t="shared" si="3"/>
        <v>3298.5</v>
      </c>
      <c r="K39" s="142" t="s">
        <v>23</v>
      </c>
      <c r="L39" s="142" t="s">
        <v>23</v>
      </c>
      <c r="M39" s="142">
        <v>1.32</v>
      </c>
      <c r="N39" s="142">
        <v>1925.87</v>
      </c>
      <c r="O39" s="142">
        <v>1609.24</v>
      </c>
      <c r="P39" s="142">
        <v>150.19999999999999</v>
      </c>
      <c r="Q39" s="142" t="s">
        <v>23</v>
      </c>
      <c r="R39" s="142">
        <f t="shared" si="4"/>
        <v>3686.6299999999997</v>
      </c>
    </row>
    <row r="40" spans="1:18">
      <c r="A40" s="99">
        <v>2011</v>
      </c>
      <c r="B40" s="142" t="s">
        <v>23</v>
      </c>
      <c r="C40" s="142" t="s">
        <v>23</v>
      </c>
      <c r="D40" s="142">
        <v>257.42</v>
      </c>
      <c r="E40" s="142">
        <v>1382.23</v>
      </c>
      <c r="F40" s="142">
        <v>1329.69</v>
      </c>
      <c r="G40" s="142">
        <v>13.7</v>
      </c>
      <c r="H40" s="142" t="s">
        <v>23</v>
      </c>
      <c r="I40" s="142">
        <f t="shared" si="3"/>
        <v>2983.04</v>
      </c>
      <c r="K40" s="142" t="s">
        <v>23</v>
      </c>
      <c r="L40" s="142" t="s">
        <v>23</v>
      </c>
      <c r="M40" s="142">
        <v>53.5</v>
      </c>
      <c r="N40" s="142">
        <v>1918.3</v>
      </c>
      <c r="O40" s="142">
        <v>942.62</v>
      </c>
      <c r="P40" s="142">
        <v>139.79</v>
      </c>
      <c r="Q40" s="142" t="s">
        <v>23</v>
      </c>
      <c r="R40" s="142">
        <f t="shared" si="4"/>
        <v>3054.21</v>
      </c>
    </row>
    <row r="41" spans="1:18">
      <c r="A41" s="99">
        <v>2012</v>
      </c>
      <c r="B41" s="142" t="s">
        <v>23</v>
      </c>
      <c r="C41" s="142" t="s">
        <v>23</v>
      </c>
      <c r="D41" s="142">
        <v>811.99</v>
      </c>
      <c r="E41" s="142">
        <v>3524.39</v>
      </c>
      <c r="F41" s="142">
        <v>1173.33</v>
      </c>
      <c r="G41" s="142">
        <v>41.96</v>
      </c>
      <c r="H41" s="142" t="s">
        <v>23</v>
      </c>
      <c r="I41" s="142">
        <f t="shared" si="3"/>
        <v>5551.67</v>
      </c>
      <c r="K41" s="142" t="s">
        <v>23</v>
      </c>
      <c r="L41" s="142" t="s">
        <v>23</v>
      </c>
      <c r="M41" s="142">
        <v>27.25</v>
      </c>
      <c r="N41" s="142">
        <v>3642.76</v>
      </c>
      <c r="O41" s="142">
        <v>3094.33</v>
      </c>
      <c r="P41" s="142">
        <v>783.7</v>
      </c>
      <c r="Q41" s="142" t="s">
        <v>23</v>
      </c>
      <c r="R41" s="142">
        <f t="shared" si="4"/>
        <v>7548.04</v>
      </c>
    </row>
    <row r="42" spans="1:18">
      <c r="A42" s="99">
        <v>2013</v>
      </c>
      <c r="B42" s="142" t="s">
        <v>23</v>
      </c>
      <c r="C42" s="142">
        <v>126.69</v>
      </c>
      <c r="D42" s="142">
        <v>635.41999999999996</v>
      </c>
      <c r="E42" s="142">
        <v>3266.69</v>
      </c>
      <c r="F42" s="142">
        <v>2141.6999999999998</v>
      </c>
      <c r="G42" s="142">
        <v>74.34</v>
      </c>
      <c r="H42" s="142" t="s">
        <v>23</v>
      </c>
      <c r="I42" s="142">
        <f t="shared" si="3"/>
        <v>6244.84</v>
      </c>
      <c r="K42" s="142" t="s">
        <v>23</v>
      </c>
      <c r="L42" s="142" t="s">
        <v>23</v>
      </c>
      <c r="M42" s="142">
        <v>257.07</v>
      </c>
      <c r="N42" s="142">
        <v>3081.81</v>
      </c>
      <c r="O42" s="142">
        <v>2934.37</v>
      </c>
      <c r="P42" s="142">
        <v>232.91</v>
      </c>
      <c r="Q42" s="142" t="s">
        <v>23</v>
      </c>
      <c r="R42" s="142">
        <f t="shared" si="4"/>
        <v>6506.16</v>
      </c>
    </row>
    <row r="43" spans="1:18">
      <c r="A43" s="99">
        <v>2014</v>
      </c>
      <c r="B43" s="142" t="s">
        <v>23</v>
      </c>
      <c r="C43" s="142">
        <v>158.1</v>
      </c>
      <c r="D43" s="142">
        <v>947.74</v>
      </c>
      <c r="E43" s="142">
        <v>3975.11</v>
      </c>
      <c r="F43" s="142">
        <v>805.97</v>
      </c>
      <c r="G43" s="142">
        <v>47.73</v>
      </c>
      <c r="H43" s="142" t="s">
        <v>23</v>
      </c>
      <c r="I43" s="142">
        <f t="shared" si="3"/>
        <v>5934.65</v>
      </c>
      <c r="K43" s="142" t="s">
        <v>23</v>
      </c>
      <c r="L43" s="142" t="s">
        <v>23</v>
      </c>
      <c r="M43" s="142">
        <v>187.93</v>
      </c>
      <c r="N43" s="142">
        <v>1733.81</v>
      </c>
      <c r="O43" s="142">
        <v>2243.52</v>
      </c>
      <c r="P43" s="142">
        <v>1477.86</v>
      </c>
      <c r="Q43" s="142" t="s">
        <v>23</v>
      </c>
      <c r="R43" s="142">
        <f t="shared" si="4"/>
        <v>5643.12</v>
      </c>
    </row>
    <row r="44" spans="1:18">
      <c r="A44" s="99">
        <v>2015</v>
      </c>
      <c r="B44" s="142" t="s">
        <v>23</v>
      </c>
      <c r="C44" s="142">
        <v>95.83</v>
      </c>
      <c r="D44" s="142">
        <v>1577.15</v>
      </c>
      <c r="E44" s="142">
        <v>6195.94</v>
      </c>
      <c r="F44" s="142">
        <v>522.34</v>
      </c>
      <c r="G44" s="142">
        <v>106.54</v>
      </c>
      <c r="H44" s="142" t="s">
        <v>23</v>
      </c>
      <c r="I44" s="142">
        <f>SUM(B44:H44)</f>
        <v>8497.8000000000011</v>
      </c>
      <c r="K44" s="142" t="s">
        <v>23</v>
      </c>
      <c r="L44" s="142" t="s">
        <v>23</v>
      </c>
      <c r="M44" s="142">
        <v>213.55</v>
      </c>
      <c r="N44" s="142">
        <v>2136.71</v>
      </c>
      <c r="O44" s="142">
        <v>1273.51</v>
      </c>
      <c r="P44" s="142">
        <v>4140</v>
      </c>
      <c r="Q44" s="142" t="s">
        <v>23</v>
      </c>
      <c r="R44" s="142">
        <f>SUM(K44:Q44)</f>
        <v>7763.77</v>
      </c>
    </row>
    <row r="45" spans="1:18">
      <c r="A45" s="99">
        <v>2016</v>
      </c>
      <c r="B45" s="142" t="s">
        <v>23</v>
      </c>
      <c r="C45" s="142" t="s">
        <v>23</v>
      </c>
      <c r="D45" s="142" t="s">
        <v>23</v>
      </c>
      <c r="E45" s="142">
        <v>3010.95</v>
      </c>
      <c r="F45" s="142">
        <v>254.88</v>
      </c>
      <c r="G45" s="142" t="s">
        <v>23</v>
      </c>
      <c r="H45" s="142" t="s">
        <v>23</v>
      </c>
      <c r="I45" s="142">
        <f>SUM(B45:H45)</f>
        <v>3265.83</v>
      </c>
      <c r="K45" s="142" t="s">
        <v>23</v>
      </c>
      <c r="L45" s="142" t="s">
        <v>23</v>
      </c>
      <c r="M45" s="142" t="s">
        <v>23</v>
      </c>
      <c r="N45" s="142">
        <v>30.12</v>
      </c>
      <c r="O45" s="142">
        <v>23.34</v>
      </c>
      <c r="P45" s="142" t="s">
        <v>23</v>
      </c>
      <c r="Q45" s="142" t="s">
        <v>23</v>
      </c>
      <c r="R45" s="142">
        <f>SUM(K45:Q45)</f>
        <v>53.46</v>
      </c>
    </row>
    <row r="46" spans="1:18">
      <c r="A46" s="99">
        <v>2017</v>
      </c>
      <c r="B46" s="142" t="s">
        <v>23</v>
      </c>
      <c r="C46" s="142" t="s">
        <v>23</v>
      </c>
      <c r="D46" s="142">
        <v>243.76</v>
      </c>
      <c r="E46" s="142">
        <v>6133.98</v>
      </c>
      <c r="F46" s="142">
        <v>855.52</v>
      </c>
      <c r="G46" s="142">
        <v>53.91</v>
      </c>
      <c r="H46" s="142" t="s">
        <v>23</v>
      </c>
      <c r="I46" s="142">
        <f>SUM(B46:H46)</f>
        <v>7287.17</v>
      </c>
      <c r="K46" s="142" t="s">
        <v>23</v>
      </c>
      <c r="L46" s="142" t="s">
        <v>23</v>
      </c>
      <c r="M46" s="142">
        <v>44.77</v>
      </c>
      <c r="N46" s="142">
        <v>1767.2</v>
      </c>
      <c r="O46" s="142">
        <v>1213.7</v>
      </c>
      <c r="P46" s="142">
        <v>507.01</v>
      </c>
      <c r="Q46" s="142" t="s">
        <v>23</v>
      </c>
      <c r="R46" s="142">
        <f>SUM(K46:Q46)</f>
        <v>3532.6800000000003</v>
      </c>
    </row>
    <row r="47" spans="1:18">
      <c r="A47" s="99">
        <v>2018</v>
      </c>
      <c r="B47" s="142" t="s">
        <v>23</v>
      </c>
      <c r="C47" s="142" t="s">
        <v>23</v>
      </c>
      <c r="D47" s="142">
        <v>351.74</v>
      </c>
      <c r="E47" s="142">
        <v>2268.5700000000002</v>
      </c>
      <c r="F47" s="142">
        <v>420.47</v>
      </c>
      <c r="G47" s="142" t="s">
        <v>23</v>
      </c>
      <c r="H47" s="142" t="s">
        <v>23</v>
      </c>
      <c r="I47" s="142">
        <f>SUM(B47:H47)</f>
        <v>3040.7800000000007</v>
      </c>
      <c r="K47" s="142" t="s">
        <v>23</v>
      </c>
      <c r="L47" s="142" t="s">
        <v>23</v>
      </c>
      <c r="M47" s="142">
        <v>548.48</v>
      </c>
      <c r="N47" s="142">
        <v>3169.66</v>
      </c>
      <c r="O47" s="142">
        <v>1220.56</v>
      </c>
      <c r="P47" s="142" t="s">
        <v>23</v>
      </c>
      <c r="Q47" s="142" t="s">
        <v>23</v>
      </c>
      <c r="R47" s="142">
        <f>SUM(K47:Q47)</f>
        <v>4938.7</v>
      </c>
    </row>
    <row r="48" spans="1:18">
      <c r="A48" s="99">
        <v>2019</v>
      </c>
      <c r="B48" s="142" t="s">
        <v>23</v>
      </c>
      <c r="C48" s="142" t="s">
        <v>23</v>
      </c>
      <c r="D48" s="142">
        <v>1474.38</v>
      </c>
      <c r="E48" s="142">
        <v>2384.63</v>
      </c>
      <c r="F48" s="142" t="s">
        <v>23</v>
      </c>
      <c r="G48" s="142" t="s">
        <v>23</v>
      </c>
      <c r="H48" s="142" t="s">
        <v>23</v>
      </c>
      <c r="I48" s="142">
        <f t="shared" ref="I48:I49" si="5">SUM(B48:H48)</f>
        <v>3859.01</v>
      </c>
      <c r="K48" s="142" t="s">
        <v>23</v>
      </c>
      <c r="L48" s="142" t="s">
        <v>23</v>
      </c>
      <c r="M48" s="142">
        <v>753.88</v>
      </c>
      <c r="N48" s="142">
        <v>3343.59</v>
      </c>
      <c r="O48" s="142">
        <v>1763.54</v>
      </c>
      <c r="P48" s="142">
        <v>318.23</v>
      </c>
      <c r="Q48" s="142" t="s">
        <v>23</v>
      </c>
      <c r="R48" s="142">
        <f t="shared" ref="R48:R49" si="6">SUM(K48:Q48)</f>
        <v>6179.24</v>
      </c>
    </row>
    <row r="49" spans="1:18" ht="13">
      <c r="A49" s="239" t="s">
        <v>307</v>
      </c>
      <c r="B49" s="142" t="s">
        <v>23</v>
      </c>
      <c r="C49" s="142" t="s">
        <v>23</v>
      </c>
      <c r="D49" s="142">
        <v>550.71</v>
      </c>
      <c r="E49" s="142">
        <v>1400.36</v>
      </c>
      <c r="F49" s="142">
        <v>49.42</v>
      </c>
      <c r="G49" s="142" t="s">
        <v>23</v>
      </c>
      <c r="H49" s="142" t="s">
        <v>23</v>
      </c>
      <c r="I49" s="142">
        <f t="shared" si="5"/>
        <v>2000.49</v>
      </c>
      <c r="K49" s="142" t="s">
        <v>23</v>
      </c>
      <c r="L49" s="142" t="s">
        <v>23</v>
      </c>
      <c r="M49" s="142">
        <v>49.98</v>
      </c>
      <c r="N49" s="142">
        <v>2381.15</v>
      </c>
      <c r="O49" s="142">
        <v>623.66</v>
      </c>
      <c r="P49" s="142" t="s">
        <v>23</v>
      </c>
      <c r="Q49" s="142" t="s">
        <v>23</v>
      </c>
      <c r="R49" s="142">
        <f t="shared" si="6"/>
        <v>3054.79</v>
      </c>
    </row>
    <row r="50" spans="1:18" ht="13">
      <c r="A50" s="239" t="s">
        <v>326</v>
      </c>
      <c r="B50" s="142" t="s">
        <v>23</v>
      </c>
      <c r="C50" s="142" t="s">
        <v>23</v>
      </c>
      <c r="D50" s="142">
        <v>632.5</v>
      </c>
      <c r="E50" s="142">
        <v>3541.76</v>
      </c>
      <c r="F50" s="142">
        <v>214.68</v>
      </c>
      <c r="G50" s="142">
        <v>28.01</v>
      </c>
      <c r="H50" s="142" t="s">
        <v>23</v>
      </c>
      <c r="I50" s="142">
        <f t="shared" si="3"/>
        <v>4416.9500000000007</v>
      </c>
      <c r="K50" s="142" t="s">
        <v>23</v>
      </c>
      <c r="L50" s="142" t="s">
        <v>23</v>
      </c>
      <c r="M50" s="142">
        <v>3.79</v>
      </c>
      <c r="N50" s="142">
        <v>1144.27</v>
      </c>
      <c r="O50" s="142">
        <v>1027.17</v>
      </c>
      <c r="P50" s="142">
        <v>442.45</v>
      </c>
      <c r="Q50" s="142" t="s">
        <v>23</v>
      </c>
      <c r="R50" s="142">
        <f t="shared" si="4"/>
        <v>2617.6799999999998</v>
      </c>
    </row>
    <row r="52" spans="1:18">
      <c r="A52" s="94" t="s">
        <v>60</v>
      </c>
    </row>
    <row r="53" spans="1:18">
      <c r="A53" s="99">
        <v>1976</v>
      </c>
      <c r="B53" s="142" t="s">
        <v>23</v>
      </c>
      <c r="C53" s="142">
        <v>37</v>
      </c>
      <c r="D53" s="142">
        <v>647</v>
      </c>
      <c r="E53" s="142">
        <v>2266</v>
      </c>
      <c r="F53" s="142">
        <v>2660</v>
      </c>
      <c r="G53" s="142">
        <v>1322</v>
      </c>
      <c r="H53" s="142">
        <v>14</v>
      </c>
      <c r="I53" s="142">
        <f t="shared" ref="I53:I70" si="7">SUM(B53:H53)</f>
        <v>6946</v>
      </c>
      <c r="K53" s="142" t="s">
        <v>23</v>
      </c>
      <c r="L53" s="142">
        <v>486</v>
      </c>
      <c r="M53" s="142">
        <v>2741</v>
      </c>
      <c r="N53" s="142">
        <v>17040</v>
      </c>
      <c r="O53" s="142">
        <v>32632</v>
      </c>
      <c r="P53" s="142">
        <v>10059</v>
      </c>
      <c r="Q53" s="142">
        <v>90</v>
      </c>
      <c r="R53" s="142">
        <f t="shared" ref="R53:R70" si="8">SUM(K53:Q53)</f>
        <v>63048</v>
      </c>
    </row>
    <row r="54" spans="1:18">
      <c r="A54" s="99">
        <v>1977</v>
      </c>
      <c r="B54" s="142">
        <v>0</v>
      </c>
      <c r="C54" s="142">
        <v>0</v>
      </c>
      <c r="D54" s="142">
        <v>61</v>
      </c>
      <c r="E54" s="142">
        <v>765</v>
      </c>
      <c r="F54" s="142">
        <v>1674</v>
      </c>
      <c r="G54" s="142">
        <v>230</v>
      </c>
      <c r="H54" s="142">
        <v>4</v>
      </c>
      <c r="I54" s="142">
        <f t="shared" si="7"/>
        <v>2734</v>
      </c>
      <c r="K54" s="142">
        <v>0</v>
      </c>
      <c r="L54" s="142">
        <v>528</v>
      </c>
      <c r="M54" s="142">
        <v>1308</v>
      </c>
      <c r="N54" s="142">
        <v>9445</v>
      </c>
      <c r="O54" s="142">
        <v>18571</v>
      </c>
      <c r="P54" s="142">
        <v>2712</v>
      </c>
      <c r="Q54" s="142">
        <v>40</v>
      </c>
      <c r="R54" s="142">
        <f t="shared" si="8"/>
        <v>32604</v>
      </c>
    </row>
    <row r="55" spans="1:18">
      <c r="A55" s="99">
        <v>1978</v>
      </c>
      <c r="B55" s="142">
        <v>0</v>
      </c>
      <c r="C55" s="142">
        <v>0</v>
      </c>
      <c r="D55" s="142">
        <v>14</v>
      </c>
      <c r="E55" s="142">
        <v>790</v>
      </c>
      <c r="F55" s="142">
        <v>1394</v>
      </c>
      <c r="G55" s="142">
        <v>89</v>
      </c>
      <c r="H55" s="142">
        <v>387</v>
      </c>
      <c r="I55" s="142">
        <f t="shared" si="7"/>
        <v>2674</v>
      </c>
      <c r="K55" s="142">
        <v>43</v>
      </c>
      <c r="L55" s="142">
        <v>129</v>
      </c>
      <c r="M55" s="142">
        <v>2090</v>
      </c>
      <c r="N55" s="142">
        <v>7710</v>
      </c>
      <c r="O55" s="142">
        <v>9015</v>
      </c>
      <c r="P55" s="142">
        <v>2746</v>
      </c>
      <c r="Q55" s="142">
        <v>0</v>
      </c>
      <c r="R55" s="142">
        <f t="shared" si="8"/>
        <v>21733</v>
      </c>
    </row>
    <row r="56" spans="1:18">
      <c r="A56" s="99">
        <v>1979</v>
      </c>
      <c r="B56" s="142" t="s">
        <v>23</v>
      </c>
      <c r="C56" s="142">
        <v>1</v>
      </c>
      <c r="D56" s="142">
        <v>25</v>
      </c>
      <c r="E56" s="142">
        <v>433</v>
      </c>
      <c r="F56" s="142">
        <v>516</v>
      </c>
      <c r="G56" s="142">
        <v>0</v>
      </c>
      <c r="H56" s="142" t="s">
        <v>23</v>
      </c>
      <c r="I56" s="142">
        <f t="shared" si="7"/>
        <v>975</v>
      </c>
      <c r="K56" s="142" t="s">
        <v>23</v>
      </c>
      <c r="L56" s="142">
        <v>57</v>
      </c>
      <c r="M56" s="142">
        <v>196</v>
      </c>
      <c r="N56" s="142">
        <v>2880</v>
      </c>
      <c r="O56" s="142">
        <v>8435</v>
      </c>
      <c r="P56" s="142">
        <v>0</v>
      </c>
      <c r="Q56" s="142" t="s">
        <v>23</v>
      </c>
      <c r="R56" s="142">
        <f t="shared" si="8"/>
        <v>11568</v>
      </c>
    </row>
    <row r="57" spans="1:18">
      <c r="A57" s="99">
        <v>1980</v>
      </c>
      <c r="B57" s="142" t="s">
        <v>23</v>
      </c>
      <c r="C57" s="142">
        <v>0</v>
      </c>
      <c r="D57" s="142">
        <v>56</v>
      </c>
      <c r="E57" s="142">
        <v>487</v>
      </c>
      <c r="F57" s="142">
        <v>346</v>
      </c>
      <c r="G57" s="142" t="s">
        <v>23</v>
      </c>
      <c r="H57" s="142" t="s">
        <v>23</v>
      </c>
      <c r="I57" s="142">
        <f t="shared" si="7"/>
        <v>889</v>
      </c>
      <c r="K57" s="142" t="s">
        <v>23</v>
      </c>
      <c r="L57" s="142">
        <v>156</v>
      </c>
      <c r="M57" s="142">
        <v>2018</v>
      </c>
      <c r="N57" s="142">
        <v>5854</v>
      </c>
      <c r="O57" s="142">
        <v>7337</v>
      </c>
      <c r="P57" s="142" t="s">
        <v>23</v>
      </c>
      <c r="Q57" s="142" t="s">
        <v>23</v>
      </c>
      <c r="R57" s="142">
        <f t="shared" si="8"/>
        <v>15365</v>
      </c>
    </row>
    <row r="58" spans="1:18">
      <c r="A58" s="99">
        <v>1981</v>
      </c>
      <c r="B58" s="142" t="s">
        <v>23</v>
      </c>
      <c r="C58" s="142">
        <v>0</v>
      </c>
      <c r="D58" s="142">
        <v>0</v>
      </c>
      <c r="E58" s="142">
        <v>0</v>
      </c>
      <c r="F58" s="142">
        <v>75</v>
      </c>
      <c r="G58" s="142" t="s">
        <v>23</v>
      </c>
      <c r="H58" s="142" t="s">
        <v>23</v>
      </c>
      <c r="I58" s="142">
        <f t="shared" si="7"/>
        <v>75</v>
      </c>
      <c r="K58" s="142" t="s">
        <v>23</v>
      </c>
      <c r="L58" s="142">
        <v>0</v>
      </c>
      <c r="M58" s="142">
        <v>0</v>
      </c>
      <c r="N58" s="142">
        <v>0</v>
      </c>
      <c r="O58" s="142">
        <v>1323</v>
      </c>
      <c r="P58" s="142" t="s">
        <v>23</v>
      </c>
      <c r="Q58" s="142" t="s">
        <v>23</v>
      </c>
      <c r="R58" s="142">
        <f t="shared" si="8"/>
        <v>1323</v>
      </c>
    </row>
    <row r="59" spans="1:18">
      <c r="A59" s="99">
        <v>1982</v>
      </c>
      <c r="B59" s="142" t="s">
        <v>23</v>
      </c>
      <c r="C59" s="142">
        <v>0</v>
      </c>
      <c r="D59" s="142">
        <v>16</v>
      </c>
      <c r="E59" s="142">
        <v>448</v>
      </c>
      <c r="F59" s="142">
        <v>534</v>
      </c>
      <c r="G59" s="142" t="s">
        <v>23</v>
      </c>
      <c r="H59" s="142" t="s">
        <v>23</v>
      </c>
      <c r="I59" s="142">
        <f t="shared" si="7"/>
        <v>998</v>
      </c>
      <c r="K59" s="142" t="s">
        <v>23</v>
      </c>
      <c r="L59" s="142" t="s">
        <v>23</v>
      </c>
      <c r="M59" s="142">
        <v>207</v>
      </c>
      <c r="N59" s="142">
        <v>3132</v>
      </c>
      <c r="O59" s="142">
        <v>5498</v>
      </c>
      <c r="P59" s="142" t="s">
        <v>23</v>
      </c>
      <c r="Q59" s="142" t="s">
        <v>23</v>
      </c>
      <c r="R59" s="142">
        <f t="shared" si="8"/>
        <v>8837</v>
      </c>
    </row>
    <row r="60" spans="1:18">
      <c r="A60" s="99">
        <v>1983</v>
      </c>
      <c r="B60" s="142" t="s">
        <v>23</v>
      </c>
      <c r="C60" s="142" t="s">
        <v>23</v>
      </c>
      <c r="D60" s="142" t="s">
        <v>23</v>
      </c>
      <c r="E60" s="142">
        <v>44</v>
      </c>
      <c r="F60" s="142">
        <v>87</v>
      </c>
      <c r="G60" s="142">
        <v>8</v>
      </c>
      <c r="H60" s="142" t="s">
        <v>23</v>
      </c>
      <c r="I60" s="142">
        <f t="shared" si="7"/>
        <v>139</v>
      </c>
      <c r="K60" s="142" t="s">
        <v>23</v>
      </c>
      <c r="L60" s="142" t="s">
        <v>23</v>
      </c>
      <c r="M60" s="142" t="s">
        <v>23</v>
      </c>
      <c r="N60" s="142">
        <v>571</v>
      </c>
      <c r="O60" s="142">
        <v>5845</v>
      </c>
      <c r="P60" s="142">
        <v>502</v>
      </c>
      <c r="Q60" s="142" t="s">
        <v>23</v>
      </c>
      <c r="R60" s="142">
        <f t="shared" si="8"/>
        <v>6918</v>
      </c>
    </row>
    <row r="61" spans="1:18">
      <c r="A61" s="99">
        <v>1984</v>
      </c>
      <c r="B61" s="142" t="s">
        <v>23</v>
      </c>
      <c r="C61" s="142" t="s">
        <v>23</v>
      </c>
      <c r="D61" s="142" t="s">
        <v>23</v>
      </c>
      <c r="E61" s="142">
        <v>3</v>
      </c>
      <c r="F61" s="142">
        <v>7</v>
      </c>
      <c r="G61" s="142" t="s">
        <v>23</v>
      </c>
      <c r="H61" s="142" t="s">
        <v>23</v>
      </c>
      <c r="I61" s="142">
        <f t="shared" si="7"/>
        <v>10</v>
      </c>
      <c r="K61" s="142" t="s">
        <v>23</v>
      </c>
      <c r="L61" s="142" t="s">
        <v>23</v>
      </c>
      <c r="M61" s="142" t="s">
        <v>23</v>
      </c>
      <c r="N61" s="142">
        <v>44</v>
      </c>
      <c r="O61" s="142">
        <v>113</v>
      </c>
      <c r="P61" s="142" t="s">
        <v>23</v>
      </c>
      <c r="Q61" s="142" t="s">
        <v>23</v>
      </c>
      <c r="R61" s="142">
        <f t="shared" si="8"/>
        <v>157</v>
      </c>
    </row>
    <row r="62" spans="1:18">
      <c r="A62" s="99">
        <v>1985</v>
      </c>
      <c r="B62" s="142" t="s">
        <v>23</v>
      </c>
      <c r="C62" s="142" t="s">
        <v>23</v>
      </c>
      <c r="D62" s="142">
        <v>5</v>
      </c>
      <c r="E62" s="142">
        <v>166</v>
      </c>
      <c r="F62" s="142">
        <v>129</v>
      </c>
      <c r="G62" s="142" t="s">
        <v>23</v>
      </c>
      <c r="H62" s="142" t="s">
        <v>23</v>
      </c>
      <c r="I62" s="142">
        <f t="shared" si="7"/>
        <v>300</v>
      </c>
      <c r="K62" s="142" t="s">
        <v>23</v>
      </c>
      <c r="L62" s="142" t="s">
        <v>23</v>
      </c>
      <c r="M62" s="142">
        <v>10</v>
      </c>
      <c r="N62" s="142">
        <v>557</v>
      </c>
      <c r="O62" s="142">
        <v>1153</v>
      </c>
      <c r="P62" s="142">
        <v>0</v>
      </c>
      <c r="Q62" s="142" t="s">
        <v>23</v>
      </c>
      <c r="R62" s="142">
        <f t="shared" si="8"/>
        <v>1720</v>
      </c>
    </row>
    <row r="63" spans="1:18">
      <c r="A63" s="99">
        <v>1986</v>
      </c>
      <c r="B63" s="142" t="s">
        <v>23</v>
      </c>
      <c r="C63" s="142" t="s">
        <v>23</v>
      </c>
      <c r="D63" s="142">
        <v>2</v>
      </c>
      <c r="E63" s="142">
        <v>138</v>
      </c>
      <c r="F63" s="142">
        <v>199</v>
      </c>
      <c r="G63" s="142" t="s">
        <v>23</v>
      </c>
      <c r="H63" s="142" t="s">
        <v>23</v>
      </c>
      <c r="I63" s="142">
        <f t="shared" si="7"/>
        <v>339</v>
      </c>
      <c r="K63" s="142" t="s">
        <v>23</v>
      </c>
      <c r="L63" s="142" t="s">
        <v>23</v>
      </c>
      <c r="M63" s="142">
        <v>78</v>
      </c>
      <c r="N63" s="142">
        <v>1141</v>
      </c>
      <c r="O63" s="142">
        <v>995</v>
      </c>
      <c r="P63" s="142" t="s">
        <v>23</v>
      </c>
      <c r="Q63" s="142" t="s">
        <v>23</v>
      </c>
      <c r="R63" s="142">
        <f t="shared" si="8"/>
        <v>2214</v>
      </c>
    </row>
    <row r="64" spans="1:18" ht="13">
      <c r="A64" s="99" t="s">
        <v>324</v>
      </c>
      <c r="B64" s="142" t="s">
        <v>23</v>
      </c>
      <c r="C64" s="142" t="s">
        <v>23</v>
      </c>
      <c r="D64" s="142">
        <v>17</v>
      </c>
      <c r="E64" s="142">
        <v>193</v>
      </c>
      <c r="F64" s="142">
        <v>4</v>
      </c>
      <c r="G64" s="142" t="s">
        <v>23</v>
      </c>
      <c r="H64" s="142" t="s">
        <v>23</v>
      </c>
      <c r="I64" s="142">
        <f t="shared" si="7"/>
        <v>214</v>
      </c>
      <c r="K64" s="142" t="s">
        <v>23</v>
      </c>
      <c r="L64" s="142" t="s">
        <v>23</v>
      </c>
      <c r="M64" s="142">
        <v>30</v>
      </c>
      <c r="N64" s="142">
        <v>1478</v>
      </c>
      <c r="O64" s="142">
        <v>1233</v>
      </c>
      <c r="P64" s="142" t="s">
        <v>23</v>
      </c>
      <c r="Q64" s="142" t="s">
        <v>23</v>
      </c>
      <c r="R64" s="142">
        <f t="shared" si="8"/>
        <v>2741</v>
      </c>
    </row>
    <row r="65" spans="1:18">
      <c r="A65" s="99">
        <v>1988</v>
      </c>
      <c r="B65" s="142" t="s">
        <v>23</v>
      </c>
      <c r="C65" s="142" t="s">
        <v>23</v>
      </c>
      <c r="D65" s="142" t="s">
        <v>23</v>
      </c>
      <c r="E65" s="142">
        <v>527</v>
      </c>
      <c r="F65" s="142">
        <v>34</v>
      </c>
      <c r="G65" s="142">
        <v>13</v>
      </c>
      <c r="H65" s="142" t="s">
        <v>23</v>
      </c>
      <c r="I65" s="142">
        <f t="shared" si="7"/>
        <v>574</v>
      </c>
      <c r="K65" s="142" t="s">
        <v>23</v>
      </c>
      <c r="L65" s="142" t="s">
        <v>23</v>
      </c>
      <c r="M65" s="142" t="s">
        <v>23</v>
      </c>
      <c r="N65" s="142">
        <v>2243</v>
      </c>
      <c r="O65" s="142">
        <v>453</v>
      </c>
      <c r="P65" s="142">
        <v>71</v>
      </c>
      <c r="Q65" s="142" t="s">
        <v>23</v>
      </c>
      <c r="R65" s="142">
        <f t="shared" si="8"/>
        <v>2767</v>
      </c>
    </row>
    <row r="66" spans="1:18">
      <c r="A66" s="99">
        <v>1989</v>
      </c>
      <c r="B66" s="142" t="s">
        <v>23</v>
      </c>
      <c r="C66" s="142">
        <v>9</v>
      </c>
      <c r="D66" s="142">
        <v>12</v>
      </c>
      <c r="E66" s="142">
        <v>205</v>
      </c>
      <c r="F66" s="142" t="s">
        <v>23</v>
      </c>
      <c r="G66" s="142" t="s">
        <v>23</v>
      </c>
      <c r="H66" s="142" t="s">
        <v>23</v>
      </c>
      <c r="I66" s="142">
        <f t="shared" si="7"/>
        <v>226</v>
      </c>
      <c r="K66" s="142" t="s">
        <v>23</v>
      </c>
      <c r="L66" s="142" t="s">
        <v>23</v>
      </c>
      <c r="M66" s="142">
        <v>2</v>
      </c>
      <c r="N66" s="142">
        <v>2177</v>
      </c>
      <c r="O66" s="142" t="s">
        <v>23</v>
      </c>
      <c r="P66" s="142" t="s">
        <v>23</v>
      </c>
      <c r="Q66" s="142" t="s">
        <v>23</v>
      </c>
      <c r="R66" s="142">
        <f t="shared" si="8"/>
        <v>2179</v>
      </c>
    </row>
    <row r="67" spans="1:18">
      <c r="A67" s="99">
        <v>1990</v>
      </c>
      <c r="B67" s="142" t="s">
        <v>23</v>
      </c>
      <c r="C67" s="142" t="s">
        <v>23</v>
      </c>
      <c r="D67" s="142" t="s">
        <v>23</v>
      </c>
      <c r="E67" s="142">
        <v>450</v>
      </c>
      <c r="F67" s="142">
        <v>133</v>
      </c>
      <c r="G67" s="142">
        <v>17</v>
      </c>
      <c r="H67" s="142" t="s">
        <v>23</v>
      </c>
      <c r="I67" s="142">
        <f t="shared" si="7"/>
        <v>600</v>
      </c>
      <c r="K67" s="142" t="s">
        <v>23</v>
      </c>
      <c r="L67" s="142" t="s">
        <v>23</v>
      </c>
      <c r="M67" s="142" t="s">
        <v>23</v>
      </c>
      <c r="N67" s="142">
        <v>3608</v>
      </c>
      <c r="O67" s="142">
        <v>1421</v>
      </c>
      <c r="P67" s="142">
        <v>178</v>
      </c>
      <c r="Q67" s="142" t="s">
        <v>23</v>
      </c>
      <c r="R67" s="142">
        <f t="shared" si="8"/>
        <v>5207</v>
      </c>
    </row>
    <row r="68" spans="1:18">
      <c r="A68" s="99">
        <v>1991</v>
      </c>
      <c r="B68" s="142" t="s">
        <v>23</v>
      </c>
      <c r="C68" s="142" t="s">
        <v>23</v>
      </c>
      <c r="D68" s="142" t="s">
        <v>23</v>
      </c>
      <c r="E68" s="142">
        <v>411</v>
      </c>
      <c r="F68" s="142" t="s">
        <v>23</v>
      </c>
      <c r="G68" s="142" t="s">
        <v>23</v>
      </c>
      <c r="H68" s="142" t="s">
        <v>23</v>
      </c>
      <c r="I68" s="142">
        <f t="shared" si="7"/>
        <v>411</v>
      </c>
      <c r="K68" s="142" t="s">
        <v>23</v>
      </c>
      <c r="L68" s="142" t="s">
        <v>23</v>
      </c>
      <c r="M68" s="142" t="s">
        <v>23</v>
      </c>
      <c r="N68" s="142">
        <v>5145</v>
      </c>
      <c r="O68" s="142">
        <v>13</v>
      </c>
      <c r="P68" s="142" t="s">
        <v>23</v>
      </c>
      <c r="Q68" s="142" t="s">
        <v>23</v>
      </c>
      <c r="R68" s="142">
        <f t="shared" si="8"/>
        <v>5158</v>
      </c>
    </row>
    <row r="69" spans="1:18">
      <c r="A69" s="99">
        <v>1992</v>
      </c>
      <c r="B69" s="142" t="s">
        <v>23</v>
      </c>
      <c r="C69" s="142" t="s">
        <v>23</v>
      </c>
      <c r="D69" s="142" t="s">
        <v>23</v>
      </c>
      <c r="E69" s="142">
        <v>126</v>
      </c>
      <c r="F69" s="142">
        <v>43</v>
      </c>
      <c r="G69" s="142">
        <v>31</v>
      </c>
      <c r="H69" s="142">
        <v>2</v>
      </c>
      <c r="I69" s="142">
        <f t="shared" si="7"/>
        <v>202</v>
      </c>
      <c r="K69" s="142" t="s">
        <v>23</v>
      </c>
      <c r="L69" s="142" t="s">
        <v>23</v>
      </c>
      <c r="M69" s="142" t="s">
        <v>23</v>
      </c>
      <c r="N69" s="142">
        <v>1152</v>
      </c>
      <c r="O69" s="142">
        <v>447</v>
      </c>
      <c r="P69" s="142">
        <v>225</v>
      </c>
      <c r="Q69" s="142">
        <v>2</v>
      </c>
      <c r="R69" s="142">
        <f t="shared" si="8"/>
        <v>1826</v>
      </c>
    </row>
    <row r="70" spans="1:18">
      <c r="A70" s="99">
        <v>1993</v>
      </c>
      <c r="B70" s="142" t="s">
        <v>23</v>
      </c>
      <c r="C70" s="142" t="s">
        <v>23</v>
      </c>
      <c r="D70" s="142" t="s">
        <v>23</v>
      </c>
      <c r="E70" s="142">
        <v>108</v>
      </c>
      <c r="F70" s="142">
        <v>44</v>
      </c>
      <c r="G70" s="142">
        <v>54</v>
      </c>
      <c r="H70" s="142" t="s">
        <v>23</v>
      </c>
      <c r="I70" s="142">
        <f t="shared" si="7"/>
        <v>206</v>
      </c>
      <c r="K70" s="142" t="s">
        <v>23</v>
      </c>
      <c r="L70" s="142" t="s">
        <v>23</v>
      </c>
      <c r="M70" s="142" t="s">
        <v>23</v>
      </c>
      <c r="N70" s="142">
        <v>2000</v>
      </c>
      <c r="O70" s="142">
        <v>733</v>
      </c>
      <c r="P70" s="142">
        <v>446</v>
      </c>
      <c r="Q70" s="142" t="s">
        <v>23</v>
      </c>
      <c r="R70" s="142">
        <f t="shared" si="8"/>
        <v>3179</v>
      </c>
    </row>
    <row r="71" spans="1:18">
      <c r="A71" s="99">
        <v>1994</v>
      </c>
      <c r="B71" s="142" t="s">
        <v>23</v>
      </c>
      <c r="C71" s="142" t="s">
        <v>23</v>
      </c>
      <c r="D71" s="142" t="s">
        <v>23</v>
      </c>
      <c r="E71" s="142" t="s">
        <v>23</v>
      </c>
      <c r="F71" s="142" t="s">
        <v>23</v>
      </c>
      <c r="G71" s="142" t="s">
        <v>23</v>
      </c>
      <c r="H71" s="142" t="s">
        <v>23</v>
      </c>
      <c r="I71" s="142" t="s">
        <v>23</v>
      </c>
      <c r="K71" s="142" t="s">
        <v>23</v>
      </c>
      <c r="L71" s="142" t="s">
        <v>23</v>
      </c>
      <c r="M71" s="142" t="s">
        <v>23</v>
      </c>
      <c r="N71" s="142" t="s">
        <v>23</v>
      </c>
      <c r="O71" s="142" t="s">
        <v>23</v>
      </c>
      <c r="P71" s="142" t="s">
        <v>23</v>
      </c>
      <c r="Q71" s="142" t="s">
        <v>23</v>
      </c>
      <c r="R71" s="142" t="s">
        <v>23</v>
      </c>
    </row>
    <row r="72" spans="1:18">
      <c r="A72" s="99">
        <v>1995</v>
      </c>
      <c r="B72" s="142" t="s">
        <v>23</v>
      </c>
      <c r="C72" s="142" t="s">
        <v>23</v>
      </c>
      <c r="D72" s="142" t="s">
        <v>23</v>
      </c>
      <c r="E72" s="142" t="s">
        <v>23</v>
      </c>
      <c r="F72" s="142">
        <v>7</v>
      </c>
      <c r="G72" s="142">
        <v>3</v>
      </c>
      <c r="H72" s="142" t="s">
        <v>23</v>
      </c>
      <c r="I72" s="142">
        <f t="shared" ref="I72:I98" si="9">SUM(B72:H72)</f>
        <v>10</v>
      </c>
      <c r="K72" s="142" t="s">
        <v>23</v>
      </c>
      <c r="L72" s="142" t="s">
        <v>23</v>
      </c>
      <c r="M72" s="142" t="s">
        <v>23</v>
      </c>
      <c r="N72" s="142" t="s">
        <v>23</v>
      </c>
      <c r="O72" s="142">
        <v>1231</v>
      </c>
      <c r="P72" s="142">
        <v>660</v>
      </c>
      <c r="Q72" s="142" t="s">
        <v>23</v>
      </c>
      <c r="R72" s="142">
        <f t="shared" ref="R72:R83" si="10">SUM(K72:Q72)</f>
        <v>1891</v>
      </c>
    </row>
    <row r="73" spans="1:18">
      <c r="A73" s="99">
        <v>1996</v>
      </c>
      <c r="B73" s="142" t="s">
        <v>23</v>
      </c>
      <c r="C73" s="142" t="s">
        <v>23</v>
      </c>
      <c r="D73" s="142" t="s">
        <v>23</v>
      </c>
      <c r="E73" s="142" t="s">
        <v>23</v>
      </c>
      <c r="F73" s="142">
        <v>2</v>
      </c>
      <c r="G73" s="142">
        <v>7</v>
      </c>
      <c r="H73" s="142" t="s">
        <v>23</v>
      </c>
      <c r="I73" s="142">
        <f t="shared" si="9"/>
        <v>9</v>
      </c>
      <c r="K73" s="142" t="s">
        <v>23</v>
      </c>
      <c r="L73" s="142" t="s">
        <v>23</v>
      </c>
      <c r="M73" s="142" t="s">
        <v>23</v>
      </c>
      <c r="N73" s="142" t="s">
        <v>23</v>
      </c>
      <c r="O73" s="142">
        <v>802</v>
      </c>
      <c r="P73" s="142">
        <v>809</v>
      </c>
      <c r="Q73" s="142" t="s">
        <v>23</v>
      </c>
      <c r="R73" s="142">
        <f t="shared" si="10"/>
        <v>1611</v>
      </c>
    </row>
    <row r="74" spans="1:18">
      <c r="A74" s="99">
        <v>1997</v>
      </c>
      <c r="B74" s="142" t="s">
        <v>23</v>
      </c>
      <c r="C74" s="142" t="s">
        <v>23</v>
      </c>
      <c r="D74" s="142" t="s">
        <v>23</v>
      </c>
      <c r="E74" s="142">
        <v>61</v>
      </c>
      <c r="F74" s="142">
        <v>0</v>
      </c>
      <c r="G74" s="142" t="s">
        <v>23</v>
      </c>
      <c r="H74" s="142" t="s">
        <v>23</v>
      </c>
      <c r="I74" s="142">
        <f t="shared" si="9"/>
        <v>61</v>
      </c>
      <c r="K74" s="142" t="s">
        <v>23</v>
      </c>
      <c r="L74" s="142" t="s">
        <v>23</v>
      </c>
      <c r="M74" s="142" t="s">
        <v>23</v>
      </c>
      <c r="N74" s="142">
        <v>1057</v>
      </c>
      <c r="O74" s="142">
        <v>0</v>
      </c>
      <c r="P74" s="142" t="s">
        <v>23</v>
      </c>
      <c r="Q74" s="142" t="s">
        <v>23</v>
      </c>
      <c r="R74" s="142">
        <f t="shared" si="10"/>
        <v>1057</v>
      </c>
    </row>
    <row r="75" spans="1:18">
      <c r="A75" s="99">
        <v>1998</v>
      </c>
      <c r="B75" s="142" t="s">
        <v>23</v>
      </c>
      <c r="C75" s="142" t="s">
        <v>23</v>
      </c>
      <c r="D75" s="142" t="s">
        <v>23</v>
      </c>
      <c r="E75" s="142" t="s">
        <v>23</v>
      </c>
      <c r="F75" s="142">
        <v>65</v>
      </c>
      <c r="G75" s="142" t="s">
        <v>23</v>
      </c>
      <c r="H75" s="142" t="s">
        <v>23</v>
      </c>
      <c r="I75" s="142">
        <f t="shared" si="9"/>
        <v>65</v>
      </c>
      <c r="K75" s="142" t="s">
        <v>23</v>
      </c>
      <c r="L75" s="142" t="s">
        <v>23</v>
      </c>
      <c r="M75" s="142" t="s">
        <v>23</v>
      </c>
      <c r="N75" s="142" t="s">
        <v>23</v>
      </c>
      <c r="O75" s="142">
        <v>577</v>
      </c>
      <c r="P75" s="142" t="s">
        <v>23</v>
      </c>
      <c r="Q75" s="142" t="s">
        <v>23</v>
      </c>
      <c r="R75" s="142">
        <f t="shared" si="10"/>
        <v>577</v>
      </c>
    </row>
    <row r="76" spans="1:18">
      <c r="A76" s="99">
        <v>1999</v>
      </c>
      <c r="B76" s="142" t="s">
        <v>23</v>
      </c>
      <c r="C76" s="142" t="s">
        <v>23</v>
      </c>
      <c r="D76" s="142" t="s">
        <v>23</v>
      </c>
      <c r="E76" s="142">
        <v>396</v>
      </c>
      <c r="F76" s="142">
        <v>488</v>
      </c>
      <c r="G76" s="142">
        <v>100</v>
      </c>
      <c r="H76" s="142" t="s">
        <v>23</v>
      </c>
      <c r="I76" s="142">
        <f t="shared" si="9"/>
        <v>984</v>
      </c>
      <c r="K76" s="142" t="s">
        <v>23</v>
      </c>
      <c r="L76" s="142" t="s">
        <v>23</v>
      </c>
      <c r="M76" s="142" t="s">
        <v>23</v>
      </c>
      <c r="N76" s="142">
        <v>661</v>
      </c>
      <c r="O76" s="142">
        <v>1318</v>
      </c>
      <c r="P76" s="142">
        <v>598</v>
      </c>
      <c r="Q76" s="142" t="s">
        <v>23</v>
      </c>
      <c r="R76" s="142">
        <f t="shared" si="10"/>
        <v>2577</v>
      </c>
    </row>
    <row r="77" spans="1:18">
      <c r="A77" s="99">
        <v>2000</v>
      </c>
      <c r="B77" s="142" t="s">
        <v>23</v>
      </c>
      <c r="C77" s="142" t="s">
        <v>23</v>
      </c>
      <c r="D77" s="142" t="s">
        <v>23</v>
      </c>
      <c r="E77" s="142">
        <v>106</v>
      </c>
      <c r="F77" s="142">
        <v>70</v>
      </c>
      <c r="G77" s="142" t="s">
        <v>23</v>
      </c>
      <c r="H77" s="142" t="s">
        <v>23</v>
      </c>
      <c r="I77" s="142">
        <f t="shared" si="9"/>
        <v>176</v>
      </c>
      <c r="K77" s="142" t="s">
        <v>23</v>
      </c>
      <c r="L77" s="142" t="s">
        <v>23</v>
      </c>
      <c r="M77" s="142" t="s">
        <v>23</v>
      </c>
      <c r="N77" s="142">
        <v>965</v>
      </c>
      <c r="O77" s="142">
        <v>961</v>
      </c>
      <c r="P77" s="142" t="s">
        <v>23</v>
      </c>
      <c r="Q77" s="142" t="s">
        <v>23</v>
      </c>
      <c r="R77" s="142">
        <f t="shared" si="10"/>
        <v>1926</v>
      </c>
    </row>
    <row r="78" spans="1:18">
      <c r="A78" s="99">
        <v>2001</v>
      </c>
      <c r="B78" s="142" t="s">
        <v>23</v>
      </c>
      <c r="C78" s="142" t="s">
        <v>23</v>
      </c>
      <c r="D78" s="142" t="s">
        <v>23</v>
      </c>
      <c r="E78" s="142">
        <v>324</v>
      </c>
      <c r="F78" s="142">
        <v>100</v>
      </c>
      <c r="G78" s="142">
        <v>60</v>
      </c>
      <c r="H78" s="142">
        <v>100</v>
      </c>
      <c r="I78" s="142">
        <f t="shared" si="9"/>
        <v>584</v>
      </c>
      <c r="K78" s="142" t="s">
        <v>23</v>
      </c>
      <c r="L78" s="142" t="s">
        <v>23</v>
      </c>
      <c r="M78" s="142" t="s">
        <v>23</v>
      </c>
      <c r="N78" s="142">
        <v>1785</v>
      </c>
      <c r="O78" s="142">
        <v>1357</v>
      </c>
      <c r="P78" s="142">
        <v>153</v>
      </c>
      <c r="Q78" s="142">
        <v>15</v>
      </c>
      <c r="R78" s="142">
        <f t="shared" si="10"/>
        <v>3310</v>
      </c>
    </row>
    <row r="79" spans="1:18">
      <c r="A79" s="99">
        <v>2002</v>
      </c>
      <c r="B79" s="142" t="s">
        <v>23</v>
      </c>
      <c r="C79" s="142">
        <v>7</v>
      </c>
      <c r="D79" s="142">
        <v>123</v>
      </c>
      <c r="E79" s="142">
        <v>1132</v>
      </c>
      <c r="F79" s="142">
        <v>579</v>
      </c>
      <c r="G79" s="142">
        <v>92</v>
      </c>
      <c r="H79" s="142">
        <v>43</v>
      </c>
      <c r="I79" s="142">
        <f t="shared" si="9"/>
        <v>1976</v>
      </c>
      <c r="K79" s="142" t="s">
        <v>23</v>
      </c>
      <c r="L79" s="142" t="s">
        <v>23</v>
      </c>
      <c r="M79" s="142" t="s">
        <v>23</v>
      </c>
      <c r="N79" s="142">
        <v>492</v>
      </c>
      <c r="O79" s="142">
        <v>1010</v>
      </c>
      <c r="P79" s="142">
        <v>146</v>
      </c>
      <c r="Q79" s="142">
        <v>4</v>
      </c>
      <c r="R79" s="142">
        <f t="shared" si="10"/>
        <v>1652</v>
      </c>
    </row>
    <row r="80" spans="1:18">
      <c r="A80" s="99">
        <v>2003</v>
      </c>
      <c r="B80" s="142" t="s">
        <v>23</v>
      </c>
      <c r="C80" s="142" t="s">
        <v>23</v>
      </c>
      <c r="D80" s="142">
        <v>128</v>
      </c>
      <c r="E80" s="142">
        <v>785</v>
      </c>
      <c r="F80" s="142">
        <v>802</v>
      </c>
      <c r="G80" s="142">
        <v>111</v>
      </c>
      <c r="H80" s="142">
        <v>62</v>
      </c>
      <c r="I80" s="142">
        <f t="shared" si="9"/>
        <v>1888</v>
      </c>
      <c r="K80" s="142" t="s">
        <v>23</v>
      </c>
      <c r="L80" s="142" t="s">
        <v>23</v>
      </c>
      <c r="M80" s="142">
        <v>136</v>
      </c>
      <c r="N80" s="142">
        <v>1564</v>
      </c>
      <c r="O80" s="142">
        <v>1502</v>
      </c>
      <c r="P80" s="142">
        <v>193</v>
      </c>
      <c r="Q80" s="142">
        <v>12</v>
      </c>
      <c r="R80" s="142">
        <f t="shared" si="10"/>
        <v>3407</v>
      </c>
    </row>
    <row r="81" spans="1:21">
      <c r="A81" s="99">
        <v>2004</v>
      </c>
      <c r="B81" s="142" t="s">
        <v>23</v>
      </c>
      <c r="C81" s="142" t="s">
        <v>23</v>
      </c>
      <c r="D81" s="142">
        <v>38</v>
      </c>
      <c r="E81" s="142">
        <v>853</v>
      </c>
      <c r="F81" s="142">
        <v>529</v>
      </c>
      <c r="G81" s="142">
        <v>404</v>
      </c>
      <c r="H81" s="142">
        <v>6</v>
      </c>
      <c r="I81" s="142">
        <f t="shared" si="9"/>
        <v>1830</v>
      </c>
      <c r="K81" s="142" t="s">
        <v>23</v>
      </c>
      <c r="L81" s="142" t="s">
        <v>23</v>
      </c>
      <c r="M81" s="142">
        <v>37</v>
      </c>
      <c r="N81" s="142">
        <v>1437</v>
      </c>
      <c r="O81" s="142">
        <v>1266</v>
      </c>
      <c r="P81" s="142">
        <v>420</v>
      </c>
      <c r="Q81" s="142">
        <v>3</v>
      </c>
      <c r="R81" s="142">
        <f t="shared" si="10"/>
        <v>3163</v>
      </c>
    </row>
    <row r="82" spans="1:21">
      <c r="A82" s="99">
        <v>2005</v>
      </c>
      <c r="B82" s="142" t="s">
        <v>23</v>
      </c>
      <c r="C82" s="142" t="s">
        <v>23</v>
      </c>
      <c r="D82" s="142" t="s">
        <v>23</v>
      </c>
      <c r="E82" s="142">
        <v>605</v>
      </c>
      <c r="F82" s="142">
        <v>694</v>
      </c>
      <c r="G82" s="142">
        <v>309</v>
      </c>
      <c r="H82" s="142">
        <v>43</v>
      </c>
      <c r="I82" s="142">
        <f t="shared" si="9"/>
        <v>1651</v>
      </c>
      <c r="K82" s="142" t="s">
        <v>23</v>
      </c>
      <c r="L82" s="142" t="s">
        <v>23</v>
      </c>
      <c r="M82" s="142" t="s">
        <v>23</v>
      </c>
      <c r="N82" s="142">
        <v>274</v>
      </c>
      <c r="O82" s="142">
        <v>1395</v>
      </c>
      <c r="P82" s="142">
        <v>633</v>
      </c>
      <c r="Q82" s="142">
        <v>18</v>
      </c>
      <c r="R82" s="142">
        <f t="shared" si="10"/>
        <v>2320</v>
      </c>
    </row>
    <row r="83" spans="1:21">
      <c r="A83" s="99">
        <v>2006</v>
      </c>
      <c r="B83" s="142" t="s">
        <v>23</v>
      </c>
      <c r="C83" s="142" t="s">
        <v>23</v>
      </c>
      <c r="D83" s="142">
        <v>35.79</v>
      </c>
      <c r="E83" s="142">
        <v>246.59</v>
      </c>
      <c r="F83" s="142">
        <v>955.02</v>
      </c>
      <c r="G83" s="142">
        <v>342.19</v>
      </c>
      <c r="H83" s="142">
        <v>90.54</v>
      </c>
      <c r="I83" s="142">
        <f t="shared" si="9"/>
        <v>1670.13</v>
      </c>
      <c r="K83" s="142" t="s">
        <v>23</v>
      </c>
      <c r="L83" s="142" t="s">
        <v>23</v>
      </c>
      <c r="M83" s="142">
        <v>35.56</v>
      </c>
      <c r="N83" s="142">
        <v>743.81</v>
      </c>
      <c r="O83" s="142">
        <v>1040.78</v>
      </c>
      <c r="P83" s="142">
        <v>61.05</v>
      </c>
      <c r="Q83" s="142">
        <v>2.4</v>
      </c>
      <c r="R83" s="142">
        <f t="shared" si="10"/>
        <v>1883.6</v>
      </c>
    </row>
    <row r="84" spans="1:21">
      <c r="A84" s="99">
        <v>2007</v>
      </c>
      <c r="B84" s="142" t="s">
        <v>23</v>
      </c>
      <c r="C84" s="142" t="s">
        <v>23</v>
      </c>
      <c r="D84" s="142" t="s">
        <v>23</v>
      </c>
      <c r="E84" s="142">
        <v>132.22999999999999</v>
      </c>
      <c r="F84" s="142">
        <v>347.54</v>
      </c>
      <c r="G84" s="142">
        <v>115.61</v>
      </c>
      <c r="H84" s="142">
        <v>0</v>
      </c>
      <c r="I84" s="142">
        <f t="shared" si="9"/>
        <v>595.38</v>
      </c>
      <c r="K84" s="142" t="s">
        <v>23</v>
      </c>
      <c r="L84" s="142" t="s">
        <v>23</v>
      </c>
      <c r="M84" s="142" t="s">
        <v>23</v>
      </c>
      <c r="N84" s="142">
        <v>757.88</v>
      </c>
      <c r="O84" s="142">
        <v>1869.23</v>
      </c>
      <c r="P84" s="142">
        <v>142.08000000000001</v>
      </c>
      <c r="Q84" s="142">
        <v>0</v>
      </c>
      <c r="R84" s="142">
        <f>SUM(K84:Q84)</f>
        <v>2769.19</v>
      </c>
    </row>
    <row r="85" spans="1:21">
      <c r="A85" s="99">
        <v>2008</v>
      </c>
      <c r="B85" s="142" t="s">
        <v>23</v>
      </c>
      <c r="C85" s="142" t="s">
        <v>23</v>
      </c>
      <c r="D85" s="142">
        <v>80.12</v>
      </c>
      <c r="E85" s="142">
        <v>243.52</v>
      </c>
      <c r="F85" s="142">
        <v>299.93</v>
      </c>
      <c r="G85" s="142">
        <v>106.38</v>
      </c>
      <c r="H85" s="142">
        <v>6.25</v>
      </c>
      <c r="I85" s="142">
        <f t="shared" si="9"/>
        <v>736.19999999999993</v>
      </c>
      <c r="K85" s="142" t="s">
        <v>23</v>
      </c>
      <c r="L85" s="142" t="s">
        <v>23</v>
      </c>
      <c r="M85" s="142" t="s">
        <v>23</v>
      </c>
      <c r="N85" s="142">
        <v>102.04</v>
      </c>
      <c r="O85" s="142">
        <v>272.95</v>
      </c>
      <c r="P85" s="142">
        <v>165.2</v>
      </c>
      <c r="Q85" s="142">
        <v>1.25</v>
      </c>
      <c r="R85" s="142">
        <f t="shared" ref="R85:R98" si="11">SUM(K85:Q85)</f>
        <v>541.44000000000005</v>
      </c>
    </row>
    <row r="86" spans="1:21">
      <c r="A86" s="99">
        <v>2009</v>
      </c>
      <c r="B86" s="142" t="s">
        <v>23</v>
      </c>
      <c r="C86" s="142" t="s">
        <v>23</v>
      </c>
      <c r="D86" s="142">
        <v>7.25</v>
      </c>
      <c r="E86" s="142">
        <v>193.83</v>
      </c>
      <c r="F86" s="142">
        <v>328.75</v>
      </c>
      <c r="G86" s="142">
        <v>52.93</v>
      </c>
      <c r="H86" s="142">
        <v>96.78</v>
      </c>
      <c r="I86" s="142">
        <f t="shared" si="9"/>
        <v>679.54</v>
      </c>
      <c r="K86" s="142" t="s">
        <v>23</v>
      </c>
      <c r="L86" s="142" t="s">
        <v>23</v>
      </c>
      <c r="M86" s="142">
        <v>165.13</v>
      </c>
      <c r="N86" s="142">
        <v>1944.03</v>
      </c>
      <c r="O86" s="142">
        <v>4316.8900000000003</v>
      </c>
      <c r="P86" s="142">
        <v>377.4</v>
      </c>
      <c r="Q86" s="142">
        <v>92.41</v>
      </c>
      <c r="R86" s="142">
        <f t="shared" si="11"/>
        <v>6895.86</v>
      </c>
    </row>
    <row r="87" spans="1:21">
      <c r="A87" s="99">
        <v>2010</v>
      </c>
      <c r="B87" s="142" t="s">
        <v>23</v>
      </c>
      <c r="C87" s="142" t="s">
        <v>23</v>
      </c>
      <c r="D87" s="142">
        <v>37.869999999999997</v>
      </c>
      <c r="E87" s="142">
        <v>293.52999999999997</v>
      </c>
      <c r="F87" s="142">
        <v>714.62</v>
      </c>
      <c r="G87" s="142">
        <v>86.41</v>
      </c>
      <c r="H87" s="142">
        <v>44.95</v>
      </c>
      <c r="I87" s="142">
        <f t="shared" si="9"/>
        <v>1177.3800000000001</v>
      </c>
      <c r="K87" s="142" t="s">
        <v>23</v>
      </c>
      <c r="L87" s="142" t="s">
        <v>23</v>
      </c>
      <c r="M87" s="142" t="s">
        <v>23</v>
      </c>
      <c r="N87" s="142">
        <v>211.21</v>
      </c>
      <c r="O87" s="142">
        <v>708.91</v>
      </c>
      <c r="P87" s="142">
        <v>222.65</v>
      </c>
      <c r="Q87" s="142">
        <v>36.76</v>
      </c>
      <c r="R87" s="142">
        <f t="shared" si="11"/>
        <v>1179.53</v>
      </c>
    </row>
    <row r="88" spans="1:21">
      <c r="A88" s="99">
        <v>2011</v>
      </c>
      <c r="B88" s="142" t="s">
        <v>23</v>
      </c>
      <c r="C88" s="142" t="s">
        <v>23</v>
      </c>
      <c r="D88" s="142">
        <v>31.89</v>
      </c>
      <c r="E88" s="142">
        <v>500.82</v>
      </c>
      <c r="F88" s="142">
        <v>906.83</v>
      </c>
      <c r="G88" s="142">
        <v>90.29</v>
      </c>
      <c r="H88" s="142">
        <v>5</v>
      </c>
      <c r="I88" s="142">
        <f t="shared" si="9"/>
        <v>1534.83</v>
      </c>
      <c r="K88" s="142" t="s">
        <v>23</v>
      </c>
      <c r="L88" s="142" t="s">
        <v>23</v>
      </c>
      <c r="M88" s="142">
        <v>48.12</v>
      </c>
      <c r="N88" s="142">
        <v>572.46</v>
      </c>
      <c r="O88" s="142">
        <v>1028.72</v>
      </c>
      <c r="P88" s="142">
        <v>398.47</v>
      </c>
      <c r="Q88" s="142">
        <v>2.4500000000000002</v>
      </c>
      <c r="R88" s="142">
        <f t="shared" si="11"/>
        <v>2050.2200000000003</v>
      </c>
    </row>
    <row r="89" spans="1:21">
      <c r="A89" s="99">
        <v>2012</v>
      </c>
      <c r="B89" s="142" t="s">
        <v>23</v>
      </c>
      <c r="C89" s="142" t="s">
        <v>23</v>
      </c>
      <c r="D89" s="142">
        <v>85.64</v>
      </c>
      <c r="E89" s="142">
        <v>462.75</v>
      </c>
      <c r="F89" s="142">
        <v>443.12</v>
      </c>
      <c r="G89" s="142">
        <v>153.46</v>
      </c>
      <c r="H89" s="142">
        <v>132.59</v>
      </c>
      <c r="I89" s="142">
        <f t="shared" si="9"/>
        <v>1277.56</v>
      </c>
      <c r="K89" s="142" t="s">
        <v>23</v>
      </c>
      <c r="L89" s="142" t="s">
        <v>23</v>
      </c>
      <c r="M89" s="142" t="s">
        <v>23</v>
      </c>
      <c r="N89" s="142">
        <v>472.9</v>
      </c>
      <c r="O89" s="142">
        <v>1052.05</v>
      </c>
      <c r="P89" s="142">
        <v>697.64</v>
      </c>
      <c r="Q89" s="142">
        <v>20.81</v>
      </c>
      <c r="R89" s="142">
        <f t="shared" si="11"/>
        <v>2243.3999999999996</v>
      </c>
      <c r="U89" s="17"/>
    </row>
    <row r="90" spans="1:21">
      <c r="A90" s="99">
        <v>2013</v>
      </c>
      <c r="B90" s="142" t="s">
        <v>23</v>
      </c>
      <c r="C90" s="142">
        <v>3.89</v>
      </c>
      <c r="D90" s="142">
        <v>99.33</v>
      </c>
      <c r="E90" s="142">
        <v>693.36</v>
      </c>
      <c r="F90" s="142">
        <v>1287.54</v>
      </c>
      <c r="G90" s="142">
        <v>152.44999999999999</v>
      </c>
      <c r="H90" s="142">
        <v>118.68</v>
      </c>
      <c r="I90" s="142">
        <f t="shared" si="9"/>
        <v>2355.2499999999995</v>
      </c>
      <c r="K90" s="142" t="s">
        <v>23</v>
      </c>
      <c r="L90" s="142" t="s">
        <v>23</v>
      </c>
      <c r="M90" s="142">
        <v>57.04</v>
      </c>
      <c r="N90" s="142">
        <v>439.4</v>
      </c>
      <c r="O90" s="142">
        <v>2014.91</v>
      </c>
      <c r="P90" s="142">
        <v>268.56</v>
      </c>
      <c r="Q90" s="142">
        <v>17.72</v>
      </c>
      <c r="R90" s="142">
        <f t="shared" si="11"/>
        <v>2797.6299999999997</v>
      </c>
      <c r="U90" s="17"/>
    </row>
    <row r="91" spans="1:21">
      <c r="A91" s="99">
        <v>2014</v>
      </c>
      <c r="B91" s="142" t="s">
        <v>23</v>
      </c>
      <c r="C91" s="142">
        <v>0</v>
      </c>
      <c r="D91" s="142">
        <v>227.06</v>
      </c>
      <c r="E91" s="142">
        <v>725.35</v>
      </c>
      <c r="F91" s="142">
        <v>405.53</v>
      </c>
      <c r="G91" s="142">
        <v>115.42999999999999</v>
      </c>
      <c r="H91" s="142">
        <v>110.29</v>
      </c>
      <c r="I91" s="142">
        <f t="shared" si="9"/>
        <v>1583.66</v>
      </c>
      <c r="K91" s="142" t="s">
        <v>23</v>
      </c>
      <c r="L91" s="142" t="s">
        <v>23</v>
      </c>
      <c r="M91" s="142">
        <v>102.07</v>
      </c>
      <c r="N91" s="142">
        <v>921.53</v>
      </c>
      <c r="O91" s="142">
        <v>2264.52</v>
      </c>
      <c r="P91" s="142">
        <v>1121.1599999999999</v>
      </c>
      <c r="Q91" s="142">
        <v>199.14</v>
      </c>
      <c r="R91" s="142">
        <f t="shared" si="11"/>
        <v>4608.42</v>
      </c>
      <c r="U91" s="17"/>
    </row>
    <row r="92" spans="1:21">
      <c r="A92" s="99">
        <v>2015</v>
      </c>
      <c r="B92" s="142" t="s">
        <v>23</v>
      </c>
      <c r="C92" s="142">
        <v>7.31</v>
      </c>
      <c r="D92" s="142">
        <v>158.65</v>
      </c>
      <c r="E92" s="142">
        <v>1417.26</v>
      </c>
      <c r="F92" s="142">
        <v>536.91</v>
      </c>
      <c r="G92" s="142">
        <v>114.91</v>
      </c>
      <c r="H92" s="142">
        <v>164.41</v>
      </c>
      <c r="I92" s="142">
        <f>SUM(B92:H92)</f>
        <v>2399.4499999999998</v>
      </c>
      <c r="K92" s="142" t="s">
        <v>23</v>
      </c>
      <c r="L92" s="142" t="s">
        <v>23</v>
      </c>
      <c r="M92" s="142">
        <v>36.700000000000003</v>
      </c>
      <c r="N92" s="142">
        <v>195.38</v>
      </c>
      <c r="O92" s="142">
        <v>156.36000000000001</v>
      </c>
      <c r="P92" s="142">
        <v>177.59</v>
      </c>
      <c r="Q92" s="142">
        <v>12.74</v>
      </c>
      <c r="R92" s="142">
        <f>SUM(K92:Q92)</f>
        <v>578.77</v>
      </c>
      <c r="U92" s="17"/>
    </row>
    <row r="93" spans="1:21">
      <c r="A93" s="99">
        <v>2016</v>
      </c>
      <c r="B93" s="142" t="s">
        <v>23</v>
      </c>
      <c r="C93" s="142" t="s">
        <v>23</v>
      </c>
      <c r="D93" s="142" t="s">
        <v>23</v>
      </c>
      <c r="E93" s="142">
        <v>221.44</v>
      </c>
      <c r="F93" s="142">
        <v>33.81</v>
      </c>
      <c r="G93" s="142" t="s">
        <v>23</v>
      </c>
      <c r="H93" s="142" t="s">
        <v>23</v>
      </c>
      <c r="I93" s="142">
        <f>SUM(B93:H93)</f>
        <v>255.25</v>
      </c>
      <c r="K93" s="142" t="s">
        <v>23</v>
      </c>
      <c r="L93" s="142" t="s">
        <v>23</v>
      </c>
      <c r="M93" s="142" t="s">
        <v>23</v>
      </c>
      <c r="N93" s="142">
        <v>3.09</v>
      </c>
      <c r="O93" s="142">
        <v>1.75</v>
      </c>
      <c r="P93" s="142" t="s">
        <v>23</v>
      </c>
      <c r="Q93" s="142" t="s">
        <v>23</v>
      </c>
      <c r="R93" s="142">
        <f>SUM(K93:Q93)</f>
        <v>4.84</v>
      </c>
      <c r="U93" s="17"/>
    </row>
    <row r="94" spans="1:21">
      <c r="A94" s="99">
        <v>2017</v>
      </c>
      <c r="B94" s="142" t="s">
        <v>23</v>
      </c>
      <c r="C94" s="142" t="s">
        <v>23</v>
      </c>
      <c r="D94" s="142">
        <v>6.65</v>
      </c>
      <c r="E94" s="142">
        <v>209.27</v>
      </c>
      <c r="F94" s="142">
        <v>229.34</v>
      </c>
      <c r="G94" s="142">
        <v>36.83</v>
      </c>
      <c r="H94" s="142" t="s">
        <v>23</v>
      </c>
      <c r="I94" s="142">
        <f>SUM(B94:H94)</f>
        <v>482.09</v>
      </c>
      <c r="K94" s="142" t="s">
        <v>23</v>
      </c>
      <c r="L94" s="142" t="s">
        <v>23</v>
      </c>
      <c r="M94" s="142">
        <v>13.3</v>
      </c>
      <c r="N94" s="142">
        <v>158.81</v>
      </c>
      <c r="O94" s="142">
        <v>1154.92</v>
      </c>
      <c r="P94" s="142">
        <v>422.59</v>
      </c>
      <c r="Q94" s="142" t="s">
        <v>23</v>
      </c>
      <c r="R94" s="142">
        <f>SUM(K94:Q94)</f>
        <v>1749.6200000000001</v>
      </c>
      <c r="U94" s="17"/>
    </row>
    <row r="95" spans="1:21">
      <c r="A95" s="99">
        <v>2018</v>
      </c>
      <c r="B95" s="142" t="s">
        <v>23</v>
      </c>
      <c r="C95" s="142" t="s">
        <v>23</v>
      </c>
      <c r="D95" s="142">
        <v>26.09</v>
      </c>
      <c r="E95" s="142">
        <v>101.79</v>
      </c>
      <c r="F95" s="142">
        <v>296.99</v>
      </c>
      <c r="G95" s="142">
        <v>2</v>
      </c>
      <c r="H95" s="142" t="s">
        <v>23</v>
      </c>
      <c r="I95" s="142">
        <f>SUM(B95:H95)</f>
        <v>426.87</v>
      </c>
      <c r="K95" s="142" t="s">
        <v>23</v>
      </c>
      <c r="L95" s="142" t="s">
        <v>23</v>
      </c>
      <c r="M95" s="142">
        <v>25.16</v>
      </c>
      <c r="N95" s="142">
        <v>94.29</v>
      </c>
      <c r="O95" s="142">
        <v>813.61</v>
      </c>
      <c r="P95" s="142">
        <v>21</v>
      </c>
      <c r="Q95" s="142" t="s">
        <v>23</v>
      </c>
      <c r="R95" s="142">
        <f>SUM(K95:Q95)</f>
        <v>954.06000000000006</v>
      </c>
      <c r="U95" s="17"/>
    </row>
    <row r="96" spans="1:21">
      <c r="A96" s="99">
        <v>2019</v>
      </c>
      <c r="B96" s="142" t="s">
        <v>23</v>
      </c>
      <c r="C96" s="142" t="s">
        <v>23</v>
      </c>
      <c r="D96" s="142">
        <v>9.74</v>
      </c>
      <c r="E96" s="142">
        <v>216.21</v>
      </c>
      <c r="F96" s="142">
        <v>189.67</v>
      </c>
      <c r="G96" s="142">
        <v>33.46</v>
      </c>
      <c r="H96" s="142">
        <v>164.35</v>
      </c>
      <c r="I96" s="142">
        <f t="shared" ref="I96:I97" si="12">SUM(B96:H96)</f>
        <v>613.42999999999995</v>
      </c>
      <c r="K96" s="142" t="s">
        <v>23</v>
      </c>
      <c r="L96" s="142" t="s">
        <v>23</v>
      </c>
      <c r="M96" s="142">
        <v>2</v>
      </c>
      <c r="N96" s="142">
        <v>336.11</v>
      </c>
      <c r="O96" s="142">
        <v>1095.42</v>
      </c>
      <c r="P96" s="142">
        <v>318.07</v>
      </c>
      <c r="Q96" s="142">
        <v>15.86</v>
      </c>
      <c r="R96" s="142">
        <f t="shared" ref="R96:R97" si="13">SUM(K96:Q96)</f>
        <v>1767.46</v>
      </c>
      <c r="U96" s="17"/>
    </row>
    <row r="97" spans="1:21" ht="13">
      <c r="A97" s="239" t="s">
        <v>307</v>
      </c>
      <c r="B97" s="142" t="s">
        <v>23</v>
      </c>
      <c r="C97" s="142" t="s">
        <v>23</v>
      </c>
      <c r="D97" s="142">
        <v>0</v>
      </c>
      <c r="E97" s="142">
        <v>12.71</v>
      </c>
      <c r="F97" s="142">
        <v>4.3</v>
      </c>
      <c r="G97" s="142">
        <v>0</v>
      </c>
      <c r="H97" s="142" t="s">
        <v>23</v>
      </c>
      <c r="I97" s="142">
        <f t="shared" si="12"/>
        <v>17.010000000000002</v>
      </c>
      <c r="K97" s="142" t="s">
        <v>23</v>
      </c>
      <c r="L97" s="142" t="s">
        <v>23</v>
      </c>
      <c r="M97" s="142">
        <v>0</v>
      </c>
      <c r="N97" s="142">
        <v>4.8</v>
      </c>
      <c r="O97" s="142">
        <v>166.37</v>
      </c>
      <c r="P97" s="142">
        <v>22.85</v>
      </c>
      <c r="Q97" s="142" t="s">
        <v>23</v>
      </c>
      <c r="R97" s="142">
        <f t="shared" si="13"/>
        <v>194.02</v>
      </c>
      <c r="U97" s="17"/>
    </row>
    <row r="98" spans="1:21" ht="13">
      <c r="A98" s="239" t="s">
        <v>326</v>
      </c>
      <c r="B98" s="142" t="s">
        <v>23</v>
      </c>
      <c r="C98" s="142" t="s">
        <v>23</v>
      </c>
      <c r="D98" s="142">
        <v>0</v>
      </c>
      <c r="E98" s="142">
        <v>224.71</v>
      </c>
      <c r="F98" s="142">
        <v>91.82</v>
      </c>
      <c r="G98" s="142">
        <v>12.09</v>
      </c>
      <c r="H98" s="142" t="s">
        <v>23</v>
      </c>
      <c r="I98" s="142">
        <f t="shared" si="9"/>
        <v>328.61999999999995</v>
      </c>
      <c r="K98" s="142" t="s">
        <v>23</v>
      </c>
      <c r="L98" s="142" t="s">
        <v>23</v>
      </c>
      <c r="M98" s="142">
        <v>0</v>
      </c>
      <c r="N98" s="142">
        <v>270.97000000000003</v>
      </c>
      <c r="O98" s="142">
        <v>867.3</v>
      </c>
      <c r="P98" s="142">
        <v>209.17</v>
      </c>
      <c r="Q98" s="142" t="s">
        <v>23</v>
      </c>
      <c r="R98" s="142">
        <f t="shared" si="11"/>
        <v>1347.44</v>
      </c>
      <c r="U98" s="17"/>
    </row>
    <row r="100" spans="1:21">
      <c r="A100" s="94" t="s">
        <v>58</v>
      </c>
    </row>
    <row r="101" spans="1:21">
      <c r="A101" s="99">
        <v>1976</v>
      </c>
      <c r="B101" s="142" t="s">
        <v>23</v>
      </c>
      <c r="C101" s="142">
        <v>8156</v>
      </c>
      <c r="D101" s="142">
        <v>26201</v>
      </c>
      <c r="E101" s="142">
        <v>33094</v>
      </c>
      <c r="F101" s="142">
        <v>13568</v>
      </c>
      <c r="G101" s="142">
        <v>8865</v>
      </c>
      <c r="H101" s="142">
        <v>1595</v>
      </c>
      <c r="I101" s="142">
        <f t="shared" ref="I101:I118" si="14">SUM(B101:H101)</f>
        <v>91479</v>
      </c>
      <c r="K101" s="142" t="s">
        <v>23</v>
      </c>
      <c r="L101" s="142">
        <v>18637</v>
      </c>
      <c r="M101" s="142">
        <v>70424</v>
      </c>
      <c r="N101" s="142">
        <v>155417</v>
      </c>
      <c r="O101" s="142">
        <v>133359</v>
      </c>
      <c r="P101" s="142">
        <v>68219</v>
      </c>
      <c r="Q101" s="142">
        <v>5287</v>
      </c>
      <c r="R101" s="142">
        <f t="shared" ref="R101:R118" si="15">SUM(K101:Q101)</f>
        <v>451343</v>
      </c>
    </row>
    <row r="102" spans="1:21">
      <c r="A102" s="99">
        <v>1977</v>
      </c>
      <c r="B102" s="142">
        <v>3510</v>
      </c>
      <c r="C102" s="142">
        <v>3733</v>
      </c>
      <c r="D102" s="142">
        <v>24325</v>
      </c>
      <c r="E102" s="142">
        <v>19334</v>
      </c>
      <c r="F102" s="142">
        <v>31272</v>
      </c>
      <c r="G102" s="142">
        <v>17205</v>
      </c>
      <c r="H102" s="142">
        <v>1574</v>
      </c>
      <c r="I102" s="142">
        <f t="shared" si="14"/>
        <v>100953</v>
      </c>
      <c r="K102" s="142">
        <v>100</v>
      </c>
      <c r="L102" s="142">
        <v>14941</v>
      </c>
      <c r="M102" s="142">
        <v>33645</v>
      </c>
      <c r="N102" s="142">
        <v>92805</v>
      </c>
      <c r="O102" s="142">
        <v>45589</v>
      </c>
      <c r="P102" s="142">
        <v>17224</v>
      </c>
      <c r="Q102" s="142">
        <v>2259</v>
      </c>
      <c r="R102" s="142">
        <f t="shared" si="15"/>
        <v>206563</v>
      </c>
    </row>
    <row r="103" spans="1:21">
      <c r="A103" s="99">
        <v>1978</v>
      </c>
      <c r="B103" s="142">
        <v>2141</v>
      </c>
      <c r="C103" s="142">
        <v>8386</v>
      </c>
      <c r="D103" s="142">
        <v>26839</v>
      </c>
      <c r="E103" s="142">
        <v>12492</v>
      </c>
      <c r="F103" s="142">
        <v>12134</v>
      </c>
      <c r="G103" s="142">
        <v>2260</v>
      </c>
      <c r="H103" s="142">
        <v>533</v>
      </c>
      <c r="I103" s="142">
        <f t="shared" si="14"/>
        <v>64785</v>
      </c>
      <c r="K103" s="142">
        <v>222</v>
      </c>
      <c r="L103" s="142">
        <v>7159</v>
      </c>
      <c r="M103" s="142">
        <v>48730</v>
      </c>
      <c r="N103" s="142">
        <v>72606</v>
      </c>
      <c r="O103" s="142">
        <v>51801</v>
      </c>
      <c r="P103" s="142">
        <v>22431</v>
      </c>
      <c r="Q103" s="142">
        <v>1401</v>
      </c>
      <c r="R103" s="142">
        <f t="shared" si="15"/>
        <v>204350</v>
      </c>
    </row>
    <row r="104" spans="1:21">
      <c r="A104" s="99">
        <v>1979</v>
      </c>
      <c r="B104" s="142" t="s">
        <v>23</v>
      </c>
      <c r="C104" s="142">
        <v>7007</v>
      </c>
      <c r="D104" s="142">
        <v>15976</v>
      </c>
      <c r="E104" s="142">
        <v>9795</v>
      </c>
      <c r="F104" s="142">
        <v>16090</v>
      </c>
      <c r="G104" s="142">
        <v>101</v>
      </c>
      <c r="H104" s="142">
        <v>14</v>
      </c>
      <c r="I104" s="142">
        <f t="shared" si="14"/>
        <v>48983</v>
      </c>
      <c r="K104" s="142" t="s">
        <v>23</v>
      </c>
      <c r="L104" s="142">
        <v>4854</v>
      </c>
      <c r="M104" s="142">
        <v>25666</v>
      </c>
      <c r="N104" s="142">
        <v>57659</v>
      </c>
      <c r="O104" s="142">
        <v>42970</v>
      </c>
      <c r="P104" s="142">
        <v>1280</v>
      </c>
      <c r="Q104" s="142">
        <v>150</v>
      </c>
      <c r="R104" s="142">
        <f t="shared" si="15"/>
        <v>132579</v>
      </c>
    </row>
    <row r="105" spans="1:21">
      <c r="A105" s="99">
        <v>1980</v>
      </c>
      <c r="B105" s="142" t="s">
        <v>23</v>
      </c>
      <c r="C105" s="142">
        <v>1437</v>
      </c>
      <c r="D105" s="142">
        <v>10453</v>
      </c>
      <c r="E105" s="142">
        <v>15379</v>
      </c>
      <c r="F105" s="142">
        <v>6155</v>
      </c>
      <c r="G105" s="142">
        <v>103</v>
      </c>
      <c r="H105" s="142" t="s">
        <v>23</v>
      </c>
      <c r="I105" s="142">
        <f t="shared" si="14"/>
        <v>33527</v>
      </c>
      <c r="K105" s="142" t="s">
        <v>23</v>
      </c>
      <c r="L105" s="142">
        <v>16279</v>
      </c>
      <c r="M105" s="142">
        <v>40573</v>
      </c>
      <c r="N105" s="142">
        <v>68592</v>
      </c>
      <c r="O105" s="142">
        <v>41915</v>
      </c>
      <c r="P105" s="142">
        <v>398</v>
      </c>
      <c r="Q105" s="142" t="s">
        <v>23</v>
      </c>
      <c r="R105" s="142">
        <f t="shared" si="15"/>
        <v>167757</v>
      </c>
    </row>
    <row r="106" spans="1:21">
      <c r="A106" s="99">
        <v>1981</v>
      </c>
      <c r="B106" s="142" t="s">
        <v>23</v>
      </c>
      <c r="C106" s="142">
        <v>2100</v>
      </c>
      <c r="D106" s="142">
        <v>10735</v>
      </c>
      <c r="E106" s="142">
        <v>29255</v>
      </c>
      <c r="F106" s="142">
        <v>15314</v>
      </c>
      <c r="G106" s="142">
        <v>51</v>
      </c>
      <c r="H106" s="142">
        <v>17</v>
      </c>
      <c r="I106" s="142">
        <f t="shared" si="14"/>
        <v>57472</v>
      </c>
      <c r="K106" s="142" t="s">
        <v>23</v>
      </c>
      <c r="L106" s="142">
        <v>2457</v>
      </c>
      <c r="M106" s="142">
        <v>23937</v>
      </c>
      <c r="N106" s="142">
        <v>36399</v>
      </c>
      <c r="O106" s="142">
        <v>29204</v>
      </c>
      <c r="P106" s="142">
        <v>101</v>
      </c>
      <c r="Q106" s="142">
        <v>34</v>
      </c>
      <c r="R106" s="142">
        <f t="shared" si="15"/>
        <v>92132</v>
      </c>
    </row>
    <row r="107" spans="1:21">
      <c r="A107" s="99">
        <v>1982</v>
      </c>
      <c r="B107" s="142" t="s">
        <v>23</v>
      </c>
      <c r="C107" s="142">
        <v>538</v>
      </c>
      <c r="D107" s="142">
        <v>33147</v>
      </c>
      <c r="E107" s="142">
        <v>38538</v>
      </c>
      <c r="F107" s="142">
        <v>10864</v>
      </c>
      <c r="G107" s="142">
        <v>4</v>
      </c>
      <c r="H107" s="142" t="s">
        <v>23</v>
      </c>
      <c r="I107" s="142">
        <f t="shared" si="14"/>
        <v>83091</v>
      </c>
      <c r="K107" s="142" t="s">
        <v>23</v>
      </c>
      <c r="L107" s="142" t="s">
        <v>23</v>
      </c>
      <c r="M107" s="142">
        <v>9643</v>
      </c>
      <c r="N107" s="142">
        <v>40431</v>
      </c>
      <c r="O107" s="142">
        <v>24756</v>
      </c>
      <c r="P107" s="142">
        <v>67</v>
      </c>
      <c r="Q107" s="142" t="s">
        <v>23</v>
      </c>
      <c r="R107" s="142">
        <f t="shared" si="15"/>
        <v>74897</v>
      </c>
    </row>
    <row r="108" spans="1:21">
      <c r="A108" s="99">
        <v>1983</v>
      </c>
      <c r="B108" s="142" t="s">
        <v>23</v>
      </c>
      <c r="C108" s="142">
        <v>657</v>
      </c>
      <c r="D108" s="142">
        <v>20314</v>
      </c>
      <c r="E108" s="142">
        <v>8934</v>
      </c>
      <c r="F108" s="142">
        <v>4553</v>
      </c>
      <c r="G108" s="142">
        <v>1315</v>
      </c>
      <c r="H108" s="142" t="s">
        <v>23</v>
      </c>
      <c r="I108" s="142">
        <f t="shared" si="14"/>
        <v>35773</v>
      </c>
      <c r="K108" s="142" t="s">
        <v>23</v>
      </c>
      <c r="L108" s="142" t="s">
        <v>23</v>
      </c>
      <c r="M108" s="142">
        <v>12165</v>
      </c>
      <c r="N108" s="142">
        <v>25028</v>
      </c>
      <c r="O108" s="142">
        <v>20345</v>
      </c>
      <c r="P108" s="142">
        <v>7440</v>
      </c>
      <c r="Q108" s="142" t="s">
        <v>23</v>
      </c>
      <c r="R108" s="142">
        <f t="shared" si="15"/>
        <v>64978</v>
      </c>
    </row>
    <row r="109" spans="1:21">
      <c r="A109" s="99">
        <v>1984</v>
      </c>
      <c r="B109" s="142" t="s">
        <v>23</v>
      </c>
      <c r="C109" s="142">
        <v>6017</v>
      </c>
      <c r="D109" s="142" t="s">
        <v>23</v>
      </c>
      <c r="E109" s="142">
        <v>5</v>
      </c>
      <c r="F109" s="142">
        <v>6</v>
      </c>
      <c r="G109" s="142" t="s">
        <v>23</v>
      </c>
      <c r="H109" s="142" t="s">
        <v>23</v>
      </c>
      <c r="I109" s="142">
        <f t="shared" si="14"/>
        <v>6028</v>
      </c>
      <c r="K109" s="142" t="s">
        <v>23</v>
      </c>
      <c r="L109" s="142" t="s">
        <v>23</v>
      </c>
      <c r="M109" s="142" t="s">
        <v>23</v>
      </c>
      <c r="N109" s="142">
        <v>1704</v>
      </c>
      <c r="O109" s="142">
        <v>8897</v>
      </c>
      <c r="P109" s="142" t="s">
        <v>23</v>
      </c>
      <c r="Q109" s="142" t="s">
        <v>23</v>
      </c>
      <c r="R109" s="142">
        <f t="shared" si="15"/>
        <v>10601</v>
      </c>
    </row>
    <row r="110" spans="1:21">
      <c r="A110" s="99">
        <v>1985</v>
      </c>
      <c r="B110" s="142" t="s">
        <v>23</v>
      </c>
      <c r="C110" s="142" t="s">
        <v>23</v>
      </c>
      <c r="D110" s="142">
        <v>814</v>
      </c>
      <c r="E110" s="142">
        <v>10252</v>
      </c>
      <c r="F110" s="142">
        <v>6826</v>
      </c>
      <c r="G110" s="142">
        <v>256</v>
      </c>
      <c r="H110" s="142" t="s">
        <v>23</v>
      </c>
      <c r="I110" s="142">
        <f t="shared" si="14"/>
        <v>18148</v>
      </c>
      <c r="K110" s="142" t="s">
        <v>23</v>
      </c>
      <c r="L110" s="142" t="s">
        <v>23</v>
      </c>
      <c r="M110" s="142">
        <v>1416</v>
      </c>
      <c r="N110" s="142">
        <v>34764</v>
      </c>
      <c r="O110" s="142">
        <v>31784</v>
      </c>
      <c r="P110" s="142">
        <v>5874</v>
      </c>
      <c r="Q110" s="142" t="s">
        <v>23</v>
      </c>
      <c r="R110" s="142">
        <f t="shared" si="15"/>
        <v>73838</v>
      </c>
    </row>
    <row r="111" spans="1:21">
      <c r="A111" s="99">
        <v>1986</v>
      </c>
      <c r="B111" s="142" t="s">
        <v>23</v>
      </c>
      <c r="C111" s="142" t="s">
        <v>23</v>
      </c>
      <c r="D111" s="142">
        <v>503</v>
      </c>
      <c r="E111" s="142">
        <v>7899</v>
      </c>
      <c r="F111" s="142">
        <v>6887</v>
      </c>
      <c r="G111" s="142" t="s">
        <v>23</v>
      </c>
      <c r="H111" s="142" t="s">
        <v>23</v>
      </c>
      <c r="I111" s="142">
        <f t="shared" si="14"/>
        <v>15289</v>
      </c>
      <c r="K111" s="142" t="s">
        <v>23</v>
      </c>
      <c r="L111" s="142" t="s">
        <v>23</v>
      </c>
      <c r="M111" s="142">
        <v>3096</v>
      </c>
      <c r="N111" s="142">
        <v>49662</v>
      </c>
      <c r="O111" s="142">
        <v>29310</v>
      </c>
      <c r="P111" s="142">
        <v>943</v>
      </c>
      <c r="Q111" s="142">
        <v>86</v>
      </c>
      <c r="R111" s="142">
        <f t="shared" si="15"/>
        <v>83097</v>
      </c>
    </row>
    <row r="112" spans="1:21">
      <c r="A112" s="99">
        <v>1987</v>
      </c>
      <c r="B112" s="142" t="s">
        <v>23</v>
      </c>
      <c r="C112" s="142" t="s">
        <v>23</v>
      </c>
      <c r="D112" s="142">
        <v>2985</v>
      </c>
      <c r="E112" s="142">
        <v>20492</v>
      </c>
      <c r="F112" s="142">
        <v>6239</v>
      </c>
      <c r="G112" s="142">
        <v>17</v>
      </c>
      <c r="H112" s="142" t="s">
        <v>23</v>
      </c>
      <c r="I112" s="142">
        <f t="shared" si="14"/>
        <v>29733</v>
      </c>
      <c r="K112" s="142" t="s">
        <v>23</v>
      </c>
      <c r="L112" s="142" t="s">
        <v>23</v>
      </c>
      <c r="M112" s="142">
        <v>369</v>
      </c>
      <c r="N112" s="142">
        <v>27590</v>
      </c>
      <c r="O112" s="142">
        <v>13473</v>
      </c>
      <c r="P112" s="142">
        <v>44</v>
      </c>
      <c r="Q112" s="142">
        <v>3</v>
      </c>
      <c r="R112" s="142">
        <f t="shared" si="15"/>
        <v>41479</v>
      </c>
    </row>
    <row r="113" spans="1:18">
      <c r="A113" s="99">
        <v>1988</v>
      </c>
      <c r="B113" s="142" t="s">
        <v>23</v>
      </c>
      <c r="C113" s="142" t="s">
        <v>23</v>
      </c>
      <c r="D113" s="142" t="s">
        <v>23</v>
      </c>
      <c r="E113" s="142">
        <v>12528</v>
      </c>
      <c r="F113" s="142">
        <v>914</v>
      </c>
      <c r="G113" s="142" t="s">
        <v>23</v>
      </c>
      <c r="H113" s="142" t="s">
        <v>23</v>
      </c>
      <c r="I113" s="142">
        <f t="shared" si="14"/>
        <v>13442</v>
      </c>
      <c r="K113" s="142" t="s">
        <v>23</v>
      </c>
      <c r="L113" s="142" t="s">
        <v>23</v>
      </c>
      <c r="M113" s="142" t="s">
        <v>23</v>
      </c>
      <c r="N113" s="142">
        <v>45936</v>
      </c>
      <c r="O113" s="142">
        <v>2608</v>
      </c>
      <c r="P113" s="142" t="s">
        <v>23</v>
      </c>
      <c r="Q113" s="142" t="s">
        <v>23</v>
      </c>
      <c r="R113" s="142">
        <f t="shared" si="15"/>
        <v>48544</v>
      </c>
    </row>
    <row r="114" spans="1:18">
      <c r="A114" s="99">
        <v>1989</v>
      </c>
      <c r="B114" s="142" t="s">
        <v>23</v>
      </c>
      <c r="C114" s="142">
        <v>667</v>
      </c>
      <c r="D114" s="142">
        <v>1383</v>
      </c>
      <c r="E114" s="142">
        <v>3971</v>
      </c>
      <c r="F114" s="142">
        <v>5622</v>
      </c>
      <c r="G114" s="142" t="s">
        <v>23</v>
      </c>
      <c r="H114" s="142" t="s">
        <v>23</v>
      </c>
      <c r="I114" s="142">
        <f t="shared" si="14"/>
        <v>11643</v>
      </c>
      <c r="K114" s="142" t="s">
        <v>23</v>
      </c>
      <c r="L114" s="142">
        <v>19</v>
      </c>
      <c r="M114" s="142">
        <v>12</v>
      </c>
      <c r="N114" s="142">
        <v>46172</v>
      </c>
      <c r="O114" s="142">
        <v>41682</v>
      </c>
      <c r="P114" s="142" t="s">
        <v>23</v>
      </c>
      <c r="Q114" s="142" t="s">
        <v>23</v>
      </c>
      <c r="R114" s="142">
        <f t="shared" si="15"/>
        <v>87885</v>
      </c>
    </row>
    <row r="115" spans="1:18">
      <c r="A115" s="99">
        <v>1990</v>
      </c>
      <c r="B115" s="142" t="s">
        <v>23</v>
      </c>
      <c r="C115" s="142" t="s">
        <v>23</v>
      </c>
      <c r="D115" s="142">
        <v>1283</v>
      </c>
      <c r="E115" s="142">
        <v>6780</v>
      </c>
      <c r="F115" s="142">
        <v>5399</v>
      </c>
      <c r="G115" s="142">
        <v>3367</v>
      </c>
      <c r="H115" s="142" t="s">
        <v>23</v>
      </c>
      <c r="I115" s="142">
        <f t="shared" si="14"/>
        <v>16829</v>
      </c>
      <c r="K115" s="142" t="s">
        <v>23</v>
      </c>
      <c r="L115" s="142" t="s">
        <v>23</v>
      </c>
      <c r="M115" s="142">
        <v>5402</v>
      </c>
      <c r="N115" s="142">
        <v>31267</v>
      </c>
      <c r="O115" s="142">
        <v>29407</v>
      </c>
      <c r="P115" s="142">
        <v>20026</v>
      </c>
      <c r="Q115" s="142" t="s">
        <v>23</v>
      </c>
      <c r="R115" s="142">
        <f t="shared" si="15"/>
        <v>86102</v>
      </c>
    </row>
    <row r="116" spans="1:18">
      <c r="A116" s="99">
        <v>1991</v>
      </c>
      <c r="B116" s="142" t="s">
        <v>23</v>
      </c>
      <c r="C116" s="142" t="s">
        <v>23</v>
      </c>
      <c r="D116" s="142">
        <v>1911</v>
      </c>
      <c r="E116" s="142">
        <v>3786</v>
      </c>
      <c r="F116" s="142">
        <v>1265</v>
      </c>
      <c r="G116" s="142">
        <v>209</v>
      </c>
      <c r="H116" s="142" t="s">
        <v>23</v>
      </c>
      <c r="I116" s="142">
        <f t="shared" si="14"/>
        <v>7171</v>
      </c>
      <c r="K116" s="142" t="s">
        <v>23</v>
      </c>
      <c r="L116" s="142" t="s">
        <v>23</v>
      </c>
      <c r="M116" s="142">
        <v>6781</v>
      </c>
      <c r="N116" s="142">
        <v>60610</v>
      </c>
      <c r="O116" s="142">
        <v>14508</v>
      </c>
      <c r="P116" s="142">
        <v>6963</v>
      </c>
      <c r="Q116" s="142" t="s">
        <v>23</v>
      </c>
      <c r="R116" s="142">
        <f t="shared" si="15"/>
        <v>88862</v>
      </c>
    </row>
    <row r="117" spans="1:18">
      <c r="A117" s="99">
        <v>1992</v>
      </c>
      <c r="B117" s="142" t="s">
        <v>23</v>
      </c>
      <c r="C117" s="142" t="s">
        <v>23</v>
      </c>
      <c r="D117" s="142" t="s">
        <v>23</v>
      </c>
      <c r="E117" s="142">
        <v>7091</v>
      </c>
      <c r="F117" s="142">
        <v>5979</v>
      </c>
      <c r="G117" s="142">
        <v>2370</v>
      </c>
      <c r="H117" s="142">
        <v>213</v>
      </c>
      <c r="I117" s="142">
        <f t="shared" si="14"/>
        <v>15653</v>
      </c>
      <c r="K117" s="142" t="s">
        <v>23</v>
      </c>
      <c r="L117" s="142" t="s">
        <v>23</v>
      </c>
      <c r="M117" s="142" t="s">
        <v>23</v>
      </c>
      <c r="N117" s="142">
        <v>16774</v>
      </c>
      <c r="O117" s="142">
        <v>25807</v>
      </c>
      <c r="P117" s="142">
        <v>7234</v>
      </c>
      <c r="Q117" s="142">
        <v>322</v>
      </c>
      <c r="R117" s="142">
        <f t="shared" si="15"/>
        <v>50137</v>
      </c>
    </row>
    <row r="118" spans="1:18">
      <c r="A118" s="99">
        <v>1993</v>
      </c>
      <c r="B118" s="142" t="s">
        <v>23</v>
      </c>
      <c r="C118" s="142" t="s">
        <v>23</v>
      </c>
      <c r="D118" s="142" t="s">
        <v>23</v>
      </c>
      <c r="E118" s="142">
        <v>1357</v>
      </c>
      <c r="F118" s="142">
        <v>3780</v>
      </c>
      <c r="G118" s="142">
        <v>3358</v>
      </c>
      <c r="H118" s="142" t="s">
        <v>23</v>
      </c>
      <c r="I118" s="142">
        <f t="shared" si="14"/>
        <v>8495</v>
      </c>
      <c r="K118" s="142" t="s">
        <v>23</v>
      </c>
      <c r="L118" s="142" t="s">
        <v>23</v>
      </c>
      <c r="M118" s="142" t="s">
        <v>23</v>
      </c>
      <c r="N118" s="142">
        <v>16081</v>
      </c>
      <c r="O118" s="142">
        <v>21274</v>
      </c>
      <c r="P118" s="142">
        <v>12067</v>
      </c>
      <c r="Q118" s="142" t="s">
        <v>23</v>
      </c>
      <c r="R118" s="142">
        <f t="shared" si="15"/>
        <v>49422</v>
      </c>
    </row>
    <row r="119" spans="1:18">
      <c r="A119" s="99">
        <v>1994</v>
      </c>
      <c r="B119" s="142" t="s">
        <v>23</v>
      </c>
      <c r="C119" s="142" t="s">
        <v>23</v>
      </c>
      <c r="D119" s="142" t="s">
        <v>23</v>
      </c>
      <c r="E119" s="142" t="s">
        <v>23</v>
      </c>
      <c r="F119" s="142" t="s">
        <v>23</v>
      </c>
      <c r="G119" s="142" t="s">
        <v>23</v>
      </c>
      <c r="H119" s="142" t="s">
        <v>23</v>
      </c>
      <c r="I119" s="142" t="s">
        <v>23</v>
      </c>
      <c r="K119" s="142" t="s">
        <v>23</v>
      </c>
      <c r="L119" s="142" t="s">
        <v>23</v>
      </c>
      <c r="M119" s="142" t="s">
        <v>23</v>
      </c>
      <c r="N119" s="142" t="s">
        <v>23</v>
      </c>
      <c r="O119" s="142" t="s">
        <v>23</v>
      </c>
      <c r="P119" s="142" t="s">
        <v>23</v>
      </c>
      <c r="Q119" s="142" t="s">
        <v>23</v>
      </c>
      <c r="R119" s="142" t="s">
        <v>23</v>
      </c>
    </row>
    <row r="120" spans="1:18">
      <c r="A120" s="99">
        <v>1995</v>
      </c>
      <c r="B120" s="142" t="s">
        <v>23</v>
      </c>
      <c r="C120" s="142" t="s">
        <v>23</v>
      </c>
      <c r="D120" s="142" t="s">
        <v>23</v>
      </c>
      <c r="E120" s="142">
        <v>12</v>
      </c>
      <c r="F120" s="142">
        <v>33</v>
      </c>
      <c r="G120" s="142">
        <v>46</v>
      </c>
      <c r="H120" s="142" t="s">
        <v>23</v>
      </c>
      <c r="I120" s="142">
        <f t="shared" ref="I120:I128" si="16">SUM(B120:H120)</f>
        <v>91</v>
      </c>
      <c r="K120" s="142" t="s">
        <v>23</v>
      </c>
      <c r="L120" s="142" t="s">
        <v>23</v>
      </c>
      <c r="M120" s="142" t="s">
        <v>23</v>
      </c>
      <c r="N120" s="142">
        <v>3216</v>
      </c>
      <c r="O120" s="142">
        <v>17623</v>
      </c>
      <c r="P120" s="142">
        <v>8046</v>
      </c>
      <c r="Q120" s="142" t="s">
        <v>23</v>
      </c>
      <c r="R120" s="142">
        <f t="shared" ref="R120:R131" si="17">SUM(K120:Q120)</f>
        <v>28885</v>
      </c>
    </row>
    <row r="121" spans="1:18">
      <c r="A121" s="99">
        <v>1996</v>
      </c>
      <c r="B121" s="142" t="s">
        <v>23</v>
      </c>
      <c r="C121" s="142" t="s">
        <v>23</v>
      </c>
      <c r="D121" s="142" t="s">
        <v>23</v>
      </c>
      <c r="E121" s="142">
        <v>8</v>
      </c>
      <c r="F121" s="142">
        <v>8</v>
      </c>
      <c r="G121" s="142" t="s">
        <v>23</v>
      </c>
      <c r="H121" s="142" t="s">
        <v>23</v>
      </c>
      <c r="I121" s="142">
        <f t="shared" si="16"/>
        <v>16</v>
      </c>
      <c r="K121" s="142" t="s">
        <v>23</v>
      </c>
      <c r="L121" s="142" t="s">
        <v>23</v>
      </c>
      <c r="M121" s="142" t="s">
        <v>23</v>
      </c>
      <c r="N121" s="142">
        <v>5975</v>
      </c>
      <c r="O121" s="142">
        <v>14896</v>
      </c>
      <c r="P121" s="142">
        <v>2202</v>
      </c>
      <c r="Q121" s="142" t="s">
        <v>23</v>
      </c>
      <c r="R121" s="142">
        <f t="shared" si="17"/>
        <v>23073</v>
      </c>
    </row>
    <row r="122" spans="1:18">
      <c r="A122" s="99">
        <v>1997</v>
      </c>
      <c r="B122" s="142" t="s">
        <v>23</v>
      </c>
      <c r="C122" s="142" t="s">
        <v>23</v>
      </c>
      <c r="D122" s="142" t="s">
        <v>23</v>
      </c>
      <c r="E122" s="142">
        <v>1199</v>
      </c>
      <c r="F122" s="142">
        <v>1563</v>
      </c>
      <c r="G122" s="142">
        <v>315</v>
      </c>
      <c r="H122" s="142" t="s">
        <v>23</v>
      </c>
      <c r="I122" s="142">
        <f t="shared" si="16"/>
        <v>3077</v>
      </c>
      <c r="K122" s="142" t="s">
        <v>23</v>
      </c>
      <c r="L122" s="142" t="s">
        <v>23</v>
      </c>
      <c r="M122" s="142" t="s">
        <v>23</v>
      </c>
      <c r="N122" s="142">
        <v>5986</v>
      </c>
      <c r="O122" s="142">
        <v>6745</v>
      </c>
      <c r="P122" s="142">
        <v>424</v>
      </c>
      <c r="Q122" s="142" t="s">
        <v>23</v>
      </c>
      <c r="R122" s="142">
        <f t="shared" si="17"/>
        <v>13155</v>
      </c>
    </row>
    <row r="123" spans="1:18">
      <c r="A123" s="99">
        <v>1998</v>
      </c>
      <c r="B123" s="142" t="s">
        <v>23</v>
      </c>
      <c r="C123" s="142" t="s">
        <v>23</v>
      </c>
      <c r="D123" s="142" t="s">
        <v>23</v>
      </c>
      <c r="E123" s="142" t="s">
        <v>23</v>
      </c>
      <c r="F123" s="142">
        <v>1477</v>
      </c>
      <c r="G123" s="142">
        <v>228</v>
      </c>
      <c r="H123" s="142" t="s">
        <v>23</v>
      </c>
      <c r="I123" s="142">
        <f t="shared" si="16"/>
        <v>1705</v>
      </c>
      <c r="K123" s="142" t="s">
        <v>23</v>
      </c>
      <c r="L123" s="142" t="s">
        <v>23</v>
      </c>
      <c r="M123" s="142" t="s">
        <v>23</v>
      </c>
      <c r="N123" s="142" t="s">
        <v>23</v>
      </c>
      <c r="O123" s="142">
        <v>6628</v>
      </c>
      <c r="P123" s="142">
        <v>1066</v>
      </c>
      <c r="Q123" s="142" t="s">
        <v>23</v>
      </c>
      <c r="R123" s="142">
        <f t="shared" si="17"/>
        <v>7694</v>
      </c>
    </row>
    <row r="124" spans="1:18">
      <c r="A124" s="99">
        <v>1999</v>
      </c>
      <c r="B124" s="142" t="s">
        <v>23</v>
      </c>
      <c r="C124" s="142" t="s">
        <v>23</v>
      </c>
      <c r="D124" s="142" t="s">
        <v>23</v>
      </c>
      <c r="E124" s="142">
        <v>2271</v>
      </c>
      <c r="F124" s="142">
        <v>3103</v>
      </c>
      <c r="G124" s="142">
        <v>1211</v>
      </c>
      <c r="H124" s="142" t="s">
        <v>23</v>
      </c>
      <c r="I124" s="142">
        <f t="shared" si="16"/>
        <v>6585</v>
      </c>
      <c r="K124" s="142" t="s">
        <v>23</v>
      </c>
      <c r="L124" s="142" t="s">
        <v>23</v>
      </c>
      <c r="M124" s="142" t="s">
        <v>23</v>
      </c>
      <c r="N124" s="142">
        <v>4060</v>
      </c>
      <c r="O124" s="142">
        <v>7264</v>
      </c>
      <c r="P124" s="142">
        <v>1271</v>
      </c>
      <c r="Q124" s="142" t="s">
        <v>23</v>
      </c>
      <c r="R124" s="142">
        <f t="shared" si="17"/>
        <v>12595</v>
      </c>
    </row>
    <row r="125" spans="1:18">
      <c r="A125" s="99">
        <v>2000</v>
      </c>
      <c r="B125" s="142" t="s">
        <v>23</v>
      </c>
      <c r="C125" s="142" t="s">
        <v>23</v>
      </c>
      <c r="D125" s="142" t="s">
        <v>23</v>
      </c>
      <c r="E125" s="142">
        <v>4153</v>
      </c>
      <c r="F125" s="142">
        <v>2183</v>
      </c>
      <c r="G125" s="142" t="s">
        <v>23</v>
      </c>
      <c r="H125" s="142" t="s">
        <v>23</v>
      </c>
      <c r="I125" s="142">
        <f t="shared" si="16"/>
        <v>6336</v>
      </c>
      <c r="K125" s="142" t="s">
        <v>23</v>
      </c>
      <c r="L125" s="142" t="s">
        <v>23</v>
      </c>
      <c r="M125" s="142" t="s">
        <v>23</v>
      </c>
      <c r="N125" s="142">
        <v>18554</v>
      </c>
      <c r="O125" s="142">
        <v>10240</v>
      </c>
      <c r="P125" s="142" t="s">
        <v>23</v>
      </c>
      <c r="Q125" s="142" t="s">
        <v>23</v>
      </c>
      <c r="R125" s="142">
        <f t="shared" si="17"/>
        <v>28794</v>
      </c>
    </row>
    <row r="126" spans="1:18">
      <c r="A126" s="99">
        <v>2001</v>
      </c>
      <c r="B126" s="142" t="s">
        <v>23</v>
      </c>
      <c r="C126" s="142" t="s">
        <v>23</v>
      </c>
      <c r="D126" s="142" t="s">
        <v>23</v>
      </c>
      <c r="E126" s="142">
        <v>12205</v>
      </c>
      <c r="F126" s="142">
        <v>2758</v>
      </c>
      <c r="G126" s="142">
        <v>782</v>
      </c>
      <c r="H126" s="142" t="s">
        <v>23</v>
      </c>
      <c r="I126" s="142">
        <f t="shared" si="16"/>
        <v>15745</v>
      </c>
      <c r="K126" s="142" t="s">
        <v>23</v>
      </c>
      <c r="L126" s="142" t="s">
        <v>23</v>
      </c>
      <c r="M126" s="142" t="s">
        <v>23</v>
      </c>
      <c r="N126" s="142">
        <v>31372</v>
      </c>
      <c r="O126" s="142">
        <v>25115</v>
      </c>
      <c r="P126" s="142">
        <v>12909</v>
      </c>
      <c r="Q126" s="142" t="s">
        <v>23</v>
      </c>
      <c r="R126" s="142">
        <f t="shared" si="17"/>
        <v>69396</v>
      </c>
    </row>
    <row r="127" spans="1:18">
      <c r="A127" s="99">
        <v>2002</v>
      </c>
      <c r="B127" s="142" t="s">
        <v>23</v>
      </c>
      <c r="C127" s="142">
        <v>2313</v>
      </c>
      <c r="D127" s="142">
        <v>13877</v>
      </c>
      <c r="E127" s="142">
        <v>17848</v>
      </c>
      <c r="F127" s="142">
        <v>8548</v>
      </c>
      <c r="G127" s="142" t="s">
        <v>23</v>
      </c>
      <c r="H127" s="142" t="s">
        <v>23</v>
      </c>
      <c r="I127" s="142">
        <f t="shared" si="16"/>
        <v>42586</v>
      </c>
      <c r="K127" s="142" t="s">
        <v>23</v>
      </c>
      <c r="L127" s="142">
        <v>5</v>
      </c>
      <c r="M127" s="142">
        <v>271</v>
      </c>
      <c r="N127" s="142">
        <v>8043</v>
      </c>
      <c r="O127" s="142">
        <v>10762</v>
      </c>
      <c r="P127" s="142" t="s">
        <v>23</v>
      </c>
      <c r="Q127" s="142" t="s">
        <v>23</v>
      </c>
      <c r="R127" s="142">
        <f t="shared" si="17"/>
        <v>19081</v>
      </c>
    </row>
    <row r="128" spans="1:18">
      <c r="A128" s="99">
        <v>2003</v>
      </c>
      <c r="B128" s="142" t="s">
        <v>23</v>
      </c>
      <c r="C128" s="142" t="s">
        <v>23</v>
      </c>
      <c r="D128" s="142">
        <v>1972</v>
      </c>
      <c r="E128" s="142">
        <v>9103</v>
      </c>
      <c r="F128" s="142">
        <v>8953</v>
      </c>
      <c r="G128" s="142">
        <v>1786</v>
      </c>
      <c r="H128" s="142" t="s">
        <v>23</v>
      </c>
      <c r="I128" s="142">
        <f t="shared" si="16"/>
        <v>21814</v>
      </c>
      <c r="K128" s="142" t="s">
        <v>23</v>
      </c>
      <c r="L128" s="142" t="s">
        <v>23</v>
      </c>
      <c r="M128" s="142">
        <v>2714</v>
      </c>
      <c r="N128" s="142">
        <v>14882</v>
      </c>
      <c r="O128" s="142">
        <v>17343</v>
      </c>
      <c r="P128" s="142">
        <v>4328</v>
      </c>
      <c r="Q128" s="142" t="s">
        <v>23</v>
      </c>
      <c r="R128" s="142">
        <f t="shared" si="17"/>
        <v>39267</v>
      </c>
    </row>
    <row r="129" spans="1:20">
      <c r="A129" s="99">
        <v>2004</v>
      </c>
      <c r="B129" s="142" t="s">
        <v>23</v>
      </c>
      <c r="C129" s="142" t="s">
        <v>23</v>
      </c>
      <c r="D129" s="142">
        <v>254</v>
      </c>
      <c r="E129" s="142">
        <v>4087</v>
      </c>
      <c r="F129" s="142">
        <v>5358</v>
      </c>
      <c r="G129" s="142">
        <v>1647</v>
      </c>
      <c r="H129" s="142" t="s">
        <v>23</v>
      </c>
      <c r="I129" s="142">
        <v>11340</v>
      </c>
      <c r="K129" s="142" t="s">
        <v>23</v>
      </c>
      <c r="L129" s="142" t="s">
        <v>23</v>
      </c>
      <c r="M129" s="142">
        <v>1183</v>
      </c>
      <c r="N129" s="142">
        <v>7060</v>
      </c>
      <c r="O129" s="142">
        <v>12476</v>
      </c>
      <c r="P129" s="142">
        <v>8617</v>
      </c>
      <c r="Q129" s="142" t="s">
        <v>23</v>
      </c>
      <c r="R129" s="142">
        <f t="shared" si="17"/>
        <v>29336</v>
      </c>
    </row>
    <row r="130" spans="1:20">
      <c r="A130" s="99">
        <v>2005</v>
      </c>
      <c r="B130" s="142" t="s">
        <v>23</v>
      </c>
      <c r="C130" s="142" t="s">
        <v>23</v>
      </c>
      <c r="D130" s="142">
        <v>364</v>
      </c>
      <c r="E130" s="142">
        <v>5245</v>
      </c>
      <c r="F130" s="142">
        <v>12179</v>
      </c>
      <c r="G130" s="142">
        <v>4585</v>
      </c>
      <c r="H130" s="142" t="s">
        <v>23</v>
      </c>
      <c r="I130" s="142">
        <f t="shared" ref="I130:I146" si="18">SUM(B130:H130)</f>
        <v>22373</v>
      </c>
      <c r="K130" s="142" t="s">
        <v>23</v>
      </c>
      <c r="L130" s="142" t="s">
        <v>23</v>
      </c>
      <c r="M130" s="142">
        <v>126</v>
      </c>
      <c r="N130" s="142">
        <v>3139</v>
      </c>
      <c r="O130" s="142">
        <v>4869</v>
      </c>
      <c r="P130" s="142">
        <v>2374</v>
      </c>
      <c r="Q130" s="142" t="s">
        <v>23</v>
      </c>
      <c r="R130" s="142">
        <f t="shared" si="17"/>
        <v>10508</v>
      </c>
    </row>
    <row r="131" spans="1:20">
      <c r="A131" s="99">
        <v>2006</v>
      </c>
      <c r="B131" s="142" t="s">
        <v>23</v>
      </c>
      <c r="C131" s="142" t="s">
        <v>23</v>
      </c>
      <c r="D131" s="142" t="s">
        <v>23</v>
      </c>
      <c r="E131" s="142">
        <v>2292.56</v>
      </c>
      <c r="F131" s="142">
        <v>3124.55</v>
      </c>
      <c r="G131" s="142">
        <v>397.96</v>
      </c>
      <c r="H131" s="142" t="s">
        <v>23</v>
      </c>
      <c r="I131" s="142">
        <f t="shared" si="18"/>
        <v>5815.0700000000006</v>
      </c>
      <c r="K131" s="142" t="s">
        <v>23</v>
      </c>
      <c r="L131" s="142" t="s">
        <v>23</v>
      </c>
      <c r="M131" s="142" t="s">
        <v>23</v>
      </c>
      <c r="N131" s="142">
        <v>2007.73</v>
      </c>
      <c r="O131" s="142">
        <v>5675.45</v>
      </c>
      <c r="P131" s="142">
        <v>1095.8499999999999</v>
      </c>
      <c r="Q131" s="142" t="s">
        <v>23</v>
      </c>
      <c r="R131" s="142">
        <f t="shared" si="17"/>
        <v>8779.0300000000007</v>
      </c>
    </row>
    <row r="132" spans="1:20">
      <c r="A132" s="99">
        <v>2007</v>
      </c>
      <c r="B132" s="142" t="s">
        <v>23</v>
      </c>
      <c r="C132" s="142" t="s">
        <v>23</v>
      </c>
      <c r="D132" s="142" t="s">
        <v>23</v>
      </c>
      <c r="E132" s="142">
        <v>2493.66</v>
      </c>
      <c r="F132" s="142">
        <v>2544.8000000000002</v>
      </c>
      <c r="G132" s="142">
        <v>208.26</v>
      </c>
      <c r="H132" s="142" t="s">
        <v>23</v>
      </c>
      <c r="I132" s="142">
        <f t="shared" si="18"/>
        <v>5246.72</v>
      </c>
      <c r="K132" s="142" t="s">
        <v>23</v>
      </c>
      <c r="L132" s="142" t="s">
        <v>23</v>
      </c>
      <c r="M132" s="142" t="s">
        <v>23</v>
      </c>
      <c r="N132" s="142">
        <v>7288.86</v>
      </c>
      <c r="O132" s="142">
        <v>14054.53</v>
      </c>
      <c r="P132" s="142">
        <v>1648.27</v>
      </c>
      <c r="Q132" s="142" t="s">
        <v>23</v>
      </c>
      <c r="R132" s="142">
        <f>SUM(K132:Q132)</f>
        <v>22991.66</v>
      </c>
    </row>
    <row r="133" spans="1:20">
      <c r="A133" s="99">
        <v>2008</v>
      </c>
      <c r="B133" s="142" t="s">
        <v>23</v>
      </c>
      <c r="C133" s="142" t="s">
        <v>23</v>
      </c>
      <c r="D133" s="142">
        <v>2145.04</v>
      </c>
      <c r="E133" s="142">
        <v>4459</v>
      </c>
      <c r="F133" s="142">
        <v>2735.14</v>
      </c>
      <c r="G133" s="142">
        <v>304.99</v>
      </c>
      <c r="H133" s="142" t="s">
        <v>23</v>
      </c>
      <c r="I133" s="142">
        <f t="shared" si="18"/>
        <v>9644.17</v>
      </c>
      <c r="K133" s="142" t="s">
        <v>23</v>
      </c>
      <c r="L133" s="142" t="s">
        <v>23</v>
      </c>
      <c r="M133" s="142">
        <v>30.03</v>
      </c>
      <c r="N133" s="142">
        <v>2550.4</v>
      </c>
      <c r="O133" s="142">
        <v>3383.09</v>
      </c>
      <c r="P133" s="142">
        <v>1564.09</v>
      </c>
      <c r="Q133" s="142" t="s">
        <v>23</v>
      </c>
      <c r="R133" s="142">
        <f t="shared" ref="R133:R146" si="19">SUM(K133:Q133)</f>
        <v>7527.6100000000006</v>
      </c>
    </row>
    <row r="134" spans="1:20">
      <c r="A134" s="99">
        <v>2009</v>
      </c>
      <c r="B134" s="142" t="s">
        <v>23</v>
      </c>
      <c r="C134" s="142" t="s">
        <v>23</v>
      </c>
      <c r="D134" s="142">
        <v>123.86</v>
      </c>
      <c r="E134" s="142">
        <v>2080.0700000000002</v>
      </c>
      <c r="F134" s="142">
        <v>2594.14</v>
      </c>
      <c r="G134" s="142">
        <v>224.79</v>
      </c>
      <c r="H134" s="142" t="s">
        <v>23</v>
      </c>
      <c r="I134" s="142">
        <f t="shared" si="18"/>
        <v>5022.8599999999997</v>
      </c>
      <c r="K134" s="142" t="s">
        <v>23</v>
      </c>
      <c r="L134" s="142" t="s">
        <v>23</v>
      </c>
      <c r="M134" s="142">
        <v>539.4</v>
      </c>
      <c r="N134" s="142">
        <v>10744.81</v>
      </c>
      <c r="O134" s="142">
        <v>33181.379999999997</v>
      </c>
      <c r="P134" s="142">
        <v>9402.7199999999993</v>
      </c>
      <c r="Q134" s="142" t="s">
        <v>23</v>
      </c>
      <c r="R134" s="142">
        <f t="shared" si="19"/>
        <v>53868.31</v>
      </c>
    </row>
    <row r="135" spans="1:20">
      <c r="A135" s="99">
        <v>2010</v>
      </c>
      <c r="B135" s="142" t="s">
        <v>23</v>
      </c>
      <c r="C135" s="142" t="s">
        <v>23</v>
      </c>
      <c r="D135" s="142">
        <v>4711.22</v>
      </c>
      <c r="E135" s="142">
        <v>9947.59</v>
      </c>
      <c r="F135" s="142">
        <v>10586.34</v>
      </c>
      <c r="G135" s="142">
        <v>1744.27</v>
      </c>
      <c r="H135" s="142" t="s">
        <v>23</v>
      </c>
      <c r="I135" s="142">
        <f t="shared" si="18"/>
        <v>26989.420000000002</v>
      </c>
      <c r="K135" s="142" t="s">
        <v>23</v>
      </c>
      <c r="L135" s="142" t="s">
        <v>23</v>
      </c>
      <c r="M135" s="142">
        <v>45</v>
      </c>
      <c r="N135" s="142">
        <v>3680.31</v>
      </c>
      <c r="O135" s="142">
        <v>3956.76</v>
      </c>
      <c r="P135" s="142">
        <v>4924.6099999999997</v>
      </c>
      <c r="Q135" s="142" t="s">
        <v>23</v>
      </c>
      <c r="R135" s="142">
        <f t="shared" si="19"/>
        <v>12606.68</v>
      </c>
    </row>
    <row r="136" spans="1:20">
      <c r="A136" s="99">
        <v>2011</v>
      </c>
      <c r="B136" s="142" t="s">
        <v>23</v>
      </c>
      <c r="C136" s="142" t="s">
        <v>23</v>
      </c>
      <c r="D136" s="142">
        <v>2219.71</v>
      </c>
      <c r="E136" s="142">
        <v>5579.44</v>
      </c>
      <c r="F136" s="142">
        <v>10834.53</v>
      </c>
      <c r="G136" s="142">
        <v>455.48</v>
      </c>
      <c r="H136" s="142" t="s">
        <v>23</v>
      </c>
      <c r="I136" s="142">
        <f t="shared" si="18"/>
        <v>19089.16</v>
      </c>
      <c r="K136" s="142" t="s">
        <v>23</v>
      </c>
      <c r="L136" s="142" t="s">
        <v>23</v>
      </c>
      <c r="M136" s="142">
        <v>229.23</v>
      </c>
      <c r="N136" s="142">
        <v>4498.6400000000003</v>
      </c>
      <c r="O136" s="142">
        <v>6722.7</v>
      </c>
      <c r="P136" s="142">
        <v>2392.35</v>
      </c>
      <c r="Q136" s="142" t="s">
        <v>23</v>
      </c>
      <c r="R136" s="142">
        <f t="shared" si="19"/>
        <v>13842.92</v>
      </c>
    </row>
    <row r="137" spans="1:20">
      <c r="A137" s="99">
        <v>2012</v>
      </c>
      <c r="B137" s="142" t="s">
        <v>23</v>
      </c>
      <c r="C137" s="142" t="s">
        <v>23</v>
      </c>
      <c r="D137" s="142">
        <v>7574.4500000000007</v>
      </c>
      <c r="E137" s="142">
        <v>4032.59</v>
      </c>
      <c r="F137" s="142">
        <v>6708.65</v>
      </c>
      <c r="G137" s="142">
        <v>1170.43</v>
      </c>
      <c r="H137" s="142" t="s">
        <v>23</v>
      </c>
      <c r="I137" s="142">
        <f t="shared" si="18"/>
        <v>19486.120000000003</v>
      </c>
      <c r="K137" s="142" t="s">
        <v>23</v>
      </c>
      <c r="L137" s="142" t="s">
        <v>23</v>
      </c>
      <c r="M137" s="142">
        <v>183.9</v>
      </c>
      <c r="N137" s="142">
        <v>3124.09</v>
      </c>
      <c r="O137" s="142">
        <v>3374.55</v>
      </c>
      <c r="P137" s="142">
        <v>5241.05</v>
      </c>
      <c r="Q137" s="142" t="s">
        <v>23</v>
      </c>
      <c r="R137" s="142">
        <f t="shared" si="19"/>
        <v>11923.59</v>
      </c>
      <c r="T137" s="17">
        <f>SUM(E137:G137)</f>
        <v>11911.67</v>
      </c>
    </row>
    <row r="138" spans="1:20">
      <c r="A138" s="99">
        <v>2013</v>
      </c>
      <c r="B138" s="142" t="s">
        <v>23</v>
      </c>
      <c r="C138" s="142" t="s">
        <v>23</v>
      </c>
      <c r="D138" s="142">
        <v>2191.87</v>
      </c>
      <c r="E138" s="142">
        <v>3402.53</v>
      </c>
      <c r="F138" s="142">
        <v>7021.17</v>
      </c>
      <c r="G138" s="142">
        <v>1073.68</v>
      </c>
      <c r="H138" s="142" t="s">
        <v>23</v>
      </c>
      <c r="I138" s="142">
        <f t="shared" si="18"/>
        <v>13689.25</v>
      </c>
      <c r="K138" s="142" t="s">
        <v>23</v>
      </c>
      <c r="L138" s="142" t="s">
        <v>23</v>
      </c>
      <c r="M138" s="142">
        <v>378.96</v>
      </c>
      <c r="N138" s="142">
        <v>3097.35</v>
      </c>
      <c r="O138" s="142">
        <v>12233.16</v>
      </c>
      <c r="P138" s="142">
        <v>4667.62</v>
      </c>
      <c r="Q138" s="142" t="s">
        <v>23</v>
      </c>
      <c r="R138" s="142">
        <f t="shared" si="19"/>
        <v>20377.09</v>
      </c>
      <c r="T138" s="17">
        <f t="shared" ref="T138:T146" si="20">SUM(E138:G138)</f>
        <v>11497.380000000001</v>
      </c>
    </row>
    <row r="139" spans="1:20">
      <c r="A139" s="99">
        <v>2014</v>
      </c>
      <c r="B139" s="142" t="s">
        <v>23</v>
      </c>
      <c r="C139" s="142">
        <v>426.92</v>
      </c>
      <c r="D139" s="142">
        <v>3934.96</v>
      </c>
      <c r="E139" s="142">
        <v>8189.61</v>
      </c>
      <c r="F139" s="142">
        <v>9943.92</v>
      </c>
      <c r="G139" s="142">
        <v>970.23</v>
      </c>
      <c r="H139" s="142" t="s">
        <v>23</v>
      </c>
      <c r="I139" s="142">
        <f t="shared" si="18"/>
        <v>23465.64</v>
      </c>
      <c r="K139" s="142" t="s">
        <v>23</v>
      </c>
      <c r="L139" s="142" t="s">
        <v>23</v>
      </c>
      <c r="M139" s="142">
        <v>5934.61</v>
      </c>
      <c r="N139" s="142">
        <v>17686.759999999998</v>
      </c>
      <c r="O139" s="142">
        <v>17873.830000000002</v>
      </c>
      <c r="P139" s="142">
        <v>12978.5</v>
      </c>
      <c r="Q139" s="142" t="s">
        <v>23</v>
      </c>
      <c r="R139" s="142">
        <f t="shared" si="19"/>
        <v>54473.7</v>
      </c>
      <c r="T139" s="17">
        <f t="shared" si="20"/>
        <v>19103.759999999998</v>
      </c>
    </row>
    <row r="140" spans="1:20">
      <c r="A140" s="99">
        <v>2015</v>
      </c>
      <c r="B140" s="142" t="s">
        <v>23</v>
      </c>
      <c r="C140" s="142">
        <v>430.87</v>
      </c>
      <c r="D140" s="142">
        <v>3345.3399999999997</v>
      </c>
      <c r="E140" s="142">
        <v>8048.46</v>
      </c>
      <c r="F140" s="142">
        <v>4613.24</v>
      </c>
      <c r="G140" s="142">
        <v>2682.03</v>
      </c>
      <c r="H140" s="142" t="s">
        <v>23</v>
      </c>
      <c r="I140" s="142">
        <f>SUM(B140:H140)</f>
        <v>19119.939999999999</v>
      </c>
      <c r="K140" s="142" t="s">
        <v>23</v>
      </c>
      <c r="L140" s="142" t="s">
        <v>23</v>
      </c>
      <c r="M140" s="142">
        <v>2357.4299999999998</v>
      </c>
      <c r="N140" s="142">
        <v>12753.31</v>
      </c>
      <c r="O140" s="142">
        <v>7357.5</v>
      </c>
      <c r="P140" s="142">
        <v>8215.7199999999993</v>
      </c>
      <c r="Q140" s="142" t="s">
        <v>23</v>
      </c>
      <c r="R140" s="142">
        <f>SUM(K140:Q140)</f>
        <v>30683.96</v>
      </c>
      <c r="T140" s="17">
        <f t="shared" si="20"/>
        <v>15343.730000000001</v>
      </c>
    </row>
    <row r="141" spans="1:20">
      <c r="A141" s="99">
        <v>2016</v>
      </c>
      <c r="B141" s="142" t="s">
        <v>23</v>
      </c>
      <c r="C141" s="142" t="s">
        <v>23</v>
      </c>
      <c r="D141" s="142" t="s">
        <v>23</v>
      </c>
      <c r="E141" s="142">
        <v>4198.25</v>
      </c>
      <c r="F141" s="142">
        <v>4231.6099999999997</v>
      </c>
      <c r="G141" s="142" t="s">
        <v>23</v>
      </c>
      <c r="H141" s="142" t="s">
        <v>23</v>
      </c>
      <c r="I141" s="142">
        <f>SUM(B141:H141)</f>
        <v>8429.86</v>
      </c>
      <c r="K141" s="142" t="s">
        <v>23</v>
      </c>
      <c r="L141" s="142" t="s">
        <v>23</v>
      </c>
      <c r="M141" s="142" t="s">
        <v>23</v>
      </c>
      <c r="N141" s="142">
        <v>30.02</v>
      </c>
      <c r="O141" s="142">
        <v>12.77</v>
      </c>
      <c r="P141" s="142" t="s">
        <v>23</v>
      </c>
      <c r="Q141" s="142" t="s">
        <v>23</v>
      </c>
      <c r="R141" s="142">
        <f>SUM(K141:Q141)</f>
        <v>42.79</v>
      </c>
      <c r="T141" s="17">
        <f t="shared" si="20"/>
        <v>8429.86</v>
      </c>
    </row>
    <row r="142" spans="1:20">
      <c r="A142" s="99">
        <v>2017</v>
      </c>
      <c r="B142" s="142" t="s">
        <v>23</v>
      </c>
      <c r="C142" s="142" t="s">
        <v>23</v>
      </c>
      <c r="D142" s="142" t="s">
        <v>23</v>
      </c>
      <c r="E142" s="142">
        <v>4247.09</v>
      </c>
      <c r="F142" s="142">
        <v>2357.5</v>
      </c>
      <c r="G142" s="142" t="s">
        <v>23</v>
      </c>
      <c r="H142" s="142" t="s">
        <v>23</v>
      </c>
      <c r="I142" s="142">
        <f>SUM(B142:H142)</f>
        <v>6604.59</v>
      </c>
      <c r="K142" s="142" t="s">
        <v>23</v>
      </c>
      <c r="L142" s="142" t="s">
        <v>23</v>
      </c>
      <c r="M142" s="142" t="s">
        <v>23</v>
      </c>
      <c r="N142" s="142">
        <v>6664.33</v>
      </c>
      <c r="O142" s="142">
        <v>9085.5400000000009</v>
      </c>
      <c r="P142" s="142" t="s">
        <v>23</v>
      </c>
      <c r="Q142" s="142" t="s">
        <v>23</v>
      </c>
      <c r="R142" s="142">
        <f>SUM(K142:Q142)</f>
        <v>15749.87</v>
      </c>
      <c r="T142" s="17">
        <f>SUM(E142:G142)</f>
        <v>6604.59</v>
      </c>
    </row>
    <row r="143" spans="1:20">
      <c r="A143" s="99">
        <v>2018</v>
      </c>
      <c r="B143" s="142" t="s">
        <v>23</v>
      </c>
      <c r="C143" s="142" t="s">
        <v>23</v>
      </c>
      <c r="D143" s="142" t="s">
        <v>23</v>
      </c>
      <c r="E143" s="142">
        <v>2537.14</v>
      </c>
      <c r="F143" s="142">
        <v>2307.21</v>
      </c>
      <c r="G143" s="142">
        <v>32.450000000000003</v>
      </c>
      <c r="H143" s="142" t="s">
        <v>23</v>
      </c>
      <c r="I143" s="142">
        <f>SUM(B143:H143)</f>
        <v>4876.8</v>
      </c>
      <c r="K143" s="142" t="s">
        <v>23</v>
      </c>
      <c r="L143" s="142" t="s">
        <v>23</v>
      </c>
      <c r="M143" s="142" t="s">
        <v>23</v>
      </c>
      <c r="N143" s="142">
        <v>1638.1399999999999</v>
      </c>
      <c r="O143" s="142">
        <v>13495.68</v>
      </c>
      <c r="P143" s="142">
        <v>235.91</v>
      </c>
      <c r="Q143" s="142" t="s">
        <v>23</v>
      </c>
      <c r="R143" s="142">
        <f>SUM(K143:Q143)</f>
        <v>15369.73</v>
      </c>
      <c r="T143" s="17">
        <f>SUM(E143:G143)</f>
        <v>4876.8</v>
      </c>
    </row>
    <row r="144" spans="1:20">
      <c r="A144" s="99">
        <v>2019</v>
      </c>
      <c r="B144" s="142" t="s">
        <v>23</v>
      </c>
      <c r="C144" s="142" t="s">
        <v>23</v>
      </c>
      <c r="D144" s="142">
        <v>125.65</v>
      </c>
      <c r="E144" s="142">
        <v>1163.45</v>
      </c>
      <c r="F144" s="142">
        <v>958.62</v>
      </c>
      <c r="G144" s="142">
        <v>120.58</v>
      </c>
      <c r="H144" s="142" t="s">
        <v>23</v>
      </c>
      <c r="I144" s="142">
        <f t="shared" ref="I144:I145" si="21">SUM(B144:H144)</f>
        <v>2368.3000000000002</v>
      </c>
      <c r="K144" s="142" t="s">
        <v>23</v>
      </c>
      <c r="L144" s="142" t="s">
        <v>23</v>
      </c>
      <c r="M144" s="142">
        <v>340.96</v>
      </c>
      <c r="N144" s="142">
        <v>7878.28</v>
      </c>
      <c r="O144" s="142">
        <v>10930.16</v>
      </c>
      <c r="P144" s="142">
        <v>1077.44</v>
      </c>
      <c r="Q144" s="142" t="s">
        <v>23</v>
      </c>
      <c r="R144" s="142">
        <f t="shared" ref="R144:R145" si="22">SUM(K144:Q144)</f>
        <v>20226.84</v>
      </c>
      <c r="T144" s="17">
        <f t="shared" ref="T144:T145" si="23">SUM(E144:G144)</f>
        <v>2242.65</v>
      </c>
    </row>
    <row r="145" spans="1:20" ht="13">
      <c r="A145" s="239" t="s">
        <v>307</v>
      </c>
      <c r="B145" s="142" t="s">
        <v>23</v>
      </c>
      <c r="C145" s="142" t="s">
        <v>23</v>
      </c>
      <c r="D145" s="142">
        <v>51.49</v>
      </c>
      <c r="E145" s="142">
        <v>2749.51</v>
      </c>
      <c r="F145" s="142">
        <v>1538.12</v>
      </c>
      <c r="G145" s="142">
        <v>478.51</v>
      </c>
      <c r="H145" s="142" t="s">
        <v>23</v>
      </c>
      <c r="I145" s="142">
        <f t="shared" si="21"/>
        <v>4817.63</v>
      </c>
      <c r="K145" s="142" t="s">
        <v>23</v>
      </c>
      <c r="L145" s="142" t="s">
        <v>23</v>
      </c>
      <c r="M145" s="142" t="s">
        <v>23</v>
      </c>
      <c r="N145" s="142">
        <v>2483.8200000000002</v>
      </c>
      <c r="O145" s="142">
        <v>3104.51</v>
      </c>
      <c r="P145" s="142">
        <v>2304.38</v>
      </c>
      <c r="Q145" s="142" t="s">
        <v>23</v>
      </c>
      <c r="R145" s="142">
        <f t="shared" si="22"/>
        <v>7892.71</v>
      </c>
      <c r="T145" s="17">
        <f t="shared" si="23"/>
        <v>4766.1400000000003</v>
      </c>
    </row>
    <row r="146" spans="1:20" ht="13">
      <c r="A146" s="239" t="s">
        <v>326</v>
      </c>
      <c r="B146" s="142" t="s">
        <v>23</v>
      </c>
      <c r="C146" s="142" t="s">
        <v>23</v>
      </c>
      <c r="D146" s="142">
        <v>919.92</v>
      </c>
      <c r="E146" s="142">
        <v>3929.3</v>
      </c>
      <c r="F146" s="142">
        <v>1791.72</v>
      </c>
      <c r="G146" s="142">
        <v>412.91</v>
      </c>
      <c r="H146" s="142" t="s">
        <v>23</v>
      </c>
      <c r="I146" s="142">
        <f t="shared" si="18"/>
        <v>7053.85</v>
      </c>
      <c r="K146" s="142" t="s">
        <v>23</v>
      </c>
      <c r="L146" s="142" t="s">
        <v>23</v>
      </c>
      <c r="M146" s="142">
        <v>17.399999999999999</v>
      </c>
      <c r="N146" s="142">
        <v>2448.4699999999998</v>
      </c>
      <c r="O146" s="142">
        <v>11411.87</v>
      </c>
      <c r="P146" s="142">
        <v>6786.88</v>
      </c>
      <c r="Q146" s="142" t="s">
        <v>23</v>
      </c>
      <c r="R146" s="142">
        <f t="shared" si="19"/>
        <v>20664.620000000003</v>
      </c>
      <c r="T146" s="17">
        <f t="shared" si="20"/>
        <v>6133.93</v>
      </c>
    </row>
    <row r="148" spans="1:20" ht="13">
      <c r="A148" s="94" t="s">
        <v>211</v>
      </c>
    </row>
    <row r="149" spans="1:20">
      <c r="A149" s="99">
        <v>1976</v>
      </c>
      <c r="B149" s="142" t="s">
        <v>23</v>
      </c>
      <c r="C149" s="142">
        <v>4673</v>
      </c>
      <c r="D149" s="142">
        <v>20793</v>
      </c>
      <c r="E149" s="142">
        <v>10751</v>
      </c>
      <c r="F149" s="142">
        <v>18429</v>
      </c>
      <c r="G149" s="142">
        <v>5938</v>
      </c>
      <c r="H149" s="142">
        <v>390</v>
      </c>
      <c r="I149" s="142">
        <f t="shared" ref="I149:I166" si="24">SUM(B149:H149)</f>
        <v>60974</v>
      </c>
      <c r="K149" s="142" t="s">
        <v>23</v>
      </c>
      <c r="L149" s="142">
        <v>6660</v>
      </c>
      <c r="M149" s="142">
        <v>47349</v>
      </c>
      <c r="N149" s="142">
        <v>120861</v>
      </c>
      <c r="O149" s="142">
        <v>127061</v>
      </c>
      <c r="P149" s="142">
        <v>66155</v>
      </c>
      <c r="Q149" s="142">
        <v>3791</v>
      </c>
      <c r="R149" s="142">
        <f t="shared" ref="R149:R166" si="25">SUM(K149:Q149)</f>
        <v>371877</v>
      </c>
    </row>
    <row r="150" spans="1:20">
      <c r="A150" s="99">
        <v>1977</v>
      </c>
      <c r="B150" s="142">
        <v>435</v>
      </c>
      <c r="C150" s="142">
        <v>4053</v>
      </c>
      <c r="D150" s="142">
        <v>9462</v>
      </c>
      <c r="E150" s="142">
        <v>13725</v>
      </c>
      <c r="F150" s="142">
        <v>32847</v>
      </c>
      <c r="G150" s="142">
        <v>3340</v>
      </c>
      <c r="H150" s="142">
        <v>137</v>
      </c>
      <c r="I150" s="142">
        <f t="shared" si="24"/>
        <v>63999</v>
      </c>
      <c r="K150" s="142">
        <v>5</v>
      </c>
      <c r="L150" s="142">
        <v>4629</v>
      </c>
      <c r="M150" s="142">
        <v>35223</v>
      </c>
      <c r="N150" s="142">
        <v>61275</v>
      </c>
      <c r="O150" s="142">
        <v>58329</v>
      </c>
      <c r="P150" s="142">
        <v>20789</v>
      </c>
      <c r="Q150" s="142">
        <v>2725</v>
      </c>
      <c r="R150" s="142">
        <f t="shared" si="25"/>
        <v>182975</v>
      </c>
    </row>
    <row r="151" spans="1:20">
      <c r="A151" s="99">
        <v>1978</v>
      </c>
      <c r="B151" s="142">
        <v>137</v>
      </c>
      <c r="C151" s="142">
        <v>405</v>
      </c>
      <c r="D151" s="142">
        <v>4775</v>
      </c>
      <c r="E151" s="142">
        <v>5056</v>
      </c>
      <c r="F151" s="142">
        <v>9417</v>
      </c>
      <c r="G151" s="142">
        <v>1792</v>
      </c>
      <c r="H151" s="142">
        <v>186</v>
      </c>
      <c r="I151" s="142">
        <f t="shared" si="24"/>
        <v>21768</v>
      </c>
      <c r="K151" s="142">
        <v>980</v>
      </c>
      <c r="L151" s="142">
        <v>6166</v>
      </c>
      <c r="M151" s="142">
        <v>51920</v>
      </c>
      <c r="N151" s="142">
        <v>57952</v>
      </c>
      <c r="O151" s="142">
        <v>49331</v>
      </c>
      <c r="P151" s="142">
        <v>30591</v>
      </c>
      <c r="Q151" s="142">
        <v>1834</v>
      </c>
      <c r="R151" s="142">
        <f t="shared" si="25"/>
        <v>198774</v>
      </c>
    </row>
    <row r="152" spans="1:20">
      <c r="A152" s="99">
        <v>1979</v>
      </c>
      <c r="B152" s="142" t="s">
        <v>23</v>
      </c>
      <c r="C152" s="142">
        <v>2</v>
      </c>
      <c r="D152" s="142">
        <v>8087</v>
      </c>
      <c r="E152" s="142">
        <v>3845</v>
      </c>
      <c r="F152" s="142">
        <v>9757</v>
      </c>
      <c r="G152" s="142">
        <v>52</v>
      </c>
      <c r="H152" s="142">
        <v>15</v>
      </c>
      <c r="I152" s="142">
        <f t="shared" si="24"/>
        <v>21758</v>
      </c>
      <c r="K152" s="142" t="s">
        <v>23</v>
      </c>
      <c r="L152" s="142">
        <v>2847</v>
      </c>
      <c r="M152" s="142">
        <v>19508</v>
      </c>
      <c r="N152" s="142">
        <v>45370</v>
      </c>
      <c r="O152" s="142">
        <v>53826</v>
      </c>
      <c r="P152" s="142">
        <v>1246</v>
      </c>
      <c r="Q152" s="142">
        <v>532</v>
      </c>
      <c r="R152" s="142">
        <f t="shared" si="25"/>
        <v>123329</v>
      </c>
    </row>
    <row r="153" spans="1:20">
      <c r="A153" s="99">
        <v>1980</v>
      </c>
      <c r="B153" s="142" t="s">
        <v>23</v>
      </c>
      <c r="C153" s="142">
        <v>963</v>
      </c>
      <c r="D153" s="142">
        <v>2596</v>
      </c>
      <c r="E153" s="142">
        <v>4106</v>
      </c>
      <c r="F153" s="142">
        <v>8497</v>
      </c>
      <c r="G153" s="142">
        <v>185</v>
      </c>
      <c r="H153" s="142" t="s">
        <v>23</v>
      </c>
      <c r="I153" s="142">
        <f t="shared" si="24"/>
        <v>16347</v>
      </c>
      <c r="K153" s="142" t="s">
        <v>23</v>
      </c>
      <c r="L153" s="142">
        <v>7832</v>
      </c>
      <c r="M153" s="142">
        <v>47992</v>
      </c>
      <c r="N153" s="142">
        <v>60371</v>
      </c>
      <c r="O153" s="142">
        <v>37654</v>
      </c>
      <c r="P153" s="142">
        <v>628</v>
      </c>
      <c r="Q153" s="142" t="s">
        <v>23</v>
      </c>
      <c r="R153" s="142">
        <f t="shared" si="25"/>
        <v>154477</v>
      </c>
    </row>
    <row r="154" spans="1:20">
      <c r="A154" s="99">
        <v>1981</v>
      </c>
      <c r="B154" s="142" t="s">
        <v>23</v>
      </c>
      <c r="C154" s="142">
        <v>146</v>
      </c>
      <c r="D154" s="142">
        <v>709</v>
      </c>
      <c r="E154" s="142">
        <v>5843</v>
      </c>
      <c r="F154" s="142">
        <f>15992+1207</f>
        <v>17199</v>
      </c>
      <c r="G154" s="142" t="s">
        <v>23</v>
      </c>
      <c r="H154" s="142" t="s">
        <v>23</v>
      </c>
      <c r="I154" s="142">
        <f t="shared" si="24"/>
        <v>23897</v>
      </c>
      <c r="K154" s="142" t="s">
        <v>23</v>
      </c>
      <c r="L154" s="142">
        <v>5410</v>
      </c>
      <c r="M154" s="142">
        <v>22435</v>
      </c>
      <c r="N154" s="142">
        <v>41574</v>
      </c>
      <c r="O154" s="142">
        <f>43369+5825</f>
        <v>49194</v>
      </c>
      <c r="P154" s="142" t="s">
        <v>23</v>
      </c>
      <c r="Q154" s="142" t="s">
        <v>23</v>
      </c>
      <c r="R154" s="142">
        <f t="shared" si="25"/>
        <v>118613</v>
      </c>
    </row>
    <row r="155" spans="1:20">
      <c r="A155" s="99">
        <v>1982</v>
      </c>
      <c r="B155" s="142" t="s">
        <v>23</v>
      </c>
      <c r="C155" s="142">
        <v>0</v>
      </c>
      <c r="D155" s="142">
        <v>8357</v>
      </c>
      <c r="E155" s="142">
        <v>10169</v>
      </c>
      <c r="F155" s="142">
        <v>917</v>
      </c>
      <c r="G155" s="142" t="s">
        <v>23</v>
      </c>
      <c r="H155" s="142">
        <f>36+4</f>
        <v>40</v>
      </c>
      <c r="I155" s="142">
        <f t="shared" si="24"/>
        <v>19483</v>
      </c>
      <c r="K155" s="142" t="s">
        <v>23</v>
      </c>
      <c r="L155" s="142" t="s">
        <v>23</v>
      </c>
      <c r="M155" s="142">
        <v>9978</v>
      </c>
      <c r="N155" s="142">
        <v>58762</v>
      </c>
      <c r="O155" s="142">
        <v>6040</v>
      </c>
      <c r="P155" s="142">
        <v>7661</v>
      </c>
      <c r="Q155" s="142">
        <f>782+43</f>
        <v>825</v>
      </c>
      <c r="R155" s="142">
        <f t="shared" si="25"/>
        <v>83266</v>
      </c>
    </row>
    <row r="156" spans="1:20">
      <c r="A156" s="99">
        <v>1983</v>
      </c>
      <c r="B156" s="142" t="s">
        <v>23</v>
      </c>
      <c r="C156" s="142">
        <v>114</v>
      </c>
      <c r="D156" s="142">
        <v>4317</v>
      </c>
      <c r="E156" s="142">
        <v>3945</v>
      </c>
      <c r="F156" s="142">
        <v>1112</v>
      </c>
      <c r="G156" s="142">
        <v>537</v>
      </c>
      <c r="H156" s="142" t="s">
        <v>23</v>
      </c>
      <c r="I156" s="142">
        <f t="shared" si="24"/>
        <v>10025</v>
      </c>
      <c r="K156" s="142" t="s">
        <v>23</v>
      </c>
      <c r="L156" s="142" t="s">
        <v>23</v>
      </c>
      <c r="M156" s="142">
        <v>7403</v>
      </c>
      <c r="N156" s="142">
        <v>41286</v>
      </c>
      <c r="O156" s="142">
        <v>26836</v>
      </c>
      <c r="P156" s="142">
        <v>10041</v>
      </c>
      <c r="Q156" s="142" t="s">
        <v>23</v>
      </c>
      <c r="R156" s="142">
        <f t="shared" si="25"/>
        <v>85566</v>
      </c>
    </row>
    <row r="157" spans="1:20">
      <c r="A157" s="99">
        <v>1984</v>
      </c>
      <c r="B157" s="142" t="s">
        <v>23</v>
      </c>
      <c r="C157" s="142">
        <v>596</v>
      </c>
      <c r="D157" s="142" t="s">
        <v>23</v>
      </c>
      <c r="E157" s="142">
        <v>16</v>
      </c>
      <c r="F157" s="142">
        <v>51</v>
      </c>
      <c r="G157" s="142" t="s">
        <v>23</v>
      </c>
      <c r="H157" s="142" t="s">
        <v>23</v>
      </c>
      <c r="I157" s="142">
        <f t="shared" si="24"/>
        <v>663</v>
      </c>
      <c r="K157" s="142" t="s">
        <v>23</v>
      </c>
      <c r="L157" s="142" t="s">
        <v>23</v>
      </c>
      <c r="M157" s="142" t="s">
        <v>23</v>
      </c>
      <c r="N157" s="142">
        <v>7206</v>
      </c>
      <c r="O157" s="142">
        <v>16058</v>
      </c>
      <c r="P157" s="142" t="s">
        <v>23</v>
      </c>
      <c r="Q157" s="142" t="s">
        <v>23</v>
      </c>
      <c r="R157" s="142">
        <f t="shared" si="25"/>
        <v>23264</v>
      </c>
    </row>
    <row r="158" spans="1:20">
      <c r="A158" s="99">
        <v>1985</v>
      </c>
      <c r="B158" s="142" t="s">
        <v>23</v>
      </c>
      <c r="C158" s="142" t="s">
        <v>23</v>
      </c>
      <c r="D158" s="142">
        <v>71</v>
      </c>
      <c r="E158" s="142">
        <v>2754</v>
      </c>
      <c r="F158" s="142">
        <v>3244</v>
      </c>
      <c r="G158" s="142">
        <v>20</v>
      </c>
      <c r="H158" s="142" t="s">
        <v>23</v>
      </c>
      <c r="I158" s="142">
        <f t="shared" si="24"/>
        <v>6089</v>
      </c>
      <c r="K158" s="142" t="s">
        <v>23</v>
      </c>
      <c r="L158" s="142" t="s">
        <v>23</v>
      </c>
      <c r="M158" s="142">
        <v>1368</v>
      </c>
      <c r="N158" s="142">
        <v>33039</v>
      </c>
      <c r="O158" s="142">
        <v>34055</v>
      </c>
      <c r="P158" s="142">
        <v>244</v>
      </c>
      <c r="Q158" s="142" t="s">
        <v>23</v>
      </c>
      <c r="R158" s="142">
        <f t="shared" si="25"/>
        <v>68706</v>
      </c>
    </row>
    <row r="159" spans="1:20">
      <c r="A159" s="99">
        <v>1986</v>
      </c>
      <c r="B159" s="142" t="s">
        <v>23</v>
      </c>
      <c r="C159" s="142" t="s">
        <v>23</v>
      </c>
      <c r="D159" s="142">
        <v>51</v>
      </c>
      <c r="E159" s="142">
        <v>982</v>
      </c>
      <c r="F159" s="142">
        <v>1192</v>
      </c>
      <c r="G159" s="142" t="s">
        <v>23</v>
      </c>
      <c r="H159" s="142" t="s">
        <v>23</v>
      </c>
      <c r="I159" s="142">
        <f t="shared" si="24"/>
        <v>2225</v>
      </c>
      <c r="K159" s="142" t="s">
        <v>23</v>
      </c>
      <c r="L159" s="142" t="s">
        <v>23</v>
      </c>
      <c r="M159" s="142">
        <v>2156</v>
      </c>
      <c r="N159" s="142">
        <v>36721</v>
      </c>
      <c r="O159" s="142">
        <v>28811</v>
      </c>
      <c r="P159" s="142" t="s">
        <v>23</v>
      </c>
      <c r="Q159" s="142" t="s">
        <v>23</v>
      </c>
      <c r="R159" s="142">
        <f t="shared" si="25"/>
        <v>67688</v>
      </c>
    </row>
    <row r="160" spans="1:20">
      <c r="A160" s="99">
        <v>1987</v>
      </c>
      <c r="B160" s="142" t="s">
        <v>23</v>
      </c>
      <c r="C160" s="142" t="s">
        <v>23</v>
      </c>
      <c r="D160" s="142">
        <v>187</v>
      </c>
      <c r="E160" s="142">
        <v>2845</v>
      </c>
      <c r="F160" s="142">
        <v>4934</v>
      </c>
      <c r="G160" s="142" t="s">
        <v>23</v>
      </c>
      <c r="H160" s="142" t="s">
        <v>23</v>
      </c>
      <c r="I160" s="142">
        <f t="shared" si="24"/>
        <v>7966</v>
      </c>
      <c r="K160" s="142" t="s">
        <v>23</v>
      </c>
      <c r="L160" s="142" t="s">
        <v>23</v>
      </c>
      <c r="M160" s="142">
        <v>1632</v>
      </c>
      <c r="N160" s="142">
        <v>26336</v>
      </c>
      <c r="O160" s="142">
        <v>26336</v>
      </c>
      <c r="P160" s="142" t="s">
        <v>23</v>
      </c>
      <c r="Q160" s="142" t="s">
        <v>23</v>
      </c>
      <c r="R160" s="142">
        <f t="shared" si="25"/>
        <v>54304</v>
      </c>
    </row>
    <row r="161" spans="1:18">
      <c r="A161" s="99">
        <v>1988</v>
      </c>
      <c r="B161" s="142" t="s">
        <v>23</v>
      </c>
      <c r="C161" s="142" t="s">
        <v>23</v>
      </c>
      <c r="D161" s="142" t="s">
        <v>23</v>
      </c>
      <c r="E161" s="142">
        <v>1088</v>
      </c>
      <c r="F161" s="142">
        <v>64</v>
      </c>
      <c r="G161" s="142">
        <v>4</v>
      </c>
      <c r="H161" s="142" t="s">
        <v>23</v>
      </c>
      <c r="I161" s="142">
        <f t="shared" si="24"/>
        <v>1156</v>
      </c>
      <c r="K161" s="142" t="s">
        <v>23</v>
      </c>
      <c r="L161" s="142" t="s">
        <v>23</v>
      </c>
      <c r="M161" s="142" t="s">
        <v>23</v>
      </c>
      <c r="N161" s="142">
        <v>20834</v>
      </c>
      <c r="O161" s="142">
        <v>904</v>
      </c>
      <c r="P161" s="142">
        <v>66</v>
      </c>
      <c r="Q161" s="142" t="s">
        <v>23</v>
      </c>
      <c r="R161" s="142">
        <f t="shared" si="25"/>
        <v>21804</v>
      </c>
    </row>
    <row r="162" spans="1:18">
      <c r="A162" s="99">
        <v>1989</v>
      </c>
      <c r="B162" s="142" t="s">
        <v>23</v>
      </c>
      <c r="C162" s="142">
        <v>111</v>
      </c>
      <c r="D162" s="142">
        <v>476</v>
      </c>
      <c r="E162" s="142">
        <v>731</v>
      </c>
      <c r="F162" s="142">
        <v>4142</v>
      </c>
      <c r="G162" s="142" t="s">
        <v>23</v>
      </c>
      <c r="H162" s="142" t="s">
        <v>23</v>
      </c>
      <c r="I162" s="142">
        <f t="shared" si="24"/>
        <v>5460</v>
      </c>
      <c r="K162" s="142" t="s">
        <v>23</v>
      </c>
      <c r="L162" s="142" t="s">
        <v>23</v>
      </c>
      <c r="M162" s="142">
        <v>24</v>
      </c>
      <c r="N162" s="142">
        <v>39904</v>
      </c>
      <c r="O162" s="142">
        <v>42743</v>
      </c>
      <c r="P162" s="142" t="s">
        <v>23</v>
      </c>
      <c r="Q162" s="142" t="s">
        <v>23</v>
      </c>
      <c r="R162" s="142">
        <f t="shared" si="25"/>
        <v>82671</v>
      </c>
    </row>
    <row r="163" spans="1:18">
      <c r="A163" s="99">
        <v>1990</v>
      </c>
      <c r="B163" s="142" t="s">
        <v>23</v>
      </c>
      <c r="C163" s="142" t="s">
        <v>23</v>
      </c>
      <c r="D163" s="142">
        <v>218</v>
      </c>
      <c r="E163" s="142">
        <v>3321</v>
      </c>
      <c r="F163" s="142">
        <v>6176</v>
      </c>
      <c r="G163" s="142">
        <v>148</v>
      </c>
      <c r="H163" s="142" t="s">
        <v>23</v>
      </c>
      <c r="I163" s="142">
        <f t="shared" si="24"/>
        <v>9863</v>
      </c>
      <c r="K163" s="142" t="s">
        <v>23</v>
      </c>
      <c r="L163" s="142" t="s">
        <v>23</v>
      </c>
      <c r="M163" s="142">
        <v>6739</v>
      </c>
      <c r="N163" s="142">
        <v>40527</v>
      </c>
      <c r="O163" s="142">
        <v>36445</v>
      </c>
      <c r="P163" s="142">
        <v>4161</v>
      </c>
      <c r="Q163" s="142" t="s">
        <v>23</v>
      </c>
      <c r="R163" s="142">
        <f t="shared" si="25"/>
        <v>87872</v>
      </c>
    </row>
    <row r="164" spans="1:18">
      <c r="A164" s="99">
        <v>1991</v>
      </c>
      <c r="B164" s="142" t="s">
        <v>23</v>
      </c>
      <c r="C164" s="142" t="s">
        <v>23</v>
      </c>
      <c r="D164" s="142">
        <v>171</v>
      </c>
      <c r="E164" s="142">
        <v>1180</v>
      </c>
      <c r="F164" s="142">
        <v>941</v>
      </c>
      <c r="G164" s="142">
        <v>52</v>
      </c>
      <c r="H164" s="142" t="s">
        <v>23</v>
      </c>
      <c r="I164" s="142">
        <f t="shared" si="24"/>
        <v>2344</v>
      </c>
      <c r="K164" s="142" t="s">
        <v>23</v>
      </c>
      <c r="L164" s="142" t="s">
        <v>23</v>
      </c>
      <c r="M164" s="142">
        <v>5466</v>
      </c>
      <c r="N164" s="142">
        <v>45792</v>
      </c>
      <c r="O164" s="142">
        <v>16405</v>
      </c>
      <c r="P164" s="142">
        <v>7535</v>
      </c>
      <c r="Q164" s="142" t="s">
        <v>23</v>
      </c>
      <c r="R164" s="142">
        <f t="shared" si="25"/>
        <v>75198</v>
      </c>
    </row>
    <row r="165" spans="1:18">
      <c r="A165" s="99">
        <v>1992</v>
      </c>
      <c r="B165" s="142" t="s">
        <v>23</v>
      </c>
      <c r="C165" s="142" t="s">
        <v>23</v>
      </c>
      <c r="D165" s="142">
        <v>0</v>
      </c>
      <c r="E165" s="142">
        <v>857</v>
      </c>
      <c r="F165" s="142">
        <v>466</v>
      </c>
      <c r="G165" s="142">
        <v>134</v>
      </c>
      <c r="H165" s="142" t="s">
        <v>23</v>
      </c>
      <c r="I165" s="142">
        <f t="shared" si="24"/>
        <v>1457</v>
      </c>
      <c r="K165" s="142" t="s">
        <v>23</v>
      </c>
      <c r="L165" s="142" t="s">
        <v>23</v>
      </c>
      <c r="M165" s="142">
        <v>0</v>
      </c>
      <c r="N165" s="142">
        <v>37410</v>
      </c>
      <c r="O165" s="142">
        <v>6502</v>
      </c>
      <c r="P165" s="142">
        <v>2979</v>
      </c>
      <c r="Q165" s="142" t="s">
        <v>23</v>
      </c>
      <c r="R165" s="142">
        <f t="shared" si="25"/>
        <v>46891</v>
      </c>
    </row>
    <row r="166" spans="1:18">
      <c r="A166" s="99">
        <v>1993</v>
      </c>
      <c r="B166" s="142" t="s">
        <v>23</v>
      </c>
      <c r="C166" s="142" t="s">
        <v>23</v>
      </c>
      <c r="D166" s="142" t="s">
        <v>23</v>
      </c>
      <c r="E166" s="142">
        <v>738</v>
      </c>
      <c r="F166" s="142">
        <v>1350</v>
      </c>
      <c r="G166" s="142">
        <v>545</v>
      </c>
      <c r="H166" s="142" t="s">
        <v>23</v>
      </c>
      <c r="I166" s="142">
        <f t="shared" si="24"/>
        <v>2633</v>
      </c>
      <c r="K166" s="142" t="s">
        <v>23</v>
      </c>
      <c r="L166" s="142" t="s">
        <v>23</v>
      </c>
      <c r="M166" s="142" t="s">
        <v>23</v>
      </c>
      <c r="N166" s="142">
        <v>15213</v>
      </c>
      <c r="O166" s="142">
        <v>21062</v>
      </c>
      <c r="P166" s="142">
        <v>9884</v>
      </c>
      <c r="Q166" s="142" t="s">
        <v>23</v>
      </c>
      <c r="R166" s="142">
        <f t="shared" si="25"/>
        <v>46159</v>
      </c>
    </row>
    <row r="167" spans="1:18">
      <c r="A167" s="99">
        <v>1994</v>
      </c>
      <c r="B167" s="142" t="s">
        <v>23</v>
      </c>
      <c r="C167" s="142" t="s">
        <v>23</v>
      </c>
      <c r="D167" s="142" t="s">
        <v>23</v>
      </c>
      <c r="E167" s="142" t="s">
        <v>23</v>
      </c>
      <c r="F167" s="142" t="s">
        <v>23</v>
      </c>
      <c r="G167" s="142" t="s">
        <v>23</v>
      </c>
      <c r="H167" s="142" t="s">
        <v>23</v>
      </c>
      <c r="I167" s="142" t="s">
        <v>23</v>
      </c>
      <c r="K167" s="142" t="s">
        <v>23</v>
      </c>
      <c r="L167" s="142" t="s">
        <v>23</v>
      </c>
      <c r="M167" s="142" t="s">
        <v>23</v>
      </c>
      <c r="N167" s="142" t="s">
        <v>23</v>
      </c>
      <c r="O167" s="142" t="s">
        <v>23</v>
      </c>
      <c r="P167" s="142" t="s">
        <v>23</v>
      </c>
      <c r="Q167" s="142" t="s">
        <v>23</v>
      </c>
      <c r="R167" s="142" t="s">
        <v>23</v>
      </c>
    </row>
    <row r="168" spans="1:18">
      <c r="A168" s="99">
        <v>1995</v>
      </c>
      <c r="B168" s="142" t="s">
        <v>23</v>
      </c>
      <c r="C168" s="142" t="s">
        <v>23</v>
      </c>
      <c r="D168" s="142" t="s">
        <v>23</v>
      </c>
      <c r="E168" s="142">
        <v>40</v>
      </c>
      <c r="F168" s="142">
        <v>187</v>
      </c>
      <c r="G168" s="142">
        <v>45</v>
      </c>
      <c r="H168" s="142" t="s">
        <v>23</v>
      </c>
      <c r="I168" s="142">
        <f t="shared" ref="I168:I180" si="26">SUM(B168:H168)</f>
        <v>272</v>
      </c>
      <c r="K168" s="142" t="s">
        <v>23</v>
      </c>
      <c r="L168" s="142" t="s">
        <v>23</v>
      </c>
      <c r="M168" s="142" t="s">
        <v>23</v>
      </c>
      <c r="N168" s="142">
        <v>3984</v>
      </c>
      <c r="O168" s="142">
        <v>13865</v>
      </c>
      <c r="P168" s="142">
        <v>6784</v>
      </c>
      <c r="Q168" s="142" t="s">
        <v>23</v>
      </c>
      <c r="R168" s="142">
        <f t="shared" ref="R168:R179" si="27">SUM(K168:Q168)</f>
        <v>24633</v>
      </c>
    </row>
    <row r="169" spans="1:18">
      <c r="A169" s="99">
        <v>1996</v>
      </c>
      <c r="B169" s="142" t="s">
        <v>23</v>
      </c>
      <c r="C169" s="142" t="s">
        <v>23</v>
      </c>
      <c r="D169" s="142" t="s">
        <v>23</v>
      </c>
      <c r="E169" s="142">
        <v>22</v>
      </c>
      <c r="F169" s="142">
        <v>40</v>
      </c>
      <c r="G169" s="142">
        <v>30</v>
      </c>
      <c r="H169" s="142" t="s">
        <v>23</v>
      </c>
      <c r="I169" s="142">
        <f t="shared" si="26"/>
        <v>92</v>
      </c>
      <c r="K169" s="142" t="s">
        <v>23</v>
      </c>
      <c r="L169" s="142" t="s">
        <v>23</v>
      </c>
      <c r="M169" s="142" t="s">
        <v>23</v>
      </c>
      <c r="N169" s="142">
        <v>4665</v>
      </c>
      <c r="O169" s="142">
        <v>10275</v>
      </c>
      <c r="P169" s="142">
        <v>2848</v>
      </c>
      <c r="Q169" s="142" t="s">
        <v>23</v>
      </c>
      <c r="R169" s="142">
        <f t="shared" si="27"/>
        <v>17788</v>
      </c>
    </row>
    <row r="170" spans="1:18">
      <c r="A170" s="99">
        <v>1997</v>
      </c>
      <c r="B170" s="142" t="s">
        <v>23</v>
      </c>
      <c r="C170" s="142" t="s">
        <v>23</v>
      </c>
      <c r="D170" s="142" t="s">
        <v>23</v>
      </c>
      <c r="E170" s="142">
        <v>160</v>
      </c>
      <c r="F170" s="142">
        <v>185</v>
      </c>
      <c r="G170" s="142" t="s">
        <v>23</v>
      </c>
      <c r="H170" s="142" t="s">
        <v>23</v>
      </c>
      <c r="I170" s="142">
        <f t="shared" si="26"/>
        <v>345</v>
      </c>
      <c r="K170" s="142" t="s">
        <v>23</v>
      </c>
      <c r="L170" s="142" t="s">
        <v>23</v>
      </c>
      <c r="M170" s="142" t="s">
        <v>23</v>
      </c>
      <c r="N170" s="142">
        <v>7337</v>
      </c>
      <c r="O170" s="142">
        <v>3719</v>
      </c>
      <c r="P170" s="142" t="s">
        <v>23</v>
      </c>
      <c r="Q170" s="142" t="s">
        <v>23</v>
      </c>
      <c r="R170" s="142">
        <f t="shared" si="27"/>
        <v>11056</v>
      </c>
    </row>
    <row r="171" spans="1:18">
      <c r="A171" s="99">
        <v>1998</v>
      </c>
      <c r="B171" s="142" t="s">
        <v>23</v>
      </c>
      <c r="C171" s="142" t="s">
        <v>23</v>
      </c>
      <c r="D171" s="142" t="s">
        <v>23</v>
      </c>
      <c r="E171" s="142" t="s">
        <v>23</v>
      </c>
      <c r="F171" s="142">
        <v>272</v>
      </c>
      <c r="G171" s="142">
        <v>42</v>
      </c>
      <c r="H171" s="142" t="s">
        <v>23</v>
      </c>
      <c r="I171" s="142">
        <f t="shared" si="26"/>
        <v>314</v>
      </c>
      <c r="K171" s="142" t="s">
        <v>23</v>
      </c>
      <c r="L171" s="142" t="s">
        <v>23</v>
      </c>
      <c r="M171" s="142" t="s">
        <v>23</v>
      </c>
      <c r="N171" s="142" t="s">
        <v>23</v>
      </c>
      <c r="O171" s="142">
        <v>4025</v>
      </c>
      <c r="P171" s="142">
        <v>348</v>
      </c>
      <c r="Q171" s="142" t="s">
        <v>23</v>
      </c>
      <c r="R171" s="142">
        <f t="shared" si="27"/>
        <v>4373</v>
      </c>
    </row>
    <row r="172" spans="1:18">
      <c r="A172" s="99">
        <v>1999</v>
      </c>
      <c r="B172" s="142" t="s">
        <v>23</v>
      </c>
      <c r="C172" s="142" t="s">
        <v>23</v>
      </c>
      <c r="D172" s="142" t="s">
        <v>23</v>
      </c>
      <c r="E172" s="142">
        <v>495</v>
      </c>
      <c r="F172" s="142">
        <v>1507</v>
      </c>
      <c r="G172" s="142">
        <v>316</v>
      </c>
      <c r="H172" s="142" t="s">
        <v>23</v>
      </c>
      <c r="I172" s="142">
        <f t="shared" si="26"/>
        <v>2318</v>
      </c>
      <c r="K172" s="142" t="s">
        <v>23</v>
      </c>
      <c r="L172" s="142" t="s">
        <v>23</v>
      </c>
      <c r="M172" s="142" t="s">
        <v>23</v>
      </c>
      <c r="N172" s="142">
        <v>5171</v>
      </c>
      <c r="O172" s="142">
        <v>9486</v>
      </c>
      <c r="P172" s="142">
        <v>4926</v>
      </c>
      <c r="Q172" s="142" t="s">
        <v>23</v>
      </c>
      <c r="R172" s="142">
        <f t="shared" si="27"/>
        <v>19583</v>
      </c>
    </row>
    <row r="173" spans="1:18">
      <c r="A173" s="99">
        <v>2000</v>
      </c>
      <c r="B173" s="142" t="s">
        <v>23</v>
      </c>
      <c r="C173" s="142" t="s">
        <v>23</v>
      </c>
      <c r="D173" s="142" t="s">
        <v>23</v>
      </c>
      <c r="E173" s="142">
        <v>748</v>
      </c>
      <c r="F173" s="142">
        <v>800</v>
      </c>
      <c r="G173" s="142" t="s">
        <v>23</v>
      </c>
      <c r="H173" s="142" t="s">
        <v>23</v>
      </c>
      <c r="I173" s="142">
        <f t="shared" si="26"/>
        <v>1548</v>
      </c>
      <c r="K173" s="142" t="s">
        <v>23</v>
      </c>
      <c r="L173" s="142" t="s">
        <v>23</v>
      </c>
      <c r="M173" s="142" t="s">
        <v>23</v>
      </c>
      <c r="N173" s="142">
        <v>11455</v>
      </c>
      <c r="O173" s="142">
        <v>14394</v>
      </c>
      <c r="P173" s="142" t="s">
        <v>23</v>
      </c>
      <c r="Q173" s="142" t="s">
        <v>23</v>
      </c>
      <c r="R173" s="142">
        <f t="shared" si="27"/>
        <v>25849</v>
      </c>
    </row>
    <row r="174" spans="1:18">
      <c r="A174" s="99">
        <v>2001</v>
      </c>
      <c r="B174" s="142" t="s">
        <v>23</v>
      </c>
      <c r="C174" s="142" t="s">
        <v>23</v>
      </c>
      <c r="D174" s="142" t="s">
        <v>23</v>
      </c>
      <c r="E174" s="142">
        <v>2253</v>
      </c>
      <c r="F174" s="142">
        <v>2300</v>
      </c>
      <c r="G174" s="142">
        <v>569</v>
      </c>
      <c r="H174" s="142" t="s">
        <v>23</v>
      </c>
      <c r="I174" s="142">
        <f t="shared" si="26"/>
        <v>5122</v>
      </c>
      <c r="K174" s="142" t="s">
        <v>23</v>
      </c>
      <c r="L174" s="142" t="s">
        <v>23</v>
      </c>
      <c r="M174" s="142" t="s">
        <v>23</v>
      </c>
      <c r="N174" s="142">
        <v>32325</v>
      </c>
      <c r="O174" s="142">
        <v>34359</v>
      </c>
      <c r="P174" s="142">
        <v>10795</v>
      </c>
      <c r="Q174" s="142" t="s">
        <v>23</v>
      </c>
      <c r="R174" s="142">
        <f t="shared" si="27"/>
        <v>77479</v>
      </c>
    </row>
    <row r="175" spans="1:18">
      <c r="A175" s="99">
        <v>2002</v>
      </c>
      <c r="B175" s="142" t="s">
        <v>23</v>
      </c>
      <c r="C175" s="142">
        <v>53</v>
      </c>
      <c r="D175" s="142">
        <v>1927</v>
      </c>
      <c r="E175" s="142">
        <v>3380</v>
      </c>
      <c r="F175" s="142">
        <v>2571</v>
      </c>
      <c r="G175" s="142">
        <v>101</v>
      </c>
      <c r="H175" s="142" t="s">
        <v>23</v>
      </c>
      <c r="I175" s="142">
        <f t="shared" si="26"/>
        <v>8032</v>
      </c>
      <c r="K175" s="142" t="s">
        <v>23</v>
      </c>
      <c r="L175" s="142" t="s">
        <v>23</v>
      </c>
      <c r="M175" s="142">
        <v>30</v>
      </c>
      <c r="N175" s="142">
        <v>10136</v>
      </c>
      <c r="O175" s="142">
        <v>23997</v>
      </c>
      <c r="P175" s="142">
        <v>10842</v>
      </c>
      <c r="Q175" s="142" t="s">
        <v>23</v>
      </c>
      <c r="R175" s="142">
        <f t="shared" si="27"/>
        <v>45005</v>
      </c>
    </row>
    <row r="176" spans="1:18">
      <c r="A176" s="99">
        <v>2003</v>
      </c>
      <c r="B176" s="142" t="s">
        <v>23</v>
      </c>
      <c r="C176" s="142" t="s">
        <v>23</v>
      </c>
      <c r="D176" s="142">
        <v>44</v>
      </c>
      <c r="E176" s="142">
        <v>1498</v>
      </c>
      <c r="F176" s="142">
        <v>3561</v>
      </c>
      <c r="G176" s="142">
        <v>681</v>
      </c>
      <c r="H176" s="142" t="s">
        <v>23</v>
      </c>
      <c r="I176" s="142">
        <f t="shared" si="26"/>
        <v>5784</v>
      </c>
      <c r="K176" s="142" t="s">
        <v>23</v>
      </c>
      <c r="L176" s="142" t="s">
        <v>23</v>
      </c>
      <c r="M176" s="142">
        <v>600</v>
      </c>
      <c r="N176" s="142">
        <v>24359</v>
      </c>
      <c r="O176" s="142">
        <v>43757</v>
      </c>
      <c r="P176" s="142">
        <v>7957</v>
      </c>
      <c r="Q176" s="142" t="s">
        <v>23</v>
      </c>
      <c r="R176" s="142">
        <f t="shared" si="27"/>
        <v>76673</v>
      </c>
    </row>
    <row r="177" spans="1:20">
      <c r="A177" s="99">
        <v>2004</v>
      </c>
      <c r="B177" s="142" t="s">
        <v>23</v>
      </c>
      <c r="C177" s="142" t="s">
        <v>23</v>
      </c>
      <c r="D177" s="142">
        <v>22</v>
      </c>
      <c r="E177" s="142">
        <v>765</v>
      </c>
      <c r="F177" s="142">
        <v>4039</v>
      </c>
      <c r="G177" s="142">
        <v>1396</v>
      </c>
      <c r="H177" s="142" t="s">
        <v>23</v>
      </c>
      <c r="I177" s="142">
        <f t="shared" si="26"/>
        <v>6222</v>
      </c>
      <c r="K177" s="142" t="s">
        <v>23</v>
      </c>
      <c r="L177" s="142" t="s">
        <v>23</v>
      </c>
      <c r="M177" s="142">
        <v>935</v>
      </c>
      <c r="N177" s="142">
        <v>17203</v>
      </c>
      <c r="O177" s="142">
        <v>27040</v>
      </c>
      <c r="P177" s="142">
        <v>5859</v>
      </c>
      <c r="Q177" s="142" t="s">
        <v>23</v>
      </c>
      <c r="R177" s="142">
        <f t="shared" si="27"/>
        <v>51037</v>
      </c>
    </row>
    <row r="178" spans="1:20">
      <c r="A178" s="99">
        <v>2005</v>
      </c>
      <c r="B178" s="142" t="s">
        <v>23</v>
      </c>
      <c r="C178" s="142" t="s">
        <v>23</v>
      </c>
      <c r="D178" s="142" t="s">
        <v>23</v>
      </c>
      <c r="E178" s="142">
        <v>1174</v>
      </c>
      <c r="F178" s="142">
        <v>7002</v>
      </c>
      <c r="G178" s="142">
        <v>1385</v>
      </c>
      <c r="H178" s="142" t="s">
        <v>23</v>
      </c>
      <c r="I178" s="142">
        <f t="shared" si="26"/>
        <v>9561</v>
      </c>
      <c r="K178" s="142" t="s">
        <v>23</v>
      </c>
      <c r="L178" s="142" t="s">
        <v>23</v>
      </c>
      <c r="M178" s="142" t="s">
        <v>23</v>
      </c>
      <c r="N178" s="142">
        <v>7000</v>
      </c>
      <c r="O178" s="142">
        <v>17066</v>
      </c>
      <c r="P178" s="142">
        <v>4658</v>
      </c>
      <c r="Q178" s="142" t="s">
        <v>23</v>
      </c>
      <c r="R178" s="142">
        <f t="shared" si="27"/>
        <v>28724</v>
      </c>
    </row>
    <row r="179" spans="1:20">
      <c r="A179" s="99">
        <v>2006</v>
      </c>
      <c r="B179" s="142" t="s">
        <v>23</v>
      </c>
      <c r="C179" s="142" t="s">
        <v>23</v>
      </c>
      <c r="D179" s="142" t="s">
        <v>23</v>
      </c>
      <c r="E179" s="142">
        <v>477.88</v>
      </c>
      <c r="F179" s="142">
        <v>1147.6099999999999</v>
      </c>
      <c r="G179" s="142">
        <v>139.6</v>
      </c>
      <c r="H179" s="142" t="s">
        <v>23</v>
      </c>
      <c r="I179" s="142">
        <f t="shared" si="26"/>
        <v>1765.0899999999997</v>
      </c>
      <c r="K179" s="142" t="s">
        <v>23</v>
      </c>
      <c r="L179" s="142" t="s">
        <v>23</v>
      </c>
      <c r="M179" s="142" t="s">
        <v>23</v>
      </c>
      <c r="N179" s="142">
        <v>6532.81</v>
      </c>
      <c r="O179" s="142">
        <v>12222.37</v>
      </c>
      <c r="P179" s="142">
        <v>646.1</v>
      </c>
      <c r="Q179" s="142" t="s">
        <v>23</v>
      </c>
      <c r="R179" s="142">
        <f t="shared" si="27"/>
        <v>19401.28</v>
      </c>
    </row>
    <row r="180" spans="1:20">
      <c r="A180" s="99">
        <v>2007</v>
      </c>
      <c r="B180" s="142" t="s">
        <v>23</v>
      </c>
      <c r="C180" s="142" t="s">
        <v>23</v>
      </c>
      <c r="D180" s="142" t="s">
        <v>23</v>
      </c>
      <c r="E180" s="142">
        <v>292.33</v>
      </c>
      <c r="F180" s="142">
        <v>1224.83</v>
      </c>
      <c r="G180" s="142">
        <v>113.99</v>
      </c>
      <c r="H180" s="142" t="s">
        <v>23</v>
      </c>
      <c r="I180" s="142">
        <f t="shared" si="26"/>
        <v>1631.1499999999999</v>
      </c>
      <c r="K180" s="142" t="s">
        <v>23</v>
      </c>
      <c r="L180" s="142" t="s">
        <v>23</v>
      </c>
      <c r="M180" s="142" t="s">
        <v>23</v>
      </c>
      <c r="N180" s="142">
        <v>12170.39</v>
      </c>
      <c r="O180" s="142">
        <v>32559.19</v>
      </c>
      <c r="P180" s="142">
        <v>2689.04</v>
      </c>
      <c r="Q180" s="142" t="s">
        <v>23</v>
      </c>
      <c r="R180" s="142">
        <f>SUM(K180:Q180)</f>
        <v>47418.62</v>
      </c>
    </row>
    <row r="181" spans="1:20">
      <c r="A181" s="99">
        <v>2008</v>
      </c>
      <c r="B181" s="142" t="s">
        <v>23</v>
      </c>
      <c r="C181" s="142" t="s">
        <v>23</v>
      </c>
      <c r="D181" s="142">
        <v>474.02</v>
      </c>
      <c r="E181" s="142">
        <v>1165.76</v>
      </c>
      <c r="F181" s="142">
        <v>1258.29</v>
      </c>
      <c r="G181" s="142" t="s">
        <v>23</v>
      </c>
      <c r="H181" s="142" t="s">
        <v>23</v>
      </c>
      <c r="I181" s="142">
        <f t="shared" ref="I181:I194" si="28">SUM(B181:G181)</f>
        <v>2898.0699999999997</v>
      </c>
      <c r="K181" s="142" t="s">
        <v>23</v>
      </c>
      <c r="L181" s="142" t="s">
        <v>23</v>
      </c>
      <c r="M181" s="142">
        <v>330.24</v>
      </c>
      <c r="N181" s="142">
        <v>3337.07</v>
      </c>
      <c r="O181" s="142">
        <v>4972.6499999999996</v>
      </c>
      <c r="P181" s="142" t="s">
        <v>23</v>
      </c>
      <c r="Q181" s="142" t="s">
        <v>23</v>
      </c>
      <c r="R181" s="142">
        <f t="shared" ref="R181:R194" si="29">SUM(K181:Q181)</f>
        <v>8639.9599999999991</v>
      </c>
    </row>
    <row r="182" spans="1:20">
      <c r="A182" s="99">
        <v>2009</v>
      </c>
      <c r="B182" s="142" t="s">
        <v>23</v>
      </c>
      <c r="C182" s="142" t="s">
        <v>23</v>
      </c>
      <c r="D182" s="142">
        <v>9.7799999999999994</v>
      </c>
      <c r="E182" s="142">
        <v>925.26</v>
      </c>
      <c r="F182" s="142">
        <v>3238.55</v>
      </c>
      <c r="G182" s="142">
        <v>28.37</v>
      </c>
      <c r="H182" s="142" t="s">
        <v>23</v>
      </c>
      <c r="I182" s="142">
        <f t="shared" si="28"/>
        <v>4201.96</v>
      </c>
      <c r="K182" s="142" t="s">
        <v>23</v>
      </c>
      <c r="L182" s="142" t="s">
        <v>23</v>
      </c>
      <c r="M182" s="142">
        <v>334.42</v>
      </c>
      <c r="N182" s="142">
        <v>17246.310000000001</v>
      </c>
      <c r="O182" s="142">
        <v>45206.55</v>
      </c>
      <c r="P182" s="142">
        <v>1604.82</v>
      </c>
      <c r="Q182" s="142" t="s">
        <v>23</v>
      </c>
      <c r="R182" s="142">
        <f t="shared" si="29"/>
        <v>64392.1</v>
      </c>
    </row>
    <row r="183" spans="1:20">
      <c r="A183" s="99">
        <v>2010</v>
      </c>
      <c r="B183" s="142" t="s">
        <v>23</v>
      </c>
      <c r="C183" s="142" t="s">
        <v>23</v>
      </c>
      <c r="D183" s="142">
        <v>106.38</v>
      </c>
      <c r="E183" s="142">
        <v>1485.13</v>
      </c>
      <c r="F183" s="142">
        <v>3587.91</v>
      </c>
      <c r="G183" s="142">
        <v>229.41</v>
      </c>
      <c r="H183" s="142" t="s">
        <v>23</v>
      </c>
      <c r="I183" s="142">
        <f t="shared" si="28"/>
        <v>5408.83</v>
      </c>
      <c r="K183" s="142" t="s">
        <v>23</v>
      </c>
      <c r="L183" s="142" t="s">
        <v>23</v>
      </c>
      <c r="M183" s="142">
        <v>1.06</v>
      </c>
      <c r="N183" s="142">
        <v>6430</v>
      </c>
      <c r="O183" s="142">
        <v>11724.5</v>
      </c>
      <c r="P183" s="142">
        <v>649.79</v>
      </c>
      <c r="Q183" s="142" t="s">
        <v>23</v>
      </c>
      <c r="R183" s="142">
        <f t="shared" si="29"/>
        <v>18805.350000000002</v>
      </c>
    </row>
    <row r="184" spans="1:20">
      <c r="A184" s="99">
        <v>2011</v>
      </c>
      <c r="B184" s="142" t="s">
        <v>23</v>
      </c>
      <c r="C184" s="142" t="s">
        <v>23</v>
      </c>
      <c r="D184" s="142">
        <v>351.79999999999995</v>
      </c>
      <c r="E184" s="142">
        <v>808.27</v>
      </c>
      <c r="F184" s="142">
        <v>4106.7700000000004</v>
      </c>
      <c r="G184" s="142">
        <v>329.4</v>
      </c>
      <c r="H184" s="142" t="s">
        <v>23</v>
      </c>
      <c r="I184" s="142">
        <f t="shared" si="28"/>
        <v>5596.24</v>
      </c>
      <c r="K184" s="142" t="s">
        <v>23</v>
      </c>
      <c r="L184" s="142" t="s">
        <v>23</v>
      </c>
      <c r="M184" s="142">
        <v>288.87</v>
      </c>
      <c r="N184" s="142">
        <v>5103.8100000000004</v>
      </c>
      <c r="O184" s="142">
        <v>12678.13</v>
      </c>
      <c r="P184" s="142">
        <v>2563.64</v>
      </c>
      <c r="Q184" s="142" t="s">
        <v>23</v>
      </c>
      <c r="R184" s="142">
        <f t="shared" si="29"/>
        <v>20634.449999999997</v>
      </c>
    </row>
    <row r="185" spans="1:20">
      <c r="A185" s="99">
        <v>2012</v>
      </c>
      <c r="B185" s="142" t="s">
        <v>23</v>
      </c>
      <c r="C185" s="142" t="s">
        <v>23</v>
      </c>
      <c r="D185" s="142">
        <v>1792.88</v>
      </c>
      <c r="E185" s="142">
        <v>2199.8200000000002</v>
      </c>
      <c r="F185" s="142">
        <v>2691.02</v>
      </c>
      <c r="G185" s="142">
        <v>729.78</v>
      </c>
      <c r="H185" s="142" t="s">
        <v>23</v>
      </c>
      <c r="I185" s="142">
        <f t="shared" si="28"/>
        <v>7413.5</v>
      </c>
      <c r="K185" s="142" t="s">
        <v>23</v>
      </c>
      <c r="L185" s="142" t="s">
        <v>23</v>
      </c>
      <c r="M185" s="142">
        <v>196.33</v>
      </c>
      <c r="N185" s="142">
        <v>3056.76</v>
      </c>
      <c r="O185" s="142">
        <v>4421.29</v>
      </c>
      <c r="P185" s="142">
        <v>2044.8200000000002</v>
      </c>
      <c r="Q185" s="142" t="s">
        <v>23</v>
      </c>
      <c r="R185" s="142">
        <f t="shared" si="29"/>
        <v>9719.2000000000007</v>
      </c>
      <c r="T185" s="17">
        <f t="shared" ref="T185:T194" si="30">SUM(E185:G185)</f>
        <v>5620.62</v>
      </c>
    </row>
    <row r="186" spans="1:20">
      <c r="A186" s="99">
        <v>2013</v>
      </c>
      <c r="B186" s="142" t="s">
        <v>23</v>
      </c>
      <c r="C186" s="142" t="s">
        <v>23</v>
      </c>
      <c r="D186" s="142">
        <v>1299.81</v>
      </c>
      <c r="E186" s="142">
        <v>1356.35</v>
      </c>
      <c r="F186" s="142">
        <v>3283.89</v>
      </c>
      <c r="G186" s="142">
        <v>688.46</v>
      </c>
      <c r="H186" s="142" t="s">
        <v>23</v>
      </c>
      <c r="I186" s="142">
        <f t="shared" si="28"/>
        <v>6628.5099999999993</v>
      </c>
      <c r="K186" s="142" t="s">
        <v>23</v>
      </c>
      <c r="L186" s="142" t="s">
        <v>23</v>
      </c>
      <c r="M186" s="142">
        <v>2286.5300000000002</v>
      </c>
      <c r="N186" s="142">
        <v>4007.03</v>
      </c>
      <c r="O186" s="142">
        <v>8599.43</v>
      </c>
      <c r="P186" s="142">
        <v>1566.13</v>
      </c>
      <c r="Q186" s="142" t="s">
        <v>23</v>
      </c>
      <c r="R186" s="142">
        <f t="shared" si="29"/>
        <v>16459.120000000003</v>
      </c>
      <c r="T186" s="17">
        <f t="shared" si="30"/>
        <v>5328.7</v>
      </c>
    </row>
    <row r="187" spans="1:20">
      <c r="A187" s="99">
        <v>2014</v>
      </c>
      <c r="B187" s="142" t="s">
        <v>23</v>
      </c>
      <c r="C187" s="142">
        <v>44.29</v>
      </c>
      <c r="D187" s="142">
        <v>916.74</v>
      </c>
      <c r="E187" s="142">
        <v>2570.42</v>
      </c>
      <c r="F187" s="142">
        <v>5018.59</v>
      </c>
      <c r="G187" s="142">
        <v>491.04999999999995</v>
      </c>
      <c r="H187" s="142" t="s">
        <v>23</v>
      </c>
      <c r="I187" s="142">
        <f t="shared" si="28"/>
        <v>9041.09</v>
      </c>
      <c r="K187" s="142" t="s">
        <v>23</v>
      </c>
      <c r="L187" s="142" t="s">
        <v>23</v>
      </c>
      <c r="M187" s="142">
        <v>2223.4</v>
      </c>
      <c r="N187" s="142">
        <v>14832.5</v>
      </c>
      <c r="O187" s="142">
        <v>30029.279999999999</v>
      </c>
      <c r="P187" s="142">
        <v>11246.560000000001</v>
      </c>
      <c r="Q187" s="142" t="s">
        <v>23</v>
      </c>
      <c r="R187" s="142">
        <f t="shared" si="29"/>
        <v>58331.740000000005</v>
      </c>
      <c r="T187" s="17">
        <f t="shared" si="30"/>
        <v>8080.06</v>
      </c>
    </row>
    <row r="188" spans="1:20">
      <c r="A188" s="99">
        <v>2015</v>
      </c>
      <c r="B188" s="142" t="s">
        <v>23</v>
      </c>
      <c r="C188" s="142">
        <v>61.15</v>
      </c>
      <c r="D188" s="142">
        <v>957.43999999999994</v>
      </c>
      <c r="E188" s="142">
        <v>1419.2</v>
      </c>
      <c r="F188" s="142">
        <v>4836.08</v>
      </c>
      <c r="G188" s="142">
        <v>2139.83</v>
      </c>
      <c r="H188" s="142" t="s">
        <v>23</v>
      </c>
      <c r="I188" s="142">
        <f>SUM(B188:G188)</f>
        <v>9413.7000000000007</v>
      </c>
      <c r="K188" s="142" t="s">
        <v>23</v>
      </c>
      <c r="L188" s="142" t="s">
        <v>23</v>
      </c>
      <c r="M188" s="142">
        <v>2607.2600000000002</v>
      </c>
      <c r="N188" s="142">
        <v>12325.02</v>
      </c>
      <c r="O188" s="142">
        <v>15756.28</v>
      </c>
      <c r="P188" s="142">
        <v>5022.17</v>
      </c>
      <c r="Q188" s="142" t="s">
        <v>23</v>
      </c>
      <c r="R188" s="142">
        <f t="shared" si="29"/>
        <v>35710.730000000003</v>
      </c>
      <c r="T188" s="17">
        <f t="shared" si="30"/>
        <v>8395.11</v>
      </c>
    </row>
    <row r="189" spans="1:20">
      <c r="A189" s="99">
        <v>2016</v>
      </c>
      <c r="B189" s="142" t="s">
        <v>23</v>
      </c>
      <c r="C189" s="142" t="s">
        <v>23</v>
      </c>
      <c r="D189" s="142" t="s">
        <v>23</v>
      </c>
      <c r="E189" s="142">
        <v>2088.35</v>
      </c>
      <c r="F189" s="142">
        <v>2868.18</v>
      </c>
      <c r="G189" s="142" t="s">
        <v>23</v>
      </c>
      <c r="H189" s="142" t="s">
        <v>23</v>
      </c>
      <c r="I189" s="142">
        <f>SUM(B189:G189)</f>
        <v>4956.53</v>
      </c>
      <c r="K189" s="142" t="s">
        <v>23</v>
      </c>
      <c r="L189" s="142" t="s">
        <v>23</v>
      </c>
      <c r="M189" s="142" t="s">
        <v>23</v>
      </c>
      <c r="N189" s="142">
        <v>4691.76</v>
      </c>
      <c r="O189" s="142">
        <v>11265.77</v>
      </c>
      <c r="P189" s="142" t="s">
        <v>23</v>
      </c>
      <c r="Q189" s="142" t="s">
        <v>23</v>
      </c>
      <c r="R189" s="142">
        <f t="shared" si="29"/>
        <v>15957.53</v>
      </c>
      <c r="T189" s="17">
        <f t="shared" si="30"/>
        <v>4956.53</v>
      </c>
    </row>
    <row r="190" spans="1:20">
      <c r="A190" s="99">
        <v>2017</v>
      </c>
      <c r="B190" s="142" t="s">
        <v>23</v>
      </c>
      <c r="C190" s="142" t="s">
        <v>23</v>
      </c>
      <c r="D190" s="142">
        <v>318.87</v>
      </c>
      <c r="E190" s="142">
        <v>2191</v>
      </c>
      <c r="F190" s="142">
        <v>3153.47</v>
      </c>
      <c r="G190" s="142" t="s">
        <v>23</v>
      </c>
      <c r="H190" s="142" t="s">
        <v>23</v>
      </c>
      <c r="I190" s="142">
        <f>SUM(B190:G190)</f>
        <v>5663.34</v>
      </c>
      <c r="K190" s="142" t="s">
        <v>23</v>
      </c>
      <c r="L190" s="142" t="s">
        <v>23</v>
      </c>
      <c r="M190" s="142">
        <v>29.64</v>
      </c>
      <c r="N190" s="142">
        <v>5723.99</v>
      </c>
      <c r="O190" s="142">
        <v>9300.99</v>
      </c>
      <c r="P190" s="142" t="s">
        <v>23</v>
      </c>
      <c r="Q190" s="142" t="s">
        <v>23</v>
      </c>
      <c r="R190" s="142">
        <f>SUM(K190:Q190)</f>
        <v>15054.619999999999</v>
      </c>
      <c r="T190" s="17">
        <f>SUM(E190:G190)</f>
        <v>5344.4699999999993</v>
      </c>
    </row>
    <row r="191" spans="1:20">
      <c r="A191" s="99">
        <v>2018</v>
      </c>
      <c r="B191" s="142" t="s">
        <v>23</v>
      </c>
      <c r="C191" s="142" t="s">
        <v>23</v>
      </c>
      <c r="D191" s="142">
        <v>455.13</v>
      </c>
      <c r="E191" s="142">
        <v>506.53</v>
      </c>
      <c r="F191" s="142">
        <v>586</v>
      </c>
      <c r="G191" s="142">
        <v>21.18</v>
      </c>
      <c r="H191" s="142" t="s">
        <v>23</v>
      </c>
      <c r="I191" s="142">
        <f>SUM(B191:G191)</f>
        <v>1568.84</v>
      </c>
      <c r="K191" s="142" t="s">
        <v>23</v>
      </c>
      <c r="L191" s="142" t="s">
        <v>23</v>
      </c>
      <c r="M191" s="142">
        <v>258.3</v>
      </c>
      <c r="N191" s="142">
        <v>4678.59</v>
      </c>
      <c r="O191" s="142">
        <v>8422.14</v>
      </c>
      <c r="P191" s="142">
        <v>88.38</v>
      </c>
      <c r="Q191" s="142" t="s">
        <v>23</v>
      </c>
      <c r="R191" s="142">
        <f>SUM(K191:Q191)</f>
        <v>13447.409999999998</v>
      </c>
      <c r="T191" s="17">
        <f>SUM(E191:G191)</f>
        <v>1113.71</v>
      </c>
    </row>
    <row r="192" spans="1:20">
      <c r="A192" s="99">
        <v>2019</v>
      </c>
      <c r="B192" s="142" t="s">
        <v>23</v>
      </c>
      <c r="C192" s="142" t="s">
        <v>23</v>
      </c>
      <c r="D192" s="142">
        <v>237.22</v>
      </c>
      <c r="E192" s="142">
        <v>1532.9</v>
      </c>
      <c r="F192" s="142">
        <v>888.26</v>
      </c>
      <c r="G192" s="142">
        <v>84.14</v>
      </c>
      <c r="H192" s="142" t="s">
        <v>23</v>
      </c>
      <c r="I192" s="142">
        <f t="shared" ref="I192:I193" si="31">SUM(B192:G192)</f>
        <v>2742.52</v>
      </c>
      <c r="K192" s="142" t="s">
        <v>23</v>
      </c>
      <c r="L192" s="142" t="s">
        <v>23</v>
      </c>
      <c r="M192" s="142">
        <v>3506.51</v>
      </c>
      <c r="N192" s="142">
        <v>14386.42</v>
      </c>
      <c r="O192" s="142">
        <v>16996.97</v>
      </c>
      <c r="P192" s="142">
        <v>1361.11</v>
      </c>
      <c r="Q192" s="142" t="s">
        <v>23</v>
      </c>
      <c r="R192" s="142">
        <f t="shared" ref="R192:R193" si="32">SUM(K192:Q192)</f>
        <v>36251.01</v>
      </c>
      <c r="T192" s="17">
        <f t="shared" ref="T192:T193" si="33">SUM(E192:G192)</f>
        <v>2505.2999999999997</v>
      </c>
    </row>
    <row r="193" spans="1:20" ht="13">
      <c r="A193" s="239" t="s">
        <v>307</v>
      </c>
      <c r="B193" s="142" t="s">
        <v>23</v>
      </c>
      <c r="C193" s="142" t="s">
        <v>23</v>
      </c>
      <c r="D193" s="142">
        <v>208.1</v>
      </c>
      <c r="E193" s="142">
        <v>464.78</v>
      </c>
      <c r="F193" s="142" t="s">
        <v>23</v>
      </c>
      <c r="G193" s="142" t="s">
        <v>23</v>
      </c>
      <c r="H193" s="142" t="s">
        <v>23</v>
      </c>
      <c r="I193" s="142">
        <f t="shared" si="31"/>
        <v>672.88</v>
      </c>
      <c r="K193" s="142" t="s">
        <v>23</v>
      </c>
      <c r="L193" s="142" t="s">
        <v>23</v>
      </c>
      <c r="M193" s="142" t="s">
        <v>23</v>
      </c>
      <c r="N193" s="142">
        <v>9108.27</v>
      </c>
      <c r="O193" s="142" t="s">
        <v>23</v>
      </c>
      <c r="P193" s="142" t="s">
        <v>23</v>
      </c>
      <c r="Q193" s="142" t="s">
        <v>23</v>
      </c>
      <c r="R193" s="142">
        <f t="shared" si="32"/>
        <v>9108.27</v>
      </c>
      <c r="T193" s="17">
        <f t="shared" si="33"/>
        <v>464.78</v>
      </c>
    </row>
    <row r="194" spans="1:20" ht="13">
      <c r="A194" s="239" t="s">
        <v>326</v>
      </c>
      <c r="B194" s="142" t="s">
        <v>23</v>
      </c>
      <c r="C194" s="142" t="s">
        <v>23</v>
      </c>
      <c r="D194" s="142">
        <v>434.16</v>
      </c>
      <c r="E194" s="142">
        <v>1156.8699999999999</v>
      </c>
      <c r="F194" s="142">
        <v>2585.87</v>
      </c>
      <c r="G194" s="142" t="s">
        <v>23</v>
      </c>
      <c r="H194" s="142" t="s">
        <v>23</v>
      </c>
      <c r="I194" s="142">
        <f t="shared" si="28"/>
        <v>4176.8999999999996</v>
      </c>
      <c r="K194" s="142" t="s">
        <v>23</v>
      </c>
      <c r="L194" s="142" t="s">
        <v>23</v>
      </c>
      <c r="M194" s="142">
        <v>146.68</v>
      </c>
      <c r="N194" s="142">
        <v>7451.15</v>
      </c>
      <c r="O194" s="142">
        <v>17541.91</v>
      </c>
      <c r="P194" s="142" t="s">
        <v>23</v>
      </c>
      <c r="Q194" s="142" t="s">
        <v>23</v>
      </c>
      <c r="R194" s="142">
        <f t="shared" si="29"/>
        <v>25139.739999999998</v>
      </c>
      <c r="T194" s="17">
        <f t="shared" si="30"/>
        <v>3742.74</v>
      </c>
    </row>
    <row r="196" spans="1:20" ht="13">
      <c r="A196" s="97" t="s">
        <v>327</v>
      </c>
    </row>
    <row r="197" spans="1:20">
      <c r="A197" s="99">
        <v>1976</v>
      </c>
      <c r="B197" s="142" t="str">
        <f t="shared" ref="B197:I206" si="34">IF(AND(B149="-",B101="-",B53="-",B5="-"),"-",SUM(B149,B101,B53,B5))</f>
        <v>-</v>
      </c>
      <c r="C197" s="142">
        <f t="shared" si="34"/>
        <v>14411</v>
      </c>
      <c r="D197" s="142">
        <f t="shared" si="34"/>
        <v>49271</v>
      </c>
      <c r="E197" s="142">
        <f t="shared" si="34"/>
        <v>50988</v>
      </c>
      <c r="F197" s="142">
        <f t="shared" si="34"/>
        <v>36529</v>
      </c>
      <c r="G197" s="142">
        <f t="shared" si="34"/>
        <v>17503</v>
      </c>
      <c r="H197" s="142">
        <f t="shared" si="34"/>
        <v>2017</v>
      </c>
      <c r="I197" s="142">
        <f t="shared" si="34"/>
        <v>170719</v>
      </c>
      <c r="K197" s="142">
        <f t="shared" ref="K197:R206" si="35">IF(AND(K149="-",K101="-",K53="-",K5="-"),"-",SUM(K149,K101,K53,K5))</f>
        <v>65</v>
      </c>
      <c r="L197" s="142">
        <f t="shared" si="35"/>
        <v>26578</v>
      </c>
      <c r="M197" s="142">
        <f t="shared" si="35"/>
        <v>123742</v>
      </c>
      <c r="N197" s="142">
        <f t="shared" si="35"/>
        <v>307543</v>
      </c>
      <c r="O197" s="142">
        <f t="shared" si="35"/>
        <v>320895</v>
      </c>
      <c r="P197" s="142">
        <f t="shared" si="35"/>
        <v>154710</v>
      </c>
      <c r="Q197" s="142">
        <f t="shared" si="35"/>
        <v>9307</v>
      </c>
      <c r="R197" s="142">
        <f t="shared" si="35"/>
        <v>942840</v>
      </c>
    </row>
    <row r="198" spans="1:20">
      <c r="A198" s="99">
        <v>1977</v>
      </c>
      <c r="B198" s="142">
        <f t="shared" si="34"/>
        <v>4131</v>
      </c>
      <c r="C198" s="142">
        <f t="shared" si="34"/>
        <v>8145</v>
      </c>
      <c r="D198" s="142">
        <f t="shared" si="34"/>
        <v>35158</v>
      </c>
      <c r="E198" s="142">
        <f t="shared" si="34"/>
        <v>35486</v>
      </c>
      <c r="F198" s="142">
        <f t="shared" si="34"/>
        <v>68764</v>
      </c>
      <c r="G198" s="142">
        <f t="shared" si="34"/>
        <v>21539</v>
      </c>
      <c r="H198" s="142">
        <f t="shared" si="34"/>
        <v>1740</v>
      </c>
      <c r="I198" s="142">
        <f t="shared" si="34"/>
        <v>174963</v>
      </c>
      <c r="K198" s="142">
        <f t="shared" si="35"/>
        <v>359</v>
      </c>
      <c r="L198" s="142">
        <f t="shared" si="35"/>
        <v>21104</v>
      </c>
      <c r="M198" s="142">
        <f t="shared" si="35"/>
        <v>72848</v>
      </c>
      <c r="N198" s="142">
        <f t="shared" si="35"/>
        <v>176815</v>
      </c>
      <c r="O198" s="142">
        <f t="shared" si="35"/>
        <v>160567</v>
      </c>
      <c r="P198" s="142">
        <f t="shared" si="35"/>
        <v>52938</v>
      </c>
      <c r="Q198" s="142">
        <f t="shared" si="35"/>
        <v>5615</v>
      </c>
      <c r="R198" s="142">
        <f t="shared" si="35"/>
        <v>490246</v>
      </c>
    </row>
    <row r="199" spans="1:20">
      <c r="A199" s="99">
        <v>1978</v>
      </c>
      <c r="B199" s="142">
        <f t="shared" si="34"/>
        <v>2542</v>
      </c>
      <c r="C199" s="142">
        <f t="shared" si="34"/>
        <v>9246</v>
      </c>
      <c r="D199" s="142">
        <f t="shared" si="34"/>
        <v>33876</v>
      </c>
      <c r="E199" s="142">
        <f t="shared" si="34"/>
        <v>20978</v>
      </c>
      <c r="F199" s="142">
        <f t="shared" si="34"/>
        <v>23947</v>
      </c>
      <c r="G199" s="142">
        <f t="shared" si="34"/>
        <v>4465</v>
      </c>
      <c r="H199" s="142">
        <f t="shared" si="34"/>
        <v>1352</v>
      </c>
      <c r="I199" s="142">
        <f t="shared" si="34"/>
        <v>96406</v>
      </c>
      <c r="K199" s="142">
        <f t="shared" si="35"/>
        <v>1370</v>
      </c>
      <c r="L199" s="142">
        <f t="shared" si="35"/>
        <v>13644</v>
      </c>
      <c r="M199" s="142">
        <f t="shared" si="35"/>
        <v>105441</v>
      </c>
      <c r="N199" s="142">
        <f t="shared" si="35"/>
        <v>149540</v>
      </c>
      <c r="O199" s="142">
        <f t="shared" si="35"/>
        <v>127864</v>
      </c>
      <c r="P199" s="142">
        <f t="shared" si="35"/>
        <v>68321</v>
      </c>
      <c r="Q199" s="142">
        <f t="shared" si="35"/>
        <v>3634</v>
      </c>
      <c r="R199" s="142">
        <f t="shared" si="35"/>
        <v>469814</v>
      </c>
    </row>
    <row r="200" spans="1:20">
      <c r="A200" s="99">
        <v>1979</v>
      </c>
      <c r="B200" s="142">
        <f t="shared" si="34"/>
        <v>504</v>
      </c>
      <c r="C200" s="142">
        <f t="shared" si="34"/>
        <v>7165</v>
      </c>
      <c r="D200" s="142">
        <f t="shared" si="34"/>
        <v>24512</v>
      </c>
      <c r="E200" s="142">
        <f t="shared" si="34"/>
        <v>15246</v>
      </c>
      <c r="F200" s="142">
        <f t="shared" si="34"/>
        <v>27164</v>
      </c>
      <c r="G200" s="142">
        <f t="shared" si="34"/>
        <v>154</v>
      </c>
      <c r="H200" s="142">
        <f t="shared" si="34"/>
        <v>29</v>
      </c>
      <c r="I200" s="142">
        <f t="shared" si="34"/>
        <v>74774</v>
      </c>
      <c r="K200" s="142">
        <f t="shared" si="35"/>
        <v>408</v>
      </c>
      <c r="L200" s="142">
        <f t="shared" si="35"/>
        <v>7877</v>
      </c>
      <c r="M200" s="142">
        <f t="shared" si="35"/>
        <v>47839</v>
      </c>
      <c r="N200" s="142">
        <f t="shared" si="35"/>
        <v>115690</v>
      </c>
      <c r="O200" s="142">
        <f t="shared" si="35"/>
        <v>116778</v>
      </c>
      <c r="P200" s="142">
        <f t="shared" si="35"/>
        <v>4001</v>
      </c>
      <c r="Q200" s="142">
        <f t="shared" si="35"/>
        <v>767</v>
      </c>
      <c r="R200" s="142">
        <f t="shared" si="35"/>
        <v>293360</v>
      </c>
    </row>
    <row r="201" spans="1:20">
      <c r="A201" s="99">
        <v>1980</v>
      </c>
      <c r="B201" s="142" t="str">
        <f t="shared" si="34"/>
        <v>-</v>
      </c>
      <c r="C201" s="142">
        <f t="shared" si="34"/>
        <v>2555</v>
      </c>
      <c r="D201" s="142">
        <f t="shared" si="34"/>
        <v>13477</v>
      </c>
      <c r="E201" s="142">
        <f t="shared" si="34"/>
        <v>21808</v>
      </c>
      <c r="F201" s="142">
        <f t="shared" si="34"/>
        <v>15471</v>
      </c>
      <c r="G201" s="142">
        <f t="shared" si="34"/>
        <v>288</v>
      </c>
      <c r="H201" s="142" t="str">
        <f t="shared" si="34"/>
        <v>-</v>
      </c>
      <c r="I201" s="142">
        <f t="shared" si="34"/>
        <v>53599</v>
      </c>
      <c r="K201" s="142" t="str">
        <f t="shared" si="35"/>
        <v>-</v>
      </c>
      <c r="L201" s="142">
        <f t="shared" si="35"/>
        <v>24840</v>
      </c>
      <c r="M201" s="142">
        <f t="shared" si="35"/>
        <v>96326</v>
      </c>
      <c r="N201" s="142">
        <f t="shared" si="35"/>
        <v>143369</v>
      </c>
      <c r="O201" s="142">
        <f t="shared" si="35"/>
        <v>94983</v>
      </c>
      <c r="P201" s="142">
        <f t="shared" si="35"/>
        <v>3311</v>
      </c>
      <c r="Q201" s="142">
        <f t="shared" si="35"/>
        <v>44</v>
      </c>
      <c r="R201" s="142">
        <f t="shared" si="35"/>
        <v>362873</v>
      </c>
    </row>
    <row r="202" spans="1:20">
      <c r="A202" s="99">
        <v>1981</v>
      </c>
      <c r="B202" s="142">
        <f t="shared" si="34"/>
        <v>138</v>
      </c>
      <c r="C202" s="142">
        <f t="shared" si="34"/>
        <v>2630</v>
      </c>
      <c r="D202" s="142">
        <f t="shared" si="34"/>
        <v>11946</v>
      </c>
      <c r="E202" s="142">
        <f t="shared" si="34"/>
        <v>36706</v>
      </c>
      <c r="F202" s="142">
        <f t="shared" si="34"/>
        <v>33163</v>
      </c>
      <c r="G202" s="142">
        <f t="shared" si="34"/>
        <v>51</v>
      </c>
      <c r="H202" s="142">
        <f t="shared" si="34"/>
        <v>17</v>
      </c>
      <c r="I202" s="142">
        <f t="shared" si="34"/>
        <v>84651</v>
      </c>
      <c r="K202" s="142">
        <f t="shared" si="35"/>
        <v>80</v>
      </c>
      <c r="L202" s="142">
        <f t="shared" si="35"/>
        <v>8347</v>
      </c>
      <c r="M202" s="142">
        <f t="shared" si="35"/>
        <v>47458</v>
      </c>
      <c r="N202" s="142">
        <f t="shared" si="35"/>
        <v>84789</v>
      </c>
      <c r="O202" s="142">
        <f t="shared" si="35"/>
        <v>92646</v>
      </c>
      <c r="P202" s="142">
        <f t="shared" si="35"/>
        <v>4244</v>
      </c>
      <c r="Q202" s="142">
        <f t="shared" si="35"/>
        <v>372</v>
      </c>
      <c r="R202" s="142">
        <f t="shared" si="35"/>
        <v>237936</v>
      </c>
    </row>
    <row r="203" spans="1:20">
      <c r="A203" s="99">
        <v>1982</v>
      </c>
      <c r="B203" s="142">
        <f t="shared" si="34"/>
        <v>3</v>
      </c>
      <c r="C203" s="142">
        <f t="shared" si="34"/>
        <v>654</v>
      </c>
      <c r="D203" s="142">
        <f t="shared" si="34"/>
        <v>41942</v>
      </c>
      <c r="E203" s="142">
        <f t="shared" si="34"/>
        <v>50726</v>
      </c>
      <c r="F203" s="142">
        <f t="shared" si="34"/>
        <v>13133</v>
      </c>
      <c r="G203" s="142">
        <f t="shared" si="34"/>
        <v>219</v>
      </c>
      <c r="H203" s="142">
        <f t="shared" si="34"/>
        <v>75</v>
      </c>
      <c r="I203" s="142">
        <f t="shared" si="34"/>
        <v>106752</v>
      </c>
      <c r="K203" s="142" t="str">
        <f t="shared" si="35"/>
        <v>-</v>
      </c>
      <c r="L203" s="142">
        <f t="shared" si="35"/>
        <v>113</v>
      </c>
      <c r="M203" s="142">
        <f t="shared" si="35"/>
        <v>20596</v>
      </c>
      <c r="N203" s="142">
        <f t="shared" si="35"/>
        <v>112718</v>
      </c>
      <c r="O203" s="142">
        <f t="shared" si="35"/>
        <v>58682</v>
      </c>
      <c r="P203" s="142">
        <f t="shared" si="35"/>
        <v>13509</v>
      </c>
      <c r="Q203" s="142">
        <f t="shared" si="35"/>
        <v>903</v>
      </c>
      <c r="R203" s="142">
        <f t="shared" si="35"/>
        <v>206521</v>
      </c>
    </row>
    <row r="204" spans="1:20">
      <c r="A204" s="99">
        <v>1983</v>
      </c>
      <c r="B204" s="142">
        <f t="shared" si="34"/>
        <v>117</v>
      </c>
      <c r="C204" s="142">
        <f t="shared" si="34"/>
        <v>867</v>
      </c>
      <c r="D204" s="142">
        <f t="shared" si="34"/>
        <v>24631</v>
      </c>
      <c r="E204" s="142">
        <f t="shared" si="34"/>
        <v>14406</v>
      </c>
      <c r="F204" s="142">
        <f t="shared" si="34"/>
        <v>6336</v>
      </c>
      <c r="G204" s="142">
        <f t="shared" si="34"/>
        <v>2032</v>
      </c>
      <c r="H204" s="142" t="str">
        <f t="shared" si="34"/>
        <v>-</v>
      </c>
      <c r="I204" s="142">
        <f t="shared" si="34"/>
        <v>48389</v>
      </c>
      <c r="K204" s="142" t="str">
        <f t="shared" si="35"/>
        <v>-</v>
      </c>
      <c r="L204" s="142">
        <f t="shared" si="35"/>
        <v>422</v>
      </c>
      <c r="M204" s="142">
        <f t="shared" si="35"/>
        <v>19568</v>
      </c>
      <c r="N204" s="142">
        <f t="shared" si="35"/>
        <v>84579</v>
      </c>
      <c r="O204" s="142">
        <f t="shared" si="35"/>
        <v>79958</v>
      </c>
      <c r="P204" s="142">
        <f t="shared" si="35"/>
        <v>24726</v>
      </c>
      <c r="Q204" s="142">
        <f t="shared" si="35"/>
        <v>33</v>
      </c>
      <c r="R204" s="142">
        <f t="shared" si="35"/>
        <v>209286</v>
      </c>
    </row>
    <row r="205" spans="1:20">
      <c r="A205" s="99">
        <v>1984</v>
      </c>
      <c r="B205" s="142">
        <f t="shared" si="34"/>
        <v>24</v>
      </c>
      <c r="C205" s="142">
        <f t="shared" si="34"/>
        <v>6613</v>
      </c>
      <c r="D205" s="142">
        <f t="shared" si="34"/>
        <v>0</v>
      </c>
      <c r="E205" s="142">
        <f t="shared" si="34"/>
        <v>133</v>
      </c>
      <c r="F205" s="142">
        <f t="shared" si="34"/>
        <v>160</v>
      </c>
      <c r="G205" s="142" t="str">
        <f t="shared" si="34"/>
        <v>-</v>
      </c>
      <c r="H205" s="142" t="str">
        <f t="shared" si="34"/>
        <v>-</v>
      </c>
      <c r="I205" s="142">
        <f t="shared" si="34"/>
        <v>6930</v>
      </c>
      <c r="K205" s="142" t="str">
        <f t="shared" si="35"/>
        <v>-</v>
      </c>
      <c r="L205" s="142" t="str">
        <f t="shared" si="35"/>
        <v>-</v>
      </c>
      <c r="M205" s="142" t="str">
        <f t="shared" si="35"/>
        <v>-</v>
      </c>
      <c r="N205" s="142">
        <f t="shared" si="35"/>
        <v>9882</v>
      </c>
      <c r="O205" s="142">
        <f t="shared" si="35"/>
        <v>30247</v>
      </c>
      <c r="P205" s="142">
        <f t="shared" si="35"/>
        <v>264</v>
      </c>
      <c r="Q205" s="142" t="str">
        <f t="shared" si="35"/>
        <v>-</v>
      </c>
      <c r="R205" s="142">
        <f t="shared" si="35"/>
        <v>40393</v>
      </c>
    </row>
    <row r="206" spans="1:20">
      <c r="A206" s="99">
        <v>1985</v>
      </c>
      <c r="B206" s="142">
        <f t="shared" si="34"/>
        <v>5</v>
      </c>
      <c r="C206" s="142">
        <f t="shared" si="34"/>
        <v>1</v>
      </c>
      <c r="D206" s="142">
        <f t="shared" si="34"/>
        <v>902</v>
      </c>
      <c r="E206" s="142">
        <f t="shared" si="34"/>
        <v>14864</v>
      </c>
      <c r="F206" s="142">
        <f t="shared" si="34"/>
        <v>10541</v>
      </c>
      <c r="G206" s="142">
        <f t="shared" si="34"/>
        <v>276</v>
      </c>
      <c r="H206" s="142" t="str">
        <f t="shared" si="34"/>
        <v>-</v>
      </c>
      <c r="I206" s="142">
        <f t="shared" si="34"/>
        <v>26589</v>
      </c>
      <c r="K206" s="142" t="str">
        <f t="shared" si="35"/>
        <v>-</v>
      </c>
      <c r="L206" s="142" t="str">
        <f t="shared" si="35"/>
        <v>-</v>
      </c>
      <c r="M206" s="142">
        <f t="shared" si="35"/>
        <v>2858</v>
      </c>
      <c r="N206" s="142">
        <f t="shared" si="35"/>
        <v>76917</v>
      </c>
      <c r="O206" s="142">
        <f t="shared" si="35"/>
        <v>81826</v>
      </c>
      <c r="P206" s="142">
        <f t="shared" si="35"/>
        <v>6257</v>
      </c>
      <c r="Q206" s="142" t="str">
        <f t="shared" si="35"/>
        <v>-</v>
      </c>
      <c r="R206" s="142">
        <f t="shared" si="35"/>
        <v>167858</v>
      </c>
    </row>
    <row r="207" spans="1:20">
      <c r="A207" s="99">
        <v>1986</v>
      </c>
      <c r="B207" s="142" t="str">
        <f t="shared" ref="B207:I216" si="36">IF(AND(B159="-",B111="-",B63="-",B15="-"),"-",SUM(B159,B111,B63,B15))</f>
        <v>-</v>
      </c>
      <c r="C207" s="142" t="str">
        <f t="shared" si="36"/>
        <v>-</v>
      </c>
      <c r="D207" s="142">
        <f t="shared" si="36"/>
        <v>672</v>
      </c>
      <c r="E207" s="142">
        <f t="shared" si="36"/>
        <v>11614</v>
      </c>
      <c r="F207" s="142">
        <f t="shared" si="36"/>
        <v>8815</v>
      </c>
      <c r="G207" s="142" t="str">
        <f t="shared" si="36"/>
        <v>-</v>
      </c>
      <c r="H207" s="142" t="str">
        <f t="shared" si="36"/>
        <v>-</v>
      </c>
      <c r="I207" s="142">
        <f t="shared" si="36"/>
        <v>21101</v>
      </c>
      <c r="K207" s="142" t="str">
        <f t="shared" ref="K207:R216" si="37">IF(AND(K159="-",K111="-",K63="-",K15="-"),"-",SUM(K159,K111,K63,K15))</f>
        <v>-</v>
      </c>
      <c r="L207" s="142" t="str">
        <f t="shared" si="37"/>
        <v>-</v>
      </c>
      <c r="M207" s="142">
        <f t="shared" si="37"/>
        <v>5880</v>
      </c>
      <c r="N207" s="142">
        <f t="shared" si="37"/>
        <v>98046</v>
      </c>
      <c r="O207" s="142">
        <f t="shared" si="37"/>
        <v>69803</v>
      </c>
      <c r="P207" s="142">
        <f t="shared" si="37"/>
        <v>943</v>
      </c>
      <c r="Q207" s="142">
        <f t="shared" si="37"/>
        <v>86</v>
      </c>
      <c r="R207" s="142">
        <f t="shared" si="37"/>
        <v>174758</v>
      </c>
    </row>
    <row r="208" spans="1:20">
      <c r="A208" s="99">
        <v>1987</v>
      </c>
      <c r="B208" s="142" t="str">
        <f t="shared" si="36"/>
        <v>-</v>
      </c>
      <c r="C208" s="142" t="str">
        <f t="shared" si="36"/>
        <v>-</v>
      </c>
      <c r="D208" s="142">
        <f t="shared" si="36"/>
        <v>3299</v>
      </c>
      <c r="E208" s="142">
        <f t="shared" si="36"/>
        <v>23530</v>
      </c>
      <c r="F208" s="142">
        <f t="shared" si="36"/>
        <v>11243</v>
      </c>
      <c r="G208" s="142">
        <f t="shared" si="36"/>
        <v>17</v>
      </c>
      <c r="H208" s="142" t="str">
        <f t="shared" si="36"/>
        <v>-</v>
      </c>
      <c r="I208" s="142">
        <f t="shared" si="36"/>
        <v>38089</v>
      </c>
      <c r="K208" s="142" t="str">
        <f t="shared" si="37"/>
        <v>-</v>
      </c>
      <c r="L208" s="142" t="str">
        <f t="shared" si="37"/>
        <v>-</v>
      </c>
      <c r="M208" s="142">
        <f t="shared" si="37"/>
        <v>2249</v>
      </c>
      <c r="N208" s="142">
        <f t="shared" si="37"/>
        <v>70446</v>
      </c>
      <c r="O208" s="142">
        <f t="shared" si="37"/>
        <v>51188</v>
      </c>
      <c r="P208" s="142">
        <f t="shared" si="37"/>
        <v>44</v>
      </c>
      <c r="Q208" s="142">
        <f t="shared" si="37"/>
        <v>3</v>
      </c>
      <c r="R208" s="142">
        <f t="shared" si="37"/>
        <v>123930</v>
      </c>
    </row>
    <row r="209" spans="1:18">
      <c r="A209" s="99">
        <v>1988</v>
      </c>
      <c r="B209" s="142" t="str">
        <f t="shared" si="36"/>
        <v>-</v>
      </c>
      <c r="C209" s="142" t="str">
        <f t="shared" si="36"/>
        <v>-</v>
      </c>
      <c r="D209" s="142" t="str">
        <f t="shared" si="36"/>
        <v>-</v>
      </c>
      <c r="E209" s="142">
        <f t="shared" si="36"/>
        <v>17680</v>
      </c>
      <c r="F209" s="142">
        <f t="shared" si="36"/>
        <v>1220</v>
      </c>
      <c r="G209" s="142">
        <f t="shared" si="36"/>
        <v>37</v>
      </c>
      <c r="H209" s="142" t="str">
        <f t="shared" si="36"/>
        <v>-</v>
      </c>
      <c r="I209" s="142">
        <f t="shared" si="36"/>
        <v>18937</v>
      </c>
      <c r="K209" s="142" t="str">
        <f t="shared" si="37"/>
        <v>-</v>
      </c>
      <c r="L209" s="142" t="str">
        <f t="shared" si="37"/>
        <v>-</v>
      </c>
      <c r="M209" s="142" t="str">
        <f t="shared" si="37"/>
        <v>-</v>
      </c>
      <c r="N209" s="142">
        <f t="shared" si="37"/>
        <v>81803</v>
      </c>
      <c r="O209" s="142">
        <f t="shared" si="37"/>
        <v>6558</v>
      </c>
      <c r="P209" s="142">
        <f t="shared" si="37"/>
        <v>563</v>
      </c>
      <c r="Q209" s="142" t="str">
        <f t="shared" si="37"/>
        <v>-</v>
      </c>
      <c r="R209" s="142">
        <f t="shared" si="37"/>
        <v>88924</v>
      </c>
    </row>
    <row r="210" spans="1:18">
      <c r="A210" s="99">
        <v>1989</v>
      </c>
      <c r="B210" s="142" t="str">
        <f t="shared" si="36"/>
        <v>-</v>
      </c>
      <c r="C210" s="142">
        <f t="shared" si="36"/>
        <v>901</v>
      </c>
      <c r="D210" s="142">
        <f t="shared" si="36"/>
        <v>2073</v>
      </c>
      <c r="E210" s="142">
        <f t="shared" si="36"/>
        <v>7120</v>
      </c>
      <c r="F210" s="142">
        <f t="shared" si="36"/>
        <v>9764</v>
      </c>
      <c r="G210" s="142" t="str">
        <f t="shared" si="36"/>
        <v>-</v>
      </c>
      <c r="H210" s="142" t="str">
        <f t="shared" si="36"/>
        <v>-</v>
      </c>
      <c r="I210" s="142">
        <f t="shared" si="36"/>
        <v>19858</v>
      </c>
      <c r="K210" s="142" t="str">
        <f t="shared" si="37"/>
        <v>-</v>
      </c>
      <c r="L210" s="142">
        <f t="shared" si="37"/>
        <v>19</v>
      </c>
      <c r="M210" s="142">
        <f t="shared" si="37"/>
        <v>38</v>
      </c>
      <c r="N210" s="142">
        <f t="shared" si="37"/>
        <v>108480</v>
      </c>
      <c r="O210" s="142">
        <f t="shared" si="37"/>
        <v>95461</v>
      </c>
      <c r="P210" s="142">
        <f t="shared" si="37"/>
        <v>8855</v>
      </c>
      <c r="Q210" s="142" t="str">
        <f t="shared" si="37"/>
        <v>-</v>
      </c>
      <c r="R210" s="142">
        <f t="shared" si="37"/>
        <v>212853</v>
      </c>
    </row>
    <row r="211" spans="1:18">
      <c r="A211" s="99">
        <v>1990</v>
      </c>
      <c r="B211" s="142" t="str">
        <f t="shared" si="36"/>
        <v>-</v>
      </c>
      <c r="C211" s="142" t="str">
        <f t="shared" si="36"/>
        <v>-</v>
      </c>
      <c r="D211" s="142">
        <f t="shared" si="36"/>
        <v>1501</v>
      </c>
      <c r="E211" s="142">
        <f t="shared" si="36"/>
        <v>12554</v>
      </c>
      <c r="F211" s="142">
        <f t="shared" si="36"/>
        <v>12329</v>
      </c>
      <c r="G211" s="142">
        <f t="shared" si="36"/>
        <v>3582</v>
      </c>
      <c r="H211" s="142" t="str">
        <f t="shared" si="36"/>
        <v>-</v>
      </c>
      <c r="I211" s="142">
        <f t="shared" si="36"/>
        <v>29966</v>
      </c>
      <c r="K211" s="142" t="str">
        <f t="shared" si="37"/>
        <v>-</v>
      </c>
      <c r="L211" s="142" t="str">
        <f t="shared" si="37"/>
        <v>-</v>
      </c>
      <c r="M211" s="142">
        <f t="shared" si="37"/>
        <v>12141</v>
      </c>
      <c r="N211" s="142">
        <f t="shared" si="37"/>
        <v>96302</v>
      </c>
      <c r="O211" s="142">
        <f t="shared" si="37"/>
        <v>90958</v>
      </c>
      <c r="P211" s="142">
        <f t="shared" si="37"/>
        <v>25422</v>
      </c>
      <c r="Q211" s="142" t="str">
        <f t="shared" si="37"/>
        <v>-</v>
      </c>
      <c r="R211" s="142">
        <f t="shared" si="37"/>
        <v>224823</v>
      </c>
    </row>
    <row r="212" spans="1:18" ht="13">
      <c r="A212" s="99" t="s">
        <v>203</v>
      </c>
      <c r="B212" s="142" t="str">
        <f t="shared" si="36"/>
        <v>-</v>
      </c>
      <c r="C212" s="142" t="str">
        <f t="shared" si="36"/>
        <v>-</v>
      </c>
      <c r="D212" s="142">
        <f t="shared" si="36"/>
        <v>2082</v>
      </c>
      <c r="E212" s="142">
        <f t="shared" si="36"/>
        <v>7740</v>
      </c>
      <c r="F212" s="142">
        <f t="shared" si="36"/>
        <v>2586</v>
      </c>
      <c r="G212" s="142">
        <f t="shared" si="36"/>
        <v>261</v>
      </c>
      <c r="H212" s="142" t="str">
        <f t="shared" si="36"/>
        <v>-</v>
      </c>
      <c r="I212" s="142">
        <f t="shared" si="36"/>
        <v>12669</v>
      </c>
      <c r="K212" s="142" t="str">
        <f t="shared" si="37"/>
        <v>-</v>
      </c>
      <c r="L212" s="142" t="str">
        <f t="shared" si="37"/>
        <v>-</v>
      </c>
      <c r="M212" s="142">
        <f t="shared" si="37"/>
        <v>12247</v>
      </c>
      <c r="N212" s="142">
        <f t="shared" si="37"/>
        <v>134886</v>
      </c>
      <c r="O212" s="142">
        <f t="shared" si="37"/>
        <v>46057</v>
      </c>
      <c r="P212" s="142">
        <f t="shared" si="37"/>
        <v>14503</v>
      </c>
      <c r="Q212" s="142" t="str">
        <f t="shared" si="37"/>
        <v>-</v>
      </c>
      <c r="R212" s="142">
        <f t="shared" si="37"/>
        <v>207693</v>
      </c>
    </row>
    <row r="213" spans="1:18" ht="13">
      <c r="A213" s="99" t="s">
        <v>204</v>
      </c>
      <c r="B213" s="142" t="str">
        <f t="shared" si="36"/>
        <v>-</v>
      </c>
      <c r="C213" s="142">
        <f t="shared" si="36"/>
        <v>118</v>
      </c>
      <c r="D213" s="142">
        <f t="shared" si="36"/>
        <v>0</v>
      </c>
      <c r="E213" s="142">
        <f t="shared" si="36"/>
        <v>9038</v>
      </c>
      <c r="F213" s="142">
        <f t="shared" si="36"/>
        <v>6521</v>
      </c>
      <c r="G213" s="142">
        <f t="shared" si="36"/>
        <v>2535</v>
      </c>
      <c r="H213" s="142">
        <f t="shared" si="36"/>
        <v>215</v>
      </c>
      <c r="I213" s="142">
        <f t="shared" si="36"/>
        <v>18427</v>
      </c>
      <c r="K213" s="142" t="str">
        <f t="shared" si="37"/>
        <v>-</v>
      </c>
      <c r="L213" s="142">
        <f t="shared" si="37"/>
        <v>32</v>
      </c>
      <c r="M213" s="142">
        <f t="shared" si="37"/>
        <v>0</v>
      </c>
      <c r="N213" s="142">
        <f t="shared" si="37"/>
        <v>68285</v>
      </c>
      <c r="O213" s="142">
        <f t="shared" si="37"/>
        <v>44393</v>
      </c>
      <c r="P213" s="142">
        <f t="shared" si="37"/>
        <v>10521</v>
      </c>
      <c r="Q213" s="142">
        <f t="shared" si="37"/>
        <v>324</v>
      </c>
      <c r="R213" s="142">
        <f t="shared" si="37"/>
        <v>123555</v>
      </c>
    </row>
    <row r="214" spans="1:18" ht="13">
      <c r="A214" s="99" t="s">
        <v>205</v>
      </c>
      <c r="B214" s="142" t="str">
        <f t="shared" si="36"/>
        <v>-</v>
      </c>
      <c r="C214" s="142">
        <f t="shared" si="36"/>
        <v>178</v>
      </c>
      <c r="D214" s="142" t="str">
        <f t="shared" si="36"/>
        <v>-</v>
      </c>
      <c r="E214" s="142">
        <f t="shared" si="36"/>
        <v>3205</v>
      </c>
      <c r="F214" s="142">
        <f t="shared" si="36"/>
        <v>5554</v>
      </c>
      <c r="G214" s="142">
        <f t="shared" si="36"/>
        <v>4081</v>
      </c>
      <c r="H214" s="142" t="str">
        <f t="shared" si="36"/>
        <v>-</v>
      </c>
      <c r="I214" s="142">
        <f t="shared" si="36"/>
        <v>13018</v>
      </c>
      <c r="K214" s="142" t="str">
        <f t="shared" si="37"/>
        <v>-</v>
      </c>
      <c r="L214" s="142">
        <f t="shared" si="37"/>
        <v>48</v>
      </c>
      <c r="M214" s="142" t="str">
        <f t="shared" si="37"/>
        <v>-</v>
      </c>
      <c r="N214" s="142">
        <f t="shared" si="37"/>
        <v>43967</v>
      </c>
      <c r="O214" s="142">
        <f t="shared" si="37"/>
        <v>55683</v>
      </c>
      <c r="P214" s="142">
        <f t="shared" si="37"/>
        <v>26257</v>
      </c>
      <c r="Q214" s="142" t="str">
        <f t="shared" si="37"/>
        <v>-</v>
      </c>
      <c r="R214" s="142">
        <f t="shared" si="37"/>
        <v>125955</v>
      </c>
    </row>
    <row r="215" spans="1:18">
      <c r="A215" s="99">
        <v>1994</v>
      </c>
      <c r="B215" s="142" t="str">
        <f t="shared" si="36"/>
        <v>-</v>
      </c>
      <c r="C215" s="142" t="str">
        <f t="shared" si="36"/>
        <v>-</v>
      </c>
      <c r="D215" s="142" t="str">
        <f t="shared" si="36"/>
        <v>-</v>
      </c>
      <c r="E215" s="142" t="str">
        <f t="shared" si="36"/>
        <v>-</v>
      </c>
      <c r="F215" s="142" t="str">
        <f t="shared" si="36"/>
        <v>-</v>
      </c>
      <c r="G215" s="142" t="str">
        <f t="shared" si="36"/>
        <v>-</v>
      </c>
      <c r="H215" s="142" t="str">
        <f t="shared" si="36"/>
        <v>-</v>
      </c>
      <c r="I215" s="142" t="str">
        <f t="shared" si="36"/>
        <v>-</v>
      </c>
      <c r="K215" s="142" t="str">
        <f t="shared" si="37"/>
        <v>-</v>
      </c>
      <c r="L215" s="142" t="str">
        <f t="shared" si="37"/>
        <v>-</v>
      </c>
      <c r="M215" s="142" t="str">
        <f t="shared" si="37"/>
        <v>-</v>
      </c>
      <c r="N215" s="142" t="str">
        <f t="shared" si="37"/>
        <v>-</v>
      </c>
      <c r="O215" s="142" t="str">
        <f t="shared" si="37"/>
        <v>-</v>
      </c>
      <c r="P215" s="142" t="str">
        <f t="shared" si="37"/>
        <v>-</v>
      </c>
      <c r="Q215" s="142" t="str">
        <f t="shared" si="37"/>
        <v>-</v>
      </c>
      <c r="R215" s="142" t="str">
        <f t="shared" si="37"/>
        <v>-</v>
      </c>
    </row>
    <row r="216" spans="1:18">
      <c r="A216" s="99">
        <v>1995</v>
      </c>
      <c r="B216" s="142" t="str">
        <f t="shared" si="36"/>
        <v>-</v>
      </c>
      <c r="C216" s="142" t="str">
        <f t="shared" si="36"/>
        <v>-</v>
      </c>
      <c r="D216" s="142" t="str">
        <f t="shared" si="36"/>
        <v>-</v>
      </c>
      <c r="E216" s="142">
        <f t="shared" si="36"/>
        <v>52</v>
      </c>
      <c r="F216" s="142">
        <f t="shared" si="36"/>
        <v>363</v>
      </c>
      <c r="G216" s="142">
        <f t="shared" si="36"/>
        <v>94</v>
      </c>
      <c r="H216" s="142" t="str">
        <f t="shared" si="36"/>
        <v>-</v>
      </c>
      <c r="I216" s="142">
        <f t="shared" si="36"/>
        <v>509</v>
      </c>
      <c r="K216" s="142" t="str">
        <f t="shared" si="37"/>
        <v>-</v>
      </c>
      <c r="L216" s="142" t="str">
        <f t="shared" si="37"/>
        <v>-</v>
      </c>
      <c r="M216" s="142" t="str">
        <f t="shared" si="37"/>
        <v>-</v>
      </c>
      <c r="N216" s="142">
        <f t="shared" si="37"/>
        <v>7200</v>
      </c>
      <c r="O216" s="142">
        <f t="shared" si="37"/>
        <v>45545</v>
      </c>
      <c r="P216" s="142">
        <f t="shared" si="37"/>
        <v>15507</v>
      </c>
      <c r="Q216" s="142" t="str">
        <f t="shared" si="37"/>
        <v>-</v>
      </c>
      <c r="R216" s="142">
        <f t="shared" si="37"/>
        <v>68252</v>
      </c>
    </row>
    <row r="217" spans="1:18" ht="13">
      <c r="A217" s="99" t="s">
        <v>206</v>
      </c>
      <c r="B217" s="142" t="str">
        <f t="shared" ref="B217:I226" si="38">IF(AND(B169="-",B121="-",B73="-",B25="-"),"-",SUM(B169,B121,B73,B25))</f>
        <v>-</v>
      </c>
      <c r="C217" s="142" t="str">
        <f t="shared" si="38"/>
        <v>-</v>
      </c>
      <c r="D217" s="142" t="str">
        <f t="shared" si="38"/>
        <v>-</v>
      </c>
      <c r="E217" s="142">
        <f t="shared" si="38"/>
        <v>30</v>
      </c>
      <c r="F217" s="142">
        <f t="shared" si="38"/>
        <v>105</v>
      </c>
      <c r="G217" s="142">
        <f t="shared" si="38"/>
        <v>42</v>
      </c>
      <c r="H217" s="142" t="str">
        <f t="shared" si="38"/>
        <v>-</v>
      </c>
      <c r="I217" s="142">
        <f t="shared" si="38"/>
        <v>177</v>
      </c>
      <c r="K217" s="142" t="str">
        <f t="shared" ref="K217:R226" si="39">IF(AND(K169="-",K121="-",K73="-",K25="-"),"-",SUM(K169,K121,K73,K25))</f>
        <v>-</v>
      </c>
      <c r="L217" s="142" t="str">
        <f t="shared" si="39"/>
        <v>-</v>
      </c>
      <c r="M217" s="142" t="str">
        <f t="shared" si="39"/>
        <v>-</v>
      </c>
      <c r="N217" s="142">
        <f t="shared" si="39"/>
        <v>10640</v>
      </c>
      <c r="O217" s="142">
        <f t="shared" si="39"/>
        <v>32607</v>
      </c>
      <c r="P217" s="142">
        <f t="shared" si="39"/>
        <v>8186</v>
      </c>
      <c r="Q217" s="142" t="str">
        <f t="shared" si="39"/>
        <v>-</v>
      </c>
      <c r="R217" s="142">
        <f t="shared" si="39"/>
        <v>51433</v>
      </c>
    </row>
    <row r="218" spans="1:18" ht="13">
      <c r="A218" s="99" t="s">
        <v>207</v>
      </c>
      <c r="B218" s="142" t="str">
        <f t="shared" si="38"/>
        <v>-</v>
      </c>
      <c r="C218" s="142" t="str">
        <f t="shared" si="38"/>
        <v>-</v>
      </c>
      <c r="D218" s="142" t="str">
        <f t="shared" si="38"/>
        <v>-</v>
      </c>
      <c r="E218" s="142">
        <f t="shared" si="38"/>
        <v>1898</v>
      </c>
      <c r="F218" s="142">
        <f t="shared" si="38"/>
        <v>1756</v>
      </c>
      <c r="G218" s="142">
        <f t="shared" si="38"/>
        <v>315</v>
      </c>
      <c r="H218" s="142" t="str">
        <f t="shared" si="38"/>
        <v>-</v>
      </c>
      <c r="I218" s="142">
        <f t="shared" si="38"/>
        <v>3969</v>
      </c>
      <c r="K218" s="142" t="str">
        <f t="shared" si="39"/>
        <v>-</v>
      </c>
      <c r="L218" s="142" t="str">
        <f t="shared" si="39"/>
        <v>-</v>
      </c>
      <c r="M218" s="142" t="str">
        <f t="shared" si="39"/>
        <v>-</v>
      </c>
      <c r="N218" s="142">
        <f t="shared" si="39"/>
        <v>14380</v>
      </c>
      <c r="O218" s="142">
        <f t="shared" si="39"/>
        <v>11958</v>
      </c>
      <c r="P218" s="142">
        <f t="shared" si="39"/>
        <v>424</v>
      </c>
      <c r="Q218" s="142" t="str">
        <f t="shared" si="39"/>
        <v>-</v>
      </c>
      <c r="R218" s="142">
        <f t="shared" si="39"/>
        <v>26762</v>
      </c>
    </row>
    <row r="219" spans="1:18" ht="13">
      <c r="A219" s="99" t="s">
        <v>208</v>
      </c>
      <c r="B219" s="142" t="str">
        <f t="shared" si="38"/>
        <v>-</v>
      </c>
      <c r="C219" s="142" t="str">
        <f t="shared" si="38"/>
        <v>-</v>
      </c>
      <c r="D219" s="142" t="str">
        <f t="shared" si="38"/>
        <v>-</v>
      </c>
      <c r="E219" s="142" t="str">
        <f t="shared" si="38"/>
        <v>-</v>
      </c>
      <c r="F219" s="142">
        <f t="shared" si="38"/>
        <v>1917</v>
      </c>
      <c r="G219" s="142">
        <f t="shared" si="38"/>
        <v>270</v>
      </c>
      <c r="H219" s="142" t="str">
        <f t="shared" si="38"/>
        <v>-</v>
      </c>
      <c r="I219" s="142">
        <f t="shared" si="38"/>
        <v>2187</v>
      </c>
      <c r="K219" s="142" t="str">
        <f t="shared" si="39"/>
        <v>-</v>
      </c>
      <c r="L219" s="142" t="str">
        <f t="shared" si="39"/>
        <v>-</v>
      </c>
      <c r="M219" s="142" t="str">
        <f t="shared" si="39"/>
        <v>-</v>
      </c>
      <c r="N219" s="142" t="str">
        <f t="shared" si="39"/>
        <v>-</v>
      </c>
      <c r="O219" s="142">
        <f t="shared" si="39"/>
        <v>19292</v>
      </c>
      <c r="P219" s="142">
        <f t="shared" si="39"/>
        <v>1414</v>
      </c>
      <c r="Q219" s="142" t="str">
        <f t="shared" si="39"/>
        <v>-</v>
      </c>
      <c r="R219" s="142">
        <f t="shared" si="39"/>
        <v>20706</v>
      </c>
    </row>
    <row r="220" spans="1:18">
      <c r="A220" s="99">
        <v>1999</v>
      </c>
      <c r="B220" s="142" t="str">
        <f t="shared" si="38"/>
        <v>-</v>
      </c>
      <c r="C220" s="142" t="str">
        <f t="shared" si="38"/>
        <v>-</v>
      </c>
      <c r="D220" s="142" t="str">
        <f t="shared" si="38"/>
        <v>-</v>
      </c>
      <c r="E220" s="142">
        <f t="shared" si="38"/>
        <v>3162</v>
      </c>
      <c r="F220" s="142">
        <f t="shared" si="38"/>
        <v>5098</v>
      </c>
      <c r="G220" s="142">
        <f t="shared" si="38"/>
        <v>1627</v>
      </c>
      <c r="H220" s="142" t="str">
        <f t="shared" si="38"/>
        <v>-</v>
      </c>
      <c r="I220" s="142">
        <f t="shared" si="38"/>
        <v>9887</v>
      </c>
      <c r="K220" s="142" t="str">
        <f t="shared" si="39"/>
        <v>-</v>
      </c>
      <c r="L220" s="142" t="str">
        <f t="shared" si="39"/>
        <v>-</v>
      </c>
      <c r="M220" s="142" t="str">
        <f t="shared" si="39"/>
        <v>-</v>
      </c>
      <c r="N220" s="142">
        <f t="shared" si="39"/>
        <v>11348</v>
      </c>
      <c r="O220" s="142">
        <f t="shared" si="39"/>
        <v>21031</v>
      </c>
      <c r="P220" s="142">
        <f t="shared" si="39"/>
        <v>7746</v>
      </c>
      <c r="Q220" s="142" t="str">
        <f t="shared" si="39"/>
        <v>-</v>
      </c>
      <c r="R220" s="142">
        <f t="shared" si="39"/>
        <v>40125</v>
      </c>
    </row>
    <row r="221" spans="1:18" ht="13">
      <c r="A221" s="99" t="s">
        <v>209</v>
      </c>
      <c r="B221" s="142" t="str">
        <f t="shared" si="38"/>
        <v>-</v>
      </c>
      <c r="C221" s="142" t="str">
        <f t="shared" si="38"/>
        <v>-</v>
      </c>
      <c r="D221" s="142" t="str">
        <f t="shared" si="38"/>
        <v>-</v>
      </c>
      <c r="E221" s="142">
        <f t="shared" si="38"/>
        <v>5320</v>
      </c>
      <c r="F221" s="142">
        <f t="shared" si="38"/>
        <v>3158</v>
      </c>
      <c r="G221" s="142" t="str">
        <f t="shared" si="38"/>
        <v>-</v>
      </c>
      <c r="H221" s="142" t="str">
        <f t="shared" si="38"/>
        <v>-</v>
      </c>
      <c r="I221" s="142">
        <f t="shared" si="38"/>
        <v>8478</v>
      </c>
      <c r="K221" s="142" t="str">
        <f t="shared" si="39"/>
        <v>-</v>
      </c>
      <c r="L221" s="142" t="str">
        <f t="shared" si="39"/>
        <v>-</v>
      </c>
      <c r="M221" s="142" t="str">
        <f t="shared" si="39"/>
        <v>-</v>
      </c>
      <c r="N221" s="142">
        <f t="shared" si="39"/>
        <v>34577</v>
      </c>
      <c r="O221" s="142">
        <f t="shared" si="39"/>
        <v>31555</v>
      </c>
      <c r="P221" s="142">
        <f t="shared" si="39"/>
        <v>2067</v>
      </c>
      <c r="Q221" s="142" t="str">
        <f t="shared" si="39"/>
        <v>-</v>
      </c>
      <c r="R221" s="142">
        <f t="shared" si="39"/>
        <v>68199</v>
      </c>
    </row>
    <row r="222" spans="1:18">
      <c r="A222" s="99">
        <v>2001</v>
      </c>
      <c r="B222" s="142" t="str">
        <f t="shared" si="38"/>
        <v>-</v>
      </c>
      <c r="C222" s="142" t="str">
        <f t="shared" si="38"/>
        <v>-</v>
      </c>
      <c r="D222" s="142" t="str">
        <f t="shared" si="38"/>
        <v>-</v>
      </c>
      <c r="E222" s="142">
        <f t="shared" si="38"/>
        <v>15885</v>
      </c>
      <c r="F222" s="142">
        <f t="shared" si="38"/>
        <v>5524</v>
      </c>
      <c r="G222" s="142">
        <f t="shared" si="38"/>
        <v>1465</v>
      </c>
      <c r="H222" s="142">
        <f t="shared" si="38"/>
        <v>100</v>
      </c>
      <c r="I222" s="142">
        <f t="shared" si="38"/>
        <v>22974</v>
      </c>
      <c r="K222" s="142" t="str">
        <f t="shared" si="39"/>
        <v>-</v>
      </c>
      <c r="L222" s="142" t="str">
        <f t="shared" si="39"/>
        <v>-</v>
      </c>
      <c r="M222" s="142" t="str">
        <f t="shared" si="39"/>
        <v>-</v>
      </c>
      <c r="N222" s="142">
        <f t="shared" si="39"/>
        <v>75322</v>
      </c>
      <c r="O222" s="142">
        <f t="shared" si="39"/>
        <v>67767</v>
      </c>
      <c r="P222" s="142">
        <f t="shared" si="39"/>
        <v>24958</v>
      </c>
      <c r="Q222" s="142">
        <f t="shared" si="39"/>
        <v>15</v>
      </c>
      <c r="R222" s="142">
        <f t="shared" si="39"/>
        <v>168062</v>
      </c>
    </row>
    <row r="223" spans="1:18">
      <c r="A223" s="99">
        <v>2002</v>
      </c>
      <c r="B223" s="142" t="str">
        <f t="shared" si="38"/>
        <v>-</v>
      </c>
      <c r="C223" s="142">
        <f t="shared" si="38"/>
        <v>2607</v>
      </c>
      <c r="D223" s="142">
        <f t="shared" si="38"/>
        <v>17152</v>
      </c>
      <c r="E223" s="142">
        <f t="shared" si="38"/>
        <v>25364</v>
      </c>
      <c r="F223" s="142">
        <f t="shared" si="38"/>
        <v>12455</v>
      </c>
      <c r="G223" s="142">
        <f t="shared" si="38"/>
        <v>200</v>
      </c>
      <c r="H223" s="142">
        <f t="shared" si="38"/>
        <v>43</v>
      </c>
      <c r="I223" s="142">
        <f t="shared" si="38"/>
        <v>57821</v>
      </c>
      <c r="K223" s="142" t="str">
        <f t="shared" si="39"/>
        <v>-</v>
      </c>
      <c r="L223" s="142">
        <f t="shared" si="39"/>
        <v>5</v>
      </c>
      <c r="M223" s="142">
        <f t="shared" si="39"/>
        <v>301</v>
      </c>
      <c r="N223" s="142">
        <f t="shared" si="39"/>
        <v>20463</v>
      </c>
      <c r="O223" s="142">
        <f t="shared" si="39"/>
        <v>41188</v>
      </c>
      <c r="P223" s="142">
        <f t="shared" si="39"/>
        <v>12173</v>
      </c>
      <c r="Q223" s="142">
        <f t="shared" si="39"/>
        <v>4</v>
      </c>
      <c r="R223" s="142">
        <f t="shared" si="39"/>
        <v>74134</v>
      </c>
    </row>
    <row r="224" spans="1:18">
      <c r="A224" s="99">
        <v>2003</v>
      </c>
      <c r="B224" s="142" t="str">
        <f t="shared" si="38"/>
        <v>-</v>
      </c>
      <c r="C224" s="142" t="str">
        <f t="shared" si="38"/>
        <v>-</v>
      </c>
      <c r="D224" s="142">
        <f t="shared" si="38"/>
        <v>2733</v>
      </c>
      <c r="E224" s="142">
        <f t="shared" si="38"/>
        <v>14457</v>
      </c>
      <c r="F224" s="142">
        <f t="shared" si="38"/>
        <v>14313</v>
      </c>
      <c r="G224" s="142">
        <f t="shared" si="38"/>
        <v>2618</v>
      </c>
      <c r="H224" s="142">
        <f t="shared" si="38"/>
        <v>62</v>
      </c>
      <c r="I224" s="142">
        <f t="shared" si="38"/>
        <v>34183</v>
      </c>
      <c r="K224" s="142" t="str">
        <f t="shared" si="39"/>
        <v>-</v>
      </c>
      <c r="L224" s="142" t="str">
        <f t="shared" si="39"/>
        <v>-</v>
      </c>
      <c r="M224" s="142">
        <f t="shared" si="39"/>
        <v>4235</v>
      </c>
      <c r="N224" s="142">
        <f t="shared" si="39"/>
        <v>49909</v>
      </c>
      <c r="O224" s="142">
        <f t="shared" si="39"/>
        <v>71323</v>
      </c>
      <c r="P224" s="142">
        <f t="shared" si="39"/>
        <v>13617</v>
      </c>
      <c r="Q224" s="142">
        <f t="shared" si="39"/>
        <v>12</v>
      </c>
      <c r="R224" s="142">
        <f t="shared" si="39"/>
        <v>139096</v>
      </c>
    </row>
    <row r="225" spans="1:18">
      <c r="A225" s="99">
        <v>2004</v>
      </c>
      <c r="B225" s="142" t="str">
        <f t="shared" si="38"/>
        <v>-</v>
      </c>
      <c r="C225" s="142" t="str">
        <f t="shared" si="38"/>
        <v>-</v>
      </c>
      <c r="D225" s="142">
        <f t="shared" si="38"/>
        <v>549</v>
      </c>
      <c r="E225" s="142">
        <f t="shared" si="38"/>
        <v>9822</v>
      </c>
      <c r="F225" s="142">
        <f t="shared" si="38"/>
        <v>11016</v>
      </c>
      <c r="G225" s="142">
        <f t="shared" si="38"/>
        <v>3520</v>
      </c>
      <c r="H225" s="142">
        <f t="shared" si="38"/>
        <v>6</v>
      </c>
      <c r="I225" s="142">
        <f t="shared" si="38"/>
        <v>24907</v>
      </c>
      <c r="K225" s="142" t="str">
        <f t="shared" si="39"/>
        <v>-</v>
      </c>
      <c r="L225" s="142" t="str">
        <f t="shared" si="39"/>
        <v>-</v>
      </c>
      <c r="M225" s="142">
        <f t="shared" si="39"/>
        <v>2516</v>
      </c>
      <c r="N225" s="142">
        <f t="shared" si="39"/>
        <v>39888</v>
      </c>
      <c r="O225" s="142">
        <f t="shared" si="39"/>
        <v>54628</v>
      </c>
      <c r="P225" s="142">
        <f t="shared" si="39"/>
        <v>15901</v>
      </c>
      <c r="Q225" s="142">
        <f t="shared" si="39"/>
        <v>3</v>
      </c>
      <c r="R225" s="142">
        <f t="shared" si="39"/>
        <v>112936</v>
      </c>
    </row>
    <row r="226" spans="1:18">
      <c r="A226" s="99">
        <v>2005</v>
      </c>
      <c r="B226" s="142" t="str">
        <f t="shared" si="38"/>
        <v>-</v>
      </c>
      <c r="C226" s="142" t="str">
        <f t="shared" si="38"/>
        <v>-</v>
      </c>
      <c r="D226" s="142">
        <f t="shared" si="38"/>
        <v>364</v>
      </c>
      <c r="E226" s="142">
        <f t="shared" si="38"/>
        <v>9278.4236039019888</v>
      </c>
      <c r="F226" s="142">
        <f t="shared" si="38"/>
        <v>20191.399514076762</v>
      </c>
      <c r="G226" s="142">
        <f t="shared" si="38"/>
        <v>6491.9502311670931</v>
      </c>
      <c r="H226" s="142">
        <f t="shared" si="38"/>
        <v>43</v>
      </c>
      <c r="I226" s="142">
        <f t="shared" si="38"/>
        <v>36368.773349145842</v>
      </c>
      <c r="K226" s="142" t="str">
        <f t="shared" si="39"/>
        <v>-</v>
      </c>
      <c r="L226" s="142" t="str">
        <f t="shared" si="39"/>
        <v>-</v>
      </c>
      <c r="M226" s="142">
        <f t="shared" si="39"/>
        <v>126</v>
      </c>
      <c r="N226" s="142">
        <f t="shared" si="39"/>
        <v>17445.76608873891</v>
      </c>
      <c r="O226" s="142">
        <f t="shared" si="39"/>
        <v>25750.151707361139</v>
      </c>
      <c r="P226" s="142">
        <f t="shared" si="39"/>
        <v>8429.6344315132774</v>
      </c>
      <c r="Q226" s="142">
        <f t="shared" si="39"/>
        <v>18</v>
      </c>
      <c r="R226" s="142">
        <f t="shared" si="39"/>
        <v>51769.552227613327</v>
      </c>
    </row>
    <row r="227" spans="1:18">
      <c r="A227" s="99">
        <v>2006</v>
      </c>
      <c r="B227" s="142" t="str">
        <f t="shared" ref="B227:I236" si="40">IF(AND(B179="-",B131="-",B83="-",B35="-"),"-",SUM(B179,B131,B83,B35))</f>
        <v>-</v>
      </c>
      <c r="C227" s="142" t="str">
        <f t="shared" si="40"/>
        <v>-</v>
      </c>
      <c r="D227" s="142">
        <f t="shared" si="40"/>
        <v>202.26999999999998</v>
      </c>
      <c r="E227" s="142">
        <f t="shared" si="40"/>
        <v>3751.4300000000003</v>
      </c>
      <c r="F227" s="142">
        <f t="shared" si="40"/>
        <v>5670.1</v>
      </c>
      <c r="G227" s="142">
        <f t="shared" si="40"/>
        <v>953.02</v>
      </c>
      <c r="H227" s="142">
        <f t="shared" si="40"/>
        <v>90.54</v>
      </c>
      <c r="I227" s="142">
        <f t="shared" si="40"/>
        <v>10667.36</v>
      </c>
      <c r="K227" s="142" t="str">
        <f t="shared" ref="K227:R236" si="41">IF(AND(K179="-",K131="-",K83="-",K35="-"),"-",SUM(K179,K131,K83,K35))</f>
        <v>-</v>
      </c>
      <c r="L227" s="142" t="str">
        <f t="shared" si="41"/>
        <v>-</v>
      </c>
      <c r="M227" s="142">
        <f t="shared" si="41"/>
        <v>416.05</v>
      </c>
      <c r="N227" s="142">
        <f t="shared" si="41"/>
        <v>13047.27</v>
      </c>
      <c r="O227" s="142">
        <f t="shared" si="41"/>
        <v>20508.91</v>
      </c>
      <c r="P227" s="142">
        <f t="shared" si="41"/>
        <v>2112.1999999999998</v>
      </c>
      <c r="Q227" s="142">
        <f t="shared" si="41"/>
        <v>2.4</v>
      </c>
      <c r="R227" s="142">
        <f t="shared" si="41"/>
        <v>36086.829999999994</v>
      </c>
    </row>
    <row r="228" spans="1:18">
      <c r="A228" s="99">
        <v>2007</v>
      </c>
      <c r="B228" s="142" t="str">
        <f t="shared" si="40"/>
        <v>-</v>
      </c>
      <c r="C228" s="142" t="str">
        <f t="shared" si="40"/>
        <v>-</v>
      </c>
      <c r="D228" s="142" t="str">
        <f t="shared" si="40"/>
        <v>-</v>
      </c>
      <c r="E228" s="142">
        <f t="shared" si="40"/>
        <v>4096.7299999999996</v>
      </c>
      <c r="F228" s="142">
        <f t="shared" si="40"/>
        <v>4362.41</v>
      </c>
      <c r="G228" s="142">
        <f t="shared" si="40"/>
        <v>484.65000000000003</v>
      </c>
      <c r="H228" s="142">
        <f t="shared" si="40"/>
        <v>0</v>
      </c>
      <c r="I228" s="142">
        <f t="shared" si="40"/>
        <v>8943.7900000000009</v>
      </c>
      <c r="K228" s="142" t="str">
        <f t="shared" si="41"/>
        <v>-</v>
      </c>
      <c r="L228" s="142" t="str">
        <f t="shared" si="41"/>
        <v>-</v>
      </c>
      <c r="M228" s="142" t="str">
        <f t="shared" si="41"/>
        <v>-</v>
      </c>
      <c r="N228" s="142">
        <f t="shared" si="41"/>
        <v>25198.18</v>
      </c>
      <c r="O228" s="142">
        <f t="shared" si="41"/>
        <v>53479.48</v>
      </c>
      <c r="P228" s="142">
        <f t="shared" si="41"/>
        <v>5109.9399999999996</v>
      </c>
      <c r="Q228" s="142">
        <f t="shared" si="41"/>
        <v>0</v>
      </c>
      <c r="R228" s="142">
        <f t="shared" si="41"/>
        <v>83787.600000000006</v>
      </c>
    </row>
    <row r="229" spans="1:18">
      <c r="A229" s="99">
        <v>2008</v>
      </c>
      <c r="B229" s="142" t="str">
        <f t="shared" si="40"/>
        <v>-</v>
      </c>
      <c r="C229" s="142" t="str">
        <f t="shared" si="40"/>
        <v>-</v>
      </c>
      <c r="D229" s="142">
        <f t="shared" si="40"/>
        <v>3010.5499999999997</v>
      </c>
      <c r="E229" s="142">
        <f t="shared" si="40"/>
        <v>6593.7000000000007</v>
      </c>
      <c r="F229" s="142">
        <f t="shared" si="40"/>
        <v>4610.58</v>
      </c>
      <c r="G229" s="142">
        <f t="shared" si="40"/>
        <v>413.91</v>
      </c>
      <c r="H229" s="142">
        <f t="shared" si="40"/>
        <v>6.25</v>
      </c>
      <c r="I229" s="142">
        <f t="shared" si="40"/>
        <v>14634.99</v>
      </c>
      <c r="K229" s="142" t="str">
        <f t="shared" si="41"/>
        <v>-</v>
      </c>
      <c r="L229" s="142" t="str">
        <f t="shared" si="41"/>
        <v>-</v>
      </c>
      <c r="M229" s="142">
        <f t="shared" si="41"/>
        <v>360.27</v>
      </c>
      <c r="N229" s="142">
        <f t="shared" si="41"/>
        <v>6668.81</v>
      </c>
      <c r="O229" s="142">
        <f t="shared" si="41"/>
        <v>10087.61</v>
      </c>
      <c r="P229" s="142">
        <f t="shared" si="41"/>
        <v>1751.83</v>
      </c>
      <c r="Q229" s="142">
        <f t="shared" si="41"/>
        <v>1.25</v>
      </c>
      <c r="R229" s="142">
        <f t="shared" si="41"/>
        <v>18869.769999999997</v>
      </c>
    </row>
    <row r="230" spans="1:18">
      <c r="A230" s="99">
        <v>2009</v>
      </c>
      <c r="B230" s="142" t="str">
        <f t="shared" si="40"/>
        <v>-</v>
      </c>
      <c r="C230" s="142" t="str">
        <f t="shared" si="40"/>
        <v>-</v>
      </c>
      <c r="D230" s="142">
        <f t="shared" si="40"/>
        <v>192.07</v>
      </c>
      <c r="E230" s="142">
        <f t="shared" si="40"/>
        <v>4476.21</v>
      </c>
      <c r="F230" s="142">
        <f t="shared" si="40"/>
        <v>7232.51</v>
      </c>
      <c r="G230" s="142">
        <f t="shared" si="40"/>
        <v>353.34</v>
      </c>
      <c r="H230" s="142">
        <f t="shared" si="40"/>
        <v>96.78</v>
      </c>
      <c r="I230" s="142">
        <f t="shared" si="40"/>
        <v>12350.91</v>
      </c>
      <c r="K230" s="142" t="str">
        <f t="shared" si="41"/>
        <v>-</v>
      </c>
      <c r="L230" s="142" t="str">
        <f t="shared" si="41"/>
        <v>-</v>
      </c>
      <c r="M230" s="142">
        <f t="shared" si="41"/>
        <v>1156.9899999999998</v>
      </c>
      <c r="N230" s="142">
        <f t="shared" si="41"/>
        <v>34742.130000000005</v>
      </c>
      <c r="O230" s="142">
        <f t="shared" si="41"/>
        <v>90204.34</v>
      </c>
      <c r="P230" s="142">
        <f t="shared" si="41"/>
        <v>12296.859999999999</v>
      </c>
      <c r="Q230" s="142">
        <f t="shared" si="41"/>
        <v>92.41</v>
      </c>
      <c r="R230" s="142">
        <f t="shared" si="41"/>
        <v>138492.73000000001</v>
      </c>
    </row>
    <row r="231" spans="1:18">
      <c r="A231" s="99">
        <v>2010</v>
      </c>
      <c r="B231" s="142" t="str">
        <f t="shared" si="40"/>
        <v>-</v>
      </c>
      <c r="C231" s="142" t="str">
        <f t="shared" si="40"/>
        <v>-</v>
      </c>
      <c r="D231" s="142">
        <f t="shared" si="40"/>
        <v>4999.8100000000004</v>
      </c>
      <c r="E231" s="142">
        <f t="shared" si="40"/>
        <v>13299.04</v>
      </c>
      <c r="F231" s="142">
        <f t="shared" si="40"/>
        <v>16341.37</v>
      </c>
      <c r="G231" s="142">
        <f t="shared" si="40"/>
        <v>2188.96</v>
      </c>
      <c r="H231" s="142">
        <f t="shared" si="40"/>
        <v>44.95</v>
      </c>
      <c r="I231" s="142">
        <f t="shared" si="40"/>
        <v>36874.129999999997</v>
      </c>
      <c r="K231" s="142" t="str">
        <f t="shared" si="41"/>
        <v>-</v>
      </c>
      <c r="L231" s="142" t="str">
        <f t="shared" si="41"/>
        <v>-</v>
      </c>
      <c r="M231" s="142">
        <f t="shared" si="41"/>
        <v>47.38</v>
      </c>
      <c r="N231" s="142">
        <f t="shared" si="41"/>
        <v>12247.39</v>
      </c>
      <c r="O231" s="142">
        <f t="shared" si="41"/>
        <v>17999.410000000003</v>
      </c>
      <c r="P231" s="142">
        <f t="shared" si="41"/>
        <v>5947.2499999999991</v>
      </c>
      <c r="Q231" s="142">
        <f t="shared" si="41"/>
        <v>36.76</v>
      </c>
      <c r="R231" s="142">
        <f t="shared" si="41"/>
        <v>36278.19</v>
      </c>
    </row>
    <row r="232" spans="1:18">
      <c r="A232" s="99">
        <v>2011</v>
      </c>
      <c r="B232" s="142" t="str">
        <f t="shared" si="40"/>
        <v>-</v>
      </c>
      <c r="C232" s="142" t="str">
        <f t="shared" si="40"/>
        <v>-</v>
      </c>
      <c r="D232" s="142">
        <f t="shared" si="40"/>
        <v>2860.82</v>
      </c>
      <c r="E232" s="142">
        <f t="shared" si="40"/>
        <v>8270.7599999999984</v>
      </c>
      <c r="F232" s="142">
        <f t="shared" si="40"/>
        <v>17177.82</v>
      </c>
      <c r="G232" s="142">
        <f t="shared" si="40"/>
        <v>888.87</v>
      </c>
      <c r="H232" s="142">
        <f t="shared" si="40"/>
        <v>5</v>
      </c>
      <c r="I232" s="142">
        <f t="shared" si="40"/>
        <v>29203.270000000004</v>
      </c>
      <c r="K232" s="142" t="str">
        <f t="shared" si="41"/>
        <v>-</v>
      </c>
      <c r="L232" s="142" t="str">
        <f t="shared" si="41"/>
        <v>-</v>
      </c>
      <c r="M232" s="142">
        <f t="shared" si="41"/>
        <v>619.72</v>
      </c>
      <c r="N232" s="142">
        <f t="shared" si="41"/>
        <v>12093.21</v>
      </c>
      <c r="O232" s="142">
        <f t="shared" si="41"/>
        <v>21372.17</v>
      </c>
      <c r="P232" s="142">
        <f t="shared" si="41"/>
        <v>5494.25</v>
      </c>
      <c r="Q232" s="142">
        <f t="shared" si="41"/>
        <v>2.4500000000000002</v>
      </c>
      <c r="R232" s="142">
        <f t="shared" si="41"/>
        <v>39581.799999999996</v>
      </c>
    </row>
    <row r="233" spans="1:18">
      <c r="A233" s="99">
        <v>2012</v>
      </c>
      <c r="B233" s="142" t="str">
        <f t="shared" si="40"/>
        <v>-</v>
      </c>
      <c r="C233" s="142" t="str">
        <f t="shared" si="40"/>
        <v>-</v>
      </c>
      <c r="D233" s="142">
        <f t="shared" si="40"/>
        <v>10264.960000000001</v>
      </c>
      <c r="E233" s="142">
        <f t="shared" si="40"/>
        <v>10219.549999999999</v>
      </c>
      <c r="F233" s="142">
        <f t="shared" si="40"/>
        <v>11016.12</v>
      </c>
      <c r="G233" s="142">
        <f t="shared" si="40"/>
        <v>2095.63</v>
      </c>
      <c r="H233" s="142">
        <f t="shared" si="40"/>
        <v>132.59</v>
      </c>
      <c r="I233" s="142">
        <f t="shared" si="40"/>
        <v>33728.850000000006</v>
      </c>
      <c r="K233" s="142" t="str">
        <f t="shared" si="41"/>
        <v>-</v>
      </c>
      <c r="L233" s="142" t="str">
        <f t="shared" si="41"/>
        <v>-</v>
      </c>
      <c r="M233" s="142">
        <f t="shared" si="41"/>
        <v>407.48</v>
      </c>
      <c r="N233" s="142">
        <f t="shared" si="41"/>
        <v>10296.51</v>
      </c>
      <c r="O233" s="142">
        <f t="shared" si="41"/>
        <v>11942.22</v>
      </c>
      <c r="P233" s="142">
        <f t="shared" si="41"/>
        <v>8767.2100000000009</v>
      </c>
      <c r="Q233" s="142">
        <f t="shared" si="41"/>
        <v>20.81</v>
      </c>
      <c r="R233" s="142">
        <f t="shared" si="41"/>
        <v>31434.230000000003</v>
      </c>
    </row>
    <row r="234" spans="1:18">
      <c r="A234" s="99">
        <v>2013</v>
      </c>
      <c r="B234" s="142" t="str">
        <f t="shared" si="40"/>
        <v>-</v>
      </c>
      <c r="C234" s="142">
        <f t="shared" si="40"/>
        <v>130.57999999999998</v>
      </c>
      <c r="D234" s="142">
        <f t="shared" si="40"/>
        <v>4226.4299999999994</v>
      </c>
      <c r="E234" s="142">
        <f t="shared" si="40"/>
        <v>8718.93</v>
      </c>
      <c r="F234" s="142">
        <f t="shared" si="40"/>
        <v>13734.3</v>
      </c>
      <c r="G234" s="142">
        <f t="shared" si="40"/>
        <v>1988.93</v>
      </c>
      <c r="H234" s="142">
        <f t="shared" si="40"/>
        <v>118.68</v>
      </c>
      <c r="I234" s="142">
        <f t="shared" si="40"/>
        <v>28917.85</v>
      </c>
      <c r="K234" s="142" t="str">
        <f t="shared" si="41"/>
        <v>-</v>
      </c>
      <c r="L234" s="142" t="str">
        <f t="shared" si="41"/>
        <v>-</v>
      </c>
      <c r="M234" s="142">
        <f t="shared" si="41"/>
        <v>2979.6000000000004</v>
      </c>
      <c r="N234" s="142">
        <f t="shared" si="41"/>
        <v>10625.59</v>
      </c>
      <c r="O234" s="142">
        <f t="shared" si="41"/>
        <v>25781.87</v>
      </c>
      <c r="P234" s="142">
        <f t="shared" si="41"/>
        <v>6735.22</v>
      </c>
      <c r="Q234" s="142">
        <f t="shared" si="41"/>
        <v>17.72</v>
      </c>
      <c r="R234" s="142">
        <f t="shared" si="41"/>
        <v>46140</v>
      </c>
    </row>
    <row r="235" spans="1:18">
      <c r="A235" s="99">
        <v>2014</v>
      </c>
      <c r="B235" s="142" t="str">
        <f t="shared" si="40"/>
        <v>-</v>
      </c>
      <c r="C235" s="142">
        <f t="shared" si="40"/>
        <v>629.31000000000006</v>
      </c>
      <c r="D235" s="142">
        <f t="shared" si="40"/>
        <v>6026.5</v>
      </c>
      <c r="E235" s="142">
        <f t="shared" si="40"/>
        <v>15460.49</v>
      </c>
      <c r="F235" s="142">
        <f t="shared" si="40"/>
        <v>16174.01</v>
      </c>
      <c r="G235" s="142">
        <f t="shared" si="40"/>
        <v>1624.44</v>
      </c>
      <c r="H235" s="142">
        <f t="shared" si="40"/>
        <v>110.29</v>
      </c>
      <c r="I235" s="142">
        <f t="shared" si="40"/>
        <v>40025.040000000001</v>
      </c>
      <c r="K235" s="142" t="str">
        <f t="shared" si="41"/>
        <v>-</v>
      </c>
      <c r="L235" s="142" t="str">
        <f t="shared" si="41"/>
        <v>-</v>
      </c>
      <c r="M235" s="142">
        <f t="shared" si="41"/>
        <v>8448.01</v>
      </c>
      <c r="N235" s="142">
        <f t="shared" si="41"/>
        <v>35174.6</v>
      </c>
      <c r="O235" s="142">
        <f t="shared" si="41"/>
        <v>52411.149999999994</v>
      </c>
      <c r="P235" s="142">
        <f t="shared" si="41"/>
        <v>26824.080000000002</v>
      </c>
      <c r="Q235" s="142">
        <f t="shared" si="41"/>
        <v>199.14</v>
      </c>
      <c r="R235" s="142">
        <f t="shared" si="41"/>
        <v>123056.98</v>
      </c>
    </row>
    <row r="236" spans="1:18">
      <c r="A236" s="99">
        <v>2015</v>
      </c>
      <c r="B236" s="142" t="str">
        <f t="shared" si="40"/>
        <v>-</v>
      </c>
      <c r="C236" s="142">
        <f t="shared" si="40"/>
        <v>595.16</v>
      </c>
      <c r="D236" s="142">
        <f t="shared" si="40"/>
        <v>6038.58</v>
      </c>
      <c r="E236" s="142">
        <f t="shared" si="40"/>
        <v>17080.86</v>
      </c>
      <c r="F236" s="142">
        <f t="shared" si="40"/>
        <v>10508.57</v>
      </c>
      <c r="G236" s="142">
        <f t="shared" si="40"/>
        <v>5043.3100000000004</v>
      </c>
      <c r="H236" s="142">
        <f t="shared" si="40"/>
        <v>164.41</v>
      </c>
      <c r="I236" s="142">
        <f t="shared" si="40"/>
        <v>39430.89</v>
      </c>
      <c r="K236" s="142" t="str">
        <f t="shared" si="41"/>
        <v>-</v>
      </c>
      <c r="L236" s="142" t="str">
        <f t="shared" si="41"/>
        <v>-</v>
      </c>
      <c r="M236" s="142">
        <f t="shared" si="41"/>
        <v>5214.9400000000005</v>
      </c>
      <c r="N236" s="142">
        <f t="shared" si="41"/>
        <v>27410.420000000002</v>
      </c>
      <c r="O236" s="142">
        <f t="shared" si="41"/>
        <v>24543.649999999998</v>
      </c>
      <c r="P236" s="142">
        <f t="shared" si="41"/>
        <v>17555.48</v>
      </c>
      <c r="Q236" s="142">
        <f t="shared" si="41"/>
        <v>12.74</v>
      </c>
      <c r="R236" s="142">
        <f t="shared" si="41"/>
        <v>74737.23000000001</v>
      </c>
    </row>
    <row r="237" spans="1:18">
      <c r="A237" s="99">
        <v>2016</v>
      </c>
      <c r="B237" s="142" t="str">
        <f t="shared" ref="B237:I237" si="42">IF(AND(B189="-",B141="-",B93="-",B45="-"),"-",SUM(B189,B141,B93,B45))</f>
        <v>-</v>
      </c>
      <c r="C237" s="142" t="str">
        <f t="shared" si="42"/>
        <v>-</v>
      </c>
      <c r="D237" s="142" t="str">
        <f t="shared" si="42"/>
        <v>-</v>
      </c>
      <c r="E237" s="142">
        <f t="shared" si="42"/>
        <v>9518.99</v>
      </c>
      <c r="F237" s="142">
        <f t="shared" si="42"/>
        <v>7388.48</v>
      </c>
      <c r="G237" s="142" t="str">
        <f t="shared" si="42"/>
        <v>-</v>
      </c>
      <c r="H237" s="142" t="str">
        <f t="shared" si="42"/>
        <v>-</v>
      </c>
      <c r="I237" s="142">
        <f t="shared" si="42"/>
        <v>16907.47</v>
      </c>
      <c r="K237" s="142" t="str">
        <f t="shared" ref="K237:R237" si="43">IF(AND(K189="-",K141="-",K93="-",K45="-"),"-",SUM(K189,K141,K93,K45))</f>
        <v>-</v>
      </c>
      <c r="L237" s="142" t="str">
        <f t="shared" si="43"/>
        <v>-</v>
      </c>
      <c r="M237" s="142" t="str">
        <f t="shared" si="43"/>
        <v>-</v>
      </c>
      <c r="N237" s="142">
        <f t="shared" si="43"/>
        <v>4754.9900000000007</v>
      </c>
      <c r="O237" s="142">
        <f t="shared" si="43"/>
        <v>11303.630000000001</v>
      </c>
      <c r="P237" s="142" t="str">
        <f t="shared" si="43"/>
        <v>-</v>
      </c>
      <c r="Q237" s="142" t="str">
        <f t="shared" si="43"/>
        <v>-</v>
      </c>
      <c r="R237" s="142">
        <f t="shared" si="43"/>
        <v>16058.62</v>
      </c>
    </row>
    <row r="238" spans="1:18">
      <c r="A238" s="99">
        <v>2017</v>
      </c>
      <c r="B238" s="142" t="str">
        <f t="shared" ref="B238:I238" si="44">IF(AND(B190="-",B142="-",B94="-",B46="-"),"-",SUM(B190,B142,B94,B46))</f>
        <v>-</v>
      </c>
      <c r="C238" s="142" t="str">
        <f t="shared" si="44"/>
        <v>-</v>
      </c>
      <c r="D238" s="142">
        <f t="shared" si="44"/>
        <v>569.28</v>
      </c>
      <c r="E238" s="142">
        <f t="shared" si="44"/>
        <v>12781.34</v>
      </c>
      <c r="F238" s="142">
        <f t="shared" si="44"/>
        <v>6595.83</v>
      </c>
      <c r="G238" s="142">
        <f t="shared" si="44"/>
        <v>90.74</v>
      </c>
      <c r="H238" s="142" t="str">
        <f t="shared" si="44"/>
        <v>-</v>
      </c>
      <c r="I238" s="142">
        <f t="shared" si="44"/>
        <v>20037.190000000002</v>
      </c>
      <c r="K238" s="142" t="str">
        <f t="shared" ref="K238:R238" si="45">IF(AND(K190="-",K142="-",K94="-",K46="-"),"-",SUM(K190,K142,K94,K46))</f>
        <v>-</v>
      </c>
      <c r="L238" s="142" t="str">
        <f t="shared" si="45"/>
        <v>-</v>
      </c>
      <c r="M238" s="142">
        <f t="shared" si="45"/>
        <v>87.710000000000008</v>
      </c>
      <c r="N238" s="142">
        <f t="shared" si="45"/>
        <v>14314.33</v>
      </c>
      <c r="O238" s="142">
        <f t="shared" si="45"/>
        <v>20755.149999999998</v>
      </c>
      <c r="P238" s="142">
        <f t="shared" si="45"/>
        <v>929.59999999999991</v>
      </c>
      <c r="Q238" s="142" t="str">
        <f t="shared" si="45"/>
        <v>-</v>
      </c>
      <c r="R238" s="142">
        <f t="shared" si="45"/>
        <v>36086.789999999994</v>
      </c>
    </row>
    <row r="239" spans="1:18">
      <c r="A239" s="99">
        <v>2018</v>
      </c>
      <c r="B239" s="142" t="str">
        <f t="shared" ref="B239:I239" si="46">IF(AND(B191="-",B143="-",B95="-",B47="-"),"-",SUM(B191,B143,B95,B47))</f>
        <v>-</v>
      </c>
      <c r="C239" s="142" t="str">
        <f t="shared" si="46"/>
        <v>-</v>
      </c>
      <c r="D239" s="142">
        <f t="shared" si="46"/>
        <v>832.96</v>
      </c>
      <c r="E239" s="142">
        <f t="shared" si="46"/>
        <v>5414.0300000000007</v>
      </c>
      <c r="F239" s="142">
        <f t="shared" si="46"/>
        <v>3610.67</v>
      </c>
      <c r="G239" s="142">
        <f t="shared" si="46"/>
        <v>55.63</v>
      </c>
      <c r="H239" s="142" t="str">
        <f t="shared" si="46"/>
        <v>-</v>
      </c>
      <c r="I239" s="142">
        <f t="shared" si="46"/>
        <v>9913.2900000000009</v>
      </c>
      <c r="K239" s="142" t="str">
        <f t="shared" ref="K239:R239" si="47">IF(AND(K191="-",K143="-",K95="-",K47="-"),"-",SUM(K191,K143,K95,K47))</f>
        <v>-</v>
      </c>
      <c r="L239" s="142" t="str">
        <f t="shared" si="47"/>
        <v>-</v>
      </c>
      <c r="M239" s="142">
        <f t="shared" si="47"/>
        <v>831.94</v>
      </c>
      <c r="N239" s="142">
        <f t="shared" si="47"/>
        <v>9580.68</v>
      </c>
      <c r="O239" s="142">
        <f t="shared" si="47"/>
        <v>23951.99</v>
      </c>
      <c r="P239" s="142">
        <f t="shared" si="47"/>
        <v>345.28999999999996</v>
      </c>
      <c r="Q239" s="142" t="str">
        <f t="shared" si="47"/>
        <v>-</v>
      </c>
      <c r="R239" s="142">
        <f t="shared" si="47"/>
        <v>34709.9</v>
      </c>
    </row>
    <row r="240" spans="1:18">
      <c r="A240" s="99">
        <v>2019</v>
      </c>
      <c r="B240" s="142" t="str">
        <f t="shared" ref="B240:I240" si="48">IF(AND(B192="-",B144="-",B96="-",B48="-"),"-",SUM(B192,B144,B96,B48))</f>
        <v>-</v>
      </c>
      <c r="C240" s="142" t="str">
        <f t="shared" si="48"/>
        <v>-</v>
      </c>
      <c r="D240" s="142">
        <f t="shared" si="48"/>
        <v>1846.9900000000002</v>
      </c>
      <c r="E240" s="142">
        <f t="shared" si="48"/>
        <v>5297.1900000000005</v>
      </c>
      <c r="F240" s="142">
        <f t="shared" si="48"/>
        <v>2036.5500000000002</v>
      </c>
      <c r="G240" s="142">
        <f t="shared" si="48"/>
        <v>238.18</v>
      </c>
      <c r="H240" s="142">
        <f t="shared" si="48"/>
        <v>164.35</v>
      </c>
      <c r="I240" s="142">
        <f t="shared" si="48"/>
        <v>9583.26</v>
      </c>
      <c r="K240" s="142" t="str">
        <f t="shared" ref="K240:R240" si="49">IF(AND(K192="-",K144="-",K96="-",K48="-"),"-",SUM(K192,K144,K96,K48))</f>
        <v>-</v>
      </c>
      <c r="L240" s="142" t="str">
        <f t="shared" si="49"/>
        <v>-</v>
      </c>
      <c r="M240" s="142">
        <f t="shared" si="49"/>
        <v>4603.3500000000004</v>
      </c>
      <c r="N240" s="142">
        <f t="shared" si="49"/>
        <v>25944.400000000001</v>
      </c>
      <c r="O240" s="142">
        <f t="shared" si="49"/>
        <v>30786.090000000004</v>
      </c>
      <c r="P240" s="142">
        <f t="shared" si="49"/>
        <v>3074.8500000000004</v>
      </c>
      <c r="Q240" s="142">
        <f t="shared" si="49"/>
        <v>15.86</v>
      </c>
      <c r="R240" s="142">
        <f t="shared" si="49"/>
        <v>64424.55</v>
      </c>
    </row>
    <row r="241" spans="1:18" ht="13">
      <c r="A241" s="239" t="s">
        <v>307</v>
      </c>
      <c r="B241" s="142" t="str">
        <f t="shared" ref="B241:I242" si="50">IF(AND(B193="-",B145="-",B97="-",B49="-"),"-",SUM(B193,B145,B97,B49))</f>
        <v>-</v>
      </c>
      <c r="C241" s="142" t="str">
        <f t="shared" si="50"/>
        <v>-</v>
      </c>
      <c r="D241" s="142">
        <f t="shared" si="50"/>
        <v>810.3</v>
      </c>
      <c r="E241" s="142">
        <f t="shared" si="50"/>
        <v>4627.3599999999997</v>
      </c>
      <c r="F241" s="142">
        <f t="shared" si="50"/>
        <v>1591.84</v>
      </c>
      <c r="G241" s="142">
        <f t="shared" si="50"/>
        <v>478.51</v>
      </c>
      <c r="H241" s="142" t="str">
        <f t="shared" si="50"/>
        <v>-</v>
      </c>
      <c r="I241" s="142">
        <f t="shared" si="50"/>
        <v>7508.01</v>
      </c>
      <c r="K241" s="142" t="str">
        <f t="shared" ref="K241:R242" si="51">IF(AND(K193="-",K145="-",K97="-",K49="-"),"-",SUM(K193,K145,K97,K49))</f>
        <v>-</v>
      </c>
      <c r="L241" s="142" t="str">
        <f t="shared" si="51"/>
        <v>-</v>
      </c>
      <c r="M241" s="142">
        <f t="shared" si="51"/>
        <v>49.98</v>
      </c>
      <c r="N241" s="142">
        <f t="shared" si="51"/>
        <v>13978.039999999999</v>
      </c>
      <c r="O241" s="142">
        <f t="shared" si="51"/>
        <v>3894.54</v>
      </c>
      <c r="P241" s="142">
        <f t="shared" si="51"/>
        <v>2327.23</v>
      </c>
      <c r="Q241" s="142" t="str">
        <f t="shared" si="51"/>
        <v>-</v>
      </c>
      <c r="R241" s="142">
        <f t="shared" si="51"/>
        <v>20249.79</v>
      </c>
    </row>
    <row r="242" spans="1:18" ht="13">
      <c r="A242" s="239" t="s">
        <v>326</v>
      </c>
      <c r="B242" s="142" t="str">
        <f t="shared" si="50"/>
        <v>-</v>
      </c>
      <c r="C242" s="142" t="str">
        <f t="shared" si="50"/>
        <v>-</v>
      </c>
      <c r="D242" s="142">
        <f t="shared" si="50"/>
        <v>1986.58</v>
      </c>
      <c r="E242" s="142">
        <f t="shared" si="50"/>
        <v>8852.64</v>
      </c>
      <c r="F242" s="142">
        <f t="shared" si="50"/>
        <v>4684.09</v>
      </c>
      <c r="G242" s="142">
        <f t="shared" si="50"/>
        <v>453.01</v>
      </c>
      <c r="H242" s="142" t="str">
        <f t="shared" si="50"/>
        <v>-</v>
      </c>
      <c r="I242" s="142">
        <f t="shared" si="50"/>
        <v>15976.320000000002</v>
      </c>
      <c r="K242" s="142" t="str">
        <f t="shared" si="51"/>
        <v>-</v>
      </c>
      <c r="L242" s="142" t="str">
        <f t="shared" si="51"/>
        <v>-</v>
      </c>
      <c r="M242" s="142">
        <f t="shared" si="51"/>
        <v>167.87</v>
      </c>
      <c r="N242" s="142">
        <f t="shared" si="51"/>
        <v>11314.859999999999</v>
      </c>
      <c r="O242" s="142">
        <f t="shared" si="51"/>
        <v>30848.25</v>
      </c>
      <c r="P242" s="142">
        <f t="shared" si="51"/>
        <v>7438.5</v>
      </c>
      <c r="Q242" s="142" t="str">
        <f t="shared" si="51"/>
        <v>-</v>
      </c>
      <c r="R242" s="142">
        <f t="shared" si="51"/>
        <v>49769.48</v>
      </c>
    </row>
    <row r="243" spans="1:18">
      <c r="A243" s="353" t="s">
        <v>127</v>
      </c>
      <c r="B243" s="353"/>
      <c r="C243" s="353"/>
      <c r="D243" s="353"/>
      <c r="E243" s="353"/>
      <c r="F243" s="353"/>
      <c r="G243" s="353"/>
      <c r="H243" s="353"/>
      <c r="I243" s="353"/>
      <c r="J243" s="353"/>
      <c r="K243" s="353"/>
      <c r="L243" s="353"/>
      <c r="M243" s="353"/>
      <c r="N243" s="353"/>
      <c r="O243" s="353"/>
      <c r="P243" s="353"/>
      <c r="Q243" s="353"/>
      <c r="R243" s="353"/>
    </row>
    <row r="244" spans="1:18">
      <c r="A244" s="99" t="s">
        <v>135</v>
      </c>
    </row>
    <row r="245" spans="1:18" ht="35.25" customHeight="1">
      <c r="A245" s="352" t="s">
        <v>338</v>
      </c>
      <c r="B245" s="352"/>
      <c r="C245" s="352"/>
      <c r="D245" s="352"/>
      <c r="E245" s="352"/>
      <c r="F245" s="352"/>
      <c r="G245" s="352"/>
      <c r="H245" s="352"/>
      <c r="I245" s="352"/>
      <c r="J245" s="352"/>
      <c r="K245" s="352"/>
      <c r="L245" s="352"/>
      <c r="M245" s="352"/>
      <c r="N245" s="352"/>
      <c r="O245" s="352"/>
      <c r="P245" s="352"/>
      <c r="Q245" s="352"/>
      <c r="R245" s="352"/>
    </row>
    <row r="246" spans="1:18">
      <c r="A246" s="99" t="s">
        <v>40</v>
      </c>
      <c r="B246" s="12"/>
      <c r="C246" s="12"/>
      <c r="D246" s="12"/>
      <c r="E246" s="12"/>
      <c r="F246" s="12"/>
      <c r="G246" s="12"/>
      <c r="H246" s="12"/>
      <c r="I246" s="12"/>
      <c r="J246" s="12"/>
      <c r="K246" s="12"/>
      <c r="L246" s="12"/>
      <c r="M246" s="12"/>
      <c r="N246" s="12"/>
      <c r="O246" s="12"/>
      <c r="P246" s="12"/>
      <c r="Q246" s="12"/>
      <c r="R246" s="12"/>
    </row>
    <row r="247" spans="1:18" ht="27.75" customHeight="1">
      <c r="A247" s="352" t="s">
        <v>325</v>
      </c>
      <c r="B247" s="352"/>
      <c r="C247" s="352"/>
      <c r="D247" s="352"/>
      <c r="E247" s="352"/>
      <c r="F247" s="352"/>
      <c r="G247" s="352"/>
      <c r="H247" s="352"/>
      <c r="I247" s="352"/>
      <c r="J247" s="352"/>
      <c r="K247" s="352"/>
      <c r="L247" s="352"/>
      <c r="M247" s="352"/>
      <c r="N247" s="352"/>
      <c r="O247" s="352"/>
      <c r="P247" s="352"/>
      <c r="Q247" s="352"/>
      <c r="R247" s="352"/>
    </row>
    <row r="248" spans="1:18" s="199" customFormat="1">
      <c r="A248" s="158"/>
      <c r="B248" s="159"/>
      <c r="C248" s="159"/>
      <c r="D248" s="159"/>
      <c r="E248" s="159"/>
      <c r="F248" s="159"/>
      <c r="G248" s="159"/>
      <c r="H248" s="159"/>
      <c r="I248" s="159"/>
      <c r="J248" s="160"/>
      <c r="K248" s="159"/>
      <c r="L248" s="159"/>
      <c r="M248" s="159"/>
      <c r="N248" s="159"/>
      <c r="O248" s="159"/>
      <c r="P248" s="159"/>
      <c r="Q248" s="159"/>
      <c r="R248" s="159"/>
    </row>
    <row r="261" spans="1:18">
      <c r="A261" s="283" t="s">
        <v>2</v>
      </c>
      <c r="B261" s="283"/>
      <c r="C261" s="283"/>
      <c r="D261" s="283"/>
      <c r="E261" s="283"/>
      <c r="F261" s="283"/>
      <c r="G261" s="283"/>
      <c r="H261" s="283"/>
      <c r="I261" s="283"/>
      <c r="J261" s="283"/>
      <c r="K261" s="283"/>
      <c r="L261" s="283"/>
      <c r="M261" s="283"/>
      <c r="N261" s="283"/>
      <c r="O261" s="283"/>
      <c r="P261" s="283"/>
      <c r="Q261" s="283"/>
      <c r="R261" s="283"/>
    </row>
    <row r="262" spans="1:18">
      <c r="A262" s="2" t="s">
        <v>27</v>
      </c>
      <c r="B262" s="46" t="s">
        <v>28</v>
      </c>
      <c r="C262" s="46" t="s">
        <v>29</v>
      </c>
      <c r="D262" s="46" t="s">
        <v>30</v>
      </c>
      <c r="E262" s="46" t="s">
        <v>31</v>
      </c>
      <c r="F262" s="46" t="s">
        <v>32</v>
      </c>
      <c r="G262" s="46" t="s">
        <v>33</v>
      </c>
      <c r="H262" s="46" t="s">
        <v>34</v>
      </c>
      <c r="I262" s="46" t="s">
        <v>22</v>
      </c>
      <c r="J262" s="196"/>
      <c r="K262" s="46" t="s">
        <v>28</v>
      </c>
      <c r="L262" s="46" t="s">
        <v>29</v>
      </c>
      <c r="M262" s="46" t="s">
        <v>30</v>
      </c>
      <c r="N262" s="46" t="s">
        <v>31</v>
      </c>
      <c r="O262" s="46" t="s">
        <v>32</v>
      </c>
      <c r="P262" s="46" t="s">
        <v>33</v>
      </c>
      <c r="Q262" s="46" t="s">
        <v>34</v>
      </c>
      <c r="R262" s="46" t="s">
        <v>22</v>
      </c>
    </row>
    <row r="263" spans="1:18" ht="14.25" customHeight="1">
      <c r="B263" s="336" t="s">
        <v>61</v>
      </c>
      <c r="C263" s="336"/>
      <c r="D263" s="336"/>
      <c r="E263" s="336"/>
      <c r="F263" s="336"/>
      <c r="G263" s="336"/>
      <c r="H263" s="336"/>
      <c r="I263" s="336"/>
      <c r="J263" s="14"/>
      <c r="K263" s="336" t="s">
        <v>62</v>
      </c>
      <c r="L263" s="336"/>
      <c r="M263" s="336"/>
      <c r="N263" s="336"/>
      <c r="O263" s="336"/>
      <c r="P263" s="336"/>
      <c r="Q263" s="336"/>
      <c r="R263" s="336"/>
    </row>
    <row r="264" spans="1:18">
      <c r="A264" s="94" t="s">
        <v>59</v>
      </c>
    </row>
    <row r="265" spans="1:18" ht="11.25" customHeight="1">
      <c r="A265" s="71" t="s">
        <v>24</v>
      </c>
      <c r="B265" s="142">
        <f t="shared" ref="B265:I265" si="52">AVERAGE(B10:B14)</f>
        <v>57.4</v>
      </c>
      <c r="C265" s="142">
        <f t="shared" si="52"/>
        <v>149.25</v>
      </c>
      <c r="D265" s="142">
        <f t="shared" si="52"/>
        <v>234</v>
      </c>
      <c r="E265" s="142">
        <f t="shared" si="52"/>
        <v>1292.5999999999999</v>
      </c>
      <c r="F265" s="142">
        <f t="shared" si="52"/>
        <v>483</v>
      </c>
      <c r="G265" s="142">
        <f t="shared" si="52"/>
        <v>193.5</v>
      </c>
      <c r="H265" s="142">
        <f t="shared" si="52"/>
        <v>35</v>
      </c>
      <c r="I265" s="142">
        <f t="shared" si="52"/>
        <v>2224</v>
      </c>
      <c r="K265" s="142">
        <f t="shared" ref="K265:R265" si="53">AVERAGE(K10:K14)</f>
        <v>80</v>
      </c>
      <c r="L265" s="142">
        <f t="shared" si="53"/>
        <v>338.33333333333331</v>
      </c>
      <c r="M265" s="142">
        <f t="shared" si="53"/>
        <v>639.33333333333337</v>
      </c>
      <c r="N265" s="142">
        <f t="shared" si="53"/>
        <v>8877.6</v>
      </c>
      <c r="O265" s="142">
        <f t="shared" si="53"/>
        <v>16451.599999999999</v>
      </c>
      <c r="P265" s="142">
        <f t="shared" si="53"/>
        <v>3414</v>
      </c>
      <c r="Q265" s="142">
        <f t="shared" si="53"/>
        <v>149.66666666666666</v>
      </c>
      <c r="R265" s="142">
        <f t="shared" si="53"/>
        <v>29435.599999999999</v>
      </c>
    </row>
    <row r="266" spans="1:18" ht="11.25" customHeight="1">
      <c r="A266" s="71" t="s">
        <v>264</v>
      </c>
      <c r="B266" s="142" t="s">
        <v>23</v>
      </c>
      <c r="C266" s="142">
        <f t="shared" ref="C266:I266" si="54">AVERAGE(C15:C19)</f>
        <v>114</v>
      </c>
      <c r="D266" s="142">
        <f t="shared" si="54"/>
        <v>142.66666666666666</v>
      </c>
      <c r="E266" s="142">
        <f t="shared" si="54"/>
        <v>2587</v>
      </c>
      <c r="F266" s="142">
        <f t="shared" si="54"/>
        <v>358</v>
      </c>
      <c r="G266" s="142">
        <f t="shared" si="54"/>
        <v>35</v>
      </c>
      <c r="H266" s="142" t="s">
        <v>23</v>
      </c>
      <c r="I266" s="142">
        <f t="shared" si="54"/>
        <v>2478.4</v>
      </c>
      <c r="K266" s="142" t="s">
        <v>23</v>
      </c>
      <c r="L266" s="142" t="s">
        <v>23</v>
      </c>
      <c r="M266" s="142">
        <f t="shared" ref="M266:R266" si="55">AVERAGE(M15:M19)</f>
        <v>384</v>
      </c>
      <c r="N266" s="142">
        <f t="shared" si="55"/>
        <v>15896.2</v>
      </c>
      <c r="O266" s="142">
        <f t="shared" si="55"/>
        <v>11629.4</v>
      </c>
      <c r="P266" s="142">
        <f t="shared" si="55"/>
        <v>3446</v>
      </c>
      <c r="Q266" s="142" t="s">
        <v>23</v>
      </c>
      <c r="R266" s="142">
        <f t="shared" si="55"/>
        <v>29746.799999999999</v>
      </c>
    </row>
    <row r="267" spans="1:18" ht="11.25" customHeight="1">
      <c r="A267" s="71" t="s">
        <v>265</v>
      </c>
      <c r="B267" s="142" t="s">
        <v>23</v>
      </c>
      <c r="C267" s="142">
        <f>AVERAGE(C20:C24)</f>
        <v>148</v>
      </c>
      <c r="D267" s="142" t="s">
        <v>23</v>
      </c>
      <c r="E267" s="142">
        <f t="shared" ref="E267:R267" si="56">AVERAGE(E20:E24)</f>
        <v>1443</v>
      </c>
      <c r="F267" s="142">
        <f t="shared" si="56"/>
        <v>232.25</v>
      </c>
      <c r="G267" s="142">
        <f t="shared" si="56"/>
        <v>62</v>
      </c>
      <c r="H267" s="142" t="s">
        <v>23</v>
      </c>
      <c r="I267" s="142">
        <f t="shared" si="56"/>
        <v>1419.5</v>
      </c>
      <c r="J267" s="142"/>
      <c r="K267" s="142" t="s">
        <v>23</v>
      </c>
      <c r="L267" s="142">
        <f t="shared" si="56"/>
        <v>40</v>
      </c>
      <c r="M267" s="142" t="s">
        <v>23</v>
      </c>
      <c r="N267" s="142">
        <f t="shared" si="56"/>
        <v>15653.666666666666</v>
      </c>
      <c r="O267" s="142">
        <f t="shared" si="56"/>
        <v>13052</v>
      </c>
      <c r="P267" s="142">
        <f t="shared" si="56"/>
        <v>991.25</v>
      </c>
      <c r="Q267" s="142" t="s">
        <v>23</v>
      </c>
      <c r="R267" s="142">
        <f t="shared" si="56"/>
        <v>25803.5</v>
      </c>
    </row>
    <row r="268" spans="1:18" ht="11.25" customHeight="1">
      <c r="A268" s="71" t="s">
        <v>266</v>
      </c>
      <c r="B268" s="142" t="s">
        <v>23</v>
      </c>
      <c r="C268" s="142" t="s">
        <v>23</v>
      </c>
      <c r="D268" s="142" t="s">
        <v>23</v>
      </c>
      <c r="E268" s="142">
        <f t="shared" ref="E268:R268" si="57">AVERAGE(E25:E29)</f>
        <v>395.5</v>
      </c>
      <c r="F268" s="142">
        <f t="shared" si="57"/>
        <v>67.75</v>
      </c>
      <c r="G268" s="142">
        <f t="shared" si="57"/>
        <v>5</v>
      </c>
      <c r="H268" s="142" t="s">
        <v>23</v>
      </c>
      <c r="I268" s="142">
        <f t="shared" si="57"/>
        <v>266.75</v>
      </c>
      <c r="J268" s="142"/>
      <c r="K268" s="142" t="s">
        <v>23</v>
      </c>
      <c r="L268" s="142" t="s">
        <v>23</v>
      </c>
      <c r="M268" s="142" t="s">
        <v>23</v>
      </c>
      <c r="N268" s="142">
        <f t="shared" si="57"/>
        <v>1686.3333333333333</v>
      </c>
      <c r="O268" s="142">
        <f t="shared" si="57"/>
        <v>5022.6000000000004</v>
      </c>
      <c r="P268" s="142">
        <f t="shared" si="57"/>
        <v>1781.6666666666667</v>
      </c>
      <c r="Q268" s="142" t="s">
        <v>23</v>
      </c>
      <c r="R268" s="142">
        <f t="shared" si="57"/>
        <v>7103.4</v>
      </c>
    </row>
    <row r="269" spans="1:18" ht="11.25" customHeight="1">
      <c r="A269" s="71" t="s">
        <v>166</v>
      </c>
      <c r="B269" s="142" t="str">
        <f>B30</f>
        <v>-</v>
      </c>
      <c r="C269" s="142">
        <f>AVERAGE(C30:C34)</f>
        <v>234</v>
      </c>
      <c r="D269" s="142">
        <f>AVERAGE(D30:D34)</f>
        <v>683</v>
      </c>
      <c r="E269" s="142">
        <f>AVERAGE(E30:E34)</f>
        <v>2709.8847207803979</v>
      </c>
      <c r="F269" s="142">
        <f>AVERAGE(F30:F34)</f>
        <v>705.27990281535244</v>
      </c>
      <c r="G269" s="142">
        <f>AVERAGE(G30:G34)</f>
        <v>77.390046233418573</v>
      </c>
      <c r="H269" s="142" t="str">
        <f>H30</f>
        <v>-</v>
      </c>
      <c r="I269" s="142">
        <f>AVERAGE(I30:I34)</f>
        <v>3949.1546698291686</v>
      </c>
      <c r="K269" s="142" t="str">
        <f t="shared" ref="K269:Q269" si="58">K30</f>
        <v>-</v>
      </c>
      <c r="L269" s="142" t="str">
        <f t="shared" si="58"/>
        <v>-</v>
      </c>
      <c r="M269" s="142">
        <f>AVERAGE(M30:M34)</f>
        <v>573</v>
      </c>
      <c r="N269" s="142">
        <f>AVERAGE(N30:N34)</f>
        <v>8391.3532177477828</v>
      </c>
      <c r="O269" s="142">
        <f>AVERAGE(O30:O34)</f>
        <v>7468.4303414722281</v>
      </c>
      <c r="P269" s="142">
        <f>AVERAGE(P30:P34)</f>
        <v>1038.9268863026555</v>
      </c>
      <c r="Q269" s="142" t="str">
        <f t="shared" si="58"/>
        <v>-</v>
      </c>
      <c r="R269" s="142">
        <f>AVERAGE(R30:R34)</f>
        <v>17127.910445522666</v>
      </c>
    </row>
    <row r="270" spans="1:18" ht="11.25" customHeight="1">
      <c r="A270" s="71" t="s">
        <v>315</v>
      </c>
      <c r="B270" s="142" t="str">
        <f>B35</f>
        <v>-</v>
      </c>
      <c r="C270" s="142" t="str">
        <f>C35</f>
        <v>-</v>
      </c>
      <c r="D270" s="142">
        <f>AVERAGE(D35:D40)</f>
        <v>186.15799999999999</v>
      </c>
      <c r="E270" s="142">
        <f t="shared" ref="E270:I270" si="59">AVERAGE(E35:E40)</f>
        <v>1145.0666666666666</v>
      </c>
      <c r="F270" s="142">
        <f t="shared" si="59"/>
        <v>809.7733333333332</v>
      </c>
      <c r="G270" s="142">
        <f t="shared" si="59"/>
        <v>52.07</v>
      </c>
      <c r="H270" s="142" t="str">
        <f>H35</f>
        <v>-</v>
      </c>
      <c r="I270" s="142">
        <f t="shared" si="59"/>
        <v>2162.0416666666665</v>
      </c>
      <c r="K270" s="142" t="str">
        <f t="shared" ref="K270:L270" si="60">K35</f>
        <v>-</v>
      </c>
      <c r="L270" s="142" t="str">
        <f t="shared" si="60"/>
        <v>-</v>
      </c>
      <c r="M270" s="142">
        <f t="shared" ref="M270:R270" si="61">AVERAGE(M35:M40)</f>
        <v>138.33750000000001</v>
      </c>
      <c r="N270" s="142">
        <f t="shared" si="61"/>
        <v>3012.4033333333332</v>
      </c>
      <c r="O270" s="142">
        <f t="shared" si="61"/>
        <v>3012.8566666666666</v>
      </c>
      <c r="P270" s="142">
        <f t="shared" si="61"/>
        <v>360.70000000000005</v>
      </c>
      <c r="Q270" s="142" t="str">
        <f t="shared" ref="Q270" si="62">Q35</f>
        <v>-</v>
      </c>
      <c r="R270" s="142">
        <f t="shared" si="61"/>
        <v>6478.1849999999986</v>
      </c>
    </row>
    <row r="271" spans="1:18" ht="11.25" customHeight="1">
      <c r="A271" s="71">
        <v>2011</v>
      </c>
      <c r="B271" s="142" t="str">
        <f t="shared" ref="B271:I271" si="63">B40</f>
        <v>-</v>
      </c>
      <c r="C271" s="142" t="str">
        <f t="shared" si="63"/>
        <v>-</v>
      </c>
      <c r="D271" s="142">
        <f t="shared" si="63"/>
        <v>257.42</v>
      </c>
      <c r="E271" s="142">
        <f t="shared" si="63"/>
        <v>1382.23</v>
      </c>
      <c r="F271" s="142">
        <f t="shared" si="63"/>
        <v>1329.69</v>
      </c>
      <c r="G271" s="142">
        <f t="shared" si="63"/>
        <v>13.7</v>
      </c>
      <c r="H271" s="142" t="str">
        <f t="shared" si="63"/>
        <v>-</v>
      </c>
      <c r="I271" s="142">
        <f t="shared" si="63"/>
        <v>2983.04</v>
      </c>
      <c r="K271" s="142" t="str">
        <f t="shared" ref="K271:R271" si="64">K40</f>
        <v>-</v>
      </c>
      <c r="L271" s="142" t="str">
        <f t="shared" si="64"/>
        <v>-</v>
      </c>
      <c r="M271" s="142">
        <f t="shared" si="64"/>
        <v>53.5</v>
      </c>
      <c r="N271" s="142">
        <f t="shared" si="64"/>
        <v>1918.3</v>
      </c>
      <c r="O271" s="142">
        <f t="shared" si="64"/>
        <v>942.62</v>
      </c>
      <c r="P271" s="142">
        <f t="shared" si="64"/>
        <v>139.79</v>
      </c>
      <c r="Q271" s="142" t="str">
        <f t="shared" si="64"/>
        <v>-</v>
      </c>
      <c r="R271" s="142">
        <f t="shared" si="64"/>
        <v>3054.21</v>
      </c>
    </row>
    <row r="272" spans="1:18" ht="11.25" customHeight="1">
      <c r="A272" s="71">
        <v>2012</v>
      </c>
      <c r="B272" s="142" t="str">
        <f t="shared" ref="B272:I272" si="65">B41</f>
        <v>-</v>
      </c>
      <c r="C272" s="142" t="str">
        <f t="shared" si="65"/>
        <v>-</v>
      </c>
      <c r="D272" s="142">
        <f t="shared" si="65"/>
        <v>811.99</v>
      </c>
      <c r="E272" s="142">
        <f t="shared" si="65"/>
        <v>3524.39</v>
      </c>
      <c r="F272" s="142">
        <f t="shared" si="65"/>
        <v>1173.33</v>
      </c>
      <c r="G272" s="142">
        <f t="shared" si="65"/>
        <v>41.96</v>
      </c>
      <c r="H272" s="142" t="str">
        <f t="shared" si="65"/>
        <v>-</v>
      </c>
      <c r="I272" s="142">
        <f t="shared" si="65"/>
        <v>5551.67</v>
      </c>
      <c r="K272" s="142" t="str">
        <f t="shared" ref="K272:R272" si="66">K41</f>
        <v>-</v>
      </c>
      <c r="L272" s="142" t="str">
        <f t="shared" si="66"/>
        <v>-</v>
      </c>
      <c r="M272" s="142">
        <f t="shared" si="66"/>
        <v>27.25</v>
      </c>
      <c r="N272" s="142">
        <f t="shared" si="66"/>
        <v>3642.76</v>
      </c>
      <c r="O272" s="142">
        <f t="shared" si="66"/>
        <v>3094.33</v>
      </c>
      <c r="P272" s="142">
        <f t="shared" si="66"/>
        <v>783.7</v>
      </c>
      <c r="Q272" s="142" t="str">
        <f t="shared" si="66"/>
        <v>-</v>
      </c>
      <c r="R272" s="142">
        <f t="shared" si="66"/>
        <v>7548.04</v>
      </c>
    </row>
    <row r="273" spans="1:18" ht="11.25" customHeight="1">
      <c r="A273" s="71">
        <v>2013</v>
      </c>
      <c r="B273" s="142" t="str">
        <f t="shared" ref="B273:I273" si="67">B42</f>
        <v>-</v>
      </c>
      <c r="C273" s="142">
        <f t="shared" si="67"/>
        <v>126.69</v>
      </c>
      <c r="D273" s="142">
        <f t="shared" si="67"/>
        <v>635.41999999999996</v>
      </c>
      <c r="E273" s="142">
        <f t="shared" si="67"/>
        <v>3266.69</v>
      </c>
      <c r="F273" s="142">
        <f t="shared" si="67"/>
        <v>2141.6999999999998</v>
      </c>
      <c r="G273" s="142">
        <f t="shared" si="67"/>
        <v>74.34</v>
      </c>
      <c r="H273" s="142" t="str">
        <f t="shared" si="67"/>
        <v>-</v>
      </c>
      <c r="I273" s="142">
        <f t="shared" si="67"/>
        <v>6244.84</v>
      </c>
      <c r="K273" s="142" t="str">
        <f t="shared" ref="K273:R273" si="68">K42</f>
        <v>-</v>
      </c>
      <c r="L273" s="142" t="str">
        <f t="shared" si="68"/>
        <v>-</v>
      </c>
      <c r="M273" s="142">
        <f t="shared" si="68"/>
        <v>257.07</v>
      </c>
      <c r="N273" s="142">
        <f t="shared" si="68"/>
        <v>3081.81</v>
      </c>
      <c r="O273" s="142">
        <f t="shared" si="68"/>
        <v>2934.37</v>
      </c>
      <c r="P273" s="142">
        <f t="shared" si="68"/>
        <v>232.91</v>
      </c>
      <c r="Q273" s="142" t="str">
        <f t="shared" si="68"/>
        <v>-</v>
      </c>
      <c r="R273" s="142">
        <f t="shared" si="68"/>
        <v>6506.16</v>
      </c>
    </row>
    <row r="274" spans="1:18" ht="11.25" customHeight="1">
      <c r="A274" s="71">
        <v>2014</v>
      </c>
      <c r="B274" s="142" t="str">
        <f t="shared" ref="B274:I274" si="69">B43</f>
        <v>-</v>
      </c>
      <c r="C274" s="142">
        <f t="shared" si="69"/>
        <v>158.1</v>
      </c>
      <c r="D274" s="142">
        <f t="shared" si="69"/>
        <v>947.74</v>
      </c>
      <c r="E274" s="142">
        <f t="shared" si="69"/>
        <v>3975.11</v>
      </c>
      <c r="F274" s="142">
        <f t="shared" si="69"/>
        <v>805.97</v>
      </c>
      <c r="G274" s="142">
        <f t="shared" si="69"/>
        <v>47.73</v>
      </c>
      <c r="H274" s="142" t="str">
        <f t="shared" si="69"/>
        <v>-</v>
      </c>
      <c r="I274" s="142">
        <f t="shared" si="69"/>
        <v>5934.65</v>
      </c>
      <c r="K274" s="142" t="str">
        <f t="shared" ref="K274:R274" si="70">K43</f>
        <v>-</v>
      </c>
      <c r="L274" s="142" t="str">
        <f t="shared" si="70"/>
        <v>-</v>
      </c>
      <c r="M274" s="142">
        <f t="shared" si="70"/>
        <v>187.93</v>
      </c>
      <c r="N274" s="142">
        <f t="shared" si="70"/>
        <v>1733.81</v>
      </c>
      <c r="O274" s="142">
        <f t="shared" si="70"/>
        <v>2243.52</v>
      </c>
      <c r="P274" s="142">
        <f t="shared" si="70"/>
        <v>1477.86</v>
      </c>
      <c r="Q274" s="142" t="str">
        <f t="shared" si="70"/>
        <v>-</v>
      </c>
      <c r="R274" s="142">
        <f t="shared" si="70"/>
        <v>5643.12</v>
      </c>
    </row>
    <row r="275" spans="1:18" ht="11.25" customHeight="1">
      <c r="A275" s="71">
        <v>2015</v>
      </c>
      <c r="B275" s="142" t="str">
        <f t="shared" ref="B275:I275" si="71">B44</f>
        <v>-</v>
      </c>
      <c r="C275" s="142">
        <f t="shared" si="71"/>
        <v>95.83</v>
      </c>
      <c r="D275" s="142">
        <f t="shared" si="71"/>
        <v>1577.15</v>
      </c>
      <c r="E275" s="142">
        <f t="shared" si="71"/>
        <v>6195.94</v>
      </c>
      <c r="F275" s="142">
        <f t="shared" si="71"/>
        <v>522.34</v>
      </c>
      <c r="G275" s="142">
        <f t="shared" si="71"/>
        <v>106.54</v>
      </c>
      <c r="H275" s="142" t="str">
        <f t="shared" si="71"/>
        <v>-</v>
      </c>
      <c r="I275" s="142">
        <f t="shared" si="71"/>
        <v>8497.8000000000011</v>
      </c>
      <c r="K275" s="142" t="str">
        <f t="shared" ref="K275:R275" si="72">K44</f>
        <v>-</v>
      </c>
      <c r="L275" s="142" t="str">
        <f t="shared" si="72"/>
        <v>-</v>
      </c>
      <c r="M275" s="142">
        <f t="shared" si="72"/>
        <v>213.55</v>
      </c>
      <c r="N275" s="142">
        <f t="shared" si="72"/>
        <v>2136.71</v>
      </c>
      <c r="O275" s="142">
        <f t="shared" si="72"/>
        <v>1273.51</v>
      </c>
      <c r="P275" s="142">
        <f t="shared" si="72"/>
        <v>4140</v>
      </c>
      <c r="Q275" s="142" t="str">
        <f t="shared" si="72"/>
        <v>-</v>
      </c>
      <c r="R275" s="142">
        <f t="shared" si="72"/>
        <v>7763.77</v>
      </c>
    </row>
    <row r="276" spans="1:18" ht="11.25" customHeight="1">
      <c r="A276" s="71">
        <v>2016</v>
      </c>
      <c r="B276" s="142" t="str">
        <f t="shared" ref="B276:I276" si="73">B45</f>
        <v>-</v>
      </c>
      <c r="C276" s="142" t="str">
        <f t="shared" si="73"/>
        <v>-</v>
      </c>
      <c r="D276" s="142" t="str">
        <f t="shared" si="73"/>
        <v>-</v>
      </c>
      <c r="E276" s="142">
        <f t="shared" si="73"/>
        <v>3010.95</v>
      </c>
      <c r="F276" s="142">
        <f t="shared" si="73"/>
        <v>254.88</v>
      </c>
      <c r="G276" s="142" t="str">
        <f t="shared" si="73"/>
        <v>-</v>
      </c>
      <c r="H276" s="142" t="str">
        <f t="shared" si="73"/>
        <v>-</v>
      </c>
      <c r="I276" s="142">
        <f t="shared" si="73"/>
        <v>3265.83</v>
      </c>
      <c r="K276" s="142" t="str">
        <f t="shared" ref="K276:R276" si="74">K45</f>
        <v>-</v>
      </c>
      <c r="L276" s="142" t="str">
        <f t="shared" si="74"/>
        <v>-</v>
      </c>
      <c r="M276" s="142" t="str">
        <f t="shared" si="74"/>
        <v>-</v>
      </c>
      <c r="N276" s="142">
        <f t="shared" si="74"/>
        <v>30.12</v>
      </c>
      <c r="O276" s="142">
        <f t="shared" si="74"/>
        <v>23.34</v>
      </c>
      <c r="P276" s="142" t="str">
        <f t="shared" si="74"/>
        <v>-</v>
      </c>
      <c r="Q276" s="142" t="str">
        <f t="shared" si="74"/>
        <v>-</v>
      </c>
      <c r="R276" s="142">
        <f t="shared" si="74"/>
        <v>53.46</v>
      </c>
    </row>
    <row r="277" spans="1:18" ht="11.25" customHeight="1">
      <c r="A277" s="99">
        <v>2017</v>
      </c>
      <c r="B277" s="142" t="str">
        <f t="shared" ref="B277:I277" si="75">B46</f>
        <v>-</v>
      </c>
      <c r="C277" s="142" t="str">
        <f t="shared" si="75"/>
        <v>-</v>
      </c>
      <c r="D277" s="142">
        <f t="shared" si="75"/>
        <v>243.76</v>
      </c>
      <c r="E277" s="142">
        <f t="shared" si="75"/>
        <v>6133.98</v>
      </c>
      <c r="F277" s="142">
        <f t="shared" si="75"/>
        <v>855.52</v>
      </c>
      <c r="G277" s="142">
        <f t="shared" si="75"/>
        <v>53.91</v>
      </c>
      <c r="H277" s="142" t="str">
        <f t="shared" si="75"/>
        <v>-</v>
      </c>
      <c r="I277" s="142">
        <f t="shared" si="75"/>
        <v>7287.17</v>
      </c>
      <c r="K277" s="142" t="str">
        <f t="shared" ref="K277:R277" si="76">K46</f>
        <v>-</v>
      </c>
      <c r="L277" s="142" t="str">
        <f t="shared" si="76"/>
        <v>-</v>
      </c>
      <c r="M277" s="142">
        <f t="shared" si="76"/>
        <v>44.77</v>
      </c>
      <c r="N277" s="142">
        <f t="shared" si="76"/>
        <v>1767.2</v>
      </c>
      <c r="O277" s="142">
        <f t="shared" si="76"/>
        <v>1213.7</v>
      </c>
      <c r="P277" s="142">
        <f t="shared" si="76"/>
        <v>507.01</v>
      </c>
      <c r="Q277" s="142" t="str">
        <f t="shared" si="76"/>
        <v>-</v>
      </c>
      <c r="R277" s="142">
        <f t="shared" si="76"/>
        <v>3532.6800000000003</v>
      </c>
    </row>
    <row r="278" spans="1:18" ht="11.25" customHeight="1">
      <c r="A278" s="99">
        <v>2018</v>
      </c>
      <c r="B278" s="142" t="str">
        <f t="shared" ref="B278:I278" si="77">B47</f>
        <v>-</v>
      </c>
      <c r="C278" s="142" t="str">
        <f t="shared" si="77"/>
        <v>-</v>
      </c>
      <c r="D278" s="142">
        <f t="shared" si="77"/>
        <v>351.74</v>
      </c>
      <c r="E278" s="142">
        <f t="shared" si="77"/>
        <v>2268.5700000000002</v>
      </c>
      <c r="F278" s="142">
        <f t="shared" si="77"/>
        <v>420.47</v>
      </c>
      <c r="G278" s="142" t="str">
        <f t="shared" si="77"/>
        <v>-</v>
      </c>
      <c r="H278" s="142" t="str">
        <f t="shared" si="77"/>
        <v>-</v>
      </c>
      <c r="I278" s="142">
        <f t="shared" si="77"/>
        <v>3040.7800000000007</v>
      </c>
      <c r="K278" s="142" t="str">
        <f t="shared" ref="K278:R278" si="78">K47</f>
        <v>-</v>
      </c>
      <c r="L278" s="142" t="str">
        <f t="shared" si="78"/>
        <v>-</v>
      </c>
      <c r="M278" s="142">
        <f t="shared" si="78"/>
        <v>548.48</v>
      </c>
      <c r="N278" s="142">
        <f t="shared" si="78"/>
        <v>3169.66</v>
      </c>
      <c r="O278" s="142">
        <f t="shared" si="78"/>
        <v>1220.56</v>
      </c>
      <c r="P278" s="142" t="str">
        <f t="shared" si="78"/>
        <v>-</v>
      </c>
      <c r="Q278" s="142" t="str">
        <f t="shared" si="78"/>
        <v>-</v>
      </c>
      <c r="R278" s="142">
        <f t="shared" si="78"/>
        <v>4938.7</v>
      </c>
    </row>
    <row r="279" spans="1:18" ht="11.25" customHeight="1">
      <c r="A279" s="99">
        <v>2019</v>
      </c>
      <c r="B279" s="142" t="str">
        <f t="shared" ref="B279:I279" si="79">B48</f>
        <v>-</v>
      </c>
      <c r="C279" s="142" t="str">
        <f t="shared" si="79"/>
        <v>-</v>
      </c>
      <c r="D279" s="142">
        <f t="shared" si="79"/>
        <v>1474.38</v>
      </c>
      <c r="E279" s="142">
        <f t="shared" si="79"/>
        <v>2384.63</v>
      </c>
      <c r="F279" s="142" t="str">
        <f t="shared" si="79"/>
        <v>-</v>
      </c>
      <c r="G279" s="142" t="str">
        <f t="shared" si="79"/>
        <v>-</v>
      </c>
      <c r="H279" s="142" t="str">
        <f t="shared" si="79"/>
        <v>-</v>
      </c>
      <c r="I279" s="142">
        <f t="shared" si="79"/>
        <v>3859.01</v>
      </c>
      <c r="K279" s="142" t="str">
        <f t="shared" ref="K279:R279" si="80">K48</f>
        <v>-</v>
      </c>
      <c r="L279" s="142" t="str">
        <f t="shared" si="80"/>
        <v>-</v>
      </c>
      <c r="M279" s="142">
        <f t="shared" si="80"/>
        <v>753.88</v>
      </c>
      <c r="N279" s="142">
        <f t="shared" si="80"/>
        <v>3343.59</v>
      </c>
      <c r="O279" s="142">
        <f t="shared" si="80"/>
        <v>1763.54</v>
      </c>
      <c r="P279" s="142">
        <f t="shared" si="80"/>
        <v>318.23</v>
      </c>
      <c r="Q279" s="142" t="str">
        <f t="shared" si="80"/>
        <v>-</v>
      </c>
      <c r="R279" s="142">
        <f t="shared" si="80"/>
        <v>6179.24</v>
      </c>
    </row>
    <row r="280" spans="1:18" ht="11.25" customHeight="1">
      <c r="A280" s="239" t="s">
        <v>307</v>
      </c>
      <c r="B280" s="142" t="str">
        <f t="shared" ref="B280:I281" si="81">B49</f>
        <v>-</v>
      </c>
      <c r="C280" s="142" t="str">
        <f t="shared" si="81"/>
        <v>-</v>
      </c>
      <c r="D280" s="142">
        <f t="shared" si="81"/>
        <v>550.71</v>
      </c>
      <c r="E280" s="142">
        <f t="shared" si="81"/>
        <v>1400.36</v>
      </c>
      <c r="F280" s="142">
        <f t="shared" si="81"/>
        <v>49.42</v>
      </c>
      <c r="G280" s="142" t="str">
        <f t="shared" si="81"/>
        <v>-</v>
      </c>
      <c r="H280" s="142" t="str">
        <f t="shared" si="81"/>
        <v>-</v>
      </c>
      <c r="I280" s="142">
        <f t="shared" si="81"/>
        <v>2000.49</v>
      </c>
      <c r="K280" s="142" t="str">
        <f t="shared" ref="K280:R281" si="82">K49</f>
        <v>-</v>
      </c>
      <c r="L280" s="142" t="str">
        <f t="shared" si="82"/>
        <v>-</v>
      </c>
      <c r="M280" s="142">
        <f t="shared" si="82"/>
        <v>49.98</v>
      </c>
      <c r="N280" s="142">
        <f t="shared" si="82"/>
        <v>2381.15</v>
      </c>
      <c r="O280" s="142">
        <f t="shared" si="82"/>
        <v>623.66</v>
      </c>
      <c r="P280" s="142" t="str">
        <f t="shared" si="82"/>
        <v>-</v>
      </c>
      <c r="Q280" s="142" t="str">
        <f t="shared" si="82"/>
        <v>-</v>
      </c>
      <c r="R280" s="142">
        <f t="shared" si="82"/>
        <v>3054.79</v>
      </c>
    </row>
    <row r="281" spans="1:18" ht="11.25" customHeight="1">
      <c r="A281" s="239" t="s">
        <v>326</v>
      </c>
      <c r="B281" s="142" t="str">
        <f t="shared" si="81"/>
        <v>-</v>
      </c>
      <c r="C281" s="142" t="str">
        <f t="shared" si="81"/>
        <v>-</v>
      </c>
      <c r="D281" s="142">
        <f t="shared" si="81"/>
        <v>632.5</v>
      </c>
      <c r="E281" s="142">
        <f t="shared" si="81"/>
        <v>3541.76</v>
      </c>
      <c r="F281" s="142">
        <f t="shared" si="81"/>
        <v>214.68</v>
      </c>
      <c r="G281" s="142">
        <f t="shared" si="81"/>
        <v>28.01</v>
      </c>
      <c r="H281" s="142" t="str">
        <f t="shared" si="81"/>
        <v>-</v>
      </c>
      <c r="I281" s="142">
        <f t="shared" si="81"/>
        <v>4416.9500000000007</v>
      </c>
      <c r="K281" s="142" t="str">
        <f t="shared" si="82"/>
        <v>-</v>
      </c>
      <c r="L281" s="142" t="str">
        <f t="shared" si="82"/>
        <v>-</v>
      </c>
      <c r="M281" s="142">
        <f t="shared" si="82"/>
        <v>3.79</v>
      </c>
      <c r="N281" s="142">
        <f t="shared" si="82"/>
        <v>1144.27</v>
      </c>
      <c r="O281" s="142">
        <f t="shared" si="82"/>
        <v>1027.17</v>
      </c>
      <c r="P281" s="142">
        <f t="shared" si="82"/>
        <v>442.45</v>
      </c>
      <c r="Q281" s="142" t="str">
        <f t="shared" si="82"/>
        <v>-</v>
      </c>
      <c r="R281" s="142">
        <f t="shared" si="82"/>
        <v>2617.6799999999998</v>
      </c>
    </row>
    <row r="282" spans="1:18" ht="10.25" customHeight="1"/>
    <row r="283" spans="1:18">
      <c r="A283" s="94" t="s">
        <v>60</v>
      </c>
    </row>
    <row r="284" spans="1:18" ht="11.25" customHeight="1">
      <c r="A284" s="71" t="s">
        <v>24</v>
      </c>
      <c r="B284" s="142" t="s">
        <v>23</v>
      </c>
      <c r="C284" s="142">
        <f t="shared" ref="C284:I284" si="83">AVERAGE(C58:C62)</f>
        <v>0</v>
      </c>
      <c r="D284" s="142">
        <f t="shared" si="83"/>
        <v>7</v>
      </c>
      <c r="E284" s="142">
        <f t="shared" si="83"/>
        <v>132.19999999999999</v>
      </c>
      <c r="F284" s="142">
        <f t="shared" si="83"/>
        <v>166.4</v>
      </c>
      <c r="G284" s="142">
        <f t="shared" si="83"/>
        <v>8</v>
      </c>
      <c r="H284" s="142" t="s">
        <v>23</v>
      </c>
      <c r="I284" s="142">
        <f t="shared" si="83"/>
        <v>304.39999999999998</v>
      </c>
      <c r="K284" s="142" t="s">
        <v>23</v>
      </c>
      <c r="L284" s="142">
        <f t="shared" ref="L284:R284" si="84">AVERAGE(L58:L62)</f>
        <v>0</v>
      </c>
      <c r="M284" s="142">
        <f t="shared" si="84"/>
        <v>72.333333333333329</v>
      </c>
      <c r="N284" s="142">
        <f t="shared" si="84"/>
        <v>860.8</v>
      </c>
      <c r="O284" s="142">
        <f t="shared" si="84"/>
        <v>2786.4</v>
      </c>
      <c r="P284" s="142">
        <f t="shared" si="84"/>
        <v>251</v>
      </c>
      <c r="Q284" s="142" t="s">
        <v>23</v>
      </c>
      <c r="R284" s="142">
        <f t="shared" si="84"/>
        <v>3791</v>
      </c>
    </row>
    <row r="285" spans="1:18" ht="11.25" customHeight="1">
      <c r="A285" s="71" t="s">
        <v>264</v>
      </c>
      <c r="B285" s="142" t="s">
        <v>23</v>
      </c>
      <c r="C285" s="142">
        <f t="shared" ref="C285:I285" si="85">AVERAGE(C63:C67)</f>
        <v>9</v>
      </c>
      <c r="D285" s="142">
        <f t="shared" si="85"/>
        <v>10.333333333333334</v>
      </c>
      <c r="E285" s="142">
        <f t="shared" si="85"/>
        <v>302.60000000000002</v>
      </c>
      <c r="F285" s="142">
        <f t="shared" si="85"/>
        <v>92.5</v>
      </c>
      <c r="G285" s="142">
        <f t="shared" si="85"/>
        <v>15</v>
      </c>
      <c r="H285" s="142" t="s">
        <v>23</v>
      </c>
      <c r="I285" s="142">
        <f t="shared" si="85"/>
        <v>390.6</v>
      </c>
      <c r="K285" s="142" t="s">
        <v>23</v>
      </c>
      <c r="L285" s="142" t="s">
        <v>23</v>
      </c>
      <c r="M285" s="142">
        <f t="shared" ref="M285:R285" si="86">AVERAGE(M63:M67)</f>
        <v>36.666666666666664</v>
      </c>
      <c r="N285" s="142">
        <f t="shared" si="86"/>
        <v>2129.4</v>
      </c>
      <c r="O285" s="142">
        <f t="shared" si="86"/>
        <v>1025.5</v>
      </c>
      <c r="P285" s="142">
        <f t="shared" si="86"/>
        <v>124.5</v>
      </c>
      <c r="Q285" s="142" t="s">
        <v>23</v>
      </c>
      <c r="R285" s="142">
        <f t="shared" si="86"/>
        <v>3021.6</v>
      </c>
    </row>
    <row r="286" spans="1:18" ht="11.25" customHeight="1">
      <c r="A286" s="71" t="s">
        <v>10</v>
      </c>
      <c r="B286" s="142" t="s">
        <v>23</v>
      </c>
      <c r="C286" s="142" t="s">
        <v>23</v>
      </c>
      <c r="D286" s="142" t="s">
        <v>23</v>
      </c>
      <c r="E286" s="142">
        <f>AVERAGE(E68:E72)</f>
        <v>215</v>
      </c>
      <c r="F286" s="142">
        <f t="shared" ref="F286:R286" si="87">AVERAGE(F68:F72)</f>
        <v>31.333333333333332</v>
      </c>
      <c r="G286" s="142">
        <f t="shared" si="87"/>
        <v>29.333333333333332</v>
      </c>
      <c r="H286" s="142">
        <f t="shared" si="87"/>
        <v>2</v>
      </c>
      <c r="I286" s="142">
        <f t="shared" si="87"/>
        <v>207.25</v>
      </c>
      <c r="J286" s="142"/>
      <c r="K286" s="142" t="s">
        <v>23</v>
      </c>
      <c r="L286" s="142" t="s">
        <v>23</v>
      </c>
      <c r="M286" s="142" t="s">
        <v>23</v>
      </c>
      <c r="N286" s="142">
        <f t="shared" si="87"/>
        <v>2765.6666666666665</v>
      </c>
      <c r="O286" s="142">
        <f t="shared" si="87"/>
        <v>606</v>
      </c>
      <c r="P286" s="142">
        <f t="shared" si="87"/>
        <v>443.66666666666669</v>
      </c>
      <c r="Q286" s="142">
        <f t="shared" si="87"/>
        <v>2</v>
      </c>
      <c r="R286" s="142">
        <f t="shared" si="87"/>
        <v>3013.5</v>
      </c>
    </row>
    <row r="287" spans="1:18" ht="11.25" customHeight="1">
      <c r="A287" s="71" t="s">
        <v>144</v>
      </c>
      <c r="B287" s="142" t="s">
        <v>23</v>
      </c>
      <c r="C287" s="142" t="s">
        <v>23</v>
      </c>
      <c r="D287" s="142" t="s">
        <v>23</v>
      </c>
      <c r="E287" s="142">
        <f>AVERAGE(E73:E77)</f>
        <v>187.66666666666666</v>
      </c>
      <c r="F287" s="142">
        <f t="shared" ref="F287:R287" si="88">AVERAGE(F73:F77)</f>
        <v>125</v>
      </c>
      <c r="G287" s="142">
        <f t="shared" si="88"/>
        <v>53.5</v>
      </c>
      <c r="H287" s="142" t="s">
        <v>23</v>
      </c>
      <c r="I287" s="142">
        <f t="shared" si="88"/>
        <v>259</v>
      </c>
      <c r="J287" s="142"/>
      <c r="K287" s="142" t="s">
        <v>23</v>
      </c>
      <c r="L287" s="142" t="s">
        <v>23</v>
      </c>
      <c r="M287" s="142" t="s">
        <v>23</v>
      </c>
      <c r="N287" s="142">
        <f t="shared" si="88"/>
        <v>894.33333333333337</v>
      </c>
      <c r="O287" s="142">
        <f t="shared" si="88"/>
        <v>731.6</v>
      </c>
      <c r="P287" s="142">
        <f t="shared" si="88"/>
        <v>703.5</v>
      </c>
      <c r="Q287" s="142" t="s">
        <v>23</v>
      </c>
      <c r="R287" s="142">
        <f t="shared" si="88"/>
        <v>1549.6</v>
      </c>
    </row>
    <row r="288" spans="1:18" ht="11.25" customHeight="1">
      <c r="A288" s="71" t="s">
        <v>166</v>
      </c>
      <c r="B288" s="142" t="str">
        <f>+B78</f>
        <v>-</v>
      </c>
      <c r="C288" s="142">
        <f t="shared" ref="C288:I288" si="89">AVERAGE(C78:C82)</f>
        <v>7</v>
      </c>
      <c r="D288" s="142">
        <f t="shared" si="89"/>
        <v>96.333333333333329</v>
      </c>
      <c r="E288" s="142">
        <f t="shared" si="89"/>
        <v>739.8</v>
      </c>
      <c r="F288" s="142">
        <f t="shared" si="89"/>
        <v>540.79999999999995</v>
      </c>
      <c r="G288" s="142">
        <f t="shared" si="89"/>
        <v>195.2</v>
      </c>
      <c r="H288" s="142">
        <f t="shared" si="89"/>
        <v>50.8</v>
      </c>
      <c r="I288" s="142">
        <f t="shared" si="89"/>
        <v>1585.8</v>
      </c>
      <c r="K288" s="142" t="str">
        <f>+K78</f>
        <v>-</v>
      </c>
      <c r="L288" s="142" t="str">
        <f>+L78</f>
        <v>-</v>
      </c>
      <c r="M288" s="142" t="str">
        <f>+M78</f>
        <v>-</v>
      </c>
      <c r="N288" s="142">
        <f>AVERAGE(N78:N82)</f>
        <v>1110.4000000000001</v>
      </c>
      <c r="O288" s="142">
        <f>AVERAGE(O78:O82)</f>
        <v>1306</v>
      </c>
      <c r="P288" s="142">
        <f>AVERAGE(P78:P82)</f>
        <v>309</v>
      </c>
      <c r="Q288" s="142">
        <f>AVERAGE(Q78:Q82)</f>
        <v>10.4</v>
      </c>
      <c r="R288" s="142">
        <f>AVERAGE(R78:R82)</f>
        <v>2770.4</v>
      </c>
    </row>
    <row r="289" spans="1:18" ht="11.25" customHeight="1">
      <c r="A289" s="71" t="s">
        <v>315</v>
      </c>
      <c r="B289" s="142" t="str">
        <f>B83</f>
        <v>-</v>
      </c>
      <c r="C289" s="142" t="str">
        <f>C83</f>
        <v>-</v>
      </c>
      <c r="D289" s="142">
        <f>AVERAGE(D83:D87)</f>
        <v>40.2575</v>
      </c>
      <c r="E289" s="142">
        <f t="shared" ref="E289:I289" si="90">AVERAGE(E83:E87)</f>
        <v>221.94</v>
      </c>
      <c r="F289" s="142">
        <f t="shared" si="90"/>
        <v>529.17200000000003</v>
      </c>
      <c r="G289" s="142">
        <f t="shared" si="90"/>
        <v>140.70400000000001</v>
      </c>
      <c r="H289" s="142">
        <f t="shared" si="90"/>
        <v>47.703999999999994</v>
      </c>
      <c r="I289" s="142">
        <f t="shared" si="90"/>
        <v>971.726</v>
      </c>
      <c r="K289" s="142" t="str">
        <f t="shared" ref="K289:L289" si="91">K83</f>
        <v>-</v>
      </c>
      <c r="L289" s="142" t="str">
        <f t="shared" si="91"/>
        <v>-</v>
      </c>
      <c r="M289" s="142">
        <f t="shared" ref="M289:R289" si="92">AVERAGE(M83:M87)</f>
        <v>100.345</v>
      </c>
      <c r="N289" s="142">
        <f t="shared" si="92"/>
        <v>751.7940000000001</v>
      </c>
      <c r="O289" s="142">
        <f t="shared" si="92"/>
        <v>1641.752</v>
      </c>
      <c r="P289" s="142">
        <f t="shared" si="92"/>
        <v>193.67599999999999</v>
      </c>
      <c r="Q289" s="142">
        <f t="shared" si="92"/>
        <v>26.564</v>
      </c>
      <c r="R289" s="142">
        <f t="shared" si="92"/>
        <v>2653.924</v>
      </c>
    </row>
    <row r="290" spans="1:18" ht="11.25" customHeight="1">
      <c r="A290" s="71">
        <v>2011</v>
      </c>
      <c r="B290" s="142" t="str">
        <f t="shared" ref="B290:I290" si="93">+B88</f>
        <v>-</v>
      </c>
      <c r="C290" s="142" t="str">
        <f t="shared" si="93"/>
        <v>-</v>
      </c>
      <c r="D290" s="142">
        <f t="shared" si="93"/>
        <v>31.89</v>
      </c>
      <c r="E290" s="142">
        <f t="shared" si="93"/>
        <v>500.82</v>
      </c>
      <c r="F290" s="142">
        <f t="shared" si="93"/>
        <v>906.83</v>
      </c>
      <c r="G290" s="142">
        <f t="shared" si="93"/>
        <v>90.29</v>
      </c>
      <c r="H290" s="142">
        <f t="shared" si="93"/>
        <v>5</v>
      </c>
      <c r="I290" s="142">
        <f t="shared" si="93"/>
        <v>1534.83</v>
      </c>
      <c r="K290" s="142" t="str">
        <f t="shared" ref="K290:R290" si="94">+K88</f>
        <v>-</v>
      </c>
      <c r="L290" s="142" t="str">
        <f t="shared" si="94"/>
        <v>-</v>
      </c>
      <c r="M290" s="142">
        <f t="shared" si="94"/>
        <v>48.12</v>
      </c>
      <c r="N290" s="142">
        <f t="shared" si="94"/>
        <v>572.46</v>
      </c>
      <c r="O290" s="142">
        <f t="shared" si="94"/>
        <v>1028.72</v>
      </c>
      <c r="P290" s="142">
        <f t="shared" si="94"/>
        <v>398.47</v>
      </c>
      <c r="Q290" s="142">
        <f t="shared" si="94"/>
        <v>2.4500000000000002</v>
      </c>
      <c r="R290" s="142">
        <f t="shared" si="94"/>
        <v>2050.2200000000003</v>
      </c>
    </row>
    <row r="291" spans="1:18" ht="11.25" customHeight="1">
      <c r="A291" s="71">
        <v>2012</v>
      </c>
      <c r="B291" s="142" t="str">
        <f t="shared" ref="B291:I291" si="95">+B89</f>
        <v>-</v>
      </c>
      <c r="C291" s="142" t="str">
        <f t="shared" si="95"/>
        <v>-</v>
      </c>
      <c r="D291" s="142">
        <f t="shared" si="95"/>
        <v>85.64</v>
      </c>
      <c r="E291" s="142">
        <f t="shared" si="95"/>
        <v>462.75</v>
      </c>
      <c r="F291" s="142">
        <f t="shared" si="95"/>
        <v>443.12</v>
      </c>
      <c r="G291" s="142">
        <f t="shared" si="95"/>
        <v>153.46</v>
      </c>
      <c r="H291" s="142">
        <f t="shared" si="95"/>
        <v>132.59</v>
      </c>
      <c r="I291" s="142">
        <f t="shared" si="95"/>
        <v>1277.56</v>
      </c>
      <c r="K291" s="142" t="str">
        <f t="shared" ref="K291:R291" si="96">+K89</f>
        <v>-</v>
      </c>
      <c r="L291" s="142" t="str">
        <f t="shared" si="96"/>
        <v>-</v>
      </c>
      <c r="M291" s="142" t="str">
        <f t="shared" si="96"/>
        <v>-</v>
      </c>
      <c r="N291" s="142">
        <f t="shared" si="96"/>
        <v>472.9</v>
      </c>
      <c r="O291" s="142">
        <f t="shared" si="96"/>
        <v>1052.05</v>
      </c>
      <c r="P291" s="142">
        <f t="shared" si="96"/>
        <v>697.64</v>
      </c>
      <c r="Q291" s="142">
        <f t="shared" si="96"/>
        <v>20.81</v>
      </c>
      <c r="R291" s="142">
        <f t="shared" si="96"/>
        <v>2243.3999999999996</v>
      </c>
    </row>
    <row r="292" spans="1:18" ht="11.25" customHeight="1">
      <c r="A292" s="71">
        <v>2013</v>
      </c>
      <c r="B292" s="142" t="str">
        <f t="shared" ref="B292:I292" si="97">+B90</f>
        <v>-</v>
      </c>
      <c r="C292" s="142">
        <f t="shared" si="97"/>
        <v>3.89</v>
      </c>
      <c r="D292" s="142">
        <f t="shared" si="97"/>
        <v>99.33</v>
      </c>
      <c r="E292" s="142">
        <f t="shared" si="97"/>
        <v>693.36</v>
      </c>
      <c r="F292" s="142">
        <f t="shared" si="97"/>
        <v>1287.54</v>
      </c>
      <c r="G292" s="142">
        <f t="shared" si="97"/>
        <v>152.44999999999999</v>
      </c>
      <c r="H292" s="142">
        <f t="shared" si="97"/>
        <v>118.68</v>
      </c>
      <c r="I292" s="142">
        <f t="shared" si="97"/>
        <v>2355.2499999999995</v>
      </c>
      <c r="K292" s="142" t="str">
        <f t="shared" ref="K292:R292" si="98">+K90</f>
        <v>-</v>
      </c>
      <c r="L292" s="142" t="str">
        <f t="shared" si="98"/>
        <v>-</v>
      </c>
      <c r="M292" s="142">
        <f t="shared" si="98"/>
        <v>57.04</v>
      </c>
      <c r="N292" s="142">
        <f t="shared" si="98"/>
        <v>439.4</v>
      </c>
      <c r="O292" s="142">
        <f t="shared" si="98"/>
        <v>2014.91</v>
      </c>
      <c r="P292" s="142">
        <f t="shared" si="98"/>
        <v>268.56</v>
      </c>
      <c r="Q292" s="142">
        <f t="shared" si="98"/>
        <v>17.72</v>
      </c>
      <c r="R292" s="142">
        <f t="shared" si="98"/>
        <v>2797.6299999999997</v>
      </c>
    </row>
    <row r="293" spans="1:18" ht="11.25" customHeight="1">
      <c r="A293" s="71">
        <v>2014</v>
      </c>
      <c r="B293" s="142" t="str">
        <f t="shared" ref="B293:I293" si="99">+B91</f>
        <v>-</v>
      </c>
      <c r="C293" s="142">
        <f t="shared" si="99"/>
        <v>0</v>
      </c>
      <c r="D293" s="142">
        <f t="shared" si="99"/>
        <v>227.06</v>
      </c>
      <c r="E293" s="142">
        <f t="shared" si="99"/>
        <v>725.35</v>
      </c>
      <c r="F293" s="142">
        <f t="shared" si="99"/>
        <v>405.53</v>
      </c>
      <c r="G293" s="142">
        <f t="shared" si="99"/>
        <v>115.42999999999999</v>
      </c>
      <c r="H293" s="142">
        <f t="shared" si="99"/>
        <v>110.29</v>
      </c>
      <c r="I293" s="142">
        <f t="shared" si="99"/>
        <v>1583.66</v>
      </c>
      <c r="K293" s="142" t="str">
        <f t="shared" ref="K293:R293" si="100">+K91</f>
        <v>-</v>
      </c>
      <c r="L293" s="142" t="str">
        <f t="shared" si="100"/>
        <v>-</v>
      </c>
      <c r="M293" s="142">
        <f t="shared" si="100"/>
        <v>102.07</v>
      </c>
      <c r="N293" s="142">
        <f t="shared" si="100"/>
        <v>921.53</v>
      </c>
      <c r="O293" s="142">
        <f t="shared" si="100"/>
        <v>2264.52</v>
      </c>
      <c r="P293" s="142">
        <f t="shared" si="100"/>
        <v>1121.1599999999999</v>
      </c>
      <c r="Q293" s="142">
        <f t="shared" si="100"/>
        <v>199.14</v>
      </c>
      <c r="R293" s="142">
        <f t="shared" si="100"/>
        <v>4608.42</v>
      </c>
    </row>
    <row r="294" spans="1:18" ht="11.25" customHeight="1">
      <c r="A294" s="71">
        <v>2015</v>
      </c>
      <c r="B294" s="142" t="str">
        <f t="shared" ref="B294:I294" si="101">+B92</f>
        <v>-</v>
      </c>
      <c r="C294" s="142">
        <f t="shared" si="101"/>
        <v>7.31</v>
      </c>
      <c r="D294" s="142">
        <f t="shared" si="101"/>
        <v>158.65</v>
      </c>
      <c r="E294" s="142">
        <f t="shared" si="101"/>
        <v>1417.26</v>
      </c>
      <c r="F294" s="142">
        <f t="shared" si="101"/>
        <v>536.91</v>
      </c>
      <c r="G294" s="142">
        <f t="shared" si="101"/>
        <v>114.91</v>
      </c>
      <c r="H294" s="142">
        <f t="shared" si="101"/>
        <v>164.41</v>
      </c>
      <c r="I294" s="142">
        <f t="shared" si="101"/>
        <v>2399.4499999999998</v>
      </c>
      <c r="K294" s="142" t="str">
        <f t="shared" ref="K294:R294" si="102">+K92</f>
        <v>-</v>
      </c>
      <c r="L294" s="142" t="str">
        <f t="shared" si="102"/>
        <v>-</v>
      </c>
      <c r="M294" s="142">
        <f t="shared" si="102"/>
        <v>36.700000000000003</v>
      </c>
      <c r="N294" s="142">
        <f t="shared" si="102"/>
        <v>195.38</v>
      </c>
      <c r="O294" s="142">
        <f t="shared" si="102"/>
        <v>156.36000000000001</v>
      </c>
      <c r="P294" s="142">
        <f t="shared" si="102"/>
        <v>177.59</v>
      </c>
      <c r="Q294" s="142">
        <f t="shared" si="102"/>
        <v>12.74</v>
      </c>
      <c r="R294" s="142">
        <f t="shared" si="102"/>
        <v>578.77</v>
      </c>
    </row>
    <row r="295" spans="1:18" ht="11.25" customHeight="1">
      <c r="A295" s="71">
        <v>2016</v>
      </c>
      <c r="B295" s="142" t="str">
        <f t="shared" ref="B295:I295" si="103">+B93</f>
        <v>-</v>
      </c>
      <c r="C295" s="142" t="str">
        <f t="shared" si="103"/>
        <v>-</v>
      </c>
      <c r="D295" s="142" t="str">
        <f t="shared" si="103"/>
        <v>-</v>
      </c>
      <c r="E295" s="142">
        <f t="shared" si="103"/>
        <v>221.44</v>
      </c>
      <c r="F295" s="142">
        <f t="shared" si="103"/>
        <v>33.81</v>
      </c>
      <c r="G295" s="142" t="str">
        <f t="shared" si="103"/>
        <v>-</v>
      </c>
      <c r="H295" s="142" t="str">
        <f t="shared" si="103"/>
        <v>-</v>
      </c>
      <c r="I295" s="142">
        <f t="shared" si="103"/>
        <v>255.25</v>
      </c>
      <c r="K295" s="142" t="str">
        <f t="shared" ref="K295:R295" si="104">+K93</f>
        <v>-</v>
      </c>
      <c r="L295" s="142" t="str">
        <f t="shared" si="104"/>
        <v>-</v>
      </c>
      <c r="M295" s="142" t="str">
        <f t="shared" si="104"/>
        <v>-</v>
      </c>
      <c r="N295" s="142">
        <f t="shared" si="104"/>
        <v>3.09</v>
      </c>
      <c r="O295" s="142">
        <f t="shared" si="104"/>
        <v>1.75</v>
      </c>
      <c r="P295" s="142" t="str">
        <f t="shared" si="104"/>
        <v>-</v>
      </c>
      <c r="Q295" s="142" t="str">
        <f t="shared" si="104"/>
        <v>-</v>
      </c>
      <c r="R295" s="142">
        <f t="shared" si="104"/>
        <v>4.84</v>
      </c>
    </row>
    <row r="296" spans="1:18" ht="11.25" customHeight="1">
      <c r="A296" s="99">
        <v>2017</v>
      </c>
      <c r="B296" s="142" t="str">
        <f t="shared" ref="B296:I296" si="105">+B94</f>
        <v>-</v>
      </c>
      <c r="C296" s="142" t="str">
        <f t="shared" si="105"/>
        <v>-</v>
      </c>
      <c r="D296" s="142">
        <f t="shared" si="105"/>
        <v>6.65</v>
      </c>
      <c r="E296" s="142">
        <f t="shared" si="105"/>
        <v>209.27</v>
      </c>
      <c r="F296" s="142">
        <f t="shared" si="105"/>
        <v>229.34</v>
      </c>
      <c r="G296" s="142">
        <f t="shared" si="105"/>
        <v>36.83</v>
      </c>
      <c r="H296" s="142" t="str">
        <f t="shared" si="105"/>
        <v>-</v>
      </c>
      <c r="I296" s="142">
        <f t="shared" si="105"/>
        <v>482.09</v>
      </c>
      <c r="K296" s="142" t="str">
        <f t="shared" ref="K296:R296" si="106">+K94</f>
        <v>-</v>
      </c>
      <c r="L296" s="142" t="str">
        <f t="shared" si="106"/>
        <v>-</v>
      </c>
      <c r="M296" s="142">
        <f t="shared" si="106"/>
        <v>13.3</v>
      </c>
      <c r="N296" s="142">
        <f t="shared" si="106"/>
        <v>158.81</v>
      </c>
      <c r="O296" s="142">
        <f t="shared" si="106"/>
        <v>1154.92</v>
      </c>
      <c r="P296" s="142">
        <f t="shared" si="106"/>
        <v>422.59</v>
      </c>
      <c r="Q296" s="142" t="str">
        <f t="shared" si="106"/>
        <v>-</v>
      </c>
      <c r="R296" s="142">
        <f t="shared" si="106"/>
        <v>1749.6200000000001</v>
      </c>
    </row>
    <row r="297" spans="1:18" ht="11.25" customHeight="1">
      <c r="A297" s="99">
        <v>2018</v>
      </c>
      <c r="B297" s="142" t="str">
        <f t="shared" ref="B297:I297" si="107">+B95</f>
        <v>-</v>
      </c>
      <c r="C297" s="142" t="str">
        <f t="shared" si="107"/>
        <v>-</v>
      </c>
      <c r="D297" s="142">
        <f t="shared" si="107"/>
        <v>26.09</v>
      </c>
      <c r="E297" s="142">
        <f t="shared" si="107"/>
        <v>101.79</v>
      </c>
      <c r="F297" s="142">
        <f t="shared" si="107"/>
        <v>296.99</v>
      </c>
      <c r="G297" s="142">
        <f t="shared" si="107"/>
        <v>2</v>
      </c>
      <c r="H297" s="142" t="str">
        <f t="shared" si="107"/>
        <v>-</v>
      </c>
      <c r="I297" s="142">
        <f t="shared" si="107"/>
        <v>426.87</v>
      </c>
      <c r="K297" s="142" t="str">
        <f t="shared" ref="K297:R297" si="108">+K95</f>
        <v>-</v>
      </c>
      <c r="L297" s="142" t="str">
        <f t="shared" si="108"/>
        <v>-</v>
      </c>
      <c r="M297" s="142">
        <f t="shared" si="108"/>
        <v>25.16</v>
      </c>
      <c r="N297" s="142">
        <f t="shared" si="108"/>
        <v>94.29</v>
      </c>
      <c r="O297" s="142">
        <f t="shared" si="108"/>
        <v>813.61</v>
      </c>
      <c r="P297" s="142">
        <f t="shared" si="108"/>
        <v>21</v>
      </c>
      <c r="Q297" s="142" t="str">
        <f t="shared" si="108"/>
        <v>-</v>
      </c>
      <c r="R297" s="142">
        <f t="shared" si="108"/>
        <v>954.06000000000006</v>
      </c>
    </row>
    <row r="298" spans="1:18" ht="11.25" customHeight="1">
      <c r="A298" s="99">
        <v>2019</v>
      </c>
      <c r="B298" s="142" t="str">
        <f t="shared" ref="B298:I298" si="109">+B96</f>
        <v>-</v>
      </c>
      <c r="C298" s="142" t="str">
        <f t="shared" si="109"/>
        <v>-</v>
      </c>
      <c r="D298" s="142">
        <f t="shared" si="109"/>
        <v>9.74</v>
      </c>
      <c r="E298" s="142">
        <f t="shared" si="109"/>
        <v>216.21</v>
      </c>
      <c r="F298" s="142">
        <f t="shared" si="109"/>
        <v>189.67</v>
      </c>
      <c r="G298" s="142">
        <f t="shared" si="109"/>
        <v>33.46</v>
      </c>
      <c r="H298" s="142">
        <f t="shared" si="109"/>
        <v>164.35</v>
      </c>
      <c r="I298" s="142">
        <f t="shared" si="109"/>
        <v>613.42999999999995</v>
      </c>
      <c r="K298" s="142" t="str">
        <f t="shared" ref="K298:R298" si="110">+K96</f>
        <v>-</v>
      </c>
      <c r="L298" s="142" t="str">
        <f t="shared" si="110"/>
        <v>-</v>
      </c>
      <c r="M298" s="142">
        <f t="shared" si="110"/>
        <v>2</v>
      </c>
      <c r="N298" s="142">
        <f t="shared" si="110"/>
        <v>336.11</v>
      </c>
      <c r="O298" s="142">
        <f t="shared" si="110"/>
        <v>1095.42</v>
      </c>
      <c r="P298" s="142">
        <f t="shared" si="110"/>
        <v>318.07</v>
      </c>
      <c r="Q298" s="142">
        <f t="shared" si="110"/>
        <v>15.86</v>
      </c>
      <c r="R298" s="142">
        <f t="shared" si="110"/>
        <v>1767.46</v>
      </c>
    </row>
    <row r="299" spans="1:18" ht="11.25" customHeight="1">
      <c r="A299" s="239" t="s">
        <v>307</v>
      </c>
      <c r="B299" s="142" t="str">
        <f t="shared" ref="B299:I300" si="111">+B97</f>
        <v>-</v>
      </c>
      <c r="C299" s="142" t="str">
        <f t="shared" si="111"/>
        <v>-</v>
      </c>
      <c r="D299" s="142">
        <f t="shared" si="111"/>
        <v>0</v>
      </c>
      <c r="E299" s="142">
        <f t="shared" si="111"/>
        <v>12.71</v>
      </c>
      <c r="F299" s="142">
        <f t="shared" si="111"/>
        <v>4.3</v>
      </c>
      <c r="G299" s="142">
        <f t="shared" si="111"/>
        <v>0</v>
      </c>
      <c r="H299" s="142" t="str">
        <f t="shared" si="111"/>
        <v>-</v>
      </c>
      <c r="I299" s="142">
        <f t="shared" si="111"/>
        <v>17.010000000000002</v>
      </c>
      <c r="K299" s="142" t="str">
        <f t="shared" ref="K299:R300" si="112">+K97</f>
        <v>-</v>
      </c>
      <c r="L299" s="142" t="str">
        <f t="shared" si="112"/>
        <v>-</v>
      </c>
      <c r="M299" s="142">
        <f t="shared" si="112"/>
        <v>0</v>
      </c>
      <c r="N299" s="142">
        <f t="shared" si="112"/>
        <v>4.8</v>
      </c>
      <c r="O299" s="142">
        <f t="shared" si="112"/>
        <v>166.37</v>
      </c>
      <c r="P299" s="142">
        <f t="shared" si="112"/>
        <v>22.85</v>
      </c>
      <c r="Q299" s="142" t="str">
        <f t="shared" si="112"/>
        <v>-</v>
      </c>
      <c r="R299" s="142">
        <f t="shared" si="112"/>
        <v>194.02</v>
      </c>
    </row>
    <row r="300" spans="1:18" ht="11.25" customHeight="1">
      <c r="A300" s="239" t="s">
        <v>326</v>
      </c>
      <c r="B300" s="142" t="str">
        <f t="shared" si="111"/>
        <v>-</v>
      </c>
      <c r="C300" s="142" t="str">
        <f t="shared" si="111"/>
        <v>-</v>
      </c>
      <c r="D300" s="142">
        <f t="shared" si="111"/>
        <v>0</v>
      </c>
      <c r="E300" s="142">
        <f t="shared" si="111"/>
        <v>224.71</v>
      </c>
      <c r="F300" s="142">
        <f t="shared" si="111"/>
        <v>91.82</v>
      </c>
      <c r="G300" s="142">
        <f t="shared" si="111"/>
        <v>12.09</v>
      </c>
      <c r="H300" s="142" t="str">
        <f t="shared" si="111"/>
        <v>-</v>
      </c>
      <c r="I300" s="142">
        <f t="shared" si="111"/>
        <v>328.61999999999995</v>
      </c>
      <c r="K300" s="142" t="str">
        <f t="shared" si="112"/>
        <v>-</v>
      </c>
      <c r="L300" s="142" t="str">
        <f t="shared" si="112"/>
        <v>-</v>
      </c>
      <c r="M300" s="142">
        <f t="shared" si="112"/>
        <v>0</v>
      </c>
      <c r="N300" s="142">
        <f t="shared" si="112"/>
        <v>270.97000000000003</v>
      </c>
      <c r="O300" s="142">
        <f t="shared" si="112"/>
        <v>867.3</v>
      </c>
      <c r="P300" s="142">
        <f t="shared" si="112"/>
        <v>209.17</v>
      </c>
      <c r="Q300" s="142" t="str">
        <f t="shared" si="112"/>
        <v>-</v>
      </c>
      <c r="R300" s="142">
        <f t="shared" si="112"/>
        <v>1347.44</v>
      </c>
    </row>
    <row r="301" spans="1:18" ht="10.25" customHeight="1"/>
    <row r="302" spans="1:18" ht="10.25" customHeight="1">
      <c r="A302" s="282" t="s">
        <v>4</v>
      </c>
      <c r="B302" s="282"/>
      <c r="C302" s="282"/>
      <c r="D302" s="282"/>
      <c r="E302" s="282"/>
      <c r="F302" s="282"/>
      <c r="G302" s="282"/>
      <c r="H302" s="282"/>
      <c r="I302" s="282"/>
      <c r="J302" s="282"/>
      <c r="K302" s="282"/>
      <c r="L302" s="282"/>
      <c r="M302" s="282"/>
      <c r="N302" s="282"/>
      <c r="O302" s="282"/>
      <c r="P302" s="282"/>
      <c r="Q302" s="282"/>
      <c r="R302" s="282"/>
    </row>
    <row r="303" spans="1:18" ht="10.25" customHeight="1">
      <c r="A303" s="5" t="s">
        <v>27</v>
      </c>
      <c r="B303" s="15" t="s">
        <v>28</v>
      </c>
      <c r="C303" s="15" t="s">
        <v>29</v>
      </c>
      <c r="D303" s="15" t="s">
        <v>30</v>
      </c>
      <c r="E303" s="15" t="s">
        <v>31</v>
      </c>
      <c r="F303" s="15" t="s">
        <v>32</v>
      </c>
      <c r="G303" s="15" t="s">
        <v>33</v>
      </c>
      <c r="H303" s="15" t="s">
        <v>34</v>
      </c>
      <c r="I303" s="15" t="s">
        <v>22</v>
      </c>
      <c r="J303" s="196"/>
      <c r="K303" s="15" t="s">
        <v>28</v>
      </c>
      <c r="L303" s="15" t="s">
        <v>29</v>
      </c>
      <c r="M303" s="15" t="s">
        <v>30</v>
      </c>
      <c r="N303" s="15" t="s">
        <v>31</v>
      </c>
      <c r="O303" s="15" t="s">
        <v>32</v>
      </c>
      <c r="P303" s="15" t="s">
        <v>33</v>
      </c>
      <c r="Q303" s="15" t="s">
        <v>34</v>
      </c>
      <c r="R303" s="15" t="s">
        <v>22</v>
      </c>
    </row>
    <row r="304" spans="1:18" ht="12.75" customHeight="1">
      <c r="B304" s="334" t="s">
        <v>61</v>
      </c>
      <c r="C304" s="334"/>
      <c r="D304" s="334"/>
      <c r="E304" s="334"/>
      <c r="F304" s="334"/>
      <c r="G304" s="334"/>
      <c r="H304" s="334"/>
      <c r="I304" s="334"/>
      <c r="J304" s="14"/>
      <c r="K304" s="334" t="s">
        <v>62</v>
      </c>
      <c r="L304" s="334"/>
      <c r="M304" s="334"/>
      <c r="N304" s="334"/>
      <c r="O304" s="334"/>
      <c r="P304" s="334"/>
      <c r="Q304" s="334"/>
      <c r="R304" s="334"/>
    </row>
    <row r="305" spans="1:18">
      <c r="A305" s="94" t="s">
        <v>58</v>
      </c>
    </row>
    <row r="306" spans="1:18" ht="11.25" customHeight="1">
      <c r="A306" s="71" t="s">
        <v>24</v>
      </c>
      <c r="B306" s="142" t="s">
        <v>23</v>
      </c>
      <c r="C306" s="142">
        <f t="shared" ref="C306:I306" si="113">AVERAGE(C106:C110)</f>
        <v>2328</v>
      </c>
      <c r="D306" s="142">
        <f t="shared" si="113"/>
        <v>16252.5</v>
      </c>
      <c r="E306" s="142">
        <f t="shared" si="113"/>
        <v>17396.8</v>
      </c>
      <c r="F306" s="142">
        <f t="shared" si="113"/>
        <v>7512.6</v>
      </c>
      <c r="G306" s="142">
        <f t="shared" si="113"/>
        <v>406.5</v>
      </c>
      <c r="H306" s="142">
        <f t="shared" si="113"/>
        <v>17</v>
      </c>
      <c r="I306" s="142">
        <f t="shared" si="113"/>
        <v>40102.400000000001</v>
      </c>
      <c r="K306" s="142" t="s">
        <v>23</v>
      </c>
      <c r="L306" s="142">
        <f t="shared" ref="L306:R306" si="114">AVERAGE(L106:L110)</f>
        <v>2457</v>
      </c>
      <c r="M306" s="142">
        <f t="shared" si="114"/>
        <v>11790.25</v>
      </c>
      <c r="N306" s="142">
        <f t="shared" si="114"/>
        <v>27665.200000000001</v>
      </c>
      <c r="O306" s="142">
        <f t="shared" si="114"/>
        <v>22997.200000000001</v>
      </c>
      <c r="P306" s="142">
        <f t="shared" si="114"/>
        <v>3370.5</v>
      </c>
      <c r="Q306" s="142">
        <f t="shared" si="114"/>
        <v>34</v>
      </c>
      <c r="R306" s="142">
        <f t="shared" si="114"/>
        <v>63289.2</v>
      </c>
    </row>
    <row r="307" spans="1:18" ht="11.25" customHeight="1">
      <c r="A307" s="71" t="s">
        <v>78</v>
      </c>
      <c r="B307" s="142" t="s">
        <v>23</v>
      </c>
      <c r="C307" s="142">
        <f t="shared" ref="C307:I307" si="115">AVERAGE(C111:C115)</f>
        <v>667</v>
      </c>
      <c r="D307" s="142">
        <f t="shared" si="115"/>
        <v>1538.5</v>
      </c>
      <c r="E307" s="142">
        <f t="shared" si="115"/>
        <v>10334</v>
      </c>
      <c r="F307" s="142">
        <f t="shared" si="115"/>
        <v>5012.2</v>
      </c>
      <c r="G307" s="142">
        <f t="shared" si="115"/>
        <v>1692</v>
      </c>
      <c r="H307" s="142" t="s">
        <v>23</v>
      </c>
      <c r="I307" s="142">
        <f t="shared" si="115"/>
        <v>17387.2</v>
      </c>
      <c r="K307" s="142" t="s">
        <v>23</v>
      </c>
      <c r="L307" s="142">
        <f t="shared" ref="L307:R307" si="116">AVERAGE(L111:L115)</f>
        <v>19</v>
      </c>
      <c r="M307" s="142">
        <f t="shared" si="116"/>
        <v>2219.75</v>
      </c>
      <c r="N307" s="142">
        <f t="shared" si="116"/>
        <v>40125.4</v>
      </c>
      <c r="O307" s="142">
        <f t="shared" si="116"/>
        <v>23296</v>
      </c>
      <c r="P307" s="142">
        <f t="shared" si="116"/>
        <v>7004.333333333333</v>
      </c>
      <c r="Q307" s="142">
        <f t="shared" si="116"/>
        <v>44.5</v>
      </c>
      <c r="R307" s="142">
        <f t="shared" si="116"/>
        <v>69421.399999999994</v>
      </c>
    </row>
    <row r="308" spans="1:18" ht="11.25" customHeight="1">
      <c r="A308" s="71" t="s">
        <v>10</v>
      </c>
      <c r="B308" s="142" t="s">
        <v>23</v>
      </c>
      <c r="C308" s="142" t="s">
        <v>23</v>
      </c>
      <c r="D308" s="142">
        <f>AVERAGE(D116:D120)</f>
        <v>1911</v>
      </c>
      <c r="E308" s="142">
        <f t="shared" ref="E308:R308" si="117">AVERAGE(E116:E120)</f>
        <v>3061.5</v>
      </c>
      <c r="F308" s="142">
        <f t="shared" si="117"/>
        <v>2764.25</v>
      </c>
      <c r="G308" s="142">
        <f t="shared" si="117"/>
        <v>1495.75</v>
      </c>
      <c r="H308" s="142">
        <f t="shared" si="117"/>
        <v>213</v>
      </c>
      <c r="I308" s="142">
        <f t="shared" si="117"/>
        <v>7852.5</v>
      </c>
      <c r="J308" s="142"/>
      <c r="K308" s="142" t="s">
        <v>23</v>
      </c>
      <c r="L308" s="142" t="s">
        <v>23</v>
      </c>
      <c r="M308" s="142">
        <f t="shared" si="117"/>
        <v>6781</v>
      </c>
      <c r="N308" s="142">
        <f t="shared" si="117"/>
        <v>24170.25</v>
      </c>
      <c r="O308" s="142">
        <f t="shared" si="117"/>
        <v>19803</v>
      </c>
      <c r="P308" s="142">
        <f t="shared" si="117"/>
        <v>8577.5</v>
      </c>
      <c r="Q308" s="142">
        <f t="shared" si="117"/>
        <v>322</v>
      </c>
      <c r="R308" s="142">
        <f t="shared" si="117"/>
        <v>54326.5</v>
      </c>
    </row>
    <row r="309" spans="1:18" ht="11.25" customHeight="1">
      <c r="A309" s="71" t="s">
        <v>144</v>
      </c>
      <c r="B309" s="142" t="s">
        <v>23</v>
      </c>
      <c r="C309" s="142" t="s">
        <v>23</v>
      </c>
      <c r="D309" s="142" t="s">
        <v>23</v>
      </c>
      <c r="E309" s="142">
        <f t="shared" ref="E309:R309" si="118">AVERAGE(E121:E125)</f>
        <v>1907.75</v>
      </c>
      <c r="F309" s="142">
        <f t="shared" si="118"/>
        <v>1666.8</v>
      </c>
      <c r="G309" s="142">
        <f t="shared" si="118"/>
        <v>584.66666666666663</v>
      </c>
      <c r="H309" s="142" t="s">
        <v>23</v>
      </c>
      <c r="I309" s="142">
        <f t="shared" si="118"/>
        <v>3543.8</v>
      </c>
      <c r="J309" s="142"/>
      <c r="K309" s="142" t="s">
        <v>23</v>
      </c>
      <c r="L309" s="142" t="s">
        <v>23</v>
      </c>
      <c r="M309" s="142" t="s">
        <v>23</v>
      </c>
      <c r="N309" s="142">
        <f t="shared" si="118"/>
        <v>8643.75</v>
      </c>
      <c r="O309" s="142">
        <f t="shared" si="118"/>
        <v>9154.6</v>
      </c>
      <c r="P309" s="142">
        <f t="shared" si="118"/>
        <v>1240.75</v>
      </c>
      <c r="Q309" s="142" t="s">
        <v>23</v>
      </c>
      <c r="R309" s="142">
        <f t="shared" si="118"/>
        <v>17062.2</v>
      </c>
    </row>
    <row r="310" spans="1:18" ht="11.25" customHeight="1">
      <c r="A310" s="71" t="s">
        <v>166</v>
      </c>
      <c r="B310" s="142" t="str">
        <f>+B126</f>
        <v>-</v>
      </c>
      <c r="C310" s="142">
        <f>AVERAGE(C126:C130)</f>
        <v>2313</v>
      </c>
      <c r="D310" s="142">
        <f t="shared" ref="D310:G310" si="119">AVERAGE(D126:D130)</f>
        <v>4116.75</v>
      </c>
      <c r="E310" s="142">
        <f t="shared" si="119"/>
        <v>9697.6</v>
      </c>
      <c r="F310" s="142">
        <f t="shared" si="119"/>
        <v>7559.2</v>
      </c>
      <c r="G310" s="142">
        <f t="shared" si="119"/>
        <v>2200</v>
      </c>
      <c r="H310" s="142" t="str">
        <f>+H126</f>
        <v>-</v>
      </c>
      <c r="I310" s="142">
        <f>AVERAGE(I126:I183)</f>
        <v>11439.990545454542</v>
      </c>
      <c r="K310" s="142" t="str">
        <f>+K126</f>
        <v>-</v>
      </c>
      <c r="L310" s="142">
        <f t="shared" ref="L310:R310" si="120">AVERAGE(L126:L130)</f>
        <v>5</v>
      </c>
      <c r="M310" s="142">
        <f t="shared" si="120"/>
        <v>1073.5</v>
      </c>
      <c r="N310" s="142">
        <f t="shared" si="120"/>
        <v>12899.2</v>
      </c>
      <c r="O310" s="142">
        <f t="shared" si="120"/>
        <v>14113</v>
      </c>
      <c r="P310" s="142">
        <f t="shared" si="120"/>
        <v>7057</v>
      </c>
      <c r="Q310" s="142" t="str">
        <f>+Q126</f>
        <v>-</v>
      </c>
      <c r="R310" s="142">
        <f t="shared" si="120"/>
        <v>33517.599999999999</v>
      </c>
    </row>
    <row r="311" spans="1:18" ht="11.25" customHeight="1">
      <c r="A311" s="71" t="s">
        <v>315</v>
      </c>
      <c r="B311" s="142" t="str">
        <f>B131</f>
        <v>-</v>
      </c>
      <c r="C311" s="142" t="str">
        <f>C131</f>
        <v>-</v>
      </c>
      <c r="D311" s="142">
        <f>AVERAGE(D131:D135)</f>
        <v>2326.7066666666669</v>
      </c>
      <c r="E311" s="142">
        <f t="shared" ref="E311:I311" si="121">AVERAGE(E131:E135)</f>
        <v>4254.5759999999991</v>
      </c>
      <c r="F311" s="142">
        <f t="shared" si="121"/>
        <v>4316.9940000000006</v>
      </c>
      <c r="G311" s="142">
        <f t="shared" si="121"/>
        <v>576.05399999999997</v>
      </c>
      <c r="H311" s="142" t="str">
        <f>H131</f>
        <v>-</v>
      </c>
      <c r="I311" s="142">
        <f t="shared" si="121"/>
        <v>10543.648000000001</v>
      </c>
      <c r="K311" s="142" t="str">
        <f>K131</f>
        <v>-</v>
      </c>
      <c r="L311" s="142" t="str">
        <f>L131</f>
        <v>-</v>
      </c>
      <c r="M311" s="142">
        <f t="shared" ref="M311:R311" si="122">AVERAGE(M131:M135)</f>
        <v>204.80999999999997</v>
      </c>
      <c r="N311" s="142">
        <f t="shared" si="122"/>
        <v>5254.4220000000005</v>
      </c>
      <c r="O311" s="142">
        <f t="shared" si="122"/>
        <v>12050.242</v>
      </c>
      <c r="P311" s="142">
        <f t="shared" si="122"/>
        <v>3727.1080000000002</v>
      </c>
      <c r="Q311" s="142" t="str">
        <f>Q131</f>
        <v>-</v>
      </c>
      <c r="R311" s="142">
        <f t="shared" si="122"/>
        <v>21154.658000000003</v>
      </c>
    </row>
    <row r="312" spans="1:18" ht="11.25" customHeight="1">
      <c r="A312" s="71">
        <v>2011</v>
      </c>
      <c r="B312" s="142" t="str">
        <f t="shared" ref="B312:I312" si="123">+B136</f>
        <v>-</v>
      </c>
      <c r="C312" s="142" t="str">
        <f t="shared" si="123"/>
        <v>-</v>
      </c>
      <c r="D312" s="142">
        <f t="shared" si="123"/>
        <v>2219.71</v>
      </c>
      <c r="E312" s="142">
        <f t="shared" si="123"/>
        <v>5579.44</v>
      </c>
      <c r="F312" s="142">
        <f t="shared" si="123"/>
        <v>10834.53</v>
      </c>
      <c r="G312" s="142">
        <f t="shared" si="123"/>
        <v>455.48</v>
      </c>
      <c r="H312" s="142" t="str">
        <f t="shared" si="123"/>
        <v>-</v>
      </c>
      <c r="I312" s="142">
        <f t="shared" si="123"/>
        <v>19089.16</v>
      </c>
      <c r="K312" s="142" t="str">
        <f t="shared" ref="K312:R312" si="124">+K136</f>
        <v>-</v>
      </c>
      <c r="L312" s="142" t="str">
        <f t="shared" si="124"/>
        <v>-</v>
      </c>
      <c r="M312" s="142">
        <f t="shared" si="124"/>
        <v>229.23</v>
      </c>
      <c r="N312" s="142">
        <f t="shared" si="124"/>
        <v>4498.6400000000003</v>
      </c>
      <c r="O312" s="142">
        <f t="shared" si="124"/>
        <v>6722.7</v>
      </c>
      <c r="P312" s="142">
        <f t="shared" si="124"/>
        <v>2392.35</v>
      </c>
      <c r="Q312" s="142" t="str">
        <f t="shared" si="124"/>
        <v>-</v>
      </c>
      <c r="R312" s="142">
        <f t="shared" si="124"/>
        <v>13842.92</v>
      </c>
    </row>
    <row r="313" spans="1:18" ht="11.25" customHeight="1">
      <c r="A313" s="71">
        <v>2012</v>
      </c>
      <c r="B313" s="142" t="str">
        <f t="shared" ref="B313:I313" si="125">+B137</f>
        <v>-</v>
      </c>
      <c r="C313" s="142" t="str">
        <f t="shared" si="125"/>
        <v>-</v>
      </c>
      <c r="D313" s="142">
        <f t="shared" si="125"/>
        <v>7574.4500000000007</v>
      </c>
      <c r="E313" s="142">
        <f t="shared" si="125"/>
        <v>4032.59</v>
      </c>
      <c r="F313" s="142">
        <f t="shared" si="125"/>
        <v>6708.65</v>
      </c>
      <c r="G313" s="142">
        <f t="shared" si="125"/>
        <v>1170.43</v>
      </c>
      <c r="H313" s="142" t="str">
        <f t="shared" si="125"/>
        <v>-</v>
      </c>
      <c r="I313" s="142">
        <f t="shared" si="125"/>
        <v>19486.120000000003</v>
      </c>
      <c r="K313" s="142" t="str">
        <f t="shared" ref="K313:R313" si="126">+K137</f>
        <v>-</v>
      </c>
      <c r="L313" s="142" t="str">
        <f t="shared" si="126"/>
        <v>-</v>
      </c>
      <c r="M313" s="142">
        <f t="shared" si="126"/>
        <v>183.9</v>
      </c>
      <c r="N313" s="142">
        <f t="shared" si="126"/>
        <v>3124.09</v>
      </c>
      <c r="O313" s="142">
        <f t="shared" si="126"/>
        <v>3374.55</v>
      </c>
      <c r="P313" s="142">
        <f t="shared" si="126"/>
        <v>5241.05</v>
      </c>
      <c r="Q313" s="142" t="str">
        <f t="shared" si="126"/>
        <v>-</v>
      </c>
      <c r="R313" s="142">
        <f t="shared" si="126"/>
        <v>11923.59</v>
      </c>
    </row>
    <row r="314" spans="1:18" ht="11.25" customHeight="1">
      <c r="A314" s="71">
        <v>2013</v>
      </c>
      <c r="B314" s="142" t="str">
        <f t="shared" ref="B314:I314" si="127">+B138</f>
        <v>-</v>
      </c>
      <c r="C314" s="142" t="str">
        <f t="shared" si="127"/>
        <v>-</v>
      </c>
      <c r="D314" s="142">
        <f t="shared" si="127"/>
        <v>2191.87</v>
      </c>
      <c r="E314" s="142">
        <f t="shared" si="127"/>
        <v>3402.53</v>
      </c>
      <c r="F314" s="142">
        <f t="shared" si="127"/>
        <v>7021.17</v>
      </c>
      <c r="G314" s="142">
        <f t="shared" si="127"/>
        <v>1073.68</v>
      </c>
      <c r="H314" s="142" t="str">
        <f t="shared" si="127"/>
        <v>-</v>
      </c>
      <c r="I314" s="142">
        <f t="shared" si="127"/>
        <v>13689.25</v>
      </c>
      <c r="K314" s="142" t="str">
        <f t="shared" ref="K314:R314" si="128">+K138</f>
        <v>-</v>
      </c>
      <c r="L314" s="142" t="str">
        <f t="shared" si="128"/>
        <v>-</v>
      </c>
      <c r="M314" s="142">
        <f t="shared" si="128"/>
        <v>378.96</v>
      </c>
      <c r="N314" s="142">
        <f t="shared" si="128"/>
        <v>3097.35</v>
      </c>
      <c r="O314" s="142">
        <f t="shared" si="128"/>
        <v>12233.16</v>
      </c>
      <c r="P314" s="142">
        <f t="shared" si="128"/>
        <v>4667.62</v>
      </c>
      <c r="Q314" s="142" t="str">
        <f t="shared" si="128"/>
        <v>-</v>
      </c>
      <c r="R314" s="142">
        <f t="shared" si="128"/>
        <v>20377.09</v>
      </c>
    </row>
    <row r="315" spans="1:18" ht="11.25" customHeight="1">
      <c r="A315" s="71">
        <v>2014</v>
      </c>
      <c r="B315" s="142" t="str">
        <f t="shared" ref="B315:I315" si="129">+B139</f>
        <v>-</v>
      </c>
      <c r="C315" s="142">
        <f t="shared" si="129"/>
        <v>426.92</v>
      </c>
      <c r="D315" s="142">
        <f t="shared" si="129"/>
        <v>3934.96</v>
      </c>
      <c r="E315" s="142">
        <f t="shared" si="129"/>
        <v>8189.61</v>
      </c>
      <c r="F315" s="142">
        <f t="shared" si="129"/>
        <v>9943.92</v>
      </c>
      <c r="G315" s="142">
        <f t="shared" si="129"/>
        <v>970.23</v>
      </c>
      <c r="H315" s="142" t="str">
        <f t="shared" si="129"/>
        <v>-</v>
      </c>
      <c r="I315" s="142">
        <f t="shared" si="129"/>
        <v>23465.64</v>
      </c>
      <c r="K315" s="142" t="str">
        <f t="shared" ref="K315:R315" si="130">+K139</f>
        <v>-</v>
      </c>
      <c r="L315" s="142" t="str">
        <f t="shared" si="130"/>
        <v>-</v>
      </c>
      <c r="M315" s="142">
        <f t="shared" si="130"/>
        <v>5934.61</v>
      </c>
      <c r="N315" s="142">
        <f t="shared" si="130"/>
        <v>17686.759999999998</v>
      </c>
      <c r="O315" s="142">
        <f t="shared" si="130"/>
        <v>17873.830000000002</v>
      </c>
      <c r="P315" s="142">
        <f t="shared" si="130"/>
        <v>12978.5</v>
      </c>
      <c r="Q315" s="142" t="str">
        <f t="shared" si="130"/>
        <v>-</v>
      </c>
      <c r="R315" s="142">
        <f t="shared" si="130"/>
        <v>54473.7</v>
      </c>
    </row>
    <row r="316" spans="1:18" ht="11.25" customHeight="1">
      <c r="A316" s="71">
        <v>2015</v>
      </c>
      <c r="B316" s="142" t="str">
        <f t="shared" ref="B316:I316" si="131">+B140</f>
        <v>-</v>
      </c>
      <c r="C316" s="142">
        <f t="shared" si="131"/>
        <v>430.87</v>
      </c>
      <c r="D316" s="142">
        <f t="shared" si="131"/>
        <v>3345.3399999999997</v>
      </c>
      <c r="E316" s="142">
        <f t="shared" si="131"/>
        <v>8048.46</v>
      </c>
      <c r="F316" s="142">
        <f t="shared" si="131"/>
        <v>4613.24</v>
      </c>
      <c r="G316" s="142">
        <f t="shared" si="131"/>
        <v>2682.03</v>
      </c>
      <c r="H316" s="142" t="str">
        <f t="shared" si="131"/>
        <v>-</v>
      </c>
      <c r="I316" s="142">
        <f t="shared" si="131"/>
        <v>19119.939999999999</v>
      </c>
      <c r="K316" s="142" t="str">
        <f t="shared" ref="K316:R316" si="132">+K140</f>
        <v>-</v>
      </c>
      <c r="L316" s="142" t="str">
        <f t="shared" si="132"/>
        <v>-</v>
      </c>
      <c r="M316" s="142">
        <f t="shared" si="132"/>
        <v>2357.4299999999998</v>
      </c>
      <c r="N316" s="142">
        <f t="shared" si="132"/>
        <v>12753.31</v>
      </c>
      <c r="O316" s="142">
        <f t="shared" si="132"/>
        <v>7357.5</v>
      </c>
      <c r="P316" s="142">
        <f t="shared" si="132"/>
        <v>8215.7199999999993</v>
      </c>
      <c r="Q316" s="142" t="str">
        <f t="shared" si="132"/>
        <v>-</v>
      </c>
      <c r="R316" s="142">
        <f t="shared" si="132"/>
        <v>30683.96</v>
      </c>
    </row>
    <row r="317" spans="1:18" ht="11.25" customHeight="1">
      <c r="A317" s="71">
        <v>2016</v>
      </c>
      <c r="B317" s="142" t="str">
        <f t="shared" ref="B317:I317" si="133">+B141</f>
        <v>-</v>
      </c>
      <c r="C317" s="142" t="str">
        <f t="shared" si="133"/>
        <v>-</v>
      </c>
      <c r="D317" s="142" t="str">
        <f t="shared" si="133"/>
        <v>-</v>
      </c>
      <c r="E317" s="142">
        <f t="shared" si="133"/>
        <v>4198.25</v>
      </c>
      <c r="F317" s="142">
        <f t="shared" si="133"/>
        <v>4231.6099999999997</v>
      </c>
      <c r="G317" s="142" t="str">
        <f t="shared" si="133"/>
        <v>-</v>
      </c>
      <c r="H317" s="142" t="str">
        <f t="shared" si="133"/>
        <v>-</v>
      </c>
      <c r="I317" s="142">
        <f t="shared" si="133"/>
        <v>8429.86</v>
      </c>
      <c r="K317" s="142" t="str">
        <f t="shared" ref="K317:R317" si="134">+K141</f>
        <v>-</v>
      </c>
      <c r="L317" s="142" t="str">
        <f t="shared" si="134"/>
        <v>-</v>
      </c>
      <c r="M317" s="142" t="str">
        <f t="shared" si="134"/>
        <v>-</v>
      </c>
      <c r="N317" s="142">
        <f t="shared" si="134"/>
        <v>30.02</v>
      </c>
      <c r="O317" s="142">
        <f t="shared" si="134"/>
        <v>12.77</v>
      </c>
      <c r="P317" s="142" t="str">
        <f t="shared" si="134"/>
        <v>-</v>
      </c>
      <c r="Q317" s="142" t="str">
        <f t="shared" si="134"/>
        <v>-</v>
      </c>
      <c r="R317" s="142">
        <f t="shared" si="134"/>
        <v>42.79</v>
      </c>
    </row>
    <row r="318" spans="1:18" ht="11.25" customHeight="1">
      <c r="A318" s="99">
        <v>2017</v>
      </c>
      <c r="B318" s="142" t="str">
        <f t="shared" ref="B318:I318" si="135">+B142</f>
        <v>-</v>
      </c>
      <c r="C318" s="142" t="str">
        <f t="shared" si="135"/>
        <v>-</v>
      </c>
      <c r="D318" s="142" t="str">
        <f t="shared" si="135"/>
        <v>-</v>
      </c>
      <c r="E318" s="142">
        <f t="shared" si="135"/>
        <v>4247.09</v>
      </c>
      <c r="F318" s="142">
        <f t="shared" si="135"/>
        <v>2357.5</v>
      </c>
      <c r="G318" s="142" t="str">
        <f t="shared" si="135"/>
        <v>-</v>
      </c>
      <c r="H318" s="142" t="str">
        <f t="shared" si="135"/>
        <v>-</v>
      </c>
      <c r="I318" s="142">
        <f t="shared" si="135"/>
        <v>6604.59</v>
      </c>
      <c r="K318" s="142" t="str">
        <f t="shared" ref="K318:R318" si="136">+K142</f>
        <v>-</v>
      </c>
      <c r="L318" s="142" t="str">
        <f t="shared" si="136"/>
        <v>-</v>
      </c>
      <c r="M318" s="142" t="str">
        <f t="shared" si="136"/>
        <v>-</v>
      </c>
      <c r="N318" s="142">
        <f t="shared" si="136"/>
        <v>6664.33</v>
      </c>
      <c r="O318" s="142">
        <f t="shared" si="136"/>
        <v>9085.5400000000009</v>
      </c>
      <c r="P318" s="142" t="str">
        <f t="shared" si="136"/>
        <v>-</v>
      </c>
      <c r="Q318" s="142" t="str">
        <f t="shared" si="136"/>
        <v>-</v>
      </c>
      <c r="R318" s="142">
        <f t="shared" si="136"/>
        <v>15749.87</v>
      </c>
    </row>
    <row r="319" spans="1:18" ht="11.25" customHeight="1">
      <c r="A319" s="99">
        <v>2018</v>
      </c>
      <c r="B319" s="142" t="str">
        <f t="shared" ref="B319:I319" si="137">+B143</f>
        <v>-</v>
      </c>
      <c r="C319" s="142" t="str">
        <f t="shared" si="137"/>
        <v>-</v>
      </c>
      <c r="D319" s="142" t="str">
        <f t="shared" si="137"/>
        <v>-</v>
      </c>
      <c r="E319" s="142">
        <f t="shared" si="137"/>
        <v>2537.14</v>
      </c>
      <c r="F319" s="142">
        <f t="shared" si="137"/>
        <v>2307.21</v>
      </c>
      <c r="G319" s="142">
        <f t="shared" si="137"/>
        <v>32.450000000000003</v>
      </c>
      <c r="H319" s="142" t="str">
        <f t="shared" si="137"/>
        <v>-</v>
      </c>
      <c r="I319" s="142">
        <f t="shared" si="137"/>
        <v>4876.8</v>
      </c>
      <c r="K319" s="142" t="str">
        <f t="shared" ref="K319:R319" si="138">+K143</f>
        <v>-</v>
      </c>
      <c r="L319" s="142" t="str">
        <f t="shared" si="138"/>
        <v>-</v>
      </c>
      <c r="M319" s="142" t="str">
        <f t="shared" si="138"/>
        <v>-</v>
      </c>
      <c r="N319" s="142">
        <f t="shared" si="138"/>
        <v>1638.1399999999999</v>
      </c>
      <c r="O319" s="142">
        <f t="shared" si="138"/>
        <v>13495.68</v>
      </c>
      <c r="P319" s="142">
        <f t="shared" si="138"/>
        <v>235.91</v>
      </c>
      <c r="Q319" s="142" t="str">
        <f t="shared" si="138"/>
        <v>-</v>
      </c>
      <c r="R319" s="142">
        <f t="shared" si="138"/>
        <v>15369.73</v>
      </c>
    </row>
    <row r="320" spans="1:18" ht="11.25" customHeight="1">
      <c r="A320" s="99">
        <v>2019</v>
      </c>
      <c r="B320" s="142" t="str">
        <f t="shared" ref="B320:I320" si="139">+B144</f>
        <v>-</v>
      </c>
      <c r="C320" s="142" t="str">
        <f t="shared" si="139"/>
        <v>-</v>
      </c>
      <c r="D320" s="142">
        <f t="shared" si="139"/>
        <v>125.65</v>
      </c>
      <c r="E320" s="142">
        <f t="shared" si="139"/>
        <v>1163.45</v>
      </c>
      <c r="F320" s="142">
        <f t="shared" si="139"/>
        <v>958.62</v>
      </c>
      <c r="G320" s="142">
        <f t="shared" si="139"/>
        <v>120.58</v>
      </c>
      <c r="H320" s="142" t="str">
        <f t="shared" si="139"/>
        <v>-</v>
      </c>
      <c r="I320" s="142">
        <f t="shared" si="139"/>
        <v>2368.3000000000002</v>
      </c>
      <c r="K320" s="142" t="str">
        <f t="shared" ref="K320:R320" si="140">+K144</f>
        <v>-</v>
      </c>
      <c r="L320" s="142" t="str">
        <f t="shared" si="140"/>
        <v>-</v>
      </c>
      <c r="M320" s="142">
        <f t="shared" si="140"/>
        <v>340.96</v>
      </c>
      <c r="N320" s="142">
        <f t="shared" si="140"/>
        <v>7878.28</v>
      </c>
      <c r="O320" s="142">
        <f t="shared" si="140"/>
        <v>10930.16</v>
      </c>
      <c r="P320" s="142">
        <f t="shared" si="140"/>
        <v>1077.44</v>
      </c>
      <c r="Q320" s="142" t="str">
        <f t="shared" si="140"/>
        <v>-</v>
      </c>
      <c r="R320" s="142">
        <f t="shared" si="140"/>
        <v>20226.84</v>
      </c>
    </row>
    <row r="321" spans="1:18" ht="11.25" customHeight="1">
      <c r="A321" s="239" t="s">
        <v>307</v>
      </c>
      <c r="B321" s="142" t="str">
        <f t="shared" ref="B321:I322" si="141">+B145</f>
        <v>-</v>
      </c>
      <c r="C321" s="142" t="str">
        <f t="shared" si="141"/>
        <v>-</v>
      </c>
      <c r="D321" s="142">
        <f t="shared" si="141"/>
        <v>51.49</v>
      </c>
      <c r="E321" s="142">
        <f t="shared" si="141"/>
        <v>2749.51</v>
      </c>
      <c r="F321" s="142">
        <f t="shared" si="141"/>
        <v>1538.12</v>
      </c>
      <c r="G321" s="142">
        <f t="shared" si="141"/>
        <v>478.51</v>
      </c>
      <c r="H321" s="142" t="str">
        <f t="shared" si="141"/>
        <v>-</v>
      </c>
      <c r="I321" s="142">
        <f t="shared" si="141"/>
        <v>4817.63</v>
      </c>
      <c r="K321" s="142" t="str">
        <f t="shared" ref="K321:R322" si="142">+K145</f>
        <v>-</v>
      </c>
      <c r="L321" s="142" t="str">
        <f t="shared" si="142"/>
        <v>-</v>
      </c>
      <c r="M321" s="142" t="str">
        <f t="shared" si="142"/>
        <v>-</v>
      </c>
      <c r="N321" s="142">
        <f t="shared" si="142"/>
        <v>2483.8200000000002</v>
      </c>
      <c r="O321" s="142">
        <f t="shared" si="142"/>
        <v>3104.51</v>
      </c>
      <c r="P321" s="142">
        <f t="shared" si="142"/>
        <v>2304.38</v>
      </c>
      <c r="Q321" s="142" t="str">
        <f t="shared" si="142"/>
        <v>-</v>
      </c>
      <c r="R321" s="142">
        <f t="shared" si="142"/>
        <v>7892.71</v>
      </c>
    </row>
    <row r="322" spans="1:18" ht="11.25" customHeight="1">
      <c r="A322" s="239" t="s">
        <v>326</v>
      </c>
      <c r="B322" s="142" t="str">
        <f t="shared" si="141"/>
        <v>-</v>
      </c>
      <c r="C322" s="142" t="str">
        <f t="shared" si="141"/>
        <v>-</v>
      </c>
      <c r="D322" s="142">
        <f t="shared" si="141"/>
        <v>919.92</v>
      </c>
      <c r="E322" s="142">
        <f t="shared" si="141"/>
        <v>3929.3</v>
      </c>
      <c r="F322" s="142">
        <f t="shared" si="141"/>
        <v>1791.72</v>
      </c>
      <c r="G322" s="142">
        <f t="shared" si="141"/>
        <v>412.91</v>
      </c>
      <c r="H322" s="142" t="str">
        <f t="shared" si="141"/>
        <v>-</v>
      </c>
      <c r="I322" s="142">
        <f t="shared" si="141"/>
        <v>7053.85</v>
      </c>
      <c r="K322" s="142" t="str">
        <f t="shared" si="142"/>
        <v>-</v>
      </c>
      <c r="L322" s="142" t="str">
        <f t="shared" si="142"/>
        <v>-</v>
      </c>
      <c r="M322" s="142">
        <f t="shared" si="142"/>
        <v>17.399999999999999</v>
      </c>
      <c r="N322" s="142">
        <f t="shared" si="142"/>
        <v>2448.4699999999998</v>
      </c>
      <c r="O322" s="142">
        <f t="shared" si="142"/>
        <v>11411.87</v>
      </c>
      <c r="P322" s="142">
        <f t="shared" si="142"/>
        <v>6786.88</v>
      </c>
      <c r="Q322" s="142" t="str">
        <f t="shared" si="142"/>
        <v>-</v>
      </c>
      <c r="R322" s="142">
        <f t="shared" si="142"/>
        <v>20664.620000000003</v>
      </c>
    </row>
    <row r="323" spans="1:18" ht="10.25" customHeight="1"/>
    <row r="324" spans="1:18" ht="13">
      <c r="A324" s="94" t="s">
        <v>211</v>
      </c>
    </row>
    <row r="325" spans="1:18">
      <c r="A325" s="71" t="s">
        <v>24</v>
      </c>
      <c r="B325" s="142" t="s">
        <v>23</v>
      </c>
      <c r="C325" s="142">
        <f t="shared" ref="C325:I325" si="143">AVERAGE(C154:C158)</f>
        <v>214</v>
      </c>
      <c r="D325" s="142">
        <f t="shared" si="143"/>
        <v>3363.5</v>
      </c>
      <c r="E325" s="142">
        <f t="shared" si="143"/>
        <v>4545.3999999999996</v>
      </c>
      <c r="F325" s="142">
        <f t="shared" si="143"/>
        <v>4504.6000000000004</v>
      </c>
      <c r="G325" s="142">
        <f t="shared" si="143"/>
        <v>278.5</v>
      </c>
      <c r="H325" s="142">
        <f t="shared" si="143"/>
        <v>40</v>
      </c>
      <c r="I325" s="142">
        <f t="shared" si="143"/>
        <v>12031.4</v>
      </c>
      <c r="K325" s="142" t="s">
        <v>23</v>
      </c>
      <c r="L325" s="142">
        <f t="shared" ref="L325:R325" si="144">AVERAGE(L154:L158)</f>
        <v>5410</v>
      </c>
      <c r="M325" s="142">
        <f t="shared" si="144"/>
        <v>10296</v>
      </c>
      <c r="N325" s="142">
        <f t="shared" si="144"/>
        <v>36373.4</v>
      </c>
      <c r="O325" s="142">
        <f t="shared" si="144"/>
        <v>26436.6</v>
      </c>
      <c r="P325" s="142">
        <f t="shared" si="144"/>
        <v>5982</v>
      </c>
      <c r="Q325" s="142">
        <f t="shared" si="144"/>
        <v>825</v>
      </c>
      <c r="R325" s="142">
        <f t="shared" si="144"/>
        <v>75883</v>
      </c>
    </row>
    <row r="326" spans="1:18">
      <c r="A326" s="71" t="s">
        <v>78</v>
      </c>
      <c r="B326" s="142" t="s">
        <v>23</v>
      </c>
      <c r="C326" s="142">
        <f t="shared" ref="C326:I326" si="145">AVERAGE(C159:C163)</f>
        <v>111</v>
      </c>
      <c r="D326" s="142">
        <f t="shared" si="145"/>
        <v>233</v>
      </c>
      <c r="E326" s="142">
        <f t="shared" si="145"/>
        <v>1793.4</v>
      </c>
      <c r="F326" s="142">
        <f t="shared" si="145"/>
        <v>3301.6</v>
      </c>
      <c r="G326" s="142">
        <f t="shared" si="145"/>
        <v>76</v>
      </c>
      <c r="H326" s="142" t="s">
        <v>23</v>
      </c>
      <c r="I326" s="142">
        <f t="shared" si="145"/>
        <v>5334</v>
      </c>
      <c r="K326" s="142" t="s">
        <v>23</v>
      </c>
      <c r="L326" s="142" t="s">
        <v>23</v>
      </c>
      <c r="M326" s="142">
        <f t="shared" ref="M326:R326" si="146">AVERAGE(M159:M163)</f>
        <v>2637.75</v>
      </c>
      <c r="N326" s="142">
        <f t="shared" si="146"/>
        <v>32864.400000000001</v>
      </c>
      <c r="O326" s="142">
        <f t="shared" si="146"/>
        <v>27047.8</v>
      </c>
      <c r="P326" s="142">
        <f t="shared" si="146"/>
        <v>2113.5</v>
      </c>
      <c r="Q326" s="142" t="s">
        <v>23</v>
      </c>
      <c r="R326" s="142">
        <f t="shared" si="146"/>
        <v>62867.8</v>
      </c>
    </row>
    <row r="327" spans="1:18">
      <c r="A327" s="71" t="s">
        <v>10</v>
      </c>
      <c r="B327" s="142" t="s">
        <v>23</v>
      </c>
      <c r="C327" s="142" t="s">
        <v>23</v>
      </c>
      <c r="D327" s="142">
        <f>AVERAGE(D164:D168)</f>
        <v>85.5</v>
      </c>
      <c r="E327" s="142">
        <f t="shared" ref="E327:R327" si="147">AVERAGE(E164:E168)</f>
        <v>703.75</v>
      </c>
      <c r="F327" s="142">
        <f t="shared" si="147"/>
        <v>736</v>
      </c>
      <c r="G327" s="142">
        <f t="shared" si="147"/>
        <v>194</v>
      </c>
      <c r="H327" s="142" t="s">
        <v>23</v>
      </c>
      <c r="I327" s="142">
        <f t="shared" si="147"/>
        <v>1676.5</v>
      </c>
      <c r="J327" s="142"/>
      <c r="K327" s="142" t="s">
        <v>23</v>
      </c>
      <c r="L327" s="142" t="s">
        <v>23</v>
      </c>
      <c r="M327" s="142">
        <f t="shared" si="147"/>
        <v>2733</v>
      </c>
      <c r="N327" s="142">
        <f t="shared" si="147"/>
        <v>25599.75</v>
      </c>
      <c r="O327" s="142">
        <f t="shared" si="147"/>
        <v>14458.5</v>
      </c>
      <c r="P327" s="142">
        <f t="shared" si="147"/>
        <v>6795.5</v>
      </c>
      <c r="Q327" s="142" t="s">
        <v>23</v>
      </c>
      <c r="R327" s="142">
        <f t="shared" si="147"/>
        <v>48220.25</v>
      </c>
    </row>
    <row r="328" spans="1:18">
      <c r="A328" s="71" t="s">
        <v>144</v>
      </c>
      <c r="B328" s="142" t="s">
        <v>23</v>
      </c>
      <c r="C328" s="142" t="s">
        <v>23</v>
      </c>
      <c r="D328" s="142" t="s">
        <v>23</v>
      </c>
      <c r="E328" s="142">
        <f t="shared" ref="E328:R328" si="148">AVERAGE(E169:E173)</f>
        <v>356.25</v>
      </c>
      <c r="F328" s="142">
        <f t="shared" si="148"/>
        <v>560.79999999999995</v>
      </c>
      <c r="G328" s="142">
        <f t="shared" si="148"/>
        <v>129.33333333333334</v>
      </c>
      <c r="H328" s="142" t="s">
        <v>23</v>
      </c>
      <c r="I328" s="142">
        <f t="shared" si="148"/>
        <v>923.4</v>
      </c>
      <c r="J328" s="142"/>
      <c r="K328" s="142" t="s">
        <v>23</v>
      </c>
      <c r="L328" s="142" t="s">
        <v>23</v>
      </c>
      <c r="M328" s="142" t="s">
        <v>23</v>
      </c>
      <c r="N328" s="142">
        <f t="shared" si="148"/>
        <v>7157</v>
      </c>
      <c r="O328" s="142">
        <f t="shared" si="148"/>
        <v>8379.7999999999993</v>
      </c>
      <c r="P328" s="142">
        <f t="shared" si="148"/>
        <v>2707.3333333333335</v>
      </c>
      <c r="Q328" s="142" t="s">
        <v>23</v>
      </c>
      <c r="R328" s="142">
        <f t="shared" si="148"/>
        <v>15729.8</v>
      </c>
    </row>
    <row r="329" spans="1:18">
      <c r="A329" s="71" t="s">
        <v>166</v>
      </c>
      <c r="B329" s="142" t="str">
        <f>+B174</f>
        <v>-</v>
      </c>
      <c r="C329" s="142">
        <f>AVERAGE(C174:C178)</f>
        <v>53</v>
      </c>
      <c r="D329" s="142">
        <f>AVERAGE(D174:D178)</f>
        <v>664.33333333333337</v>
      </c>
      <c r="E329" s="142">
        <f>AVERAGE(E174:E178)</f>
        <v>1814</v>
      </c>
      <c r="F329" s="142">
        <f>AVERAGE(F174:F178)</f>
        <v>3894.6</v>
      </c>
      <c r="G329" s="142">
        <f>AVERAGE(G174:G178)</f>
        <v>826.4</v>
      </c>
      <c r="H329" s="142" t="str">
        <f>+H174</f>
        <v>-</v>
      </c>
      <c r="I329" s="142">
        <f>AVERAGE(I174:I178)</f>
        <v>6944.2</v>
      </c>
      <c r="K329" s="142" t="str">
        <f t="shared" ref="K329:Q329" si="149">+K174</f>
        <v>-</v>
      </c>
      <c r="L329" s="142" t="str">
        <f t="shared" si="149"/>
        <v>-</v>
      </c>
      <c r="M329" s="142">
        <f>AVERAGE(M174:M178)</f>
        <v>521.66666666666663</v>
      </c>
      <c r="N329" s="142">
        <f>AVERAGE(N174:N178)</f>
        <v>18204.599999999999</v>
      </c>
      <c r="O329" s="142">
        <f>AVERAGE(O174:O178)</f>
        <v>29243.8</v>
      </c>
      <c r="P329" s="142">
        <f>AVERAGE(P174:P178)</f>
        <v>8022.2</v>
      </c>
      <c r="Q329" s="142" t="str">
        <f t="shared" si="149"/>
        <v>-</v>
      </c>
      <c r="R329" s="142">
        <f>AVERAGE(R174:R178)</f>
        <v>55783.6</v>
      </c>
    </row>
    <row r="330" spans="1:18">
      <c r="A330" s="71" t="s">
        <v>315</v>
      </c>
      <c r="B330" s="142" t="str">
        <f>B179</f>
        <v>-</v>
      </c>
      <c r="C330" s="142" t="str">
        <f>C179</f>
        <v>-</v>
      </c>
      <c r="D330" s="142">
        <f>AVERAGE(D179:D183)</f>
        <v>196.72666666666666</v>
      </c>
      <c r="E330" s="142">
        <f t="shared" ref="E330:I330" si="150">AVERAGE(E179:E183)</f>
        <v>869.27200000000016</v>
      </c>
      <c r="F330" s="142">
        <f t="shared" si="150"/>
        <v>2091.4379999999996</v>
      </c>
      <c r="G330" s="142">
        <f t="shared" si="150"/>
        <v>127.8425</v>
      </c>
      <c r="H330" s="142" t="str">
        <f>H179</f>
        <v>-</v>
      </c>
      <c r="I330" s="142">
        <f t="shared" si="150"/>
        <v>3181.02</v>
      </c>
      <c r="K330" s="142" t="str">
        <f t="shared" ref="K330:L330" si="151">K179</f>
        <v>-</v>
      </c>
      <c r="L330" s="142" t="str">
        <f t="shared" si="151"/>
        <v>-</v>
      </c>
      <c r="M330" s="142">
        <f t="shared" ref="M330:R330" si="152">AVERAGE(M179:M183)</f>
        <v>221.90666666666667</v>
      </c>
      <c r="N330" s="142">
        <f t="shared" si="152"/>
        <v>9143.3160000000007</v>
      </c>
      <c r="O330" s="142">
        <f t="shared" si="152"/>
        <v>21337.052000000003</v>
      </c>
      <c r="P330" s="142">
        <f t="shared" si="152"/>
        <v>1397.4375</v>
      </c>
      <c r="Q330" s="142" t="str">
        <f>Q179</f>
        <v>-</v>
      </c>
      <c r="R330" s="142">
        <f t="shared" si="152"/>
        <v>31731.462</v>
      </c>
    </row>
    <row r="331" spans="1:18">
      <c r="A331" s="71">
        <v>2011</v>
      </c>
      <c r="B331" s="142" t="str">
        <f t="shared" ref="B331:I331" si="153">+B184</f>
        <v>-</v>
      </c>
      <c r="C331" s="142" t="str">
        <f t="shared" si="153"/>
        <v>-</v>
      </c>
      <c r="D331" s="142">
        <f t="shared" si="153"/>
        <v>351.79999999999995</v>
      </c>
      <c r="E331" s="142">
        <f t="shared" si="153"/>
        <v>808.27</v>
      </c>
      <c r="F331" s="142">
        <f t="shared" si="153"/>
        <v>4106.7700000000004</v>
      </c>
      <c r="G331" s="142">
        <f t="shared" si="153"/>
        <v>329.4</v>
      </c>
      <c r="H331" s="142" t="str">
        <f t="shared" si="153"/>
        <v>-</v>
      </c>
      <c r="I331" s="142">
        <f t="shared" si="153"/>
        <v>5596.24</v>
      </c>
      <c r="K331" s="142" t="str">
        <f t="shared" ref="K331:R331" si="154">+K184</f>
        <v>-</v>
      </c>
      <c r="L331" s="142" t="str">
        <f t="shared" si="154"/>
        <v>-</v>
      </c>
      <c r="M331" s="142">
        <f t="shared" si="154"/>
        <v>288.87</v>
      </c>
      <c r="N331" s="142">
        <f t="shared" si="154"/>
        <v>5103.8100000000004</v>
      </c>
      <c r="O331" s="142">
        <f t="shared" si="154"/>
        <v>12678.13</v>
      </c>
      <c r="P331" s="142">
        <f t="shared" si="154"/>
        <v>2563.64</v>
      </c>
      <c r="Q331" s="142" t="str">
        <f t="shared" si="154"/>
        <v>-</v>
      </c>
      <c r="R331" s="142">
        <f t="shared" si="154"/>
        <v>20634.449999999997</v>
      </c>
    </row>
    <row r="332" spans="1:18">
      <c r="A332" s="71">
        <v>2012</v>
      </c>
      <c r="B332" s="142" t="str">
        <f t="shared" ref="B332:I332" si="155">+B185</f>
        <v>-</v>
      </c>
      <c r="C332" s="142" t="str">
        <f t="shared" si="155"/>
        <v>-</v>
      </c>
      <c r="D332" s="142">
        <f t="shared" si="155"/>
        <v>1792.88</v>
      </c>
      <c r="E332" s="142">
        <f t="shared" si="155"/>
        <v>2199.8200000000002</v>
      </c>
      <c r="F332" s="142">
        <f t="shared" si="155"/>
        <v>2691.02</v>
      </c>
      <c r="G332" s="142">
        <f t="shared" si="155"/>
        <v>729.78</v>
      </c>
      <c r="H332" s="142" t="str">
        <f t="shared" si="155"/>
        <v>-</v>
      </c>
      <c r="I332" s="142">
        <f t="shared" si="155"/>
        <v>7413.5</v>
      </c>
      <c r="K332" s="142" t="str">
        <f t="shared" ref="K332:R332" si="156">+K185</f>
        <v>-</v>
      </c>
      <c r="L332" s="142" t="str">
        <f t="shared" si="156"/>
        <v>-</v>
      </c>
      <c r="M332" s="142">
        <f t="shared" si="156"/>
        <v>196.33</v>
      </c>
      <c r="N332" s="142">
        <f t="shared" si="156"/>
        <v>3056.76</v>
      </c>
      <c r="O332" s="142">
        <f t="shared" si="156"/>
        <v>4421.29</v>
      </c>
      <c r="P332" s="142">
        <f t="shared" si="156"/>
        <v>2044.8200000000002</v>
      </c>
      <c r="Q332" s="142" t="str">
        <f t="shared" si="156"/>
        <v>-</v>
      </c>
      <c r="R332" s="142">
        <f t="shared" si="156"/>
        <v>9719.2000000000007</v>
      </c>
    </row>
    <row r="333" spans="1:18">
      <c r="A333" s="71">
        <v>2013</v>
      </c>
      <c r="B333" s="142" t="str">
        <f t="shared" ref="B333:I333" si="157">+B186</f>
        <v>-</v>
      </c>
      <c r="C333" s="142" t="str">
        <f t="shared" si="157"/>
        <v>-</v>
      </c>
      <c r="D333" s="142">
        <f t="shared" si="157"/>
        <v>1299.81</v>
      </c>
      <c r="E333" s="142">
        <f t="shared" si="157"/>
        <v>1356.35</v>
      </c>
      <c r="F333" s="142">
        <f t="shared" si="157"/>
        <v>3283.89</v>
      </c>
      <c r="G333" s="142">
        <f t="shared" si="157"/>
        <v>688.46</v>
      </c>
      <c r="H333" s="142" t="str">
        <f t="shared" si="157"/>
        <v>-</v>
      </c>
      <c r="I333" s="142">
        <f t="shared" si="157"/>
        <v>6628.5099999999993</v>
      </c>
      <c r="K333" s="142" t="str">
        <f t="shared" ref="K333:R333" si="158">+K186</f>
        <v>-</v>
      </c>
      <c r="L333" s="142" t="str">
        <f t="shared" si="158"/>
        <v>-</v>
      </c>
      <c r="M333" s="142">
        <f t="shared" si="158"/>
        <v>2286.5300000000002</v>
      </c>
      <c r="N333" s="142">
        <f t="shared" si="158"/>
        <v>4007.03</v>
      </c>
      <c r="O333" s="142">
        <f t="shared" si="158"/>
        <v>8599.43</v>
      </c>
      <c r="P333" s="142">
        <f t="shared" si="158"/>
        <v>1566.13</v>
      </c>
      <c r="Q333" s="142" t="str">
        <f t="shared" si="158"/>
        <v>-</v>
      </c>
      <c r="R333" s="142">
        <f t="shared" si="158"/>
        <v>16459.120000000003</v>
      </c>
    </row>
    <row r="334" spans="1:18">
      <c r="A334" s="71">
        <v>2014</v>
      </c>
      <c r="B334" s="142" t="str">
        <f t="shared" ref="B334:I334" si="159">+B187</f>
        <v>-</v>
      </c>
      <c r="C334" s="142">
        <f t="shared" si="159"/>
        <v>44.29</v>
      </c>
      <c r="D334" s="142">
        <f t="shared" si="159"/>
        <v>916.74</v>
      </c>
      <c r="E334" s="142">
        <f t="shared" si="159"/>
        <v>2570.42</v>
      </c>
      <c r="F334" s="142">
        <f t="shared" si="159"/>
        <v>5018.59</v>
      </c>
      <c r="G334" s="142">
        <f t="shared" si="159"/>
        <v>491.04999999999995</v>
      </c>
      <c r="H334" s="142" t="str">
        <f t="shared" si="159"/>
        <v>-</v>
      </c>
      <c r="I334" s="142">
        <f t="shared" si="159"/>
        <v>9041.09</v>
      </c>
      <c r="K334" s="142" t="str">
        <f t="shared" ref="K334:R334" si="160">+K187</f>
        <v>-</v>
      </c>
      <c r="L334" s="142" t="str">
        <f t="shared" si="160"/>
        <v>-</v>
      </c>
      <c r="M334" s="142">
        <f t="shared" si="160"/>
        <v>2223.4</v>
      </c>
      <c r="N334" s="142">
        <f t="shared" si="160"/>
        <v>14832.5</v>
      </c>
      <c r="O334" s="142">
        <f t="shared" si="160"/>
        <v>30029.279999999999</v>
      </c>
      <c r="P334" s="142">
        <f t="shared" si="160"/>
        <v>11246.560000000001</v>
      </c>
      <c r="Q334" s="142" t="str">
        <f t="shared" si="160"/>
        <v>-</v>
      </c>
      <c r="R334" s="142">
        <f t="shared" si="160"/>
        <v>58331.740000000005</v>
      </c>
    </row>
    <row r="335" spans="1:18">
      <c r="A335" s="71">
        <v>2015</v>
      </c>
      <c r="B335" s="142" t="str">
        <f t="shared" ref="B335:I335" si="161">+B188</f>
        <v>-</v>
      </c>
      <c r="C335" s="142">
        <f t="shared" si="161"/>
        <v>61.15</v>
      </c>
      <c r="D335" s="142">
        <f t="shared" si="161"/>
        <v>957.43999999999994</v>
      </c>
      <c r="E335" s="142">
        <f t="shared" si="161"/>
        <v>1419.2</v>
      </c>
      <c r="F335" s="142">
        <f t="shared" si="161"/>
        <v>4836.08</v>
      </c>
      <c r="G335" s="142">
        <f t="shared" si="161"/>
        <v>2139.83</v>
      </c>
      <c r="H335" s="142" t="str">
        <f t="shared" si="161"/>
        <v>-</v>
      </c>
      <c r="I335" s="142">
        <f t="shared" si="161"/>
        <v>9413.7000000000007</v>
      </c>
      <c r="K335" s="142" t="str">
        <f t="shared" ref="K335:R335" si="162">+K188</f>
        <v>-</v>
      </c>
      <c r="L335" s="142" t="str">
        <f t="shared" si="162"/>
        <v>-</v>
      </c>
      <c r="M335" s="142">
        <f t="shared" si="162"/>
        <v>2607.2600000000002</v>
      </c>
      <c r="N335" s="142">
        <f t="shared" si="162"/>
        <v>12325.02</v>
      </c>
      <c r="O335" s="142">
        <f t="shared" si="162"/>
        <v>15756.28</v>
      </c>
      <c r="P335" s="142">
        <f t="shared" si="162"/>
        <v>5022.17</v>
      </c>
      <c r="Q335" s="142" t="str">
        <f t="shared" si="162"/>
        <v>-</v>
      </c>
      <c r="R335" s="142">
        <f t="shared" si="162"/>
        <v>35710.730000000003</v>
      </c>
    </row>
    <row r="336" spans="1:18">
      <c r="A336" s="71">
        <v>2016</v>
      </c>
      <c r="B336" s="142" t="str">
        <f t="shared" ref="B336:I336" si="163">+B189</f>
        <v>-</v>
      </c>
      <c r="C336" s="142" t="str">
        <f t="shared" si="163"/>
        <v>-</v>
      </c>
      <c r="D336" s="142" t="str">
        <f t="shared" si="163"/>
        <v>-</v>
      </c>
      <c r="E336" s="142">
        <f t="shared" si="163"/>
        <v>2088.35</v>
      </c>
      <c r="F336" s="142">
        <f t="shared" si="163"/>
        <v>2868.18</v>
      </c>
      <c r="G336" s="142" t="str">
        <f t="shared" si="163"/>
        <v>-</v>
      </c>
      <c r="H336" s="142" t="str">
        <f t="shared" si="163"/>
        <v>-</v>
      </c>
      <c r="I336" s="142">
        <f t="shared" si="163"/>
        <v>4956.53</v>
      </c>
      <c r="K336" s="142" t="str">
        <f t="shared" ref="K336:R336" si="164">+K189</f>
        <v>-</v>
      </c>
      <c r="L336" s="142" t="str">
        <f t="shared" si="164"/>
        <v>-</v>
      </c>
      <c r="M336" s="142" t="str">
        <f t="shared" si="164"/>
        <v>-</v>
      </c>
      <c r="N336" s="142">
        <f t="shared" si="164"/>
        <v>4691.76</v>
      </c>
      <c r="O336" s="142">
        <f t="shared" si="164"/>
        <v>11265.77</v>
      </c>
      <c r="P336" s="142" t="str">
        <f t="shared" si="164"/>
        <v>-</v>
      </c>
      <c r="Q336" s="142" t="str">
        <f t="shared" si="164"/>
        <v>-</v>
      </c>
      <c r="R336" s="142">
        <f t="shared" si="164"/>
        <v>15957.53</v>
      </c>
    </row>
    <row r="337" spans="1:18">
      <c r="A337" s="99">
        <v>2017</v>
      </c>
      <c r="B337" s="142" t="str">
        <f t="shared" ref="B337:I337" si="165">+B190</f>
        <v>-</v>
      </c>
      <c r="C337" s="142" t="str">
        <f t="shared" si="165"/>
        <v>-</v>
      </c>
      <c r="D337" s="142">
        <f t="shared" si="165"/>
        <v>318.87</v>
      </c>
      <c r="E337" s="142">
        <f t="shared" si="165"/>
        <v>2191</v>
      </c>
      <c r="F337" s="142">
        <f t="shared" si="165"/>
        <v>3153.47</v>
      </c>
      <c r="G337" s="142" t="str">
        <f t="shared" si="165"/>
        <v>-</v>
      </c>
      <c r="H337" s="142" t="str">
        <f t="shared" si="165"/>
        <v>-</v>
      </c>
      <c r="I337" s="142">
        <f t="shared" si="165"/>
        <v>5663.34</v>
      </c>
      <c r="K337" s="142" t="str">
        <f t="shared" ref="K337:R337" si="166">+K190</f>
        <v>-</v>
      </c>
      <c r="L337" s="142" t="str">
        <f t="shared" si="166"/>
        <v>-</v>
      </c>
      <c r="M337" s="142">
        <f t="shared" si="166"/>
        <v>29.64</v>
      </c>
      <c r="N337" s="142">
        <f t="shared" si="166"/>
        <v>5723.99</v>
      </c>
      <c r="O337" s="142">
        <f t="shared" si="166"/>
        <v>9300.99</v>
      </c>
      <c r="P337" s="142" t="str">
        <f t="shared" si="166"/>
        <v>-</v>
      </c>
      <c r="Q337" s="142" t="str">
        <f t="shared" si="166"/>
        <v>-</v>
      </c>
      <c r="R337" s="142">
        <f t="shared" si="166"/>
        <v>15054.619999999999</v>
      </c>
    </row>
    <row r="338" spans="1:18">
      <c r="A338" s="99">
        <v>2018</v>
      </c>
      <c r="B338" s="142" t="str">
        <f t="shared" ref="B338:I338" si="167">+B191</f>
        <v>-</v>
      </c>
      <c r="C338" s="142" t="str">
        <f t="shared" si="167"/>
        <v>-</v>
      </c>
      <c r="D338" s="142">
        <f t="shared" si="167"/>
        <v>455.13</v>
      </c>
      <c r="E338" s="142">
        <f t="shared" si="167"/>
        <v>506.53</v>
      </c>
      <c r="F338" s="142">
        <f t="shared" si="167"/>
        <v>586</v>
      </c>
      <c r="G338" s="142">
        <f t="shared" si="167"/>
        <v>21.18</v>
      </c>
      <c r="H338" s="142" t="str">
        <f t="shared" si="167"/>
        <v>-</v>
      </c>
      <c r="I338" s="142">
        <f t="shared" si="167"/>
        <v>1568.84</v>
      </c>
      <c r="K338" s="142" t="str">
        <f t="shared" ref="K338:R338" si="168">+K191</f>
        <v>-</v>
      </c>
      <c r="L338" s="142" t="str">
        <f t="shared" si="168"/>
        <v>-</v>
      </c>
      <c r="M338" s="142">
        <f t="shared" si="168"/>
        <v>258.3</v>
      </c>
      <c r="N338" s="142">
        <f t="shared" si="168"/>
        <v>4678.59</v>
      </c>
      <c r="O338" s="142">
        <f t="shared" si="168"/>
        <v>8422.14</v>
      </c>
      <c r="P338" s="142">
        <f t="shared" si="168"/>
        <v>88.38</v>
      </c>
      <c r="Q338" s="142" t="str">
        <f t="shared" si="168"/>
        <v>-</v>
      </c>
      <c r="R338" s="142">
        <f t="shared" si="168"/>
        <v>13447.409999999998</v>
      </c>
    </row>
    <row r="339" spans="1:18">
      <c r="A339" s="99">
        <v>2019</v>
      </c>
      <c r="B339" s="142" t="str">
        <f t="shared" ref="B339:I339" si="169">+B192</f>
        <v>-</v>
      </c>
      <c r="C339" s="142" t="str">
        <f t="shared" si="169"/>
        <v>-</v>
      </c>
      <c r="D339" s="142">
        <f t="shared" si="169"/>
        <v>237.22</v>
      </c>
      <c r="E339" s="142">
        <f t="shared" si="169"/>
        <v>1532.9</v>
      </c>
      <c r="F339" s="142">
        <f t="shared" si="169"/>
        <v>888.26</v>
      </c>
      <c r="G339" s="142">
        <f t="shared" si="169"/>
        <v>84.14</v>
      </c>
      <c r="H339" s="142" t="str">
        <f t="shared" si="169"/>
        <v>-</v>
      </c>
      <c r="I339" s="142">
        <f t="shared" si="169"/>
        <v>2742.52</v>
      </c>
      <c r="K339" s="142" t="str">
        <f t="shared" ref="K339:R339" si="170">+K192</f>
        <v>-</v>
      </c>
      <c r="L339" s="142" t="str">
        <f t="shared" si="170"/>
        <v>-</v>
      </c>
      <c r="M339" s="142">
        <f t="shared" si="170"/>
        <v>3506.51</v>
      </c>
      <c r="N339" s="142">
        <f t="shared" si="170"/>
        <v>14386.42</v>
      </c>
      <c r="O339" s="142">
        <f t="shared" si="170"/>
        <v>16996.97</v>
      </c>
      <c r="P339" s="142">
        <f t="shared" si="170"/>
        <v>1361.11</v>
      </c>
      <c r="Q339" s="142" t="str">
        <f t="shared" si="170"/>
        <v>-</v>
      </c>
      <c r="R339" s="142">
        <f t="shared" si="170"/>
        <v>36251.01</v>
      </c>
    </row>
    <row r="340" spans="1:18" ht="13">
      <c r="A340" s="239" t="s">
        <v>307</v>
      </c>
      <c r="B340" s="142" t="str">
        <f t="shared" ref="B340:I341" si="171">+B193</f>
        <v>-</v>
      </c>
      <c r="C340" s="142" t="str">
        <f t="shared" si="171"/>
        <v>-</v>
      </c>
      <c r="D340" s="142">
        <f t="shared" si="171"/>
        <v>208.1</v>
      </c>
      <c r="E340" s="142">
        <f t="shared" si="171"/>
        <v>464.78</v>
      </c>
      <c r="F340" s="142" t="str">
        <f t="shared" si="171"/>
        <v>-</v>
      </c>
      <c r="G340" s="142" t="str">
        <f t="shared" si="171"/>
        <v>-</v>
      </c>
      <c r="H340" s="142" t="str">
        <f t="shared" si="171"/>
        <v>-</v>
      </c>
      <c r="I340" s="142">
        <f t="shared" si="171"/>
        <v>672.88</v>
      </c>
      <c r="K340" s="142" t="str">
        <f t="shared" ref="K340:R341" si="172">+K193</f>
        <v>-</v>
      </c>
      <c r="L340" s="142" t="str">
        <f t="shared" si="172"/>
        <v>-</v>
      </c>
      <c r="M340" s="142" t="str">
        <f t="shared" si="172"/>
        <v>-</v>
      </c>
      <c r="N340" s="142">
        <f t="shared" si="172"/>
        <v>9108.27</v>
      </c>
      <c r="O340" s="142" t="str">
        <f t="shared" si="172"/>
        <v>-</v>
      </c>
      <c r="P340" s="142" t="str">
        <f t="shared" si="172"/>
        <v>-</v>
      </c>
      <c r="Q340" s="142" t="str">
        <f t="shared" si="172"/>
        <v>-</v>
      </c>
      <c r="R340" s="142">
        <f t="shared" si="172"/>
        <v>9108.27</v>
      </c>
    </row>
    <row r="341" spans="1:18" ht="13">
      <c r="A341" s="239" t="s">
        <v>326</v>
      </c>
      <c r="B341" s="142" t="str">
        <f t="shared" si="171"/>
        <v>-</v>
      </c>
      <c r="C341" s="142" t="str">
        <f t="shared" si="171"/>
        <v>-</v>
      </c>
      <c r="D341" s="142">
        <f t="shared" si="171"/>
        <v>434.16</v>
      </c>
      <c r="E341" s="142">
        <f t="shared" si="171"/>
        <v>1156.8699999999999</v>
      </c>
      <c r="F341" s="142">
        <f t="shared" si="171"/>
        <v>2585.87</v>
      </c>
      <c r="G341" s="142" t="str">
        <f t="shared" si="171"/>
        <v>-</v>
      </c>
      <c r="H341" s="142" t="str">
        <f t="shared" si="171"/>
        <v>-</v>
      </c>
      <c r="I341" s="142">
        <f t="shared" si="171"/>
        <v>4176.8999999999996</v>
      </c>
      <c r="K341" s="142" t="str">
        <f t="shared" si="172"/>
        <v>-</v>
      </c>
      <c r="L341" s="142" t="str">
        <f t="shared" si="172"/>
        <v>-</v>
      </c>
      <c r="M341" s="142">
        <f t="shared" si="172"/>
        <v>146.68</v>
      </c>
      <c r="N341" s="142">
        <f t="shared" si="172"/>
        <v>7451.15</v>
      </c>
      <c r="O341" s="142">
        <f t="shared" si="172"/>
        <v>17541.91</v>
      </c>
      <c r="P341" s="142" t="str">
        <f t="shared" si="172"/>
        <v>-</v>
      </c>
      <c r="Q341" s="142" t="str">
        <f t="shared" si="172"/>
        <v>-</v>
      </c>
      <c r="R341" s="142">
        <f t="shared" si="172"/>
        <v>25139.739999999998</v>
      </c>
    </row>
    <row r="342" spans="1:18" ht="10.25" customHeight="1"/>
    <row r="343" spans="1:18" ht="10.25" customHeight="1">
      <c r="A343" s="282" t="s">
        <v>5</v>
      </c>
      <c r="B343" s="282"/>
      <c r="C343" s="282"/>
      <c r="D343" s="282"/>
      <c r="E343" s="282"/>
      <c r="F343" s="282"/>
      <c r="G343" s="282"/>
      <c r="H343" s="282"/>
      <c r="I343" s="282"/>
      <c r="J343" s="282"/>
      <c r="K343" s="282"/>
      <c r="L343" s="282"/>
      <c r="M343" s="282"/>
      <c r="N343" s="282"/>
      <c r="O343" s="282"/>
      <c r="P343" s="282"/>
      <c r="Q343" s="282"/>
      <c r="R343" s="282"/>
    </row>
    <row r="344" spans="1:18" ht="10.25" customHeight="1">
      <c r="A344" s="5" t="s">
        <v>27</v>
      </c>
      <c r="B344" s="15" t="s">
        <v>28</v>
      </c>
      <c r="C344" s="15" t="s">
        <v>29</v>
      </c>
      <c r="D344" s="15" t="s">
        <v>30</v>
      </c>
      <c r="E344" s="15" t="s">
        <v>31</v>
      </c>
      <c r="F344" s="15" t="s">
        <v>32</v>
      </c>
      <c r="G344" s="15" t="s">
        <v>33</v>
      </c>
      <c r="H344" s="15" t="s">
        <v>34</v>
      </c>
      <c r="I344" s="15" t="s">
        <v>22</v>
      </c>
      <c r="J344" s="196"/>
      <c r="K344" s="15" t="s">
        <v>28</v>
      </c>
      <c r="L344" s="15" t="s">
        <v>29</v>
      </c>
      <c r="M344" s="15" t="s">
        <v>30</v>
      </c>
      <c r="N344" s="15" t="s">
        <v>31</v>
      </c>
      <c r="O344" s="15" t="s">
        <v>32</v>
      </c>
      <c r="P344" s="15" t="s">
        <v>33</v>
      </c>
      <c r="Q344" s="15" t="s">
        <v>34</v>
      </c>
      <c r="R344" s="15" t="s">
        <v>22</v>
      </c>
    </row>
    <row r="345" spans="1:18" ht="14.25" customHeight="1">
      <c r="B345" s="336" t="s">
        <v>61</v>
      </c>
      <c r="C345" s="336"/>
      <c r="D345" s="336"/>
      <c r="E345" s="336"/>
      <c r="F345" s="336"/>
      <c r="G345" s="336"/>
      <c r="H345" s="336"/>
      <c r="I345" s="336"/>
      <c r="J345" s="14"/>
      <c r="K345" s="336" t="s">
        <v>62</v>
      </c>
      <c r="L345" s="336"/>
      <c r="M345" s="336"/>
      <c r="N345" s="336"/>
      <c r="O345" s="336"/>
      <c r="P345" s="336"/>
      <c r="Q345" s="336"/>
      <c r="R345" s="336"/>
    </row>
    <row r="346" spans="1:18" ht="11.25" customHeight="1">
      <c r="A346" s="97" t="s">
        <v>327</v>
      </c>
    </row>
    <row r="347" spans="1:18" ht="11.25" customHeight="1">
      <c r="A347" s="71" t="s">
        <v>24</v>
      </c>
      <c r="B347" s="142">
        <f t="shared" ref="B347:I347" si="173">AVERAGE(B202:B206)</f>
        <v>57.4</v>
      </c>
      <c r="C347" s="142">
        <f t="shared" si="173"/>
        <v>2153</v>
      </c>
      <c r="D347" s="142">
        <f t="shared" si="173"/>
        <v>15884.2</v>
      </c>
      <c r="E347" s="142">
        <f t="shared" si="173"/>
        <v>23367</v>
      </c>
      <c r="F347" s="142">
        <f t="shared" si="173"/>
        <v>12666.6</v>
      </c>
      <c r="G347" s="142">
        <f t="shared" si="173"/>
        <v>644.5</v>
      </c>
      <c r="H347" s="142">
        <f t="shared" si="173"/>
        <v>46</v>
      </c>
      <c r="I347" s="142">
        <f t="shared" si="173"/>
        <v>54662.2</v>
      </c>
      <c r="K347" s="142">
        <f t="shared" ref="K347:R347" si="174">AVERAGE(K202:K206)</f>
        <v>80</v>
      </c>
      <c r="L347" s="142">
        <f t="shared" si="174"/>
        <v>2960.6666666666665</v>
      </c>
      <c r="M347" s="142">
        <f t="shared" si="174"/>
        <v>22620</v>
      </c>
      <c r="N347" s="142">
        <f t="shared" si="174"/>
        <v>73777</v>
      </c>
      <c r="O347" s="142">
        <f t="shared" si="174"/>
        <v>68671.8</v>
      </c>
      <c r="P347" s="142">
        <f t="shared" si="174"/>
        <v>9800</v>
      </c>
      <c r="Q347" s="142">
        <f t="shared" si="174"/>
        <v>436</v>
      </c>
      <c r="R347" s="142">
        <f t="shared" si="174"/>
        <v>172398.8</v>
      </c>
    </row>
    <row r="348" spans="1:18" ht="11.25" customHeight="1">
      <c r="A348" s="71" t="s">
        <v>264</v>
      </c>
      <c r="B348" s="142" t="s">
        <v>23</v>
      </c>
      <c r="C348" s="142">
        <f>AVERAGE(C207:C211)</f>
        <v>901</v>
      </c>
      <c r="D348" s="142">
        <f>AVERAGE(D207:D211)</f>
        <v>1886.25</v>
      </c>
      <c r="E348" s="142">
        <f>AVERAGE(E207:E211)</f>
        <v>14499.6</v>
      </c>
      <c r="F348" s="142">
        <f>AVERAGE(F207:F211)</f>
        <v>8674.2000000000007</v>
      </c>
      <c r="G348" s="142">
        <f>AVERAGE(G207:G211)</f>
        <v>1212</v>
      </c>
      <c r="H348" s="142" t="s">
        <v>23</v>
      </c>
      <c r="I348" s="142">
        <f>AVERAGE(I207:I211)</f>
        <v>25590.2</v>
      </c>
      <c r="K348" s="142" t="s">
        <v>23</v>
      </c>
      <c r="L348" s="142">
        <f t="shared" ref="L348:R348" si="175">AVERAGE(L207:L211)</f>
        <v>19</v>
      </c>
      <c r="M348" s="142">
        <f t="shared" si="175"/>
        <v>5077</v>
      </c>
      <c r="N348" s="142">
        <f t="shared" si="175"/>
        <v>91015.4</v>
      </c>
      <c r="O348" s="142">
        <f t="shared" si="175"/>
        <v>62793.599999999999</v>
      </c>
      <c r="P348" s="142">
        <f t="shared" si="175"/>
        <v>7165.4</v>
      </c>
      <c r="Q348" s="142">
        <f t="shared" si="175"/>
        <v>44.5</v>
      </c>
      <c r="R348" s="142">
        <f t="shared" si="175"/>
        <v>165057.60000000001</v>
      </c>
    </row>
    <row r="349" spans="1:18" ht="11.25" customHeight="1">
      <c r="A349" s="71" t="s">
        <v>265</v>
      </c>
      <c r="B349" s="142" t="s">
        <v>23</v>
      </c>
      <c r="C349" s="142">
        <f>AVERAGE(C212:C216)</f>
        <v>148</v>
      </c>
      <c r="D349" s="142">
        <f>AVERAGE(D212:D216)</f>
        <v>1041</v>
      </c>
      <c r="E349" s="142">
        <f t="shared" ref="E349:R349" si="176">AVERAGE(E212:E216)</f>
        <v>5008.75</v>
      </c>
      <c r="F349" s="142">
        <f t="shared" si="176"/>
        <v>3756</v>
      </c>
      <c r="G349" s="142">
        <f t="shared" si="176"/>
        <v>1742.75</v>
      </c>
      <c r="H349" s="142">
        <f t="shared" si="176"/>
        <v>215</v>
      </c>
      <c r="I349" s="142">
        <f t="shared" si="176"/>
        <v>11155.75</v>
      </c>
      <c r="J349" s="142"/>
      <c r="K349" s="142" t="s">
        <v>23</v>
      </c>
      <c r="L349" s="142">
        <f t="shared" si="176"/>
        <v>40</v>
      </c>
      <c r="M349" s="142">
        <f t="shared" si="176"/>
        <v>6123.5</v>
      </c>
      <c r="N349" s="142">
        <f t="shared" si="176"/>
        <v>63584.5</v>
      </c>
      <c r="O349" s="142">
        <f t="shared" si="176"/>
        <v>47919.5</v>
      </c>
      <c r="P349" s="142">
        <f t="shared" si="176"/>
        <v>16697</v>
      </c>
      <c r="Q349" s="142">
        <f t="shared" si="176"/>
        <v>324</v>
      </c>
      <c r="R349" s="142">
        <f t="shared" si="176"/>
        <v>131363.75</v>
      </c>
    </row>
    <row r="350" spans="1:18" ht="11.25" customHeight="1">
      <c r="A350" s="71" t="s">
        <v>266</v>
      </c>
      <c r="B350" s="142" t="s">
        <v>23</v>
      </c>
      <c r="C350" s="142" t="s">
        <v>23</v>
      </c>
      <c r="D350" s="142" t="s">
        <v>23</v>
      </c>
      <c r="E350" s="142">
        <f t="shared" ref="E350:R350" si="177">AVERAGE(E217:E221)</f>
        <v>2602.5</v>
      </c>
      <c r="F350" s="142">
        <f t="shared" si="177"/>
        <v>2406.8000000000002</v>
      </c>
      <c r="G350" s="142">
        <f t="shared" si="177"/>
        <v>563.5</v>
      </c>
      <c r="H350" s="142" t="s">
        <v>23</v>
      </c>
      <c r="I350" s="142">
        <f t="shared" si="177"/>
        <v>4939.6000000000004</v>
      </c>
      <c r="J350" s="142"/>
      <c r="K350" s="142" t="s">
        <v>23</v>
      </c>
      <c r="L350" s="142" t="s">
        <v>23</v>
      </c>
      <c r="M350" s="142" t="s">
        <v>23</v>
      </c>
      <c r="N350" s="142">
        <f t="shared" si="177"/>
        <v>17736.25</v>
      </c>
      <c r="O350" s="142">
        <f t="shared" si="177"/>
        <v>23288.6</v>
      </c>
      <c r="P350" s="142">
        <f t="shared" si="177"/>
        <v>3967.4</v>
      </c>
      <c r="Q350" s="142" t="s">
        <v>23</v>
      </c>
      <c r="R350" s="142">
        <f t="shared" si="177"/>
        <v>41445</v>
      </c>
    </row>
    <row r="351" spans="1:18" ht="11.25" customHeight="1">
      <c r="A351" s="71" t="s">
        <v>166</v>
      </c>
      <c r="B351" s="142" t="str">
        <f>+B222</f>
        <v>-</v>
      </c>
      <c r="C351" s="142">
        <f t="shared" ref="C351:I351" si="178">AVERAGE(C222:C226)</f>
        <v>2607</v>
      </c>
      <c r="D351" s="142">
        <f t="shared" si="178"/>
        <v>5199.5</v>
      </c>
      <c r="E351" s="142">
        <f t="shared" si="178"/>
        <v>14961.284720780397</v>
      </c>
      <c r="F351" s="142">
        <f t="shared" si="178"/>
        <v>12699.879902815353</v>
      </c>
      <c r="G351" s="142">
        <f t="shared" si="178"/>
        <v>2858.9900462334185</v>
      </c>
      <c r="H351" s="142">
        <f t="shared" si="178"/>
        <v>50.8</v>
      </c>
      <c r="I351" s="142">
        <f t="shared" si="178"/>
        <v>35250.75466982917</v>
      </c>
      <c r="K351" s="142" t="str">
        <f>+K222</f>
        <v>-</v>
      </c>
      <c r="L351" s="142">
        <f t="shared" ref="L351:R351" si="179">AVERAGE(L222:L226)</f>
        <v>5</v>
      </c>
      <c r="M351" s="142">
        <f t="shared" si="179"/>
        <v>1794.5</v>
      </c>
      <c r="N351" s="142">
        <f t="shared" si="179"/>
        <v>40605.553217747787</v>
      </c>
      <c r="O351" s="142">
        <f t="shared" si="179"/>
        <v>52131.230341472226</v>
      </c>
      <c r="P351" s="142">
        <f t="shared" si="179"/>
        <v>15015.726886302655</v>
      </c>
      <c r="Q351" s="142">
        <f t="shared" si="179"/>
        <v>10.4</v>
      </c>
      <c r="R351" s="142">
        <f t="shared" si="179"/>
        <v>109199.51044552265</v>
      </c>
    </row>
    <row r="352" spans="1:18" ht="11.25" customHeight="1">
      <c r="A352" s="71" t="s">
        <v>315</v>
      </c>
      <c r="B352" s="142" t="str">
        <f>B227</f>
        <v>-</v>
      </c>
      <c r="C352" s="142" t="str">
        <f>C227</f>
        <v>-</v>
      </c>
      <c r="D352" s="142">
        <f>AVERAGE(D227:D231)</f>
        <v>2101.1750000000002</v>
      </c>
      <c r="E352" s="142">
        <f t="shared" ref="E352:I352" si="180">AVERAGE(E227:E231)</f>
        <v>6443.4220000000005</v>
      </c>
      <c r="F352" s="142">
        <f t="shared" si="180"/>
        <v>7643.3940000000002</v>
      </c>
      <c r="G352" s="142">
        <f t="shared" si="180"/>
        <v>878.77600000000007</v>
      </c>
      <c r="H352" s="142">
        <f t="shared" si="180"/>
        <v>47.703999999999994</v>
      </c>
      <c r="I352" s="142">
        <f t="shared" si="180"/>
        <v>16694.235999999997</v>
      </c>
      <c r="K352" s="142" t="str">
        <f>K227</f>
        <v>-</v>
      </c>
      <c r="L352" s="142" t="str">
        <f>L227</f>
        <v>-</v>
      </c>
      <c r="M352" s="142">
        <f t="shared" ref="M352:R352" si="181">AVERAGE(M227:M231)</f>
        <v>495.17249999999996</v>
      </c>
      <c r="N352" s="142">
        <f t="shared" si="181"/>
        <v>18380.756000000001</v>
      </c>
      <c r="O352" s="142">
        <f t="shared" si="181"/>
        <v>38455.949999999997</v>
      </c>
      <c r="P352" s="142">
        <f t="shared" si="181"/>
        <v>5443.616</v>
      </c>
      <c r="Q352" s="142">
        <f t="shared" si="181"/>
        <v>26.564</v>
      </c>
      <c r="R352" s="142">
        <f t="shared" si="181"/>
        <v>62703.023999999998</v>
      </c>
    </row>
    <row r="353" spans="1:18" ht="11.25" customHeight="1">
      <c r="A353" s="71">
        <v>2011</v>
      </c>
      <c r="B353" s="142" t="str">
        <f t="shared" ref="B353:I353" si="182">+B232</f>
        <v>-</v>
      </c>
      <c r="C353" s="142" t="str">
        <f t="shared" si="182"/>
        <v>-</v>
      </c>
      <c r="D353" s="142">
        <f t="shared" si="182"/>
        <v>2860.82</v>
      </c>
      <c r="E353" s="142">
        <f t="shared" si="182"/>
        <v>8270.7599999999984</v>
      </c>
      <c r="F353" s="142">
        <f t="shared" si="182"/>
        <v>17177.82</v>
      </c>
      <c r="G353" s="142">
        <f t="shared" si="182"/>
        <v>888.87</v>
      </c>
      <c r="H353" s="142">
        <f t="shared" si="182"/>
        <v>5</v>
      </c>
      <c r="I353" s="142">
        <f t="shared" si="182"/>
        <v>29203.270000000004</v>
      </c>
      <c r="K353" s="142" t="str">
        <f t="shared" ref="K353:R353" si="183">+K232</f>
        <v>-</v>
      </c>
      <c r="L353" s="142" t="str">
        <f t="shared" si="183"/>
        <v>-</v>
      </c>
      <c r="M353" s="142">
        <f t="shared" si="183"/>
        <v>619.72</v>
      </c>
      <c r="N353" s="142">
        <f t="shared" si="183"/>
        <v>12093.21</v>
      </c>
      <c r="O353" s="142">
        <f t="shared" si="183"/>
        <v>21372.17</v>
      </c>
      <c r="P353" s="142">
        <f t="shared" si="183"/>
        <v>5494.25</v>
      </c>
      <c r="Q353" s="142">
        <f t="shared" si="183"/>
        <v>2.4500000000000002</v>
      </c>
      <c r="R353" s="142">
        <f t="shared" si="183"/>
        <v>39581.799999999996</v>
      </c>
    </row>
    <row r="354" spans="1:18" ht="11.25" customHeight="1">
      <c r="A354" s="71">
        <v>2012</v>
      </c>
      <c r="B354" s="142" t="str">
        <f t="shared" ref="B354:I354" si="184">+B233</f>
        <v>-</v>
      </c>
      <c r="C354" s="142" t="str">
        <f t="shared" si="184"/>
        <v>-</v>
      </c>
      <c r="D354" s="142">
        <f t="shared" si="184"/>
        <v>10264.960000000001</v>
      </c>
      <c r="E354" s="142">
        <f t="shared" si="184"/>
        <v>10219.549999999999</v>
      </c>
      <c r="F354" s="142">
        <f t="shared" si="184"/>
        <v>11016.12</v>
      </c>
      <c r="G354" s="142">
        <f t="shared" si="184"/>
        <v>2095.63</v>
      </c>
      <c r="H354" s="142">
        <f t="shared" si="184"/>
        <v>132.59</v>
      </c>
      <c r="I354" s="142">
        <f t="shared" si="184"/>
        <v>33728.850000000006</v>
      </c>
      <c r="K354" s="142" t="str">
        <f t="shared" ref="K354:R354" si="185">+K233</f>
        <v>-</v>
      </c>
      <c r="L354" s="142" t="str">
        <f t="shared" si="185"/>
        <v>-</v>
      </c>
      <c r="M354" s="142">
        <f t="shared" si="185"/>
        <v>407.48</v>
      </c>
      <c r="N354" s="142">
        <f t="shared" si="185"/>
        <v>10296.51</v>
      </c>
      <c r="O354" s="142">
        <f t="shared" si="185"/>
        <v>11942.22</v>
      </c>
      <c r="P354" s="142">
        <f t="shared" si="185"/>
        <v>8767.2100000000009</v>
      </c>
      <c r="Q354" s="142">
        <f t="shared" si="185"/>
        <v>20.81</v>
      </c>
      <c r="R354" s="142">
        <f t="shared" si="185"/>
        <v>31434.230000000003</v>
      </c>
    </row>
    <row r="355" spans="1:18" ht="11.25" customHeight="1">
      <c r="A355" s="71">
        <v>2013</v>
      </c>
      <c r="B355" s="142" t="str">
        <f t="shared" ref="B355:I355" si="186">+B234</f>
        <v>-</v>
      </c>
      <c r="C355" s="142">
        <f t="shared" si="186"/>
        <v>130.57999999999998</v>
      </c>
      <c r="D355" s="142">
        <f t="shared" si="186"/>
        <v>4226.4299999999994</v>
      </c>
      <c r="E355" s="142">
        <f t="shared" si="186"/>
        <v>8718.93</v>
      </c>
      <c r="F355" s="142">
        <f t="shared" si="186"/>
        <v>13734.3</v>
      </c>
      <c r="G355" s="142">
        <f t="shared" si="186"/>
        <v>1988.93</v>
      </c>
      <c r="H355" s="142">
        <f t="shared" si="186"/>
        <v>118.68</v>
      </c>
      <c r="I355" s="142">
        <f t="shared" si="186"/>
        <v>28917.85</v>
      </c>
      <c r="K355" s="142" t="str">
        <f t="shared" ref="K355:R355" si="187">+K234</f>
        <v>-</v>
      </c>
      <c r="L355" s="142" t="str">
        <f t="shared" si="187"/>
        <v>-</v>
      </c>
      <c r="M355" s="142">
        <f t="shared" si="187"/>
        <v>2979.6000000000004</v>
      </c>
      <c r="N355" s="142">
        <f t="shared" si="187"/>
        <v>10625.59</v>
      </c>
      <c r="O355" s="142">
        <f t="shared" si="187"/>
        <v>25781.87</v>
      </c>
      <c r="P355" s="142">
        <f t="shared" si="187"/>
        <v>6735.22</v>
      </c>
      <c r="Q355" s="142">
        <f t="shared" si="187"/>
        <v>17.72</v>
      </c>
      <c r="R355" s="142">
        <f t="shared" si="187"/>
        <v>46140</v>
      </c>
    </row>
    <row r="356" spans="1:18" ht="11.25" customHeight="1">
      <c r="A356" s="71">
        <v>2014</v>
      </c>
      <c r="B356" s="142" t="str">
        <f t="shared" ref="B356:I356" si="188">+B235</f>
        <v>-</v>
      </c>
      <c r="C356" s="142">
        <f t="shared" si="188"/>
        <v>629.31000000000006</v>
      </c>
      <c r="D356" s="142">
        <f t="shared" si="188"/>
        <v>6026.5</v>
      </c>
      <c r="E356" s="142">
        <f t="shared" si="188"/>
        <v>15460.49</v>
      </c>
      <c r="F356" s="142">
        <f t="shared" si="188"/>
        <v>16174.01</v>
      </c>
      <c r="G356" s="142">
        <f t="shared" si="188"/>
        <v>1624.44</v>
      </c>
      <c r="H356" s="142">
        <f t="shared" si="188"/>
        <v>110.29</v>
      </c>
      <c r="I356" s="142">
        <f t="shared" si="188"/>
        <v>40025.040000000001</v>
      </c>
      <c r="K356" s="142" t="str">
        <f t="shared" ref="K356:R356" si="189">+K235</f>
        <v>-</v>
      </c>
      <c r="L356" s="142" t="str">
        <f t="shared" si="189"/>
        <v>-</v>
      </c>
      <c r="M356" s="142">
        <f t="shared" si="189"/>
        <v>8448.01</v>
      </c>
      <c r="N356" s="142">
        <f t="shared" si="189"/>
        <v>35174.6</v>
      </c>
      <c r="O356" s="142">
        <f t="shared" si="189"/>
        <v>52411.149999999994</v>
      </c>
      <c r="P356" s="142">
        <f t="shared" si="189"/>
        <v>26824.080000000002</v>
      </c>
      <c r="Q356" s="142">
        <f t="shared" si="189"/>
        <v>199.14</v>
      </c>
      <c r="R356" s="142">
        <f t="shared" si="189"/>
        <v>123056.98</v>
      </c>
    </row>
    <row r="357" spans="1:18" ht="11.25" customHeight="1">
      <c r="A357" s="71">
        <v>2015</v>
      </c>
      <c r="B357" s="142" t="str">
        <f t="shared" ref="B357:I357" si="190">+B236</f>
        <v>-</v>
      </c>
      <c r="C357" s="142">
        <f t="shared" si="190"/>
        <v>595.16</v>
      </c>
      <c r="D357" s="142">
        <f t="shared" si="190"/>
        <v>6038.58</v>
      </c>
      <c r="E357" s="142">
        <f t="shared" si="190"/>
        <v>17080.86</v>
      </c>
      <c r="F357" s="142">
        <f t="shared" si="190"/>
        <v>10508.57</v>
      </c>
      <c r="G357" s="142">
        <f t="shared" si="190"/>
        <v>5043.3100000000004</v>
      </c>
      <c r="H357" s="142">
        <f t="shared" si="190"/>
        <v>164.41</v>
      </c>
      <c r="I357" s="142">
        <f t="shared" si="190"/>
        <v>39430.89</v>
      </c>
      <c r="K357" s="142" t="str">
        <f t="shared" ref="K357:R357" si="191">+K236</f>
        <v>-</v>
      </c>
      <c r="L357" s="142" t="str">
        <f t="shared" si="191"/>
        <v>-</v>
      </c>
      <c r="M357" s="142">
        <f t="shared" si="191"/>
        <v>5214.9400000000005</v>
      </c>
      <c r="N357" s="142">
        <f t="shared" si="191"/>
        <v>27410.420000000002</v>
      </c>
      <c r="O357" s="142">
        <f t="shared" si="191"/>
        <v>24543.649999999998</v>
      </c>
      <c r="P357" s="142">
        <f t="shared" si="191"/>
        <v>17555.48</v>
      </c>
      <c r="Q357" s="142">
        <f t="shared" si="191"/>
        <v>12.74</v>
      </c>
      <c r="R357" s="142">
        <f t="shared" si="191"/>
        <v>74737.23000000001</v>
      </c>
    </row>
    <row r="358" spans="1:18" ht="11.25" customHeight="1">
      <c r="A358" s="71">
        <v>2016</v>
      </c>
      <c r="B358" s="142" t="str">
        <f t="shared" ref="B358:I358" si="192">+B237</f>
        <v>-</v>
      </c>
      <c r="C358" s="142" t="str">
        <f t="shared" si="192"/>
        <v>-</v>
      </c>
      <c r="D358" s="142" t="str">
        <f t="shared" si="192"/>
        <v>-</v>
      </c>
      <c r="E358" s="142">
        <f t="shared" si="192"/>
        <v>9518.99</v>
      </c>
      <c r="F358" s="142">
        <f t="shared" si="192"/>
        <v>7388.48</v>
      </c>
      <c r="G358" s="142" t="str">
        <f t="shared" si="192"/>
        <v>-</v>
      </c>
      <c r="H358" s="142" t="str">
        <f t="shared" si="192"/>
        <v>-</v>
      </c>
      <c r="I358" s="142">
        <f t="shared" si="192"/>
        <v>16907.47</v>
      </c>
      <c r="K358" s="142" t="str">
        <f t="shared" ref="K358:R358" si="193">+K237</f>
        <v>-</v>
      </c>
      <c r="L358" s="142" t="str">
        <f t="shared" si="193"/>
        <v>-</v>
      </c>
      <c r="M358" s="142" t="str">
        <f t="shared" si="193"/>
        <v>-</v>
      </c>
      <c r="N358" s="142">
        <f t="shared" si="193"/>
        <v>4754.9900000000007</v>
      </c>
      <c r="O358" s="142">
        <f t="shared" si="193"/>
        <v>11303.630000000001</v>
      </c>
      <c r="P358" s="142" t="str">
        <f t="shared" si="193"/>
        <v>-</v>
      </c>
      <c r="Q358" s="142" t="str">
        <f t="shared" si="193"/>
        <v>-</v>
      </c>
      <c r="R358" s="142">
        <f t="shared" si="193"/>
        <v>16058.62</v>
      </c>
    </row>
    <row r="359" spans="1:18" ht="11.25" customHeight="1">
      <c r="A359" s="99">
        <v>2017</v>
      </c>
      <c r="B359" s="142" t="str">
        <f t="shared" ref="B359:I359" si="194">+B238</f>
        <v>-</v>
      </c>
      <c r="C359" s="142" t="str">
        <f t="shared" si="194"/>
        <v>-</v>
      </c>
      <c r="D359" s="142">
        <f t="shared" si="194"/>
        <v>569.28</v>
      </c>
      <c r="E359" s="142">
        <f t="shared" si="194"/>
        <v>12781.34</v>
      </c>
      <c r="F359" s="142">
        <f t="shared" si="194"/>
        <v>6595.83</v>
      </c>
      <c r="G359" s="142">
        <f t="shared" si="194"/>
        <v>90.74</v>
      </c>
      <c r="H359" s="142" t="str">
        <f t="shared" si="194"/>
        <v>-</v>
      </c>
      <c r="I359" s="142">
        <f t="shared" si="194"/>
        <v>20037.190000000002</v>
      </c>
      <c r="K359" s="142" t="str">
        <f t="shared" ref="K359:R359" si="195">+K238</f>
        <v>-</v>
      </c>
      <c r="L359" s="142" t="str">
        <f t="shared" si="195"/>
        <v>-</v>
      </c>
      <c r="M359" s="142">
        <f t="shared" si="195"/>
        <v>87.710000000000008</v>
      </c>
      <c r="N359" s="142">
        <f t="shared" si="195"/>
        <v>14314.33</v>
      </c>
      <c r="O359" s="142">
        <f t="shared" si="195"/>
        <v>20755.149999999998</v>
      </c>
      <c r="P359" s="142">
        <f t="shared" si="195"/>
        <v>929.59999999999991</v>
      </c>
      <c r="Q359" s="142" t="str">
        <f t="shared" si="195"/>
        <v>-</v>
      </c>
      <c r="R359" s="142">
        <f t="shared" si="195"/>
        <v>36086.789999999994</v>
      </c>
    </row>
    <row r="360" spans="1:18" ht="11.25" customHeight="1">
      <c r="A360" s="99">
        <v>2018</v>
      </c>
      <c r="B360" s="142" t="str">
        <f t="shared" ref="B360:I360" si="196">+B239</f>
        <v>-</v>
      </c>
      <c r="C360" s="142" t="str">
        <f t="shared" si="196"/>
        <v>-</v>
      </c>
      <c r="D360" s="142">
        <f t="shared" si="196"/>
        <v>832.96</v>
      </c>
      <c r="E360" s="142">
        <f t="shared" si="196"/>
        <v>5414.0300000000007</v>
      </c>
      <c r="F360" s="142">
        <f t="shared" si="196"/>
        <v>3610.67</v>
      </c>
      <c r="G360" s="142">
        <f t="shared" si="196"/>
        <v>55.63</v>
      </c>
      <c r="H360" s="142" t="str">
        <f t="shared" si="196"/>
        <v>-</v>
      </c>
      <c r="I360" s="142">
        <f t="shared" si="196"/>
        <v>9913.2900000000009</v>
      </c>
      <c r="K360" s="142" t="str">
        <f t="shared" ref="K360:R360" si="197">+K239</f>
        <v>-</v>
      </c>
      <c r="L360" s="142" t="str">
        <f t="shared" si="197"/>
        <v>-</v>
      </c>
      <c r="M360" s="142">
        <f t="shared" si="197"/>
        <v>831.94</v>
      </c>
      <c r="N360" s="142">
        <f t="shared" si="197"/>
        <v>9580.68</v>
      </c>
      <c r="O360" s="142">
        <f t="shared" si="197"/>
        <v>23951.99</v>
      </c>
      <c r="P360" s="142">
        <f t="shared" si="197"/>
        <v>345.28999999999996</v>
      </c>
      <c r="Q360" s="142" t="str">
        <f t="shared" si="197"/>
        <v>-</v>
      </c>
      <c r="R360" s="142">
        <f t="shared" si="197"/>
        <v>34709.9</v>
      </c>
    </row>
    <row r="361" spans="1:18" ht="11.25" customHeight="1">
      <c r="A361" s="99">
        <v>2019</v>
      </c>
      <c r="B361" s="142" t="str">
        <f t="shared" ref="B361:I361" si="198">+B240</f>
        <v>-</v>
      </c>
      <c r="C361" s="142" t="str">
        <f t="shared" si="198"/>
        <v>-</v>
      </c>
      <c r="D361" s="142">
        <f t="shared" si="198"/>
        <v>1846.9900000000002</v>
      </c>
      <c r="E361" s="142">
        <f t="shared" si="198"/>
        <v>5297.1900000000005</v>
      </c>
      <c r="F361" s="142">
        <f t="shared" si="198"/>
        <v>2036.5500000000002</v>
      </c>
      <c r="G361" s="142">
        <f t="shared" si="198"/>
        <v>238.18</v>
      </c>
      <c r="H361" s="142">
        <f t="shared" si="198"/>
        <v>164.35</v>
      </c>
      <c r="I361" s="142">
        <f t="shared" si="198"/>
        <v>9583.26</v>
      </c>
      <c r="K361" s="142" t="str">
        <f t="shared" ref="K361:R361" si="199">+K240</f>
        <v>-</v>
      </c>
      <c r="L361" s="142" t="str">
        <f t="shared" si="199"/>
        <v>-</v>
      </c>
      <c r="M361" s="142">
        <f t="shared" si="199"/>
        <v>4603.3500000000004</v>
      </c>
      <c r="N361" s="142">
        <f t="shared" si="199"/>
        <v>25944.400000000001</v>
      </c>
      <c r="O361" s="142">
        <f t="shared" si="199"/>
        <v>30786.090000000004</v>
      </c>
      <c r="P361" s="142">
        <f t="shared" si="199"/>
        <v>3074.8500000000004</v>
      </c>
      <c r="Q361" s="142">
        <f t="shared" si="199"/>
        <v>15.86</v>
      </c>
      <c r="R361" s="142">
        <f t="shared" si="199"/>
        <v>64424.55</v>
      </c>
    </row>
    <row r="362" spans="1:18" ht="11.25" customHeight="1">
      <c r="A362" s="239" t="s">
        <v>307</v>
      </c>
      <c r="B362" s="142" t="str">
        <f t="shared" ref="B362:I363" si="200">+B241</f>
        <v>-</v>
      </c>
      <c r="C362" s="142" t="str">
        <f t="shared" si="200"/>
        <v>-</v>
      </c>
      <c r="D362" s="142">
        <f t="shared" si="200"/>
        <v>810.3</v>
      </c>
      <c r="E362" s="142">
        <f t="shared" si="200"/>
        <v>4627.3599999999997</v>
      </c>
      <c r="F362" s="142">
        <f t="shared" si="200"/>
        <v>1591.84</v>
      </c>
      <c r="G362" s="142">
        <f t="shared" si="200"/>
        <v>478.51</v>
      </c>
      <c r="H362" s="142" t="str">
        <f t="shared" si="200"/>
        <v>-</v>
      </c>
      <c r="I362" s="142">
        <f t="shared" si="200"/>
        <v>7508.01</v>
      </c>
      <c r="K362" s="142" t="str">
        <f t="shared" ref="K362:R363" si="201">+K241</f>
        <v>-</v>
      </c>
      <c r="L362" s="142" t="str">
        <f t="shared" si="201"/>
        <v>-</v>
      </c>
      <c r="M362" s="142">
        <f t="shared" si="201"/>
        <v>49.98</v>
      </c>
      <c r="N362" s="142">
        <f t="shared" si="201"/>
        <v>13978.039999999999</v>
      </c>
      <c r="O362" s="142">
        <f t="shared" si="201"/>
        <v>3894.54</v>
      </c>
      <c r="P362" s="142">
        <f t="shared" si="201"/>
        <v>2327.23</v>
      </c>
      <c r="Q362" s="142" t="str">
        <f t="shared" si="201"/>
        <v>-</v>
      </c>
      <c r="R362" s="142">
        <f t="shared" si="201"/>
        <v>20249.79</v>
      </c>
    </row>
    <row r="363" spans="1:18" ht="11.25" customHeight="1">
      <c r="A363" s="239" t="s">
        <v>326</v>
      </c>
      <c r="B363" s="15" t="str">
        <f t="shared" si="200"/>
        <v>-</v>
      </c>
      <c r="C363" s="15" t="str">
        <f t="shared" si="200"/>
        <v>-</v>
      </c>
      <c r="D363" s="15">
        <f t="shared" si="200"/>
        <v>1986.58</v>
      </c>
      <c r="E363" s="15">
        <f t="shared" si="200"/>
        <v>8852.64</v>
      </c>
      <c r="F363" s="15">
        <f t="shared" si="200"/>
        <v>4684.09</v>
      </c>
      <c r="G363" s="15">
        <f t="shared" si="200"/>
        <v>453.01</v>
      </c>
      <c r="H363" s="15" t="str">
        <f t="shared" si="200"/>
        <v>-</v>
      </c>
      <c r="I363" s="15">
        <f t="shared" si="200"/>
        <v>15976.320000000002</v>
      </c>
      <c r="J363" s="25"/>
      <c r="K363" s="15" t="str">
        <f t="shared" si="201"/>
        <v>-</v>
      </c>
      <c r="L363" s="15" t="str">
        <f t="shared" si="201"/>
        <v>-</v>
      </c>
      <c r="M363" s="15">
        <f t="shared" si="201"/>
        <v>167.87</v>
      </c>
      <c r="N363" s="15">
        <f t="shared" si="201"/>
        <v>11314.859999999999</v>
      </c>
      <c r="O363" s="15">
        <f t="shared" si="201"/>
        <v>30848.25</v>
      </c>
      <c r="P363" s="15">
        <f t="shared" si="201"/>
        <v>7438.5</v>
      </c>
      <c r="Q363" s="142" t="str">
        <f t="shared" si="201"/>
        <v>-</v>
      </c>
      <c r="R363" s="15">
        <f t="shared" si="201"/>
        <v>49769.48</v>
      </c>
    </row>
    <row r="364" spans="1:18">
      <c r="A364" s="338" t="str">
        <f>+A243</f>
        <v>a/  Neah Bay and La Push statistics do not include estimates of 707 Chinook killed during Chinook nonretention fishery (July 19-August 20, 1987).</v>
      </c>
      <c r="B364" s="338"/>
      <c r="C364" s="338"/>
      <c r="D364" s="338"/>
      <c r="E364" s="338"/>
      <c r="F364" s="338"/>
      <c r="G364" s="338"/>
      <c r="H364" s="338"/>
      <c r="I364" s="338"/>
      <c r="J364" s="338"/>
      <c r="K364" s="338"/>
      <c r="L364" s="338"/>
      <c r="M364" s="338"/>
      <c r="N364" s="338"/>
      <c r="O364" s="338"/>
      <c r="P364" s="338"/>
      <c r="Q364" s="338"/>
      <c r="R364" s="338"/>
    </row>
    <row r="365" spans="1:18">
      <c r="A365" s="337" t="str">
        <f>+A244</f>
        <v>b/  Includes catch from the Washington State waters Area 4B fishery in 1991, 1992, 1993, 1996, 1997, 1998, 2000, and 2008.</v>
      </c>
      <c r="B365" s="337"/>
      <c r="C365" s="337"/>
      <c r="D365" s="337"/>
      <c r="E365" s="337"/>
      <c r="F365" s="337"/>
      <c r="G365" s="337"/>
      <c r="H365" s="337"/>
      <c r="I365" s="337"/>
      <c r="J365" s="337"/>
      <c r="K365" s="337"/>
      <c r="L365" s="337"/>
      <c r="M365" s="337"/>
      <c r="N365" s="337"/>
      <c r="O365" s="337"/>
      <c r="P365" s="337"/>
      <c r="Q365" s="337"/>
      <c r="R365" s="337"/>
    </row>
    <row r="366" spans="1:18" ht="35.25" customHeight="1">
      <c r="A366" s="351" t="str">
        <f>+A245</f>
        <v xml:space="preserve">c/  TThe ports of Neah Bay and La Push were closed to public access in 2020 due to the COVID-19 pandemic. In 2021, Neah Bay remained closed to public access and La Push opened to public access July 12. Catch shown in this table includes catch that occurred in the adjacent catch areas and was landed into Sekiu during periods Neah Bay and La Push remained closed to public access.   </v>
      </c>
      <c r="B366" s="351"/>
      <c r="C366" s="351"/>
      <c r="D366" s="351"/>
      <c r="E366" s="351"/>
      <c r="F366" s="351"/>
      <c r="G366" s="351"/>
      <c r="H366" s="351"/>
      <c r="I366" s="351"/>
      <c r="J366" s="351"/>
      <c r="K366" s="351"/>
      <c r="L366" s="351"/>
      <c r="M366" s="351"/>
      <c r="N366" s="351"/>
      <c r="O366" s="351"/>
      <c r="P366" s="351"/>
      <c r="Q366" s="351"/>
      <c r="R366" s="351"/>
    </row>
    <row r="367" spans="1:18" ht="11.25" customHeight="1">
      <c r="A367" s="351" t="str">
        <f>+A246</f>
        <v>d/  Preliminary.</v>
      </c>
      <c r="B367" s="351"/>
      <c r="C367" s="351"/>
      <c r="D367" s="351"/>
      <c r="E367" s="351"/>
      <c r="F367" s="351"/>
      <c r="G367" s="351"/>
      <c r="H367" s="351"/>
      <c r="I367" s="351"/>
      <c r="J367" s="351"/>
      <c r="K367" s="351"/>
      <c r="L367" s="351"/>
      <c r="M367" s="351"/>
      <c r="N367" s="351"/>
      <c r="O367" s="351"/>
      <c r="P367" s="351"/>
      <c r="Q367" s="351"/>
      <c r="R367" s="351"/>
    </row>
    <row r="368" spans="1:18" ht="22.5" customHeight="1">
      <c r="A368" s="351" t="str">
        <f>A247</f>
        <v>e/  Includes catch from the North Jetty when the ocean fishery was open; does not include catch reported as occurring inside the Columbia River mouth (North Jetty catch when the ocean fishery was closed, and Buoy 10 was open).</v>
      </c>
      <c r="B368" s="351"/>
      <c r="C368" s="351"/>
      <c r="D368" s="351"/>
      <c r="E368" s="351"/>
      <c r="F368" s="351"/>
      <c r="G368" s="351"/>
      <c r="H368" s="351"/>
      <c r="I368" s="351"/>
      <c r="J368" s="351"/>
      <c r="K368" s="351"/>
      <c r="L368" s="351"/>
      <c r="M368" s="351"/>
      <c r="N368" s="351"/>
      <c r="O368" s="351"/>
      <c r="P368" s="351"/>
      <c r="Q368" s="351"/>
      <c r="R368" s="351"/>
    </row>
  </sheetData>
  <mergeCells count="20">
    <mergeCell ref="A343:R343"/>
    <mergeCell ref="B345:I345"/>
    <mergeCell ref="K345:R345"/>
    <mergeCell ref="A368:R368"/>
    <mergeCell ref="B263:I263"/>
    <mergeCell ref="K263:R263"/>
    <mergeCell ref="A364:R364"/>
    <mergeCell ref="A365:R365"/>
    <mergeCell ref="A366:R366"/>
    <mergeCell ref="A302:R302"/>
    <mergeCell ref="B304:I304"/>
    <mergeCell ref="K304:R304"/>
    <mergeCell ref="A367:R367"/>
    <mergeCell ref="A1:R1"/>
    <mergeCell ref="B3:I3"/>
    <mergeCell ref="K3:R3"/>
    <mergeCell ref="A261:R261"/>
    <mergeCell ref="A247:R247"/>
    <mergeCell ref="A245:R245"/>
    <mergeCell ref="A243:R243"/>
  </mergeCells>
  <pageMargins left="0.7" right="0.7" top="0.75" bottom="0.75" header="0.3" footer="0.3"/>
  <pageSetup orientation="landscape" r:id="rId1"/>
  <rowBreaks count="2" manualBreakCount="2">
    <brk id="301" max="17" man="1"/>
    <brk id="342" max="17" man="1"/>
  </rowBreaks>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52"/>
  <dimension ref="A1:I218"/>
  <sheetViews>
    <sheetView showGridLines="0" topLeftCell="A178" zoomScaleNormal="100" workbookViewId="0">
      <selection activeCell="N421" sqref="N421"/>
    </sheetView>
  </sheetViews>
  <sheetFormatPr baseColWidth="10" defaultColWidth="9" defaultRowHeight="11"/>
  <cols>
    <col min="1" max="1" width="9.6640625" style="99" customWidth="1"/>
    <col min="2" max="8" width="8.6640625" style="18" customWidth="1"/>
    <col min="9" max="9" width="8" style="18" bestFit="1" customWidth="1"/>
    <col min="10" max="16384" width="9" style="1"/>
  </cols>
  <sheetData>
    <row r="1" spans="1:9" ht="11.25" customHeight="1">
      <c r="A1" s="356" t="s">
        <v>138</v>
      </c>
      <c r="B1" s="356"/>
      <c r="C1" s="356"/>
      <c r="D1" s="356"/>
      <c r="E1" s="356"/>
      <c r="F1" s="356"/>
      <c r="G1" s="356"/>
      <c r="H1" s="356"/>
      <c r="I1" s="357"/>
    </row>
    <row r="2" spans="1:9" s="195" customFormat="1" ht="11.25" customHeight="1">
      <c r="A2" s="357"/>
      <c r="B2" s="357"/>
      <c r="C2" s="357"/>
      <c r="D2" s="357"/>
      <c r="E2" s="357"/>
      <c r="F2" s="357"/>
      <c r="G2" s="357"/>
      <c r="H2" s="357"/>
      <c r="I2" s="357"/>
    </row>
    <row r="3" spans="1:9" s="190" customFormat="1" ht="13">
      <c r="A3" s="98" t="s">
        <v>212</v>
      </c>
      <c r="B3" s="196" t="s">
        <v>28</v>
      </c>
      <c r="C3" s="196" t="s">
        <v>29</v>
      </c>
      <c r="D3" s="196" t="s">
        <v>30</v>
      </c>
      <c r="E3" s="196" t="s">
        <v>31</v>
      </c>
      <c r="F3" s="196" t="s">
        <v>32</v>
      </c>
      <c r="G3" s="196" t="s">
        <v>33</v>
      </c>
      <c r="H3" s="196" t="s">
        <v>34</v>
      </c>
      <c r="I3" s="196" t="s">
        <v>22</v>
      </c>
    </row>
    <row r="4" spans="1:9">
      <c r="A4" s="94" t="s">
        <v>59</v>
      </c>
    </row>
    <row r="5" spans="1:9">
      <c r="A5" s="99">
        <v>1977</v>
      </c>
      <c r="B5" s="18">
        <v>0</v>
      </c>
      <c r="C5" s="18">
        <v>0</v>
      </c>
      <c r="D5" s="18">
        <v>15</v>
      </c>
      <c r="E5" s="18">
        <v>1667</v>
      </c>
      <c r="F5" s="18">
        <v>8714</v>
      </c>
      <c r="G5" s="18">
        <v>89</v>
      </c>
      <c r="H5" s="18">
        <v>0</v>
      </c>
      <c r="I5" s="18">
        <f t="shared" ref="I5:I11" si="0">SUM(B5:H5)</f>
        <v>10485</v>
      </c>
    </row>
    <row r="6" spans="1:9">
      <c r="A6" s="99">
        <v>1979</v>
      </c>
      <c r="B6" s="18">
        <v>17</v>
      </c>
      <c r="C6" s="18">
        <v>1</v>
      </c>
      <c r="D6" s="18">
        <v>308</v>
      </c>
      <c r="E6" s="18">
        <v>2375</v>
      </c>
      <c r="F6" s="18">
        <v>8408</v>
      </c>
      <c r="G6" s="18">
        <v>646</v>
      </c>
      <c r="H6" s="18">
        <v>24</v>
      </c>
      <c r="I6" s="18">
        <f t="shared" si="0"/>
        <v>11779</v>
      </c>
    </row>
    <row r="7" spans="1:9">
      <c r="A7" s="99">
        <v>1981</v>
      </c>
      <c r="B7" s="18" t="s">
        <v>23</v>
      </c>
      <c r="C7" s="18">
        <v>18</v>
      </c>
      <c r="D7" s="18">
        <v>7</v>
      </c>
      <c r="E7" s="18">
        <v>1787</v>
      </c>
      <c r="F7" s="18">
        <f>5594+371</f>
        <v>5965</v>
      </c>
      <c r="G7" s="18" t="s">
        <v>23</v>
      </c>
      <c r="H7" s="18">
        <v>27</v>
      </c>
      <c r="I7" s="18">
        <f t="shared" si="0"/>
        <v>7804</v>
      </c>
    </row>
    <row r="8" spans="1:9">
      <c r="A8" s="99">
        <v>1983</v>
      </c>
      <c r="B8" s="18" t="s">
        <v>23</v>
      </c>
      <c r="C8" s="18" t="s">
        <v>23</v>
      </c>
      <c r="D8" s="18" t="s">
        <v>23</v>
      </c>
      <c r="E8" s="18">
        <v>409</v>
      </c>
      <c r="F8" s="18">
        <v>3605</v>
      </c>
      <c r="G8" s="18">
        <v>154</v>
      </c>
      <c r="H8" s="18" t="s">
        <v>23</v>
      </c>
      <c r="I8" s="18">
        <f t="shared" si="0"/>
        <v>4168</v>
      </c>
    </row>
    <row r="9" spans="1:9">
      <c r="A9" s="99">
        <v>1985</v>
      </c>
      <c r="B9" s="18" t="s">
        <v>23</v>
      </c>
      <c r="C9" s="18" t="s">
        <v>23</v>
      </c>
      <c r="D9" s="18">
        <v>0</v>
      </c>
      <c r="E9" s="18">
        <v>143</v>
      </c>
      <c r="F9" s="18">
        <v>1071</v>
      </c>
      <c r="G9" s="18">
        <v>9</v>
      </c>
      <c r="H9" s="18" t="s">
        <v>23</v>
      </c>
      <c r="I9" s="18">
        <f t="shared" si="0"/>
        <v>1223</v>
      </c>
    </row>
    <row r="10" spans="1:9">
      <c r="A10" s="71">
        <v>1987</v>
      </c>
      <c r="B10" s="18" t="s">
        <v>23</v>
      </c>
      <c r="C10" s="18" t="s">
        <v>23</v>
      </c>
      <c r="D10" s="18">
        <v>6</v>
      </c>
      <c r="E10" s="18">
        <v>686</v>
      </c>
      <c r="F10" s="18">
        <v>713</v>
      </c>
      <c r="G10" s="18" t="s">
        <v>23</v>
      </c>
      <c r="H10" s="18" t="s">
        <v>23</v>
      </c>
      <c r="I10" s="18">
        <f t="shared" si="0"/>
        <v>1405</v>
      </c>
    </row>
    <row r="11" spans="1:9" ht="13">
      <c r="A11" s="99" t="s">
        <v>336</v>
      </c>
      <c r="B11" s="18" t="s">
        <v>23</v>
      </c>
      <c r="C11" s="18">
        <v>0</v>
      </c>
      <c r="D11" s="18">
        <v>0</v>
      </c>
      <c r="E11" s="18">
        <v>1443</v>
      </c>
      <c r="F11" s="18">
        <v>295</v>
      </c>
      <c r="G11" s="18">
        <v>202</v>
      </c>
      <c r="H11" s="18" t="s">
        <v>23</v>
      </c>
      <c r="I11" s="18">
        <f t="shared" si="0"/>
        <v>1940</v>
      </c>
    </row>
    <row r="12" spans="1:9" ht="13">
      <c r="A12" s="99" t="s">
        <v>203</v>
      </c>
      <c r="B12" s="18" t="s">
        <v>23</v>
      </c>
      <c r="C12" s="18" t="s">
        <v>23</v>
      </c>
      <c r="D12" s="18" t="s">
        <v>23</v>
      </c>
      <c r="E12" s="18">
        <v>479</v>
      </c>
      <c r="F12" s="18">
        <v>1543</v>
      </c>
      <c r="G12" s="18">
        <v>0</v>
      </c>
      <c r="H12" s="18" t="s">
        <v>23</v>
      </c>
      <c r="I12" s="18">
        <f>SUM(B12:H12)</f>
        <v>2022</v>
      </c>
    </row>
    <row r="13" spans="1:9" ht="13">
      <c r="A13" s="99" t="s">
        <v>205</v>
      </c>
      <c r="B13" s="18" t="s">
        <v>23</v>
      </c>
      <c r="C13" s="18">
        <v>0</v>
      </c>
      <c r="D13" s="18" t="s">
        <v>23</v>
      </c>
      <c r="E13" s="18">
        <v>609</v>
      </c>
      <c r="F13" s="18">
        <v>1264</v>
      </c>
      <c r="G13" s="18">
        <v>371</v>
      </c>
      <c r="H13" s="18" t="s">
        <v>23</v>
      </c>
      <c r="I13" s="18">
        <f t="shared" ref="I13:I18" si="1">SUM(B13:H13)</f>
        <v>2244</v>
      </c>
    </row>
    <row r="14" spans="1:9">
      <c r="A14" s="71">
        <v>1995</v>
      </c>
      <c r="B14" s="18" t="s">
        <v>23</v>
      </c>
      <c r="C14" s="18" t="s">
        <v>23</v>
      </c>
      <c r="D14" s="18" t="s">
        <v>23</v>
      </c>
      <c r="E14" s="18" t="s">
        <v>23</v>
      </c>
      <c r="F14" s="18">
        <v>2578</v>
      </c>
      <c r="G14" s="18">
        <v>30</v>
      </c>
      <c r="H14" s="18" t="s">
        <v>23</v>
      </c>
      <c r="I14" s="18">
        <f t="shared" si="1"/>
        <v>2608</v>
      </c>
    </row>
    <row r="15" spans="1:9" ht="13">
      <c r="A15" s="99" t="s">
        <v>207</v>
      </c>
      <c r="B15" s="18" t="s">
        <v>23</v>
      </c>
      <c r="C15" s="18" t="s">
        <v>23</v>
      </c>
      <c r="D15" s="18" t="s">
        <v>23</v>
      </c>
      <c r="E15" s="18">
        <v>79</v>
      </c>
      <c r="F15" s="18">
        <v>498</v>
      </c>
      <c r="G15" s="18" t="s">
        <v>23</v>
      </c>
      <c r="H15" s="18" t="s">
        <v>23</v>
      </c>
      <c r="I15" s="18">
        <v>577</v>
      </c>
    </row>
    <row r="16" spans="1:9">
      <c r="A16" s="99">
        <v>1999</v>
      </c>
      <c r="B16" s="18" t="s">
        <v>23</v>
      </c>
      <c r="C16" s="18" t="s">
        <v>23</v>
      </c>
      <c r="D16" s="18" t="s">
        <v>23</v>
      </c>
      <c r="E16" s="18">
        <v>730</v>
      </c>
      <c r="F16" s="18">
        <v>1165</v>
      </c>
      <c r="G16" s="18">
        <v>81</v>
      </c>
      <c r="H16" s="18" t="s">
        <v>23</v>
      </c>
      <c r="I16" s="18">
        <f t="shared" si="1"/>
        <v>1976</v>
      </c>
    </row>
    <row r="17" spans="1:9">
      <c r="A17" s="99">
        <v>2001</v>
      </c>
      <c r="B17" s="18" t="s">
        <v>23</v>
      </c>
      <c r="C17" s="18" t="s">
        <v>23</v>
      </c>
      <c r="D17" s="18" t="s">
        <v>23</v>
      </c>
      <c r="E17" s="18">
        <v>1715</v>
      </c>
      <c r="F17" s="18">
        <v>1081</v>
      </c>
      <c r="G17" s="18">
        <v>3</v>
      </c>
      <c r="H17" s="18" t="s">
        <v>23</v>
      </c>
      <c r="I17" s="18">
        <f t="shared" si="1"/>
        <v>2799</v>
      </c>
    </row>
    <row r="18" spans="1:9">
      <c r="A18" s="99">
        <v>2003</v>
      </c>
      <c r="B18" s="18" t="s">
        <v>23</v>
      </c>
      <c r="C18" s="18" t="s">
        <v>23</v>
      </c>
      <c r="D18" s="18">
        <v>6</v>
      </c>
      <c r="E18" s="18">
        <v>2863</v>
      </c>
      <c r="F18" s="18">
        <v>5136</v>
      </c>
      <c r="G18" s="18">
        <v>120</v>
      </c>
      <c r="H18" s="18" t="s">
        <v>23</v>
      </c>
      <c r="I18" s="18">
        <f t="shared" si="1"/>
        <v>8125</v>
      </c>
    </row>
    <row r="19" spans="1:9">
      <c r="A19" s="99">
        <v>2005</v>
      </c>
      <c r="B19" s="18" t="s">
        <v>23</v>
      </c>
      <c r="C19" s="18" t="s">
        <v>23</v>
      </c>
      <c r="D19" s="18" t="s">
        <v>23</v>
      </c>
      <c r="E19" s="18">
        <v>1456</v>
      </c>
      <c r="F19" s="18">
        <v>1375</v>
      </c>
      <c r="G19" s="18">
        <v>62</v>
      </c>
      <c r="H19" s="18" t="s">
        <v>23</v>
      </c>
      <c r="I19" s="18">
        <f>SUM(B19:H19)</f>
        <v>2893</v>
      </c>
    </row>
    <row r="20" spans="1:9">
      <c r="A20" s="99">
        <v>2007</v>
      </c>
      <c r="B20" s="18" t="s">
        <v>23</v>
      </c>
      <c r="C20" s="18" t="s">
        <v>23</v>
      </c>
      <c r="D20" s="18" t="s">
        <v>23</v>
      </c>
      <c r="E20" s="18">
        <v>1267.54</v>
      </c>
      <c r="F20" s="18">
        <v>2765.9</v>
      </c>
      <c r="G20" s="18">
        <v>0</v>
      </c>
      <c r="H20" s="18" t="s">
        <v>23</v>
      </c>
      <c r="I20" s="18">
        <f t="shared" ref="I20:I27" si="2">SUM(B20:H20)</f>
        <v>4033.44</v>
      </c>
    </row>
    <row r="21" spans="1:9">
      <c r="A21" s="99">
        <v>2009</v>
      </c>
      <c r="B21" s="18" t="s">
        <v>23</v>
      </c>
      <c r="C21" s="18" t="s">
        <v>23</v>
      </c>
      <c r="D21" s="18">
        <v>8.58</v>
      </c>
      <c r="E21" s="18">
        <v>2590.79</v>
      </c>
      <c r="F21" s="18">
        <v>4266.09</v>
      </c>
      <c r="G21" s="18">
        <v>270.14999999999998</v>
      </c>
      <c r="H21" s="18" t="s">
        <v>23</v>
      </c>
      <c r="I21" s="18">
        <f t="shared" si="2"/>
        <v>7135.61</v>
      </c>
    </row>
    <row r="22" spans="1:9">
      <c r="A22" s="99">
        <v>2011</v>
      </c>
      <c r="B22" s="18" t="s">
        <v>23</v>
      </c>
      <c r="C22" s="18" t="s">
        <v>23</v>
      </c>
      <c r="D22" s="18">
        <v>33.020000000000003</v>
      </c>
      <c r="E22" s="18">
        <v>3319.93</v>
      </c>
      <c r="F22" s="18">
        <v>3960.49</v>
      </c>
      <c r="G22" s="18">
        <v>159.34</v>
      </c>
      <c r="H22" s="18" t="s">
        <v>23</v>
      </c>
      <c r="I22" s="18">
        <f t="shared" si="2"/>
        <v>7472.78</v>
      </c>
    </row>
    <row r="23" spans="1:9">
      <c r="A23" s="99">
        <v>2013</v>
      </c>
      <c r="B23" s="18" t="s">
        <v>23</v>
      </c>
      <c r="C23" s="18" t="s">
        <v>23</v>
      </c>
      <c r="D23" s="18">
        <v>30.669999999999998</v>
      </c>
      <c r="E23" s="18">
        <v>4087.57</v>
      </c>
      <c r="F23" s="18">
        <v>1865.98</v>
      </c>
      <c r="G23" s="18">
        <v>12.86</v>
      </c>
      <c r="H23" s="18" t="s">
        <v>23</v>
      </c>
      <c r="I23" s="18">
        <f t="shared" si="2"/>
        <v>5997.079999999999</v>
      </c>
    </row>
    <row r="24" spans="1:9">
      <c r="A24" s="99">
        <v>2015</v>
      </c>
      <c r="B24" s="18" t="s">
        <v>23</v>
      </c>
      <c r="C24" s="18" t="s">
        <v>23</v>
      </c>
      <c r="D24" s="18">
        <v>802.56000000000006</v>
      </c>
      <c r="E24" s="18">
        <v>4984.41</v>
      </c>
      <c r="F24" s="18">
        <v>592.66</v>
      </c>
      <c r="G24" s="18">
        <v>5.3</v>
      </c>
      <c r="H24" s="18" t="s">
        <v>23</v>
      </c>
      <c r="I24" s="18">
        <f t="shared" si="2"/>
        <v>6384.93</v>
      </c>
    </row>
    <row r="25" spans="1:9">
      <c r="A25" s="99">
        <v>2017</v>
      </c>
      <c r="B25" s="18" t="s">
        <v>23</v>
      </c>
      <c r="C25" s="18" t="s">
        <v>23</v>
      </c>
      <c r="D25" s="18">
        <v>1.44</v>
      </c>
      <c r="E25" s="18">
        <v>367.81</v>
      </c>
      <c r="F25" s="18">
        <v>299.3</v>
      </c>
      <c r="G25" s="18">
        <v>7.35</v>
      </c>
      <c r="H25" s="18" t="s">
        <v>23</v>
      </c>
      <c r="I25" s="18">
        <f>SUM(B25:H25)</f>
        <v>675.9</v>
      </c>
    </row>
    <row r="26" spans="1:9">
      <c r="A26" s="99">
        <v>2019</v>
      </c>
      <c r="B26" s="18" t="s">
        <v>23</v>
      </c>
      <c r="C26" s="18" t="s">
        <v>23</v>
      </c>
      <c r="D26" s="18">
        <v>15.44</v>
      </c>
      <c r="E26" s="18">
        <v>259.92</v>
      </c>
      <c r="F26" s="18">
        <v>593.29999999999995</v>
      </c>
      <c r="G26" s="18">
        <v>0</v>
      </c>
      <c r="H26" s="18" t="s">
        <v>23</v>
      </c>
      <c r="I26" s="18">
        <f t="shared" ref="I26" si="3">SUM(B26:H26)</f>
        <v>868.66</v>
      </c>
    </row>
    <row r="27" spans="1:9" ht="13">
      <c r="A27" s="99" t="s">
        <v>326</v>
      </c>
      <c r="B27" s="18" t="s">
        <v>23</v>
      </c>
      <c r="C27" s="18" t="s">
        <v>23</v>
      </c>
      <c r="D27" s="18">
        <v>7.24</v>
      </c>
      <c r="E27" s="18">
        <v>671.09</v>
      </c>
      <c r="F27" s="18">
        <v>395.03</v>
      </c>
      <c r="G27" s="18">
        <v>21.78</v>
      </c>
      <c r="H27" s="18" t="s">
        <v>23</v>
      </c>
      <c r="I27" s="18">
        <f t="shared" si="2"/>
        <v>1095.1400000000001</v>
      </c>
    </row>
    <row r="29" spans="1:9">
      <c r="A29" s="94" t="s">
        <v>60</v>
      </c>
    </row>
    <row r="30" spans="1:9">
      <c r="A30" s="99">
        <v>1977</v>
      </c>
      <c r="B30" s="18">
        <v>0</v>
      </c>
      <c r="C30" s="18">
        <v>0</v>
      </c>
      <c r="D30" s="18">
        <v>40</v>
      </c>
      <c r="E30" s="18">
        <v>600</v>
      </c>
      <c r="F30" s="18">
        <v>2328</v>
      </c>
      <c r="G30" s="18">
        <v>8</v>
      </c>
      <c r="H30" s="18">
        <v>0</v>
      </c>
      <c r="I30" s="18">
        <f t="shared" ref="I30:I52" si="4">SUM(B30:H30)</f>
        <v>2976</v>
      </c>
    </row>
    <row r="31" spans="1:9">
      <c r="A31" s="99">
        <v>1979</v>
      </c>
      <c r="B31" s="18" t="s">
        <v>23</v>
      </c>
      <c r="C31" s="18">
        <v>1</v>
      </c>
      <c r="D31" s="18">
        <v>16</v>
      </c>
      <c r="E31" s="18">
        <v>259</v>
      </c>
      <c r="F31" s="18">
        <v>1529</v>
      </c>
      <c r="G31" s="18">
        <v>0</v>
      </c>
      <c r="H31" s="18" t="s">
        <v>23</v>
      </c>
      <c r="I31" s="18">
        <f t="shared" si="4"/>
        <v>1805</v>
      </c>
    </row>
    <row r="32" spans="1:9">
      <c r="A32" s="99">
        <v>1981</v>
      </c>
      <c r="B32" s="18" t="s">
        <v>23</v>
      </c>
      <c r="C32" s="18">
        <v>0</v>
      </c>
      <c r="D32" s="18">
        <v>0</v>
      </c>
      <c r="E32" s="18">
        <v>0</v>
      </c>
      <c r="F32" s="18">
        <v>336</v>
      </c>
      <c r="G32" s="18" t="s">
        <v>23</v>
      </c>
      <c r="H32" s="18" t="s">
        <v>23</v>
      </c>
      <c r="I32" s="18">
        <f t="shared" si="4"/>
        <v>336</v>
      </c>
    </row>
    <row r="33" spans="1:9">
      <c r="A33" s="99">
        <v>1983</v>
      </c>
      <c r="B33" s="18" t="s">
        <v>23</v>
      </c>
      <c r="C33" s="18" t="s">
        <v>23</v>
      </c>
      <c r="D33" s="18" t="s">
        <v>23</v>
      </c>
      <c r="E33" s="18">
        <v>7</v>
      </c>
      <c r="F33" s="18">
        <v>253</v>
      </c>
      <c r="G33" s="18">
        <v>1</v>
      </c>
      <c r="H33" s="18" t="s">
        <v>23</v>
      </c>
      <c r="I33" s="18">
        <f t="shared" si="4"/>
        <v>261</v>
      </c>
    </row>
    <row r="34" spans="1:9">
      <c r="A34" s="99">
        <v>1985</v>
      </c>
      <c r="B34" s="18" t="s">
        <v>23</v>
      </c>
      <c r="C34" s="18" t="s">
        <v>23</v>
      </c>
      <c r="D34" s="18">
        <v>0</v>
      </c>
      <c r="E34" s="18">
        <v>9</v>
      </c>
      <c r="F34" s="18">
        <v>33</v>
      </c>
      <c r="G34" s="18">
        <v>0</v>
      </c>
      <c r="H34" s="18" t="s">
        <v>23</v>
      </c>
      <c r="I34" s="18">
        <f t="shared" si="4"/>
        <v>42</v>
      </c>
    </row>
    <row r="35" spans="1:9">
      <c r="A35" s="99">
        <v>1987</v>
      </c>
      <c r="B35" s="18" t="s">
        <v>23</v>
      </c>
      <c r="C35" s="18" t="s">
        <v>23</v>
      </c>
      <c r="D35" s="18">
        <v>0</v>
      </c>
      <c r="E35" s="18">
        <v>12</v>
      </c>
      <c r="F35" s="18">
        <v>37</v>
      </c>
      <c r="G35" s="18" t="s">
        <v>23</v>
      </c>
      <c r="H35" s="18" t="s">
        <v>23</v>
      </c>
      <c r="I35" s="18">
        <f t="shared" si="4"/>
        <v>49</v>
      </c>
    </row>
    <row r="36" spans="1:9">
      <c r="A36" s="99">
        <v>1989</v>
      </c>
      <c r="B36" s="18" t="s">
        <v>23</v>
      </c>
      <c r="C36" s="18">
        <v>0</v>
      </c>
      <c r="D36" s="18">
        <v>0</v>
      </c>
      <c r="E36" s="18">
        <v>0</v>
      </c>
      <c r="F36" s="18" t="s">
        <v>23</v>
      </c>
      <c r="G36" s="18" t="s">
        <v>23</v>
      </c>
      <c r="H36" s="18" t="s">
        <v>23</v>
      </c>
      <c r="I36" s="18">
        <f t="shared" si="4"/>
        <v>0</v>
      </c>
    </row>
    <row r="37" spans="1:9">
      <c r="A37" s="99">
        <v>1991</v>
      </c>
      <c r="B37" s="18" t="s">
        <v>23</v>
      </c>
      <c r="C37" s="18" t="s">
        <v>23</v>
      </c>
      <c r="D37" s="18" t="s">
        <v>23</v>
      </c>
      <c r="E37" s="18">
        <v>46</v>
      </c>
      <c r="F37" s="18" t="s">
        <v>23</v>
      </c>
      <c r="G37" s="18" t="s">
        <v>23</v>
      </c>
      <c r="H37" s="18" t="s">
        <v>23</v>
      </c>
      <c r="I37" s="18">
        <f t="shared" si="4"/>
        <v>46</v>
      </c>
    </row>
    <row r="38" spans="1:9">
      <c r="A38" s="99">
        <v>1993</v>
      </c>
      <c r="B38" s="18" t="s">
        <v>23</v>
      </c>
      <c r="C38" s="18" t="s">
        <v>23</v>
      </c>
      <c r="D38" s="18" t="s">
        <v>23</v>
      </c>
      <c r="E38" s="18">
        <v>46</v>
      </c>
      <c r="F38" s="18">
        <v>34</v>
      </c>
      <c r="G38" s="18">
        <v>4</v>
      </c>
      <c r="H38" s="18" t="s">
        <v>23</v>
      </c>
      <c r="I38" s="18">
        <f t="shared" si="4"/>
        <v>84</v>
      </c>
    </row>
    <row r="39" spans="1:9">
      <c r="A39" s="99">
        <v>1995</v>
      </c>
      <c r="B39" s="18" t="s">
        <v>23</v>
      </c>
      <c r="C39" s="18" t="s">
        <v>23</v>
      </c>
      <c r="D39" s="18" t="s">
        <v>23</v>
      </c>
      <c r="E39" s="18" t="s">
        <v>23</v>
      </c>
      <c r="F39" s="18">
        <v>78</v>
      </c>
      <c r="G39" s="18">
        <v>11</v>
      </c>
      <c r="H39" s="18" t="s">
        <v>23</v>
      </c>
      <c r="I39" s="18">
        <f t="shared" si="4"/>
        <v>89</v>
      </c>
    </row>
    <row r="40" spans="1:9">
      <c r="A40" s="99">
        <v>1997</v>
      </c>
      <c r="B40" s="18" t="s">
        <v>23</v>
      </c>
      <c r="C40" s="18" t="s">
        <v>23</v>
      </c>
      <c r="D40" s="18" t="s">
        <v>23</v>
      </c>
      <c r="E40" s="18">
        <v>195</v>
      </c>
      <c r="F40" s="18">
        <v>0</v>
      </c>
      <c r="G40" s="18" t="s">
        <v>23</v>
      </c>
      <c r="H40" s="18" t="s">
        <v>23</v>
      </c>
      <c r="I40" s="18">
        <f t="shared" si="4"/>
        <v>195</v>
      </c>
    </row>
    <row r="41" spans="1:9">
      <c r="A41" s="99">
        <v>1999</v>
      </c>
      <c r="B41" s="18" t="s">
        <v>23</v>
      </c>
      <c r="C41" s="18" t="s">
        <v>23</v>
      </c>
      <c r="D41" s="18" t="s">
        <v>23</v>
      </c>
      <c r="E41" s="18">
        <v>87</v>
      </c>
      <c r="F41" s="18">
        <v>47</v>
      </c>
      <c r="G41" s="18">
        <v>0</v>
      </c>
      <c r="H41" s="18" t="s">
        <v>23</v>
      </c>
      <c r="I41" s="18">
        <f t="shared" si="4"/>
        <v>134</v>
      </c>
    </row>
    <row r="42" spans="1:9">
      <c r="A42" s="99">
        <v>2001</v>
      </c>
      <c r="B42" s="18" t="s">
        <v>23</v>
      </c>
      <c r="C42" s="18" t="s">
        <v>23</v>
      </c>
      <c r="D42" s="18" t="s">
        <v>23</v>
      </c>
      <c r="E42" s="18">
        <v>129</v>
      </c>
      <c r="F42" s="18">
        <v>32</v>
      </c>
      <c r="G42" s="18" t="s">
        <v>23</v>
      </c>
      <c r="H42" s="18" t="s">
        <v>23</v>
      </c>
      <c r="I42" s="18">
        <f t="shared" si="4"/>
        <v>161</v>
      </c>
    </row>
    <row r="43" spans="1:9">
      <c r="A43" s="99">
        <v>2003</v>
      </c>
      <c r="B43" s="18" t="s">
        <v>23</v>
      </c>
      <c r="C43" s="18" t="s">
        <v>23</v>
      </c>
      <c r="D43" s="18">
        <v>4</v>
      </c>
      <c r="E43" s="18">
        <v>419</v>
      </c>
      <c r="F43" s="18">
        <v>459</v>
      </c>
      <c r="G43" s="18">
        <v>23</v>
      </c>
      <c r="H43" s="18">
        <v>0</v>
      </c>
      <c r="I43" s="18">
        <f t="shared" si="4"/>
        <v>905</v>
      </c>
    </row>
    <row r="44" spans="1:9">
      <c r="A44" s="99">
        <v>2005</v>
      </c>
      <c r="B44" s="18" t="s">
        <v>23</v>
      </c>
      <c r="C44" s="18" t="s">
        <v>23</v>
      </c>
      <c r="D44" s="18" t="s">
        <v>23</v>
      </c>
      <c r="E44" s="18">
        <v>41</v>
      </c>
      <c r="F44" s="18">
        <v>167</v>
      </c>
      <c r="G44" s="18">
        <v>2</v>
      </c>
      <c r="H44" s="18">
        <v>0</v>
      </c>
      <c r="I44" s="18">
        <f t="shared" si="4"/>
        <v>210</v>
      </c>
    </row>
    <row r="45" spans="1:9">
      <c r="A45" s="99">
        <v>2007</v>
      </c>
      <c r="B45" s="18" t="s">
        <v>23</v>
      </c>
      <c r="C45" s="18" t="s">
        <v>23</v>
      </c>
      <c r="D45" s="18" t="s">
        <v>23</v>
      </c>
      <c r="E45" s="18">
        <v>41.76</v>
      </c>
      <c r="F45" s="18">
        <v>83.96</v>
      </c>
      <c r="G45" s="18">
        <v>0</v>
      </c>
      <c r="H45" s="18">
        <v>0</v>
      </c>
      <c r="I45" s="18">
        <f t="shared" si="4"/>
        <v>125.72</v>
      </c>
    </row>
    <row r="46" spans="1:9" ht="12" customHeight="1">
      <c r="A46" s="99">
        <v>2009</v>
      </c>
      <c r="B46" s="18" t="s">
        <v>23</v>
      </c>
      <c r="C46" s="18" t="s">
        <v>23</v>
      </c>
      <c r="D46" s="18">
        <v>6.25</v>
      </c>
      <c r="E46" s="18">
        <v>147.61000000000001</v>
      </c>
      <c r="F46" s="18">
        <v>76.8</v>
      </c>
      <c r="G46" s="18">
        <v>0</v>
      </c>
      <c r="H46" s="18">
        <v>0</v>
      </c>
      <c r="I46" s="18">
        <f t="shared" si="4"/>
        <v>230.66000000000003</v>
      </c>
    </row>
    <row r="47" spans="1:9" ht="11" customHeight="1">
      <c r="A47" s="99">
        <v>2011</v>
      </c>
      <c r="B47" s="18" t="s">
        <v>23</v>
      </c>
      <c r="C47" s="18" t="s">
        <v>23</v>
      </c>
      <c r="D47" s="18">
        <v>4</v>
      </c>
      <c r="E47" s="18">
        <v>519.75</v>
      </c>
      <c r="F47" s="18">
        <v>928.94</v>
      </c>
      <c r="G47" s="18">
        <v>67.37</v>
      </c>
      <c r="H47" s="18">
        <v>0</v>
      </c>
      <c r="I47" s="18">
        <f t="shared" si="4"/>
        <v>1520.06</v>
      </c>
    </row>
    <row r="48" spans="1:9" ht="12" customHeight="1">
      <c r="A48" s="99">
        <v>2013</v>
      </c>
      <c r="B48" s="18" t="s">
        <v>23</v>
      </c>
      <c r="C48" s="18" t="s">
        <v>23</v>
      </c>
      <c r="D48" s="18">
        <v>3.3</v>
      </c>
      <c r="E48" s="18">
        <v>232.1</v>
      </c>
      <c r="F48" s="18">
        <v>406.22</v>
      </c>
      <c r="G48" s="18">
        <v>1.05</v>
      </c>
      <c r="H48" s="18">
        <v>0</v>
      </c>
      <c r="I48" s="18">
        <f t="shared" si="4"/>
        <v>642.66999999999996</v>
      </c>
    </row>
    <row r="49" spans="1:9" ht="12" customHeight="1">
      <c r="A49" s="99">
        <v>2015</v>
      </c>
      <c r="B49" s="18" t="s">
        <v>23</v>
      </c>
      <c r="C49" s="18" t="s">
        <v>23</v>
      </c>
      <c r="D49" s="18">
        <v>23.67</v>
      </c>
      <c r="E49" s="18">
        <v>113.4</v>
      </c>
      <c r="F49" s="18">
        <v>4.62</v>
      </c>
      <c r="G49" s="18">
        <v>0</v>
      </c>
      <c r="H49" s="18">
        <v>0</v>
      </c>
      <c r="I49" s="18">
        <f t="shared" si="4"/>
        <v>141.69</v>
      </c>
    </row>
    <row r="50" spans="1:9">
      <c r="A50" s="99">
        <v>2017</v>
      </c>
      <c r="B50" s="18" t="s">
        <v>23</v>
      </c>
      <c r="C50" s="18" t="s">
        <v>23</v>
      </c>
      <c r="D50" s="18">
        <v>0</v>
      </c>
      <c r="E50" s="18">
        <v>4</v>
      </c>
      <c r="F50" s="18">
        <v>7.83</v>
      </c>
      <c r="G50" s="18">
        <v>0</v>
      </c>
      <c r="H50" s="18">
        <v>0</v>
      </c>
      <c r="I50" s="18">
        <f>SUM(B50:H50)</f>
        <v>11.83</v>
      </c>
    </row>
    <row r="51" spans="1:9">
      <c r="A51" s="99">
        <v>2019</v>
      </c>
      <c r="B51" s="18" t="s">
        <v>23</v>
      </c>
      <c r="C51" s="18" t="s">
        <v>23</v>
      </c>
      <c r="D51" s="18">
        <v>0</v>
      </c>
      <c r="E51" s="18">
        <v>41.1</v>
      </c>
      <c r="F51" s="18">
        <v>165.38</v>
      </c>
      <c r="G51" s="18">
        <v>0</v>
      </c>
      <c r="H51" s="18">
        <v>0</v>
      </c>
      <c r="I51" s="18">
        <f t="shared" ref="I51" si="5">SUM(B51:H51)</f>
        <v>206.48</v>
      </c>
    </row>
    <row r="52" spans="1:9" ht="13">
      <c r="A52" s="99" t="s">
        <v>326</v>
      </c>
      <c r="B52" s="18" t="s">
        <v>23</v>
      </c>
      <c r="C52" s="18" t="s">
        <v>23</v>
      </c>
      <c r="D52" s="18">
        <v>0</v>
      </c>
      <c r="E52" s="18">
        <v>22.46</v>
      </c>
      <c r="F52" s="18">
        <v>51.61</v>
      </c>
      <c r="G52" s="18">
        <v>3.74</v>
      </c>
      <c r="H52" s="18" t="s">
        <v>23</v>
      </c>
      <c r="I52" s="18">
        <f t="shared" si="4"/>
        <v>77.809999999999988</v>
      </c>
    </row>
    <row r="54" spans="1:9">
      <c r="A54" s="94" t="s">
        <v>58</v>
      </c>
    </row>
    <row r="55" spans="1:9">
      <c r="A55" s="99">
        <v>1977</v>
      </c>
      <c r="B55" s="18">
        <v>0</v>
      </c>
      <c r="C55" s="18">
        <v>303</v>
      </c>
      <c r="D55" s="18">
        <v>1424</v>
      </c>
      <c r="E55" s="18">
        <v>11649</v>
      </c>
      <c r="F55" s="18">
        <v>909</v>
      </c>
      <c r="G55" s="18">
        <v>10</v>
      </c>
      <c r="H55" s="18">
        <v>0</v>
      </c>
      <c r="I55" s="18">
        <f t="shared" ref="I55:I68" si="6">SUM(B55:H55)</f>
        <v>14295</v>
      </c>
    </row>
    <row r="56" spans="1:9">
      <c r="A56" s="99">
        <v>1979</v>
      </c>
      <c r="B56" s="18" t="s">
        <v>23</v>
      </c>
      <c r="C56" s="18">
        <v>40</v>
      </c>
      <c r="D56" s="18">
        <v>748</v>
      </c>
      <c r="E56" s="18">
        <v>990</v>
      </c>
      <c r="F56" s="18">
        <v>2188</v>
      </c>
      <c r="G56" s="18">
        <v>0</v>
      </c>
      <c r="H56" s="18" t="s">
        <v>23</v>
      </c>
      <c r="I56" s="18">
        <f t="shared" si="6"/>
        <v>3966</v>
      </c>
    </row>
    <row r="57" spans="1:9">
      <c r="A57" s="99">
        <v>1981</v>
      </c>
      <c r="B57" s="18" t="s">
        <v>23</v>
      </c>
      <c r="C57" s="18">
        <v>31</v>
      </c>
      <c r="D57" s="18">
        <v>177</v>
      </c>
      <c r="E57" s="18">
        <v>771</v>
      </c>
      <c r="F57" s="18">
        <f>713+4</f>
        <v>717</v>
      </c>
      <c r="G57" s="18" t="s">
        <v>23</v>
      </c>
      <c r="H57" s="18" t="s">
        <v>23</v>
      </c>
      <c r="I57" s="18">
        <f t="shared" si="6"/>
        <v>1696</v>
      </c>
    </row>
    <row r="58" spans="1:9">
      <c r="A58" s="99">
        <v>1983</v>
      </c>
      <c r="B58" s="18" t="s">
        <v>23</v>
      </c>
      <c r="C58" s="18">
        <v>0</v>
      </c>
      <c r="D58" s="18">
        <v>2</v>
      </c>
      <c r="E58" s="18">
        <v>26</v>
      </c>
      <c r="F58" s="18">
        <v>0</v>
      </c>
      <c r="G58" s="18">
        <v>2</v>
      </c>
      <c r="H58" s="18" t="s">
        <v>23</v>
      </c>
      <c r="I58" s="18">
        <f t="shared" si="6"/>
        <v>30</v>
      </c>
    </row>
    <row r="59" spans="1:9">
      <c r="A59" s="99">
        <v>1985</v>
      </c>
      <c r="B59" s="18" t="s">
        <v>23</v>
      </c>
      <c r="C59" s="18" t="s">
        <v>23</v>
      </c>
      <c r="D59" s="18">
        <v>0</v>
      </c>
      <c r="E59" s="18">
        <v>695</v>
      </c>
      <c r="F59" s="18">
        <v>907</v>
      </c>
      <c r="G59" s="18">
        <v>4</v>
      </c>
      <c r="H59" s="18" t="s">
        <v>23</v>
      </c>
      <c r="I59" s="18">
        <f t="shared" si="6"/>
        <v>1606</v>
      </c>
    </row>
    <row r="60" spans="1:9">
      <c r="A60" s="99">
        <v>1987</v>
      </c>
      <c r="B60" s="18" t="s">
        <v>23</v>
      </c>
      <c r="C60" s="18" t="s">
        <v>23</v>
      </c>
      <c r="D60" s="18">
        <v>0</v>
      </c>
      <c r="E60" s="18">
        <v>183</v>
      </c>
      <c r="F60" s="18">
        <v>45</v>
      </c>
      <c r="G60" s="18" t="s">
        <v>23</v>
      </c>
      <c r="H60" s="18" t="s">
        <v>23</v>
      </c>
      <c r="I60" s="18">
        <f t="shared" si="6"/>
        <v>228</v>
      </c>
    </row>
    <row r="61" spans="1:9">
      <c r="A61" s="99">
        <v>1989</v>
      </c>
      <c r="B61" s="18" t="s">
        <v>23</v>
      </c>
      <c r="C61" s="18">
        <v>0</v>
      </c>
      <c r="D61" s="18">
        <v>0</v>
      </c>
      <c r="E61" s="18">
        <v>28</v>
      </c>
      <c r="F61" s="18">
        <v>45</v>
      </c>
      <c r="G61" s="18" t="s">
        <v>23</v>
      </c>
      <c r="H61" s="18" t="s">
        <v>23</v>
      </c>
      <c r="I61" s="18">
        <f t="shared" si="6"/>
        <v>73</v>
      </c>
    </row>
    <row r="62" spans="1:9">
      <c r="A62" s="99">
        <v>1991</v>
      </c>
      <c r="B62" s="18" t="s">
        <v>23</v>
      </c>
      <c r="C62" s="18" t="s">
        <v>23</v>
      </c>
      <c r="D62" s="18">
        <v>0</v>
      </c>
      <c r="E62" s="18">
        <v>43</v>
      </c>
      <c r="F62" s="18">
        <v>33</v>
      </c>
      <c r="G62" s="18">
        <v>4</v>
      </c>
      <c r="H62" s="18" t="s">
        <v>23</v>
      </c>
      <c r="I62" s="18">
        <f t="shared" si="6"/>
        <v>80</v>
      </c>
    </row>
    <row r="63" spans="1:9">
      <c r="A63" s="99">
        <v>1993</v>
      </c>
      <c r="B63" s="18" t="s">
        <v>23</v>
      </c>
      <c r="C63" s="18" t="s">
        <v>23</v>
      </c>
      <c r="D63" s="18" t="s">
        <v>23</v>
      </c>
      <c r="E63" s="18">
        <v>33</v>
      </c>
      <c r="F63" s="18">
        <v>35</v>
      </c>
      <c r="G63" s="18">
        <v>2</v>
      </c>
      <c r="H63" s="18" t="s">
        <v>23</v>
      </c>
      <c r="I63" s="18">
        <f t="shared" si="6"/>
        <v>70</v>
      </c>
    </row>
    <row r="64" spans="1:9">
      <c r="A64" s="99">
        <v>1995</v>
      </c>
      <c r="B64" s="18" t="s">
        <v>23</v>
      </c>
      <c r="C64" s="18" t="s">
        <v>23</v>
      </c>
      <c r="D64" s="18" t="s">
        <v>23</v>
      </c>
      <c r="E64" s="18">
        <v>40</v>
      </c>
      <c r="F64" s="18">
        <v>51</v>
      </c>
      <c r="G64" s="18">
        <v>2</v>
      </c>
      <c r="H64" s="18" t="s">
        <v>23</v>
      </c>
      <c r="I64" s="18">
        <f t="shared" si="6"/>
        <v>93</v>
      </c>
    </row>
    <row r="65" spans="1:9">
      <c r="A65" s="99">
        <v>1997</v>
      </c>
      <c r="B65" s="18" t="s">
        <v>23</v>
      </c>
      <c r="C65" s="18" t="s">
        <v>23</v>
      </c>
      <c r="D65" s="18" t="s">
        <v>23</v>
      </c>
      <c r="E65" s="18">
        <v>520</v>
      </c>
      <c r="F65" s="18">
        <v>96</v>
      </c>
      <c r="G65" s="18">
        <v>22</v>
      </c>
      <c r="H65" s="18" t="s">
        <v>23</v>
      </c>
      <c r="I65" s="18">
        <f t="shared" si="6"/>
        <v>638</v>
      </c>
    </row>
    <row r="66" spans="1:9">
      <c r="A66" s="99">
        <v>1999</v>
      </c>
      <c r="B66" s="18" t="s">
        <v>23</v>
      </c>
      <c r="C66" s="18" t="s">
        <v>23</v>
      </c>
      <c r="D66" s="18" t="s">
        <v>23</v>
      </c>
      <c r="E66" s="18">
        <v>35</v>
      </c>
      <c r="F66" s="18">
        <v>40</v>
      </c>
      <c r="G66" s="18">
        <v>0</v>
      </c>
      <c r="H66" s="18" t="s">
        <v>23</v>
      </c>
      <c r="I66" s="18">
        <f t="shared" si="6"/>
        <v>75</v>
      </c>
    </row>
    <row r="67" spans="1:9">
      <c r="A67" s="99">
        <v>2001</v>
      </c>
      <c r="B67" s="18" t="s">
        <v>23</v>
      </c>
      <c r="C67" s="18" t="s">
        <v>23</v>
      </c>
      <c r="D67" s="18" t="s">
        <v>23</v>
      </c>
      <c r="E67" s="18">
        <v>782</v>
      </c>
      <c r="F67" s="18">
        <v>136</v>
      </c>
      <c r="G67" s="18" t="s">
        <v>23</v>
      </c>
      <c r="H67" s="18" t="s">
        <v>23</v>
      </c>
      <c r="I67" s="18">
        <f t="shared" si="6"/>
        <v>918</v>
      </c>
    </row>
    <row r="68" spans="1:9">
      <c r="A68" s="99">
        <v>2003</v>
      </c>
      <c r="B68" s="18" t="s">
        <v>23</v>
      </c>
      <c r="C68" s="18" t="s">
        <v>23</v>
      </c>
      <c r="D68" s="18">
        <v>12</v>
      </c>
      <c r="E68" s="18">
        <v>3559</v>
      </c>
      <c r="F68" s="18">
        <v>756</v>
      </c>
      <c r="G68" s="18">
        <v>32</v>
      </c>
      <c r="H68" s="18" t="s">
        <v>23</v>
      </c>
      <c r="I68" s="18">
        <f t="shared" si="6"/>
        <v>4359</v>
      </c>
    </row>
    <row r="69" spans="1:9">
      <c r="A69" s="99">
        <v>2005</v>
      </c>
      <c r="B69" s="18" t="s">
        <v>23</v>
      </c>
      <c r="C69" s="18" t="s">
        <v>23</v>
      </c>
      <c r="D69" s="18">
        <v>0</v>
      </c>
      <c r="E69" s="18">
        <v>26</v>
      </c>
      <c r="F69" s="18">
        <v>128</v>
      </c>
      <c r="G69" s="18">
        <v>0</v>
      </c>
      <c r="H69" s="18" t="s">
        <v>23</v>
      </c>
      <c r="I69" s="18">
        <f>SUM(B69:H69)</f>
        <v>154</v>
      </c>
    </row>
    <row r="70" spans="1:9">
      <c r="A70" s="99">
        <v>2007</v>
      </c>
      <c r="B70" s="18" t="s">
        <v>23</v>
      </c>
      <c r="C70" s="18" t="s">
        <v>23</v>
      </c>
      <c r="D70" s="18" t="s">
        <v>23</v>
      </c>
      <c r="E70" s="18">
        <v>260.95999999999998</v>
      </c>
      <c r="F70" s="18">
        <v>240.29</v>
      </c>
      <c r="G70" s="18">
        <v>2.19</v>
      </c>
      <c r="H70" s="18" t="s">
        <v>23</v>
      </c>
      <c r="I70" s="18">
        <f t="shared" ref="I70:I77" si="7">SUM(B70:H70)</f>
        <v>503.44</v>
      </c>
    </row>
    <row r="71" spans="1:9" ht="12" customHeight="1">
      <c r="A71" s="99">
        <v>2009</v>
      </c>
      <c r="B71" s="18" t="s">
        <v>23</v>
      </c>
      <c r="C71" s="18" t="s">
        <v>23</v>
      </c>
      <c r="D71" s="18">
        <v>50.56</v>
      </c>
      <c r="E71" s="18">
        <v>79.22</v>
      </c>
      <c r="F71" s="18">
        <v>131.41</v>
      </c>
      <c r="G71" s="18">
        <v>0</v>
      </c>
      <c r="H71" s="18" t="s">
        <v>23</v>
      </c>
      <c r="I71" s="18">
        <f t="shared" si="7"/>
        <v>261.19</v>
      </c>
    </row>
    <row r="72" spans="1:9" ht="12" customHeight="1">
      <c r="A72" s="99">
        <v>2011</v>
      </c>
      <c r="B72" s="18" t="s">
        <v>23</v>
      </c>
      <c r="C72" s="18" t="s">
        <v>23</v>
      </c>
      <c r="D72" s="18">
        <v>4</v>
      </c>
      <c r="E72" s="18">
        <v>544.4</v>
      </c>
      <c r="F72" s="18">
        <v>1270.3699999999999</v>
      </c>
      <c r="G72" s="18">
        <v>13.2</v>
      </c>
      <c r="H72" s="18" t="s">
        <v>23</v>
      </c>
      <c r="I72" s="18">
        <f t="shared" si="7"/>
        <v>1831.97</v>
      </c>
    </row>
    <row r="73" spans="1:9" ht="12" customHeight="1">
      <c r="A73" s="99">
        <v>2013</v>
      </c>
      <c r="B73" s="18" t="s">
        <v>23</v>
      </c>
      <c r="C73" s="18" t="s">
        <v>23</v>
      </c>
      <c r="D73" s="18">
        <v>4.82</v>
      </c>
      <c r="E73" s="18">
        <v>647.5</v>
      </c>
      <c r="F73" s="18">
        <v>371.7</v>
      </c>
      <c r="G73" s="18">
        <v>0</v>
      </c>
      <c r="H73" s="18" t="s">
        <v>23</v>
      </c>
      <c r="I73" s="18">
        <f t="shared" si="7"/>
        <v>1024.02</v>
      </c>
    </row>
    <row r="74" spans="1:9" ht="12" customHeight="1">
      <c r="A74" s="99">
        <v>2015</v>
      </c>
      <c r="B74" s="18" t="s">
        <v>23</v>
      </c>
      <c r="C74" s="18" t="s">
        <v>23</v>
      </c>
      <c r="D74" s="18">
        <v>208.67</v>
      </c>
      <c r="E74" s="18">
        <v>1828.96</v>
      </c>
      <c r="F74" s="18">
        <v>60.33</v>
      </c>
      <c r="G74" s="18">
        <v>2.8</v>
      </c>
      <c r="H74" s="18" t="s">
        <v>23</v>
      </c>
      <c r="I74" s="18">
        <f t="shared" si="7"/>
        <v>2100.7600000000002</v>
      </c>
    </row>
    <row r="75" spans="1:9">
      <c r="A75" s="99">
        <v>2017</v>
      </c>
      <c r="B75" s="18" t="s">
        <v>23</v>
      </c>
      <c r="C75" s="18" t="s">
        <v>23</v>
      </c>
      <c r="D75" s="18">
        <v>0</v>
      </c>
      <c r="E75" s="18">
        <v>35.56</v>
      </c>
      <c r="F75" s="18">
        <v>8.9700000000000006</v>
      </c>
      <c r="G75" s="18">
        <v>0</v>
      </c>
      <c r="H75" s="18" t="s">
        <v>23</v>
      </c>
      <c r="I75" s="18">
        <f>SUM(B75:H75)</f>
        <v>44.53</v>
      </c>
    </row>
    <row r="76" spans="1:9">
      <c r="A76" s="99">
        <v>2019</v>
      </c>
      <c r="B76" s="18" t="s">
        <v>23</v>
      </c>
      <c r="C76" s="18" t="s">
        <v>23</v>
      </c>
      <c r="D76" s="18">
        <v>0</v>
      </c>
      <c r="E76" s="18">
        <v>126.81</v>
      </c>
      <c r="F76" s="18">
        <v>565.17999999999995</v>
      </c>
      <c r="G76" s="18">
        <v>8.2899999999999991</v>
      </c>
      <c r="H76" s="18" t="s">
        <v>23</v>
      </c>
      <c r="I76" s="18">
        <f t="shared" ref="I76" si="8">SUM(B76:H76)</f>
        <v>700.28</v>
      </c>
    </row>
    <row r="77" spans="1:9" ht="13">
      <c r="A77" s="99" t="s">
        <v>326</v>
      </c>
      <c r="B77" s="18" t="s">
        <v>23</v>
      </c>
      <c r="C77" s="18" t="s">
        <v>23</v>
      </c>
      <c r="D77" s="18">
        <v>0</v>
      </c>
      <c r="E77" s="18">
        <v>28.67</v>
      </c>
      <c r="F77" s="18">
        <v>21.37</v>
      </c>
      <c r="G77" s="18">
        <v>1.42</v>
      </c>
      <c r="H77" s="18" t="s">
        <v>23</v>
      </c>
      <c r="I77" s="18">
        <f t="shared" si="7"/>
        <v>51.460000000000008</v>
      </c>
    </row>
    <row r="79" spans="1:9" ht="13">
      <c r="A79" s="102" t="s">
        <v>339</v>
      </c>
    </row>
    <row r="80" spans="1:9">
      <c r="A80" s="99">
        <v>1977</v>
      </c>
      <c r="B80" s="18">
        <v>0</v>
      </c>
      <c r="C80" s="18">
        <v>33</v>
      </c>
      <c r="D80" s="18">
        <v>171</v>
      </c>
      <c r="E80" s="18">
        <v>689</v>
      </c>
      <c r="F80" s="18">
        <v>602</v>
      </c>
      <c r="G80" s="18">
        <v>4</v>
      </c>
      <c r="H80" s="18">
        <v>0</v>
      </c>
      <c r="I80" s="18">
        <f t="shared" ref="I80:I102" si="9">SUM(B80:H80)</f>
        <v>1499</v>
      </c>
    </row>
    <row r="81" spans="1:9">
      <c r="A81" s="99">
        <v>1979</v>
      </c>
      <c r="B81" s="18" t="s">
        <v>23</v>
      </c>
      <c r="C81" s="18">
        <v>3</v>
      </c>
      <c r="D81" s="18">
        <v>8</v>
      </c>
      <c r="E81" s="18">
        <v>246</v>
      </c>
      <c r="F81" s="18">
        <v>26</v>
      </c>
      <c r="G81" s="18">
        <v>0</v>
      </c>
      <c r="H81" s="18" t="s">
        <v>23</v>
      </c>
      <c r="I81" s="18">
        <f t="shared" si="9"/>
        <v>283</v>
      </c>
    </row>
    <row r="82" spans="1:9">
      <c r="A82" s="99">
        <v>1981</v>
      </c>
      <c r="B82" s="18" t="s">
        <v>23</v>
      </c>
      <c r="C82" s="18">
        <v>2</v>
      </c>
      <c r="D82" s="18">
        <v>4</v>
      </c>
      <c r="E82" s="18">
        <v>101</v>
      </c>
      <c r="F82" s="18">
        <v>260</v>
      </c>
      <c r="G82" s="18" t="s">
        <v>23</v>
      </c>
      <c r="H82" s="18" t="s">
        <v>23</v>
      </c>
      <c r="I82" s="18">
        <f t="shared" si="9"/>
        <v>367</v>
      </c>
    </row>
    <row r="83" spans="1:9">
      <c r="A83" s="99">
        <v>1983</v>
      </c>
      <c r="B83" s="18" t="s">
        <v>23</v>
      </c>
      <c r="C83" s="18">
        <v>0</v>
      </c>
      <c r="D83" s="18">
        <v>0</v>
      </c>
      <c r="E83" s="18">
        <v>0</v>
      </c>
      <c r="F83" s="18">
        <v>2</v>
      </c>
      <c r="G83" s="18">
        <v>0</v>
      </c>
      <c r="H83" s="18" t="s">
        <v>23</v>
      </c>
      <c r="I83" s="18">
        <f t="shared" si="9"/>
        <v>2</v>
      </c>
    </row>
    <row r="84" spans="1:9">
      <c r="A84" s="99">
        <v>1985</v>
      </c>
      <c r="B84" s="18" t="s">
        <v>23</v>
      </c>
      <c r="C84" s="18" t="s">
        <v>23</v>
      </c>
      <c r="D84" s="18">
        <v>0</v>
      </c>
      <c r="E84" s="18">
        <v>6</v>
      </c>
      <c r="F84" s="18">
        <v>203</v>
      </c>
      <c r="G84" s="18" t="s">
        <v>23</v>
      </c>
      <c r="H84" s="18" t="s">
        <v>23</v>
      </c>
      <c r="I84" s="18">
        <f t="shared" si="9"/>
        <v>209</v>
      </c>
    </row>
    <row r="85" spans="1:9">
      <c r="A85" s="99">
        <v>1987</v>
      </c>
      <c r="B85" s="18" t="s">
        <v>23</v>
      </c>
      <c r="C85" s="18" t="s">
        <v>23</v>
      </c>
      <c r="D85" s="18">
        <v>0</v>
      </c>
      <c r="E85" s="18">
        <v>110</v>
      </c>
      <c r="F85" s="18">
        <v>9</v>
      </c>
      <c r="G85" s="18" t="s">
        <v>23</v>
      </c>
      <c r="H85" s="18" t="s">
        <v>23</v>
      </c>
      <c r="I85" s="18">
        <f t="shared" si="9"/>
        <v>119</v>
      </c>
    </row>
    <row r="86" spans="1:9">
      <c r="A86" s="99">
        <v>1989</v>
      </c>
      <c r="B86" s="18" t="s">
        <v>23</v>
      </c>
      <c r="C86" s="18">
        <v>0</v>
      </c>
      <c r="D86" s="18">
        <v>0</v>
      </c>
      <c r="E86" s="18">
        <v>11</v>
      </c>
      <c r="F86" s="18">
        <v>12</v>
      </c>
      <c r="G86" s="18" t="s">
        <v>23</v>
      </c>
      <c r="H86" s="18" t="s">
        <v>23</v>
      </c>
      <c r="I86" s="18">
        <f t="shared" si="9"/>
        <v>23</v>
      </c>
    </row>
    <row r="87" spans="1:9">
      <c r="A87" s="99">
        <v>1991</v>
      </c>
      <c r="B87" s="18" t="s">
        <v>23</v>
      </c>
      <c r="C87" s="18" t="s">
        <v>23</v>
      </c>
      <c r="D87" s="18">
        <v>0</v>
      </c>
      <c r="E87" s="18">
        <v>45</v>
      </c>
      <c r="F87" s="18">
        <v>21</v>
      </c>
      <c r="G87" s="18">
        <v>0</v>
      </c>
      <c r="H87" s="18" t="s">
        <v>23</v>
      </c>
      <c r="I87" s="18">
        <f t="shared" si="9"/>
        <v>66</v>
      </c>
    </row>
    <row r="88" spans="1:9">
      <c r="A88" s="99">
        <v>1993</v>
      </c>
      <c r="B88" s="18" t="s">
        <v>23</v>
      </c>
      <c r="C88" s="18" t="s">
        <v>23</v>
      </c>
      <c r="D88" s="18" t="s">
        <v>23</v>
      </c>
      <c r="E88" s="18">
        <v>7</v>
      </c>
      <c r="F88" s="18">
        <v>11</v>
      </c>
      <c r="G88" s="18">
        <v>0</v>
      </c>
      <c r="H88" s="18" t="s">
        <v>23</v>
      </c>
      <c r="I88" s="18">
        <f t="shared" si="9"/>
        <v>18</v>
      </c>
    </row>
    <row r="89" spans="1:9">
      <c r="A89" s="99">
        <v>1995</v>
      </c>
      <c r="B89" s="18" t="s">
        <v>23</v>
      </c>
      <c r="C89" s="18" t="s">
        <v>23</v>
      </c>
      <c r="D89" s="18" t="s">
        <v>23</v>
      </c>
      <c r="E89" s="18">
        <v>4</v>
      </c>
      <c r="F89" s="18">
        <v>18</v>
      </c>
      <c r="G89" s="18">
        <v>9</v>
      </c>
      <c r="H89" s="18" t="s">
        <v>23</v>
      </c>
      <c r="I89" s="18">
        <f t="shared" si="9"/>
        <v>31</v>
      </c>
    </row>
    <row r="90" spans="1:9">
      <c r="A90" s="99">
        <v>1997</v>
      </c>
      <c r="B90" s="18" t="s">
        <v>23</v>
      </c>
      <c r="C90" s="18" t="s">
        <v>23</v>
      </c>
      <c r="D90" s="18" t="s">
        <v>23</v>
      </c>
      <c r="E90" s="18">
        <v>0</v>
      </c>
      <c r="F90" s="18">
        <v>0</v>
      </c>
      <c r="G90" s="18" t="s">
        <v>23</v>
      </c>
      <c r="H90" s="18" t="s">
        <v>23</v>
      </c>
      <c r="I90" s="18">
        <f t="shared" si="9"/>
        <v>0</v>
      </c>
    </row>
    <row r="91" spans="1:9">
      <c r="A91" s="99">
        <v>1999</v>
      </c>
      <c r="B91" s="18" t="s">
        <v>23</v>
      </c>
      <c r="C91" s="18" t="s">
        <v>23</v>
      </c>
      <c r="D91" s="18" t="s">
        <v>23</v>
      </c>
      <c r="E91" s="18">
        <v>0</v>
      </c>
      <c r="F91" s="18">
        <v>3</v>
      </c>
      <c r="G91" s="18">
        <v>0</v>
      </c>
      <c r="H91" s="18" t="s">
        <v>23</v>
      </c>
      <c r="I91" s="18">
        <f t="shared" si="9"/>
        <v>3</v>
      </c>
    </row>
    <row r="92" spans="1:9">
      <c r="A92" s="99">
        <v>2001</v>
      </c>
      <c r="B92" s="18" t="s">
        <v>23</v>
      </c>
      <c r="C92" s="18" t="s">
        <v>23</v>
      </c>
      <c r="D92" s="18" t="s">
        <v>23</v>
      </c>
      <c r="E92" s="18">
        <v>5</v>
      </c>
      <c r="F92" s="18">
        <v>31</v>
      </c>
      <c r="G92" s="18">
        <v>4</v>
      </c>
      <c r="H92" s="18" t="s">
        <v>23</v>
      </c>
      <c r="I92" s="18">
        <f t="shared" si="9"/>
        <v>40</v>
      </c>
    </row>
    <row r="93" spans="1:9">
      <c r="A93" s="99">
        <v>2003</v>
      </c>
      <c r="B93" s="18" t="s">
        <v>23</v>
      </c>
      <c r="C93" s="18" t="s">
        <v>23</v>
      </c>
      <c r="D93" s="18">
        <v>0</v>
      </c>
      <c r="E93" s="18">
        <v>2</v>
      </c>
      <c r="F93" s="18">
        <v>16</v>
      </c>
      <c r="G93" s="18">
        <v>0</v>
      </c>
      <c r="H93" s="18" t="s">
        <v>23</v>
      </c>
      <c r="I93" s="18">
        <f t="shared" si="9"/>
        <v>18</v>
      </c>
    </row>
    <row r="94" spans="1:9">
      <c r="A94" s="99">
        <v>2005</v>
      </c>
      <c r="B94" s="18" t="s">
        <v>23</v>
      </c>
      <c r="C94" s="18" t="s">
        <v>23</v>
      </c>
      <c r="D94" s="18" t="s">
        <v>23</v>
      </c>
      <c r="E94" s="18">
        <v>3</v>
      </c>
      <c r="F94" s="18">
        <v>0</v>
      </c>
      <c r="G94" s="18">
        <v>0</v>
      </c>
      <c r="H94" s="18" t="s">
        <v>23</v>
      </c>
      <c r="I94" s="18">
        <f t="shared" si="9"/>
        <v>3</v>
      </c>
    </row>
    <row r="95" spans="1:9">
      <c r="A95" s="99">
        <v>2007</v>
      </c>
      <c r="B95" s="18" t="s">
        <v>23</v>
      </c>
      <c r="C95" s="18" t="s">
        <v>23</v>
      </c>
      <c r="D95" s="18" t="s">
        <v>23</v>
      </c>
      <c r="E95" s="18">
        <v>5</v>
      </c>
      <c r="F95" s="18">
        <v>2.67</v>
      </c>
      <c r="G95" s="18">
        <v>0</v>
      </c>
      <c r="H95" s="18" t="s">
        <v>23</v>
      </c>
      <c r="I95" s="18">
        <f t="shared" si="9"/>
        <v>7.67</v>
      </c>
    </row>
    <row r="96" spans="1:9" ht="12" customHeight="1">
      <c r="A96" s="99">
        <v>2009</v>
      </c>
      <c r="B96" s="18" t="s">
        <v>23</v>
      </c>
      <c r="C96" s="18" t="s">
        <v>23</v>
      </c>
      <c r="D96" s="18">
        <v>0</v>
      </c>
      <c r="E96" s="18">
        <v>0</v>
      </c>
      <c r="F96" s="18">
        <v>0</v>
      </c>
      <c r="G96" s="18">
        <v>0</v>
      </c>
      <c r="H96" s="18" t="s">
        <v>23</v>
      </c>
      <c r="I96" s="18">
        <f t="shared" si="9"/>
        <v>0</v>
      </c>
    </row>
    <row r="97" spans="1:9" ht="12" customHeight="1">
      <c r="A97" s="99">
        <v>2011</v>
      </c>
      <c r="B97" s="18" t="s">
        <v>23</v>
      </c>
      <c r="C97" s="18" t="s">
        <v>23</v>
      </c>
      <c r="D97" s="18">
        <v>0</v>
      </c>
      <c r="E97" s="18">
        <v>2</v>
      </c>
      <c r="F97" s="18">
        <v>1</v>
      </c>
      <c r="G97" s="18">
        <v>0</v>
      </c>
      <c r="H97" s="18" t="s">
        <v>23</v>
      </c>
      <c r="I97" s="18">
        <f t="shared" si="9"/>
        <v>3</v>
      </c>
    </row>
    <row r="98" spans="1:9" ht="12" customHeight="1">
      <c r="A98" s="99">
        <v>2013</v>
      </c>
      <c r="B98" s="18" t="s">
        <v>23</v>
      </c>
      <c r="C98" s="18" t="s">
        <v>23</v>
      </c>
      <c r="D98" s="18">
        <v>0</v>
      </c>
      <c r="E98" s="18">
        <v>0</v>
      </c>
      <c r="F98" s="18">
        <v>4.22</v>
      </c>
      <c r="G98" s="18">
        <v>0</v>
      </c>
      <c r="H98" s="18" t="s">
        <v>23</v>
      </c>
      <c r="I98" s="18">
        <f t="shared" si="9"/>
        <v>4.22</v>
      </c>
    </row>
    <row r="99" spans="1:9" ht="12" customHeight="1">
      <c r="A99" s="99">
        <v>2015</v>
      </c>
      <c r="B99" s="18" t="s">
        <v>23</v>
      </c>
      <c r="C99" s="18" t="s">
        <v>23</v>
      </c>
      <c r="D99" s="18">
        <v>0</v>
      </c>
      <c r="E99" s="18">
        <v>2.57</v>
      </c>
      <c r="F99" s="18">
        <v>1</v>
      </c>
      <c r="G99" s="18">
        <v>0</v>
      </c>
      <c r="H99" s="18" t="s">
        <v>23</v>
      </c>
      <c r="I99" s="18">
        <f t="shared" si="9"/>
        <v>3.57</v>
      </c>
    </row>
    <row r="100" spans="1:9">
      <c r="A100" s="99">
        <v>2017</v>
      </c>
      <c r="B100" s="18" t="s">
        <v>23</v>
      </c>
      <c r="C100" s="18" t="s">
        <v>23</v>
      </c>
      <c r="D100" s="18">
        <v>0</v>
      </c>
      <c r="E100" s="18">
        <v>0</v>
      </c>
      <c r="F100" s="18">
        <v>0</v>
      </c>
      <c r="G100" s="18">
        <v>0</v>
      </c>
      <c r="H100" s="18" t="s">
        <v>23</v>
      </c>
      <c r="I100" s="18">
        <f>SUM(B100:H100)</f>
        <v>0</v>
      </c>
    </row>
    <row r="101" spans="1:9">
      <c r="A101" s="99">
        <v>2019</v>
      </c>
      <c r="B101" s="18" t="s">
        <v>23</v>
      </c>
      <c r="C101" s="18" t="s">
        <v>23</v>
      </c>
      <c r="D101" s="18">
        <v>0</v>
      </c>
      <c r="E101" s="18">
        <v>0</v>
      </c>
      <c r="F101" s="18">
        <v>0</v>
      </c>
      <c r="G101" s="18">
        <v>0</v>
      </c>
      <c r="H101" s="18" t="s">
        <v>23</v>
      </c>
      <c r="I101" s="18">
        <f t="shared" ref="I101" si="10">SUM(B101:H101)</f>
        <v>0</v>
      </c>
    </row>
    <row r="102" spans="1:9" ht="13">
      <c r="A102" s="99" t="s">
        <v>326</v>
      </c>
      <c r="B102" s="18" t="s">
        <v>23</v>
      </c>
      <c r="C102" s="18" t="s">
        <v>23</v>
      </c>
      <c r="D102" s="18">
        <v>0</v>
      </c>
      <c r="E102" s="18">
        <v>3.2</v>
      </c>
      <c r="F102" s="18">
        <v>0</v>
      </c>
      <c r="G102" s="18" t="s">
        <v>23</v>
      </c>
      <c r="H102" s="18" t="s">
        <v>23</v>
      </c>
      <c r="I102" s="18">
        <f t="shared" si="9"/>
        <v>3.2</v>
      </c>
    </row>
    <row r="104" spans="1:9" ht="13">
      <c r="A104" s="97" t="s">
        <v>327</v>
      </c>
    </row>
    <row r="105" spans="1:9">
      <c r="A105" s="99">
        <v>1977</v>
      </c>
      <c r="B105" s="18">
        <f t="shared" ref="B105:I114" si="11">IF(AND(B80="-",B55="-",B30="-",B5="-"),"-",SUM(B80,B55,B30,B5))</f>
        <v>0</v>
      </c>
      <c r="C105" s="18">
        <f t="shared" si="11"/>
        <v>336</v>
      </c>
      <c r="D105" s="18">
        <f t="shared" si="11"/>
        <v>1650</v>
      </c>
      <c r="E105" s="18">
        <f t="shared" si="11"/>
        <v>14605</v>
      </c>
      <c r="F105" s="18">
        <f t="shared" si="11"/>
        <v>12553</v>
      </c>
      <c r="G105" s="18">
        <f t="shared" si="11"/>
        <v>111</v>
      </c>
      <c r="H105" s="18">
        <f t="shared" si="11"/>
        <v>0</v>
      </c>
      <c r="I105" s="18">
        <f t="shared" si="11"/>
        <v>29255</v>
      </c>
    </row>
    <row r="106" spans="1:9">
      <c r="A106" s="99">
        <v>1979</v>
      </c>
      <c r="B106" s="18">
        <f t="shared" si="11"/>
        <v>17</v>
      </c>
      <c r="C106" s="18">
        <f t="shared" si="11"/>
        <v>45</v>
      </c>
      <c r="D106" s="18">
        <f t="shared" si="11"/>
        <v>1080</v>
      </c>
      <c r="E106" s="18">
        <f t="shared" si="11"/>
        <v>3870</v>
      </c>
      <c r="F106" s="18">
        <f t="shared" si="11"/>
        <v>12151</v>
      </c>
      <c r="G106" s="18">
        <f t="shared" si="11"/>
        <v>646</v>
      </c>
      <c r="H106" s="18">
        <f t="shared" si="11"/>
        <v>24</v>
      </c>
      <c r="I106" s="18">
        <f t="shared" si="11"/>
        <v>17833</v>
      </c>
    </row>
    <row r="107" spans="1:9">
      <c r="A107" s="99">
        <v>1981</v>
      </c>
      <c r="B107" s="18" t="str">
        <f t="shared" si="11"/>
        <v>-</v>
      </c>
      <c r="C107" s="18">
        <f t="shared" si="11"/>
        <v>51</v>
      </c>
      <c r="D107" s="18">
        <f t="shared" si="11"/>
        <v>188</v>
      </c>
      <c r="E107" s="18">
        <f t="shared" si="11"/>
        <v>2659</v>
      </c>
      <c r="F107" s="18">
        <f t="shared" si="11"/>
        <v>7278</v>
      </c>
      <c r="G107" s="18" t="str">
        <f t="shared" si="11"/>
        <v>-</v>
      </c>
      <c r="H107" s="18">
        <f t="shared" si="11"/>
        <v>27</v>
      </c>
      <c r="I107" s="18">
        <f t="shared" si="11"/>
        <v>10203</v>
      </c>
    </row>
    <row r="108" spans="1:9">
      <c r="A108" s="99">
        <v>1983</v>
      </c>
      <c r="B108" s="18" t="str">
        <f t="shared" si="11"/>
        <v>-</v>
      </c>
      <c r="C108" s="18">
        <f t="shared" si="11"/>
        <v>0</v>
      </c>
      <c r="D108" s="18">
        <f t="shared" si="11"/>
        <v>2</v>
      </c>
      <c r="E108" s="18">
        <f t="shared" si="11"/>
        <v>442</v>
      </c>
      <c r="F108" s="18">
        <f t="shared" si="11"/>
        <v>3860</v>
      </c>
      <c r="G108" s="18">
        <f t="shared" si="11"/>
        <v>157</v>
      </c>
      <c r="H108" s="18" t="str">
        <f t="shared" si="11"/>
        <v>-</v>
      </c>
      <c r="I108" s="18">
        <f t="shared" si="11"/>
        <v>4461</v>
      </c>
    </row>
    <row r="109" spans="1:9">
      <c r="A109" s="99">
        <v>1985</v>
      </c>
      <c r="B109" s="18" t="str">
        <f t="shared" si="11"/>
        <v>-</v>
      </c>
      <c r="C109" s="18" t="str">
        <f t="shared" si="11"/>
        <v>-</v>
      </c>
      <c r="D109" s="18">
        <f t="shared" si="11"/>
        <v>0</v>
      </c>
      <c r="E109" s="18">
        <f t="shared" si="11"/>
        <v>853</v>
      </c>
      <c r="F109" s="18">
        <f t="shared" si="11"/>
        <v>2214</v>
      </c>
      <c r="G109" s="18">
        <f t="shared" si="11"/>
        <v>13</v>
      </c>
      <c r="H109" s="18" t="str">
        <f t="shared" si="11"/>
        <v>-</v>
      </c>
      <c r="I109" s="18">
        <f t="shared" si="11"/>
        <v>3080</v>
      </c>
    </row>
    <row r="110" spans="1:9">
      <c r="A110" s="71">
        <v>1987</v>
      </c>
      <c r="B110" s="18" t="str">
        <f t="shared" si="11"/>
        <v>-</v>
      </c>
      <c r="C110" s="18" t="str">
        <f t="shared" si="11"/>
        <v>-</v>
      </c>
      <c r="D110" s="18">
        <f t="shared" si="11"/>
        <v>6</v>
      </c>
      <c r="E110" s="18">
        <f t="shared" si="11"/>
        <v>991</v>
      </c>
      <c r="F110" s="18">
        <f t="shared" si="11"/>
        <v>804</v>
      </c>
      <c r="G110" s="18" t="str">
        <f t="shared" si="11"/>
        <v>-</v>
      </c>
      <c r="H110" s="18" t="str">
        <f t="shared" si="11"/>
        <v>-</v>
      </c>
      <c r="I110" s="18">
        <f t="shared" si="11"/>
        <v>1801</v>
      </c>
    </row>
    <row r="111" spans="1:9" ht="13">
      <c r="A111" s="99" t="s">
        <v>336</v>
      </c>
      <c r="B111" s="18" t="str">
        <f t="shared" si="11"/>
        <v>-</v>
      </c>
      <c r="C111" s="18">
        <f t="shared" si="11"/>
        <v>0</v>
      </c>
      <c r="D111" s="18">
        <f t="shared" si="11"/>
        <v>0</v>
      </c>
      <c r="E111" s="18">
        <f t="shared" si="11"/>
        <v>1482</v>
      </c>
      <c r="F111" s="18">
        <f t="shared" si="11"/>
        <v>352</v>
      </c>
      <c r="G111" s="18">
        <f t="shared" si="11"/>
        <v>202</v>
      </c>
      <c r="H111" s="18" t="str">
        <f t="shared" si="11"/>
        <v>-</v>
      </c>
      <c r="I111" s="18">
        <f t="shared" si="11"/>
        <v>2036</v>
      </c>
    </row>
    <row r="112" spans="1:9" ht="13">
      <c r="A112" s="99" t="s">
        <v>203</v>
      </c>
      <c r="B112" s="18" t="str">
        <f t="shared" si="11"/>
        <v>-</v>
      </c>
      <c r="C112" s="18" t="str">
        <f t="shared" si="11"/>
        <v>-</v>
      </c>
      <c r="D112" s="18">
        <f t="shared" si="11"/>
        <v>0</v>
      </c>
      <c r="E112" s="18">
        <f t="shared" si="11"/>
        <v>613</v>
      </c>
      <c r="F112" s="18">
        <f t="shared" si="11"/>
        <v>1597</v>
      </c>
      <c r="G112" s="18">
        <f t="shared" si="11"/>
        <v>4</v>
      </c>
      <c r="H112" s="18" t="str">
        <f t="shared" si="11"/>
        <v>-</v>
      </c>
      <c r="I112" s="18">
        <f t="shared" si="11"/>
        <v>2214</v>
      </c>
    </row>
    <row r="113" spans="1:9" ht="13">
      <c r="A113" s="99" t="s">
        <v>205</v>
      </c>
      <c r="B113" s="18" t="str">
        <f t="shared" si="11"/>
        <v>-</v>
      </c>
      <c r="C113" s="18">
        <f t="shared" si="11"/>
        <v>0</v>
      </c>
      <c r="D113" s="18" t="str">
        <f t="shared" si="11"/>
        <v>-</v>
      </c>
      <c r="E113" s="18">
        <f t="shared" si="11"/>
        <v>695</v>
      </c>
      <c r="F113" s="18">
        <f t="shared" si="11"/>
        <v>1344</v>
      </c>
      <c r="G113" s="18">
        <f t="shared" si="11"/>
        <v>377</v>
      </c>
      <c r="H113" s="18" t="str">
        <f t="shared" si="11"/>
        <v>-</v>
      </c>
      <c r="I113" s="18">
        <f t="shared" si="11"/>
        <v>2416</v>
      </c>
    </row>
    <row r="114" spans="1:9">
      <c r="A114" s="71">
        <v>1995</v>
      </c>
      <c r="B114" s="18" t="str">
        <f t="shared" si="11"/>
        <v>-</v>
      </c>
      <c r="C114" s="18" t="str">
        <f t="shared" si="11"/>
        <v>-</v>
      </c>
      <c r="D114" s="18" t="str">
        <f t="shared" si="11"/>
        <v>-</v>
      </c>
      <c r="E114" s="18">
        <f t="shared" si="11"/>
        <v>44</v>
      </c>
      <c r="F114" s="18">
        <f t="shared" si="11"/>
        <v>2725</v>
      </c>
      <c r="G114" s="18">
        <f t="shared" si="11"/>
        <v>52</v>
      </c>
      <c r="H114" s="18" t="str">
        <f t="shared" si="11"/>
        <v>-</v>
      </c>
      <c r="I114" s="18">
        <f t="shared" si="11"/>
        <v>2821</v>
      </c>
    </row>
    <row r="115" spans="1:9" ht="13">
      <c r="A115" s="99" t="s">
        <v>207</v>
      </c>
      <c r="B115" s="18" t="str">
        <f t="shared" ref="B115:I124" si="12">IF(AND(B90="-",B65="-",B40="-",B15="-"),"-",SUM(B90,B65,B40,B15))</f>
        <v>-</v>
      </c>
      <c r="C115" s="18" t="str">
        <f t="shared" si="12"/>
        <v>-</v>
      </c>
      <c r="D115" s="18" t="str">
        <f t="shared" si="12"/>
        <v>-</v>
      </c>
      <c r="E115" s="18">
        <f t="shared" si="12"/>
        <v>794</v>
      </c>
      <c r="F115" s="18">
        <f t="shared" si="12"/>
        <v>594</v>
      </c>
      <c r="G115" s="18">
        <f t="shared" si="12"/>
        <v>22</v>
      </c>
      <c r="H115" s="18" t="str">
        <f t="shared" si="12"/>
        <v>-</v>
      </c>
      <c r="I115" s="18">
        <f t="shared" si="12"/>
        <v>1410</v>
      </c>
    </row>
    <row r="116" spans="1:9">
      <c r="A116" s="99">
        <v>1999</v>
      </c>
      <c r="B116" s="18" t="str">
        <f t="shared" si="12"/>
        <v>-</v>
      </c>
      <c r="C116" s="18" t="str">
        <f t="shared" si="12"/>
        <v>-</v>
      </c>
      <c r="D116" s="18" t="str">
        <f t="shared" si="12"/>
        <v>-</v>
      </c>
      <c r="E116" s="18">
        <f t="shared" si="12"/>
        <v>852</v>
      </c>
      <c r="F116" s="18">
        <f t="shared" si="12"/>
        <v>1255</v>
      </c>
      <c r="G116" s="18">
        <f t="shared" si="12"/>
        <v>81</v>
      </c>
      <c r="H116" s="18" t="str">
        <f t="shared" si="12"/>
        <v>-</v>
      </c>
      <c r="I116" s="18">
        <f t="shared" si="12"/>
        <v>2188</v>
      </c>
    </row>
    <row r="117" spans="1:9">
      <c r="A117" s="99">
        <v>2001</v>
      </c>
      <c r="B117" s="18" t="str">
        <f t="shared" si="12"/>
        <v>-</v>
      </c>
      <c r="C117" s="18" t="str">
        <f t="shared" si="12"/>
        <v>-</v>
      </c>
      <c r="D117" s="18" t="str">
        <f t="shared" si="12"/>
        <v>-</v>
      </c>
      <c r="E117" s="18">
        <f t="shared" si="12"/>
        <v>2631</v>
      </c>
      <c r="F117" s="18">
        <f t="shared" si="12"/>
        <v>1280</v>
      </c>
      <c r="G117" s="18">
        <f t="shared" si="12"/>
        <v>7</v>
      </c>
      <c r="H117" s="18" t="str">
        <f t="shared" si="12"/>
        <v>-</v>
      </c>
      <c r="I117" s="18">
        <f t="shared" si="12"/>
        <v>3918</v>
      </c>
    </row>
    <row r="118" spans="1:9">
      <c r="A118" s="99">
        <v>2003</v>
      </c>
      <c r="B118" s="18" t="str">
        <f t="shared" si="12"/>
        <v>-</v>
      </c>
      <c r="C118" s="18" t="str">
        <f t="shared" si="12"/>
        <v>-</v>
      </c>
      <c r="D118" s="18">
        <f t="shared" si="12"/>
        <v>22</v>
      </c>
      <c r="E118" s="18">
        <f t="shared" si="12"/>
        <v>6843</v>
      </c>
      <c r="F118" s="18">
        <f t="shared" si="12"/>
        <v>6367</v>
      </c>
      <c r="G118" s="18">
        <f t="shared" si="12"/>
        <v>175</v>
      </c>
      <c r="H118" s="18">
        <f t="shared" si="12"/>
        <v>0</v>
      </c>
      <c r="I118" s="18">
        <f t="shared" si="12"/>
        <v>13407</v>
      </c>
    </row>
    <row r="119" spans="1:9">
      <c r="A119" s="99">
        <v>2005</v>
      </c>
      <c r="B119" s="18" t="str">
        <f t="shared" si="12"/>
        <v>-</v>
      </c>
      <c r="C119" s="18" t="str">
        <f t="shared" si="12"/>
        <v>-</v>
      </c>
      <c r="D119" s="18">
        <f t="shared" si="12"/>
        <v>0</v>
      </c>
      <c r="E119" s="18">
        <f t="shared" si="12"/>
        <v>1526</v>
      </c>
      <c r="F119" s="18">
        <f t="shared" si="12"/>
        <v>1670</v>
      </c>
      <c r="G119" s="18">
        <f t="shared" si="12"/>
        <v>64</v>
      </c>
      <c r="H119" s="18">
        <f t="shared" si="12"/>
        <v>0</v>
      </c>
      <c r="I119" s="18">
        <f t="shared" si="12"/>
        <v>3260</v>
      </c>
    </row>
    <row r="120" spans="1:9">
      <c r="A120" s="99">
        <v>2007</v>
      </c>
      <c r="B120" s="18" t="str">
        <f t="shared" si="12"/>
        <v>-</v>
      </c>
      <c r="C120" s="18" t="str">
        <f t="shared" si="12"/>
        <v>-</v>
      </c>
      <c r="D120" s="18" t="str">
        <f t="shared" si="12"/>
        <v>-</v>
      </c>
      <c r="E120" s="18">
        <f t="shared" si="12"/>
        <v>1575.26</v>
      </c>
      <c r="F120" s="18">
        <f t="shared" si="12"/>
        <v>3092.82</v>
      </c>
      <c r="G120" s="18">
        <f t="shared" si="12"/>
        <v>2.19</v>
      </c>
      <c r="H120" s="18">
        <f t="shared" si="12"/>
        <v>0</v>
      </c>
      <c r="I120" s="18">
        <f t="shared" si="12"/>
        <v>4670.2700000000004</v>
      </c>
    </row>
    <row r="121" spans="1:9" ht="12" customHeight="1">
      <c r="A121" s="99">
        <v>2009</v>
      </c>
      <c r="B121" s="18" t="str">
        <f t="shared" si="12"/>
        <v>-</v>
      </c>
      <c r="C121" s="18" t="str">
        <f t="shared" si="12"/>
        <v>-</v>
      </c>
      <c r="D121" s="18">
        <f t="shared" si="12"/>
        <v>65.39</v>
      </c>
      <c r="E121" s="18">
        <f t="shared" si="12"/>
        <v>2817.62</v>
      </c>
      <c r="F121" s="18">
        <f t="shared" si="12"/>
        <v>4474.3</v>
      </c>
      <c r="G121" s="18">
        <f t="shared" si="12"/>
        <v>270.14999999999998</v>
      </c>
      <c r="H121" s="18">
        <f t="shared" si="12"/>
        <v>0</v>
      </c>
      <c r="I121" s="18">
        <f t="shared" si="12"/>
        <v>7627.46</v>
      </c>
    </row>
    <row r="122" spans="1:9" ht="12" customHeight="1">
      <c r="A122" s="99">
        <v>2011</v>
      </c>
      <c r="B122" s="18" t="str">
        <f t="shared" si="12"/>
        <v>-</v>
      </c>
      <c r="C122" s="18" t="str">
        <f t="shared" si="12"/>
        <v>-</v>
      </c>
      <c r="D122" s="18">
        <f t="shared" si="12"/>
        <v>41.02</v>
      </c>
      <c r="E122" s="18">
        <f t="shared" si="12"/>
        <v>4386.08</v>
      </c>
      <c r="F122" s="18">
        <f t="shared" si="12"/>
        <v>6160.7999999999993</v>
      </c>
      <c r="G122" s="18">
        <f t="shared" si="12"/>
        <v>239.91000000000003</v>
      </c>
      <c r="H122" s="18">
        <f t="shared" si="12"/>
        <v>0</v>
      </c>
      <c r="I122" s="18">
        <f t="shared" si="12"/>
        <v>10827.81</v>
      </c>
    </row>
    <row r="123" spans="1:9" ht="12" customHeight="1">
      <c r="A123" s="99">
        <v>2013</v>
      </c>
      <c r="B123" s="18" t="str">
        <f t="shared" si="12"/>
        <v>-</v>
      </c>
      <c r="C123" s="18" t="str">
        <f t="shared" si="12"/>
        <v>-</v>
      </c>
      <c r="D123" s="18">
        <f t="shared" si="12"/>
        <v>38.79</v>
      </c>
      <c r="E123" s="18">
        <f t="shared" si="12"/>
        <v>4967.17</v>
      </c>
      <c r="F123" s="18">
        <f t="shared" si="12"/>
        <v>2648.12</v>
      </c>
      <c r="G123" s="18">
        <f t="shared" si="12"/>
        <v>13.91</v>
      </c>
      <c r="H123" s="18">
        <f t="shared" si="12"/>
        <v>0</v>
      </c>
      <c r="I123" s="18">
        <f t="shared" si="12"/>
        <v>7667.9899999999989</v>
      </c>
    </row>
    <row r="124" spans="1:9" ht="12" customHeight="1">
      <c r="A124" s="99">
        <v>2015</v>
      </c>
      <c r="B124" s="18" t="str">
        <f t="shared" si="12"/>
        <v>-</v>
      </c>
      <c r="C124" s="18" t="str">
        <f t="shared" si="12"/>
        <v>-</v>
      </c>
      <c r="D124" s="18">
        <f t="shared" si="12"/>
        <v>1034.9000000000001</v>
      </c>
      <c r="E124" s="18">
        <f t="shared" si="12"/>
        <v>6929.34</v>
      </c>
      <c r="F124" s="18">
        <f t="shared" si="12"/>
        <v>658.61</v>
      </c>
      <c r="G124" s="18">
        <f t="shared" si="12"/>
        <v>8.1</v>
      </c>
      <c r="H124" s="18">
        <f t="shared" si="12"/>
        <v>0</v>
      </c>
      <c r="I124" s="18">
        <f t="shared" si="12"/>
        <v>8630.9500000000007</v>
      </c>
    </row>
    <row r="125" spans="1:9" ht="12" customHeight="1">
      <c r="A125" s="99">
        <v>2017</v>
      </c>
      <c r="B125" s="18" t="str">
        <f t="shared" ref="B125:I125" si="13">IF(AND(B100="-",B75="-",B50="-",B25="-"),"-",SUM(B100,B75,B50,B25))</f>
        <v>-</v>
      </c>
      <c r="C125" s="18" t="str">
        <f t="shared" si="13"/>
        <v>-</v>
      </c>
      <c r="D125" s="18">
        <f t="shared" si="13"/>
        <v>1.44</v>
      </c>
      <c r="E125" s="18">
        <f t="shared" si="13"/>
        <v>407.37</v>
      </c>
      <c r="F125" s="18">
        <f t="shared" si="13"/>
        <v>316.10000000000002</v>
      </c>
      <c r="G125" s="18">
        <f t="shared" si="13"/>
        <v>7.35</v>
      </c>
      <c r="H125" s="18">
        <f t="shared" si="13"/>
        <v>0</v>
      </c>
      <c r="I125" s="18">
        <f t="shared" si="13"/>
        <v>732.26</v>
      </c>
    </row>
    <row r="126" spans="1:9" ht="12" customHeight="1">
      <c r="A126" s="99">
        <v>2019</v>
      </c>
      <c r="B126" s="18" t="str">
        <f t="shared" ref="B126:I127" si="14">IF(AND(B101="-",B76="-",B51="-",B26="-"),"-",SUM(B101,B76,B51,B26))</f>
        <v>-</v>
      </c>
      <c r="C126" s="18" t="str">
        <f t="shared" si="14"/>
        <v>-</v>
      </c>
      <c r="D126" s="18">
        <f t="shared" si="14"/>
        <v>15.44</v>
      </c>
      <c r="E126" s="18">
        <f t="shared" si="14"/>
        <v>427.83000000000004</v>
      </c>
      <c r="F126" s="18">
        <f t="shared" si="14"/>
        <v>1323.86</v>
      </c>
      <c r="G126" s="18">
        <f t="shared" si="14"/>
        <v>8.2899999999999991</v>
      </c>
      <c r="H126" s="18">
        <f t="shared" si="14"/>
        <v>0</v>
      </c>
      <c r="I126" s="18">
        <f t="shared" si="14"/>
        <v>1775.42</v>
      </c>
    </row>
    <row r="127" spans="1:9" ht="12" customHeight="1">
      <c r="A127" s="99" t="s">
        <v>326</v>
      </c>
      <c r="B127" s="18" t="str">
        <f t="shared" si="14"/>
        <v>-</v>
      </c>
      <c r="C127" s="18" t="str">
        <f t="shared" si="14"/>
        <v>-</v>
      </c>
      <c r="D127" s="18">
        <f t="shared" si="14"/>
        <v>7.24</v>
      </c>
      <c r="E127" s="18">
        <f t="shared" si="14"/>
        <v>725.42000000000007</v>
      </c>
      <c r="F127" s="18">
        <f t="shared" si="14"/>
        <v>468.01</v>
      </c>
      <c r="G127" s="18">
        <f t="shared" si="14"/>
        <v>26.94</v>
      </c>
      <c r="H127" s="18" t="str">
        <f>IF(AND(H102="-",H77="-",H52="-",H27="-"),"-",SUM(H102,H77,H52,H27))</f>
        <v>-</v>
      </c>
      <c r="I127" s="18">
        <f t="shared" si="14"/>
        <v>1227.6100000000001</v>
      </c>
    </row>
    <row r="128" spans="1:9">
      <c r="A128" s="126" t="s">
        <v>329</v>
      </c>
      <c r="B128" s="138"/>
      <c r="C128" s="138"/>
      <c r="D128" s="138"/>
      <c r="E128" s="138"/>
      <c r="F128" s="138"/>
      <c r="G128" s="138"/>
      <c r="H128" s="138"/>
      <c r="I128" s="138"/>
    </row>
    <row r="129" spans="1:9" ht="11" customHeight="1">
      <c r="A129" s="99" t="s">
        <v>187</v>
      </c>
    </row>
    <row r="130" spans="1:9">
      <c r="A130" s="99" t="s">
        <v>304</v>
      </c>
    </row>
    <row r="131" spans="1:9" ht="35.25" customHeight="1">
      <c r="A131" s="280" t="s">
        <v>341</v>
      </c>
      <c r="B131" s="280"/>
      <c r="C131" s="280"/>
      <c r="D131" s="280"/>
      <c r="E131" s="280"/>
      <c r="F131" s="280"/>
      <c r="G131" s="280"/>
      <c r="H131" s="280"/>
      <c r="I131" s="280"/>
    </row>
    <row r="132" spans="1:9" ht="11.25" customHeight="1">
      <c r="A132" s="327" t="s">
        <v>340</v>
      </c>
      <c r="B132" s="327"/>
      <c r="C132" s="327"/>
      <c r="D132" s="327"/>
      <c r="E132" s="327"/>
      <c r="F132" s="327"/>
      <c r="G132" s="327"/>
      <c r="H132" s="327"/>
      <c r="I132" s="327"/>
    </row>
    <row r="133" spans="1:9">
      <c r="A133" s="327"/>
      <c r="B133" s="327"/>
      <c r="C133" s="327"/>
      <c r="D133" s="327"/>
      <c r="E133" s="327"/>
      <c r="F133" s="327"/>
      <c r="G133" s="327"/>
      <c r="H133" s="327"/>
      <c r="I133" s="327"/>
    </row>
    <row r="135" spans="1:9">
      <c r="A135" s="1"/>
    </row>
    <row r="137" spans="1:9" s="199" customFormat="1">
      <c r="A137" s="158"/>
      <c r="B137" s="167"/>
      <c r="C137" s="167"/>
      <c r="D137" s="167"/>
      <c r="E137" s="167"/>
      <c r="F137" s="167"/>
      <c r="G137" s="167"/>
      <c r="H137" s="167"/>
      <c r="I137" s="167"/>
    </row>
    <row r="144" spans="1:9">
      <c r="A144" s="356" t="s">
        <v>138</v>
      </c>
      <c r="B144" s="356"/>
      <c r="C144" s="356"/>
      <c r="D144" s="356"/>
      <c r="E144" s="356"/>
      <c r="F144" s="356"/>
      <c r="G144" s="356"/>
      <c r="H144" s="356"/>
      <c r="I144" s="357"/>
    </row>
    <row r="145" spans="1:9">
      <c r="A145" s="357"/>
      <c r="B145" s="357"/>
      <c r="C145" s="357"/>
      <c r="D145" s="357"/>
      <c r="E145" s="357"/>
      <c r="F145" s="357"/>
      <c r="G145" s="357"/>
      <c r="H145" s="357"/>
      <c r="I145" s="357"/>
    </row>
    <row r="146" spans="1:9" ht="13">
      <c r="A146" s="98" t="s">
        <v>212</v>
      </c>
      <c r="B146" s="196" t="s">
        <v>28</v>
      </c>
      <c r="C146" s="196" t="s">
        <v>29</v>
      </c>
      <c r="D146" s="196" t="s">
        <v>30</v>
      </c>
      <c r="E146" s="196" t="s">
        <v>31</v>
      </c>
      <c r="F146" s="196" t="s">
        <v>32</v>
      </c>
      <c r="G146" s="196" t="s">
        <v>33</v>
      </c>
      <c r="H146" s="196" t="s">
        <v>34</v>
      </c>
      <c r="I146" s="196" t="s">
        <v>22</v>
      </c>
    </row>
    <row r="147" spans="1:9">
      <c r="A147" s="94" t="s">
        <v>59</v>
      </c>
    </row>
    <row r="148" spans="1:9">
      <c r="A148" s="99" t="s">
        <v>330</v>
      </c>
      <c r="B148" s="18">
        <f>AVERAGE(B5:B9)</f>
        <v>8.5</v>
      </c>
      <c r="C148" s="18">
        <f t="shared" ref="C148:H148" si="15">AVERAGE(C5:C9)</f>
        <v>6.333333333333333</v>
      </c>
      <c r="D148" s="18">
        <f t="shared" si="15"/>
        <v>82.5</v>
      </c>
      <c r="E148" s="18">
        <f t="shared" si="15"/>
        <v>1276.2</v>
      </c>
      <c r="F148" s="18">
        <f t="shared" si="15"/>
        <v>5552.6</v>
      </c>
      <c r="G148" s="18">
        <f t="shared" si="15"/>
        <v>224.5</v>
      </c>
      <c r="H148" s="18">
        <f t="shared" si="15"/>
        <v>17</v>
      </c>
      <c r="I148" s="18">
        <f>AVERAGE(I5:I9)</f>
        <v>7091.8</v>
      </c>
    </row>
    <row r="149" spans="1:9" ht="13">
      <c r="A149" s="99" t="s">
        <v>332</v>
      </c>
      <c r="B149" s="18" t="str">
        <f>B10</f>
        <v>-</v>
      </c>
      <c r="C149" s="18">
        <f>AVERAGE(C10:C14)</f>
        <v>0</v>
      </c>
      <c r="D149" s="18">
        <f t="shared" ref="D149:I149" si="16">AVERAGE(D10:D14)</f>
        <v>3</v>
      </c>
      <c r="E149" s="18">
        <f t="shared" si="16"/>
        <v>804.25</v>
      </c>
      <c r="F149" s="18">
        <f t="shared" si="16"/>
        <v>1278.5999999999999</v>
      </c>
      <c r="G149" s="18">
        <f t="shared" si="16"/>
        <v>150.75</v>
      </c>
      <c r="H149" s="18" t="str">
        <f>B10</f>
        <v>-</v>
      </c>
      <c r="I149" s="18">
        <f t="shared" si="16"/>
        <v>2043.8</v>
      </c>
    </row>
    <row r="150" spans="1:9" ht="13">
      <c r="A150" s="71" t="s">
        <v>333</v>
      </c>
      <c r="B150" s="18" t="str">
        <f>B15</f>
        <v>-</v>
      </c>
      <c r="C150" s="18" t="str">
        <f>C15</f>
        <v>-</v>
      </c>
      <c r="D150" s="18">
        <f>AVERAGE(D15:D19)</f>
        <v>6</v>
      </c>
      <c r="E150" s="18">
        <f t="shared" ref="E150:I150" si="17">AVERAGE(E15:E19)</f>
        <v>1368.6</v>
      </c>
      <c r="F150" s="18">
        <f t="shared" si="17"/>
        <v>1851</v>
      </c>
      <c r="G150" s="18">
        <f t="shared" si="17"/>
        <v>66.5</v>
      </c>
      <c r="H150" s="18" t="str">
        <f>H15</f>
        <v>-</v>
      </c>
      <c r="I150" s="18">
        <f t="shared" si="17"/>
        <v>3274</v>
      </c>
    </row>
    <row r="151" spans="1:9">
      <c r="A151" s="99">
        <v>2007</v>
      </c>
      <c r="B151" s="18" t="str">
        <f t="shared" ref="B151:I158" si="18">B20</f>
        <v>-</v>
      </c>
      <c r="C151" s="18" t="str">
        <f t="shared" si="18"/>
        <v>-</v>
      </c>
      <c r="D151" s="18" t="str">
        <f t="shared" si="18"/>
        <v>-</v>
      </c>
      <c r="E151" s="18">
        <f t="shared" si="18"/>
        <v>1267.54</v>
      </c>
      <c r="F151" s="18">
        <f t="shared" si="18"/>
        <v>2765.9</v>
      </c>
      <c r="G151" s="18">
        <f t="shared" si="18"/>
        <v>0</v>
      </c>
      <c r="H151" s="18" t="str">
        <f t="shared" si="18"/>
        <v>-</v>
      </c>
      <c r="I151" s="18">
        <f t="shared" si="18"/>
        <v>4033.44</v>
      </c>
    </row>
    <row r="152" spans="1:9">
      <c r="A152" s="99">
        <v>2009</v>
      </c>
      <c r="B152" s="18" t="str">
        <f t="shared" si="18"/>
        <v>-</v>
      </c>
      <c r="C152" s="18" t="str">
        <f t="shared" si="18"/>
        <v>-</v>
      </c>
      <c r="D152" s="18">
        <f t="shared" si="18"/>
        <v>8.58</v>
      </c>
      <c r="E152" s="18">
        <f t="shared" si="18"/>
        <v>2590.79</v>
      </c>
      <c r="F152" s="18">
        <f t="shared" si="18"/>
        <v>4266.09</v>
      </c>
      <c r="G152" s="18">
        <f t="shared" si="18"/>
        <v>270.14999999999998</v>
      </c>
      <c r="H152" s="18" t="str">
        <f t="shared" si="18"/>
        <v>-</v>
      </c>
      <c r="I152" s="18">
        <f t="shared" si="18"/>
        <v>7135.61</v>
      </c>
    </row>
    <row r="153" spans="1:9">
      <c r="A153" s="99">
        <v>2011</v>
      </c>
      <c r="B153" s="18" t="str">
        <f t="shared" si="18"/>
        <v>-</v>
      </c>
      <c r="C153" s="18" t="str">
        <f t="shared" si="18"/>
        <v>-</v>
      </c>
      <c r="D153" s="18">
        <f t="shared" si="18"/>
        <v>33.020000000000003</v>
      </c>
      <c r="E153" s="18">
        <f t="shared" si="18"/>
        <v>3319.93</v>
      </c>
      <c r="F153" s="18">
        <f t="shared" si="18"/>
        <v>3960.49</v>
      </c>
      <c r="G153" s="18">
        <f t="shared" si="18"/>
        <v>159.34</v>
      </c>
      <c r="H153" s="18" t="str">
        <f t="shared" si="18"/>
        <v>-</v>
      </c>
      <c r="I153" s="18">
        <f t="shared" si="18"/>
        <v>7472.78</v>
      </c>
    </row>
    <row r="154" spans="1:9">
      <c r="A154" s="99">
        <v>2013</v>
      </c>
      <c r="B154" s="18" t="str">
        <f t="shared" si="18"/>
        <v>-</v>
      </c>
      <c r="C154" s="18" t="str">
        <f t="shared" si="18"/>
        <v>-</v>
      </c>
      <c r="D154" s="18">
        <f t="shared" si="18"/>
        <v>30.669999999999998</v>
      </c>
      <c r="E154" s="18">
        <f t="shared" si="18"/>
        <v>4087.57</v>
      </c>
      <c r="F154" s="18">
        <f t="shared" si="18"/>
        <v>1865.98</v>
      </c>
      <c r="G154" s="18">
        <f t="shared" si="18"/>
        <v>12.86</v>
      </c>
      <c r="H154" s="18" t="str">
        <f t="shared" si="18"/>
        <v>-</v>
      </c>
      <c r="I154" s="18">
        <f t="shared" si="18"/>
        <v>5997.079999999999</v>
      </c>
    </row>
    <row r="155" spans="1:9">
      <c r="A155" s="99">
        <v>2015</v>
      </c>
      <c r="B155" s="18" t="str">
        <f t="shared" si="18"/>
        <v>-</v>
      </c>
      <c r="C155" s="18" t="str">
        <f t="shared" si="18"/>
        <v>-</v>
      </c>
      <c r="D155" s="18">
        <f t="shared" si="18"/>
        <v>802.56000000000006</v>
      </c>
      <c r="E155" s="18">
        <f t="shared" si="18"/>
        <v>4984.41</v>
      </c>
      <c r="F155" s="18">
        <f t="shared" si="18"/>
        <v>592.66</v>
      </c>
      <c r="G155" s="18">
        <f t="shared" si="18"/>
        <v>5.3</v>
      </c>
      <c r="H155" s="18" t="str">
        <f t="shared" si="18"/>
        <v>-</v>
      </c>
      <c r="I155" s="18">
        <f t="shared" si="18"/>
        <v>6384.93</v>
      </c>
    </row>
    <row r="156" spans="1:9">
      <c r="A156" s="99">
        <v>2017</v>
      </c>
      <c r="B156" s="18" t="str">
        <f t="shared" si="18"/>
        <v>-</v>
      </c>
      <c r="C156" s="18" t="str">
        <f t="shared" si="18"/>
        <v>-</v>
      </c>
      <c r="D156" s="18">
        <f t="shared" si="18"/>
        <v>1.44</v>
      </c>
      <c r="E156" s="18">
        <f t="shared" si="18"/>
        <v>367.81</v>
      </c>
      <c r="F156" s="18">
        <f t="shared" si="18"/>
        <v>299.3</v>
      </c>
      <c r="G156" s="18">
        <f t="shared" si="18"/>
        <v>7.35</v>
      </c>
      <c r="H156" s="18" t="str">
        <f t="shared" si="18"/>
        <v>-</v>
      </c>
      <c r="I156" s="18">
        <f t="shared" si="18"/>
        <v>675.9</v>
      </c>
    </row>
    <row r="157" spans="1:9">
      <c r="A157" s="99">
        <v>2019</v>
      </c>
      <c r="B157" s="18" t="str">
        <f t="shared" si="18"/>
        <v>-</v>
      </c>
      <c r="C157" s="18" t="str">
        <f t="shared" si="18"/>
        <v>-</v>
      </c>
      <c r="D157" s="18">
        <f t="shared" si="18"/>
        <v>15.44</v>
      </c>
      <c r="E157" s="18">
        <f t="shared" si="18"/>
        <v>259.92</v>
      </c>
      <c r="F157" s="18">
        <f t="shared" si="18"/>
        <v>593.29999999999995</v>
      </c>
      <c r="G157" s="18">
        <f t="shared" si="18"/>
        <v>0</v>
      </c>
      <c r="H157" s="18" t="str">
        <f t="shared" si="18"/>
        <v>-</v>
      </c>
      <c r="I157" s="18">
        <f t="shared" si="18"/>
        <v>868.66</v>
      </c>
    </row>
    <row r="158" spans="1:9" ht="13">
      <c r="A158" s="99" t="s">
        <v>326</v>
      </c>
      <c r="B158" s="18" t="str">
        <f t="shared" si="18"/>
        <v>-</v>
      </c>
      <c r="C158" s="18" t="str">
        <f t="shared" si="18"/>
        <v>-</v>
      </c>
      <c r="D158" s="18">
        <f t="shared" si="18"/>
        <v>7.24</v>
      </c>
      <c r="E158" s="18">
        <f t="shared" si="18"/>
        <v>671.09</v>
      </c>
      <c r="F158" s="18">
        <f t="shared" si="18"/>
        <v>395.03</v>
      </c>
      <c r="G158" s="18">
        <f t="shared" si="18"/>
        <v>21.78</v>
      </c>
      <c r="H158" s="18" t="str">
        <f t="shared" si="18"/>
        <v>-</v>
      </c>
      <c r="I158" s="18">
        <f t="shared" si="18"/>
        <v>1095.1400000000001</v>
      </c>
    </row>
    <row r="160" spans="1:9">
      <c r="A160" s="94" t="s">
        <v>60</v>
      </c>
    </row>
    <row r="161" spans="1:9">
      <c r="A161" s="99" t="s">
        <v>330</v>
      </c>
      <c r="B161" s="18">
        <f>AVERAGE(B30:B34)</f>
        <v>0</v>
      </c>
      <c r="C161" s="18">
        <f>AVERAGE(C30:C34)</f>
        <v>0.33333333333333331</v>
      </c>
      <c r="D161" s="18">
        <f t="shared" ref="D161:I161" si="19">AVERAGE(D30:D34)</f>
        <v>14</v>
      </c>
      <c r="E161" s="18">
        <f t="shared" si="19"/>
        <v>175</v>
      </c>
      <c r="F161" s="18">
        <f t="shared" si="19"/>
        <v>895.8</v>
      </c>
      <c r="G161" s="18">
        <f t="shared" si="19"/>
        <v>2.25</v>
      </c>
      <c r="H161" s="18">
        <f t="shared" si="19"/>
        <v>0</v>
      </c>
      <c r="I161" s="18">
        <f t="shared" si="19"/>
        <v>1084</v>
      </c>
    </row>
    <row r="162" spans="1:9">
      <c r="A162" s="99" t="s">
        <v>328</v>
      </c>
      <c r="B162" s="18" t="str">
        <f>B35</f>
        <v>-</v>
      </c>
      <c r="C162" s="18">
        <f t="shared" ref="C162:I162" si="20">AVERAGE(C35:C39)</f>
        <v>0</v>
      </c>
      <c r="D162" s="18">
        <f t="shared" si="20"/>
        <v>0</v>
      </c>
      <c r="E162" s="18">
        <f t="shared" si="20"/>
        <v>26</v>
      </c>
      <c r="F162" s="18">
        <f t="shared" si="20"/>
        <v>49.666666666666664</v>
      </c>
      <c r="G162" s="18">
        <f t="shared" si="20"/>
        <v>7.5</v>
      </c>
      <c r="H162" s="18" t="str">
        <f>H35</f>
        <v>-</v>
      </c>
      <c r="I162" s="18">
        <f t="shared" si="20"/>
        <v>53.6</v>
      </c>
    </row>
    <row r="163" spans="1:9">
      <c r="A163" s="71" t="s">
        <v>331</v>
      </c>
      <c r="B163" s="18" t="str">
        <f>B40</f>
        <v>-</v>
      </c>
      <c r="C163" s="18" t="str">
        <f>C40</f>
        <v>-</v>
      </c>
      <c r="D163" s="18">
        <f t="shared" ref="D163:I163" si="21">AVERAGE(D40:D44)</f>
        <v>4</v>
      </c>
      <c r="E163" s="18">
        <f t="shared" si="21"/>
        <v>174.2</v>
      </c>
      <c r="F163" s="18">
        <f t="shared" si="21"/>
        <v>141</v>
      </c>
      <c r="G163" s="18">
        <f t="shared" si="21"/>
        <v>8.3333333333333339</v>
      </c>
      <c r="H163" s="18">
        <f t="shared" si="21"/>
        <v>0</v>
      </c>
      <c r="I163" s="18">
        <f t="shared" si="21"/>
        <v>321</v>
      </c>
    </row>
    <row r="164" spans="1:9">
      <c r="A164" s="99">
        <v>2007</v>
      </c>
      <c r="B164" s="18" t="str">
        <f t="shared" ref="B164:I171" si="22">B45</f>
        <v>-</v>
      </c>
      <c r="C164" s="18" t="str">
        <f t="shared" si="22"/>
        <v>-</v>
      </c>
      <c r="D164" s="18" t="str">
        <f t="shared" si="22"/>
        <v>-</v>
      </c>
      <c r="E164" s="18">
        <f t="shared" si="22"/>
        <v>41.76</v>
      </c>
      <c r="F164" s="18">
        <f t="shared" si="22"/>
        <v>83.96</v>
      </c>
      <c r="G164" s="18">
        <f t="shared" si="22"/>
        <v>0</v>
      </c>
      <c r="H164" s="18">
        <f t="shared" si="22"/>
        <v>0</v>
      </c>
      <c r="I164" s="18">
        <f t="shared" si="22"/>
        <v>125.72</v>
      </c>
    </row>
    <row r="165" spans="1:9">
      <c r="A165" s="99">
        <v>2009</v>
      </c>
      <c r="B165" s="18" t="str">
        <f t="shared" si="22"/>
        <v>-</v>
      </c>
      <c r="C165" s="18" t="str">
        <f t="shared" si="22"/>
        <v>-</v>
      </c>
      <c r="D165" s="18">
        <f t="shared" si="22"/>
        <v>6.25</v>
      </c>
      <c r="E165" s="18">
        <f t="shared" si="22"/>
        <v>147.61000000000001</v>
      </c>
      <c r="F165" s="18">
        <f t="shared" si="22"/>
        <v>76.8</v>
      </c>
      <c r="G165" s="18">
        <f t="shared" si="22"/>
        <v>0</v>
      </c>
      <c r="H165" s="18">
        <f t="shared" si="22"/>
        <v>0</v>
      </c>
      <c r="I165" s="18">
        <f t="shared" si="22"/>
        <v>230.66000000000003</v>
      </c>
    </row>
    <row r="166" spans="1:9">
      <c r="A166" s="99">
        <v>2011</v>
      </c>
      <c r="B166" s="18" t="str">
        <f t="shared" si="22"/>
        <v>-</v>
      </c>
      <c r="C166" s="18" t="str">
        <f t="shared" si="22"/>
        <v>-</v>
      </c>
      <c r="D166" s="18">
        <f t="shared" si="22"/>
        <v>4</v>
      </c>
      <c r="E166" s="18">
        <f t="shared" si="22"/>
        <v>519.75</v>
      </c>
      <c r="F166" s="18">
        <f t="shared" si="22"/>
        <v>928.94</v>
      </c>
      <c r="G166" s="18">
        <f t="shared" si="22"/>
        <v>67.37</v>
      </c>
      <c r="H166" s="18">
        <f t="shared" si="22"/>
        <v>0</v>
      </c>
      <c r="I166" s="18">
        <f t="shared" si="22"/>
        <v>1520.06</v>
      </c>
    </row>
    <row r="167" spans="1:9">
      <c r="A167" s="99">
        <v>2013</v>
      </c>
      <c r="B167" s="18" t="str">
        <f t="shared" si="22"/>
        <v>-</v>
      </c>
      <c r="C167" s="18" t="str">
        <f t="shared" si="22"/>
        <v>-</v>
      </c>
      <c r="D167" s="18">
        <f t="shared" si="22"/>
        <v>3.3</v>
      </c>
      <c r="E167" s="18">
        <f t="shared" si="22"/>
        <v>232.1</v>
      </c>
      <c r="F167" s="18">
        <f t="shared" si="22"/>
        <v>406.22</v>
      </c>
      <c r="G167" s="18">
        <f t="shared" si="22"/>
        <v>1.05</v>
      </c>
      <c r="H167" s="18">
        <f t="shared" si="22"/>
        <v>0</v>
      </c>
      <c r="I167" s="18">
        <f t="shared" si="22"/>
        <v>642.66999999999996</v>
      </c>
    </row>
    <row r="168" spans="1:9">
      <c r="A168" s="99">
        <v>2015</v>
      </c>
      <c r="B168" s="18" t="str">
        <f t="shared" si="22"/>
        <v>-</v>
      </c>
      <c r="C168" s="18" t="str">
        <f t="shared" si="22"/>
        <v>-</v>
      </c>
      <c r="D168" s="18">
        <f t="shared" si="22"/>
        <v>23.67</v>
      </c>
      <c r="E168" s="18">
        <f t="shared" si="22"/>
        <v>113.4</v>
      </c>
      <c r="F168" s="18">
        <f t="shared" si="22"/>
        <v>4.62</v>
      </c>
      <c r="G168" s="18">
        <f t="shared" si="22"/>
        <v>0</v>
      </c>
      <c r="H168" s="18">
        <f t="shared" si="22"/>
        <v>0</v>
      </c>
      <c r="I168" s="18">
        <f t="shared" si="22"/>
        <v>141.69</v>
      </c>
    </row>
    <row r="169" spans="1:9">
      <c r="A169" s="99">
        <v>2017</v>
      </c>
      <c r="B169" s="18" t="str">
        <f t="shared" si="22"/>
        <v>-</v>
      </c>
      <c r="C169" s="18" t="str">
        <f t="shared" si="22"/>
        <v>-</v>
      </c>
      <c r="D169" s="18">
        <f t="shared" si="22"/>
        <v>0</v>
      </c>
      <c r="E169" s="18">
        <f t="shared" si="22"/>
        <v>4</v>
      </c>
      <c r="F169" s="18">
        <f t="shared" si="22"/>
        <v>7.83</v>
      </c>
      <c r="G169" s="18">
        <f t="shared" si="22"/>
        <v>0</v>
      </c>
      <c r="H169" s="18">
        <f t="shared" si="22"/>
        <v>0</v>
      </c>
      <c r="I169" s="18">
        <f t="shared" si="22"/>
        <v>11.83</v>
      </c>
    </row>
    <row r="170" spans="1:9">
      <c r="A170" s="99">
        <v>2019</v>
      </c>
      <c r="B170" s="18" t="str">
        <f t="shared" si="22"/>
        <v>-</v>
      </c>
      <c r="C170" s="18" t="str">
        <f t="shared" si="22"/>
        <v>-</v>
      </c>
      <c r="D170" s="18">
        <f t="shared" si="22"/>
        <v>0</v>
      </c>
      <c r="E170" s="18">
        <f t="shared" si="22"/>
        <v>41.1</v>
      </c>
      <c r="F170" s="18">
        <f t="shared" si="22"/>
        <v>165.38</v>
      </c>
      <c r="G170" s="18">
        <f t="shared" si="22"/>
        <v>0</v>
      </c>
      <c r="H170" s="18">
        <f t="shared" si="22"/>
        <v>0</v>
      </c>
      <c r="I170" s="18">
        <f t="shared" si="22"/>
        <v>206.48</v>
      </c>
    </row>
    <row r="171" spans="1:9" ht="13">
      <c r="A171" s="99" t="s">
        <v>326</v>
      </c>
      <c r="B171" s="18" t="str">
        <f t="shared" si="22"/>
        <v>-</v>
      </c>
      <c r="C171" s="18" t="str">
        <f t="shared" si="22"/>
        <v>-</v>
      </c>
      <c r="D171" s="18">
        <f t="shared" si="22"/>
        <v>0</v>
      </c>
      <c r="E171" s="18">
        <f t="shared" si="22"/>
        <v>22.46</v>
      </c>
      <c r="F171" s="18">
        <f t="shared" si="22"/>
        <v>51.61</v>
      </c>
      <c r="G171" s="18">
        <f t="shared" si="22"/>
        <v>3.74</v>
      </c>
      <c r="H171" s="18" t="str">
        <f t="shared" si="22"/>
        <v>-</v>
      </c>
      <c r="I171" s="18">
        <f t="shared" si="22"/>
        <v>77.809999999999988</v>
      </c>
    </row>
    <row r="173" spans="1:9">
      <c r="A173" s="94" t="s">
        <v>58</v>
      </c>
    </row>
    <row r="174" spans="1:9">
      <c r="A174" s="99" t="s">
        <v>330</v>
      </c>
      <c r="B174" s="18">
        <f>AVERAGE(B55:B59)</f>
        <v>0</v>
      </c>
      <c r="C174" s="18">
        <f>AVERAGE(C55:C59)</f>
        <v>93.5</v>
      </c>
      <c r="D174" s="18">
        <f t="shared" ref="D174:I174" si="23">AVERAGE(D55:D59)</f>
        <v>470.2</v>
      </c>
      <c r="E174" s="18">
        <f t="shared" si="23"/>
        <v>2826.2</v>
      </c>
      <c r="F174" s="18">
        <f t="shared" si="23"/>
        <v>944.2</v>
      </c>
      <c r="G174" s="18">
        <f t="shared" si="23"/>
        <v>4</v>
      </c>
      <c r="H174" s="18">
        <f t="shared" si="23"/>
        <v>0</v>
      </c>
      <c r="I174" s="18">
        <f t="shared" si="23"/>
        <v>4318.6000000000004</v>
      </c>
    </row>
    <row r="175" spans="1:9">
      <c r="A175" s="99" t="s">
        <v>328</v>
      </c>
      <c r="B175" s="18" t="str">
        <f>B60</f>
        <v>-</v>
      </c>
      <c r="C175" s="18">
        <f t="shared" ref="C175:I175" si="24">AVERAGE(C60:C64)</f>
        <v>0</v>
      </c>
      <c r="D175" s="18">
        <f t="shared" si="24"/>
        <v>0</v>
      </c>
      <c r="E175" s="18">
        <f t="shared" si="24"/>
        <v>65.400000000000006</v>
      </c>
      <c r="F175" s="18">
        <f t="shared" si="24"/>
        <v>41.8</v>
      </c>
      <c r="G175" s="18">
        <f t="shared" si="24"/>
        <v>2.6666666666666665</v>
      </c>
      <c r="H175" s="18" t="str">
        <f>H60</f>
        <v>-</v>
      </c>
      <c r="I175" s="18">
        <f t="shared" si="24"/>
        <v>108.8</v>
      </c>
    </row>
    <row r="176" spans="1:9">
      <c r="A176" s="71" t="s">
        <v>331</v>
      </c>
      <c r="B176" s="18" t="str">
        <f>B65</f>
        <v>-</v>
      </c>
      <c r="C176" s="18" t="str">
        <f>C65</f>
        <v>-</v>
      </c>
      <c r="D176" s="18">
        <f t="shared" ref="D176:I176" si="25">AVERAGE(D65:D69)</f>
        <v>6</v>
      </c>
      <c r="E176" s="18">
        <f t="shared" si="25"/>
        <v>984.4</v>
      </c>
      <c r="F176" s="18">
        <f t="shared" si="25"/>
        <v>231.2</v>
      </c>
      <c r="G176" s="18">
        <f t="shared" si="25"/>
        <v>13.5</v>
      </c>
      <c r="H176" s="18" t="str">
        <f>H65</f>
        <v>-</v>
      </c>
      <c r="I176" s="18">
        <f t="shared" si="25"/>
        <v>1228.8</v>
      </c>
    </row>
    <row r="177" spans="1:9">
      <c r="A177" s="99">
        <v>2007</v>
      </c>
      <c r="B177" s="18" t="str">
        <f t="shared" ref="B177:I184" si="26">B70</f>
        <v>-</v>
      </c>
      <c r="C177" s="18" t="str">
        <f t="shared" si="26"/>
        <v>-</v>
      </c>
      <c r="D177" s="18" t="str">
        <f t="shared" si="26"/>
        <v>-</v>
      </c>
      <c r="E177" s="18">
        <f t="shared" si="26"/>
        <v>260.95999999999998</v>
      </c>
      <c r="F177" s="18">
        <f t="shared" si="26"/>
        <v>240.29</v>
      </c>
      <c r="G177" s="18">
        <f t="shared" si="26"/>
        <v>2.19</v>
      </c>
      <c r="H177" s="18" t="str">
        <f t="shared" si="26"/>
        <v>-</v>
      </c>
      <c r="I177" s="18">
        <f t="shared" si="26"/>
        <v>503.44</v>
      </c>
    </row>
    <row r="178" spans="1:9">
      <c r="A178" s="99">
        <v>2009</v>
      </c>
      <c r="B178" s="18" t="str">
        <f t="shared" si="26"/>
        <v>-</v>
      </c>
      <c r="C178" s="18" t="str">
        <f t="shared" si="26"/>
        <v>-</v>
      </c>
      <c r="D178" s="18">
        <f t="shared" si="26"/>
        <v>50.56</v>
      </c>
      <c r="E178" s="18">
        <f t="shared" si="26"/>
        <v>79.22</v>
      </c>
      <c r="F178" s="18">
        <f t="shared" si="26"/>
        <v>131.41</v>
      </c>
      <c r="G178" s="18">
        <f t="shared" si="26"/>
        <v>0</v>
      </c>
      <c r="H178" s="18" t="str">
        <f t="shared" si="26"/>
        <v>-</v>
      </c>
      <c r="I178" s="18">
        <f t="shared" si="26"/>
        <v>261.19</v>
      </c>
    </row>
    <row r="179" spans="1:9">
      <c r="A179" s="99">
        <v>2011</v>
      </c>
      <c r="B179" s="18" t="str">
        <f t="shared" si="26"/>
        <v>-</v>
      </c>
      <c r="C179" s="18" t="str">
        <f t="shared" si="26"/>
        <v>-</v>
      </c>
      <c r="D179" s="18">
        <f t="shared" si="26"/>
        <v>4</v>
      </c>
      <c r="E179" s="18">
        <f t="shared" si="26"/>
        <v>544.4</v>
      </c>
      <c r="F179" s="18">
        <f t="shared" si="26"/>
        <v>1270.3699999999999</v>
      </c>
      <c r="G179" s="18">
        <f t="shared" si="26"/>
        <v>13.2</v>
      </c>
      <c r="H179" s="18" t="str">
        <f t="shared" si="26"/>
        <v>-</v>
      </c>
      <c r="I179" s="18">
        <f t="shared" si="26"/>
        <v>1831.97</v>
      </c>
    </row>
    <row r="180" spans="1:9">
      <c r="A180" s="99">
        <v>2013</v>
      </c>
      <c r="B180" s="18" t="str">
        <f t="shared" si="26"/>
        <v>-</v>
      </c>
      <c r="C180" s="18" t="str">
        <f t="shared" si="26"/>
        <v>-</v>
      </c>
      <c r="D180" s="18">
        <f t="shared" si="26"/>
        <v>4.82</v>
      </c>
      <c r="E180" s="18">
        <f t="shared" si="26"/>
        <v>647.5</v>
      </c>
      <c r="F180" s="18">
        <f t="shared" si="26"/>
        <v>371.7</v>
      </c>
      <c r="G180" s="18">
        <f t="shared" si="26"/>
        <v>0</v>
      </c>
      <c r="H180" s="18" t="str">
        <f t="shared" si="26"/>
        <v>-</v>
      </c>
      <c r="I180" s="18">
        <f t="shared" si="26"/>
        <v>1024.02</v>
      </c>
    </row>
    <row r="181" spans="1:9">
      <c r="A181" s="99">
        <v>2015</v>
      </c>
      <c r="B181" s="18" t="str">
        <f t="shared" si="26"/>
        <v>-</v>
      </c>
      <c r="C181" s="18" t="str">
        <f t="shared" si="26"/>
        <v>-</v>
      </c>
      <c r="D181" s="18">
        <f t="shared" si="26"/>
        <v>208.67</v>
      </c>
      <c r="E181" s="18">
        <f t="shared" si="26"/>
        <v>1828.96</v>
      </c>
      <c r="F181" s="18">
        <f t="shared" si="26"/>
        <v>60.33</v>
      </c>
      <c r="G181" s="18">
        <f t="shared" si="26"/>
        <v>2.8</v>
      </c>
      <c r="H181" s="18" t="str">
        <f t="shared" si="26"/>
        <v>-</v>
      </c>
      <c r="I181" s="18">
        <f t="shared" si="26"/>
        <v>2100.7600000000002</v>
      </c>
    </row>
    <row r="182" spans="1:9">
      <c r="A182" s="99">
        <v>2017</v>
      </c>
      <c r="B182" s="18" t="str">
        <f t="shared" si="26"/>
        <v>-</v>
      </c>
      <c r="C182" s="18" t="str">
        <f t="shared" si="26"/>
        <v>-</v>
      </c>
      <c r="D182" s="18">
        <f t="shared" si="26"/>
        <v>0</v>
      </c>
      <c r="E182" s="18">
        <f t="shared" si="26"/>
        <v>35.56</v>
      </c>
      <c r="F182" s="18">
        <f t="shared" si="26"/>
        <v>8.9700000000000006</v>
      </c>
      <c r="G182" s="18">
        <f t="shared" si="26"/>
        <v>0</v>
      </c>
      <c r="H182" s="18" t="str">
        <f t="shared" si="26"/>
        <v>-</v>
      </c>
      <c r="I182" s="18">
        <f t="shared" si="26"/>
        <v>44.53</v>
      </c>
    </row>
    <row r="183" spans="1:9">
      <c r="A183" s="99">
        <v>2019</v>
      </c>
      <c r="B183" s="18" t="str">
        <f t="shared" si="26"/>
        <v>-</v>
      </c>
      <c r="C183" s="18" t="str">
        <f t="shared" si="26"/>
        <v>-</v>
      </c>
      <c r="D183" s="18">
        <f t="shared" si="26"/>
        <v>0</v>
      </c>
      <c r="E183" s="18">
        <f t="shared" si="26"/>
        <v>126.81</v>
      </c>
      <c r="F183" s="18">
        <f t="shared" si="26"/>
        <v>565.17999999999995</v>
      </c>
      <c r="G183" s="18">
        <f t="shared" si="26"/>
        <v>8.2899999999999991</v>
      </c>
      <c r="H183" s="18" t="str">
        <f t="shared" si="26"/>
        <v>-</v>
      </c>
      <c r="I183" s="18">
        <f t="shared" si="26"/>
        <v>700.28</v>
      </c>
    </row>
    <row r="184" spans="1:9" s="99" customFormat="1" ht="13">
      <c r="A184" s="99" t="s">
        <v>326</v>
      </c>
      <c r="B184" s="18" t="str">
        <f t="shared" si="26"/>
        <v>-</v>
      </c>
      <c r="C184" s="18" t="str">
        <f t="shared" si="26"/>
        <v>-</v>
      </c>
      <c r="D184" s="18">
        <f t="shared" si="26"/>
        <v>0</v>
      </c>
      <c r="E184" s="18">
        <f t="shared" si="26"/>
        <v>28.67</v>
      </c>
      <c r="F184" s="18">
        <f t="shared" si="26"/>
        <v>21.37</v>
      </c>
      <c r="G184" s="18">
        <f t="shared" si="26"/>
        <v>1.42</v>
      </c>
      <c r="H184" s="18" t="str">
        <f t="shared" si="26"/>
        <v>-</v>
      </c>
      <c r="I184" s="18">
        <f t="shared" si="26"/>
        <v>51.460000000000008</v>
      </c>
    </row>
    <row r="186" spans="1:9">
      <c r="A186" s="357" t="s">
        <v>149</v>
      </c>
      <c r="B186" s="357"/>
      <c r="C186" s="357"/>
      <c r="D186" s="357"/>
      <c r="E186" s="357"/>
      <c r="F186" s="357"/>
      <c r="G186" s="357"/>
      <c r="H186" s="357"/>
      <c r="I186" s="357"/>
    </row>
    <row r="187" spans="1:9">
      <c r="A187" s="356"/>
      <c r="B187" s="356"/>
      <c r="C187" s="356"/>
      <c r="D187" s="356"/>
      <c r="E187" s="356"/>
      <c r="F187" s="356"/>
      <c r="G187" s="356"/>
      <c r="H187" s="356"/>
      <c r="I187" s="356"/>
    </row>
    <row r="188" spans="1:9" ht="13">
      <c r="A188" s="98" t="s">
        <v>212</v>
      </c>
      <c r="B188" s="225" t="s">
        <v>28</v>
      </c>
      <c r="C188" s="225" t="s">
        <v>29</v>
      </c>
      <c r="D188" s="225" t="s">
        <v>30</v>
      </c>
      <c r="E188" s="225" t="s">
        <v>31</v>
      </c>
      <c r="F188" s="225" t="s">
        <v>32</v>
      </c>
      <c r="G188" s="225" t="s">
        <v>33</v>
      </c>
      <c r="H188" s="225" t="s">
        <v>34</v>
      </c>
      <c r="I188" s="225" t="s">
        <v>22</v>
      </c>
    </row>
    <row r="189" spans="1:9" ht="13">
      <c r="A189" s="102" t="s">
        <v>339</v>
      </c>
    </row>
    <row r="190" spans="1:9">
      <c r="A190" s="99" t="s">
        <v>330</v>
      </c>
      <c r="B190" s="18">
        <f>AVERAGE(B80:B84)</f>
        <v>0</v>
      </c>
      <c r="C190" s="18">
        <f>AVERAGE(C80:C84)</f>
        <v>9.5</v>
      </c>
      <c r="D190" s="18">
        <f t="shared" ref="D190:I190" si="27">AVERAGE(D80:D84)</f>
        <v>36.6</v>
      </c>
      <c r="E190" s="18">
        <f t="shared" si="27"/>
        <v>208.4</v>
      </c>
      <c r="F190" s="18">
        <f t="shared" si="27"/>
        <v>218.6</v>
      </c>
      <c r="G190" s="18">
        <f t="shared" si="27"/>
        <v>1.3333333333333333</v>
      </c>
      <c r="H190" s="18">
        <f t="shared" si="27"/>
        <v>0</v>
      </c>
      <c r="I190" s="18">
        <f t="shared" si="27"/>
        <v>472</v>
      </c>
    </row>
    <row r="191" spans="1:9">
      <c r="A191" s="99" t="s">
        <v>328</v>
      </c>
      <c r="B191" s="18" t="str">
        <f>B84</f>
        <v>-</v>
      </c>
      <c r="C191" s="18">
        <f t="shared" ref="C191:I191" si="28">AVERAGE(C84:C88)</f>
        <v>0</v>
      </c>
      <c r="D191" s="18">
        <f t="shared" si="28"/>
        <v>0</v>
      </c>
      <c r="E191" s="18">
        <f t="shared" si="28"/>
        <v>35.799999999999997</v>
      </c>
      <c r="F191" s="18">
        <f t="shared" si="28"/>
        <v>51.2</v>
      </c>
      <c r="G191" s="18">
        <f t="shared" si="28"/>
        <v>0</v>
      </c>
      <c r="H191" s="18" t="str">
        <f>H84</f>
        <v>-</v>
      </c>
      <c r="I191" s="18">
        <f t="shared" si="28"/>
        <v>87</v>
      </c>
    </row>
    <row r="192" spans="1:9">
      <c r="A192" s="71" t="s">
        <v>331</v>
      </c>
      <c r="B192" s="18" t="str">
        <f>B90</f>
        <v>-</v>
      </c>
      <c r="C192" s="18" t="str">
        <f>C90</f>
        <v>-</v>
      </c>
      <c r="D192" s="18">
        <f t="shared" ref="D192:I192" si="29">AVERAGE(D90:D94)</f>
        <v>0</v>
      </c>
      <c r="E192" s="18">
        <f t="shared" si="29"/>
        <v>2</v>
      </c>
      <c r="F192" s="18">
        <f t="shared" si="29"/>
        <v>10</v>
      </c>
      <c r="G192" s="18">
        <f t="shared" si="29"/>
        <v>1</v>
      </c>
      <c r="H192" s="18" t="str">
        <f>H90</f>
        <v>-</v>
      </c>
      <c r="I192" s="18">
        <f t="shared" si="29"/>
        <v>12.8</v>
      </c>
    </row>
    <row r="193" spans="1:9">
      <c r="A193" s="99">
        <v>2007</v>
      </c>
      <c r="B193" s="18" t="str">
        <f t="shared" ref="B193:I200" si="30">B95</f>
        <v>-</v>
      </c>
      <c r="C193" s="18" t="str">
        <f t="shared" si="30"/>
        <v>-</v>
      </c>
      <c r="D193" s="18" t="str">
        <f t="shared" si="30"/>
        <v>-</v>
      </c>
      <c r="E193" s="18">
        <f t="shared" si="30"/>
        <v>5</v>
      </c>
      <c r="F193" s="18">
        <f t="shared" si="30"/>
        <v>2.67</v>
      </c>
      <c r="G193" s="18">
        <f t="shared" si="30"/>
        <v>0</v>
      </c>
      <c r="H193" s="18" t="str">
        <f t="shared" si="30"/>
        <v>-</v>
      </c>
      <c r="I193" s="18">
        <f t="shared" si="30"/>
        <v>7.67</v>
      </c>
    </row>
    <row r="194" spans="1:9">
      <c r="A194" s="99">
        <v>2009</v>
      </c>
      <c r="B194" s="18" t="str">
        <f t="shared" si="30"/>
        <v>-</v>
      </c>
      <c r="C194" s="18" t="str">
        <f t="shared" si="30"/>
        <v>-</v>
      </c>
      <c r="D194" s="18">
        <f t="shared" si="30"/>
        <v>0</v>
      </c>
      <c r="E194" s="18">
        <f t="shared" si="30"/>
        <v>0</v>
      </c>
      <c r="F194" s="18">
        <f t="shared" si="30"/>
        <v>0</v>
      </c>
      <c r="G194" s="18">
        <f t="shared" si="30"/>
        <v>0</v>
      </c>
      <c r="H194" s="18" t="str">
        <f t="shared" si="30"/>
        <v>-</v>
      </c>
      <c r="I194" s="18">
        <f t="shared" si="30"/>
        <v>0</v>
      </c>
    </row>
    <row r="195" spans="1:9">
      <c r="A195" s="99">
        <v>2011</v>
      </c>
      <c r="B195" s="18" t="str">
        <f t="shared" si="30"/>
        <v>-</v>
      </c>
      <c r="C195" s="18" t="str">
        <f t="shared" si="30"/>
        <v>-</v>
      </c>
      <c r="D195" s="18">
        <f t="shared" si="30"/>
        <v>0</v>
      </c>
      <c r="E195" s="18">
        <f t="shared" si="30"/>
        <v>2</v>
      </c>
      <c r="F195" s="18">
        <f t="shared" si="30"/>
        <v>1</v>
      </c>
      <c r="G195" s="18">
        <f t="shared" si="30"/>
        <v>0</v>
      </c>
      <c r="H195" s="18" t="str">
        <f t="shared" si="30"/>
        <v>-</v>
      </c>
      <c r="I195" s="18">
        <f t="shared" si="30"/>
        <v>3</v>
      </c>
    </row>
    <row r="196" spans="1:9">
      <c r="A196" s="99">
        <v>2013</v>
      </c>
      <c r="B196" s="18" t="str">
        <f t="shared" si="30"/>
        <v>-</v>
      </c>
      <c r="C196" s="18" t="str">
        <f t="shared" si="30"/>
        <v>-</v>
      </c>
      <c r="D196" s="18">
        <f t="shared" si="30"/>
        <v>0</v>
      </c>
      <c r="E196" s="18">
        <f t="shared" si="30"/>
        <v>0</v>
      </c>
      <c r="F196" s="18">
        <f t="shared" si="30"/>
        <v>4.22</v>
      </c>
      <c r="G196" s="18">
        <f t="shared" si="30"/>
        <v>0</v>
      </c>
      <c r="H196" s="18" t="str">
        <f t="shared" si="30"/>
        <v>-</v>
      </c>
      <c r="I196" s="18">
        <f t="shared" si="30"/>
        <v>4.22</v>
      </c>
    </row>
    <row r="197" spans="1:9">
      <c r="A197" s="99">
        <v>2015</v>
      </c>
      <c r="B197" s="18" t="str">
        <f t="shared" si="30"/>
        <v>-</v>
      </c>
      <c r="C197" s="18" t="str">
        <f t="shared" si="30"/>
        <v>-</v>
      </c>
      <c r="D197" s="18">
        <f t="shared" si="30"/>
        <v>0</v>
      </c>
      <c r="E197" s="18">
        <f t="shared" si="30"/>
        <v>2.57</v>
      </c>
      <c r="F197" s="18">
        <f t="shared" si="30"/>
        <v>1</v>
      </c>
      <c r="G197" s="18">
        <f t="shared" si="30"/>
        <v>0</v>
      </c>
      <c r="H197" s="18" t="str">
        <f t="shared" si="30"/>
        <v>-</v>
      </c>
      <c r="I197" s="18">
        <f t="shared" si="30"/>
        <v>3.57</v>
      </c>
    </row>
    <row r="198" spans="1:9">
      <c r="A198" s="99">
        <v>2017</v>
      </c>
      <c r="B198" s="18" t="str">
        <f t="shared" si="30"/>
        <v>-</v>
      </c>
      <c r="C198" s="18" t="str">
        <f t="shared" si="30"/>
        <v>-</v>
      </c>
      <c r="D198" s="18">
        <f t="shared" si="30"/>
        <v>0</v>
      </c>
      <c r="E198" s="18">
        <f t="shared" si="30"/>
        <v>0</v>
      </c>
      <c r="F198" s="18">
        <f t="shared" si="30"/>
        <v>0</v>
      </c>
      <c r="G198" s="18">
        <f t="shared" si="30"/>
        <v>0</v>
      </c>
      <c r="H198" s="18" t="str">
        <f t="shared" si="30"/>
        <v>-</v>
      </c>
      <c r="I198" s="18">
        <f t="shared" si="30"/>
        <v>0</v>
      </c>
    </row>
    <row r="199" spans="1:9">
      <c r="A199" s="99">
        <v>2019</v>
      </c>
      <c r="B199" s="18" t="str">
        <f t="shared" si="30"/>
        <v>-</v>
      </c>
      <c r="C199" s="18" t="str">
        <f t="shared" si="30"/>
        <v>-</v>
      </c>
      <c r="D199" s="18">
        <f t="shared" si="30"/>
        <v>0</v>
      </c>
      <c r="E199" s="18">
        <f t="shared" si="30"/>
        <v>0</v>
      </c>
      <c r="F199" s="18">
        <f t="shared" si="30"/>
        <v>0</v>
      </c>
      <c r="G199" s="18">
        <f t="shared" si="30"/>
        <v>0</v>
      </c>
      <c r="H199" s="18" t="str">
        <f t="shared" si="30"/>
        <v>-</v>
      </c>
      <c r="I199" s="18">
        <f t="shared" si="30"/>
        <v>0</v>
      </c>
    </row>
    <row r="200" spans="1:9" ht="13">
      <c r="A200" s="99" t="s">
        <v>326</v>
      </c>
      <c r="B200" s="18" t="str">
        <f t="shared" si="30"/>
        <v>-</v>
      </c>
      <c r="C200" s="18" t="str">
        <f t="shared" si="30"/>
        <v>-</v>
      </c>
      <c r="D200" s="18">
        <f t="shared" si="30"/>
        <v>0</v>
      </c>
      <c r="E200" s="18">
        <f t="shared" si="30"/>
        <v>3.2</v>
      </c>
      <c r="F200" s="18">
        <f t="shared" si="30"/>
        <v>0</v>
      </c>
      <c r="G200" s="18" t="str">
        <f t="shared" si="30"/>
        <v>-</v>
      </c>
      <c r="H200" s="18" t="str">
        <f t="shared" si="30"/>
        <v>-</v>
      </c>
      <c r="I200" s="18">
        <f t="shared" si="30"/>
        <v>3.2</v>
      </c>
    </row>
    <row r="202" spans="1:9" ht="13">
      <c r="A202" s="97" t="s">
        <v>327</v>
      </c>
    </row>
    <row r="203" spans="1:9">
      <c r="A203" s="99" t="s">
        <v>330</v>
      </c>
      <c r="B203" s="18">
        <f>AVERAGE(B148,B161,B174,B190)</f>
        <v>2.125</v>
      </c>
      <c r="C203" s="18">
        <f t="shared" ref="C203:I203" si="31">AVERAGE(C148,C161,C174,C190)</f>
        <v>27.416666666666668</v>
      </c>
      <c r="D203" s="18">
        <f t="shared" si="31"/>
        <v>150.82500000000002</v>
      </c>
      <c r="E203" s="18">
        <f t="shared" si="31"/>
        <v>1121.4499999999998</v>
      </c>
      <c r="F203" s="18">
        <f t="shared" si="31"/>
        <v>1902.8000000000002</v>
      </c>
      <c r="G203" s="18">
        <f t="shared" si="31"/>
        <v>58.020833333333336</v>
      </c>
      <c r="H203" s="18">
        <f t="shared" si="31"/>
        <v>4.25</v>
      </c>
      <c r="I203" s="18">
        <f t="shared" si="31"/>
        <v>3241.6000000000004</v>
      </c>
    </row>
    <row r="204" spans="1:9">
      <c r="A204" s="99" t="s">
        <v>328</v>
      </c>
      <c r="B204" s="18" t="str">
        <f>B149</f>
        <v>-</v>
      </c>
      <c r="C204" s="18">
        <f t="shared" ref="C204:I204" si="32">AVERAGE(C149,C162,C175,C191)</f>
        <v>0</v>
      </c>
      <c r="D204" s="18">
        <f t="shared" si="32"/>
        <v>0.75</v>
      </c>
      <c r="E204" s="18">
        <f t="shared" si="32"/>
        <v>232.86249999999998</v>
      </c>
      <c r="F204" s="18">
        <f t="shared" si="32"/>
        <v>355.31666666666666</v>
      </c>
      <c r="G204" s="18">
        <f t="shared" si="32"/>
        <v>40.229166666666664</v>
      </c>
      <c r="H204" s="18" t="str">
        <f>H149</f>
        <v>-</v>
      </c>
      <c r="I204" s="18">
        <f t="shared" si="32"/>
        <v>573.30000000000007</v>
      </c>
    </row>
    <row r="205" spans="1:9">
      <c r="A205" s="71" t="s">
        <v>331</v>
      </c>
      <c r="B205" s="18" t="str">
        <f>B150</f>
        <v>-</v>
      </c>
      <c r="C205" s="18" t="str">
        <f>C150</f>
        <v>-</v>
      </c>
      <c r="D205" s="18">
        <f t="shared" ref="D205:I205" si="33">AVERAGE(D150,D163,D176,D192)</f>
        <v>4</v>
      </c>
      <c r="E205" s="18">
        <f t="shared" si="33"/>
        <v>632.29999999999995</v>
      </c>
      <c r="F205" s="18">
        <f t="shared" si="33"/>
        <v>558.29999999999995</v>
      </c>
      <c r="G205" s="18">
        <f t="shared" si="33"/>
        <v>22.333333333333332</v>
      </c>
      <c r="H205" s="18">
        <f t="shared" si="33"/>
        <v>0</v>
      </c>
      <c r="I205" s="18">
        <f t="shared" si="33"/>
        <v>1209.1500000000001</v>
      </c>
    </row>
    <row r="206" spans="1:9">
      <c r="A206" s="99">
        <v>2007</v>
      </c>
      <c r="B206" s="18" t="str">
        <f t="shared" ref="B206:I213" si="34">IF(AND(B193="-",B177="-",B164="-",B151="-"),"-",SUM(B193,B177,B164,B151))</f>
        <v>-</v>
      </c>
      <c r="C206" s="18" t="str">
        <f t="shared" si="34"/>
        <v>-</v>
      </c>
      <c r="D206" s="18" t="str">
        <f t="shared" si="34"/>
        <v>-</v>
      </c>
      <c r="E206" s="18">
        <f t="shared" si="34"/>
        <v>1575.26</v>
      </c>
      <c r="F206" s="18">
        <f t="shared" si="34"/>
        <v>3092.82</v>
      </c>
      <c r="G206" s="18">
        <f t="shared" si="34"/>
        <v>2.19</v>
      </c>
      <c r="H206" s="18">
        <f t="shared" si="34"/>
        <v>0</v>
      </c>
      <c r="I206" s="18">
        <f t="shared" si="34"/>
        <v>4670.2700000000004</v>
      </c>
    </row>
    <row r="207" spans="1:9">
      <c r="A207" s="99">
        <v>2009</v>
      </c>
      <c r="B207" s="18" t="str">
        <f t="shared" si="34"/>
        <v>-</v>
      </c>
      <c r="C207" s="18" t="str">
        <f t="shared" si="34"/>
        <v>-</v>
      </c>
      <c r="D207" s="18">
        <f t="shared" si="34"/>
        <v>65.39</v>
      </c>
      <c r="E207" s="18">
        <f t="shared" si="34"/>
        <v>2817.62</v>
      </c>
      <c r="F207" s="18">
        <f t="shared" si="34"/>
        <v>4474.3</v>
      </c>
      <c r="G207" s="18">
        <f t="shared" si="34"/>
        <v>270.14999999999998</v>
      </c>
      <c r="H207" s="18">
        <f t="shared" si="34"/>
        <v>0</v>
      </c>
      <c r="I207" s="18">
        <f t="shared" si="34"/>
        <v>7627.46</v>
      </c>
    </row>
    <row r="208" spans="1:9">
      <c r="A208" s="99">
        <v>2011</v>
      </c>
      <c r="B208" s="18" t="str">
        <f t="shared" si="34"/>
        <v>-</v>
      </c>
      <c r="C208" s="18" t="str">
        <f t="shared" si="34"/>
        <v>-</v>
      </c>
      <c r="D208" s="18">
        <f t="shared" si="34"/>
        <v>41.02</v>
      </c>
      <c r="E208" s="18">
        <f t="shared" si="34"/>
        <v>4386.08</v>
      </c>
      <c r="F208" s="18">
        <f t="shared" si="34"/>
        <v>6160.7999999999993</v>
      </c>
      <c r="G208" s="18">
        <f t="shared" si="34"/>
        <v>239.91000000000003</v>
      </c>
      <c r="H208" s="18">
        <f t="shared" si="34"/>
        <v>0</v>
      </c>
      <c r="I208" s="18">
        <f t="shared" si="34"/>
        <v>10827.81</v>
      </c>
    </row>
    <row r="209" spans="1:9">
      <c r="A209" s="99">
        <v>2013</v>
      </c>
      <c r="B209" s="18" t="str">
        <f t="shared" si="34"/>
        <v>-</v>
      </c>
      <c r="C209" s="18" t="str">
        <f t="shared" si="34"/>
        <v>-</v>
      </c>
      <c r="D209" s="18">
        <f t="shared" si="34"/>
        <v>38.79</v>
      </c>
      <c r="E209" s="18">
        <f t="shared" si="34"/>
        <v>4967.17</v>
      </c>
      <c r="F209" s="18">
        <f t="shared" si="34"/>
        <v>2648.12</v>
      </c>
      <c r="G209" s="18">
        <f t="shared" si="34"/>
        <v>13.91</v>
      </c>
      <c r="H209" s="18">
        <f t="shared" si="34"/>
        <v>0</v>
      </c>
      <c r="I209" s="18">
        <f t="shared" si="34"/>
        <v>7667.9899999999989</v>
      </c>
    </row>
    <row r="210" spans="1:9">
      <c r="A210" s="99">
        <v>2015</v>
      </c>
      <c r="B210" s="18" t="str">
        <f t="shared" si="34"/>
        <v>-</v>
      </c>
      <c r="C210" s="18" t="str">
        <f t="shared" si="34"/>
        <v>-</v>
      </c>
      <c r="D210" s="18">
        <f t="shared" si="34"/>
        <v>1034.9000000000001</v>
      </c>
      <c r="E210" s="18">
        <f t="shared" si="34"/>
        <v>6929.34</v>
      </c>
      <c r="F210" s="18">
        <f t="shared" si="34"/>
        <v>658.61</v>
      </c>
      <c r="G210" s="18">
        <f t="shared" si="34"/>
        <v>8.1</v>
      </c>
      <c r="H210" s="18">
        <f t="shared" si="34"/>
        <v>0</v>
      </c>
      <c r="I210" s="18">
        <f t="shared" si="34"/>
        <v>8630.9500000000007</v>
      </c>
    </row>
    <row r="211" spans="1:9">
      <c r="A211" s="99">
        <v>2017</v>
      </c>
      <c r="B211" s="18" t="str">
        <f t="shared" si="34"/>
        <v>-</v>
      </c>
      <c r="C211" s="18" t="str">
        <f t="shared" si="34"/>
        <v>-</v>
      </c>
      <c r="D211" s="18">
        <f t="shared" si="34"/>
        <v>1.44</v>
      </c>
      <c r="E211" s="18">
        <f t="shared" si="34"/>
        <v>407.37</v>
      </c>
      <c r="F211" s="18">
        <f t="shared" si="34"/>
        <v>316.10000000000002</v>
      </c>
      <c r="G211" s="18">
        <f t="shared" si="34"/>
        <v>7.35</v>
      </c>
      <c r="H211" s="18">
        <f t="shared" si="34"/>
        <v>0</v>
      </c>
      <c r="I211" s="18">
        <f t="shared" si="34"/>
        <v>732.26</v>
      </c>
    </row>
    <row r="212" spans="1:9">
      <c r="A212" s="99">
        <v>2019</v>
      </c>
      <c r="B212" s="18" t="str">
        <f t="shared" si="34"/>
        <v>-</v>
      </c>
      <c r="C212" s="18" t="str">
        <f t="shared" si="34"/>
        <v>-</v>
      </c>
      <c r="D212" s="18">
        <f t="shared" si="34"/>
        <v>15.44</v>
      </c>
      <c r="E212" s="18">
        <f t="shared" si="34"/>
        <v>427.83000000000004</v>
      </c>
      <c r="F212" s="18">
        <f t="shared" si="34"/>
        <v>1323.86</v>
      </c>
      <c r="G212" s="18">
        <f t="shared" si="34"/>
        <v>8.2899999999999991</v>
      </c>
      <c r="H212" s="18">
        <f t="shared" si="34"/>
        <v>0</v>
      </c>
      <c r="I212" s="18">
        <f t="shared" si="34"/>
        <v>1775.42</v>
      </c>
    </row>
    <row r="213" spans="1:9" ht="13">
      <c r="A213" s="99" t="s">
        <v>326</v>
      </c>
      <c r="B213" s="30" t="str">
        <f t="shared" si="34"/>
        <v>-</v>
      </c>
      <c r="C213" s="30" t="str">
        <f t="shared" si="34"/>
        <v>-</v>
      </c>
      <c r="D213" s="30">
        <f t="shared" si="34"/>
        <v>7.24</v>
      </c>
      <c r="E213" s="30">
        <f t="shared" si="34"/>
        <v>725.42000000000007</v>
      </c>
      <c r="F213" s="30">
        <f t="shared" si="34"/>
        <v>468.01</v>
      </c>
      <c r="G213" s="30">
        <f t="shared" si="34"/>
        <v>26.94</v>
      </c>
      <c r="H213" s="30" t="str">
        <f t="shared" si="34"/>
        <v>-</v>
      </c>
      <c r="I213" s="30">
        <f t="shared" si="34"/>
        <v>1227.6100000000001</v>
      </c>
    </row>
    <row r="214" spans="1:9">
      <c r="A214" s="272" t="str">
        <f>A128</f>
        <v>a/ Odd year averages only, includes five years of data.</v>
      </c>
    </row>
    <row r="215" spans="1:9">
      <c r="A215" s="273" t="str">
        <f>A129</f>
        <v>b/  Includes catch from the Washington State waters Area 4B fishery.</v>
      </c>
    </row>
    <row r="216" spans="1:9">
      <c r="A216" s="273" t="str">
        <f>A130</f>
        <v>c/ Preliminary.</v>
      </c>
    </row>
    <row r="217" spans="1:9" ht="36" customHeight="1">
      <c r="A217" s="354" t="str">
        <f>A131</f>
        <v xml:space="preserve">d/ In 2021, the port of Neah Bay was closed to public access and the port of La Push opened to public access July 12 due to the COVID-19 pandemic. Catch shown in this table includes catch that occurred in the adjacent catch areas and was landed into Sekiu during periods Neah Bay and La Push remained closed to public access. </v>
      </c>
      <c r="B217" s="355"/>
      <c r="C217" s="355"/>
      <c r="D217" s="355"/>
      <c r="E217" s="355"/>
      <c r="F217" s="355"/>
      <c r="G217" s="355"/>
      <c r="H217" s="355"/>
      <c r="I217" s="355"/>
    </row>
    <row r="218" spans="1:9" ht="30" customHeight="1">
      <c r="A218" s="354" t="str">
        <f>A132</f>
        <v>e/  Includes catch from the North Jetty when the ocean fishery was open; does not include catch reported as occurring inside the Columbia River mouth (North Jetty catch when the ocean fishery was closed and Buoy 10 was open).</v>
      </c>
      <c r="B218" s="355"/>
      <c r="C218" s="355"/>
      <c r="D218" s="355"/>
      <c r="E218" s="355"/>
      <c r="F218" s="355"/>
      <c r="G218" s="355"/>
      <c r="H218" s="355"/>
      <c r="I218" s="355"/>
    </row>
  </sheetData>
  <mergeCells count="7">
    <mergeCell ref="A217:I217"/>
    <mergeCell ref="A218:I218"/>
    <mergeCell ref="A1:I2"/>
    <mergeCell ref="A144:I145"/>
    <mergeCell ref="A186:I187"/>
    <mergeCell ref="A132:I133"/>
    <mergeCell ref="A131:I131"/>
  </mergeCells>
  <pageMargins left="0.7" right="0.7" top="0.75" bottom="0.75" header="0.3" footer="0.3"/>
  <pageSetup orientation="portrait" r:id="rId1"/>
  <rowBreaks count="1" manualBreakCount="1">
    <brk id="185" max="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53"/>
  <dimension ref="A1:V289"/>
  <sheetViews>
    <sheetView showGridLines="0" topLeftCell="A243" zoomScaleNormal="100" workbookViewId="0">
      <selection activeCell="N421" sqref="N421"/>
    </sheetView>
  </sheetViews>
  <sheetFormatPr baseColWidth="10" defaultColWidth="9" defaultRowHeight="16"/>
  <cols>
    <col min="1" max="1" width="8.83203125" style="218" customWidth="1"/>
    <col min="2" max="2" width="6.6640625" style="218" bestFit="1" customWidth="1"/>
    <col min="3" max="3" width="5.6640625" style="218" bestFit="1" customWidth="1"/>
    <col min="4" max="8" width="6.5" style="218" bestFit="1" customWidth="1"/>
    <col min="9" max="10" width="5.6640625" style="218" bestFit="1" customWidth="1"/>
    <col min="11" max="11" width="3.83203125" style="218" bestFit="1" customWidth="1"/>
    <col min="12" max="12" width="8.1640625" style="218" customWidth="1"/>
    <col min="13" max="16384" width="9" style="218"/>
  </cols>
  <sheetData>
    <row r="1" spans="1:14">
      <c r="A1" s="283" t="s">
        <v>224</v>
      </c>
      <c r="B1" s="283"/>
      <c r="C1" s="283"/>
      <c r="D1" s="283"/>
      <c r="E1" s="283"/>
      <c r="F1" s="283"/>
      <c r="G1" s="283"/>
      <c r="H1" s="283"/>
      <c r="I1" s="283"/>
      <c r="J1" s="283"/>
      <c r="K1" s="283"/>
      <c r="L1" s="283"/>
    </row>
    <row r="2" spans="1:14" ht="11.25" customHeight="1">
      <c r="A2" s="2" t="s">
        <v>27</v>
      </c>
      <c r="B2" s="196" t="s">
        <v>37</v>
      </c>
      <c r="C2" s="196" t="s">
        <v>28</v>
      </c>
      <c r="D2" s="196" t="s">
        <v>29</v>
      </c>
      <c r="E2" s="196" t="s">
        <v>73</v>
      </c>
      <c r="F2" s="196" t="s">
        <v>74</v>
      </c>
      <c r="G2" s="196" t="s">
        <v>32</v>
      </c>
      <c r="H2" s="196" t="s">
        <v>33</v>
      </c>
      <c r="I2" s="196" t="s">
        <v>34</v>
      </c>
      <c r="J2" s="196" t="s">
        <v>38</v>
      </c>
      <c r="K2" s="196" t="s">
        <v>75</v>
      </c>
      <c r="L2" s="46" t="s">
        <v>76</v>
      </c>
    </row>
    <row r="3" spans="1:14" ht="11.25" customHeight="1">
      <c r="A3" s="99"/>
      <c r="B3" s="14"/>
      <c r="C3" s="14"/>
      <c r="D3" s="14"/>
      <c r="E3" s="14"/>
      <c r="F3" s="14"/>
      <c r="G3" s="14"/>
      <c r="H3" s="14"/>
      <c r="I3" s="14"/>
      <c r="J3" s="14"/>
      <c r="K3" s="14"/>
      <c r="L3" s="142"/>
    </row>
    <row r="4" spans="1:14" ht="11.25" customHeight="1">
      <c r="A4" s="94" t="s">
        <v>225</v>
      </c>
      <c r="B4" s="24"/>
      <c r="C4" s="24"/>
      <c r="D4" s="24"/>
      <c r="E4" s="24"/>
      <c r="F4" s="24"/>
      <c r="G4" s="24"/>
      <c r="H4" s="24"/>
      <c r="I4" s="24"/>
      <c r="J4" s="24"/>
      <c r="K4" s="24"/>
      <c r="L4" s="142"/>
    </row>
    <row r="5" spans="1:14" ht="11.25" customHeight="1">
      <c r="A5" s="99">
        <v>1978</v>
      </c>
      <c r="B5" s="24" t="str">
        <f>IF(AND('A-7'!B65="-",'A-7'!B118="-",'A-7'!B171="-"),"-",SUM('A-7'!B65,'A-7'!B118,'A-7'!B171))</f>
        <v>-</v>
      </c>
      <c r="C5" s="24" t="str">
        <f>IF(AND('A-7'!C65="-",'A-7'!C118="-",'A-7'!C171="-"),"-",SUM('A-7'!C65,'A-7'!C118,'A-7'!C171))</f>
        <v>-</v>
      </c>
      <c r="D5" s="24">
        <f>IF(AND('A-7'!D65="-",'A-7'!D118="-",'A-7'!D171="-"),"-",SUM('A-7'!D65,'A-7'!D118,'A-7'!D171))</f>
        <v>337</v>
      </c>
      <c r="E5" s="24">
        <f>IF(AND('A-7'!E65="-",'A-7'!E118="-",'A-7'!E171="-"),"-",SUM('A-7'!E65,'A-7'!E118,'A-7'!E171))</f>
        <v>7204</v>
      </c>
      <c r="F5" s="24">
        <f>IF(AND('A-7'!F65="-",'A-7'!F118="-",'A-7'!F171="-"),"-",SUM('A-7'!F65,'A-7'!F118,'A-7'!F171))</f>
        <v>13155</v>
      </c>
      <c r="G5" s="24">
        <f>IF(AND('A-7'!G65="-",'A-7'!G118="-",'A-7'!G171="-"),"-",SUM('A-7'!G65,'A-7'!G118,'A-7'!G171))</f>
        <v>10123</v>
      </c>
      <c r="H5" s="24">
        <f>IF(AND('A-7'!H65="-",'A-7'!H118="-",'A-7'!H171="-"),"-",SUM('A-7'!H65,'A-7'!H118,'A-7'!H171))</f>
        <v>2963</v>
      </c>
      <c r="I5" s="24">
        <f>IF(AND('A-7'!I65="-",'A-7'!I118="-",'A-7'!I171="-"),"-",SUM('A-7'!I65,'A-7'!I118,'A-7'!I171))</f>
        <v>764</v>
      </c>
      <c r="J5" s="24">
        <f>IF(AND('A-7'!J65="-",'A-7'!J118="-",'A-7'!J171="-"),"-",SUM('A-7'!J65,'A-7'!J118,'A-7'!J171))</f>
        <v>25</v>
      </c>
      <c r="K5" s="24" t="str">
        <f>IF(AND('A-7'!K65="-",'A-7'!K118="-",'A-7'!K171="-"),"-",SUM('A-7'!K65,'A-7'!K118,'A-7'!K171))</f>
        <v>-</v>
      </c>
      <c r="L5" s="17">
        <f>IF(AND('A-7'!L65="-",'A-7'!L118="-",'A-7'!L171="-"),"-",SUM('A-7'!L65,'A-7'!L118,'A-7'!L171))</f>
        <v>34571</v>
      </c>
      <c r="M5" s="17"/>
      <c r="N5" s="17"/>
    </row>
    <row r="6" spans="1:14" ht="11.25" customHeight="1">
      <c r="A6" s="99">
        <v>1979</v>
      </c>
      <c r="B6" s="24" t="str">
        <f>IF(AND('A-7'!B66="-",'A-7'!B119="-",'A-7'!B172="-"),"-",SUM('A-7'!B66,'A-7'!B119,'A-7'!B172))</f>
        <v>-</v>
      </c>
      <c r="C6" s="24" t="str">
        <f>IF(AND('A-7'!C66="-",'A-7'!C119="-",'A-7'!C172="-"),"-",SUM('A-7'!C66,'A-7'!C119,'A-7'!C172))</f>
        <v>-</v>
      </c>
      <c r="D6" s="24">
        <f>IF(AND('A-7'!D66="-",'A-7'!D119="-",'A-7'!D172="-"),"-",SUM('A-7'!D66,'A-7'!D119,'A-7'!D172))</f>
        <v>973</v>
      </c>
      <c r="E6" s="24">
        <f>IF(AND('A-7'!E66="-",'A-7'!E119="-",'A-7'!E172="-"),"-",SUM('A-7'!E66,'A-7'!E119,'A-7'!E172))</f>
        <v>12</v>
      </c>
      <c r="F6" s="24">
        <f>IF(AND('A-7'!F66="-",'A-7'!F119="-",'A-7'!F172="-"),"-",SUM('A-7'!F66,'A-7'!F119,'A-7'!F172))</f>
        <v>17244</v>
      </c>
      <c r="G6" s="24">
        <f>IF(AND('A-7'!G66="-",'A-7'!G119="-",'A-7'!G172="-"),"-",SUM('A-7'!G66,'A-7'!G119,'A-7'!G172))</f>
        <v>13909</v>
      </c>
      <c r="H6" s="24">
        <f>IF(AND('A-7'!H66="-",'A-7'!H119="-",'A-7'!H172="-"),"-",SUM('A-7'!H66,'A-7'!H119,'A-7'!H172))</f>
        <v>491</v>
      </c>
      <c r="I6" s="24">
        <f>IF(AND('A-7'!I66="-",'A-7'!I119="-",'A-7'!I172="-"),"-",SUM('A-7'!I66,'A-7'!I119,'A-7'!I172))</f>
        <v>423</v>
      </c>
      <c r="J6" s="24">
        <f>IF(AND('A-7'!J66="-",'A-7'!J119="-",'A-7'!J172="-"),"-",SUM('A-7'!J66,'A-7'!J119,'A-7'!J172))</f>
        <v>1</v>
      </c>
      <c r="K6" s="24" t="str">
        <f>IF(AND('A-7'!K66="-",'A-7'!K119="-",'A-7'!K172="-"),"-",SUM('A-7'!K66,'A-7'!K119,'A-7'!K172))</f>
        <v>-</v>
      </c>
      <c r="L6" s="17">
        <f>IF(AND('A-7'!L66="-",'A-7'!L119="-",'A-7'!L172="-"),"-",SUM('A-7'!L66,'A-7'!L119,'A-7'!L172))</f>
        <v>33053</v>
      </c>
      <c r="M6" s="17"/>
      <c r="N6" s="17"/>
    </row>
    <row r="7" spans="1:14" ht="11.25" customHeight="1">
      <c r="A7" s="99">
        <v>1980</v>
      </c>
      <c r="B7" s="24" t="str">
        <f>IF(AND('A-7'!B67="-",'A-7'!B120="-",'A-7'!B173="-"),"-",SUM('A-7'!B67,'A-7'!B120,'A-7'!B173))</f>
        <v>-</v>
      </c>
      <c r="C7" s="24" t="str">
        <f>IF(AND('A-7'!C67="-",'A-7'!C120="-",'A-7'!C173="-"),"-",SUM('A-7'!C67,'A-7'!C120,'A-7'!C173))</f>
        <v>-</v>
      </c>
      <c r="D7" s="24">
        <f>IF(AND('A-7'!D67="-",'A-7'!D120="-",'A-7'!D173="-"),"-",SUM('A-7'!D67,'A-7'!D120,'A-7'!D173))</f>
        <v>640</v>
      </c>
      <c r="E7" s="24">
        <f>IF(AND('A-7'!E67="-",'A-7'!E120="-",'A-7'!E173="-"),"-",SUM('A-7'!E67,'A-7'!E120,'A-7'!E173))</f>
        <v>1675</v>
      </c>
      <c r="F7" s="24">
        <f>IF(AND('A-7'!F67="-",'A-7'!F120="-",'A-7'!F173="-"),"-",SUM('A-7'!F67,'A-7'!F120,'A-7'!F173))</f>
        <v>6108</v>
      </c>
      <c r="G7" s="24">
        <f>IF(AND('A-7'!G67="-",'A-7'!G120="-",'A-7'!G173="-"),"-",SUM('A-7'!G67,'A-7'!G120,'A-7'!G173))</f>
        <v>10774</v>
      </c>
      <c r="H7" s="24">
        <f>IF(AND('A-7'!H67="-",'A-7'!H120="-",'A-7'!H173="-"),"-",SUM('A-7'!H67,'A-7'!H120,'A-7'!H173))</f>
        <v>1621</v>
      </c>
      <c r="I7" s="24">
        <f>IF(AND('A-7'!I67="-",'A-7'!I120="-",'A-7'!I173="-"),"-",SUM('A-7'!I67,'A-7'!I120,'A-7'!I173))</f>
        <v>606</v>
      </c>
      <c r="J7" s="24">
        <f>IF(AND('A-7'!J67="-",'A-7'!J120="-",'A-7'!J173="-"),"-",SUM('A-7'!J67,'A-7'!J120,'A-7'!J173))</f>
        <v>3</v>
      </c>
      <c r="K7" s="24" t="str">
        <f>IF(AND('A-7'!K67="-",'A-7'!K120="-",'A-7'!K173="-"),"-",SUM('A-7'!K67,'A-7'!K120,'A-7'!K173))</f>
        <v>-</v>
      </c>
      <c r="L7" s="17">
        <f>IF(AND('A-7'!L67="-",'A-7'!L120="-",'A-7'!L173="-"),"-",SUM('A-7'!L67,'A-7'!L120,'A-7'!L173))</f>
        <v>21427</v>
      </c>
      <c r="M7" s="17"/>
      <c r="N7" s="17"/>
    </row>
    <row r="8" spans="1:14" ht="11.25" customHeight="1">
      <c r="A8" s="99">
        <v>1981</v>
      </c>
      <c r="B8" s="24" t="str">
        <f>IF(AND('A-7'!B68="-",'A-7'!B121="-",'A-7'!B174="-"),"-",SUM('A-7'!B68,'A-7'!B121,'A-7'!B174))</f>
        <v>-</v>
      </c>
      <c r="C8" s="24" t="str">
        <f>IF(AND('A-7'!C68="-",'A-7'!C121="-",'A-7'!C174="-"),"-",SUM('A-7'!C68,'A-7'!C121,'A-7'!C174))</f>
        <v>-</v>
      </c>
      <c r="D8" s="24">
        <f>IF(AND('A-7'!D68="-",'A-7'!D121="-",'A-7'!D174="-"),"-",SUM('A-7'!D68,'A-7'!D121,'A-7'!D174))</f>
        <v>2059</v>
      </c>
      <c r="E8" s="24">
        <f>IF(AND('A-7'!E68="-",'A-7'!E121="-",'A-7'!E174="-"),"-",SUM('A-7'!E68,'A-7'!E121,'A-7'!E174))</f>
        <v>0</v>
      </c>
      <c r="F8" s="24">
        <f>IF(AND('A-7'!F68="-",'A-7'!F121="-",'A-7'!F174="-"),"-",SUM('A-7'!F68,'A-7'!F121,'A-7'!F174))</f>
        <v>18110</v>
      </c>
      <c r="G8" s="24">
        <f>IF(AND('A-7'!G68="-",'A-7'!G121="-",'A-7'!G174="-"),"-",SUM('A-7'!G68,'A-7'!G121,'A-7'!G174))</f>
        <v>12542</v>
      </c>
      <c r="H8" s="24">
        <f>IF(AND('A-7'!H68="-",'A-7'!H121="-",'A-7'!H174="-"),"-",SUM('A-7'!H68,'A-7'!H121,'A-7'!H174))</f>
        <v>323</v>
      </c>
      <c r="I8" s="24">
        <f>IF(AND('A-7'!I68="-",'A-7'!I121="-",'A-7'!I174="-"),"-",SUM('A-7'!I68,'A-7'!I121,'A-7'!I174))</f>
        <v>288</v>
      </c>
      <c r="J8" s="24">
        <f>IF(AND('A-7'!J68="-",'A-7'!J121="-",'A-7'!J174="-"),"-",SUM('A-7'!J68,'A-7'!J121,'A-7'!J174))</f>
        <v>0</v>
      </c>
      <c r="K8" s="24" t="str">
        <f>IF(AND('A-7'!K68="-",'A-7'!K121="-",'A-7'!K174="-"),"-",SUM('A-7'!K68,'A-7'!K121,'A-7'!K174))</f>
        <v>-</v>
      </c>
      <c r="L8" s="17">
        <f>IF(AND('A-7'!L68="-",'A-7'!L121="-",'A-7'!L174="-"),"-",SUM('A-7'!L68,'A-7'!L121,'A-7'!L174))</f>
        <v>33322</v>
      </c>
      <c r="M8" s="17"/>
      <c r="N8" s="17"/>
    </row>
    <row r="9" spans="1:14" ht="11.25" customHeight="1">
      <c r="A9" s="99">
        <v>1982</v>
      </c>
      <c r="B9" s="24" t="str">
        <f>IF(AND('A-7'!B69="-",'A-7'!B122="-",'A-7'!B175="-"),"-",SUM('A-7'!B69,'A-7'!B122,'A-7'!B175))</f>
        <v>-</v>
      </c>
      <c r="C9" s="24" t="str">
        <f>IF(AND('A-7'!C69="-",'A-7'!C122="-",'A-7'!C175="-"),"-",SUM('A-7'!C69,'A-7'!C122,'A-7'!C175))</f>
        <v>-</v>
      </c>
      <c r="D9" s="24">
        <f>IF(AND('A-7'!D69="-",'A-7'!D122="-",'A-7'!D175="-"),"-",SUM('A-7'!D69,'A-7'!D122,'A-7'!D175))</f>
        <v>1467</v>
      </c>
      <c r="E9" s="24">
        <f>IF(AND('A-7'!E69="-",'A-7'!E122="-",'A-7'!E175="-"),"-",SUM('A-7'!E69,'A-7'!E122,'A-7'!E175))</f>
        <v>1730</v>
      </c>
      <c r="F9" s="24">
        <f>IF(AND('A-7'!F69="-",'A-7'!F122="-",'A-7'!F175="-"),"-",SUM('A-7'!F69,'A-7'!F122,'A-7'!F175))</f>
        <v>14717</v>
      </c>
      <c r="G9" s="24">
        <f>IF(AND('A-7'!G69="-",'A-7'!G122="-",'A-7'!G175="-"),"-",SUM('A-7'!G69,'A-7'!G122,'A-7'!G175))</f>
        <v>2661</v>
      </c>
      <c r="H9" s="24">
        <f>IF(AND('A-7'!H69="-",'A-7'!H122="-",'A-7'!H175="-"),"-",SUM('A-7'!H69,'A-7'!H122,'A-7'!H175))</f>
        <v>1501</v>
      </c>
      <c r="I9" s="24">
        <f>IF(AND('A-7'!I69="-",'A-7'!I122="-",'A-7'!I175="-"),"-",SUM('A-7'!I69,'A-7'!I122,'A-7'!I175))</f>
        <v>761</v>
      </c>
      <c r="J9" s="24">
        <f>IF(AND('A-7'!J69="-",'A-7'!J122="-",'A-7'!J175="-"),"-",SUM('A-7'!J69,'A-7'!J122,'A-7'!J175))</f>
        <v>3</v>
      </c>
      <c r="K9" s="24" t="str">
        <f>IF(AND('A-7'!K69="-",'A-7'!K122="-",'A-7'!K175="-"),"-",SUM('A-7'!K69,'A-7'!K122,'A-7'!K175))</f>
        <v>-</v>
      </c>
      <c r="L9" s="17">
        <f>IF(AND('A-7'!L69="-",'A-7'!L122="-",'A-7'!L175="-"),"-",SUM('A-7'!L69,'A-7'!L122,'A-7'!L175))</f>
        <v>22840</v>
      </c>
      <c r="M9" s="17"/>
      <c r="N9" s="17"/>
    </row>
    <row r="10" spans="1:14" ht="11.25" customHeight="1">
      <c r="A10" s="99">
        <v>1983</v>
      </c>
      <c r="B10" s="24" t="str">
        <f>IF(AND('A-7'!B70="-",'A-7'!B123="-",'A-7'!B176="-"),"-",SUM('A-7'!B70,'A-7'!B123,'A-7'!B176))</f>
        <v>-</v>
      </c>
      <c r="C10" s="24" t="str">
        <f>IF(AND('A-7'!C70="-",'A-7'!C123="-",'A-7'!C176="-"),"-",SUM('A-7'!C70,'A-7'!C123,'A-7'!C176))</f>
        <v>-</v>
      </c>
      <c r="D10" s="24">
        <f>IF(AND('A-7'!D70="-",'A-7'!D123="-",'A-7'!D176="-"),"-",SUM('A-7'!D70,'A-7'!D123,'A-7'!D176))</f>
        <v>764</v>
      </c>
      <c r="E10" s="24">
        <f>IF(AND('A-7'!E70="-",'A-7'!E123="-",'A-7'!E176="-"),"-",SUM('A-7'!E70,'A-7'!E123,'A-7'!E176))</f>
        <v>908</v>
      </c>
      <c r="F10" s="24">
        <f>IF(AND('A-7'!F70="-",'A-7'!F123="-",'A-7'!F176="-"),"-",SUM('A-7'!F70,'A-7'!F123,'A-7'!F176))</f>
        <v>10439</v>
      </c>
      <c r="G10" s="24">
        <f>IF(AND('A-7'!G70="-",'A-7'!G123="-",'A-7'!G176="-"),"-",SUM('A-7'!G70,'A-7'!G123,'A-7'!G176))</f>
        <v>3268</v>
      </c>
      <c r="H10" s="24">
        <f>IF(AND('A-7'!H70="-",'A-7'!H123="-",'A-7'!H176="-"),"-",SUM('A-7'!H70,'A-7'!H123,'A-7'!H176))</f>
        <v>902</v>
      </c>
      <c r="I10" s="24">
        <f>IF(AND('A-7'!I70="-",'A-7'!I123="-",'A-7'!I176="-"),"-",SUM('A-7'!I70,'A-7'!I123,'A-7'!I176))</f>
        <v>504</v>
      </c>
      <c r="J10" s="24">
        <f>IF(AND('A-7'!J70="-",'A-7'!J123="-",'A-7'!J176="-"),"-",SUM('A-7'!J70,'A-7'!J123,'A-7'!J176))</f>
        <v>22</v>
      </c>
      <c r="K10" s="24" t="str">
        <f>IF(AND('A-7'!K70="-",'A-7'!K123="-",'A-7'!K176="-"),"-",SUM('A-7'!K70,'A-7'!K123,'A-7'!K176))</f>
        <v>-</v>
      </c>
      <c r="L10" s="17">
        <f>IF(AND('A-7'!L70="-",'A-7'!L123="-",'A-7'!L176="-"),"-",SUM('A-7'!L70,'A-7'!L123,'A-7'!L176))</f>
        <v>16807</v>
      </c>
      <c r="M10" s="17"/>
      <c r="N10" s="17"/>
    </row>
    <row r="11" spans="1:14" ht="11.25" customHeight="1">
      <c r="A11" s="99">
        <v>1984</v>
      </c>
      <c r="B11" s="24" t="str">
        <f>IF(AND('A-7'!B71="-",'A-7'!B124="-",'A-7'!B177="-"),"-",SUM('A-7'!B71,'A-7'!B124,'A-7'!B177))</f>
        <v>-</v>
      </c>
      <c r="C11" s="24" t="str">
        <f>IF(AND('A-7'!C71="-",'A-7'!C124="-",'A-7'!C177="-"),"-",SUM('A-7'!C71,'A-7'!C124,'A-7'!C177))</f>
        <v>-</v>
      </c>
      <c r="D11" s="24">
        <f>IF(AND('A-7'!D71="-",'A-7'!D124="-",'A-7'!D177="-"),"-",SUM('A-7'!D71,'A-7'!D124,'A-7'!D177))</f>
        <v>144</v>
      </c>
      <c r="E11" s="24">
        <f>IF(AND('A-7'!E71="-",'A-7'!E124="-",'A-7'!E177="-"),"-",SUM('A-7'!E71,'A-7'!E124,'A-7'!E177))</f>
        <v>395</v>
      </c>
      <c r="F11" s="24">
        <f>IF(AND('A-7'!F71="-",'A-7'!F124="-",'A-7'!F177="-"),"-",SUM('A-7'!F71,'A-7'!F124,'A-7'!F177))</f>
        <v>1664</v>
      </c>
      <c r="G11" s="24">
        <f>IF(AND('A-7'!G71="-",'A-7'!G124="-",'A-7'!G177="-"),"-",SUM('A-7'!G71,'A-7'!G124,'A-7'!G177))</f>
        <v>2278</v>
      </c>
      <c r="H11" s="24">
        <f>IF(AND('A-7'!H71="-",'A-7'!H124="-",'A-7'!H177="-"),"-",SUM('A-7'!H71,'A-7'!H124,'A-7'!H177))</f>
        <v>215</v>
      </c>
      <c r="I11" s="24">
        <f>IF(AND('A-7'!I71="-",'A-7'!I124="-",'A-7'!I177="-"),"-",SUM('A-7'!I71,'A-7'!I124,'A-7'!I177))</f>
        <v>39</v>
      </c>
      <c r="J11" s="24">
        <f>IF(AND('A-7'!J71="-",'A-7'!J124="-",'A-7'!J177="-"),"-",SUM('A-7'!J71,'A-7'!J124,'A-7'!J177))</f>
        <v>7</v>
      </c>
      <c r="K11" s="24" t="str">
        <f>IF(AND('A-7'!K71="-",'A-7'!K124="-",'A-7'!K177="-"),"-",SUM('A-7'!K71,'A-7'!K124,'A-7'!K177))</f>
        <v>-</v>
      </c>
      <c r="L11" s="17">
        <f>IF(AND('A-7'!L71="-",'A-7'!L124="-",'A-7'!L177="-"),"-",SUM('A-7'!L71,'A-7'!L124,'A-7'!L177))</f>
        <v>4742</v>
      </c>
      <c r="M11" s="17"/>
      <c r="N11" s="17"/>
    </row>
    <row r="12" spans="1:14" ht="11.25" customHeight="1">
      <c r="A12" s="99">
        <v>1985</v>
      </c>
      <c r="B12" s="24" t="str">
        <f>IF(AND('A-7'!B72="-",'A-7'!B125="-",'A-7'!B178="-"),"-",SUM('A-7'!B72,'A-7'!B125,'A-7'!B178))</f>
        <v>-</v>
      </c>
      <c r="C12" s="24" t="str">
        <f>IF(AND('A-7'!C72="-",'A-7'!C125="-",'A-7'!C178="-"),"-",SUM('A-7'!C72,'A-7'!C125,'A-7'!C178))</f>
        <v>-</v>
      </c>
      <c r="D12" s="24">
        <f>IF(AND('A-7'!D72="-",'A-7'!D125="-",'A-7'!D178="-"),"-",SUM('A-7'!D72,'A-7'!D125,'A-7'!D178))</f>
        <v>2629</v>
      </c>
      <c r="E12" s="24">
        <f>IF(AND('A-7'!E72="-",'A-7'!E125="-",'A-7'!E178="-"),"-",SUM('A-7'!E72,'A-7'!E125,'A-7'!E178))</f>
        <v>2024</v>
      </c>
      <c r="F12" s="24">
        <f>IF(AND('A-7'!F72="-",'A-7'!F125="-",'A-7'!F178="-"),"-",SUM('A-7'!F72,'A-7'!F125,'A-7'!F178))</f>
        <v>6034</v>
      </c>
      <c r="G12" s="24">
        <f>IF(AND('A-7'!G72="-",'A-7'!G125="-",'A-7'!G178="-"),"-",SUM('A-7'!G72,'A-7'!G125,'A-7'!G178))</f>
        <v>6051</v>
      </c>
      <c r="H12" s="24">
        <f>IF(AND('A-7'!H72="-",'A-7'!H125="-",'A-7'!H178="-"),"-",SUM('A-7'!H72,'A-7'!H125,'A-7'!H178))</f>
        <v>1766</v>
      </c>
      <c r="I12" s="24">
        <f>IF(AND('A-7'!I72="-",'A-7'!I125="-",'A-7'!I178="-"),"-",SUM('A-7'!I72,'A-7'!I125,'A-7'!I178))</f>
        <v>650</v>
      </c>
      <c r="J12" s="24">
        <f>IF(AND('A-7'!J72="-",'A-7'!J125="-",'A-7'!J178="-"),"-",SUM('A-7'!J72,'A-7'!J125,'A-7'!J178))</f>
        <v>18</v>
      </c>
      <c r="K12" s="24" t="str">
        <f>IF(AND('A-7'!K72="-",'A-7'!K125="-",'A-7'!K178="-"),"-",SUM('A-7'!K72,'A-7'!K125,'A-7'!K178))</f>
        <v>-</v>
      </c>
      <c r="L12" s="17">
        <f>IF(AND('A-7'!L72="-",'A-7'!L125="-",'A-7'!L178="-"),"-",SUM('A-7'!L72,'A-7'!L125,'A-7'!L178))</f>
        <v>19172</v>
      </c>
      <c r="M12" s="17"/>
      <c r="N12" s="17"/>
    </row>
    <row r="13" spans="1:14" ht="11.25" customHeight="1">
      <c r="A13" s="99">
        <v>1986</v>
      </c>
      <c r="B13" s="24" t="str">
        <f>IF(AND('A-7'!B73="-",'A-7'!B126="-",'A-7'!B179="-"),"-",SUM('A-7'!B73,'A-7'!B126,'A-7'!B179))</f>
        <v>-</v>
      </c>
      <c r="C13" s="24" t="str">
        <f>IF(AND('A-7'!C73="-",'A-7'!C126="-",'A-7'!C179="-"),"-",SUM('A-7'!C73,'A-7'!C126,'A-7'!C179))</f>
        <v>-</v>
      </c>
      <c r="D13" s="24">
        <f>IF(AND('A-7'!D73="-",'A-7'!D126="-",'A-7'!D179="-"),"-",SUM('A-7'!D73,'A-7'!D126,'A-7'!D179))</f>
        <v>3043</v>
      </c>
      <c r="E13" s="24">
        <f>IF(AND('A-7'!E73="-",'A-7'!E126="-",'A-7'!E179="-"),"-",SUM('A-7'!E73,'A-7'!E126,'A-7'!E179))</f>
        <v>3295</v>
      </c>
      <c r="F13" s="24">
        <f>IF(AND('A-7'!F73="-",'A-7'!F126="-",'A-7'!F179="-"),"-",SUM('A-7'!F73,'A-7'!F126,'A-7'!F179))</f>
        <v>13742</v>
      </c>
      <c r="G13" s="24">
        <f>IF(AND('A-7'!G73="-",'A-7'!G126="-",'A-7'!G179="-"),"-",SUM('A-7'!G73,'A-7'!G126,'A-7'!G179))</f>
        <v>4902</v>
      </c>
      <c r="H13" s="24">
        <f>IF(AND('A-7'!H73="-",'A-7'!H126="-",'A-7'!H179="-"),"-",SUM('A-7'!H73,'A-7'!H126,'A-7'!H179))</f>
        <v>1965</v>
      </c>
      <c r="I13" s="24">
        <f>IF(AND('A-7'!I73="-",'A-7'!I126="-",'A-7'!I179="-"),"-",SUM('A-7'!I73,'A-7'!I126,'A-7'!I179))</f>
        <v>1152</v>
      </c>
      <c r="J13" s="24">
        <f>IF(AND('A-7'!J73="-",'A-7'!J126="-",'A-7'!J179="-"),"-",SUM('A-7'!J73,'A-7'!J126,'A-7'!J179))</f>
        <v>17</v>
      </c>
      <c r="K13" s="24" t="str">
        <f>IF(AND('A-7'!K73="-",'A-7'!K126="-",'A-7'!K179="-"),"-",SUM('A-7'!K73,'A-7'!K126,'A-7'!K179))</f>
        <v>-</v>
      </c>
      <c r="L13" s="17">
        <f>IF(AND('A-7'!L73="-",'A-7'!L126="-",'A-7'!L179="-"),"-",SUM('A-7'!L73,'A-7'!L126,'A-7'!L179))</f>
        <v>28116</v>
      </c>
      <c r="M13" s="17"/>
      <c r="N13" s="17"/>
    </row>
    <row r="14" spans="1:14" ht="11.25" customHeight="1">
      <c r="A14" s="99">
        <v>1987</v>
      </c>
      <c r="B14" s="24" t="str">
        <f>IF(AND('A-7'!B74="-",'A-7'!B127="-",'A-7'!B180="-"),"-",SUM('A-7'!B74,'A-7'!B127,'A-7'!B180))</f>
        <v>-</v>
      </c>
      <c r="C14" s="24" t="str">
        <f>IF(AND('A-7'!C74="-",'A-7'!C127="-",'A-7'!C180="-"),"-",SUM('A-7'!C74,'A-7'!C127,'A-7'!C180))</f>
        <v>-</v>
      </c>
      <c r="D14" s="24">
        <f>IF(AND('A-7'!D74="-",'A-7'!D127="-",'A-7'!D180="-"),"-",SUM('A-7'!D74,'A-7'!D127,'A-7'!D180))</f>
        <v>2846</v>
      </c>
      <c r="E14" s="24">
        <f>IF(AND('A-7'!E74="-",'A-7'!E127="-",'A-7'!E180="-"),"-",SUM('A-7'!E74,'A-7'!E127,'A-7'!E180))</f>
        <v>2958</v>
      </c>
      <c r="F14" s="24">
        <f>IF(AND('A-7'!F74="-",'A-7'!F127="-",'A-7'!F180="-"),"-",SUM('A-7'!F74,'A-7'!F127,'A-7'!F180))</f>
        <v>16047</v>
      </c>
      <c r="G14" s="24">
        <f>IF(AND('A-7'!G74="-",'A-7'!G127="-",'A-7'!G180="-"),"-",SUM('A-7'!G74,'A-7'!G127,'A-7'!G180))</f>
        <v>7259</v>
      </c>
      <c r="H14" s="24">
        <f>IF(AND('A-7'!H74="-",'A-7'!H127="-",'A-7'!H180="-"),"-",SUM('A-7'!H74,'A-7'!H127,'A-7'!H180))</f>
        <v>5483</v>
      </c>
      <c r="I14" s="24">
        <f>IF(AND('A-7'!I74="-",'A-7'!I127="-",'A-7'!I180="-"),"-",SUM('A-7'!I74,'A-7'!I127,'A-7'!I180))</f>
        <v>2384</v>
      </c>
      <c r="J14" s="24" t="str">
        <f>IF(AND('A-7'!J74="-",'A-7'!J127="-",'A-7'!J180="-"),"-",SUM('A-7'!J74,'A-7'!J127,'A-7'!J180))</f>
        <v>-</v>
      </c>
      <c r="K14" s="24" t="str">
        <f>IF(AND('A-7'!K74="-",'A-7'!K127="-",'A-7'!K180="-"),"-",SUM('A-7'!K74,'A-7'!K127,'A-7'!K180))</f>
        <v>-</v>
      </c>
      <c r="L14" s="17">
        <f>IF(AND('A-7'!L74="-",'A-7'!L127="-",'A-7'!L180="-"),"-",SUM('A-7'!L74,'A-7'!L127,'A-7'!L180))</f>
        <v>36977</v>
      </c>
      <c r="M14" s="17"/>
      <c r="N14" s="17"/>
    </row>
    <row r="15" spans="1:14" ht="11.25" customHeight="1">
      <c r="A15" s="99">
        <v>1988</v>
      </c>
      <c r="B15" s="24" t="str">
        <f>IF(AND('A-7'!B75="-",'A-7'!B128="-",'A-7'!B181="-"),"-",SUM('A-7'!B75,'A-7'!B128,'A-7'!B181))</f>
        <v>-</v>
      </c>
      <c r="C15" s="24" t="str">
        <f>IF(AND('A-7'!C75="-",'A-7'!C128="-",'A-7'!C181="-"),"-",SUM('A-7'!C75,'A-7'!C128,'A-7'!C181))</f>
        <v>-</v>
      </c>
      <c r="D15" s="24">
        <f>IF(AND('A-7'!D75="-",'A-7'!D128="-",'A-7'!D181="-"),"-",SUM('A-7'!D75,'A-7'!D128,'A-7'!D181))</f>
        <v>4182</v>
      </c>
      <c r="E15" s="24">
        <f>IF(AND('A-7'!E75="-",'A-7'!E128="-",'A-7'!E181="-"),"-",SUM('A-7'!E75,'A-7'!E128,'A-7'!E181))</f>
        <v>5995</v>
      </c>
      <c r="F15" s="24">
        <f>IF(AND('A-7'!F75="-",'A-7'!F128="-",'A-7'!F181="-"),"-",SUM('A-7'!F75,'A-7'!F128,'A-7'!F181))</f>
        <v>16911</v>
      </c>
      <c r="G15" s="24">
        <f>IF(AND('A-7'!G75="-",'A-7'!G128="-",'A-7'!G181="-"),"-",SUM('A-7'!G75,'A-7'!G128,'A-7'!G181))</f>
        <v>14043</v>
      </c>
      <c r="H15" s="24">
        <f>IF(AND('A-7'!H75="-",'A-7'!H128="-",'A-7'!H181="-"),"-",SUM('A-7'!H75,'A-7'!H128,'A-7'!H181))</f>
        <v>4250</v>
      </c>
      <c r="I15" s="24">
        <f>IF(AND('A-7'!I75="-",'A-7'!I128="-",'A-7'!I181="-"),"-",SUM('A-7'!I75,'A-7'!I128,'A-7'!I181))</f>
        <v>3788</v>
      </c>
      <c r="J15" s="24" t="str">
        <f>IF(AND('A-7'!J75="-",'A-7'!J128="-",'A-7'!J181="-"),"-",SUM('A-7'!J75,'A-7'!J128,'A-7'!J181))</f>
        <v>-</v>
      </c>
      <c r="K15" s="24" t="str">
        <f>IF(AND('A-7'!K75="-",'A-7'!K128="-",'A-7'!K181="-"),"-",SUM('A-7'!K75,'A-7'!K128,'A-7'!K181))</f>
        <v>-</v>
      </c>
      <c r="L15" s="17">
        <f>IF(AND('A-7'!L75="-",'A-7'!L128="-",'A-7'!L181="-"),"-",SUM('A-7'!L75,'A-7'!L128,'A-7'!L181))</f>
        <v>49169</v>
      </c>
      <c r="M15" s="17"/>
      <c r="N15" s="17"/>
    </row>
    <row r="16" spans="1:14" ht="11.25" customHeight="1">
      <c r="A16" s="99">
        <v>1989</v>
      </c>
      <c r="B16" s="24" t="str">
        <f>IF(AND('A-7'!B76="-",'A-7'!B129="-",'A-7'!B182="-"),"-",SUM('A-7'!B76,'A-7'!B129,'A-7'!B182))</f>
        <v>-</v>
      </c>
      <c r="C16" s="24" t="str">
        <f>IF(AND('A-7'!C76="-",'A-7'!C129="-",'A-7'!C182="-"),"-",SUM('A-7'!C76,'A-7'!C129,'A-7'!C182))</f>
        <v>-</v>
      </c>
      <c r="D16" s="24">
        <f>IF(AND('A-7'!D76="-",'A-7'!D129="-",'A-7'!D182="-"),"-",SUM('A-7'!D76,'A-7'!D129,'A-7'!D182))</f>
        <v>5922</v>
      </c>
      <c r="E16" s="24">
        <f>IF(AND('A-7'!E76="-",'A-7'!E129="-",'A-7'!E182="-"),"-",SUM('A-7'!E76,'A-7'!E129,'A-7'!E182))</f>
        <v>6507</v>
      </c>
      <c r="F16" s="24">
        <f>IF(AND('A-7'!F76="-",'A-7'!F129="-",'A-7'!F182="-"),"-",SUM('A-7'!F76,'A-7'!F129,'A-7'!F182))</f>
        <v>13869</v>
      </c>
      <c r="G16" s="24">
        <f>IF(AND('A-7'!G76="-",'A-7'!G129="-",'A-7'!G182="-"),"-",SUM('A-7'!G76,'A-7'!G129,'A-7'!G182))</f>
        <v>7799</v>
      </c>
      <c r="H16" s="24">
        <f>IF(AND('A-7'!H76="-",'A-7'!H129="-",'A-7'!H182="-"),"-",SUM('A-7'!H76,'A-7'!H129,'A-7'!H182))</f>
        <v>2889</v>
      </c>
      <c r="I16" s="24">
        <f>IF(AND('A-7'!I76="-",'A-7'!I129="-",'A-7'!I182="-"),"-",SUM('A-7'!I76,'A-7'!I129,'A-7'!I182))</f>
        <v>2450</v>
      </c>
      <c r="J16" s="24">
        <f>IF(AND('A-7'!J76="-",'A-7'!J129="-",'A-7'!J182="-"),"-",SUM('A-7'!J76,'A-7'!J129,'A-7'!J182))</f>
        <v>497</v>
      </c>
      <c r="K16" s="24" t="str">
        <f>IF(AND('A-7'!K76="-",'A-7'!K129="-",'A-7'!K182="-"),"-",SUM('A-7'!K76,'A-7'!K129,'A-7'!K182))</f>
        <v>-</v>
      </c>
      <c r="L16" s="17">
        <f>IF(AND('A-7'!L76="-",'A-7'!L129="-",'A-7'!L182="-"),"-",SUM('A-7'!L76,'A-7'!L129,'A-7'!L182))</f>
        <v>39933</v>
      </c>
      <c r="M16" s="17"/>
      <c r="N16" s="17"/>
    </row>
    <row r="17" spans="1:14" ht="11.25" customHeight="1">
      <c r="A17" s="99">
        <v>1990</v>
      </c>
      <c r="B17" s="24" t="str">
        <f>IF(AND('A-7'!B77="-",'A-7'!B130="-",'A-7'!B183="-"),"-",SUM('A-7'!B77,'A-7'!B130,'A-7'!B183))</f>
        <v>-</v>
      </c>
      <c r="C17" s="24" t="str">
        <f>IF(AND('A-7'!C77="-",'A-7'!C130="-",'A-7'!C183="-"),"-",SUM('A-7'!C77,'A-7'!C130,'A-7'!C183))</f>
        <v>-</v>
      </c>
      <c r="D17" s="24">
        <f>IF(AND('A-7'!D77="-",'A-7'!D130="-",'A-7'!D183="-"),"-",SUM('A-7'!D77,'A-7'!D130,'A-7'!D183))</f>
        <v>2734</v>
      </c>
      <c r="E17" s="24">
        <f>IF(AND('A-7'!E77="-",'A-7'!E130="-",'A-7'!E183="-"),"-",SUM('A-7'!E77,'A-7'!E130,'A-7'!E183))</f>
        <v>3714</v>
      </c>
      <c r="F17" s="24">
        <f>IF(AND('A-7'!F77="-",'A-7'!F130="-",'A-7'!F183="-"),"-",SUM('A-7'!F77,'A-7'!F130,'A-7'!F183))</f>
        <v>9594</v>
      </c>
      <c r="G17" s="24">
        <f>IF(AND('A-7'!G77="-",'A-7'!G130="-",'A-7'!G183="-"),"-",SUM('A-7'!G77,'A-7'!G130,'A-7'!G183))</f>
        <v>6460</v>
      </c>
      <c r="H17" s="24">
        <f>IF(AND('A-7'!H77="-",'A-7'!H130="-",'A-7'!H183="-"),"-",SUM('A-7'!H77,'A-7'!H130,'A-7'!H183))</f>
        <v>1482</v>
      </c>
      <c r="I17" s="24">
        <f>IF(AND('A-7'!I77="-",'A-7'!I130="-",'A-7'!I183="-"),"-",SUM('A-7'!I77,'A-7'!I130,'A-7'!I183))</f>
        <v>1036</v>
      </c>
      <c r="J17" s="24" t="str">
        <f>IF(AND('A-7'!J77="-",'A-7'!J130="-",'A-7'!J183="-"),"-",SUM('A-7'!J77,'A-7'!J130,'A-7'!J183))</f>
        <v>-</v>
      </c>
      <c r="K17" s="24" t="str">
        <f>IF(AND('A-7'!K77="-",'A-7'!K130="-",'A-7'!K183="-"),"-",SUM('A-7'!K77,'A-7'!K130,'A-7'!K183))</f>
        <v>-</v>
      </c>
      <c r="L17" s="17">
        <f>IF(AND('A-7'!L77="-",'A-7'!L130="-",'A-7'!L183="-"),"-",SUM('A-7'!L77,'A-7'!L130,'A-7'!L183))</f>
        <v>25020</v>
      </c>
      <c r="M17" s="17"/>
      <c r="N17" s="17"/>
    </row>
    <row r="18" spans="1:14" ht="11.25" customHeight="1">
      <c r="A18" s="99">
        <v>1991</v>
      </c>
      <c r="B18" s="24" t="str">
        <f>IF(AND('A-7'!B78="-",'A-7'!B131="-",'A-7'!B184="-"),"-",SUM('A-7'!B78,'A-7'!B131,'A-7'!B184))</f>
        <v>-</v>
      </c>
      <c r="C18" s="24" t="str">
        <f>IF(AND('A-7'!C78="-",'A-7'!C131="-",'A-7'!C184="-"),"-",SUM('A-7'!C78,'A-7'!C131,'A-7'!C184))</f>
        <v>-</v>
      </c>
      <c r="D18" s="24">
        <f>IF(AND('A-7'!D78="-",'A-7'!D131="-",'A-7'!D184="-"),"-",SUM('A-7'!D78,'A-7'!D131,'A-7'!D184))</f>
        <v>695</v>
      </c>
      <c r="E18" s="24">
        <f>IF(AND('A-7'!E78="-",'A-7'!E131="-",'A-7'!E184="-"),"-",SUM('A-7'!E78,'A-7'!E131,'A-7'!E184))</f>
        <v>3948</v>
      </c>
      <c r="F18" s="24">
        <f>IF(AND('A-7'!F78="-",'A-7'!F131="-",'A-7'!F184="-"),"-",SUM('A-7'!F78,'A-7'!F131,'A-7'!F184))</f>
        <v>4102</v>
      </c>
      <c r="G18" s="24">
        <f>IF(AND('A-7'!G78="-",'A-7'!G131="-",'A-7'!G184="-"),"-",SUM('A-7'!G78,'A-7'!G131,'A-7'!G184))</f>
        <v>1967</v>
      </c>
      <c r="H18" s="24">
        <f>IF(AND('A-7'!H78="-",'A-7'!H131="-",'A-7'!H184="-"),"-",SUM('A-7'!H78,'A-7'!H131,'A-7'!H184))</f>
        <v>1859</v>
      </c>
      <c r="I18" s="24">
        <f>IF(AND('A-7'!I78="-",'A-7'!I131="-",'A-7'!I184="-"),"-",SUM('A-7'!I78,'A-7'!I131,'A-7'!I184))</f>
        <v>1596</v>
      </c>
      <c r="J18" s="24" t="str">
        <f>IF(AND('A-7'!J78="-",'A-7'!J131="-",'A-7'!J184="-"),"-",SUM('A-7'!J78,'A-7'!J131,'A-7'!J184))</f>
        <v>-</v>
      </c>
      <c r="K18" s="24" t="str">
        <f>IF(AND('A-7'!K78="-",'A-7'!K131="-",'A-7'!K184="-"),"-",SUM('A-7'!K78,'A-7'!K131,'A-7'!K184))</f>
        <v>-</v>
      </c>
      <c r="L18" s="17">
        <f>IF(AND('A-7'!L78="-",'A-7'!L131="-",'A-7'!L184="-"),"-",SUM('A-7'!L78,'A-7'!L131,'A-7'!L184))</f>
        <v>14167</v>
      </c>
      <c r="M18" s="17"/>
      <c r="N18" s="17"/>
    </row>
    <row r="19" spans="1:14" ht="11.25" customHeight="1">
      <c r="A19" s="99">
        <v>1992</v>
      </c>
      <c r="B19" s="24" t="str">
        <f>IF(AND('A-7'!B79="-",'A-7'!B132="-",'A-7'!B185="-"),"-",SUM('A-7'!B79,'A-7'!B132,'A-7'!B185))</f>
        <v>-</v>
      </c>
      <c r="C19" s="24" t="str">
        <f>IF(AND('A-7'!C79="-",'A-7'!C132="-",'A-7'!C185="-"),"-",SUM('A-7'!C79,'A-7'!C132,'A-7'!C185))</f>
        <v>-</v>
      </c>
      <c r="D19" s="24">
        <f>IF(AND('A-7'!D79="-",'A-7'!D132="-",'A-7'!D185="-"),"-",SUM('A-7'!D79,'A-7'!D132,'A-7'!D185))</f>
        <v>1554</v>
      </c>
      <c r="E19" s="24" t="str">
        <f>IF(AND('A-7'!E79="-",'A-7'!E132="-",'A-7'!E185="-"),"-",SUM('A-7'!E79,'A-7'!E132,'A-7'!E185))</f>
        <v>-</v>
      </c>
      <c r="F19" s="24">
        <f>IF(AND('A-7'!F79="-",'A-7'!F132="-",'A-7'!F185="-"),"-",SUM('A-7'!F79,'A-7'!F132,'A-7'!F185))</f>
        <v>1496</v>
      </c>
      <c r="G19" s="24">
        <f>IF(AND('A-7'!G79="-",'A-7'!G132="-",'A-7'!G185="-"),"-",SUM('A-7'!G79,'A-7'!G132,'A-7'!G185))</f>
        <v>2686</v>
      </c>
      <c r="H19" s="24">
        <f>IF(AND('A-7'!H79="-",'A-7'!H132="-",'A-7'!H185="-"),"-",SUM('A-7'!H79,'A-7'!H132,'A-7'!H185))</f>
        <v>1474</v>
      </c>
      <c r="I19" s="24">
        <f>IF(AND('A-7'!I79="-",'A-7'!I132="-",'A-7'!I185="-"),"-",SUM('A-7'!I79,'A-7'!I132,'A-7'!I185))</f>
        <v>1684</v>
      </c>
      <c r="J19" s="24" t="str">
        <f>IF(AND('A-7'!J79="-",'A-7'!J132="-",'A-7'!J185="-"),"-",SUM('A-7'!J79,'A-7'!J132,'A-7'!J185))</f>
        <v>-</v>
      </c>
      <c r="K19" s="24" t="str">
        <f>IF(AND('A-7'!K79="-",'A-7'!K132="-",'A-7'!K185="-"),"-",SUM('A-7'!K79,'A-7'!K132,'A-7'!K185))</f>
        <v>-</v>
      </c>
      <c r="L19" s="17">
        <f>IF(AND('A-7'!L79="-",'A-7'!L132="-",'A-7'!L185="-"),"-",SUM('A-7'!L79,'A-7'!L132,'A-7'!L185))</f>
        <v>8894</v>
      </c>
      <c r="M19" s="17"/>
      <c r="N19" s="17"/>
    </row>
    <row r="20" spans="1:14" ht="11.25" customHeight="1">
      <c r="A20" s="99">
        <v>1993</v>
      </c>
      <c r="B20" s="24" t="str">
        <f>IF(AND('A-7'!B80="-",'A-7'!B133="-",'A-7'!B186="-"),"-",SUM('A-7'!B80,'A-7'!B133,'A-7'!B186))</f>
        <v>-</v>
      </c>
      <c r="C20" s="24" t="str">
        <f>IF(AND('A-7'!C80="-",'A-7'!C133="-",'A-7'!C186="-"),"-",SUM('A-7'!C80,'A-7'!C133,'A-7'!C186))</f>
        <v>-</v>
      </c>
      <c r="D20" s="24">
        <f>IF(AND('A-7'!D80="-",'A-7'!D133="-",'A-7'!D186="-"),"-",SUM('A-7'!D80,'A-7'!D133,'A-7'!D186))</f>
        <v>2051</v>
      </c>
      <c r="E20" s="24">
        <f>IF(AND('A-7'!E80="-",'A-7'!E133="-",'A-7'!E186="-"),"-",SUM('A-7'!E80,'A-7'!E133,'A-7'!E186))</f>
        <v>1311</v>
      </c>
      <c r="F20" s="24">
        <f>IF(AND('A-7'!F80="-",'A-7'!F133="-",'A-7'!F186="-"),"-",SUM('A-7'!F80,'A-7'!F133,'A-7'!F186))</f>
        <v>1734</v>
      </c>
      <c r="G20" s="24">
        <f>IF(AND('A-7'!G80="-",'A-7'!G133="-",'A-7'!G186="-"),"-",SUM('A-7'!G80,'A-7'!G133,'A-7'!G186))</f>
        <v>953</v>
      </c>
      <c r="H20" s="24">
        <f>IF(AND('A-7'!H80="-",'A-7'!H133="-",'A-7'!H186="-"),"-",SUM('A-7'!H80,'A-7'!H133,'A-7'!H186))</f>
        <v>1822</v>
      </c>
      <c r="I20" s="24">
        <f>IF(AND('A-7'!I80="-",'A-7'!I133="-",'A-7'!I186="-"),"-",SUM('A-7'!I80,'A-7'!I133,'A-7'!I186))</f>
        <v>1245</v>
      </c>
      <c r="J20" s="24">
        <f>IF(AND('A-7'!J80="-",'A-7'!J133="-",'A-7'!J186="-"),"-",SUM('A-7'!J80,'A-7'!J133,'A-7'!J186))</f>
        <v>146</v>
      </c>
      <c r="K20" s="24" t="str">
        <f>IF(AND('A-7'!K80="-",'A-7'!K133="-",'A-7'!K186="-"),"-",SUM('A-7'!K80,'A-7'!K133,'A-7'!K186))</f>
        <v>-</v>
      </c>
      <c r="L20" s="17">
        <f>IF(AND('A-7'!L80="-",'A-7'!L133="-",'A-7'!L186="-"),"-",SUM('A-7'!L80,'A-7'!L133,'A-7'!L186))</f>
        <v>9262</v>
      </c>
      <c r="M20" s="17"/>
      <c r="N20" s="17"/>
    </row>
    <row r="21" spans="1:14" ht="11.25" customHeight="1">
      <c r="A21" s="99">
        <v>1994</v>
      </c>
      <c r="B21" s="24" t="str">
        <f>IF(AND('A-7'!B81="-",'A-7'!B134="-",'A-7'!B187="-"),"-",SUM('A-7'!B81,'A-7'!B134,'A-7'!B187))</f>
        <v>-</v>
      </c>
      <c r="C21" s="24" t="str">
        <f>IF(AND('A-7'!C81="-",'A-7'!C134="-",'A-7'!C187="-"),"-",SUM('A-7'!C81,'A-7'!C134,'A-7'!C187))</f>
        <v>-</v>
      </c>
      <c r="D21" s="24">
        <f>IF(AND('A-7'!D81="-",'A-7'!D134="-",'A-7'!D187="-"),"-",SUM('A-7'!D81,'A-7'!D134,'A-7'!D187))</f>
        <v>932</v>
      </c>
      <c r="E21" s="24">
        <f>IF(AND('A-7'!E81="-",'A-7'!E134="-",'A-7'!E187="-"),"-",SUM('A-7'!E81,'A-7'!E134,'A-7'!E187))</f>
        <v>1228</v>
      </c>
      <c r="F21" s="24" t="str">
        <f>IF(AND('A-7'!F81="-",'A-7'!F134="-",'A-7'!F187="-"),"-",SUM('A-7'!F81,'A-7'!F134,'A-7'!F187))</f>
        <v>-</v>
      </c>
      <c r="G21" s="24" t="str">
        <f>IF(AND('A-7'!G81="-",'A-7'!G134="-",'A-7'!G187="-"),"-",SUM('A-7'!G81,'A-7'!G134,'A-7'!G187))</f>
        <v>-</v>
      </c>
      <c r="H21" s="24">
        <f>IF(AND('A-7'!H81="-",'A-7'!H134="-",'A-7'!H187="-"),"-",SUM('A-7'!H81,'A-7'!H134,'A-7'!H187))</f>
        <v>268</v>
      </c>
      <c r="I21" s="24">
        <f>IF(AND('A-7'!I81="-",'A-7'!I134="-",'A-7'!I187="-"),"-",SUM('A-7'!I81,'A-7'!I134,'A-7'!I187))</f>
        <v>985</v>
      </c>
      <c r="J21" s="24">
        <f>IF(AND('A-7'!J81="-",'A-7'!J134="-",'A-7'!J187="-"),"-",SUM('A-7'!J81,'A-7'!J134,'A-7'!J187))</f>
        <v>65</v>
      </c>
      <c r="K21" s="24" t="str">
        <f>IF(AND('A-7'!K81="-",'A-7'!K134="-",'A-7'!K187="-"),"-",SUM('A-7'!K81,'A-7'!K134,'A-7'!K187))</f>
        <v>-</v>
      </c>
      <c r="L21" s="17">
        <f>IF(AND('A-7'!L81="-",'A-7'!L134="-",'A-7'!L187="-"),"-",SUM('A-7'!L81,'A-7'!L134,'A-7'!L187))</f>
        <v>3478</v>
      </c>
      <c r="M21" s="17"/>
      <c r="N21" s="17"/>
    </row>
    <row r="22" spans="1:14" ht="11.25" customHeight="1">
      <c r="A22" s="99">
        <v>1995</v>
      </c>
      <c r="B22" s="24" t="str">
        <f>IF(AND('A-7'!B82="-",'A-7'!B135="-",'A-7'!B188="-"),"-",SUM('A-7'!B82,'A-7'!B135,'A-7'!B188))</f>
        <v>-</v>
      </c>
      <c r="C22" s="24" t="str">
        <f>IF(AND('A-7'!C82="-",'A-7'!C135="-",'A-7'!C188="-"),"-",SUM('A-7'!C82,'A-7'!C135,'A-7'!C188))</f>
        <v>-</v>
      </c>
      <c r="D22" s="24">
        <f>IF(AND('A-7'!D82="-",'A-7'!D135="-",'A-7'!D188="-"),"-",SUM('A-7'!D82,'A-7'!D135,'A-7'!D188))</f>
        <v>939</v>
      </c>
      <c r="E22" s="24">
        <f>IF(AND('A-7'!E82="-",'A-7'!E135="-",'A-7'!E188="-"),"-",SUM('A-7'!E82,'A-7'!E135,'A-7'!E188))</f>
        <v>1621</v>
      </c>
      <c r="F22" s="24" t="str">
        <f>IF(AND('A-7'!F82="-",'A-7'!F135="-",'A-7'!F188="-"),"-",SUM('A-7'!F82,'A-7'!F135,'A-7'!F188))</f>
        <v>-</v>
      </c>
      <c r="G22" s="24">
        <f>IF(AND('A-7'!G82="-",'A-7'!G135="-",'A-7'!G188="-"),"-",SUM('A-7'!G82,'A-7'!G135,'A-7'!G188))</f>
        <v>2608</v>
      </c>
      <c r="H22" s="24">
        <f>IF(AND('A-7'!H82="-",'A-7'!H135="-",'A-7'!H188="-"),"-",SUM('A-7'!H82,'A-7'!H135,'A-7'!H188))</f>
        <v>1251</v>
      </c>
      <c r="I22" s="24">
        <f>IF(AND('A-7'!I82="-",'A-7'!I135="-",'A-7'!I188="-"),"-",SUM('A-7'!I82,'A-7'!I135,'A-7'!I188))</f>
        <v>1097</v>
      </c>
      <c r="J22" s="24">
        <f>IF(AND('A-7'!J82="-",'A-7'!J135="-",'A-7'!J188="-"),"-",SUM('A-7'!J82,'A-7'!J135,'A-7'!J188))</f>
        <v>54</v>
      </c>
      <c r="K22" s="24" t="str">
        <f>IF(AND('A-7'!K82="-",'A-7'!K135="-",'A-7'!K188="-"),"-",SUM('A-7'!K82,'A-7'!K135,'A-7'!K188))</f>
        <v>-</v>
      </c>
      <c r="L22" s="17">
        <f>IF(AND('A-7'!L82="-",'A-7'!L135="-",'A-7'!L188="-"),"-",SUM('A-7'!L82,'A-7'!L135,'A-7'!L188))</f>
        <v>7570</v>
      </c>
      <c r="M22" s="17"/>
      <c r="N22" s="17"/>
    </row>
    <row r="23" spans="1:14" ht="11.25" customHeight="1">
      <c r="A23" s="99">
        <v>1996</v>
      </c>
      <c r="B23" s="24" t="str">
        <f>IF(AND('A-7'!B83="-",'A-7'!B136="-",'A-7'!B189="-"),"-",SUM('A-7'!B83,'A-7'!B136,'A-7'!B189))</f>
        <v>-</v>
      </c>
      <c r="C23" s="24" t="str">
        <f>IF(AND('A-7'!C83="-",'A-7'!C136="-",'A-7'!C189="-"),"-",SUM('A-7'!C83,'A-7'!C136,'A-7'!C189))</f>
        <v>-</v>
      </c>
      <c r="D23" s="24">
        <f>IF(AND('A-7'!D83="-",'A-7'!D136="-",'A-7'!D189="-"),"-",SUM('A-7'!D83,'A-7'!D136,'A-7'!D189))</f>
        <v>1378</v>
      </c>
      <c r="E23" s="24">
        <f>IF(AND('A-7'!E83="-",'A-7'!E136="-",'A-7'!E189="-"),"-",SUM('A-7'!E83,'A-7'!E136,'A-7'!E189))</f>
        <v>1972</v>
      </c>
      <c r="F23" s="24" t="str">
        <f>IF(AND('A-7'!F83="-",'A-7'!F136="-",'A-7'!F189="-"),"-",SUM('A-7'!F83,'A-7'!F136,'A-7'!F189))</f>
        <v>-</v>
      </c>
      <c r="G23" s="24">
        <f>IF(AND('A-7'!G83="-",'A-7'!G136="-",'A-7'!G189="-"),"-",SUM('A-7'!G83,'A-7'!G136,'A-7'!G189))</f>
        <v>1819</v>
      </c>
      <c r="H23" s="24">
        <f>IF(AND('A-7'!H83="-",'A-7'!H136="-",'A-7'!H189="-"),"-",SUM('A-7'!H83,'A-7'!H136,'A-7'!H189))</f>
        <v>1619</v>
      </c>
      <c r="I23" s="24">
        <f>IF(AND('A-7'!I83="-",'A-7'!I136="-",'A-7'!I189="-"),"-",SUM('A-7'!I83,'A-7'!I136,'A-7'!I189))</f>
        <v>1041</v>
      </c>
      <c r="J23" s="24">
        <f>IF(AND('A-7'!J83="-",'A-7'!J136="-",'A-7'!J189="-"),"-",SUM('A-7'!J83,'A-7'!J136,'A-7'!J189))</f>
        <v>86</v>
      </c>
      <c r="K23" s="24" t="str">
        <f>IF(AND('A-7'!K83="-",'A-7'!K136="-",'A-7'!K189="-"),"-",SUM('A-7'!K83,'A-7'!K136,'A-7'!K189))</f>
        <v>-</v>
      </c>
      <c r="L23" s="17">
        <f>IF(AND('A-7'!L83="-",'A-7'!L136="-",'A-7'!L189="-"),"-",SUM('A-7'!L83,'A-7'!L136,'A-7'!L189))</f>
        <v>7915</v>
      </c>
      <c r="M23" s="17"/>
      <c r="N23" s="17"/>
    </row>
    <row r="24" spans="1:14" ht="11.25" customHeight="1">
      <c r="A24" s="99">
        <v>1997</v>
      </c>
      <c r="B24" s="24" t="str">
        <f>IF(AND('A-7'!B84="-",'A-7'!B137="-",'A-7'!B190="-"),"-",SUM('A-7'!B84,'A-7'!B137,'A-7'!B190))</f>
        <v>-</v>
      </c>
      <c r="C24" s="24">
        <f>IF(AND('A-7'!C84="-",'A-7'!C137="-",'A-7'!C190="-"),"-",SUM('A-7'!C84,'A-7'!C137,'A-7'!C190))</f>
        <v>348</v>
      </c>
      <c r="D24" s="24">
        <f>IF(AND('A-7'!D84="-",'A-7'!D137="-",'A-7'!D190="-"),"-",SUM('A-7'!D84,'A-7'!D137,'A-7'!D190))</f>
        <v>1940</v>
      </c>
      <c r="E24" s="24">
        <f>IF(AND('A-7'!E84="-",'A-7'!E137="-",'A-7'!E190="-"),"-",SUM('A-7'!E84,'A-7'!E137,'A-7'!E190))</f>
        <v>1875</v>
      </c>
      <c r="F24" s="24" t="str">
        <f>IF(AND('A-7'!F84="-",'A-7'!F137="-",'A-7'!F190="-"),"-",SUM('A-7'!F84,'A-7'!F137,'A-7'!F190))</f>
        <v>-</v>
      </c>
      <c r="G24" s="24">
        <f>IF(AND('A-7'!G84="-",'A-7'!G137="-",'A-7'!G190="-"),"-",SUM('A-7'!G84,'A-7'!G137,'A-7'!G190))</f>
        <v>1623</v>
      </c>
      <c r="H24" s="24">
        <f>IF(AND('A-7'!H84="-",'A-7'!H137="-",'A-7'!H190="-"),"-",SUM('A-7'!H84,'A-7'!H137,'A-7'!H190))</f>
        <v>1033</v>
      </c>
      <c r="I24" s="24">
        <f>IF(AND('A-7'!I84="-",'A-7'!I137="-",'A-7'!I190="-"),"-",SUM('A-7'!I84,'A-7'!I137,'A-7'!I190))</f>
        <v>541</v>
      </c>
      <c r="J24" s="24">
        <f>IF(AND('A-7'!J84="-",'A-7'!J137="-",'A-7'!J190="-"),"-",SUM('A-7'!J84,'A-7'!J137,'A-7'!J190))</f>
        <v>67</v>
      </c>
      <c r="K24" s="24" t="str">
        <f>IF(AND('A-7'!K84="-",'A-7'!K137="-",'A-7'!K190="-"),"-",SUM('A-7'!K84,'A-7'!K137,'A-7'!K190))</f>
        <v>-</v>
      </c>
      <c r="L24" s="17">
        <f>IF(AND('A-7'!L84="-",'A-7'!L137="-",'A-7'!L190="-"),"-",SUM('A-7'!L84,'A-7'!L137,'A-7'!L190))</f>
        <v>7427</v>
      </c>
      <c r="M24" s="17"/>
      <c r="N24" s="17"/>
    </row>
    <row r="25" spans="1:14" ht="11.25" customHeight="1">
      <c r="A25" s="99">
        <v>1998</v>
      </c>
      <c r="B25" s="24" t="str">
        <f>IF(AND('A-7'!B85="-",'A-7'!B138="-",'A-7'!B191="-"),"-",SUM('A-7'!B85,'A-7'!B138,'A-7'!B191))</f>
        <v>-</v>
      </c>
      <c r="C25" s="24">
        <f>IF(AND('A-7'!C85="-",'A-7'!C138="-",'A-7'!C191="-"),"-",SUM('A-7'!C85,'A-7'!C138,'A-7'!C191))</f>
        <v>851</v>
      </c>
      <c r="D25" s="24">
        <f>IF(AND('A-7'!D85="-",'A-7'!D138="-",'A-7'!D191="-"),"-",SUM('A-7'!D85,'A-7'!D138,'A-7'!D191))</f>
        <v>1782</v>
      </c>
      <c r="E25" s="24">
        <f>IF(AND('A-7'!E85="-",'A-7'!E138="-",'A-7'!E191="-"),"-",SUM('A-7'!E85,'A-7'!E138,'A-7'!E191))</f>
        <v>1706</v>
      </c>
      <c r="F25" s="24" t="str">
        <f>IF(AND('A-7'!F85="-",'A-7'!F138="-",'A-7'!F191="-"),"-",SUM('A-7'!F85,'A-7'!F138,'A-7'!F191))</f>
        <v>-</v>
      </c>
      <c r="G25" s="24">
        <f>IF(AND('A-7'!G85="-",'A-7'!G138="-",'A-7'!G191="-"),"-",SUM('A-7'!G85,'A-7'!G138,'A-7'!G191))</f>
        <v>1356</v>
      </c>
      <c r="H25" s="24">
        <f>IF(AND('A-7'!H85="-",'A-7'!H138="-",'A-7'!H191="-"),"-",SUM('A-7'!H85,'A-7'!H138,'A-7'!H191))</f>
        <v>557</v>
      </c>
      <c r="I25" s="24">
        <f>IF(AND('A-7'!I85="-",'A-7'!I138="-",'A-7'!I191="-"),"-",SUM('A-7'!I85,'A-7'!I138,'A-7'!I191))</f>
        <v>595</v>
      </c>
      <c r="J25" s="24">
        <f>IF(AND('A-7'!J85="-",'A-7'!J138="-",'A-7'!J191="-"),"-",SUM('A-7'!J85,'A-7'!J138,'A-7'!J191))</f>
        <v>116</v>
      </c>
      <c r="K25" s="24" t="str">
        <f>IF(AND('A-7'!K85="-",'A-7'!K138="-",'A-7'!K191="-"),"-",SUM('A-7'!K85,'A-7'!K138,'A-7'!K191))</f>
        <v>-</v>
      </c>
      <c r="L25" s="17">
        <f>IF(AND('A-7'!L85="-",'A-7'!L138="-",'A-7'!L191="-"),"-",SUM('A-7'!L85,'A-7'!L138,'A-7'!L191))</f>
        <v>6963</v>
      </c>
      <c r="M25" s="17"/>
      <c r="N25" s="17"/>
    </row>
    <row r="26" spans="1:14" ht="11.25" customHeight="1">
      <c r="A26" s="99">
        <v>1999</v>
      </c>
      <c r="B26" s="24" t="str">
        <f>IF(AND('A-7'!B86="-",'A-7'!B139="-",'A-7'!B192="-"),"-",SUM('A-7'!B86,'A-7'!B139,'A-7'!B192))</f>
        <v>-</v>
      </c>
      <c r="C26" s="24">
        <f>IF(AND('A-7'!C86="-",'A-7'!C139="-",'A-7'!C192="-"),"-",SUM('A-7'!C86,'A-7'!C139,'A-7'!C192))</f>
        <v>177</v>
      </c>
      <c r="D26" s="24">
        <f>IF(AND('A-7'!D86="-",'A-7'!D139="-",'A-7'!D192="-"),"-",SUM('A-7'!D86,'A-7'!D139,'A-7'!D192))</f>
        <v>604</v>
      </c>
      <c r="E26" s="24">
        <f>IF(AND('A-7'!E86="-",'A-7'!E139="-",'A-7'!E192="-"),"-",SUM('A-7'!E86,'A-7'!E139,'A-7'!E192))</f>
        <v>1361</v>
      </c>
      <c r="F26" s="24">
        <f>IF(AND('A-7'!F86="-",'A-7'!F139="-",'A-7'!F192="-"),"-",SUM('A-7'!F86,'A-7'!F139,'A-7'!F192))</f>
        <v>733</v>
      </c>
      <c r="G26" s="24">
        <f>IF(AND('A-7'!G86="-",'A-7'!G139="-",'A-7'!G192="-"),"-",SUM('A-7'!G86,'A-7'!G139,'A-7'!G192))</f>
        <v>1042</v>
      </c>
      <c r="H26" s="24">
        <f>IF(AND('A-7'!H86="-",'A-7'!H139="-",'A-7'!H192="-"),"-",SUM('A-7'!H86,'A-7'!H139,'A-7'!H192))</f>
        <v>417</v>
      </c>
      <c r="I26" s="24">
        <f>IF(AND('A-7'!I86="-",'A-7'!I139="-",'A-7'!I192="-"),"-",SUM('A-7'!I86,'A-7'!I139,'A-7'!I192))</f>
        <v>371</v>
      </c>
      <c r="J26" s="24">
        <f>IF(AND('A-7'!J86="-",'A-7'!J139="-",'A-7'!J192="-"),"-",SUM('A-7'!J86,'A-7'!J139,'A-7'!J192))</f>
        <v>121</v>
      </c>
      <c r="K26" s="24">
        <f>IF(AND('A-7'!K86="-",'A-7'!K139="-",'A-7'!K192="-"),"-",SUM('A-7'!K86,'A-7'!K139,'A-7'!K192))</f>
        <v>8</v>
      </c>
      <c r="L26" s="17">
        <f>IF(AND('A-7'!L86="-",'A-7'!L139="-",'A-7'!L192="-"),"-",SUM('A-7'!L86,'A-7'!L139,'A-7'!L192))</f>
        <v>4834</v>
      </c>
      <c r="M26" s="17"/>
      <c r="N26" s="17"/>
    </row>
    <row r="27" spans="1:14" ht="11.25" customHeight="1">
      <c r="A27" s="99">
        <v>2000</v>
      </c>
      <c r="B27" s="24" t="str">
        <f>IF(AND('A-7'!B87="-",'A-7'!B140="-",'A-7'!B193="-"),"-",SUM('A-7'!B87,'A-7'!B140,'A-7'!B193))</f>
        <v>-</v>
      </c>
      <c r="C27" s="24">
        <f>IF(AND('A-7'!C87="-",'A-7'!C140="-",'A-7'!C193="-"),"-",SUM('A-7'!C87,'A-7'!C140,'A-7'!C193))</f>
        <v>155</v>
      </c>
      <c r="D27" s="24">
        <f>IF(AND('A-7'!D87="-",'A-7'!D140="-",'A-7'!D193="-"),"-",SUM('A-7'!D87,'A-7'!D140,'A-7'!D193))</f>
        <v>706</v>
      </c>
      <c r="E27" s="24">
        <f>IF(AND('A-7'!E87="-",'A-7'!E140="-",'A-7'!E193="-"),"-",SUM('A-7'!E87,'A-7'!E140,'A-7'!E193))</f>
        <v>952</v>
      </c>
      <c r="F27" s="24">
        <f>IF(AND('A-7'!F87="-",'A-7'!F140="-",'A-7'!F193="-"),"-",SUM('A-7'!F87,'A-7'!F140,'A-7'!F193))</f>
        <v>1186</v>
      </c>
      <c r="G27" s="24">
        <f>IF(AND('A-7'!G87="-",'A-7'!G140="-",'A-7'!G193="-"),"-",SUM('A-7'!G87,'A-7'!G140,'A-7'!G193))</f>
        <v>1819</v>
      </c>
      <c r="H27" s="24">
        <f>IF(AND('A-7'!H87="-",'A-7'!H140="-",'A-7'!H193="-"),"-",SUM('A-7'!H87,'A-7'!H140,'A-7'!H193))</f>
        <v>1238</v>
      </c>
      <c r="I27" s="24">
        <f>IF(AND('A-7'!I87="-",'A-7'!I140="-",'A-7'!I193="-"),"-",SUM('A-7'!I87,'A-7'!I140,'A-7'!I193))</f>
        <v>630</v>
      </c>
      <c r="J27" s="24">
        <f>IF(AND('A-7'!J87="-",'A-7'!J140="-",'A-7'!J193="-"),"-",SUM('A-7'!J87,'A-7'!J140,'A-7'!J193))</f>
        <v>180</v>
      </c>
      <c r="K27" s="24">
        <f>IF(AND('A-7'!K87="-",'A-7'!K140="-",'A-7'!K193="-"),"-",SUM('A-7'!K87,'A-7'!K140,'A-7'!K193))</f>
        <v>69</v>
      </c>
      <c r="L27" s="17">
        <f>IF(AND('A-7'!L87="-",'A-7'!L140="-",'A-7'!L193="-"),"-",SUM('A-7'!L87,'A-7'!L140,'A-7'!L193))</f>
        <v>6935</v>
      </c>
      <c r="M27" s="17"/>
      <c r="N27" s="17"/>
    </row>
    <row r="28" spans="1:14" ht="11.25" customHeight="1">
      <c r="A28" s="99">
        <v>2001</v>
      </c>
      <c r="B28" s="24" t="str">
        <f>IF(AND('A-7'!B88="-",'A-7'!B141="-",'A-7'!B194="-"),"-",SUM('A-7'!B88,'A-7'!B141,'A-7'!B194))</f>
        <v>-</v>
      </c>
      <c r="C28" s="24">
        <f>IF(AND('A-7'!C88="-",'A-7'!C141="-",'A-7'!C194="-"),"-",SUM('A-7'!C88,'A-7'!C141,'A-7'!C194))</f>
        <v>937</v>
      </c>
      <c r="D28" s="24">
        <f>IF(AND('A-7'!D88="-",'A-7'!D141="-",'A-7'!D194="-"),"-",SUM('A-7'!D88,'A-7'!D141,'A-7'!D194))</f>
        <v>2011</v>
      </c>
      <c r="E28" s="24">
        <f>IF(AND('A-7'!E88="-",'A-7'!E141="-",'A-7'!E194="-"),"-",SUM('A-7'!E88,'A-7'!E141,'A-7'!E194))</f>
        <v>1980</v>
      </c>
      <c r="F28" s="24">
        <f>IF(AND('A-7'!F88="-",'A-7'!F141="-",'A-7'!F194="-"),"-",SUM('A-7'!F88,'A-7'!F141,'A-7'!F194))</f>
        <v>1358</v>
      </c>
      <c r="G28" s="24">
        <f>IF(AND('A-7'!G88="-",'A-7'!G141="-",'A-7'!G194="-"),"-",SUM('A-7'!G88,'A-7'!G141,'A-7'!G194))</f>
        <v>2051</v>
      </c>
      <c r="H28" s="24">
        <f>IF(AND('A-7'!H88="-",'A-7'!H141="-",'A-7'!H194="-"),"-",SUM('A-7'!H88,'A-7'!H141,'A-7'!H194))</f>
        <v>1214</v>
      </c>
      <c r="I28" s="24">
        <f>IF(AND('A-7'!I88="-",'A-7'!I141="-",'A-7'!I194="-"),"-",SUM('A-7'!I88,'A-7'!I141,'A-7'!I194))</f>
        <v>748</v>
      </c>
      <c r="J28" s="24">
        <f>IF(AND('A-7'!J88="-",'A-7'!J141="-",'A-7'!J194="-"),"-",SUM('A-7'!J88,'A-7'!J141,'A-7'!J194))</f>
        <v>135</v>
      </c>
      <c r="K28" s="24">
        <f>IF(AND('A-7'!K88="-",'A-7'!K141="-",'A-7'!K194="-"),"-",SUM('A-7'!K88,'A-7'!K141,'A-7'!K194))</f>
        <v>1</v>
      </c>
      <c r="L28" s="17">
        <f>IF(AND('A-7'!L88="-",'A-7'!L141="-",'A-7'!L194="-"),"-",SUM('A-7'!L88,'A-7'!L141,'A-7'!L194))</f>
        <v>10435</v>
      </c>
      <c r="M28" s="17"/>
      <c r="N28" s="17"/>
    </row>
    <row r="29" spans="1:14" ht="11.25" customHeight="1">
      <c r="A29" s="99">
        <v>2002</v>
      </c>
      <c r="B29" s="24">
        <f>IF(AND('A-7'!B89="-",'A-7'!B142="-",'A-7'!B195="-"),"-",SUM('A-7'!B89,'A-7'!B142,'A-7'!B195))</f>
        <v>367</v>
      </c>
      <c r="C29" s="24">
        <f>IF(AND('A-7'!C89="-",'A-7'!C142="-",'A-7'!C195="-"),"-",SUM('A-7'!C89,'A-7'!C142,'A-7'!C195))</f>
        <v>840</v>
      </c>
      <c r="D29" s="24">
        <f>IF(AND('A-7'!D89="-",'A-7'!D142="-",'A-7'!D195="-"),"-",SUM('A-7'!D89,'A-7'!D142,'A-7'!D195))</f>
        <v>1712</v>
      </c>
      <c r="E29" s="24">
        <f>IF(AND('A-7'!E89="-",'A-7'!E142="-",'A-7'!E195="-"),"-",SUM('A-7'!E89,'A-7'!E142,'A-7'!E195))</f>
        <v>1965</v>
      </c>
      <c r="F29" s="24">
        <f>IF(AND('A-7'!F89="-",'A-7'!F142="-",'A-7'!F195="-"),"-",SUM('A-7'!F89,'A-7'!F142,'A-7'!F195))</f>
        <v>682</v>
      </c>
      <c r="G29" s="24">
        <f>IF(AND('A-7'!G89="-",'A-7'!G142="-",'A-7'!G195="-"),"-",SUM('A-7'!G89,'A-7'!G142,'A-7'!G195))</f>
        <v>1293</v>
      </c>
      <c r="H29" s="24">
        <f>IF(AND('A-7'!H89="-",'A-7'!H142="-",'A-7'!H195="-"),"-",SUM('A-7'!H89,'A-7'!H142,'A-7'!H195))</f>
        <v>1607</v>
      </c>
      <c r="I29" s="24">
        <f>IF(AND('A-7'!I89="-",'A-7'!I142="-",'A-7'!I195="-"),"-",SUM('A-7'!I89,'A-7'!I142,'A-7'!I195))</f>
        <v>2204</v>
      </c>
      <c r="J29" s="24">
        <f>IF(AND('A-7'!J89="-",'A-7'!J142="-",'A-7'!J195="-"),"-",SUM('A-7'!J89,'A-7'!J142,'A-7'!J195))</f>
        <v>158</v>
      </c>
      <c r="K29" s="24">
        <f>IF(AND('A-7'!K89="-",'A-7'!K142="-",'A-7'!K195="-"),"-",SUM('A-7'!K89,'A-7'!K142,'A-7'!K195))</f>
        <v>15</v>
      </c>
      <c r="L29" s="17">
        <f>IF(AND('A-7'!L89="-",'A-7'!L142="-",'A-7'!L195="-"),"-",SUM('A-7'!L89,'A-7'!L142,'A-7'!L195))</f>
        <v>10843</v>
      </c>
      <c r="M29" s="17"/>
      <c r="N29" s="17"/>
    </row>
    <row r="30" spans="1:14" ht="11.25" customHeight="1">
      <c r="A30" s="99">
        <v>2003</v>
      </c>
      <c r="B30" s="24">
        <f>IF(AND('A-7'!B90="-",'A-7'!B143="-",'A-7'!B196="-"),"-",SUM('A-7'!B90,'A-7'!B143,'A-7'!B196))</f>
        <v>175</v>
      </c>
      <c r="C30" s="24">
        <f>IF(AND('A-7'!C90="-",'A-7'!C143="-",'A-7'!C196="-"),"-",SUM('A-7'!C90,'A-7'!C143,'A-7'!C196))</f>
        <v>1390</v>
      </c>
      <c r="D30" s="24">
        <f>IF(AND('A-7'!D90="-",'A-7'!D143="-",'A-7'!D196="-"),"-",SUM('A-7'!D90,'A-7'!D143,'A-7'!D196))</f>
        <v>2857</v>
      </c>
      <c r="E30" s="24">
        <f>IF(AND('A-7'!E90="-",'A-7'!E143="-",'A-7'!E196="-"),"-",SUM('A-7'!E90,'A-7'!E143,'A-7'!E196))</f>
        <v>1541</v>
      </c>
      <c r="F30" s="24">
        <f>IF(AND('A-7'!F90="-",'A-7'!F143="-",'A-7'!F196="-"),"-",SUM('A-7'!F90,'A-7'!F143,'A-7'!F196))</f>
        <v>902</v>
      </c>
      <c r="G30" s="24">
        <f>IF(AND('A-7'!G90="-",'A-7'!G143="-",'A-7'!G196="-"),"-",SUM('A-7'!G90,'A-7'!G143,'A-7'!G196))</f>
        <v>1347</v>
      </c>
      <c r="H30" s="24">
        <f>IF(AND('A-7'!H90="-",'A-7'!H143="-",'A-7'!H196="-"),"-",SUM('A-7'!H90,'A-7'!H143,'A-7'!H196))</f>
        <v>1665</v>
      </c>
      <c r="I30" s="24">
        <f>IF(AND('A-7'!I90="-",'A-7'!I143="-",'A-7'!I196="-"),"-",SUM('A-7'!I90,'A-7'!I143,'A-7'!I196))</f>
        <v>1447</v>
      </c>
      <c r="J30" s="24">
        <f>IF(AND('A-7'!J90="-",'A-7'!J143="-",'A-7'!J196="-"),"-",SUM('A-7'!J90,'A-7'!J143,'A-7'!J196))</f>
        <v>139</v>
      </c>
      <c r="K30" s="24">
        <f>IF(AND('A-7'!K90="-",'A-7'!K143="-",'A-7'!K196="-"),"-",SUM('A-7'!K90,'A-7'!K143,'A-7'!K196))</f>
        <v>14</v>
      </c>
      <c r="L30" s="17">
        <f>IF(AND('A-7'!L90="-",'A-7'!L143="-",'A-7'!L196="-"),"-",SUM('A-7'!L90,'A-7'!L143,'A-7'!L196))</f>
        <v>11477</v>
      </c>
      <c r="M30" s="17"/>
      <c r="N30" s="17"/>
    </row>
    <row r="31" spans="1:14" ht="11.25" customHeight="1">
      <c r="A31" s="99">
        <v>2004</v>
      </c>
      <c r="B31" s="24">
        <f>IF(AND('A-7'!B91="-",'A-7'!B144="-",'A-7'!B197="-"),"-",SUM('A-7'!B91,'A-7'!B144,'A-7'!B197))</f>
        <v>906</v>
      </c>
      <c r="C31" s="24">
        <f>IF(AND('A-7'!C91="-",'A-7'!C144="-",'A-7'!C197="-"),"-",SUM('A-7'!C91,'A-7'!C144,'A-7'!C197))</f>
        <v>2506</v>
      </c>
      <c r="D31" s="24">
        <f>IF(AND('A-7'!D91="-",'A-7'!D144="-",'A-7'!D197="-"),"-",SUM('A-7'!D91,'A-7'!D144,'A-7'!D197))</f>
        <v>2137</v>
      </c>
      <c r="E31" s="24">
        <f>IF(AND('A-7'!E91="-",'A-7'!E144="-",'A-7'!E197="-"),"-",SUM('A-7'!E91,'A-7'!E144,'A-7'!E197))</f>
        <v>1819</v>
      </c>
      <c r="F31" s="24">
        <f>IF(AND('A-7'!F91="-",'A-7'!F144="-",'A-7'!F197="-"),"-",SUM('A-7'!F91,'A-7'!F144,'A-7'!F197))</f>
        <v>825</v>
      </c>
      <c r="G31" s="24">
        <f>IF(AND('A-7'!G91="-",'A-7'!G144="-",'A-7'!G197="-"),"-",SUM('A-7'!G91,'A-7'!G144,'A-7'!G197))</f>
        <v>1833</v>
      </c>
      <c r="H31" s="24">
        <f>IF(AND('A-7'!H91="-",'A-7'!H144="-",'A-7'!H197="-"),"-",SUM('A-7'!H91,'A-7'!H144,'A-7'!H197))</f>
        <v>1359</v>
      </c>
      <c r="I31" s="24">
        <f>IF(AND('A-7'!I91="-",'A-7'!I144="-",'A-7'!I197="-"),"-",SUM('A-7'!I91,'A-7'!I144,'A-7'!I197))</f>
        <v>704</v>
      </c>
      <c r="J31" s="24">
        <f>IF(AND('A-7'!J91="-",'A-7'!J144="-",'A-7'!J197="-"),"-",SUM('A-7'!J91,'A-7'!J144,'A-7'!J197))</f>
        <v>229</v>
      </c>
      <c r="K31" s="24">
        <f>IF(AND('A-7'!K91="-",'A-7'!K144="-",'A-7'!K197="-"),"-",SUM('A-7'!K91,'A-7'!K144,'A-7'!K197))</f>
        <v>21</v>
      </c>
      <c r="L31" s="17">
        <f>IF(AND('A-7'!L91="-",'A-7'!L144="-",'A-7'!L197="-"),"-",SUM('A-7'!L91,'A-7'!L144,'A-7'!L197))</f>
        <v>12339</v>
      </c>
      <c r="M31" s="17"/>
      <c r="N31" s="17"/>
    </row>
    <row r="32" spans="1:14" ht="11.25" customHeight="1">
      <c r="A32" s="99">
        <v>2005</v>
      </c>
      <c r="B32" s="24">
        <f>IF(AND('A-7'!B92="-",'A-7'!B145="-",'A-7'!B198="-"),"-",SUM('A-7'!B92,'A-7'!B145,'A-7'!B198))</f>
        <v>1298</v>
      </c>
      <c r="C32" s="24">
        <f>IF(AND('A-7'!C92="-",'A-7'!C145="-",'A-7'!C198="-"),"-",SUM('A-7'!C92,'A-7'!C145,'A-7'!C198))</f>
        <v>369</v>
      </c>
      <c r="D32" s="24">
        <f>IF(AND('A-7'!D92="-",'A-7'!D145="-",'A-7'!D198="-"),"-",SUM('A-7'!D92,'A-7'!D145,'A-7'!D198))</f>
        <v>2832</v>
      </c>
      <c r="E32" s="24">
        <f>IF(AND('A-7'!E92="-",'A-7'!E145="-",'A-7'!E198="-"),"-",SUM('A-7'!E92,'A-7'!E145,'A-7'!E198))</f>
        <v>2663</v>
      </c>
      <c r="F32" s="24" t="str">
        <f>IF(AND('A-7'!F92="-",'A-7'!F145="-",'A-7'!F198="-"),"-",SUM('A-7'!F92,'A-7'!F145,'A-7'!F198))</f>
        <v>-</v>
      </c>
      <c r="G32" s="24" t="str">
        <f>IF(AND('A-7'!G92="-",'A-7'!G145="-",'A-7'!G198="-"),"-",SUM('A-7'!G92,'A-7'!G145,'A-7'!G198))</f>
        <v>-</v>
      </c>
      <c r="H32" s="24">
        <f>IF(AND('A-7'!H92="-",'A-7'!H145="-",'A-7'!H198="-"),"-",SUM('A-7'!H92,'A-7'!H145,'A-7'!H198))</f>
        <v>2519</v>
      </c>
      <c r="I32" s="24">
        <f>IF(AND('A-7'!I92="-",'A-7'!I145="-",'A-7'!I198="-"),"-",SUM('A-7'!I92,'A-7'!I145,'A-7'!I198))</f>
        <v>960</v>
      </c>
      <c r="J32" s="24">
        <f>IF(AND('A-7'!J92="-",'A-7'!J145="-",'A-7'!J198="-"),"-",SUM('A-7'!J92,'A-7'!J145,'A-7'!J198))</f>
        <v>142</v>
      </c>
      <c r="K32" s="24">
        <f>IF(AND('A-7'!K92="-",'A-7'!K145="-",'A-7'!K198="-"),"-",SUM('A-7'!K92,'A-7'!K145,'A-7'!K198))</f>
        <v>75</v>
      </c>
      <c r="L32" s="17">
        <f>IF(AND('A-7'!L92="-",'A-7'!L145="-",'A-7'!L198="-"),"-",SUM('A-7'!L92,'A-7'!L145,'A-7'!L198))</f>
        <v>10858</v>
      </c>
      <c r="M32" s="17"/>
      <c r="N32" s="17"/>
    </row>
    <row r="33" spans="1:14" ht="11.25" customHeight="1">
      <c r="A33" s="99">
        <v>2006</v>
      </c>
      <c r="B33" s="24" t="str">
        <f>IF(AND('A-7'!B93="-",'A-7'!B146="-",'A-7'!B199="-"),"-",SUM('A-7'!B93,'A-7'!B146,'A-7'!B199))</f>
        <v>-</v>
      </c>
      <c r="C33" s="24" t="str">
        <f>IF(AND('A-7'!C93="-",'A-7'!C146="-",'A-7'!C199="-"),"-",SUM('A-7'!C93,'A-7'!C146,'A-7'!C199))</f>
        <v>-</v>
      </c>
      <c r="D33" s="24" t="str">
        <f>IF(AND('A-7'!D93="-",'A-7'!D146="-",'A-7'!D199="-"),"-",SUM('A-7'!D93,'A-7'!D146,'A-7'!D199))</f>
        <v>-</v>
      </c>
      <c r="E33" s="24">
        <f>IF(AND('A-7'!E93="-",'A-7'!E146="-",'A-7'!E199="-"),"-",SUM('A-7'!E93,'A-7'!E146,'A-7'!E199))</f>
        <v>1017</v>
      </c>
      <c r="F33" s="24">
        <f>IF(AND('A-7'!F93="-",'A-7'!F146="-",'A-7'!F199="-"),"-",SUM('A-7'!F93,'A-7'!F146,'A-7'!F199))</f>
        <v>483</v>
      </c>
      <c r="G33" s="24">
        <f>IF(AND('A-7'!G93="-",'A-7'!G146="-",'A-7'!G199="-"),"-",SUM('A-7'!G93,'A-7'!G146,'A-7'!G199))</f>
        <v>185</v>
      </c>
      <c r="H33" s="24">
        <f>IF(AND('A-7'!H93="-",'A-7'!H146="-",'A-7'!H199="-"),"-",SUM('A-7'!H93,'A-7'!H146,'A-7'!H199))</f>
        <v>621</v>
      </c>
      <c r="I33" s="24">
        <f>IF(AND('A-7'!I93="-",'A-7'!I146="-",'A-7'!I199="-"),"-",SUM('A-7'!I93,'A-7'!I146,'A-7'!I199))</f>
        <v>723</v>
      </c>
      <c r="J33" s="24">
        <f>IF(AND('A-7'!J93="-",'A-7'!J146="-",'A-7'!J199="-"),"-",SUM('A-7'!J93,'A-7'!J146,'A-7'!J199))</f>
        <v>279</v>
      </c>
      <c r="K33" s="24">
        <f>IF(AND('A-7'!K93="-",'A-7'!K146="-",'A-7'!K199="-"),"-",SUM('A-7'!K93,'A-7'!K146,'A-7'!K199))</f>
        <v>26</v>
      </c>
      <c r="L33" s="17">
        <f>IF(AND('A-7'!L93="-",'A-7'!L146="-",'A-7'!L199="-"),"-",SUM('A-7'!L93,'A-7'!L146,'A-7'!L199))</f>
        <v>3334</v>
      </c>
      <c r="M33" s="17"/>
      <c r="N33" s="17"/>
    </row>
    <row r="34" spans="1:14" ht="11.25" customHeight="1">
      <c r="A34" s="99">
        <v>2007</v>
      </c>
      <c r="B34" s="24" t="str">
        <f>IF(AND('A-7'!B94="-",'A-7'!B147="-",'A-7'!B200="-"),"-",SUM('A-7'!B94,'A-7'!B147,'A-7'!B200))</f>
        <v>-</v>
      </c>
      <c r="C34" s="24">
        <f>IF(AND('A-7'!C94="-",'A-7'!C147="-",'A-7'!C200="-"),"-",SUM('A-7'!C94,'A-7'!C147,'A-7'!C200))</f>
        <v>342</v>
      </c>
      <c r="D34" s="24">
        <f>IF(AND('A-7'!D94="-",'A-7'!D147="-",'A-7'!D200="-"),"-",SUM('A-7'!D94,'A-7'!D147,'A-7'!D200))</f>
        <v>1181</v>
      </c>
      <c r="E34" s="24">
        <f>IF(AND('A-7'!E94="-",'A-7'!E147="-",'A-7'!E200="-"),"-",SUM('A-7'!E94,'A-7'!E147,'A-7'!E200))</f>
        <v>774</v>
      </c>
      <c r="F34" s="24">
        <f>IF(AND('A-7'!F94="-",'A-7'!F147="-",'A-7'!F200="-"),"-",SUM('A-7'!F94,'A-7'!F147,'A-7'!F200))</f>
        <v>265</v>
      </c>
      <c r="G34" s="24">
        <f>IF(AND('A-7'!G94="-",'A-7'!G147="-",'A-7'!G200="-"),"-",SUM('A-7'!G94,'A-7'!G147,'A-7'!G200))</f>
        <v>1151</v>
      </c>
      <c r="H34" s="24">
        <f>IF(AND('A-7'!H94="-",'A-7'!H147="-",'A-7'!H200="-"),"-",SUM('A-7'!H94,'A-7'!H147,'A-7'!H200))</f>
        <v>303</v>
      </c>
      <c r="I34" s="24">
        <f>IF(AND('A-7'!I94="-",'A-7'!I147="-",'A-7'!I200="-"),"-",SUM('A-7'!I94,'A-7'!I147,'A-7'!I200))</f>
        <v>244</v>
      </c>
      <c r="J34" s="24">
        <f>IF(AND('A-7'!J94="-",'A-7'!J147="-",'A-7'!J200="-"),"-",SUM('A-7'!J94,'A-7'!J147,'A-7'!J200))</f>
        <v>162</v>
      </c>
      <c r="K34" s="24" t="str">
        <f>IF(AND('A-7'!K94="-",'A-7'!K147="-",'A-7'!K200="-"),"-",SUM('A-7'!K94,'A-7'!K147,'A-7'!K200))</f>
        <v>-</v>
      </c>
      <c r="L34" s="17">
        <f>IF(AND('A-7'!L94="-",'A-7'!L147="-",'A-7'!L200="-"),"-",SUM('A-7'!L94,'A-7'!L147,'A-7'!L200))</f>
        <v>4422</v>
      </c>
      <c r="M34" s="17"/>
      <c r="N34" s="17"/>
    </row>
    <row r="35" spans="1:14" ht="11.25" customHeight="1">
      <c r="A35" s="99">
        <v>2008</v>
      </c>
      <c r="B35" s="24" t="str">
        <f>IF(AND('A-7'!B95="-",'A-7'!B148="-",'A-7'!B201="-"),"-",SUM('A-7'!B95,'A-7'!B148,'A-7'!B201))</f>
        <v>-</v>
      </c>
      <c r="C35" s="24" t="str">
        <f>IF(AND('A-7'!C95="-",'A-7'!C148="-",'A-7'!C201="-"),"-",SUM('A-7'!C95,'A-7'!C148,'A-7'!C201))</f>
        <v>-</v>
      </c>
      <c r="D35" s="24" t="str">
        <f>IF(AND('A-7'!D95="-",'A-7'!D148="-",'A-7'!D201="-"),"-",SUM('A-7'!D95,'A-7'!D148,'A-7'!D201))</f>
        <v>-</v>
      </c>
      <c r="E35" s="24" t="str">
        <f>IF(AND('A-7'!E95="-",'A-7'!E148="-",'A-7'!E201="-"),"-",SUM('A-7'!E95,'A-7'!E148,'A-7'!E201))</f>
        <v>-</v>
      </c>
      <c r="F35" s="24" t="str">
        <f>IF(AND('A-7'!F95="-",'A-7'!F148="-",'A-7'!F201="-"),"-",SUM('A-7'!F95,'A-7'!F148,'A-7'!F201))</f>
        <v>-</v>
      </c>
      <c r="G35" s="24" t="str">
        <f>IF(AND('A-7'!G95="-",'A-7'!G148="-",'A-7'!G201="-"),"-",SUM('A-7'!G95,'A-7'!G148,'A-7'!G201))</f>
        <v>-</v>
      </c>
      <c r="H35" s="24">
        <f>IF(AND('A-7'!H95="-",'A-7'!H148="-",'A-7'!H201="-"),"-",SUM('A-7'!H95,'A-7'!H148,'A-7'!H201))</f>
        <v>37</v>
      </c>
      <c r="I35" s="24">
        <f>IF(AND('A-7'!I95="-",'A-7'!I148="-",'A-7'!I201="-"),"-",SUM('A-7'!I95,'A-7'!I148,'A-7'!I201))</f>
        <v>12</v>
      </c>
      <c r="J35" s="24">
        <f>IF(AND('A-7'!J95="-",'A-7'!J148="-",'A-7'!J201="-"),"-",SUM('A-7'!J95,'A-7'!J148,'A-7'!J201))</f>
        <v>48</v>
      </c>
      <c r="K35" s="24" t="str">
        <f>IF(AND('A-7'!K95="-",'A-7'!K148="-",'A-7'!K201="-"),"-",SUM('A-7'!K95,'A-7'!K148,'A-7'!K201))</f>
        <v>-</v>
      </c>
      <c r="L35" s="17">
        <f>IF(AND('A-7'!L95="-",'A-7'!L148="-",'A-7'!L201="-"),"-",SUM('A-7'!L95,'A-7'!L148,'A-7'!L201))</f>
        <v>97</v>
      </c>
      <c r="M35" s="17"/>
      <c r="N35" s="17"/>
    </row>
    <row r="36" spans="1:14" ht="11.25" customHeight="1">
      <c r="A36" s="99">
        <v>2009</v>
      </c>
      <c r="B36" s="24" t="str">
        <f>IF(AND('A-7'!B96="-",'A-7'!B149="-",'A-7'!B202="-"),"-",SUM('A-7'!B96,'A-7'!B149,'A-7'!B202))</f>
        <v>-</v>
      </c>
      <c r="C36" s="24" t="str">
        <f>IF(AND('A-7'!C96="-",'A-7'!C149="-",'A-7'!C202="-"),"-",SUM('A-7'!C96,'A-7'!C149,'A-7'!C202))</f>
        <v>-</v>
      </c>
      <c r="D36" s="24" t="str">
        <f>IF(AND('A-7'!D96="-",'A-7'!D149="-",'A-7'!D202="-"),"-",SUM('A-7'!D96,'A-7'!D149,'A-7'!D202))</f>
        <v>-</v>
      </c>
      <c r="E36" s="24" t="str">
        <f>IF(AND('A-7'!E96="-",'A-7'!E149="-",'A-7'!E202="-"),"-",SUM('A-7'!E96,'A-7'!E149,'A-7'!E202))</f>
        <v>-</v>
      </c>
      <c r="F36" s="24" t="str">
        <f>IF(AND('A-7'!F96="-",'A-7'!F149="-",'A-7'!F202="-"),"-",SUM('A-7'!F96,'A-7'!F149,'A-7'!F202))</f>
        <v>-</v>
      </c>
      <c r="G36" s="24" t="str">
        <f>IF(AND('A-7'!G96="-",'A-7'!G149="-",'A-7'!G202="-"),"-",SUM('A-7'!G96,'A-7'!G149,'A-7'!G202))</f>
        <v>-</v>
      </c>
      <c r="H36" s="24">
        <f>IF(AND('A-7'!H96="-",'A-7'!H149="-",'A-7'!H202="-"),"-",SUM('A-7'!H96,'A-7'!H149,'A-7'!H202))</f>
        <v>634</v>
      </c>
      <c r="I36" s="24">
        <f>IF(AND('A-7'!I96="-",'A-7'!I149="-",'A-7'!I202="-"),"-",SUM('A-7'!I96,'A-7'!I149,'A-7'!I202))</f>
        <v>60</v>
      </c>
      <c r="J36" s="24" t="str">
        <f>IF(AND('A-7'!J96="-",'A-7'!J149="-",'A-7'!J202="-"),"-",SUM('A-7'!J96,'A-7'!J149,'A-7'!J202))</f>
        <v>-</v>
      </c>
      <c r="K36" s="24" t="str">
        <f>IF(AND('A-7'!K96="-",'A-7'!K149="-",'A-7'!K202="-"),"-",SUM('A-7'!K96,'A-7'!K149,'A-7'!K202))</f>
        <v>-</v>
      </c>
      <c r="L36" s="17">
        <f>IF(AND('A-7'!L96="-",'A-7'!L149="-",'A-7'!L202="-"),"-",SUM('A-7'!L96,'A-7'!L149,'A-7'!L202))</f>
        <v>694</v>
      </c>
      <c r="M36" s="17"/>
      <c r="N36" s="17"/>
    </row>
    <row r="37" spans="1:14" ht="11.25" customHeight="1">
      <c r="A37" s="99">
        <v>2010</v>
      </c>
      <c r="B37" s="24" t="str">
        <f>IF(AND('A-7'!B97="-",'A-7'!B150="-",'A-7'!B203="-"),"-",SUM('A-7'!B97,'A-7'!B150,'A-7'!B203))</f>
        <v>-</v>
      </c>
      <c r="C37" s="24" t="str">
        <f>IF(AND('A-7'!C97="-",'A-7'!C150="-",'A-7'!C203="-"),"-",SUM('A-7'!C97,'A-7'!C150,'A-7'!C203))</f>
        <v>-</v>
      </c>
      <c r="D37" s="24">
        <f>IF(AND('A-7'!D97="-",'A-7'!D150="-",'A-7'!D203="-"),"-",SUM('A-7'!D97,'A-7'!D150,'A-7'!D203))</f>
        <v>1015</v>
      </c>
      <c r="E37" s="24">
        <f>IF(AND('A-7'!E97="-",'A-7'!E150="-",'A-7'!E203="-"),"-",SUM('A-7'!E97,'A-7'!E150,'A-7'!E203))</f>
        <v>987</v>
      </c>
      <c r="F37" s="24">
        <f>IF(AND('A-7'!F97="-",'A-7'!F150="-",'A-7'!F203="-"),"-",SUM('A-7'!F97,'A-7'!F150,'A-7'!F203))</f>
        <v>568</v>
      </c>
      <c r="G37" s="24">
        <f>IF(AND('A-7'!G97="-",'A-7'!G150="-",'A-7'!G203="-"),"-",SUM('A-7'!G97,'A-7'!G150,'A-7'!G203))</f>
        <v>719</v>
      </c>
      <c r="H37" s="24">
        <f>IF(AND('A-7'!H97="-",'A-7'!H150="-",'A-7'!H203="-"),"-",SUM('A-7'!H97,'A-7'!H150,'A-7'!H203))</f>
        <v>37</v>
      </c>
      <c r="I37" s="24">
        <f>IF(AND('A-7'!I97="-",'A-7'!I150="-",'A-7'!I203="-"),"-",SUM('A-7'!I97,'A-7'!I150,'A-7'!I203))</f>
        <v>157</v>
      </c>
      <c r="J37" s="24" t="str">
        <f>IF(AND('A-7'!J97="-",'A-7'!J150="-",'A-7'!J203="-"),"-",SUM('A-7'!J97,'A-7'!J150,'A-7'!J203))</f>
        <v>-</v>
      </c>
      <c r="K37" s="24" t="str">
        <f>IF(AND('A-7'!K97="-",'A-7'!K150="-",'A-7'!K203="-"),"-",SUM('A-7'!K97,'A-7'!K150,'A-7'!K203))</f>
        <v>-</v>
      </c>
      <c r="L37" s="17">
        <f>IF(AND('A-7'!L97="-",'A-7'!L150="-",'A-7'!L203="-"),"-",SUM('A-7'!L97,'A-7'!L150,'A-7'!L203))</f>
        <v>3483</v>
      </c>
      <c r="M37" s="17"/>
      <c r="N37" s="17"/>
    </row>
    <row r="38" spans="1:14" ht="11.25" customHeight="1">
      <c r="A38" s="99">
        <v>2011</v>
      </c>
      <c r="B38" s="24" t="str">
        <f>IF(AND('A-7'!B98="-",'A-7'!B151="-",'A-7'!B204="-"),"-",SUM('A-7'!B98,'A-7'!B151,'A-7'!B204))</f>
        <v>-</v>
      </c>
      <c r="C38" s="24">
        <f>IF(AND('A-7'!C98="-",'A-7'!C151="-",'A-7'!C204="-"),"-",SUM('A-7'!C98,'A-7'!C151,'A-7'!C204))</f>
        <v>316</v>
      </c>
      <c r="D38" s="24">
        <f>IF(AND('A-7'!D98="-",'A-7'!D151="-",'A-7'!D204="-"),"-",SUM('A-7'!D98,'A-7'!D151,'A-7'!D204))</f>
        <v>888</v>
      </c>
      <c r="E38" s="24">
        <f>IF(AND('A-7'!E98="-",'A-7'!E151="-",'A-7'!E204="-"),"-",SUM('A-7'!E98,'A-7'!E151,'A-7'!E204))</f>
        <v>1080</v>
      </c>
      <c r="F38" s="24">
        <f>IF(AND('A-7'!F98="-",'A-7'!F151="-",'A-7'!F204="-"),"-",SUM('A-7'!F98,'A-7'!F151,'A-7'!F204))</f>
        <v>100</v>
      </c>
      <c r="G38" s="24">
        <f>IF(AND('A-7'!G98="-",'A-7'!G151="-",'A-7'!G204="-"),"-",SUM('A-7'!G98,'A-7'!G151,'A-7'!G204))</f>
        <v>207</v>
      </c>
      <c r="H38" s="24">
        <f>IF(AND('A-7'!H98="-",'A-7'!H151="-",'A-7'!H204="-"),"-",SUM('A-7'!H98,'A-7'!H151,'A-7'!H204))</f>
        <v>122</v>
      </c>
      <c r="I38" s="24">
        <f>IF(AND('A-7'!I98="-",'A-7'!I151="-",'A-7'!I204="-"),"-",SUM('A-7'!I98,'A-7'!I151,'A-7'!I204))</f>
        <v>226</v>
      </c>
      <c r="J38" s="24">
        <f>IF(AND('A-7'!J98="-",'A-7'!J151="-",'A-7'!J204="-"),"-",SUM('A-7'!J98,'A-7'!J151,'A-7'!J204))</f>
        <v>235</v>
      </c>
      <c r="K38" s="24" t="str">
        <f>IF(AND('A-7'!K98="-",'A-7'!K151="-",'A-7'!K204="-"),"-",SUM('A-7'!K98,'A-7'!K151,'A-7'!K204))</f>
        <v>-</v>
      </c>
      <c r="L38" s="17">
        <f>IF(AND('A-7'!L98="-",'A-7'!L151="-",'A-7'!L204="-"),"-",SUM('A-7'!L98,'A-7'!L151,'A-7'!L204))</f>
        <v>3174</v>
      </c>
      <c r="M38" s="17"/>
      <c r="N38" s="17"/>
    </row>
    <row r="39" spans="1:14" ht="11.25" customHeight="1">
      <c r="A39" s="99">
        <v>2012</v>
      </c>
      <c r="B39" s="24" t="str">
        <f>IF(AND('A-7'!B99="-",'A-7'!B152="-",'A-7'!B205="-"),"-",SUM('A-7'!B99,'A-7'!B152,'A-7'!B205))</f>
        <v>-</v>
      </c>
      <c r="C39" s="24">
        <f>IF(AND('A-7'!C99="-",'A-7'!C152="-",'A-7'!C205="-"),"-",SUM('A-7'!C99,'A-7'!C152,'A-7'!C205))</f>
        <v>522</v>
      </c>
      <c r="D39" s="24">
        <f>IF(AND('A-7'!D99="-",'A-7'!D152="-",'A-7'!D205="-"),"-",SUM('A-7'!D99,'A-7'!D152,'A-7'!D205))</f>
        <v>1434</v>
      </c>
      <c r="E39" s="24">
        <f>IF(AND('A-7'!E99="-",'A-7'!E152="-",'A-7'!E205="-"),"-",SUM('A-7'!E99,'A-7'!E152,'A-7'!E205))</f>
        <v>936</v>
      </c>
      <c r="F39" s="24">
        <f>IF(AND('A-7'!F99="-",'A-7'!F152="-",'A-7'!F205="-"),"-",SUM('A-7'!F99,'A-7'!F152,'A-7'!F205))</f>
        <v>246</v>
      </c>
      <c r="G39" s="24">
        <f>IF(AND('A-7'!G99="-",'A-7'!G152="-",'A-7'!G205="-"),"-",SUM('A-7'!G99,'A-7'!G152,'A-7'!G205))</f>
        <v>632</v>
      </c>
      <c r="H39" s="24">
        <f>IF(AND('A-7'!H99="-",'A-7'!H152="-",'A-7'!H205="-"),"-",SUM('A-7'!H99,'A-7'!H152,'A-7'!H205))</f>
        <v>887</v>
      </c>
      <c r="I39" s="24">
        <f>IF(AND('A-7'!I99="-",'A-7'!I152="-",'A-7'!I205="-"),"-",SUM('A-7'!I99,'A-7'!I152,'A-7'!I205))</f>
        <v>680</v>
      </c>
      <c r="J39" s="24">
        <f>IF(AND('A-7'!J99="-",'A-7'!J152="-",'A-7'!J205="-"),"-",SUM('A-7'!J99,'A-7'!J152,'A-7'!J205))</f>
        <v>121</v>
      </c>
      <c r="K39" s="24" t="str">
        <f>IF(AND('A-7'!K99="-",'A-7'!K152="-",'A-7'!K205="-"),"-",SUM('A-7'!K99,'A-7'!K152,'A-7'!K205))</f>
        <v>-</v>
      </c>
      <c r="L39" s="17">
        <f>IF(AND('A-7'!L99="-",'A-7'!L152="-",'A-7'!L205="-"),"-",SUM('A-7'!L99,'A-7'!L152,'A-7'!L205))</f>
        <v>5458</v>
      </c>
      <c r="M39" s="17"/>
      <c r="N39" s="17"/>
    </row>
    <row r="40" spans="1:14" ht="11.25" customHeight="1">
      <c r="A40" s="99">
        <v>2013</v>
      </c>
      <c r="B40" s="24" t="str">
        <f>IF(AND('A-7'!B100="-",'A-7'!B153="-",'A-7'!B206="-"),"-",SUM('A-7'!B100,'A-7'!B153,'A-7'!B206))</f>
        <v>-</v>
      </c>
      <c r="C40" s="24">
        <f>IF(AND('A-7'!C100="-",'A-7'!C153="-",'A-7'!C206="-"),"-",SUM('A-7'!C100,'A-7'!C153,'A-7'!C206))</f>
        <v>1029</v>
      </c>
      <c r="D40" s="24">
        <f>IF(AND('A-7'!D100="-",'A-7'!D153="-",'A-7'!D206="-"),"-",SUM('A-7'!D100,'A-7'!D153,'A-7'!D206))</f>
        <v>1134</v>
      </c>
      <c r="E40" s="24">
        <f>IF(AND('A-7'!E100="-",'A-7'!E153="-",'A-7'!E206="-"),"-",SUM('A-7'!E100,'A-7'!E153,'A-7'!E206))</f>
        <v>771</v>
      </c>
      <c r="F40" s="24">
        <f>IF(AND('A-7'!F100="-",'A-7'!F153="-",'A-7'!F206="-"),"-",SUM('A-7'!F100,'A-7'!F153,'A-7'!F206))</f>
        <v>518</v>
      </c>
      <c r="G40" s="24">
        <f>IF(AND('A-7'!G100="-",'A-7'!G153="-",'A-7'!G206="-"),"-",SUM('A-7'!G100,'A-7'!G153,'A-7'!G206))</f>
        <v>2147</v>
      </c>
      <c r="H40" s="24">
        <f>IF(AND('A-7'!H100="-",'A-7'!H153="-",'A-7'!H206="-"),"-",SUM('A-7'!H100,'A-7'!H153,'A-7'!H206))</f>
        <v>1345</v>
      </c>
      <c r="I40" s="24">
        <f>IF(AND('A-7'!I100="-",'A-7'!I153="-",'A-7'!I206="-"),"-",SUM('A-7'!I100,'A-7'!I153,'A-7'!I206))</f>
        <v>893</v>
      </c>
      <c r="J40" s="24">
        <f>IF(AND('A-7'!J100="-",'A-7'!J153="-",'A-7'!J206="-"),"-",SUM('A-7'!J100,'A-7'!J153,'A-7'!J206))</f>
        <v>155</v>
      </c>
      <c r="K40" s="24" t="str">
        <f>IF(AND('A-7'!K100="-",'A-7'!K153="-",'A-7'!K206="-"),"-",SUM('A-7'!K100,'A-7'!K153,'A-7'!K206))</f>
        <v>-</v>
      </c>
      <c r="L40" s="17">
        <f>IF(AND('A-7'!L100="-",'A-7'!L153="-",'A-7'!L206="-"),"-",SUM('A-7'!L100,'A-7'!L153,'A-7'!L206))</f>
        <v>7992</v>
      </c>
      <c r="M40" s="17"/>
      <c r="N40" s="17"/>
    </row>
    <row r="41" spans="1:14" ht="11.25" customHeight="1">
      <c r="A41" s="99">
        <v>2014</v>
      </c>
      <c r="B41" s="24" t="str">
        <f>IF(AND('A-7'!B101="-",'A-7'!B154="-",'A-7'!B207="-"),"-",SUM('A-7'!B101,'A-7'!B154,'A-7'!B207))</f>
        <v>-</v>
      </c>
      <c r="C41" s="24">
        <f>IF(AND('A-7'!C101="-",'A-7'!C154="-",'A-7'!C207="-"),"-",SUM('A-7'!C101,'A-7'!C154,'A-7'!C207))</f>
        <v>952</v>
      </c>
      <c r="D41" s="24">
        <f>IF(AND('A-7'!D101="-",'A-7'!D154="-",'A-7'!D207="-"),"-",SUM('A-7'!D101,'A-7'!D154,'A-7'!D207))</f>
        <v>2101</v>
      </c>
      <c r="E41" s="24">
        <f>IF(AND('A-7'!E101="-",'A-7'!E154="-",'A-7'!E207="-"),"-",SUM('A-7'!E101,'A-7'!E154,'A-7'!E207))</f>
        <v>1718</v>
      </c>
      <c r="F41" s="24">
        <f>IF(AND('A-7'!F101="-",'A-7'!F154="-",'A-7'!F207="-"),"-",SUM('A-7'!F101,'A-7'!F154,'A-7'!F207))</f>
        <v>1062</v>
      </c>
      <c r="G41" s="24">
        <f>IF(AND('A-7'!G101="-",'A-7'!G154="-",'A-7'!G207="-"),"-",SUM('A-7'!G101,'A-7'!G154,'A-7'!G207))</f>
        <v>2155</v>
      </c>
      <c r="H41" s="24">
        <f>IF(AND('A-7'!H101="-",'A-7'!H154="-",'A-7'!H207="-"),"-",SUM('A-7'!H101,'A-7'!H154,'A-7'!H207))</f>
        <v>742</v>
      </c>
      <c r="I41" s="24">
        <f>IF(AND('A-7'!I101="-",'A-7'!I154="-",'A-7'!I207="-"),"-",SUM('A-7'!I101,'A-7'!I154,'A-7'!I207))</f>
        <v>289</v>
      </c>
      <c r="J41" s="24">
        <f>IF(AND('A-7'!J101="-",'A-7'!J154="-",'A-7'!J207="-"),"-",SUM('A-7'!J101,'A-7'!J154,'A-7'!J207))</f>
        <v>98</v>
      </c>
      <c r="K41" s="24" t="str">
        <f>IF(AND('A-7'!K101="-",'A-7'!K154="-",'A-7'!K207="-"),"-",SUM('A-7'!K101,'A-7'!K154,'A-7'!K207))</f>
        <v>-</v>
      </c>
      <c r="L41" s="17">
        <f>IF(AND('A-7'!L101="-",'A-7'!L154="-",'A-7'!L207="-"),"-",SUM('A-7'!L101,'A-7'!L154,'A-7'!L207))</f>
        <v>9117</v>
      </c>
      <c r="M41" s="17"/>
      <c r="N41" s="17"/>
    </row>
    <row r="42" spans="1:14" ht="11.25" customHeight="1">
      <c r="A42" s="99">
        <v>2015</v>
      </c>
      <c r="B42" s="24" t="str">
        <f>IF(AND('A-7'!B102="-",'A-7'!B155="-",'A-7'!B208="-"),"-",SUM('A-7'!B102,'A-7'!B155,'A-7'!B208))</f>
        <v>-</v>
      </c>
      <c r="C42" s="24">
        <f>IF(AND('A-7'!C102="-",'A-7'!C155="-",'A-7'!C208="-"),"-",SUM('A-7'!C102,'A-7'!C155,'A-7'!C208))</f>
        <v>1755</v>
      </c>
      <c r="D42" s="24">
        <f>IF(AND('A-7'!D102="-",'A-7'!D155="-",'A-7'!D208="-"),"-",SUM('A-7'!D102,'A-7'!D155,'A-7'!D208))</f>
        <v>1562</v>
      </c>
      <c r="E42" s="24">
        <f>IF(AND('A-7'!E102="-",'A-7'!E155="-",'A-7'!E208="-"),"-",SUM('A-7'!E102,'A-7'!E155,'A-7'!E208))</f>
        <v>1249</v>
      </c>
      <c r="F42" s="24">
        <f>IF(AND('A-7'!F102="-",'A-7'!F155="-",'A-7'!F208="-"),"-",SUM('A-7'!F102,'A-7'!F155,'A-7'!F208))</f>
        <v>1275</v>
      </c>
      <c r="G42" s="24">
        <f>IF(AND('A-7'!G102="-",'A-7'!G155="-",'A-7'!G208="-"),"-",SUM('A-7'!G102,'A-7'!G155,'A-7'!G208))</f>
        <v>788</v>
      </c>
      <c r="H42" s="24">
        <f>IF(AND('A-7'!H102="-",'A-7'!H155="-",'A-7'!H208="-"),"-",SUM('A-7'!H102,'A-7'!H155,'A-7'!H208))</f>
        <v>367</v>
      </c>
      <c r="I42" s="24">
        <f>IF(AND('A-7'!I102="-",'A-7'!I155="-",'A-7'!I208="-"),"-",SUM('A-7'!I102,'A-7'!I155,'A-7'!I208))</f>
        <v>237</v>
      </c>
      <c r="J42" s="24">
        <f>IF(AND('A-7'!J102="-",'A-7'!J155="-",'A-7'!J208="-"),"-",SUM('A-7'!J102,'A-7'!J155,'A-7'!J208))</f>
        <v>158</v>
      </c>
      <c r="K42" s="24" t="str">
        <f>IF(AND('A-7'!K102="-",'A-7'!K155="-",'A-7'!K208="-"),"-",SUM('A-7'!K102,'A-7'!K155,'A-7'!K208))</f>
        <v>-</v>
      </c>
      <c r="L42" s="17">
        <f>IF(AND('A-7'!L102="-",'A-7'!L155="-",'A-7'!L208="-"),"-",SUM('A-7'!L102,'A-7'!L155,'A-7'!L208))</f>
        <v>7391</v>
      </c>
      <c r="M42" s="17"/>
      <c r="N42" s="17"/>
    </row>
    <row r="43" spans="1:14" ht="11.25" customHeight="1">
      <c r="A43" s="99">
        <v>2016</v>
      </c>
      <c r="B43" s="24" t="str">
        <f>IF(AND('A-7'!B103="-",'A-7'!B156="-",'A-7'!B209="-"),"-",SUM('A-7'!B103,'A-7'!B156,'A-7'!B209))</f>
        <v>-</v>
      </c>
      <c r="C43" s="24">
        <f>IF(AND('A-7'!C103="-",'A-7'!C156="-",'A-7'!C209="-"),"-",SUM('A-7'!C103,'A-7'!C156,'A-7'!C209))</f>
        <v>888</v>
      </c>
      <c r="D43" s="24">
        <f>IF(AND('A-7'!D103="-",'A-7'!D156="-",'A-7'!D209="-"),"-",SUM('A-7'!D103,'A-7'!D156,'A-7'!D209))</f>
        <v>833</v>
      </c>
      <c r="E43" s="24">
        <f>IF(AND('A-7'!E103="-",'A-7'!E156="-",'A-7'!E209="-"),"-",SUM('A-7'!E103,'A-7'!E156,'A-7'!E209))</f>
        <v>635</v>
      </c>
      <c r="F43" s="24">
        <f>IF(AND('A-7'!F103="-",'A-7'!F156="-",'A-7'!F209="-"),"-",SUM('A-7'!F103,'A-7'!F156,'A-7'!F209))</f>
        <v>542</v>
      </c>
      <c r="G43" s="24">
        <f>IF(AND('A-7'!G103="-",'A-7'!G156="-",'A-7'!G209="-"),"-",SUM('A-7'!G103,'A-7'!G156,'A-7'!G209))</f>
        <v>634</v>
      </c>
      <c r="H43" s="24">
        <f>IF(AND('A-7'!H103="-",'A-7'!H156="-",'A-7'!H209="-"),"-",SUM('A-7'!H103,'A-7'!H156,'A-7'!H209))</f>
        <v>330</v>
      </c>
      <c r="I43" s="24">
        <f>IF(AND('A-7'!I103="-",'A-7'!I156="-",'A-7'!I209="-"),"-",SUM('A-7'!I103,'A-7'!I156,'A-7'!I209))</f>
        <v>137</v>
      </c>
      <c r="J43" s="24">
        <f>IF(AND('A-7'!J103="-",'A-7'!J156="-",'A-7'!J209="-"),"-",SUM('A-7'!J103,'A-7'!J156,'A-7'!J209))</f>
        <v>41</v>
      </c>
      <c r="K43" s="24" t="str">
        <f>IF(AND('A-7'!K103="-",'A-7'!K156="-",'A-7'!K209="-"),"-",SUM('A-7'!K103,'A-7'!K156,'A-7'!K209))</f>
        <v>-</v>
      </c>
      <c r="L43" s="17">
        <f>IF(AND('A-7'!L103="-",'A-7'!L156="-",'A-7'!L209="-"),"-",SUM('A-7'!L103,'A-7'!L156,'A-7'!L209))</f>
        <v>4040</v>
      </c>
      <c r="M43" s="17"/>
      <c r="N43" s="17"/>
    </row>
    <row r="44" spans="1:14" ht="11.25" customHeight="1">
      <c r="A44" s="99">
        <v>2017</v>
      </c>
      <c r="B44" s="24" t="str">
        <f>IF(AND('A-7'!B104="-",'A-7'!B157="-",'A-7'!B210="-"),"-",SUM('A-7'!B104,'A-7'!B157,'A-7'!B210))</f>
        <v>-</v>
      </c>
      <c r="C44" s="24">
        <f>IF(AND('A-7'!C104="-",'A-7'!C157="-",'A-7'!C210="-"),"-",SUM('A-7'!C104,'A-7'!C157,'A-7'!C210))</f>
        <v>106</v>
      </c>
      <c r="D44" s="24">
        <f>IF(AND('A-7'!D104="-",'A-7'!D157="-",'A-7'!D210="-"),"-",SUM('A-7'!D104,'A-7'!D157,'A-7'!D210))</f>
        <v>183</v>
      </c>
      <c r="E44" s="24">
        <f>IF(AND('A-7'!E104="-",'A-7'!E157="-",'A-7'!E210="-"),"-",SUM('A-7'!E104,'A-7'!E157,'A-7'!E210))</f>
        <v>391</v>
      </c>
      <c r="F44" s="24">
        <f>IF(AND('A-7'!F104="-",'A-7'!F157="-",'A-7'!F210="-"),"-",SUM('A-7'!F104,'A-7'!F157,'A-7'!F210))</f>
        <v>655</v>
      </c>
      <c r="G44" s="24" t="str">
        <f>IF(AND('A-7'!G104="-",'A-7'!G157="-",'A-7'!G210="-"),"-",SUM('A-7'!G104,'A-7'!G157,'A-7'!G210))</f>
        <v>-</v>
      </c>
      <c r="H44" s="24">
        <f>IF(AND('A-7'!H104="-",'A-7'!H157="-",'A-7'!H210="-"),"-",SUM('A-7'!H104,'A-7'!H157,'A-7'!H210))</f>
        <v>88</v>
      </c>
      <c r="I44" s="24">
        <f>IF(AND('A-7'!I104="-",'A-7'!I157="-",'A-7'!I210="-"),"-",SUM('A-7'!I104,'A-7'!I157,'A-7'!I210))</f>
        <v>137</v>
      </c>
      <c r="J44" s="24">
        <f>IF(AND('A-7'!J104="-",'A-7'!J157="-",'A-7'!J210="-"),"-",SUM('A-7'!J104,'A-7'!J157,'A-7'!J210))</f>
        <v>41</v>
      </c>
      <c r="K44" s="24" t="str">
        <f>IF(AND('A-7'!K104="-",'A-7'!K157="-",'A-7'!K210="-"),"-",SUM('A-7'!K104,'A-7'!K157,'A-7'!K210))</f>
        <v>-</v>
      </c>
      <c r="L44" s="17">
        <f>IF(AND('A-7'!L104="-",'A-7'!L157="-",'A-7'!L210="-"),"-",SUM('A-7'!L104,'A-7'!L157,'A-7'!L210))</f>
        <v>1601</v>
      </c>
      <c r="M44" s="17"/>
      <c r="N44" s="17"/>
    </row>
    <row r="45" spans="1:14" ht="11.25" customHeight="1">
      <c r="A45" s="99">
        <v>2018</v>
      </c>
      <c r="B45" s="24" t="str">
        <f>IF(AND('A-7'!B105="-",'A-7'!B158="-",'A-7'!B211="-"),"-",SUM('A-7'!B105,'A-7'!B158,'A-7'!B211))</f>
        <v>-</v>
      </c>
      <c r="C45" s="24" t="str">
        <f>IF(AND('A-7'!C105="-",'A-7'!C158="-",'A-7'!C211="-"),"-",SUM('A-7'!C105,'A-7'!C158,'A-7'!C211))</f>
        <v>-</v>
      </c>
      <c r="D45" s="24">
        <f>IF(AND('A-7'!D105="-",'A-7'!D158="-",'A-7'!D211="-"),"-",SUM('A-7'!D105,'A-7'!D158,'A-7'!D211))</f>
        <v>348</v>
      </c>
      <c r="E45" s="24">
        <f>IF(AND('A-7'!E105="-",'A-7'!E158="-",'A-7'!E211="-"),"-",SUM('A-7'!E105,'A-7'!E158,'A-7'!E211))</f>
        <v>433</v>
      </c>
      <c r="F45" s="24">
        <f>IF(AND('A-7'!F105="-",'A-7'!F158="-",'A-7'!F211="-"),"-",SUM('A-7'!F105,'A-7'!F158,'A-7'!F211))</f>
        <v>287</v>
      </c>
      <c r="G45" s="24">
        <f>IF(AND('A-7'!G105="-",'A-7'!G158="-",'A-7'!G211="-"),"-",SUM('A-7'!G105,'A-7'!G158,'A-7'!G211))</f>
        <v>667</v>
      </c>
      <c r="H45" s="24">
        <f>IF(AND('A-7'!H105="-",'A-7'!H158="-",'A-7'!H211="-"),"-",SUM('A-7'!H105,'A-7'!H158,'A-7'!H211))</f>
        <v>80</v>
      </c>
      <c r="I45" s="24">
        <f>IF(AND('A-7'!I105="-",'A-7'!I158="-",'A-7'!I211="-"),"-",SUM('A-7'!I105,'A-7'!I158,'A-7'!I211))</f>
        <v>102</v>
      </c>
      <c r="J45" s="24">
        <f>IF(AND('A-7'!J105="-",'A-7'!J158="-",'A-7'!J211="-"),"-",SUM('A-7'!J105,'A-7'!J158,'A-7'!J211))</f>
        <v>83</v>
      </c>
      <c r="K45" s="24" t="str">
        <f>IF(AND('A-7'!K105="-",'A-7'!K158="-",'A-7'!K211="-"),"-",SUM('A-7'!K105,'A-7'!K158,'A-7'!K211))</f>
        <v>-</v>
      </c>
      <c r="L45" s="17">
        <f>IF(AND('A-7'!L105="-",'A-7'!L158="-",'A-7'!L211="-"),"-",SUM('A-7'!L105,'A-7'!L158,'A-7'!L211))</f>
        <v>2000</v>
      </c>
      <c r="M45" s="17"/>
      <c r="N45" s="17"/>
    </row>
    <row r="46" spans="1:14" ht="11.25" customHeight="1">
      <c r="A46" s="99">
        <v>2019</v>
      </c>
      <c r="B46" s="24" t="str">
        <f>IF(AND('A-7'!B106="-",'A-7'!B159="-",'A-7'!B212="-"),"-",SUM('A-7'!B106,'A-7'!B159,'A-7'!B212))</f>
        <v>-</v>
      </c>
      <c r="C46" s="24">
        <f>IF(AND('A-7'!C106="-",'A-7'!C159="-",'A-7'!C212="-"),"-",SUM('A-7'!C106,'A-7'!C159,'A-7'!C212))</f>
        <v>49</v>
      </c>
      <c r="D46" s="24">
        <f>IF(AND('A-7'!D106="-",'A-7'!D159="-",'A-7'!D212="-"),"-",SUM('A-7'!D106,'A-7'!D159,'A-7'!D212))</f>
        <v>134</v>
      </c>
      <c r="E46" s="24">
        <f>IF(AND('A-7'!E106="-",'A-7'!E159="-",'A-7'!E212="-"),"-",SUM('A-7'!E106,'A-7'!E159,'A-7'!E212))</f>
        <v>342</v>
      </c>
      <c r="F46" s="24">
        <f>IF(AND('A-7'!F106="-",'A-7'!F159="-",'A-7'!F212="-"),"-",SUM('A-7'!F106,'A-7'!F159,'A-7'!F212))</f>
        <v>912</v>
      </c>
      <c r="G46" s="24">
        <f>IF(AND('A-7'!G106="-",'A-7'!G159="-",'A-7'!G212="-"),"-",SUM('A-7'!G106,'A-7'!G159,'A-7'!G212))</f>
        <v>389</v>
      </c>
      <c r="H46" s="24">
        <f>IF(AND('A-7'!H106="-",'A-7'!H159="-",'A-7'!H212="-"),"-",SUM('A-7'!H106,'A-7'!H159,'A-7'!H212))</f>
        <v>104</v>
      </c>
      <c r="I46" s="24">
        <f>IF(AND('A-7'!I106="-",'A-7'!I159="-",'A-7'!I212="-"),"-",SUM('A-7'!I106,'A-7'!I159,'A-7'!I212))</f>
        <v>187</v>
      </c>
      <c r="J46" s="24" t="str">
        <f>IF(AND('A-7'!J106="-",'A-7'!J159="-",'A-7'!J212="-"),"-",SUM('A-7'!J106,'A-7'!J159,'A-7'!J212))</f>
        <v>-</v>
      </c>
      <c r="K46" s="24" t="str">
        <f>IF(AND('A-7'!K106="-",'A-7'!K159="-",'A-7'!K212="-"),"-",SUM('A-7'!K106,'A-7'!K159,'A-7'!K212))</f>
        <v>-</v>
      </c>
      <c r="L46" s="17">
        <f>IF(AND('A-7'!L106="-",'A-7'!L159="-",'A-7'!L212="-"),"-",SUM('A-7'!L106,'A-7'!L159,'A-7'!L212))</f>
        <v>2117</v>
      </c>
      <c r="M46" s="17"/>
      <c r="N46" s="17"/>
    </row>
    <row r="47" spans="1:14" ht="11.25" customHeight="1">
      <c r="A47" s="99">
        <v>2020</v>
      </c>
      <c r="B47" s="24" t="str">
        <f>IF(AND('A-7'!B107="-",'A-7'!B160="-",'A-7'!B213="-"),"-",SUM('A-7'!B107,'A-7'!B160,'A-7'!B213))</f>
        <v>-</v>
      </c>
      <c r="C47" s="24">
        <f>IF(AND('A-7'!C107="-",'A-7'!C160="-",'A-7'!C213="-"),"-",SUM('A-7'!C107,'A-7'!C160,'A-7'!C213))</f>
        <v>136</v>
      </c>
      <c r="D47" s="24">
        <f>IF(AND('A-7'!D107="-",'A-7'!D160="-",'A-7'!D213="-"),"-",SUM('A-7'!D107,'A-7'!D160,'A-7'!D213))</f>
        <v>92</v>
      </c>
      <c r="E47" s="24">
        <f>IF(AND('A-7'!E107="-",'A-7'!E160="-",'A-7'!E213="-"),"-",SUM('A-7'!E107,'A-7'!E160,'A-7'!E213))</f>
        <v>367</v>
      </c>
      <c r="F47" s="24">
        <f>IF(AND('A-7'!F107="-",'A-7'!F160="-",'A-7'!F213="-"),"-",SUM('A-7'!F107,'A-7'!F160,'A-7'!F213))</f>
        <v>549</v>
      </c>
      <c r="G47" s="24">
        <f>IF(AND('A-7'!G107="-",'A-7'!G160="-",'A-7'!G213="-"),"-",SUM('A-7'!G107,'A-7'!G160,'A-7'!G213))</f>
        <v>249</v>
      </c>
      <c r="H47" s="24">
        <f>IF(AND('A-7'!H107="-",'A-7'!H160="-",'A-7'!H213="-"),"-",SUM('A-7'!H107,'A-7'!H160,'A-7'!H213))</f>
        <v>175</v>
      </c>
      <c r="I47" s="24">
        <f>IF(AND('A-7'!I107="-",'A-7'!I160="-",'A-7'!I213="-"),"-",SUM('A-7'!I107,'A-7'!I160,'A-7'!I213))</f>
        <v>212</v>
      </c>
      <c r="J47" s="24" t="str">
        <f>IF(AND('A-7'!J107="-",'A-7'!J160="-",'A-7'!J213="-"),"-",SUM('A-7'!J107,'A-7'!J160,'A-7'!J213))</f>
        <v>-</v>
      </c>
      <c r="K47" s="24" t="str">
        <f>IF(AND('A-7'!K107="-",'A-7'!K160="-",'A-7'!K213="-"),"-",SUM('A-7'!K107,'A-7'!K160,'A-7'!K213))</f>
        <v>-</v>
      </c>
      <c r="L47" s="17">
        <f>IF(AND('A-7'!L107="-",'A-7'!L160="-",'A-7'!L213="-"),"-",SUM('A-7'!L107,'A-7'!L160,'A-7'!L213))</f>
        <v>1780</v>
      </c>
      <c r="M47" s="17"/>
      <c r="N47" s="17"/>
    </row>
    <row r="48" spans="1:14" ht="11.25" customHeight="1">
      <c r="A48" s="99" t="s">
        <v>317</v>
      </c>
      <c r="B48" s="24">
        <f>IF(AND('A-7'!B108="-",'A-7'!B161="-",'A-7'!B214="-"),"-",SUM('A-7'!B108,'A-7'!B161,'A-7'!B214))</f>
        <v>32</v>
      </c>
      <c r="C48" s="24">
        <f>IF(AND('A-7'!C108="-",'A-7'!C161="-",'A-7'!C214="-"),"-",SUM('A-7'!C108,'A-7'!C161,'A-7'!C214))</f>
        <v>405</v>
      </c>
      <c r="D48" s="24">
        <f>IF(AND('A-7'!D108="-",'A-7'!D161="-",'A-7'!D214="-"),"-",SUM('A-7'!D108,'A-7'!D161,'A-7'!D214))</f>
        <v>343</v>
      </c>
      <c r="E48" s="24">
        <f>IF(AND('A-7'!E108="-",'A-7'!E161="-",'A-7'!E214="-"),"-",SUM('A-7'!E108,'A-7'!E161,'A-7'!E214))</f>
        <v>170</v>
      </c>
      <c r="F48" s="24">
        <f>IF(AND('A-7'!F108="-",'A-7'!F161="-",'A-7'!F214="-"),"-",SUM('A-7'!F108,'A-7'!F161,'A-7'!F214))</f>
        <v>342</v>
      </c>
      <c r="G48" s="24">
        <f>IF(AND('A-7'!G108="-",'A-7'!G161="-",'A-7'!G214="-"),"-",SUM('A-7'!G108,'A-7'!G161,'A-7'!G214))</f>
        <v>268</v>
      </c>
      <c r="H48" s="24">
        <f>IF(AND('A-7'!H108="-",'A-7'!H161="-",'A-7'!H214="-"),"-",SUM('A-7'!H108,'A-7'!H161,'A-7'!H214))</f>
        <v>70</v>
      </c>
      <c r="I48" s="24">
        <f>IF(AND('A-7'!I108="-",'A-7'!I161="-",'A-7'!I214="-"),"-",SUM('A-7'!I108,'A-7'!I161,'A-7'!I214))</f>
        <v>181</v>
      </c>
      <c r="J48" s="24" t="str">
        <f>IF(AND('A-7'!J108="-",'A-7'!J161="-",'A-7'!J214="-"),"-",SUM('A-7'!J108,'A-7'!J161,'A-7'!J214))</f>
        <v>-</v>
      </c>
      <c r="K48" s="24" t="str">
        <f>IF(AND('A-7'!K108="-",'A-7'!K161="-",'A-7'!K214="-"),"-",SUM('A-7'!K108,'A-7'!K161,'A-7'!K214))</f>
        <v>-</v>
      </c>
      <c r="L48" s="17">
        <f>IF(AND('A-7'!L108="-",'A-7'!L161="-",'A-7'!L214="-"),"-",SUM('A-7'!L108,'A-7'!L161,'A-7'!L214))</f>
        <v>1811</v>
      </c>
      <c r="M48" s="17"/>
      <c r="N48" s="17"/>
    </row>
    <row r="49" spans="1:14" ht="11.25" customHeight="1">
      <c r="A49" s="99"/>
      <c r="B49" s="24"/>
      <c r="C49" s="24"/>
      <c r="D49" s="24"/>
      <c r="E49" s="24"/>
      <c r="F49" s="24"/>
      <c r="G49" s="24"/>
      <c r="H49" s="24"/>
      <c r="I49" s="24"/>
      <c r="J49" s="24"/>
      <c r="K49" s="24"/>
      <c r="L49" s="142"/>
      <c r="M49" s="17"/>
      <c r="N49" s="17"/>
    </row>
    <row r="50" spans="1:14" ht="11.25" customHeight="1">
      <c r="A50" s="123" t="s">
        <v>344</v>
      </c>
      <c r="B50" s="24"/>
      <c r="C50" s="24"/>
      <c r="D50" s="24"/>
      <c r="E50" s="24"/>
      <c r="F50" s="24"/>
      <c r="G50" s="24"/>
      <c r="H50" s="24"/>
      <c r="I50" s="24"/>
      <c r="J50" s="24"/>
      <c r="K50" s="24"/>
      <c r="L50" s="142"/>
      <c r="M50" s="17"/>
      <c r="N50" s="17"/>
    </row>
    <row r="51" spans="1:14" ht="11.25" customHeight="1">
      <c r="A51" s="99">
        <v>1978</v>
      </c>
      <c r="B51" s="24" t="str">
        <f>'A-7'!B224</f>
        <v>-</v>
      </c>
      <c r="C51" s="24">
        <f>IF(AND('A-7'!C224="-",'A-2'!B4="-",'A-2'!B50="-"),"-",SUM('A-7'!C224,'A-2'!B4,'A-2'!B50))</f>
        <v>639</v>
      </c>
      <c r="D51" s="24">
        <f>IF(AND('A-7'!D224="-",'A-2'!C4="-",'A-2'!C50="-"),"-",SUM('A-7'!D224,'A-2'!C4,'A-2'!C50))</f>
        <v>7964</v>
      </c>
      <c r="E51" s="24">
        <f>IF(AND('A-7'!E224="-",'A-2'!D4="-",'A-2'!D50="-"),"-",SUM('A-7'!E224,'A-2'!D4,'A-2'!D50))</f>
        <v>17917</v>
      </c>
      <c r="F51" s="24">
        <f>IF(AND('A-7'!F224="-",'A-2'!E4="-",'A-2'!E50="-"),"-",SUM('A-7'!F224,'A-2'!E4,'A-2'!E50))</f>
        <v>9074</v>
      </c>
      <c r="G51" s="24">
        <f>IF(AND('A-7'!G224="-",'A-2'!F4="-",'A-2'!F50="-"),"-",SUM('A-7'!G224,'A-2'!F4,'A-2'!F50))</f>
        <v>4193</v>
      </c>
      <c r="H51" s="24">
        <f>IF(AND('A-7'!H224="-",'A-2'!G4="-",'A-2'!G50="-"),"-",SUM('A-7'!H224,'A-2'!G4,'A-2'!G50))</f>
        <v>1781</v>
      </c>
      <c r="I51" s="24">
        <f>IF(AND('A-7'!I224="-",'A-2'!H4="-",'A-2'!H50="-"),"-",SUM('A-7'!I224,'A-2'!H4,'A-2'!H50))</f>
        <v>1256</v>
      </c>
      <c r="J51" s="24">
        <f>'A-7'!J224</f>
        <v>992</v>
      </c>
      <c r="K51" s="24" t="str">
        <f>'A-7'!K224</f>
        <v>-</v>
      </c>
      <c r="L51" s="142">
        <f>IF(AND('A-7'!L224="-",'A-2'!I4="-",'A-2'!I50="-"),"-",SUM('A-7'!L224,'A-2'!I4,'A-2'!I50))</f>
        <v>43816</v>
      </c>
      <c r="M51" s="17"/>
      <c r="N51" s="17"/>
    </row>
    <row r="52" spans="1:14" ht="11.25" customHeight="1">
      <c r="A52" s="99">
        <v>1979</v>
      </c>
      <c r="B52" s="24" t="str">
        <f>'A-7'!B225</f>
        <v>-</v>
      </c>
      <c r="C52" s="24">
        <f>IF(AND('A-7'!C225="-",'A-2'!B5="-",'A-2'!B51="-"),"-",SUM('A-7'!C225,'A-2'!B5,'A-2'!B51))</f>
        <v>0</v>
      </c>
      <c r="D52" s="24">
        <f>IF(AND('A-7'!D225="-",'A-2'!C5="-",'A-2'!C51="-"),"-",SUM('A-7'!D225,'A-2'!C5,'A-2'!C51))</f>
        <v>6537</v>
      </c>
      <c r="E52" s="24">
        <f>IF(AND('A-7'!E225="-",'A-2'!D5="-",'A-2'!D51="-"),"-",SUM('A-7'!E225,'A-2'!D5,'A-2'!D51))</f>
        <v>8501</v>
      </c>
      <c r="F52" s="24">
        <f>IF(AND('A-7'!F225="-",'A-2'!E5="-",'A-2'!E51="-"),"-",SUM('A-7'!F225,'A-2'!E5,'A-2'!E51))</f>
        <v>21391</v>
      </c>
      <c r="G52" s="24">
        <f>IF(AND('A-7'!G225="-",'A-2'!F5="-",'A-2'!F51="-"),"-",SUM('A-7'!G225,'A-2'!F5,'A-2'!F51))</f>
        <v>17089</v>
      </c>
      <c r="H52" s="24">
        <f>IF(AND('A-7'!H225="-",'A-2'!G5="-",'A-2'!G51="-"),"-",SUM('A-7'!H225,'A-2'!G5,'A-2'!G51))</f>
        <v>2814</v>
      </c>
      <c r="I52" s="24">
        <f>IF(AND('A-7'!I225="-",'A-2'!H5="-",'A-2'!H51="-"),"-",SUM('A-7'!I225,'A-2'!H5,'A-2'!H51))</f>
        <v>764</v>
      </c>
      <c r="J52" s="24">
        <f>'A-7'!J225</f>
        <v>202</v>
      </c>
      <c r="K52" s="24" t="str">
        <f>'A-7'!K225</f>
        <v>-</v>
      </c>
      <c r="L52" s="142">
        <f>IF(AND('A-7'!L225="-",'A-2'!I5="-",'A-2'!I51="-"),"-",SUM('A-7'!L225,'A-2'!I5,'A-2'!I51))</f>
        <v>57298</v>
      </c>
      <c r="M52" s="17"/>
      <c r="N52" s="17"/>
    </row>
    <row r="53" spans="1:14" ht="11.25" customHeight="1">
      <c r="A53" s="99">
        <v>1980</v>
      </c>
      <c r="B53" s="24" t="str">
        <f>'A-7'!B226</f>
        <v>-</v>
      </c>
      <c r="C53" s="24" t="str">
        <f>IF(AND('A-7'!C226="-",'A-2'!B6="-",'A-2'!B52="-"),"-",SUM('A-7'!C226,'A-2'!B6,'A-2'!B52))</f>
        <v>-</v>
      </c>
      <c r="D53" s="24">
        <f>IF(AND('A-7'!D226="-",'A-2'!C6="-",'A-2'!C52="-"),"-",SUM('A-7'!D226,'A-2'!C6,'A-2'!C52))</f>
        <v>9358</v>
      </c>
      <c r="E53" s="24">
        <f>IF(AND('A-7'!E226="-",'A-2'!D6="-",'A-2'!D52="-"),"-",SUM('A-7'!E226,'A-2'!D6,'A-2'!D52))</f>
        <v>276</v>
      </c>
      <c r="F53" s="24">
        <f>IF(AND('A-7'!F226="-",'A-2'!E6="-",'A-2'!E52="-"),"-",SUM('A-7'!F226,'A-2'!E6,'A-2'!E52))</f>
        <v>5561</v>
      </c>
      <c r="G53" s="24">
        <f>IF(AND('A-7'!G226="-",'A-2'!F6="-",'A-2'!F52="-"),"-",SUM('A-7'!G226,'A-2'!F6,'A-2'!F52))</f>
        <v>6820</v>
      </c>
      <c r="H53" s="24">
        <f>IF(AND('A-7'!H226="-",'A-2'!G6="-",'A-2'!G52="-"),"-",SUM('A-7'!H226,'A-2'!G6,'A-2'!G52))</f>
        <v>5715</v>
      </c>
      <c r="I53" s="24">
        <f>IF(AND('A-7'!I226="-",'A-2'!H6="-",'A-2'!H52="-"),"-",SUM('A-7'!I226,'A-2'!H6,'A-2'!H52))</f>
        <v>845</v>
      </c>
      <c r="J53" s="24">
        <f>'A-7'!J226</f>
        <v>510</v>
      </c>
      <c r="K53" s="24" t="str">
        <f>'A-7'!K226</f>
        <v>-</v>
      </c>
      <c r="L53" s="142">
        <f>IF(AND('A-7'!L226="-",'A-2'!I6="-",'A-2'!I52="-"),"-",SUM('A-7'!L226,'A-2'!I6,'A-2'!I52))</f>
        <v>29085</v>
      </c>
      <c r="M53" s="17"/>
      <c r="N53" s="17"/>
    </row>
    <row r="54" spans="1:14" ht="11.25" customHeight="1">
      <c r="A54" s="99">
        <v>1981</v>
      </c>
      <c r="B54" s="24" t="str">
        <f>'A-7'!B227</f>
        <v>-</v>
      </c>
      <c r="C54" s="24" t="str">
        <f>IF(AND('A-7'!C227="-",'A-2'!B7="-",'A-2'!B53="-"),"-",SUM('A-7'!C227,'A-2'!B7,'A-2'!B53))</f>
        <v>-</v>
      </c>
      <c r="D54" s="24">
        <f>IF(AND('A-7'!D227="-",'A-2'!C7="-",'A-2'!C53="-"),"-",SUM('A-7'!D227,'A-2'!C7,'A-2'!C53))</f>
        <v>7529</v>
      </c>
      <c r="E54" s="24">
        <f>IF(AND('A-7'!E227="-",'A-2'!D7="-",'A-2'!D53="-"),"-",SUM('A-7'!E227,'A-2'!D7,'A-2'!D53))</f>
        <v>1402</v>
      </c>
      <c r="F54" s="24">
        <f>IF(AND('A-7'!F227="-",'A-2'!E7="-",'A-2'!E53="-"),"-",SUM('A-7'!F227,'A-2'!E7,'A-2'!E53))</f>
        <v>6791</v>
      </c>
      <c r="G54" s="24">
        <f>IF(AND('A-7'!G227="-",'A-2'!F7="-",'A-2'!F53="-"),"-",SUM('A-7'!G227,'A-2'!F7,'A-2'!F53))</f>
        <v>9667</v>
      </c>
      <c r="H54" s="24">
        <f>IF(AND('A-7'!H227="-",'A-2'!G7="-",'A-2'!G53="-"),"-",SUM('A-7'!H227,'A-2'!G7,'A-2'!G53))</f>
        <v>3197</v>
      </c>
      <c r="I54" s="24">
        <f>IF(AND('A-7'!I227="-",'A-2'!H7="-",'A-2'!H53="-"),"-",SUM('A-7'!I227,'A-2'!H7,'A-2'!H53))</f>
        <v>1553</v>
      </c>
      <c r="J54" s="24">
        <f>'A-7'!J227</f>
        <v>453</v>
      </c>
      <c r="K54" s="24" t="str">
        <f>'A-7'!K227</f>
        <v>-</v>
      </c>
      <c r="L54" s="142">
        <f>IF(AND('A-7'!L227="-",'A-2'!I7="-",'A-2'!I53="-"),"-",SUM('A-7'!L227,'A-2'!I7,'A-2'!I53))</f>
        <v>30592</v>
      </c>
      <c r="M54" s="17"/>
      <c r="N54" s="17"/>
    </row>
    <row r="55" spans="1:14" ht="11.25" customHeight="1">
      <c r="A55" s="99">
        <v>1982</v>
      </c>
      <c r="B55" s="24" t="str">
        <f>'A-7'!B228</f>
        <v>-</v>
      </c>
      <c r="C55" s="24" t="str">
        <f>IF(AND('A-7'!C228="-",'A-2'!B8="-",'A-2'!B54="-"),"-",SUM('A-7'!C228,'A-2'!B8,'A-2'!B54))</f>
        <v>-</v>
      </c>
      <c r="D55" s="24">
        <f>IF(AND('A-7'!D228="-",'A-2'!C8="-",'A-2'!C54="-"),"-",SUM('A-7'!D228,'A-2'!C8,'A-2'!C54))</f>
        <v>4442</v>
      </c>
      <c r="E55" s="24">
        <f>IF(AND('A-7'!E228="-",'A-2'!D8="-",'A-2'!D54="-"),"-",SUM('A-7'!E228,'A-2'!D8,'A-2'!D54))</f>
        <v>2061</v>
      </c>
      <c r="F55" s="24">
        <f>IF(AND('A-7'!F228="-",'A-2'!E8="-",'A-2'!E54="-"),"-",SUM('A-7'!F228,'A-2'!E8,'A-2'!E54))</f>
        <v>10881</v>
      </c>
      <c r="G55" s="24">
        <f>IF(AND('A-7'!G228="-",'A-2'!F8="-",'A-2'!F54="-"),"-",SUM('A-7'!G228,'A-2'!F8,'A-2'!F54))</f>
        <v>10375</v>
      </c>
      <c r="H55" s="24">
        <f>IF(AND('A-7'!H228="-",'A-2'!G8="-",'A-2'!G54="-"),"-",SUM('A-7'!H228,'A-2'!G8,'A-2'!G54))</f>
        <v>2988</v>
      </c>
      <c r="I55" s="24">
        <f>IF(AND('A-7'!I228="-",'A-2'!H8="-",'A-2'!H54="-"),"-",SUM('A-7'!I228,'A-2'!H8,'A-2'!H54))</f>
        <v>1125</v>
      </c>
      <c r="J55" s="24">
        <f>'A-7'!J228</f>
        <v>582</v>
      </c>
      <c r="K55" s="24" t="str">
        <f>'A-7'!K228</f>
        <v>-</v>
      </c>
      <c r="L55" s="142">
        <f>IF(AND('A-7'!L228="-",'A-2'!I8="-",'A-2'!I54="-"),"-",SUM('A-7'!L228,'A-2'!I8,'A-2'!I54))</f>
        <v>32454</v>
      </c>
      <c r="M55" s="17"/>
      <c r="N55" s="17"/>
    </row>
    <row r="56" spans="1:14" ht="11.25" customHeight="1">
      <c r="A56" s="99">
        <v>1983</v>
      </c>
      <c r="B56" s="24" t="str">
        <f>'A-7'!B229</f>
        <v>-</v>
      </c>
      <c r="C56" s="24" t="str">
        <f>IF(AND('A-7'!C229="-",'A-2'!B9="-",'A-2'!B55="-"),"-",SUM('A-7'!C229,'A-2'!B9,'A-2'!B55))</f>
        <v>-</v>
      </c>
      <c r="D56" s="24">
        <f>IF(AND('A-7'!D229="-",'A-2'!C9="-",'A-2'!C55="-"),"-",SUM('A-7'!D229,'A-2'!C9,'A-2'!C55))</f>
        <v>1526</v>
      </c>
      <c r="E56" s="24">
        <f>IF(AND('A-7'!E229="-",'A-2'!D9="-",'A-2'!D55="-"),"-",SUM('A-7'!E229,'A-2'!D9,'A-2'!D55))</f>
        <v>5470</v>
      </c>
      <c r="F56" s="24">
        <f>IF(AND('A-7'!F229="-",'A-2'!E9="-",'A-2'!E55="-"),"-",SUM('A-7'!F229,'A-2'!E9,'A-2'!E55))</f>
        <v>5317</v>
      </c>
      <c r="G56" s="24">
        <f>IF(AND('A-7'!G229="-",'A-2'!F9="-",'A-2'!F55="-"),"-",SUM('A-7'!G229,'A-2'!F9,'A-2'!F55))</f>
        <v>2382</v>
      </c>
      <c r="H56" s="24">
        <f>IF(AND('A-7'!H229="-",'A-2'!G9="-",'A-2'!G55="-"),"-",SUM('A-7'!H229,'A-2'!G9,'A-2'!G55))</f>
        <v>81</v>
      </c>
      <c r="I56" s="24">
        <f>IF(AND('A-7'!I229="-",'A-2'!H9="-",'A-2'!H55="-"),"-",SUM('A-7'!I229,'A-2'!H9,'A-2'!H55))</f>
        <v>631</v>
      </c>
      <c r="J56" s="24">
        <f>'A-7'!J229</f>
        <v>116</v>
      </c>
      <c r="K56" s="24" t="str">
        <f>'A-7'!K229</f>
        <v>-</v>
      </c>
      <c r="L56" s="142">
        <f>IF(AND('A-7'!L229="-",'A-2'!I9="-",'A-2'!I55="-"),"-",SUM('A-7'!L229,'A-2'!I9,'A-2'!I55))</f>
        <v>15523</v>
      </c>
      <c r="M56" s="17"/>
      <c r="N56" s="17"/>
    </row>
    <row r="57" spans="1:14" ht="11.25" customHeight="1">
      <c r="A57" s="99">
        <v>1984</v>
      </c>
      <c r="B57" s="24" t="str">
        <f>'A-7'!B230</f>
        <v>-</v>
      </c>
      <c r="C57" s="24" t="str">
        <f>IF(AND('A-7'!C230="-",'A-2'!B10="-",'A-2'!B56="-"),"-",SUM('A-7'!C230,'A-2'!B10,'A-2'!B56))</f>
        <v>-</v>
      </c>
      <c r="D57" s="24">
        <f>IF(AND('A-7'!D230="-",'A-2'!C10="-",'A-2'!C56="-"),"-",SUM('A-7'!D230,'A-2'!C10,'A-2'!C56))</f>
        <v>1372</v>
      </c>
      <c r="E57" s="24">
        <f>IF(AND('A-7'!E230="-",'A-2'!D10="-",'A-2'!D56="-"),"-",SUM('A-7'!E230,'A-2'!D10,'A-2'!D56))</f>
        <v>139</v>
      </c>
      <c r="F57" s="24">
        <f>IF(AND('A-7'!F230="-",'A-2'!E10="-",'A-2'!E56="-"),"-",SUM('A-7'!F230,'A-2'!E10,'A-2'!E56))</f>
        <v>1970</v>
      </c>
      <c r="G57" s="24">
        <f>IF(AND('A-7'!G230="-",'A-2'!F10="-",'A-2'!F56="-"),"-",SUM('A-7'!G230,'A-2'!F10,'A-2'!F56))</f>
        <v>3652</v>
      </c>
      <c r="H57" s="24">
        <f>IF(AND('A-7'!H230="-",'A-2'!G10="-",'A-2'!G56="-"),"-",SUM('A-7'!H230,'A-2'!G10,'A-2'!G56))</f>
        <v>3</v>
      </c>
      <c r="I57" s="24">
        <f>IF(AND('A-7'!I230="-",'A-2'!H10="-",'A-2'!H56="-"),"-",SUM('A-7'!I230,'A-2'!H10,'A-2'!H56))</f>
        <v>234</v>
      </c>
      <c r="J57" s="24">
        <f>'A-7'!J230</f>
        <v>209</v>
      </c>
      <c r="K57" s="24" t="str">
        <f>'A-7'!K230</f>
        <v>-</v>
      </c>
      <c r="L57" s="142">
        <f>IF(AND('A-7'!L230="-",'A-2'!I10="-",'A-2'!I56="-"),"-",SUM('A-7'!L230,'A-2'!I10,'A-2'!I56))</f>
        <v>7579</v>
      </c>
      <c r="M57" s="17"/>
      <c r="N57" s="17"/>
    </row>
    <row r="58" spans="1:14" ht="11.25" customHeight="1">
      <c r="A58" s="99">
        <v>1985</v>
      </c>
      <c r="B58" s="24" t="str">
        <f>'A-7'!B231</f>
        <v>-</v>
      </c>
      <c r="C58" s="24" t="str">
        <f>IF(AND('A-7'!C231="-",'A-2'!B11="-",'A-2'!B57="-"),"-",SUM('A-7'!C231,'A-2'!B11,'A-2'!B57))</f>
        <v>-</v>
      </c>
      <c r="D58" s="24">
        <f>IF(AND('A-7'!D231="-",'A-2'!C11="-",'A-2'!C57="-"),"-",SUM('A-7'!D231,'A-2'!C11,'A-2'!C57))</f>
        <v>25</v>
      </c>
      <c r="E58" s="24">
        <f>IF(AND('A-7'!E231="-",'A-2'!D11="-",'A-2'!D57="-"),"-",SUM('A-7'!E231,'A-2'!D11,'A-2'!D57))</f>
        <v>14</v>
      </c>
      <c r="F58" s="24">
        <f>IF(AND('A-7'!F231="-",'A-2'!E11="-",'A-2'!E57="-"),"-",SUM('A-7'!F231,'A-2'!E11,'A-2'!E57))</f>
        <v>93</v>
      </c>
      <c r="G58" s="24">
        <f>IF(AND('A-7'!G231="-",'A-2'!F11="-",'A-2'!F57="-"),"-",SUM('A-7'!G231,'A-2'!F11,'A-2'!F57))</f>
        <v>225</v>
      </c>
      <c r="H58" s="24">
        <f>IF(AND('A-7'!H231="-",'A-2'!G11="-",'A-2'!G57="-"),"-",SUM('A-7'!H231,'A-2'!G11,'A-2'!G57))</f>
        <v>97</v>
      </c>
      <c r="I58" s="24">
        <f>IF(AND('A-7'!I231="-",'A-2'!H11="-",'A-2'!H57="-"),"-",SUM('A-7'!I231,'A-2'!H11,'A-2'!H57))</f>
        <v>117</v>
      </c>
      <c r="J58" s="24">
        <f>'A-7'!J231</f>
        <v>322</v>
      </c>
      <c r="K58" s="24" t="str">
        <f>'A-7'!K231</f>
        <v>-</v>
      </c>
      <c r="L58" s="142">
        <f>IF(AND('A-7'!L231="-",'A-2'!I11="-",'A-2'!I57="-"),"-",SUM('A-7'!L231,'A-2'!I11,'A-2'!I57))</f>
        <v>893</v>
      </c>
      <c r="M58" s="17"/>
      <c r="N58" s="17"/>
    </row>
    <row r="59" spans="1:14" ht="11.25" customHeight="1">
      <c r="A59" s="99">
        <v>1986</v>
      </c>
      <c r="B59" s="24" t="str">
        <f>'A-7'!B232</f>
        <v>-</v>
      </c>
      <c r="C59" s="24" t="str">
        <f>IF(AND('A-7'!C232="-",'A-2'!B12="-",'A-2'!B58="-"),"-",SUM('A-7'!C232,'A-2'!B12,'A-2'!B58))</f>
        <v>-</v>
      </c>
      <c r="D59" s="24">
        <f>IF(AND('A-7'!D232="-",'A-2'!C12="-",'A-2'!C58="-"),"-",SUM('A-7'!D232,'A-2'!C12,'A-2'!C58))</f>
        <v>546</v>
      </c>
      <c r="E59" s="24">
        <f>IF(AND('A-7'!E232="-",'A-2'!D12="-",'A-2'!D58="-"),"-",SUM('A-7'!E232,'A-2'!D12,'A-2'!D58))</f>
        <v>1594.896978729359</v>
      </c>
      <c r="F59" s="24">
        <f>IF(AND('A-7'!F232="-",'A-2'!E12="-",'A-2'!E58="-"),"-",SUM('A-7'!F232,'A-2'!E12,'A-2'!E58))</f>
        <v>1490.4998867212082</v>
      </c>
      <c r="G59" s="24">
        <f>IF(AND('A-7'!G232="-",'A-2'!F12="-",'A-2'!F58="-"),"-",SUM('A-7'!G232,'A-2'!F12,'A-2'!F58))</f>
        <v>2585.7843486261554</v>
      </c>
      <c r="H59" s="24">
        <f>IF(AND('A-7'!H232="-",'A-2'!G12="-",'A-2'!G58="-"),"-",SUM('A-7'!H232,'A-2'!G12,'A-2'!G58))</f>
        <v>347</v>
      </c>
      <c r="I59" s="24">
        <f>IF(AND('A-7'!I232="-",'A-2'!H12="-",'A-2'!H58="-"),"-",SUM('A-7'!I232,'A-2'!H12,'A-2'!H58))</f>
        <v>175</v>
      </c>
      <c r="J59" s="24">
        <f>'A-7'!J232</f>
        <v>114</v>
      </c>
      <c r="K59" s="24" t="str">
        <f>'A-7'!K232</f>
        <v>-</v>
      </c>
      <c r="L59" s="142">
        <f>IF(AND('A-7'!L232="-",'A-2'!I12="-",'A-2'!I58="-"),"-",SUM('A-7'!L232,'A-2'!I12,'A-2'!I58))</f>
        <v>6853.1812140767224</v>
      </c>
      <c r="M59" s="17"/>
      <c r="N59" s="17"/>
    </row>
    <row r="60" spans="1:14" ht="11.25" customHeight="1">
      <c r="A60" s="99">
        <v>1987</v>
      </c>
      <c r="B60" s="24" t="str">
        <f>'A-7'!B233</f>
        <v>-</v>
      </c>
      <c r="C60" s="24" t="str">
        <f>IF(AND('A-7'!C233="-",'A-2'!B13="-",'A-2'!B59="-"),"-",SUM('A-7'!C233,'A-2'!B13,'A-2'!B59))</f>
        <v>-</v>
      </c>
      <c r="D60" s="24">
        <f>IF(AND('A-7'!D233="-",'A-2'!C13="-",'A-2'!C59="-"),"-",SUM('A-7'!D233,'A-2'!C13,'A-2'!C59))</f>
        <v>495</v>
      </c>
      <c r="E60" s="24">
        <f>IF(AND('A-7'!E233="-",'A-2'!D13="-",'A-2'!D59="-"),"-",SUM('A-7'!E233,'A-2'!D13,'A-2'!D59))</f>
        <v>3122.1861560690131</v>
      </c>
      <c r="F60" s="24">
        <f>IF(AND('A-7'!F233="-",'A-2'!E13="-",'A-2'!E59="-"),"-",SUM('A-7'!F233,'A-2'!E13,'A-2'!E59))</f>
        <v>22</v>
      </c>
      <c r="G60" s="24" t="str">
        <f>IF(AND('A-7'!G233="-",'A-2'!F13="-",'A-2'!F59="-"),"-",SUM('A-7'!G233,'A-2'!F13,'A-2'!F59))</f>
        <v>-</v>
      </c>
      <c r="H60" s="24">
        <f>IF(AND('A-7'!H233="-",'A-2'!G13="-",'A-2'!G59="-"),"-",SUM('A-7'!H233,'A-2'!G13,'A-2'!G59))</f>
        <v>512.62835249042143</v>
      </c>
      <c r="I60" s="24">
        <f>IF(AND('A-7'!I233="-",'A-2'!H13="-",'A-2'!H59="-"),"-",SUM('A-7'!I233,'A-2'!H13,'A-2'!H59))</f>
        <v>304</v>
      </c>
      <c r="J60" s="24">
        <f>'A-7'!J233</f>
        <v>311</v>
      </c>
      <c r="K60" s="24" t="str">
        <f>'A-7'!K233</f>
        <v>-</v>
      </c>
      <c r="L60" s="142">
        <f>IF(AND('A-7'!L233="-",'A-2'!I13="-",'A-2'!I59="-"),"-",SUM('A-7'!L233,'A-2'!I13,'A-2'!I59))</f>
        <v>4766.8145085594351</v>
      </c>
      <c r="M60" s="17"/>
      <c r="N60" s="17"/>
    </row>
    <row r="61" spans="1:14" ht="11.25" customHeight="1">
      <c r="A61" s="99">
        <v>1988</v>
      </c>
      <c r="B61" s="24" t="str">
        <f>'A-7'!B234</f>
        <v>-</v>
      </c>
      <c r="C61" s="24" t="str">
        <f>IF(AND('A-7'!C234="-",'A-2'!B14="-",'A-2'!B60="-"),"-",SUM('A-7'!C234,'A-2'!B14,'A-2'!B60))</f>
        <v>-</v>
      </c>
      <c r="D61" s="24">
        <f>IF(AND('A-7'!D234="-",'A-2'!C14="-",'A-2'!C60="-"),"-",SUM('A-7'!D234,'A-2'!C14,'A-2'!C60))</f>
        <v>311</v>
      </c>
      <c r="E61" s="24">
        <f>IF(AND('A-7'!E234="-",'A-2'!D14="-",'A-2'!D60="-"),"-",SUM('A-7'!E234,'A-2'!D14,'A-2'!D60))</f>
        <v>1652.3335891834445</v>
      </c>
      <c r="F61" s="24" t="str">
        <f>IF(AND('A-7'!F234="-",'A-2'!E14="-",'A-2'!E60="-"),"-",SUM('A-7'!F234,'A-2'!E14,'A-2'!E60))</f>
        <v>-</v>
      </c>
      <c r="G61" s="24" t="str">
        <f>IF(AND('A-7'!G234="-",'A-2'!F14="-",'A-2'!F60="-"),"-",SUM('A-7'!G234,'A-2'!F14,'A-2'!F60))</f>
        <v>-</v>
      </c>
      <c r="H61" s="24">
        <f>IF(AND('A-7'!H234="-",'A-2'!G14="-",'A-2'!G60="-"),"-",SUM('A-7'!H234,'A-2'!G14,'A-2'!G60))</f>
        <v>839.28634386778776</v>
      </c>
      <c r="I61" s="24">
        <f>IF(AND('A-7'!I234="-",'A-2'!H14="-",'A-2'!H60="-"),"-",SUM('A-7'!I234,'A-2'!H14,'A-2'!H60))</f>
        <v>193</v>
      </c>
      <c r="J61" s="24">
        <f>'A-7'!J234</f>
        <v>227</v>
      </c>
      <c r="K61" s="24" t="str">
        <f>'A-7'!K234</f>
        <v>-</v>
      </c>
      <c r="L61" s="142">
        <f>IF(AND('A-7'!L234="-",'A-2'!I14="-",'A-2'!I60="-"),"-",SUM('A-7'!L234,'A-2'!I14,'A-2'!I60))</f>
        <v>3222.6199330512322</v>
      </c>
      <c r="M61" s="17"/>
      <c r="N61" s="17"/>
    </row>
    <row r="62" spans="1:14" ht="11.25" customHeight="1">
      <c r="A62" s="99">
        <v>1989</v>
      </c>
      <c r="B62" s="24" t="str">
        <f>'A-7'!B235</f>
        <v>-</v>
      </c>
      <c r="C62" s="24" t="str">
        <f>IF(AND('A-7'!C235="-",'A-2'!B15="-",'A-2'!B61="-"),"-",SUM('A-7'!C235,'A-2'!B15,'A-2'!B61))</f>
        <v>-</v>
      </c>
      <c r="D62" s="24">
        <f>IF(AND('A-7'!D235="-",'A-2'!C15="-",'A-2'!C61="-"),"-",SUM('A-7'!D235,'A-2'!C15,'A-2'!C61))</f>
        <v>247</v>
      </c>
      <c r="E62" s="24">
        <f>IF(AND('A-7'!E235="-",'A-2'!D15="-",'A-2'!D61="-"),"-",SUM('A-7'!E235,'A-2'!D15,'A-2'!D61))</f>
        <v>1185.9136012567092</v>
      </c>
      <c r="F62" s="24" t="str">
        <f>IF(AND('A-7'!F235="-",'A-2'!E15="-",'A-2'!E61="-"),"-",SUM('A-7'!F235,'A-2'!E15,'A-2'!E61))</f>
        <v>-</v>
      </c>
      <c r="G62" s="24">
        <f>IF(AND('A-7'!G235="-",'A-2'!F15="-",'A-2'!F61="-"),"-",SUM('A-7'!G235,'A-2'!F15,'A-2'!F61))</f>
        <v>562.49017989767287</v>
      </c>
      <c r="H62" s="24">
        <f>IF(AND('A-7'!H235="-",'A-2'!G15="-",'A-2'!G61="-"),"-",SUM('A-7'!H235,'A-2'!G15,'A-2'!G61))</f>
        <v>746</v>
      </c>
      <c r="I62" s="24">
        <f>IF(AND('A-7'!I235="-",'A-2'!H15="-",'A-2'!H61="-"),"-",SUM('A-7'!I235,'A-2'!H15,'A-2'!H61))</f>
        <v>118</v>
      </c>
      <c r="J62" s="24" t="str">
        <f>'A-7'!J235</f>
        <v>-</v>
      </c>
      <c r="K62" s="24" t="str">
        <f>'A-7'!K235</f>
        <v>-</v>
      </c>
      <c r="L62" s="142">
        <f>IF(AND('A-7'!L235="-",'A-2'!I15="-",'A-2'!I61="-"),"-",SUM('A-7'!L235,'A-2'!I15,'A-2'!I61))</f>
        <v>2859.4037811543822</v>
      </c>
      <c r="M62" s="17"/>
      <c r="N62" s="17"/>
    </row>
    <row r="63" spans="1:14" ht="11.25" customHeight="1">
      <c r="A63" s="99">
        <v>1990</v>
      </c>
      <c r="B63" s="24" t="str">
        <f>'A-7'!B236</f>
        <v>-</v>
      </c>
      <c r="C63" s="24" t="str">
        <f>IF(AND('A-7'!C236="-",'A-2'!B16="-",'A-2'!B62="-"),"-",SUM('A-7'!C236,'A-2'!B16,'A-2'!B62))</f>
        <v>-</v>
      </c>
      <c r="D63" s="24">
        <f>IF(AND('A-7'!D236="-",'A-2'!C16="-",'A-2'!C62="-"),"-",SUM('A-7'!D236,'A-2'!C16,'A-2'!C62))</f>
        <v>33</v>
      </c>
      <c r="E63" s="24" t="str">
        <f>IF(AND('A-7'!E236="-",'A-2'!D16="-",'A-2'!D62="-"),"-",SUM('A-7'!E236,'A-2'!D16,'A-2'!D62))</f>
        <v>-</v>
      </c>
      <c r="F63" s="24" t="str">
        <f>IF(AND('A-7'!F236="-",'A-2'!E16="-",'A-2'!E62="-"),"-",SUM('A-7'!F236,'A-2'!E16,'A-2'!E62))</f>
        <v>-</v>
      </c>
      <c r="G63" s="24">
        <f>IF(AND('A-7'!G236="-",'A-2'!F16="-",'A-2'!F62="-"),"-",SUM('A-7'!G236,'A-2'!F16,'A-2'!F62))</f>
        <v>1071</v>
      </c>
      <c r="H63" s="24">
        <f>IF(AND('A-7'!H236="-",'A-2'!G16="-",'A-2'!G62="-"),"-",SUM('A-7'!H236,'A-2'!G16,'A-2'!G62))</f>
        <v>311</v>
      </c>
      <c r="I63" s="24">
        <f>IF(AND('A-7'!I236="-",'A-2'!H16="-",'A-2'!H62="-"),"-",SUM('A-7'!I236,'A-2'!H16,'A-2'!H62))</f>
        <v>10</v>
      </c>
      <c r="J63" s="24" t="str">
        <f>'A-7'!J236</f>
        <v>-</v>
      </c>
      <c r="K63" s="24" t="str">
        <f>'A-7'!K236</f>
        <v>-</v>
      </c>
      <c r="L63" s="142">
        <f>IF(AND('A-7'!L236="-",'A-2'!I16="-",'A-2'!I62="-"),"-",SUM('A-7'!L236,'A-2'!I16,'A-2'!I62))</f>
        <v>1425</v>
      </c>
      <c r="M63" s="17"/>
      <c r="N63" s="17"/>
    </row>
    <row r="64" spans="1:14" ht="11.25" customHeight="1">
      <c r="A64" s="99">
        <v>1991</v>
      </c>
      <c r="B64" s="24" t="str">
        <f>'A-7'!B237</f>
        <v>-</v>
      </c>
      <c r="C64" s="24" t="str">
        <f>IF(AND('A-7'!C237="-",'A-2'!B17="-",'A-2'!B63="-"),"-",SUM('A-7'!C237,'A-2'!B17,'A-2'!B63))</f>
        <v>-</v>
      </c>
      <c r="D64" s="24" t="str">
        <f>IF(AND('A-7'!D237="-",'A-2'!C17="-",'A-2'!C63="-"),"-",SUM('A-7'!D237,'A-2'!C17,'A-2'!C63))</f>
        <v>-</v>
      </c>
      <c r="E64" s="24" t="str">
        <f>IF(AND('A-7'!E237="-",'A-2'!D17="-",'A-2'!D63="-"),"-",SUM('A-7'!E237,'A-2'!D17,'A-2'!D63))</f>
        <v>-</v>
      </c>
      <c r="F64" s="24" t="str">
        <f>IF(AND('A-7'!F237="-",'A-2'!E17="-",'A-2'!E63="-"),"-",SUM('A-7'!F237,'A-2'!E17,'A-2'!E63))</f>
        <v>-</v>
      </c>
      <c r="G64" s="24" t="str">
        <f>IF(AND('A-7'!G237="-",'A-2'!F17="-",'A-2'!F63="-"),"-",SUM('A-7'!G237,'A-2'!F17,'A-2'!F63))</f>
        <v>-</v>
      </c>
      <c r="H64" s="24">
        <f>IF(AND('A-7'!H237="-",'A-2'!G17="-",'A-2'!G63="-"),"-",SUM('A-7'!H237,'A-2'!G17,'A-2'!G63))</f>
        <v>522</v>
      </c>
      <c r="I64" s="24">
        <f>IF(AND('A-7'!I237="-",'A-2'!H17="-",'A-2'!H63="-"),"-",SUM('A-7'!I237,'A-2'!H17,'A-2'!H63))</f>
        <v>100</v>
      </c>
      <c r="J64" s="24" t="str">
        <f>'A-7'!J237</f>
        <v>-</v>
      </c>
      <c r="K64" s="24" t="str">
        <f>'A-7'!K237</f>
        <v>-</v>
      </c>
      <c r="L64" s="142">
        <f>IF(AND('A-7'!L237="-",'A-2'!I17="-",'A-2'!I63="-"),"-",SUM('A-7'!L237,'A-2'!I17,'A-2'!I63))</f>
        <v>622</v>
      </c>
      <c r="M64" s="17"/>
      <c r="N64" s="17"/>
    </row>
    <row r="65" spans="1:14" ht="11.25" customHeight="1">
      <c r="A65" s="99">
        <v>1992</v>
      </c>
      <c r="B65" s="24" t="str">
        <f>'A-7'!B238</f>
        <v>-</v>
      </c>
      <c r="C65" s="24" t="str">
        <f>IF(AND('A-7'!C238="-",'A-2'!B18="-",'A-2'!B64="-"),"-",SUM('A-7'!C238,'A-2'!B18,'A-2'!B64))</f>
        <v>-</v>
      </c>
      <c r="D65" s="24" t="str">
        <f>IF(AND('A-7'!D238="-",'A-2'!C18="-",'A-2'!C64="-"),"-",SUM('A-7'!D238,'A-2'!C18,'A-2'!C64))</f>
        <v>-</v>
      </c>
      <c r="E65" s="24" t="str">
        <f>IF(AND('A-7'!E238="-",'A-2'!D18="-",'A-2'!D64="-"),"-",SUM('A-7'!E238,'A-2'!D18,'A-2'!D64))</f>
        <v>-</v>
      </c>
      <c r="F65" s="24" t="str">
        <f>IF(AND('A-7'!F238="-",'A-2'!E18="-",'A-2'!E64="-"),"-",SUM('A-7'!F238,'A-2'!E18,'A-2'!E64))</f>
        <v>-</v>
      </c>
      <c r="G65" s="24" t="str">
        <f>IF(AND('A-7'!G238="-",'A-2'!F18="-",'A-2'!F64="-"),"-",SUM('A-7'!G238,'A-2'!F18,'A-2'!F64))</f>
        <v>-</v>
      </c>
      <c r="H65" s="24" t="str">
        <f>IF(AND('A-7'!H238="-",'A-2'!G18="-",'A-2'!G64="-"),"-",SUM('A-7'!H238,'A-2'!G18,'A-2'!G64))</f>
        <v>-</v>
      </c>
      <c r="I65" s="24" t="str">
        <f>IF(AND('A-7'!I238="-",'A-2'!H18="-",'A-2'!H64="-"),"-",SUM('A-7'!I238,'A-2'!H18,'A-2'!H64))</f>
        <v>-</v>
      </c>
      <c r="J65" s="24" t="str">
        <f>'A-7'!J238</f>
        <v>-</v>
      </c>
      <c r="K65" s="24" t="str">
        <f>'A-7'!K238</f>
        <v>-</v>
      </c>
      <c r="L65" s="142" t="str">
        <f>IF(AND('A-7'!L238="-",'A-2'!I18="-",'A-2'!I64="-"),"-",SUM('A-7'!L238,'A-2'!I18,'A-2'!I64))</f>
        <v>-</v>
      </c>
      <c r="M65" s="17"/>
      <c r="N65" s="17"/>
    </row>
    <row r="66" spans="1:14" ht="11.25" customHeight="1">
      <c r="A66" s="99">
        <v>1993</v>
      </c>
      <c r="B66" s="24" t="str">
        <f>'A-7'!B239</f>
        <v>-</v>
      </c>
      <c r="C66" s="24" t="str">
        <f>IF(AND('A-7'!C239="-",'A-2'!B19="-",'A-2'!B65="-"),"-",SUM('A-7'!C239,'A-2'!B19,'A-2'!B65))</f>
        <v>-</v>
      </c>
      <c r="D66" s="24" t="str">
        <f>IF(AND('A-7'!D239="-",'A-2'!C19="-",'A-2'!C65="-"),"-",SUM('A-7'!D239,'A-2'!C19,'A-2'!C65))</f>
        <v>-</v>
      </c>
      <c r="E66" s="24" t="str">
        <f>IF(AND('A-7'!E239="-",'A-2'!D19="-",'A-2'!D65="-"),"-",SUM('A-7'!E239,'A-2'!D19,'A-2'!D65))</f>
        <v>-</v>
      </c>
      <c r="F66" s="24" t="str">
        <f>IF(AND('A-7'!F239="-",'A-2'!E19="-",'A-2'!E65="-"),"-",SUM('A-7'!F239,'A-2'!E19,'A-2'!E65))</f>
        <v>-</v>
      </c>
      <c r="G66" s="24" t="str">
        <f>IF(AND('A-7'!G239="-",'A-2'!F19="-",'A-2'!F65="-"),"-",SUM('A-7'!G239,'A-2'!F19,'A-2'!F65))</f>
        <v>-</v>
      </c>
      <c r="H66" s="24" t="str">
        <f>IF(AND('A-7'!H239="-",'A-2'!G19="-",'A-2'!G65="-"),"-",SUM('A-7'!H239,'A-2'!G19,'A-2'!G65))</f>
        <v>-</v>
      </c>
      <c r="I66" s="24" t="str">
        <f>IF(AND('A-7'!I239="-",'A-2'!H19="-",'A-2'!H65="-"),"-",SUM('A-7'!I239,'A-2'!H19,'A-2'!H65))</f>
        <v>-</v>
      </c>
      <c r="J66" s="24" t="str">
        <f>'A-7'!J239</f>
        <v>-</v>
      </c>
      <c r="K66" s="24" t="str">
        <f>'A-7'!K239</f>
        <v>-</v>
      </c>
      <c r="L66" s="142" t="str">
        <f>IF(AND('A-7'!L239="-",'A-2'!I19="-",'A-2'!I65="-"),"-",SUM('A-7'!L239,'A-2'!I19,'A-2'!I65))</f>
        <v>-</v>
      </c>
      <c r="M66" s="17"/>
      <c r="N66" s="17"/>
    </row>
    <row r="67" spans="1:14" ht="11.25" customHeight="1">
      <c r="A67" s="99">
        <v>1994</v>
      </c>
      <c r="B67" s="24" t="str">
        <f>'A-7'!B240</f>
        <v>-</v>
      </c>
      <c r="C67" s="24" t="str">
        <f>IF(AND('A-7'!C240="-",'A-2'!B20="-",'A-2'!B66="-"),"-",SUM('A-7'!C240,'A-2'!B20,'A-2'!B66))</f>
        <v>-</v>
      </c>
      <c r="D67" s="24">
        <f>IF(AND('A-7'!D240="-",'A-2'!C20="-",'A-2'!C66="-"),"-",SUM('A-7'!D240,'A-2'!C20,'A-2'!C66))</f>
        <v>44</v>
      </c>
      <c r="E67" s="24" t="str">
        <f>IF(AND('A-7'!E240="-",'A-2'!D20="-",'A-2'!D66="-"),"-",SUM('A-7'!E240,'A-2'!D20,'A-2'!D66))</f>
        <v>-</v>
      </c>
      <c r="F67" s="24" t="str">
        <f>IF(AND('A-7'!F240="-",'A-2'!E20="-",'A-2'!E66="-"),"-",SUM('A-7'!F240,'A-2'!E20,'A-2'!E66))</f>
        <v>-</v>
      </c>
      <c r="G67" s="24">
        <f>IF(AND('A-7'!G240="-",'A-2'!F20="-",'A-2'!F66="-"),"-",SUM('A-7'!G240,'A-2'!F20,'A-2'!F66))</f>
        <v>56</v>
      </c>
      <c r="H67" s="24" t="str">
        <f>IF(AND('A-7'!H240="-",'A-2'!G20="-",'A-2'!G66="-"),"-",SUM('A-7'!H240,'A-2'!G20,'A-2'!G66))</f>
        <v>-</v>
      </c>
      <c r="I67" s="24">
        <f>IF(AND('A-7'!I240="-",'A-2'!H20="-",'A-2'!H66="-"),"-",SUM('A-7'!I240,'A-2'!H20,'A-2'!H66))</f>
        <v>183</v>
      </c>
      <c r="J67" s="24" t="str">
        <f>'A-7'!J240</f>
        <v>-</v>
      </c>
      <c r="K67" s="24" t="str">
        <f>'A-7'!K240</f>
        <v>-</v>
      </c>
      <c r="L67" s="142">
        <f>IF(AND('A-7'!L240="-",'A-2'!I20="-",'A-2'!I66="-"),"-",SUM('A-7'!L240,'A-2'!I20,'A-2'!I66))</f>
        <v>283</v>
      </c>
      <c r="M67" s="17"/>
      <c r="N67" s="17"/>
    </row>
    <row r="68" spans="1:14" ht="11.25" customHeight="1">
      <c r="A68" s="99">
        <v>1995</v>
      </c>
      <c r="B68" s="24" t="str">
        <f>'A-7'!B241</f>
        <v>-</v>
      </c>
      <c r="C68" s="24" t="str">
        <f>IF(AND('A-7'!C241="-",'A-2'!B21="-",'A-2'!B67="-"),"-",SUM('A-7'!C241,'A-2'!B21,'A-2'!B67))</f>
        <v>-</v>
      </c>
      <c r="D68" s="24">
        <f>IF(AND('A-7'!D241="-",'A-2'!C21="-",'A-2'!C67="-"),"-",SUM('A-7'!D241,'A-2'!C21,'A-2'!C67))</f>
        <v>46</v>
      </c>
      <c r="E68" s="24" t="str">
        <f>IF(AND('A-7'!E241="-",'A-2'!D21="-",'A-2'!D67="-"),"-",SUM('A-7'!E241,'A-2'!D21,'A-2'!D67))</f>
        <v>-</v>
      </c>
      <c r="F68" s="24">
        <f>IF(AND('A-7'!F241="-",'A-2'!E21="-",'A-2'!E67="-"),"-",SUM('A-7'!F241,'A-2'!E21,'A-2'!E67))</f>
        <v>48</v>
      </c>
      <c r="G68" s="24" t="str">
        <f>IF(AND('A-7'!G241="-",'A-2'!F21="-",'A-2'!F67="-"),"-",SUM('A-7'!G241,'A-2'!F21,'A-2'!F67))</f>
        <v>-</v>
      </c>
      <c r="H68" s="24" t="str">
        <f>IF(AND('A-7'!H241="-",'A-2'!G21="-",'A-2'!G67="-"),"-",SUM('A-7'!H241,'A-2'!G21,'A-2'!G67))</f>
        <v>-</v>
      </c>
      <c r="I68" s="24">
        <f>IF(AND('A-7'!I241="-",'A-2'!H21="-",'A-2'!H67="-"),"-",SUM('A-7'!I241,'A-2'!H21,'A-2'!H67))</f>
        <v>188</v>
      </c>
      <c r="J68" s="24" t="str">
        <f>'A-7'!J241</f>
        <v>-</v>
      </c>
      <c r="K68" s="24" t="str">
        <f>'A-7'!K241</f>
        <v>-</v>
      </c>
      <c r="L68" s="142">
        <f>IF(AND('A-7'!L241="-",'A-2'!I21="-",'A-2'!I67="-"),"-",SUM('A-7'!L241,'A-2'!I21,'A-2'!I67))</f>
        <v>282</v>
      </c>
      <c r="M68" s="17"/>
      <c r="N68" s="17"/>
    </row>
    <row r="69" spans="1:14" ht="11.25" customHeight="1">
      <c r="A69" s="99">
        <v>1996</v>
      </c>
      <c r="B69" s="24" t="str">
        <f>'A-7'!B242</f>
        <v>-</v>
      </c>
      <c r="C69" s="24" t="str">
        <f>IF(AND('A-7'!C242="-",'A-2'!B22="-",'A-2'!B68="-"),"-",SUM('A-7'!C242,'A-2'!B22,'A-2'!B68))</f>
        <v>-</v>
      </c>
      <c r="D69" s="24">
        <f>IF(AND('A-7'!D242="-",'A-2'!C22="-",'A-2'!C68="-"),"-",SUM('A-7'!D242,'A-2'!C22,'A-2'!C68))</f>
        <v>99</v>
      </c>
      <c r="E69" s="24">
        <f>IF(AND('A-7'!E242="-",'A-2'!D22="-",'A-2'!D68="-"),"-",SUM('A-7'!E242,'A-2'!D22,'A-2'!D68))</f>
        <v>31</v>
      </c>
      <c r="F69" s="24" t="str">
        <f>IF(AND('A-7'!F242="-",'A-2'!E22="-",'A-2'!E68="-"),"-",SUM('A-7'!F242,'A-2'!E22,'A-2'!E68))</f>
        <v>-</v>
      </c>
      <c r="G69" s="24">
        <f>IF(AND('A-7'!G242="-",'A-2'!F22="-",'A-2'!F68="-"),"-",SUM('A-7'!G242,'A-2'!F22,'A-2'!F68))</f>
        <v>323</v>
      </c>
      <c r="H69" s="24">
        <f>IF(AND('A-7'!H242="-",'A-2'!G22="-",'A-2'!G68="-"),"-",SUM('A-7'!H242,'A-2'!G22,'A-2'!G68))</f>
        <v>298</v>
      </c>
      <c r="I69" s="24">
        <f>IF(AND('A-7'!I242="-",'A-2'!H22="-",'A-2'!H68="-"),"-",SUM('A-7'!I242,'A-2'!H22,'A-2'!H68))</f>
        <v>161</v>
      </c>
      <c r="J69" s="24" t="str">
        <f>'A-7'!J242</f>
        <v>-</v>
      </c>
      <c r="K69" s="24" t="str">
        <f>'A-7'!K242</f>
        <v>-</v>
      </c>
      <c r="L69" s="142">
        <f>IF(AND('A-7'!L242="-",'A-2'!I22="-",'A-2'!I68="-"),"-",SUM('A-7'!L242,'A-2'!I22,'A-2'!I68))</f>
        <v>912</v>
      </c>
      <c r="M69" s="17"/>
      <c r="N69" s="17"/>
    </row>
    <row r="70" spans="1:14" ht="11.25" customHeight="1">
      <c r="A70" s="99">
        <v>1997</v>
      </c>
      <c r="B70" s="24" t="str">
        <f>'A-7'!B243</f>
        <v>-</v>
      </c>
      <c r="C70" s="24">
        <f>IF(AND('A-7'!C243="-",'A-2'!B23="-",'A-2'!B69="-"),"-",SUM('A-7'!C243,'A-2'!B23,'A-2'!B69))</f>
        <v>19</v>
      </c>
      <c r="D70" s="24">
        <f>IF(AND('A-7'!D243="-",'A-2'!C23="-",'A-2'!C69="-"),"-",SUM('A-7'!D243,'A-2'!C23,'A-2'!C69))</f>
        <v>149</v>
      </c>
      <c r="E70" s="24" t="str">
        <f>IF(AND('A-7'!E243="-",'A-2'!D23="-",'A-2'!D69="-"),"-",SUM('A-7'!E243,'A-2'!D23,'A-2'!D69))</f>
        <v>-</v>
      </c>
      <c r="F70" s="24" t="str">
        <f>IF(AND('A-7'!F243="-",'A-2'!E23="-",'A-2'!E69="-"),"-",SUM('A-7'!F243,'A-2'!E23,'A-2'!E69))</f>
        <v>-</v>
      </c>
      <c r="G70" s="24">
        <f>IF(AND('A-7'!G243="-",'A-2'!F23="-",'A-2'!F69="-"),"-",SUM('A-7'!G243,'A-2'!F23,'A-2'!F69))</f>
        <v>38</v>
      </c>
      <c r="H70" s="24">
        <f>IF(AND('A-7'!H243="-",'A-2'!G23="-",'A-2'!G69="-"),"-",SUM('A-7'!H243,'A-2'!G23,'A-2'!G69))</f>
        <v>106</v>
      </c>
      <c r="I70" s="24">
        <f>IF(AND('A-7'!I243="-",'A-2'!H23="-",'A-2'!H69="-"),"-",SUM('A-7'!I243,'A-2'!H23,'A-2'!H69))</f>
        <v>169</v>
      </c>
      <c r="J70" s="24" t="str">
        <f>'A-7'!J243</f>
        <v>-</v>
      </c>
      <c r="K70" s="24" t="str">
        <f>'A-7'!K243</f>
        <v>-</v>
      </c>
      <c r="L70" s="142">
        <f>IF(AND('A-7'!L243="-",'A-2'!I23="-",'A-2'!I69="-"),"-",SUM('A-7'!L243,'A-2'!I23,'A-2'!I69))</f>
        <v>481</v>
      </c>
      <c r="M70" s="17"/>
      <c r="N70" s="17"/>
    </row>
    <row r="71" spans="1:14" ht="11.25" customHeight="1">
      <c r="A71" s="99">
        <v>1998</v>
      </c>
      <c r="B71" s="24" t="str">
        <f>'A-7'!B244</f>
        <v>-</v>
      </c>
      <c r="C71" s="24">
        <f>IF(AND('A-7'!C244="-",'A-2'!B24="-",'A-2'!B70="-"),"-",SUM('A-7'!C244,'A-2'!B24,'A-2'!B70))</f>
        <v>0</v>
      </c>
      <c r="D71" s="24">
        <f>IF(AND('A-7'!D244="-",'A-2'!C24="-",'A-2'!C70="-"),"-",SUM('A-7'!D244,'A-2'!C24,'A-2'!C70))</f>
        <v>22</v>
      </c>
      <c r="E71" s="24" t="str">
        <f>IF(AND('A-7'!E244="-",'A-2'!D24="-",'A-2'!D70="-"),"-",SUM('A-7'!E244,'A-2'!D24,'A-2'!D70))</f>
        <v>-</v>
      </c>
      <c r="F71" s="24" t="str">
        <f>IF(AND('A-7'!F244="-",'A-2'!E24="-",'A-2'!E70="-"),"-",SUM('A-7'!F244,'A-2'!E24,'A-2'!E70))</f>
        <v>-</v>
      </c>
      <c r="G71" s="24">
        <f>IF(AND('A-7'!G244="-",'A-2'!F24="-",'A-2'!F70="-"),"-",SUM('A-7'!G244,'A-2'!F24,'A-2'!F70))</f>
        <v>14</v>
      </c>
      <c r="H71" s="24">
        <f>IF(AND('A-7'!H244="-",'A-2'!G24="-",'A-2'!G70="-"),"-",SUM('A-7'!H244,'A-2'!G24,'A-2'!G70))</f>
        <v>164</v>
      </c>
      <c r="I71" s="24">
        <f>IF(AND('A-7'!I244="-",'A-2'!H24="-",'A-2'!H70="-"),"-",SUM('A-7'!I244,'A-2'!H24,'A-2'!H70))</f>
        <v>172</v>
      </c>
      <c r="J71" s="24" t="str">
        <f>'A-7'!J244</f>
        <v>-</v>
      </c>
      <c r="K71" s="24" t="str">
        <f>'A-7'!K244</f>
        <v>-</v>
      </c>
      <c r="L71" s="142">
        <f>IF(AND('A-7'!L244="-",'A-2'!I24="-",'A-2'!I70="-"),"-",SUM('A-7'!L244,'A-2'!I24,'A-2'!I70))</f>
        <v>372</v>
      </c>
      <c r="M71" s="17"/>
      <c r="N71" s="17"/>
    </row>
    <row r="72" spans="1:14" ht="11.25" customHeight="1">
      <c r="A72" s="99">
        <v>1999</v>
      </c>
      <c r="B72" s="24" t="str">
        <f>'A-7'!B245</f>
        <v>-</v>
      </c>
      <c r="C72" s="24" t="str">
        <f>IF(AND('A-7'!C245="-",'A-2'!B25="-",'A-2'!B71="-"),"-",SUM('A-7'!C245,'A-2'!B25,'A-2'!B71))</f>
        <v>-</v>
      </c>
      <c r="D72" s="24">
        <f>IF(AND('A-7'!D245="-",'A-2'!C25="-",'A-2'!C71="-"),"-",SUM('A-7'!D245,'A-2'!C25,'A-2'!C71))</f>
        <v>3</v>
      </c>
      <c r="E72" s="24" t="str">
        <f>IF(AND('A-7'!E245="-",'A-2'!D25="-",'A-2'!D71="-"),"-",SUM('A-7'!E245,'A-2'!D25,'A-2'!D71))</f>
        <v>-</v>
      </c>
      <c r="F72" s="24" t="str">
        <f>IF(AND('A-7'!F245="-",'A-2'!E25="-",'A-2'!E71="-"),"-",SUM('A-7'!F245,'A-2'!E25,'A-2'!E71))</f>
        <v>-</v>
      </c>
      <c r="G72" s="24">
        <f>IF(AND('A-7'!G245="-",'A-2'!F25="-",'A-2'!F71="-"),"-",SUM('A-7'!G245,'A-2'!F25,'A-2'!F71))</f>
        <v>78</v>
      </c>
      <c r="H72" s="24">
        <f>IF(AND('A-7'!H245="-",'A-2'!G25="-",'A-2'!G71="-"),"-",SUM('A-7'!H245,'A-2'!G25,'A-2'!G71))</f>
        <v>274</v>
      </c>
      <c r="I72" s="24">
        <f>IF(AND('A-7'!I245="-",'A-2'!H25="-",'A-2'!H71="-"),"-",SUM('A-7'!I245,'A-2'!H25,'A-2'!H71))</f>
        <v>120</v>
      </c>
      <c r="J72" s="24">
        <f>'A-7'!J245</f>
        <v>9</v>
      </c>
      <c r="K72" s="24" t="str">
        <f>'A-7'!K245</f>
        <v>-</v>
      </c>
      <c r="L72" s="142">
        <f>IF(AND('A-7'!L245="-",'A-2'!I25="-",'A-2'!I71="-"),"-",SUM('A-7'!L245,'A-2'!I25,'A-2'!I71))</f>
        <v>484</v>
      </c>
      <c r="M72" s="17"/>
      <c r="N72" s="17"/>
    </row>
    <row r="73" spans="1:14" ht="11.25" customHeight="1">
      <c r="A73" s="99">
        <v>2000</v>
      </c>
      <c r="B73" s="24" t="str">
        <f>'A-7'!B246</f>
        <v>-</v>
      </c>
      <c r="C73" s="24" t="str">
        <f>IF(AND('A-7'!C246="-",'A-2'!B26="-",'A-2'!B72="-"),"-",SUM('A-7'!C246,'A-2'!B26,'A-2'!B72))</f>
        <v>-</v>
      </c>
      <c r="D73" s="24">
        <f>IF(AND('A-7'!D246="-",'A-2'!C26="-",'A-2'!C72="-"),"-",SUM('A-7'!D246,'A-2'!C26,'A-2'!C72))</f>
        <v>4</v>
      </c>
      <c r="E73" s="24" t="str">
        <f>IF(AND('A-7'!E246="-",'A-2'!D26="-",'A-2'!D72="-"),"-",SUM('A-7'!E246,'A-2'!D26,'A-2'!D72))</f>
        <v>-</v>
      </c>
      <c r="F73" s="24" t="str">
        <f>IF(AND('A-7'!F246="-",'A-2'!E26="-",'A-2'!E72="-"),"-",SUM('A-7'!F246,'A-2'!E26,'A-2'!E72))</f>
        <v>-</v>
      </c>
      <c r="G73" s="24">
        <f>IF(AND('A-7'!G246="-",'A-2'!F26="-",'A-2'!F72="-"),"-",SUM('A-7'!G246,'A-2'!F26,'A-2'!F72))</f>
        <v>84</v>
      </c>
      <c r="H73" s="24">
        <f>IF(AND('A-7'!H246="-",'A-2'!G26="-",'A-2'!G72="-"),"-",SUM('A-7'!H246,'A-2'!G26,'A-2'!G72))</f>
        <v>198</v>
      </c>
      <c r="I73" s="24">
        <f>IF(AND('A-7'!I246="-",'A-2'!H26="-",'A-2'!H72="-"),"-",SUM('A-7'!I246,'A-2'!H26,'A-2'!H72))</f>
        <v>130</v>
      </c>
      <c r="J73" s="24" t="str">
        <f>'A-7'!J246</f>
        <v>-</v>
      </c>
      <c r="K73" s="24" t="str">
        <f>'A-7'!K246</f>
        <v>-</v>
      </c>
      <c r="L73" s="142">
        <f>IF(AND('A-7'!L246="-",'A-2'!I26="-",'A-2'!I72="-"),"-",SUM('A-7'!L246,'A-2'!I26,'A-2'!I72))</f>
        <v>416</v>
      </c>
      <c r="M73" s="17"/>
      <c r="N73" s="17"/>
    </row>
    <row r="74" spans="1:14" ht="11.25" customHeight="1">
      <c r="A74" s="99">
        <v>2001</v>
      </c>
      <c r="B74" s="24" t="str">
        <f>'A-7'!B247</f>
        <v>-</v>
      </c>
      <c r="C74" s="24" t="str">
        <f>IF(AND('A-7'!C247="-",'A-2'!B27="-",'A-2'!B73="-"),"-",SUM('A-7'!C247,'A-2'!B27,'A-2'!B73))</f>
        <v>-</v>
      </c>
      <c r="D74" s="24">
        <f>IF(AND('A-7'!D247="-",'A-2'!C27="-",'A-2'!C73="-"),"-",SUM('A-7'!D247,'A-2'!C27,'A-2'!C73))</f>
        <v>18</v>
      </c>
      <c r="E74" s="24">
        <f>IF(AND('A-7'!E247="-",'A-2'!D27="-",'A-2'!D73="-"),"-",SUM('A-7'!E247,'A-2'!D27,'A-2'!D73))</f>
        <v>41</v>
      </c>
      <c r="F74" s="24" t="str">
        <f>IF(AND('A-7'!F247="-",'A-2'!E27="-",'A-2'!E73="-"),"-",SUM('A-7'!F247,'A-2'!E27,'A-2'!E73))</f>
        <v>-</v>
      </c>
      <c r="G74" s="24">
        <f>IF(AND('A-7'!G247="-",'A-2'!F27="-",'A-2'!F73="-"),"-",SUM('A-7'!G247,'A-2'!F27,'A-2'!F73))</f>
        <v>150</v>
      </c>
      <c r="H74" s="24">
        <f>IF(AND('A-7'!H247="-",'A-2'!G27="-",'A-2'!G73="-"),"-",SUM('A-7'!H247,'A-2'!G27,'A-2'!G73))</f>
        <v>411</v>
      </c>
      <c r="I74" s="24">
        <f>IF(AND('A-7'!I247="-",'A-2'!H27="-",'A-2'!H73="-"),"-",SUM('A-7'!I247,'A-2'!H27,'A-2'!H73))</f>
        <v>166</v>
      </c>
      <c r="J74" s="24" t="str">
        <f>'A-7'!J247</f>
        <v>-</v>
      </c>
      <c r="K74" s="24" t="str">
        <f>'A-7'!K247</f>
        <v>-</v>
      </c>
      <c r="L74" s="142">
        <f>IF(AND('A-7'!L247="-",'A-2'!I27="-",'A-2'!I73="-"),"-",SUM('A-7'!L247,'A-2'!I27,'A-2'!I73))</f>
        <v>786</v>
      </c>
      <c r="M74" s="17"/>
      <c r="N74" s="17"/>
    </row>
    <row r="75" spans="1:14" ht="11.25" customHeight="1">
      <c r="A75" s="99">
        <v>2002</v>
      </c>
      <c r="B75" s="24">
        <f>'A-7'!B248</f>
        <v>3</v>
      </c>
      <c r="C75" s="24">
        <f>IF(AND('A-7'!C248="-",'A-2'!B28="-",'A-2'!B74="-"),"-",SUM('A-7'!C248,'A-2'!B28,'A-2'!B74))</f>
        <v>15</v>
      </c>
      <c r="D75" s="24">
        <f>IF(AND('A-7'!D248="-",'A-2'!C28="-",'A-2'!C74="-"),"-",SUM('A-7'!D248,'A-2'!C28,'A-2'!C74))</f>
        <v>22</v>
      </c>
      <c r="E75" s="24">
        <f>IF(AND('A-7'!E248="-",'A-2'!D28="-",'A-2'!D74="-"),"-",SUM('A-7'!E248,'A-2'!D28,'A-2'!D74))</f>
        <v>73</v>
      </c>
      <c r="F75" s="24">
        <f>IF(AND('A-7'!F248="-",'A-2'!E28="-",'A-2'!E74="-"),"-",SUM('A-7'!F248,'A-2'!E28,'A-2'!E74))</f>
        <v>82</v>
      </c>
      <c r="G75" s="24">
        <f>IF(AND('A-7'!G248="-",'A-2'!F28="-",'A-2'!F74="-"),"-",SUM('A-7'!G248,'A-2'!F28,'A-2'!F74))</f>
        <v>188</v>
      </c>
      <c r="H75" s="24">
        <f>IF(AND('A-7'!H248="-",'A-2'!G28="-",'A-2'!G74="-"),"-",SUM('A-7'!H248,'A-2'!G28,'A-2'!G74))</f>
        <v>548</v>
      </c>
      <c r="I75" s="24">
        <f>IF(AND('A-7'!I248="-",'A-2'!H28="-",'A-2'!H74="-"),"-",SUM('A-7'!I248,'A-2'!H28,'A-2'!H74))</f>
        <v>102</v>
      </c>
      <c r="J75" s="24" t="str">
        <f>'A-7'!J248</f>
        <v>-</v>
      </c>
      <c r="K75" s="24" t="str">
        <f>'A-7'!K248</f>
        <v>-</v>
      </c>
      <c r="L75" s="142">
        <f>IF(AND('A-7'!L248="-",'A-2'!I28="-",'A-2'!I74="-"),"-",SUM('A-7'!L248,'A-2'!I28,'A-2'!I74))</f>
        <v>1033</v>
      </c>
      <c r="M75" s="17"/>
      <c r="N75" s="17"/>
    </row>
    <row r="76" spans="1:14" ht="11.25" customHeight="1">
      <c r="A76" s="99">
        <v>2003</v>
      </c>
      <c r="B76" s="24">
        <f>'A-7'!B249</f>
        <v>0</v>
      </c>
      <c r="C76" s="24">
        <f>IF(AND('A-7'!C249="-",'A-2'!B29="-",'A-2'!B75="-"),"-",SUM('A-7'!C249,'A-2'!B29,'A-2'!B75))</f>
        <v>21</v>
      </c>
      <c r="D76" s="24">
        <f>IF(AND('A-7'!D249="-",'A-2'!C29="-",'A-2'!C75="-"),"-",SUM('A-7'!D249,'A-2'!C29,'A-2'!C75))</f>
        <v>49</v>
      </c>
      <c r="E76" s="24">
        <f>IF(AND('A-7'!E249="-",'A-2'!D29="-",'A-2'!D75="-"),"-",SUM('A-7'!E249,'A-2'!D29,'A-2'!D75))</f>
        <v>74</v>
      </c>
      <c r="F76" s="24">
        <f>IF(AND('A-7'!F249="-",'A-2'!E29="-",'A-2'!E75="-"),"-",SUM('A-7'!F249,'A-2'!E29,'A-2'!E75))</f>
        <v>109</v>
      </c>
      <c r="G76" s="24">
        <f>IF(AND('A-7'!G249="-",'A-2'!F29="-",'A-2'!F75="-"),"-",SUM('A-7'!G249,'A-2'!F29,'A-2'!F75))</f>
        <v>106</v>
      </c>
      <c r="H76" s="24">
        <f>IF(AND('A-7'!H249="-",'A-2'!G29="-",'A-2'!G75="-"),"-",SUM('A-7'!H249,'A-2'!G29,'A-2'!G75))</f>
        <v>185</v>
      </c>
      <c r="I76" s="24">
        <f>IF(AND('A-7'!I249="-",'A-2'!H29="-",'A-2'!H75="-"),"-",SUM('A-7'!I249,'A-2'!H29,'A-2'!H75))</f>
        <v>113</v>
      </c>
      <c r="J76" s="24">
        <f>'A-7'!J249</f>
        <v>2</v>
      </c>
      <c r="K76" s="24" t="str">
        <f>'A-7'!K249</f>
        <v>-</v>
      </c>
      <c r="L76" s="142">
        <f>IF(AND('A-7'!L249="-",'A-2'!I29="-",'A-2'!I75="-"),"-",SUM('A-7'!L249,'A-2'!I29,'A-2'!I75))</f>
        <v>659</v>
      </c>
      <c r="M76" s="17"/>
      <c r="N76" s="17"/>
    </row>
    <row r="77" spans="1:14" ht="11.25" customHeight="1">
      <c r="A77" s="99">
        <v>2004</v>
      </c>
      <c r="B77" s="24">
        <f>'A-7'!B250</f>
        <v>2</v>
      </c>
      <c r="C77" s="24">
        <f>IF(AND('A-7'!C250="-",'A-2'!B30="-",'A-2'!B76="-"),"-",SUM('A-7'!C250,'A-2'!B30,'A-2'!B76))</f>
        <v>31</v>
      </c>
      <c r="D77" s="24">
        <f>IF(AND('A-7'!D250="-",'A-2'!C30="-",'A-2'!C76="-"),"-",SUM('A-7'!D250,'A-2'!C30,'A-2'!C76))</f>
        <v>73</v>
      </c>
      <c r="E77" s="24">
        <f>IF(AND('A-7'!E250="-",'A-2'!D30="-",'A-2'!D76="-"),"-",SUM('A-7'!E250,'A-2'!D30,'A-2'!D76))</f>
        <v>141</v>
      </c>
      <c r="F77" s="24">
        <f>IF(AND('A-7'!F250="-",'A-2'!E30="-",'A-2'!E76="-"),"-",SUM('A-7'!F250,'A-2'!E30,'A-2'!E76))</f>
        <v>138</v>
      </c>
      <c r="G77" s="24">
        <f>IF(AND('A-7'!G250="-",'A-2'!F30="-",'A-2'!F76="-"),"-",SUM('A-7'!G250,'A-2'!F30,'A-2'!F76))</f>
        <v>220</v>
      </c>
      <c r="H77" s="24">
        <f>IF(AND('A-7'!H250="-",'A-2'!G30="-",'A-2'!G76="-"),"-",SUM('A-7'!H250,'A-2'!G30,'A-2'!G76))</f>
        <v>358</v>
      </c>
      <c r="I77" s="24">
        <f>IF(AND('A-7'!I250="-",'A-2'!H30="-",'A-2'!H76="-"),"-",SUM('A-7'!I250,'A-2'!H30,'A-2'!H76))</f>
        <v>61</v>
      </c>
      <c r="J77" s="24">
        <f>'A-7'!J250</f>
        <v>18</v>
      </c>
      <c r="K77" s="24" t="str">
        <f>'A-7'!K250</f>
        <v>-</v>
      </c>
      <c r="L77" s="142">
        <f>IF(AND('A-7'!L250="-",'A-2'!I30="-",'A-2'!I76="-"),"-",SUM('A-7'!L250,'A-2'!I30,'A-2'!I76))</f>
        <v>1042</v>
      </c>
      <c r="M77" s="17"/>
      <c r="N77" s="17"/>
    </row>
    <row r="78" spans="1:14" ht="11.25" customHeight="1">
      <c r="A78" s="99">
        <v>2005</v>
      </c>
      <c r="B78" s="24">
        <f>'A-7'!B251</f>
        <v>6</v>
      </c>
      <c r="C78" s="24">
        <f>IF(AND('A-7'!C251="-",'A-2'!B31="-",'A-2'!B77="-"),"-",SUM('A-7'!C251,'A-2'!B31,'A-2'!B77))</f>
        <v>1</v>
      </c>
      <c r="D78" s="24" t="str">
        <f>IF(AND('A-7'!D251="-",'A-2'!C31="-",'A-2'!C77="-"),"-",SUM('A-7'!D251,'A-2'!C31,'A-2'!C77))</f>
        <v>-</v>
      </c>
      <c r="E78" s="24" t="str">
        <f>IF(AND('A-7'!E251="-",'A-2'!D31="-",'A-2'!D77="-"),"-",SUM('A-7'!E251,'A-2'!D31,'A-2'!D77))</f>
        <v>-</v>
      </c>
      <c r="F78" s="24" t="str">
        <f>IF(AND('A-7'!F251="-",'A-2'!E31="-",'A-2'!E77="-"),"-",SUM('A-7'!F251,'A-2'!E31,'A-2'!E77))</f>
        <v>-</v>
      </c>
      <c r="G78" s="24" t="str">
        <f>IF(AND('A-7'!G251="-",'A-2'!F31="-",'A-2'!F77="-"),"-",SUM('A-7'!G251,'A-2'!F31,'A-2'!F77))</f>
        <v>-</v>
      </c>
      <c r="H78" s="24">
        <f>IF(AND('A-7'!H251="-",'A-2'!G31="-",'A-2'!G77="-"),"-",SUM('A-7'!H251,'A-2'!G31,'A-2'!G77))</f>
        <v>438</v>
      </c>
      <c r="I78" s="24">
        <f>IF(AND('A-7'!I251="-",'A-2'!H31="-",'A-2'!H77="-"),"-",SUM('A-7'!I251,'A-2'!H31,'A-2'!H77))</f>
        <v>110</v>
      </c>
      <c r="J78" s="24">
        <f>'A-7'!J251</f>
        <v>18</v>
      </c>
      <c r="K78" s="24" t="str">
        <f>'A-7'!K251</f>
        <v>-</v>
      </c>
      <c r="L78" s="142">
        <f>IF(AND('A-7'!L251="-",'A-2'!I31="-",'A-2'!I77="-"),"-",SUM('A-7'!L251,'A-2'!I31,'A-2'!I77))</f>
        <v>573</v>
      </c>
      <c r="M78" s="17"/>
      <c r="N78" s="17"/>
    </row>
    <row r="79" spans="1:14" ht="11.25" customHeight="1">
      <c r="A79" s="99">
        <v>2006</v>
      </c>
      <c r="B79" s="24" t="str">
        <f>'A-7'!B252</f>
        <v>-</v>
      </c>
      <c r="C79" s="24" t="str">
        <f>IF(AND('A-7'!C252="-",'A-2'!B32="-",'A-2'!B78="-"),"-",SUM('A-7'!C252,'A-2'!B32,'A-2'!B78))</f>
        <v>-</v>
      </c>
      <c r="D79" s="24" t="str">
        <f>IF(AND('A-7'!D252="-",'A-2'!C32="-",'A-2'!C78="-"),"-",SUM('A-7'!D252,'A-2'!C32,'A-2'!C78))</f>
        <v>-</v>
      </c>
      <c r="E79" s="24" t="str">
        <f>IF(AND('A-7'!E252="-",'A-2'!D32="-",'A-2'!D78="-"),"-",SUM('A-7'!E252,'A-2'!D32,'A-2'!D78))</f>
        <v>-</v>
      </c>
      <c r="F79" s="24" t="str">
        <f>IF(AND('A-7'!F252="-",'A-2'!E32="-",'A-2'!E78="-"),"-",SUM('A-7'!F252,'A-2'!E32,'A-2'!E78))</f>
        <v>-</v>
      </c>
      <c r="G79" s="24" t="str">
        <f>IF(AND('A-7'!G252="-",'A-2'!F32="-",'A-2'!F78="-"),"-",SUM('A-7'!G252,'A-2'!F32,'A-2'!F78))</f>
        <v>-</v>
      </c>
      <c r="H79" s="24">
        <f>IF(AND('A-7'!H252="-",'A-2'!G32="-",'A-2'!G78="-"),"-",SUM('A-7'!H252,'A-2'!G32,'A-2'!G78))</f>
        <v>6</v>
      </c>
      <c r="I79" s="24">
        <f>IF(AND('A-7'!I252="-",'A-2'!H32="-",'A-2'!H78="-"),"-",SUM('A-7'!I252,'A-2'!H32,'A-2'!H78))</f>
        <v>151</v>
      </c>
      <c r="J79" s="24">
        <f>'A-7'!J252</f>
        <v>27</v>
      </c>
      <c r="K79" s="24" t="str">
        <f>'A-7'!K252</f>
        <v>-</v>
      </c>
      <c r="L79" s="142">
        <f>IF(AND('A-7'!L252="-",'A-2'!I32="-",'A-2'!I78="-"),"-",SUM('A-7'!L252,'A-2'!I32,'A-2'!I78))</f>
        <v>184</v>
      </c>
      <c r="M79" s="17"/>
      <c r="N79" s="17"/>
    </row>
    <row r="80" spans="1:14" ht="11.25" customHeight="1">
      <c r="A80" s="99">
        <v>2007</v>
      </c>
      <c r="B80" s="24" t="str">
        <f>'A-7'!B253</f>
        <v>-</v>
      </c>
      <c r="C80" s="24">
        <f>IF(AND('A-7'!C253="-",'A-2'!B33="-",'A-2'!B79="-"),"-",SUM('A-7'!C253,'A-2'!B33,'A-2'!B79))</f>
        <v>6</v>
      </c>
      <c r="D80" s="24">
        <f>IF(AND('A-7'!D253="-",'A-2'!C33="-",'A-2'!C79="-"),"-",SUM('A-7'!D253,'A-2'!C33,'A-2'!C79))</f>
        <v>8</v>
      </c>
      <c r="E80" s="24">
        <f>IF(AND('A-7'!E253="-",'A-2'!D33="-",'A-2'!D79="-"),"-",SUM('A-7'!E253,'A-2'!D33,'A-2'!D79))</f>
        <v>138</v>
      </c>
      <c r="F80" s="24">
        <f>IF(AND('A-7'!F253="-",'A-2'!E33="-",'A-2'!E79="-"),"-",SUM('A-7'!F253,'A-2'!E33,'A-2'!E79))</f>
        <v>99</v>
      </c>
      <c r="G80" s="24">
        <f>IF(AND('A-7'!G253="-",'A-2'!F33="-",'A-2'!F79="-"),"-",SUM('A-7'!G253,'A-2'!F33,'A-2'!F79))</f>
        <v>95</v>
      </c>
      <c r="H80" s="24">
        <f>IF(AND('A-7'!H253="-",'A-2'!G33="-",'A-2'!G79="-"),"-",SUM('A-7'!H253,'A-2'!G33,'A-2'!G79))</f>
        <v>417</v>
      </c>
      <c r="I80" s="24">
        <f>IF(AND('A-7'!I253="-",'A-2'!H33="-",'A-2'!H79="-"),"-",SUM('A-7'!I253,'A-2'!H33,'A-2'!H79))</f>
        <v>47</v>
      </c>
      <c r="J80" s="24">
        <f>'A-7'!J253</f>
        <v>12</v>
      </c>
      <c r="K80" s="24" t="str">
        <f>'A-7'!K253</f>
        <v>-</v>
      </c>
      <c r="L80" s="142">
        <f>IF(AND('A-7'!L253="-",'A-2'!I33="-",'A-2'!I79="-"),"-",SUM('A-7'!L253,'A-2'!I33,'A-2'!I79))</f>
        <v>822</v>
      </c>
      <c r="M80" s="17"/>
      <c r="N80" s="17"/>
    </row>
    <row r="81" spans="1:14" ht="11.25" customHeight="1">
      <c r="A81" s="99">
        <v>2008</v>
      </c>
      <c r="B81" s="24" t="str">
        <f>'A-7'!B254</f>
        <v>-</v>
      </c>
      <c r="C81" s="24" t="str">
        <f>IF(AND('A-7'!C254="-",'A-2'!B34="-",'A-2'!B80="-"),"-",SUM('A-7'!C254,'A-2'!B34,'A-2'!B80))</f>
        <v>-</v>
      </c>
      <c r="D81" s="24" t="str">
        <f>IF(AND('A-7'!D254="-",'A-2'!C34="-",'A-2'!C80="-"),"-",SUM('A-7'!D254,'A-2'!C34,'A-2'!C80))</f>
        <v>-</v>
      </c>
      <c r="E81" s="24" t="str">
        <f>IF(AND('A-7'!E254="-",'A-2'!D34="-",'A-2'!D80="-"),"-",SUM('A-7'!E254,'A-2'!D34,'A-2'!D80))</f>
        <v>-</v>
      </c>
      <c r="F81" s="24" t="str">
        <f>IF(AND('A-7'!F254="-",'A-2'!E34="-",'A-2'!E80="-"),"-",SUM('A-7'!F254,'A-2'!E34,'A-2'!E80))</f>
        <v>-</v>
      </c>
      <c r="G81" s="24" t="str">
        <f>IF(AND('A-7'!G254="-",'A-2'!F34="-",'A-2'!F80="-"),"-",SUM('A-7'!G254,'A-2'!F34,'A-2'!F80))</f>
        <v>-</v>
      </c>
      <c r="H81" s="24" t="str">
        <f>IF(AND('A-7'!H254="-",'A-2'!G34="-",'A-2'!G80="-"),"-",SUM('A-7'!H254,'A-2'!G34,'A-2'!G80))</f>
        <v>-</v>
      </c>
      <c r="I81" s="24">
        <f>IF(AND('A-7'!I254="-",'A-2'!H34="-",'A-2'!H80="-"),"-",SUM('A-7'!I254,'A-2'!H34,'A-2'!H80))</f>
        <v>51</v>
      </c>
      <c r="J81" s="24" t="str">
        <f>'A-7'!J254</f>
        <v>-</v>
      </c>
      <c r="K81" s="24" t="str">
        <f>'A-7'!K254</f>
        <v>-</v>
      </c>
      <c r="L81" s="142">
        <f>IF(AND('A-7'!L254="-",'A-2'!I34="-",'A-2'!I80="-"),"-",SUM('A-7'!L254,'A-2'!I34,'A-2'!I80))</f>
        <v>51</v>
      </c>
      <c r="M81" s="17"/>
      <c r="N81" s="17"/>
    </row>
    <row r="82" spans="1:14" ht="11.25" customHeight="1">
      <c r="A82" s="99">
        <v>2009</v>
      </c>
      <c r="B82" s="24" t="str">
        <f>'A-7'!B255</f>
        <v>-</v>
      </c>
      <c r="C82" s="24" t="str">
        <f>IF(AND('A-7'!C255="-",'A-2'!B35="-",'A-2'!B81="-"),"-",SUM('A-7'!C255,'A-2'!B35,'A-2'!B81))</f>
        <v>-</v>
      </c>
      <c r="D82" s="24" t="str">
        <f>IF(AND('A-7'!D255="-",'A-2'!C35="-",'A-2'!C81="-"),"-",SUM('A-7'!D255,'A-2'!C35,'A-2'!C81))</f>
        <v>-</v>
      </c>
      <c r="E82" s="24" t="str">
        <f>IF(AND('A-7'!E255="-",'A-2'!D35="-",'A-2'!D81="-"),"-",SUM('A-7'!E255,'A-2'!D35,'A-2'!D81))</f>
        <v>-</v>
      </c>
      <c r="F82" s="24" t="str">
        <f>IF(AND('A-7'!F255="-",'A-2'!E35="-",'A-2'!E81="-"),"-",SUM('A-7'!F255,'A-2'!E35,'A-2'!E81))</f>
        <v>-</v>
      </c>
      <c r="G82" s="24" t="str">
        <f>IF(AND('A-7'!G255="-",'A-2'!F35="-",'A-2'!F81="-"),"-",SUM('A-7'!G255,'A-2'!F35,'A-2'!F81))</f>
        <v>-</v>
      </c>
      <c r="H82" s="24" t="str">
        <f>IF(AND('A-7'!H255="-",'A-2'!G35="-",'A-2'!G81="-"),"-",SUM('A-7'!H255,'A-2'!G35,'A-2'!G81))</f>
        <v>-</v>
      </c>
      <c r="I82" s="24" t="str">
        <f>IF(AND('A-7'!I255="-",'A-2'!H35="-",'A-2'!H81="-"),"-",SUM('A-7'!I255,'A-2'!H35,'A-2'!H81))</f>
        <v>-</v>
      </c>
      <c r="J82" s="24" t="str">
        <f>'A-7'!J255</f>
        <v>-</v>
      </c>
      <c r="K82" s="24" t="str">
        <f>'A-7'!K255</f>
        <v>-</v>
      </c>
      <c r="L82" s="142" t="str">
        <f>IF(AND('A-7'!L255="-",'A-2'!I35="-",'A-2'!I81="-"),"-",SUM('A-7'!L255,'A-2'!I35,'A-2'!I81))</f>
        <v>-</v>
      </c>
      <c r="M82" s="17"/>
      <c r="N82" s="17"/>
    </row>
    <row r="83" spans="1:14" ht="11.25" customHeight="1">
      <c r="A83" s="99">
        <v>2010</v>
      </c>
      <c r="B83" s="24" t="str">
        <f>'A-7'!B256</f>
        <v>-</v>
      </c>
      <c r="C83" s="24" t="str">
        <f>IF(AND('A-7'!C256="-",'A-2'!B36="-",'A-2'!B82="-"),"-",SUM('A-7'!C256,'A-2'!B36,'A-2'!B82))</f>
        <v>-</v>
      </c>
      <c r="D83" s="24">
        <f>IF(AND('A-7'!D256="-",'A-2'!C36="-",'A-2'!C82="-"),"-",SUM('A-7'!D256,'A-2'!C36,'A-2'!C82))</f>
        <v>43</v>
      </c>
      <c r="E83" s="24" t="str">
        <f>IF(AND('A-7'!E256="-",'A-2'!D36="-",'A-2'!D82="-"),"-",SUM('A-7'!E256,'A-2'!D36,'A-2'!D82))</f>
        <v>-</v>
      </c>
      <c r="F83" s="24">
        <f>IF(AND('A-7'!F256="-",'A-2'!E36="-",'A-2'!E82="-"),"-",SUM('A-7'!F256,'A-2'!E36,'A-2'!E82))</f>
        <v>26</v>
      </c>
      <c r="G83" s="24">
        <f>IF(AND('A-7'!G256="-",'A-2'!F36="-",'A-2'!F82="-"),"-",SUM('A-7'!G256,'A-2'!F36,'A-2'!F82))</f>
        <v>40</v>
      </c>
      <c r="H83" s="24" t="str">
        <f>IF(AND('A-7'!H256="-",'A-2'!G36="-",'A-2'!G82="-"),"-",SUM('A-7'!H256,'A-2'!G36,'A-2'!G82))</f>
        <v>-</v>
      </c>
      <c r="I83" s="24">
        <f>IF(AND('A-7'!I256="-",'A-2'!H36="-",'A-2'!H82="-"),"-",SUM('A-7'!I256,'A-2'!H36,'A-2'!H82))</f>
        <v>72</v>
      </c>
      <c r="J83" s="24" t="str">
        <f>'A-7'!J256</f>
        <v>-</v>
      </c>
      <c r="K83" s="24" t="str">
        <f>'A-7'!K256</f>
        <v>-</v>
      </c>
      <c r="L83" s="142">
        <f>IF(AND('A-7'!L256="-",'A-2'!I36="-",'A-2'!I82="-"),"-",SUM('A-7'!L256,'A-2'!I36,'A-2'!I82))</f>
        <v>181</v>
      </c>
      <c r="M83" s="17"/>
      <c r="N83" s="17"/>
    </row>
    <row r="84" spans="1:14" ht="11.25" customHeight="1">
      <c r="A84" s="99">
        <v>2011</v>
      </c>
      <c r="B84" s="24" t="str">
        <f>'A-7'!B257</f>
        <v>-</v>
      </c>
      <c r="C84" s="24" t="str">
        <f>IF(AND('A-7'!C257="-",'A-2'!B37="-",'A-2'!B83="-"),"-",SUM('A-7'!C257,'A-2'!B37,'A-2'!B83))</f>
        <v>-</v>
      </c>
      <c r="D84" s="24">
        <f>IF(AND('A-7'!D257="-",'A-2'!C37="-",'A-2'!C83="-"),"-",SUM('A-7'!D257,'A-2'!C37,'A-2'!C83))</f>
        <v>60</v>
      </c>
      <c r="E84" s="24">
        <f>IF(AND('A-7'!E257="-",'A-2'!D37="-",'A-2'!D83="-"),"-",SUM('A-7'!E257,'A-2'!D37,'A-2'!D83))</f>
        <v>60</v>
      </c>
      <c r="F84" s="24">
        <f>IF(AND('A-7'!F257="-",'A-2'!E37="-",'A-2'!E83="-"),"-",SUM('A-7'!F257,'A-2'!E37,'A-2'!E83))</f>
        <v>160</v>
      </c>
      <c r="G84" s="24">
        <f>IF(AND('A-7'!G257="-",'A-2'!F37="-",'A-2'!F83="-"),"-",SUM('A-7'!G257,'A-2'!F37,'A-2'!F83))</f>
        <v>135</v>
      </c>
      <c r="H84" s="24" t="str">
        <f>IF(AND('A-7'!H257="-",'A-2'!G37="-",'A-2'!G83="-"),"-",SUM('A-7'!H257,'A-2'!G37,'A-2'!G83))</f>
        <v>-</v>
      </c>
      <c r="I84" s="24">
        <f>IF(AND('A-7'!I257="-",'A-2'!H37="-",'A-2'!H83="-"),"-",SUM('A-7'!I257,'A-2'!H37,'A-2'!H83))</f>
        <v>75</v>
      </c>
      <c r="J84" s="24" t="str">
        <f>'A-7'!J257</f>
        <v>-</v>
      </c>
      <c r="K84" s="24" t="str">
        <f>'A-7'!K257</f>
        <v>-</v>
      </c>
      <c r="L84" s="142">
        <f>IF(AND('A-7'!L257="-",'A-2'!I37="-",'A-2'!I83="-"),"-",SUM('A-7'!L257,'A-2'!I37,'A-2'!I83))</f>
        <v>490</v>
      </c>
      <c r="M84" s="17"/>
      <c r="N84" s="17"/>
    </row>
    <row r="85" spans="1:14" ht="11.25" customHeight="1">
      <c r="A85" s="99">
        <v>2012</v>
      </c>
      <c r="B85" s="24" t="str">
        <f>'A-7'!B258</f>
        <v>-</v>
      </c>
      <c r="C85" s="24">
        <f>IF(AND('A-7'!C258="-",'A-2'!B38="-",'A-2'!B84="-"),"-",SUM('A-7'!C258,'A-2'!B38,'A-2'!B84))</f>
        <v>0</v>
      </c>
      <c r="D85" s="24">
        <f>IF(AND('A-7'!D258="-",'A-2'!C38="-",'A-2'!C84="-"),"-",SUM('A-7'!D258,'A-2'!C38,'A-2'!C84))</f>
        <v>23</v>
      </c>
      <c r="E85" s="24">
        <f>IF(AND('A-7'!E258="-",'A-2'!D38="-",'A-2'!D84="-"),"-",SUM('A-7'!E258,'A-2'!D38,'A-2'!D84))</f>
        <v>118</v>
      </c>
      <c r="F85" s="24">
        <f>IF(AND('A-7'!F258="-",'A-2'!E38="-",'A-2'!E84="-"),"-",SUM('A-7'!F258,'A-2'!E38,'A-2'!E84))</f>
        <v>90</v>
      </c>
      <c r="G85" s="24">
        <f>IF(AND('A-7'!G258="-",'A-2'!F38="-",'A-2'!F84="-"),"-",SUM('A-7'!G258,'A-2'!F38,'A-2'!F84))</f>
        <v>67</v>
      </c>
      <c r="H85" s="24">
        <f>IF(AND('A-7'!H258="-",'A-2'!G38="-",'A-2'!G84="-"),"-",SUM('A-7'!H258,'A-2'!G38,'A-2'!G84))</f>
        <v>348</v>
      </c>
      <c r="I85" s="24">
        <f>IF(AND('A-7'!I258="-",'A-2'!H38="-",'A-2'!H84="-"),"-",SUM('A-7'!I258,'A-2'!H38,'A-2'!H84))</f>
        <v>41</v>
      </c>
      <c r="J85" s="24" t="str">
        <f>'A-7'!J258</f>
        <v>-</v>
      </c>
      <c r="K85" s="24" t="str">
        <f>'A-7'!K258</f>
        <v>-</v>
      </c>
      <c r="L85" s="142">
        <f>IF(AND('A-7'!L258="-",'A-2'!I38="-",'A-2'!I84="-"),"-",SUM('A-7'!L258,'A-2'!I38,'A-2'!I84))</f>
        <v>687</v>
      </c>
      <c r="M85" s="17"/>
      <c r="N85" s="17"/>
    </row>
    <row r="86" spans="1:14" ht="11.25" customHeight="1">
      <c r="A86" s="99">
        <v>2013</v>
      </c>
      <c r="B86" s="24" t="str">
        <f>'A-7'!B259</f>
        <v>-</v>
      </c>
      <c r="C86" s="24">
        <f>IF(AND('A-7'!C259="-",'A-2'!B39="-",'A-2'!B85="-"),"-",SUM('A-7'!C259,'A-2'!B39,'A-2'!B85))</f>
        <v>13</v>
      </c>
      <c r="D86" s="24">
        <f>IF(AND('A-7'!D259="-",'A-2'!C39="-",'A-2'!C85="-"),"-",SUM('A-7'!D259,'A-2'!C39,'A-2'!C85))</f>
        <v>185</v>
      </c>
      <c r="E86" s="24">
        <f>IF(AND('A-7'!E259="-",'A-2'!D39="-",'A-2'!D85="-"),"-",SUM('A-7'!E259,'A-2'!D39,'A-2'!D85))</f>
        <v>267</v>
      </c>
      <c r="F86" s="24">
        <f>IF(AND('A-7'!F259="-",'A-2'!E39="-",'A-2'!E85="-"),"-",SUM('A-7'!F259,'A-2'!E39,'A-2'!E85))</f>
        <v>441</v>
      </c>
      <c r="G86" s="24">
        <f>IF(AND('A-7'!G259="-",'A-2'!F39="-",'A-2'!F85="-"),"-",SUM('A-7'!G259,'A-2'!F39,'A-2'!F85))</f>
        <v>321</v>
      </c>
      <c r="H86" s="24">
        <f>IF(AND('A-7'!H259="-",'A-2'!G39="-",'A-2'!G85="-"),"-",SUM('A-7'!H259,'A-2'!G39,'A-2'!G85))</f>
        <v>89</v>
      </c>
      <c r="I86" s="24">
        <f>IF(AND('A-7'!I259="-",'A-2'!H39="-",'A-2'!H85="-"),"-",SUM('A-7'!I259,'A-2'!H39,'A-2'!H85))</f>
        <v>52</v>
      </c>
      <c r="J86" s="24" t="str">
        <f>'A-7'!J259</f>
        <v>-</v>
      </c>
      <c r="K86" s="24" t="str">
        <f>'A-7'!K259</f>
        <v>-</v>
      </c>
      <c r="L86" s="142">
        <f>IF(AND('A-7'!L259="-",'A-2'!I39="-",'A-2'!I85="-"),"-",SUM('A-7'!L259,'A-2'!I39,'A-2'!I85))</f>
        <v>1368</v>
      </c>
      <c r="M86" s="17"/>
      <c r="N86" s="17"/>
    </row>
    <row r="87" spans="1:14" ht="11.25" customHeight="1">
      <c r="A87" s="99">
        <v>2014</v>
      </c>
      <c r="B87" s="24" t="str">
        <f>'A-7'!B260</f>
        <v>-</v>
      </c>
      <c r="C87" s="24">
        <f>IF(AND('A-7'!C260="-",'A-2'!B40="-",'A-2'!B86="-"),"-",SUM('A-7'!C260,'A-2'!B40,'A-2'!B86))</f>
        <v>10</v>
      </c>
      <c r="D87" s="24">
        <f>IF(AND('A-7'!D260="-",'A-2'!C40="-",'A-2'!C86="-"),"-",SUM('A-7'!D260,'A-2'!C40,'A-2'!C86))</f>
        <v>471</v>
      </c>
      <c r="E87" s="24">
        <f>IF(AND('A-7'!E260="-",'A-2'!D40="-",'A-2'!D86="-"),"-",SUM('A-7'!E260,'A-2'!D40,'A-2'!D86))</f>
        <v>82</v>
      </c>
      <c r="F87" s="24">
        <f>IF(AND('A-7'!F260="-",'A-2'!E40="-",'A-2'!E86="-"),"-",SUM('A-7'!F260,'A-2'!E40,'A-2'!E86))</f>
        <v>38</v>
      </c>
      <c r="G87" s="24">
        <f>IF(AND('A-7'!G260="-",'A-2'!F40="-",'A-2'!F86="-"),"-",SUM('A-7'!G260,'A-2'!F40,'A-2'!F86))</f>
        <v>70</v>
      </c>
      <c r="H87" s="24">
        <f>IF(AND('A-7'!H260="-",'A-2'!G40="-",'A-2'!G86="-"),"-",SUM('A-7'!H260,'A-2'!G40,'A-2'!G86))</f>
        <v>120</v>
      </c>
      <c r="I87" s="24">
        <f>IF(AND('A-7'!I260="-",'A-2'!H40="-",'A-2'!H86="-"),"-",SUM('A-7'!I260,'A-2'!H40,'A-2'!H86))</f>
        <v>78</v>
      </c>
      <c r="J87" s="24" t="str">
        <f>'A-7'!J260</f>
        <v>-</v>
      </c>
      <c r="K87" s="24" t="str">
        <f>'A-7'!K260</f>
        <v>-</v>
      </c>
      <c r="L87" s="142">
        <f>IF(AND('A-7'!L260="-",'A-2'!I40="-",'A-2'!I86="-"),"-",SUM('A-7'!L260,'A-2'!I40,'A-2'!I86))</f>
        <v>869</v>
      </c>
      <c r="M87" s="17"/>
      <c r="N87" s="17"/>
    </row>
    <row r="88" spans="1:14" ht="11.25" customHeight="1">
      <c r="A88" s="99">
        <v>2015</v>
      </c>
      <c r="B88" s="24" t="str">
        <f>'A-7'!B261</f>
        <v>-</v>
      </c>
      <c r="C88" s="24">
        <f>IF(AND('A-7'!C261="-",'A-2'!B41="-",'A-2'!B87="-"),"-",SUM('A-7'!C261,'A-2'!B41,'A-2'!B87))</f>
        <v>12</v>
      </c>
      <c r="D88" s="24">
        <f>IF(AND('A-7'!D261="-",'A-2'!C41="-",'A-2'!C87="-"),"-",SUM('A-7'!D261,'A-2'!C41,'A-2'!C87))</f>
        <v>150</v>
      </c>
      <c r="E88" s="24">
        <f>IF(AND('A-7'!E261="-",'A-2'!D41="-",'A-2'!D87="-"),"-",SUM('A-7'!E261,'A-2'!D41,'A-2'!D87))</f>
        <v>100</v>
      </c>
      <c r="F88" s="24">
        <f>IF(AND('A-7'!F261="-",'A-2'!E41="-",'A-2'!E87="-"),"-",SUM('A-7'!F261,'A-2'!E41,'A-2'!E87))</f>
        <v>90</v>
      </c>
      <c r="G88" s="24">
        <f>IF(AND('A-7'!G261="-",'A-2'!F41="-",'A-2'!F87="-"),"-",SUM('A-7'!G261,'A-2'!F41,'A-2'!F87))</f>
        <v>24</v>
      </c>
      <c r="H88" s="24">
        <f>IF(AND('A-7'!H261="-",'A-2'!G41="-",'A-2'!G87="-"),"-",SUM('A-7'!H261,'A-2'!G41,'A-2'!G87))</f>
        <v>32</v>
      </c>
      <c r="I88" s="24">
        <f>IF(AND('A-7'!I261="-",'A-2'!H41="-",'A-2'!H87="-"),"-",SUM('A-7'!I261,'A-2'!H41,'A-2'!H87))</f>
        <v>144</v>
      </c>
      <c r="J88" s="24" t="str">
        <f>'A-7'!J261</f>
        <v>-</v>
      </c>
      <c r="K88" s="24" t="str">
        <f>'A-7'!K261</f>
        <v>-</v>
      </c>
      <c r="L88" s="142">
        <f>IF(AND('A-7'!L261="-",'A-2'!I41="-",'A-2'!I87="-"),"-",SUM('A-7'!L261,'A-2'!I41,'A-2'!I87))</f>
        <v>552</v>
      </c>
      <c r="M88" s="17"/>
      <c r="N88" s="17"/>
    </row>
    <row r="89" spans="1:14" ht="11.25" customHeight="1">
      <c r="A89" s="99">
        <v>2016</v>
      </c>
      <c r="B89" s="24" t="str">
        <f>'A-7'!B262</f>
        <v>-</v>
      </c>
      <c r="C89" s="24">
        <f>IF(AND('A-7'!C262="-",'A-2'!B42="-",'A-2'!B88="-"),"-",SUM('A-7'!C262,'A-2'!B42,'A-2'!B88))</f>
        <v>7</v>
      </c>
      <c r="D89" s="24">
        <f>IF(AND('A-7'!D262="-",'A-2'!C42="-",'A-2'!C88="-"),"-",SUM('A-7'!D262,'A-2'!C42,'A-2'!C88))</f>
        <v>13</v>
      </c>
      <c r="E89" s="24">
        <f>IF(AND('A-7'!E262="-",'A-2'!D42="-",'A-2'!D88="-"),"-",SUM('A-7'!E262,'A-2'!D42,'A-2'!D88))</f>
        <v>47</v>
      </c>
      <c r="F89" s="24">
        <f>IF(AND('A-7'!F262="-",'A-2'!E42="-",'A-2'!E88="-"),"-",SUM('A-7'!F262,'A-2'!E42,'A-2'!E88))</f>
        <v>8</v>
      </c>
      <c r="G89" s="24" t="str">
        <f>IF(AND('A-7'!G262="-",'A-2'!F42="-",'A-2'!F88="-"),"-",SUM('A-7'!G262,'A-2'!F42,'A-2'!F88))</f>
        <v>-</v>
      </c>
      <c r="H89" s="24">
        <f>IF(AND('A-7'!H262="-",'A-2'!G42="-",'A-2'!G88="-"),"-",SUM('A-7'!H262,'A-2'!G42,'A-2'!G88))</f>
        <v>59</v>
      </c>
      <c r="I89" s="24">
        <f>IF(AND('A-7'!I262="-",'A-2'!H42="-",'A-2'!H88="-"),"-",SUM('A-7'!I262,'A-2'!H42,'A-2'!H88))</f>
        <v>52</v>
      </c>
      <c r="J89" s="24" t="str">
        <f>'A-7'!J262</f>
        <v>-</v>
      </c>
      <c r="K89" s="24" t="str">
        <f>'A-7'!K262</f>
        <v>-</v>
      </c>
      <c r="L89" s="142">
        <f>IF(AND('A-7'!L262="-",'A-2'!I42="-",'A-2'!I88="-"),"-",SUM('A-7'!L262,'A-2'!I42,'A-2'!I88))</f>
        <v>186</v>
      </c>
      <c r="M89" s="17"/>
      <c r="N89" s="17"/>
    </row>
    <row r="90" spans="1:14" ht="11.25" customHeight="1">
      <c r="A90" s="99">
        <v>2017</v>
      </c>
      <c r="B90" s="24" t="str">
        <f>'A-7'!B263</f>
        <v>-</v>
      </c>
      <c r="C90" s="24" t="str">
        <f>IF(AND('A-7'!C263="-",'A-2'!B43="-",'A-2'!B89="-"),"-",SUM('A-7'!C263,'A-2'!B43,'A-2'!B89))</f>
        <v>-</v>
      </c>
      <c r="D90" s="24" t="str">
        <f>IF(AND('A-7'!D263="-",'A-2'!C43="-",'A-2'!C89="-"),"-",SUM('A-7'!D263,'A-2'!C43,'A-2'!C89))</f>
        <v>-</v>
      </c>
      <c r="E90" s="24" t="str">
        <f>IF(AND('A-7'!E263="-",'A-2'!D43="-",'A-2'!D89="-"),"-",SUM('A-7'!E263,'A-2'!D43,'A-2'!D89))</f>
        <v>-</v>
      </c>
      <c r="F90" s="24" t="str">
        <f>IF(AND('A-7'!F263="-",'A-2'!E43="-",'A-2'!E89="-"),"-",SUM('A-7'!F263,'A-2'!E43,'A-2'!E89))</f>
        <v>-</v>
      </c>
      <c r="G90" s="24" t="str">
        <f>IF(AND('A-7'!G263="-",'A-2'!F43="-",'A-2'!F89="-"),"-",SUM('A-7'!G263,'A-2'!F43,'A-2'!F89))</f>
        <v>-</v>
      </c>
      <c r="H90" s="24" t="str">
        <f>IF(AND('A-7'!H263="-",'A-2'!G43="-",'A-2'!G89="-"),"-",SUM('A-7'!H263,'A-2'!G43,'A-2'!G89))</f>
        <v>-</v>
      </c>
      <c r="I90" s="24">
        <f>IF(AND('A-7'!I263="-",'A-2'!H43="-",'A-2'!H89="-"),"-",SUM('A-7'!I263,'A-2'!H43,'A-2'!H89))</f>
        <v>109</v>
      </c>
      <c r="J90" s="24" t="str">
        <f>'A-7'!J263</f>
        <v>-</v>
      </c>
      <c r="K90" s="24" t="str">
        <f>'A-7'!K263</f>
        <v>-</v>
      </c>
      <c r="L90" s="142">
        <f>IF(AND('A-7'!L263="-",'A-2'!I43="-",'A-2'!I89="-"),"-",SUM('A-7'!L263,'A-2'!I43,'A-2'!I89))</f>
        <v>109</v>
      </c>
      <c r="M90" s="17"/>
      <c r="N90" s="17"/>
    </row>
    <row r="91" spans="1:14" ht="11.25" customHeight="1">
      <c r="A91" s="99">
        <v>2018</v>
      </c>
      <c r="B91" s="24" t="str">
        <f>'A-7'!B264</f>
        <v>-</v>
      </c>
      <c r="C91" s="24" t="str">
        <f>IF(AND('A-7'!C264="-",'A-2'!B44="-",'A-2'!B90="-"),"-",SUM('A-7'!C264,'A-2'!B44,'A-2'!B90))</f>
        <v>-</v>
      </c>
      <c r="D91" s="24">
        <f>IF(AND('A-7'!D264="-",'A-2'!C44="-",'A-2'!C90="-"),"-",SUM('A-7'!D264,'A-2'!C44,'A-2'!C90))</f>
        <v>167</v>
      </c>
      <c r="E91" s="24">
        <f>IF(AND('A-7'!E264="-",'A-2'!D44="-",'A-2'!D90="-"),"-",SUM('A-7'!E264,'A-2'!D44,'A-2'!D90))</f>
        <v>351</v>
      </c>
      <c r="F91" s="24">
        <f>IF(AND('A-7'!F264="-",'A-2'!E44="-",'A-2'!E90="-"),"-",SUM('A-7'!F264,'A-2'!E44,'A-2'!E90))</f>
        <v>286</v>
      </c>
      <c r="G91" s="24">
        <f>IF(AND('A-7'!G264="-",'A-2'!F44="-",'A-2'!F90="-"),"-",SUM('A-7'!G264,'A-2'!F44,'A-2'!F90))</f>
        <v>255</v>
      </c>
      <c r="H91" s="24" t="str">
        <f>IF(AND('A-7'!H264="-",'A-2'!G44="-",'A-2'!G90="-"),"-",SUM('A-7'!H264,'A-2'!G44,'A-2'!G90))</f>
        <v>-</v>
      </c>
      <c r="I91" s="24">
        <f>IF(AND('A-7'!I264="-",'A-2'!H44="-",'A-2'!H90="-"),"-",SUM('A-7'!I264,'A-2'!H44,'A-2'!H90))</f>
        <v>115</v>
      </c>
      <c r="J91" s="24" t="str">
        <f>'A-7'!J264</f>
        <v>-</v>
      </c>
      <c r="K91" s="24" t="str">
        <f>'A-7'!K264</f>
        <v>-</v>
      </c>
      <c r="L91" s="142">
        <f>IF(AND('A-7'!L264="-",'A-2'!I44="-",'A-2'!I90="-"),"-",SUM('A-7'!L264,'A-2'!I44,'A-2'!I90))</f>
        <v>1174</v>
      </c>
      <c r="M91" s="17"/>
      <c r="N91" s="17"/>
    </row>
    <row r="92" spans="1:14" ht="11.25" customHeight="1">
      <c r="A92" s="99">
        <v>2019</v>
      </c>
      <c r="B92" s="24" t="str">
        <f>'A-7'!B265</f>
        <v>-</v>
      </c>
      <c r="C92" s="24">
        <f>IF(AND('A-7'!C265="-",'A-2'!B45="-",'A-2'!B91="-"),"-",SUM('A-7'!C265,'A-2'!B45,'A-2'!B91))</f>
        <v>2</v>
      </c>
      <c r="D92" s="24">
        <f>IF(AND('A-7'!D265="-",'A-2'!C45="-",'A-2'!C91="-"),"-",SUM('A-7'!D265,'A-2'!C45,'A-2'!C91))</f>
        <v>7</v>
      </c>
      <c r="E92" s="24">
        <f>IF(AND('A-7'!E265="-",'A-2'!D45="-",'A-2'!D91="-"),"-",SUM('A-7'!E265,'A-2'!D45,'A-2'!D91))</f>
        <v>108</v>
      </c>
      <c r="F92" s="24">
        <f>IF(AND('A-7'!F265="-",'A-2'!E45="-",'A-2'!E91="-"),"-",SUM('A-7'!F265,'A-2'!E45,'A-2'!E91))</f>
        <v>140</v>
      </c>
      <c r="G92" s="24">
        <f>IF(AND('A-7'!G265="-",'A-2'!F45="-",'A-2'!F91="-"),"-",SUM('A-7'!G265,'A-2'!F45,'A-2'!F91))</f>
        <v>283</v>
      </c>
      <c r="H92" s="24" t="str">
        <f>IF(AND('A-7'!H265="-",'A-2'!G45="-",'A-2'!G91="-"),"-",SUM('A-7'!H265,'A-2'!G45,'A-2'!G91))</f>
        <v>-</v>
      </c>
      <c r="I92" s="24" t="str">
        <f>IF(AND('A-7'!I265="-",'A-2'!H45="-",'A-2'!H91="-"),"-",SUM('A-7'!I265,'A-2'!H45,'A-2'!H91))</f>
        <v>-</v>
      </c>
      <c r="J92" s="24" t="str">
        <f>'A-7'!J265</f>
        <v>-</v>
      </c>
      <c r="K92" s="24" t="str">
        <f>'A-7'!K265</f>
        <v>-</v>
      </c>
      <c r="L92" s="142">
        <f>IF(AND('A-7'!L265="-",'A-2'!I45="-",'A-2'!I91="-"),"-",SUM('A-7'!L265,'A-2'!I45,'A-2'!I91))</f>
        <v>540</v>
      </c>
      <c r="M92" s="17"/>
      <c r="N92" s="17"/>
    </row>
    <row r="93" spans="1:14" ht="11.25" customHeight="1">
      <c r="A93" s="99" t="s">
        <v>309</v>
      </c>
      <c r="B93" s="24" t="str">
        <f>'A-7'!B266</f>
        <v>-</v>
      </c>
      <c r="C93" s="24">
        <f>IF(AND('A-7'!C266="-",'A-2'!B46="-",'A-2'!B92="-"),"-",SUM('A-7'!C266,'A-2'!B46,'A-2'!B92))</f>
        <v>1</v>
      </c>
      <c r="D93" s="24">
        <f>IF(AND('A-7'!D266="-",'A-2'!C46="-",'A-2'!C92="-"),"-",SUM('A-7'!D266,'A-2'!C46,'A-2'!C92))</f>
        <v>3</v>
      </c>
      <c r="E93" s="24">
        <f>IF(AND('A-7'!E266="-",'A-2'!D46="-",'A-2'!D92="-"),"-",SUM('A-7'!E266,'A-2'!D46,'A-2'!D92))</f>
        <v>47</v>
      </c>
      <c r="F93" s="24">
        <f>IF(AND('A-7'!F266="-",'A-2'!E46="-",'A-2'!E92="-"),"-",SUM('A-7'!F266,'A-2'!E46,'A-2'!E92))</f>
        <v>72</v>
      </c>
      <c r="G93" s="24" t="str">
        <f>IF(AND('A-7'!G266="-",'A-2'!F46="-",'A-2'!F92="-"),"-",SUM('A-7'!G266,'A-2'!F46,'A-2'!F92))</f>
        <v>-</v>
      </c>
      <c r="H93" s="24" t="str">
        <f>IF(AND('A-7'!H266="-",'A-2'!G46="-",'A-2'!G92="-"),"-",SUM('A-7'!H266,'A-2'!G46,'A-2'!G92))</f>
        <v>-</v>
      </c>
      <c r="I93" s="24" t="str">
        <f>IF(AND('A-7'!I266="-",'A-2'!H46="-",'A-2'!H92="-"),"-",SUM('A-7'!I266,'A-2'!H46,'A-2'!H92))</f>
        <v>-</v>
      </c>
      <c r="J93" s="24" t="str">
        <f>'A-7'!J266</f>
        <v>-</v>
      </c>
      <c r="K93" s="24" t="str">
        <f>'A-7'!K266</f>
        <v>-</v>
      </c>
      <c r="L93" s="142">
        <f>IF(AND('A-7'!L266="-",'A-2'!I46="-",'A-2'!I92="-"),"-",SUM('A-7'!L266,'A-2'!I46,'A-2'!I92))</f>
        <v>123</v>
      </c>
      <c r="M93" s="17"/>
      <c r="N93" s="17"/>
    </row>
    <row r="94" spans="1:14" ht="11.25" customHeight="1">
      <c r="A94" s="99" t="s">
        <v>317</v>
      </c>
      <c r="B94" s="24">
        <f>'A-7'!B267</f>
        <v>1</v>
      </c>
      <c r="C94" s="24">
        <f>IF(AND('A-7'!C267="-",'A-2'!B47="-",'A-2'!B93="-"),"-",SUM('A-7'!C267,'A-2'!B47,'A-2'!B93))</f>
        <v>2</v>
      </c>
      <c r="D94" s="24">
        <f>IF(AND('A-7'!D267="-",'A-2'!C47="-",'A-2'!C93="-"),"-",SUM('A-7'!D267,'A-2'!C47,'A-2'!C93))</f>
        <v>4</v>
      </c>
      <c r="E94" s="24">
        <f>IF(AND('A-7'!E267="-",'A-2'!D47="-",'A-2'!D93="-"),"-",SUM('A-7'!E267,'A-2'!D47,'A-2'!D93))</f>
        <v>55</v>
      </c>
      <c r="F94" s="24">
        <f>IF(AND('A-7'!F267="-",'A-2'!E47="-",'A-2'!E93="-"),"-",SUM('A-7'!F267,'A-2'!E47,'A-2'!E93))</f>
        <v>56</v>
      </c>
      <c r="G94" s="24" t="str">
        <f>IF(AND('A-7'!G267="-",'A-2'!F47="-",'A-2'!F93="-"),"-",SUM('A-7'!G267,'A-2'!F47,'A-2'!F93))</f>
        <v>-</v>
      </c>
      <c r="H94" s="24" t="str">
        <f>IF(AND('A-7'!H267="-",'A-2'!G47="-",'A-2'!G93="-"),"-",SUM('A-7'!H267,'A-2'!G47,'A-2'!G93))</f>
        <v>-</v>
      </c>
      <c r="I94" s="24" t="str">
        <f>IF(AND('A-7'!I267="-",'A-2'!H47="-",'A-2'!H93="-"),"-",SUM('A-7'!I267,'A-2'!H47,'A-2'!H93))</f>
        <v>-</v>
      </c>
      <c r="J94" s="24" t="str">
        <f>'A-7'!J267</f>
        <v>-</v>
      </c>
      <c r="K94" s="24" t="str">
        <f>'A-7'!K267</f>
        <v>-</v>
      </c>
      <c r="L94" s="142">
        <f>IF(AND('A-7'!L267="-",'A-2'!I47="-",'A-2'!I93="-"),"-",SUM('A-7'!L267,'A-2'!I47,'A-2'!I93))</f>
        <v>118</v>
      </c>
      <c r="M94" s="17"/>
      <c r="N94" s="17"/>
    </row>
    <row r="95" spans="1:14" ht="11.25" customHeight="1">
      <c r="A95" s="99"/>
      <c r="B95" s="24"/>
      <c r="C95" s="24"/>
      <c r="D95" s="24"/>
      <c r="E95" s="24"/>
      <c r="F95" s="24"/>
      <c r="G95" s="24"/>
      <c r="H95" s="24"/>
      <c r="I95" s="24"/>
      <c r="J95" s="24"/>
      <c r="K95" s="24"/>
      <c r="L95" s="142"/>
      <c r="M95" s="17"/>
      <c r="N95" s="17"/>
    </row>
    <row r="96" spans="1:14" ht="11.25" customHeight="1">
      <c r="A96" s="94" t="s">
        <v>345</v>
      </c>
      <c r="B96" s="24"/>
      <c r="C96" s="24"/>
      <c r="D96" s="24"/>
      <c r="E96" s="24"/>
      <c r="F96" s="24"/>
      <c r="G96" s="24"/>
      <c r="H96" s="24"/>
      <c r="I96" s="24"/>
      <c r="J96" s="24"/>
      <c r="K96" s="24"/>
      <c r="L96" s="142"/>
      <c r="M96" s="17"/>
      <c r="N96" s="17"/>
    </row>
    <row r="97" spans="1:14" ht="11.25" customHeight="1">
      <c r="A97" s="99">
        <v>1978</v>
      </c>
      <c r="B97" s="24" t="s">
        <v>23</v>
      </c>
      <c r="C97" s="24">
        <f>IF(AND('A-2'!B96="-",'A-2'!B142="-",'A-2'!B188="-"),"-",SUM('A-2'!B96,'A-2'!B142,'A-2'!B188))</f>
        <v>2785</v>
      </c>
      <c r="D97" s="24">
        <f>IF(AND('A-2'!C96="-",'A-2'!C142="-",'A-2'!C188="-"),"-",SUM('A-2'!C96,'A-2'!C142,'A-2'!C188))</f>
        <v>12329</v>
      </c>
      <c r="E97" s="24">
        <f>IF(AND('A-2'!D96="-",'A-2'!D142="-",'A-2'!D188="-"),"-",SUM('A-2'!D96,'A-2'!D142,'A-2'!D188))</f>
        <v>20765</v>
      </c>
      <c r="F97" s="24">
        <f>IF(AND('A-2'!E96="-",'A-2'!E142="-",'A-2'!E188="-"),"-",SUM('A-2'!E96,'A-2'!E142,'A-2'!E188))</f>
        <v>18097</v>
      </c>
      <c r="G97" s="24">
        <f>IF(AND('A-2'!F96="-",'A-2'!F142="-",'A-2'!F188="-"),"-",SUM('A-2'!F96,'A-2'!F142,'A-2'!F188))</f>
        <v>6737</v>
      </c>
      <c r="H97" s="24">
        <f>IF(AND('A-2'!G96="-",'A-2'!G142="-",'A-2'!G188="-"),"-",SUM('A-2'!G96,'A-2'!G142,'A-2'!G188))</f>
        <v>2985</v>
      </c>
      <c r="I97" s="24" t="str">
        <f>IF(AND('A-2'!H96="-",'A-2'!H142="-",'A-2'!H188="-"),"-",SUM('A-2'!H96,'A-2'!H142,'A-2'!H188))</f>
        <v>-</v>
      </c>
      <c r="J97" s="24" t="s">
        <v>23</v>
      </c>
      <c r="K97" s="24" t="s">
        <v>23</v>
      </c>
      <c r="L97" s="142">
        <f>SUM(B97:K97)</f>
        <v>63698</v>
      </c>
      <c r="M97" s="17"/>
      <c r="N97" s="17"/>
    </row>
    <row r="98" spans="1:14" ht="11.25" customHeight="1">
      <c r="A98" s="99">
        <v>1979</v>
      </c>
      <c r="B98" s="24" t="s">
        <v>23</v>
      </c>
      <c r="C98" s="24">
        <f>IF(AND('A-2'!B97="-",'A-2'!B143="-",'A-2'!B189="-"),"-",SUM('A-2'!B97,'A-2'!B143,'A-2'!B189))</f>
        <v>12</v>
      </c>
      <c r="D98" s="24">
        <f>IF(AND('A-2'!C97="-",'A-2'!C143="-",'A-2'!C189="-"),"-",SUM('A-2'!C97,'A-2'!C143,'A-2'!C189))</f>
        <v>11159</v>
      </c>
      <c r="E98" s="24">
        <f>IF(AND('A-2'!D97="-",'A-2'!D143="-",'A-2'!D189="-"),"-",SUM('A-2'!D97,'A-2'!D143,'A-2'!D189))</f>
        <v>7692</v>
      </c>
      <c r="F98" s="24">
        <f>IF(AND('A-2'!E97="-",'A-2'!E143="-",'A-2'!E189="-"),"-",SUM('A-2'!E97,'A-2'!E143,'A-2'!E189))</f>
        <v>19865</v>
      </c>
      <c r="G98" s="24">
        <f>IF(AND('A-2'!F97="-",'A-2'!F143="-",'A-2'!F189="-"),"-",SUM('A-2'!F97,'A-2'!F143,'A-2'!F189))</f>
        <v>10382</v>
      </c>
      <c r="H98" s="24">
        <f>IF(AND('A-2'!G97="-",'A-2'!G143="-",'A-2'!G189="-"),"-",SUM('A-2'!G97,'A-2'!G143,'A-2'!G189))</f>
        <v>5873</v>
      </c>
      <c r="I98" s="24" t="str">
        <f>IF(AND('A-2'!H97="-",'A-2'!H143="-",'A-2'!H189="-"),"-",SUM('A-2'!H97,'A-2'!H143,'A-2'!H189))</f>
        <v>-</v>
      </c>
      <c r="J98" s="24" t="s">
        <v>23</v>
      </c>
      <c r="K98" s="24" t="s">
        <v>23</v>
      </c>
      <c r="L98" s="142">
        <f t="shared" ref="L98:L140" si="0">SUM(B98:K98)</f>
        <v>54983</v>
      </c>
      <c r="M98" s="17"/>
      <c r="N98" s="17"/>
    </row>
    <row r="99" spans="1:14" ht="11.25" customHeight="1">
      <c r="A99" s="99">
        <v>1980</v>
      </c>
      <c r="B99" s="24" t="s">
        <v>23</v>
      </c>
      <c r="C99" s="24" t="str">
        <f>IF(AND('A-2'!B98="-",'A-2'!B144="-",'A-2'!B190="-"),"-",SUM('A-2'!B98,'A-2'!B144,'A-2'!B190))</f>
        <v>-</v>
      </c>
      <c r="D99" s="24">
        <f>IF(AND('A-2'!C98="-",'A-2'!C144="-",'A-2'!C190="-"),"-",SUM('A-2'!C98,'A-2'!C144,'A-2'!C190))</f>
        <v>16589</v>
      </c>
      <c r="E99" s="24" t="str">
        <f>IF(AND('A-2'!D98="-",'A-2'!D144="-",'A-2'!D190="-"),"-",SUM('A-2'!D98,'A-2'!D144,'A-2'!D190))</f>
        <v>-</v>
      </c>
      <c r="F99" s="24">
        <f>IF(AND('A-2'!E98="-",'A-2'!E144="-",'A-2'!E190="-"),"-",SUM('A-2'!E98,'A-2'!E144,'A-2'!E190))</f>
        <v>27160</v>
      </c>
      <c r="G99" s="24">
        <f>IF(AND('A-2'!F98="-",'A-2'!F144="-",'A-2'!F190="-"),"-",SUM('A-2'!F98,'A-2'!F144,'A-2'!F190))</f>
        <v>9837</v>
      </c>
      <c r="H99" s="24">
        <f>IF(AND('A-2'!G98="-",'A-2'!G144="-",'A-2'!G190="-"),"-",SUM('A-2'!G98,'A-2'!G144,'A-2'!G190))</f>
        <v>6447</v>
      </c>
      <c r="I99" s="24" t="str">
        <f>IF(AND('A-2'!H98="-",'A-2'!H144="-",'A-2'!H190="-"),"-",SUM('A-2'!H98,'A-2'!H144,'A-2'!H190))</f>
        <v>-</v>
      </c>
      <c r="J99" s="24" t="s">
        <v>23</v>
      </c>
      <c r="K99" s="24" t="s">
        <v>23</v>
      </c>
      <c r="L99" s="142">
        <f t="shared" si="0"/>
        <v>60033</v>
      </c>
      <c r="M99" s="17"/>
      <c r="N99" s="17"/>
    </row>
    <row r="100" spans="1:14" ht="11.25" customHeight="1">
      <c r="A100" s="99">
        <v>1981</v>
      </c>
      <c r="B100" s="24" t="s">
        <v>23</v>
      </c>
      <c r="C100" s="24" t="str">
        <f>IF(AND('A-2'!B99="-",'A-2'!B145="-",'A-2'!B191="-"),"-",SUM('A-2'!B99,'A-2'!B145,'A-2'!B191))</f>
        <v>-</v>
      </c>
      <c r="D100" s="24">
        <f>IF(AND('A-2'!C99="-",'A-2'!C145="-",'A-2'!C191="-"),"-",SUM('A-2'!C99,'A-2'!C145,'A-2'!C191))</f>
        <v>12257</v>
      </c>
      <c r="E100" s="24">
        <f>IF(AND('A-2'!D99="-",'A-2'!D145="-",'A-2'!D191="-"),"-",SUM('A-2'!D99,'A-2'!D145,'A-2'!D191))</f>
        <v>4882</v>
      </c>
      <c r="F100" s="24">
        <f>IF(AND('A-2'!E99="-",'A-2'!E145="-",'A-2'!E191="-"),"-",SUM('A-2'!E99,'A-2'!E145,'A-2'!E191))</f>
        <v>16703</v>
      </c>
      <c r="G100" s="24">
        <f>IF(AND('A-2'!F99="-",'A-2'!F145="-",'A-2'!F191="-"),"-",SUM('A-2'!F99,'A-2'!F145,'A-2'!F191))</f>
        <v>8567</v>
      </c>
      <c r="H100" s="24">
        <f>IF(AND('A-2'!G99="-",'A-2'!G145="-",'A-2'!G191="-"),"-",SUM('A-2'!G99,'A-2'!G145,'A-2'!G191))</f>
        <v>4636</v>
      </c>
      <c r="I100" s="24" t="str">
        <f>IF(AND('A-2'!H99="-",'A-2'!H145="-",'A-2'!H191="-"),"-",SUM('A-2'!H99,'A-2'!H145,'A-2'!H191))</f>
        <v>-</v>
      </c>
      <c r="J100" s="24" t="s">
        <v>23</v>
      </c>
      <c r="K100" s="24" t="s">
        <v>23</v>
      </c>
      <c r="L100" s="142">
        <f t="shared" si="0"/>
        <v>47045</v>
      </c>
      <c r="M100" s="17"/>
      <c r="N100" s="17"/>
    </row>
    <row r="101" spans="1:14" ht="11.25" customHeight="1">
      <c r="A101" s="99">
        <v>1982</v>
      </c>
      <c r="B101" s="24" t="s">
        <v>23</v>
      </c>
      <c r="C101" s="24">
        <f>IF(AND('A-2'!B100="-",'A-2'!B146="-",'A-2'!B192="-"),"-",SUM('A-2'!B100,'A-2'!B146,'A-2'!B192))</f>
        <v>3755</v>
      </c>
      <c r="D101" s="24">
        <f>IF(AND('A-2'!C100="-",'A-2'!C146="-",'A-2'!C192="-"),"-",SUM('A-2'!C100,'A-2'!C146,'A-2'!C192))</f>
        <v>13643</v>
      </c>
      <c r="E101" s="24">
        <f>IF(AND('A-2'!D100="-",'A-2'!D146="-",'A-2'!D192="-"),"-",SUM('A-2'!D100,'A-2'!D146,'A-2'!D192))</f>
        <v>7851</v>
      </c>
      <c r="F101" s="24">
        <f>IF(AND('A-2'!E100="-",'A-2'!E146="-",'A-2'!E192="-"),"-",SUM('A-2'!E100,'A-2'!E146,'A-2'!E192))</f>
        <v>23922</v>
      </c>
      <c r="G101" s="24">
        <f>IF(AND('A-2'!F100="-",'A-2'!F146="-",'A-2'!F192="-"),"-",SUM('A-2'!F100,'A-2'!F146,'A-2'!F192))</f>
        <v>14111</v>
      </c>
      <c r="H101" s="24">
        <f>IF(AND('A-2'!G100="-",'A-2'!G146="-",'A-2'!G192="-"),"-",SUM('A-2'!G100,'A-2'!G146,'A-2'!G192))</f>
        <v>6163</v>
      </c>
      <c r="I101" s="24" t="str">
        <f>IF(AND('A-2'!H100="-",'A-2'!H146="-",'A-2'!H192="-"),"-",SUM('A-2'!H100,'A-2'!H146,'A-2'!H192))</f>
        <v>-</v>
      </c>
      <c r="J101" s="24" t="s">
        <v>23</v>
      </c>
      <c r="K101" s="24" t="s">
        <v>23</v>
      </c>
      <c r="L101" s="142">
        <f t="shared" si="0"/>
        <v>69445</v>
      </c>
      <c r="M101" s="17"/>
      <c r="N101" s="17"/>
    </row>
    <row r="102" spans="1:14" ht="11.25" customHeight="1">
      <c r="A102" s="99">
        <v>1983</v>
      </c>
      <c r="B102" s="24" t="s">
        <v>23</v>
      </c>
      <c r="C102" s="24">
        <f>IF(AND('A-2'!B101="-",'A-2'!B147="-",'A-2'!B193="-"),"-",SUM('A-2'!B101,'A-2'!B147,'A-2'!B193))</f>
        <v>319</v>
      </c>
      <c r="D102" s="24">
        <f>IF(AND('A-2'!C101="-",'A-2'!C147="-",'A-2'!C193="-"),"-",SUM('A-2'!C101,'A-2'!C147,'A-2'!C193))</f>
        <v>8839</v>
      </c>
      <c r="E102" s="24">
        <f>IF(AND('A-2'!D101="-",'A-2'!D147="-",'A-2'!D193="-"),"-",SUM('A-2'!D101,'A-2'!D147,'A-2'!D193))</f>
        <v>6895</v>
      </c>
      <c r="F102" s="24">
        <f>IF(AND('A-2'!E101="-",'A-2'!E147="-",'A-2'!E193="-"),"-",SUM('A-2'!E101,'A-2'!E147,'A-2'!E193))</f>
        <v>10261</v>
      </c>
      <c r="G102" s="24">
        <f>IF(AND('A-2'!F101="-",'A-2'!F147="-",'A-2'!F193="-"),"-",SUM('A-2'!F101,'A-2'!F147,'A-2'!F193))</f>
        <v>4047</v>
      </c>
      <c r="H102" s="24">
        <f>IF(AND('A-2'!G101="-",'A-2'!G147="-",'A-2'!G193="-"),"-",SUM('A-2'!G101,'A-2'!G147,'A-2'!G193))</f>
        <v>1270</v>
      </c>
      <c r="I102" s="24" t="str">
        <f>IF(AND('A-2'!H101="-",'A-2'!H147="-",'A-2'!H193="-"),"-",SUM('A-2'!H101,'A-2'!H147,'A-2'!H193))</f>
        <v>-</v>
      </c>
      <c r="J102" s="24" t="s">
        <v>23</v>
      </c>
      <c r="K102" s="24" t="s">
        <v>23</v>
      </c>
      <c r="L102" s="142">
        <f t="shared" si="0"/>
        <v>31631</v>
      </c>
      <c r="M102" s="17"/>
      <c r="N102" s="17"/>
    </row>
    <row r="103" spans="1:14" ht="11.25" customHeight="1">
      <c r="A103" s="99">
        <v>1984</v>
      </c>
      <c r="B103" s="24" t="s">
        <v>23</v>
      </c>
      <c r="C103" s="24" t="str">
        <f>IF(AND('A-2'!B102="-",'A-2'!B148="-",'A-2'!B194="-"),"-",SUM('A-2'!B102,'A-2'!B148,'A-2'!B194))</f>
        <v>-</v>
      </c>
      <c r="D103" s="24">
        <f>IF(AND('A-2'!C102="-",'A-2'!C148="-",'A-2'!C194="-"),"-",SUM('A-2'!C102,'A-2'!C148,'A-2'!C194))</f>
        <v>4290</v>
      </c>
      <c r="E103" s="24">
        <f>IF(AND('A-2'!D102="-",'A-2'!D148="-",'A-2'!D194="-"),"-",SUM('A-2'!D102,'A-2'!D148,'A-2'!D194))</f>
        <v>8353</v>
      </c>
      <c r="F103" s="24">
        <f>IF(AND('A-2'!E102="-",'A-2'!E148="-",'A-2'!E194="-"),"-",SUM('A-2'!E102,'A-2'!E148,'A-2'!E194))</f>
        <v>11353</v>
      </c>
      <c r="G103" s="24">
        <f>IF(AND('A-2'!F102="-",'A-2'!F148="-",'A-2'!F194="-"),"-",SUM('A-2'!F102,'A-2'!F148,'A-2'!F194))</f>
        <v>7772</v>
      </c>
      <c r="H103" s="24">
        <f>IF(AND('A-2'!G102="-",'A-2'!G148="-",'A-2'!G194="-"),"-",SUM('A-2'!G102,'A-2'!G148,'A-2'!G194))</f>
        <v>5435</v>
      </c>
      <c r="I103" s="24" t="str">
        <f>IF(AND('A-2'!H102="-",'A-2'!H148="-",'A-2'!H194="-"),"-",SUM('A-2'!H102,'A-2'!H148,'A-2'!H194))</f>
        <v>-</v>
      </c>
      <c r="J103" s="24" t="s">
        <v>23</v>
      </c>
      <c r="K103" s="24" t="s">
        <v>23</v>
      </c>
      <c r="L103" s="142">
        <f t="shared" si="0"/>
        <v>37203</v>
      </c>
      <c r="M103" s="17"/>
      <c r="N103" s="17"/>
    </row>
    <row r="104" spans="1:14" ht="11.25" customHeight="1">
      <c r="A104" s="99">
        <v>1985</v>
      </c>
      <c r="B104" s="24" t="s">
        <v>23</v>
      </c>
      <c r="C104" s="24" t="str">
        <f>IF(AND('A-2'!B103="-",'A-2'!B149="-",'A-2'!B195="-"),"-",SUM('A-2'!B103,'A-2'!B149,'A-2'!B195))</f>
        <v>-</v>
      </c>
      <c r="D104" s="24">
        <f>IF(AND('A-2'!C103="-",'A-2'!C149="-",'A-2'!C195="-"),"-",SUM('A-2'!C103,'A-2'!C149,'A-2'!C195))</f>
        <v>12098</v>
      </c>
      <c r="E104" s="24">
        <f>IF(AND('A-2'!D103="-",'A-2'!D149="-",'A-2'!D195="-"),"-",SUM('A-2'!D103,'A-2'!D149,'A-2'!D195))</f>
        <v>11422</v>
      </c>
      <c r="F104" s="24">
        <f>IF(AND('A-2'!E103="-",'A-2'!E149="-",'A-2'!E195="-"),"-",SUM('A-2'!E103,'A-2'!E149,'A-2'!E195))</f>
        <v>13223</v>
      </c>
      <c r="G104" s="24">
        <f>IF(AND('A-2'!F103="-",'A-2'!F149="-",'A-2'!F195="-"),"-",SUM('A-2'!F103,'A-2'!F149,'A-2'!F195))</f>
        <v>8508</v>
      </c>
      <c r="H104" s="24">
        <f>IF(AND('A-2'!G103="-",'A-2'!G149="-",'A-2'!G195="-"),"-",SUM('A-2'!G103,'A-2'!G149,'A-2'!G195))</f>
        <v>6327</v>
      </c>
      <c r="I104" s="24" t="str">
        <f>IF(AND('A-2'!H103="-",'A-2'!H149="-",'A-2'!H195="-"),"-",SUM('A-2'!H103,'A-2'!H149,'A-2'!H195))</f>
        <v>-</v>
      </c>
      <c r="J104" s="24" t="s">
        <v>23</v>
      </c>
      <c r="K104" s="24" t="s">
        <v>23</v>
      </c>
      <c r="L104" s="142">
        <f t="shared" si="0"/>
        <v>51578</v>
      </c>
      <c r="M104" s="17"/>
      <c r="N104" s="17"/>
    </row>
    <row r="105" spans="1:14" ht="11.25" customHeight="1">
      <c r="A105" s="99">
        <v>1986</v>
      </c>
      <c r="B105" s="24" t="s">
        <v>23</v>
      </c>
      <c r="C105" s="24" t="str">
        <f>IF(AND('A-2'!B104="-",'A-2'!B150="-",'A-2'!B196="-"),"-",SUM('A-2'!B104,'A-2'!B150,'A-2'!B196))</f>
        <v>-</v>
      </c>
      <c r="D105" s="24">
        <f>IF(AND('A-2'!C104="-",'A-2'!C150="-",'A-2'!C196="-"),"-",SUM('A-2'!C104,'A-2'!C150,'A-2'!C196))</f>
        <v>14017</v>
      </c>
      <c r="E105" s="24">
        <f>IF(AND('A-2'!D104="-",'A-2'!D150="-",'A-2'!D196="-"),"-",SUM('A-2'!D104,'A-2'!D150,'A-2'!D196))</f>
        <v>13154.103021270641</v>
      </c>
      <c r="F105" s="24">
        <f>IF(AND('A-2'!E104="-",'A-2'!E150="-",'A-2'!E196="-"),"-",SUM('A-2'!E104,'A-2'!E150,'A-2'!E196))</f>
        <v>13864.500113278791</v>
      </c>
      <c r="G105" s="24">
        <f>IF(AND('A-2'!F104="-",'A-2'!F150="-",'A-2'!F196="-"),"-",SUM('A-2'!F104,'A-2'!F150,'A-2'!F196))</f>
        <v>8156.2156513738446</v>
      </c>
      <c r="H105" s="24">
        <f>IF(AND('A-2'!G104="-",'A-2'!G150="-",'A-2'!G196="-"),"-",SUM('A-2'!G104,'A-2'!G150,'A-2'!G196))</f>
        <v>1808</v>
      </c>
      <c r="I105" s="24" t="str">
        <f>IF(AND('A-2'!H104="-",'A-2'!H150="-",'A-2'!H196="-"),"-",SUM('A-2'!H104,'A-2'!H150,'A-2'!H196))</f>
        <v>-</v>
      </c>
      <c r="J105" s="24" t="s">
        <v>23</v>
      </c>
      <c r="K105" s="24" t="s">
        <v>23</v>
      </c>
      <c r="L105" s="142">
        <f t="shared" si="0"/>
        <v>50999.818785923271</v>
      </c>
      <c r="M105" s="17"/>
      <c r="N105" s="17"/>
    </row>
    <row r="106" spans="1:14" ht="11.25" customHeight="1">
      <c r="A106" s="99">
        <v>1987</v>
      </c>
      <c r="B106" s="24" t="s">
        <v>23</v>
      </c>
      <c r="C106" s="24" t="str">
        <f>IF(AND('A-2'!B105="-",'A-2'!B151="-",'A-2'!B197="-"),"-",SUM('A-2'!B105,'A-2'!B151,'A-2'!B197))</f>
        <v>-</v>
      </c>
      <c r="D106" s="24">
        <f>IF(AND('A-2'!C105="-",'A-2'!C151="-",'A-2'!C197="-"),"-",SUM('A-2'!C105,'A-2'!C151,'A-2'!C197))</f>
        <v>14860</v>
      </c>
      <c r="E106" s="24">
        <f>IF(AND('A-2'!D105="-",'A-2'!D151="-",'A-2'!D197="-"),"-",SUM('A-2'!D105,'A-2'!D151,'A-2'!D197))</f>
        <v>13780.813843930988</v>
      </c>
      <c r="F106" s="24">
        <f>IF(AND('A-2'!E105="-",'A-2'!E151="-",'A-2'!E197="-"),"-",SUM('A-2'!E105,'A-2'!E151,'A-2'!E197))</f>
        <v>14854.078658355596</v>
      </c>
      <c r="G106" s="24">
        <f>IF(AND('A-2'!F105="-",'A-2'!F151="-",'A-2'!F197="-"),"-",SUM('A-2'!F105,'A-2'!F151,'A-2'!F197))</f>
        <v>9280</v>
      </c>
      <c r="H106" s="24">
        <f>IF(AND('A-2'!G105="-",'A-2'!G151="-",'A-2'!G197="-"),"-",SUM('A-2'!G105,'A-2'!G151,'A-2'!G197))</f>
        <v>3081.3716475095785</v>
      </c>
      <c r="I106" s="24" t="str">
        <f>IF(AND('A-2'!H105="-",'A-2'!H151="-",'A-2'!H197="-"),"-",SUM('A-2'!H105,'A-2'!H151,'A-2'!H197))</f>
        <v>-</v>
      </c>
      <c r="J106" s="24" t="s">
        <v>23</v>
      </c>
      <c r="K106" s="24" t="s">
        <v>23</v>
      </c>
      <c r="L106" s="142">
        <f t="shared" si="0"/>
        <v>55856.264149796167</v>
      </c>
      <c r="M106" s="17"/>
      <c r="N106" s="17"/>
    </row>
    <row r="107" spans="1:14" ht="11.25" customHeight="1">
      <c r="A107" s="99">
        <v>1988</v>
      </c>
      <c r="B107" s="24" t="s">
        <v>23</v>
      </c>
      <c r="C107" s="24" t="str">
        <f>IF(AND('A-2'!B106="-",'A-2'!B152="-",'A-2'!B198="-"),"-",SUM('A-2'!B106,'A-2'!B152,'A-2'!B198))</f>
        <v>-</v>
      </c>
      <c r="D107" s="24">
        <f>IF(AND('A-2'!C106="-",'A-2'!C152="-",'A-2'!C198="-"),"-",SUM('A-2'!C106,'A-2'!C152,'A-2'!C198))</f>
        <v>16986.282235939645</v>
      </c>
      <c r="E107" s="24">
        <f>IF(AND('A-2'!D106="-",'A-2'!D152="-",'A-2'!D198="-"),"-",SUM('A-2'!D106,'A-2'!D152,'A-2'!D198))</f>
        <v>19190.666410816557</v>
      </c>
      <c r="F107" s="24">
        <f>IF(AND('A-2'!E106="-",'A-2'!E152="-",'A-2'!E198="-"),"-",SUM('A-2'!E106,'A-2'!E152,'A-2'!E198))</f>
        <v>19960</v>
      </c>
      <c r="G107" s="24">
        <f>IF(AND('A-2'!F106="-",'A-2'!F152="-",'A-2'!F198="-"),"-",SUM('A-2'!F106,'A-2'!F152,'A-2'!F198))</f>
        <v>12536</v>
      </c>
      <c r="H107" s="24">
        <f>IF(AND('A-2'!G106="-",'A-2'!G152="-",'A-2'!G198="-"),"-",SUM('A-2'!G106,'A-2'!G152,'A-2'!G198))</f>
        <v>5229.7136561322122</v>
      </c>
      <c r="I107" s="24" t="str">
        <f>IF(AND('A-2'!H106="-",'A-2'!H152="-",'A-2'!H198="-"),"-",SUM('A-2'!H106,'A-2'!H152,'A-2'!H198))</f>
        <v>-</v>
      </c>
      <c r="J107" s="24" t="s">
        <v>23</v>
      </c>
      <c r="K107" s="24" t="s">
        <v>23</v>
      </c>
      <c r="L107" s="142">
        <f t="shared" si="0"/>
        <v>73902.662302888421</v>
      </c>
      <c r="M107" s="17"/>
      <c r="N107" s="17"/>
    </row>
    <row r="108" spans="1:14" ht="11.25" customHeight="1">
      <c r="A108" s="99">
        <v>1989</v>
      </c>
      <c r="B108" s="24" t="s">
        <v>23</v>
      </c>
      <c r="C108" s="24" t="str">
        <f>IF(AND('A-2'!B107="-",'A-2'!B153="-",'A-2'!B199="-"),"-",SUM('A-2'!B107,'A-2'!B153,'A-2'!B199))</f>
        <v>-</v>
      </c>
      <c r="D108" s="24">
        <f>IF(AND('A-2'!C107="-",'A-2'!C153="-",'A-2'!C199="-"),"-",SUM('A-2'!C107,'A-2'!C153,'A-2'!C199))</f>
        <v>14053</v>
      </c>
      <c r="E108" s="24">
        <f>IF(AND('A-2'!D107="-",'A-2'!D153="-",'A-2'!D199="-"),"-",SUM('A-2'!D107,'A-2'!D153,'A-2'!D199))</f>
        <v>14919.086398743291</v>
      </c>
      <c r="F108" s="24">
        <f>IF(AND('A-2'!E107="-",'A-2'!E153="-",'A-2'!E199="-"),"-",SUM('A-2'!E107,'A-2'!E153,'A-2'!E199))</f>
        <v>11774</v>
      </c>
      <c r="G108" s="24">
        <f>IF(AND('A-2'!F107="-",'A-2'!F153="-",'A-2'!F199="-"),"-",SUM('A-2'!F107,'A-2'!F153,'A-2'!F199))</f>
        <v>11574.509820102328</v>
      </c>
      <c r="H108" s="24">
        <f>IF(AND('A-2'!G107="-",'A-2'!G153="-",'A-2'!G199="-"),"-",SUM('A-2'!G107,'A-2'!G153,'A-2'!G199))</f>
        <v>3422</v>
      </c>
      <c r="I108" s="24" t="str">
        <f>IF(AND('A-2'!H107="-",'A-2'!H153="-",'A-2'!H199="-"),"-",SUM('A-2'!H107,'A-2'!H153,'A-2'!H199))</f>
        <v>-</v>
      </c>
      <c r="J108" s="24" t="s">
        <v>23</v>
      </c>
      <c r="K108" s="24" t="s">
        <v>23</v>
      </c>
      <c r="L108" s="142">
        <f t="shared" si="0"/>
        <v>55742.596218845618</v>
      </c>
      <c r="M108" s="17"/>
      <c r="N108" s="17"/>
    </row>
    <row r="109" spans="1:14" ht="11.25" customHeight="1">
      <c r="A109" s="99">
        <v>1990</v>
      </c>
      <c r="B109" s="24" t="s">
        <v>23</v>
      </c>
      <c r="C109" s="24" t="str">
        <f>IF(AND('A-2'!B108="-",'A-2'!B154="-",'A-2'!B200="-"),"-",SUM('A-2'!B108,'A-2'!B154,'A-2'!B200))</f>
        <v>-</v>
      </c>
      <c r="D109" s="24">
        <f>IF(AND('A-2'!C108="-",'A-2'!C154="-",'A-2'!C200="-"),"-",SUM('A-2'!C108,'A-2'!C154,'A-2'!C200))</f>
        <v>12669</v>
      </c>
      <c r="E109" s="24">
        <f>IF(AND('A-2'!D108="-",'A-2'!D154="-",'A-2'!D200="-"),"-",SUM('A-2'!D108,'A-2'!D154,'A-2'!D200))</f>
        <v>15219</v>
      </c>
      <c r="F109" s="24">
        <f>IF(AND('A-2'!E108="-",'A-2'!E154="-",'A-2'!E200="-"),"-",SUM('A-2'!E108,'A-2'!E154,'A-2'!E200))</f>
        <v>11880</v>
      </c>
      <c r="G109" s="24">
        <f>IF(AND('A-2'!F108="-",'A-2'!F154="-",'A-2'!F200="-"),"-",SUM('A-2'!F108,'A-2'!F154,'A-2'!F200))</f>
        <v>4761</v>
      </c>
      <c r="H109" s="24">
        <f>IF(AND('A-2'!G108="-",'A-2'!G154="-",'A-2'!G200="-"),"-",SUM('A-2'!G108,'A-2'!G154,'A-2'!G200))</f>
        <v>656</v>
      </c>
      <c r="I109" s="24" t="str">
        <f>IF(AND('A-2'!H108="-",'A-2'!H154="-",'A-2'!H200="-"),"-",SUM('A-2'!H108,'A-2'!H154,'A-2'!H200))</f>
        <v>-</v>
      </c>
      <c r="J109" s="24" t="s">
        <v>23</v>
      </c>
      <c r="K109" s="24" t="s">
        <v>23</v>
      </c>
      <c r="L109" s="142">
        <f t="shared" si="0"/>
        <v>45185</v>
      </c>
      <c r="M109" s="17"/>
      <c r="N109" s="17"/>
    </row>
    <row r="110" spans="1:14" ht="11.25" customHeight="1">
      <c r="A110" s="99">
        <v>1991</v>
      </c>
      <c r="B110" s="24" t="s">
        <v>23</v>
      </c>
      <c r="C110" s="24" t="str">
        <f>IF(AND('A-2'!B109="-",'A-2'!B155="-",'A-2'!B201="-"),"-",SUM('A-2'!B109,'A-2'!B155,'A-2'!B201))</f>
        <v>-</v>
      </c>
      <c r="D110" s="24">
        <f>IF(AND('A-2'!C109="-",'A-2'!C155="-",'A-2'!C201="-"),"-",SUM('A-2'!C109,'A-2'!C155,'A-2'!C201))</f>
        <v>8400</v>
      </c>
      <c r="E110" s="24">
        <f>IF(AND('A-2'!D109="-",'A-2'!D155="-",'A-2'!D201="-"),"-",SUM('A-2'!D109,'A-2'!D155,'A-2'!D201))</f>
        <v>10900</v>
      </c>
      <c r="F110" s="24">
        <f>IF(AND('A-2'!E109="-",'A-2'!E155="-",'A-2'!E201="-"),"-",SUM('A-2'!E109,'A-2'!E155,'A-2'!E201))</f>
        <v>6400</v>
      </c>
      <c r="G110" s="24">
        <f>IF(AND('A-2'!F109="-",'A-2'!F155="-",'A-2'!F201="-"),"-",SUM('A-2'!F109,'A-2'!F155,'A-2'!F201))</f>
        <v>7100</v>
      </c>
      <c r="H110" s="24">
        <f>IF(AND('A-2'!G109="-",'A-2'!G155="-",'A-2'!G201="-"),"-",SUM('A-2'!G109,'A-2'!G155,'A-2'!G201))</f>
        <v>1900</v>
      </c>
      <c r="I110" s="24" t="str">
        <f>IF(AND('A-2'!H109="-",'A-2'!H155="-",'A-2'!H201="-"),"-",SUM('A-2'!H109,'A-2'!H155,'A-2'!H201))</f>
        <v>-</v>
      </c>
      <c r="J110" s="24" t="s">
        <v>23</v>
      </c>
      <c r="K110" s="24" t="s">
        <v>23</v>
      </c>
      <c r="L110" s="142">
        <f t="shared" si="0"/>
        <v>34700</v>
      </c>
      <c r="M110" s="17"/>
      <c r="N110" s="17"/>
    </row>
    <row r="111" spans="1:14" ht="11.25" customHeight="1">
      <c r="A111" s="99">
        <v>1992</v>
      </c>
      <c r="B111" s="24" t="s">
        <v>23</v>
      </c>
      <c r="C111" s="24" t="str">
        <f>IF(AND('A-2'!B110="-",'A-2'!B156="-",'A-2'!B202="-"),"-",SUM('A-2'!B110,'A-2'!B156,'A-2'!B202))</f>
        <v>-</v>
      </c>
      <c r="D111" s="24">
        <f>IF(AND('A-2'!C110="-",'A-2'!C156="-",'A-2'!C202="-"),"-",SUM('A-2'!C110,'A-2'!C156,'A-2'!C202))</f>
        <v>6600</v>
      </c>
      <c r="E111" s="24">
        <f>IF(AND('A-2'!D110="-",'A-2'!D156="-",'A-2'!D202="-"),"-",SUM('A-2'!D110,'A-2'!D156,'A-2'!D202))</f>
        <v>3400</v>
      </c>
      <c r="F111" s="24">
        <f>IF(AND('A-2'!E110="-",'A-2'!E156="-",'A-2'!E202="-"),"-",SUM('A-2'!E110,'A-2'!E156,'A-2'!E202))</f>
        <v>2700</v>
      </c>
      <c r="G111" s="24">
        <f>IF(AND('A-2'!F110="-",'A-2'!F156="-",'A-2'!F202="-"),"-",SUM('A-2'!F110,'A-2'!F156,'A-2'!F202))</f>
        <v>4500</v>
      </c>
      <c r="H111" s="24">
        <f>IF(AND('A-2'!G110="-",'A-2'!G156="-",'A-2'!G202="-"),"-",SUM('A-2'!G110,'A-2'!G156,'A-2'!G202))</f>
        <v>3100</v>
      </c>
      <c r="I111" s="24" t="str">
        <f>IF(AND('A-2'!H110="-",'A-2'!H156="-",'A-2'!H202="-"),"-",SUM('A-2'!H110,'A-2'!H156,'A-2'!H202))</f>
        <v>-</v>
      </c>
      <c r="J111" s="24" t="s">
        <v>23</v>
      </c>
      <c r="K111" s="24" t="s">
        <v>23</v>
      </c>
      <c r="L111" s="142">
        <f t="shared" si="0"/>
        <v>20300</v>
      </c>
      <c r="M111" s="17"/>
      <c r="N111" s="17"/>
    </row>
    <row r="112" spans="1:14" ht="11.25" customHeight="1">
      <c r="A112" s="99">
        <v>1993</v>
      </c>
      <c r="B112" s="24" t="s">
        <v>23</v>
      </c>
      <c r="C112" s="24" t="str">
        <f>IF(AND('A-2'!B111="-",'A-2'!B157="-",'A-2'!B203="-"),"-",SUM('A-2'!B111,'A-2'!B157,'A-2'!B203))</f>
        <v>-</v>
      </c>
      <c r="D112" s="24">
        <f>IF(AND('A-2'!C111="-",'A-2'!C157="-",'A-2'!C203="-"),"-",SUM('A-2'!C111,'A-2'!C157,'A-2'!C203))</f>
        <v>9300</v>
      </c>
      <c r="E112" s="24">
        <f>IF(AND('A-2'!D111="-",'A-2'!D157="-",'A-2'!D203="-"),"-",SUM('A-2'!D111,'A-2'!D157,'A-2'!D203))</f>
        <v>4000</v>
      </c>
      <c r="F112" s="24">
        <f>IF(AND('A-2'!E111="-",'A-2'!E157="-",'A-2'!E203="-"),"-",SUM('A-2'!E111,'A-2'!E157,'A-2'!E203))</f>
        <v>5700</v>
      </c>
      <c r="G112" s="24">
        <f>IF(AND('A-2'!F111="-",'A-2'!F157="-",'A-2'!F203="-"),"-",SUM('A-2'!F111,'A-2'!F157,'A-2'!F203))</f>
        <v>4400</v>
      </c>
      <c r="H112" s="24">
        <f>IF(AND('A-2'!G111="-",'A-2'!G157="-",'A-2'!G203="-"),"-",SUM('A-2'!G111,'A-2'!G157,'A-2'!G203))</f>
        <v>2500</v>
      </c>
      <c r="I112" s="24" t="str">
        <f>IF(AND('A-2'!H111="-",'A-2'!H157="-",'A-2'!H203="-"),"-",SUM('A-2'!H111,'A-2'!H157,'A-2'!H203))</f>
        <v>-</v>
      </c>
      <c r="J112" s="24" t="s">
        <v>23</v>
      </c>
      <c r="K112" s="24" t="s">
        <v>23</v>
      </c>
      <c r="L112" s="142">
        <f t="shared" si="0"/>
        <v>25900</v>
      </c>
      <c r="M112" s="17"/>
      <c r="N112" s="17"/>
    </row>
    <row r="113" spans="1:14" ht="11.25" customHeight="1">
      <c r="A113" s="99">
        <v>1994</v>
      </c>
      <c r="B113" s="24" t="s">
        <v>23</v>
      </c>
      <c r="C113" s="24" t="str">
        <f>IF(AND('A-2'!B112="-",'A-2'!B158="-",'A-2'!B204="-"),"-",SUM('A-2'!B112,'A-2'!B158,'A-2'!B204))</f>
        <v>-</v>
      </c>
      <c r="D113" s="24">
        <f>IF(AND('A-2'!C112="-",'A-2'!C158="-",'A-2'!C204="-"),"-",SUM('A-2'!C112,'A-2'!C158,'A-2'!C204))</f>
        <v>6500</v>
      </c>
      <c r="E113" s="24">
        <f>IF(AND('A-2'!D112="-",'A-2'!D158="-",'A-2'!D204="-"),"-",SUM('A-2'!D112,'A-2'!D158,'A-2'!D204))</f>
        <v>4600</v>
      </c>
      <c r="F113" s="24">
        <f>IF(AND('A-2'!E112="-",'A-2'!E158="-",'A-2'!E204="-"),"-",SUM('A-2'!E112,'A-2'!E158,'A-2'!E204))</f>
        <v>5400</v>
      </c>
      <c r="G113" s="24">
        <f>IF(AND('A-2'!F112="-",'A-2'!F158="-",'A-2'!F204="-"),"-",SUM('A-2'!F112,'A-2'!F158,'A-2'!F204))</f>
        <v>2400</v>
      </c>
      <c r="H113" s="24">
        <f>IF(AND('A-2'!G112="-",'A-2'!G158="-",'A-2'!G204="-"),"-",SUM('A-2'!G112,'A-2'!G158,'A-2'!G204))</f>
        <v>2300</v>
      </c>
      <c r="I113" s="24" t="str">
        <f>IF(AND('A-2'!H112="-",'A-2'!H158="-",'A-2'!H204="-"),"-",SUM('A-2'!H112,'A-2'!H158,'A-2'!H204))</f>
        <v>-</v>
      </c>
      <c r="J113" s="24" t="s">
        <v>23</v>
      </c>
      <c r="K113" s="24" t="s">
        <v>23</v>
      </c>
      <c r="L113" s="142">
        <f t="shared" si="0"/>
        <v>21200</v>
      </c>
      <c r="M113" s="17"/>
      <c r="N113" s="17"/>
    </row>
    <row r="114" spans="1:14" ht="11.25" customHeight="1">
      <c r="A114" s="99">
        <v>1995</v>
      </c>
      <c r="B114" s="24" t="s">
        <v>23</v>
      </c>
      <c r="C114" s="24" t="str">
        <f>IF(AND('A-2'!B113="-",'A-2'!B159="-",'A-2'!B205="-"),"-",SUM('A-2'!B113,'A-2'!B159,'A-2'!B205))</f>
        <v>-</v>
      </c>
      <c r="D114" s="24">
        <f>IF(AND('A-2'!C113="-",'A-2'!C159="-",'A-2'!C205="-"),"-",SUM('A-2'!C113,'A-2'!C159,'A-2'!C205))</f>
        <v>8500</v>
      </c>
      <c r="E114" s="24">
        <f>IF(AND('A-2'!D113="-",'A-2'!D159="-",'A-2'!D205="-"),"-",SUM('A-2'!D113,'A-2'!D159,'A-2'!D205))</f>
        <v>5200</v>
      </c>
      <c r="F114" s="24">
        <f>IF(AND('A-2'!E113="-",'A-2'!E159="-",'A-2'!E205="-"),"-",SUM('A-2'!E113,'A-2'!E159,'A-2'!E205))</f>
        <v>5600</v>
      </c>
      <c r="G114" s="24">
        <f>IF(AND('A-2'!F113="-",'A-2'!F159="-",'A-2'!F205="-"),"-",SUM('A-2'!F113,'A-2'!F159,'A-2'!F205))</f>
        <v>3200</v>
      </c>
      <c r="H114" s="24">
        <f>IF(AND('A-2'!G113="-",'A-2'!G159="-",'A-2'!G205="-"),"-",SUM('A-2'!G113,'A-2'!G159,'A-2'!G205))</f>
        <v>3300</v>
      </c>
      <c r="I114" s="24" t="str">
        <f>IF(AND('A-2'!H113="-",'A-2'!H159="-",'A-2'!H205="-"),"-",SUM('A-2'!H113,'A-2'!H159,'A-2'!H205))</f>
        <v>-</v>
      </c>
      <c r="J114" s="24" t="s">
        <v>23</v>
      </c>
      <c r="K114" s="24" t="s">
        <v>23</v>
      </c>
      <c r="L114" s="142">
        <f t="shared" si="0"/>
        <v>25800</v>
      </c>
      <c r="M114" s="17"/>
      <c r="N114" s="17"/>
    </row>
    <row r="115" spans="1:14" ht="11.25" customHeight="1">
      <c r="A115" s="99">
        <v>1996</v>
      </c>
      <c r="B115" s="24" t="s">
        <v>23</v>
      </c>
      <c r="C115" s="24" t="str">
        <f>IF(AND('A-2'!B114="-",'A-2'!B160="-",'A-2'!B206="-"),"-",SUM('A-2'!B114,'A-2'!B160,'A-2'!B206))</f>
        <v>-</v>
      </c>
      <c r="D115" s="24">
        <f>IF(AND('A-2'!C114="-",'A-2'!C160="-",'A-2'!C206="-"),"-",SUM('A-2'!C114,'A-2'!C160,'A-2'!C206))</f>
        <v>4700</v>
      </c>
      <c r="E115" s="24">
        <f>IF(AND('A-2'!D114="-",'A-2'!D160="-",'A-2'!D206="-"),"-",SUM('A-2'!D114,'A-2'!D160,'A-2'!D206))</f>
        <v>5900</v>
      </c>
      <c r="F115" s="24">
        <f>IF(AND('A-2'!E114="-",'A-2'!E160="-",'A-2'!E206="-"),"-",SUM('A-2'!E114,'A-2'!E160,'A-2'!E206))</f>
        <v>5300</v>
      </c>
      <c r="G115" s="24">
        <f>IF(AND('A-2'!F114="-",'A-2'!F160="-",'A-2'!F206="-"),"-",SUM('A-2'!F114,'A-2'!F160,'A-2'!F206))</f>
        <v>2900</v>
      </c>
      <c r="H115" s="24">
        <f>IF(AND('A-2'!G114="-",'A-2'!G160="-",'A-2'!G206="-"),"-",SUM('A-2'!G114,'A-2'!G160,'A-2'!G206))</f>
        <v>1925</v>
      </c>
      <c r="I115" s="24" t="str">
        <f>IF(AND('A-2'!H114="-",'A-2'!H160="-",'A-2'!H206="-"),"-",SUM('A-2'!H114,'A-2'!H160,'A-2'!H206))</f>
        <v>-</v>
      </c>
      <c r="J115" s="24" t="s">
        <v>23</v>
      </c>
      <c r="K115" s="24" t="s">
        <v>23</v>
      </c>
      <c r="L115" s="142">
        <f t="shared" si="0"/>
        <v>20725</v>
      </c>
      <c r="M115" s="17"/>
      <c r="N115" s="17"/>
    </row>
    <row r="116" spans="1:14" ht="11.25" customHeight="1">
      <c r="A116" s="99">
        <v>1997</v>
      </c>
      <c r="B116" s="24" t="s">
        <v>23</v>
      </c>
      <c r="C116" s="24">
        <f>IF(AND('A-2'!B115="-",'A-2'!B161="-",'A-2'!B207="-"),"-",SUM('A-2'!B115,'A-2'!B161,'A-2'!B207))</f>
        <v>600</v>
      </c>
      <c r="D116" s="24">
        <f>IF(AND('A-2'!C115="-",'A-2'!C161="-",'A-2'!C207="-"),"-",SUM('A-2'!C115,'A-2'!C161,'A-2'!C207))</f>
        <v>6500</v>
      </c>
      <c r="E116" s="24">
        <f>IF(AND('A-2'!D115="-",'A-2'!D161="-",'A-2'!D207="-"),"-",SUM('A-2'!D115,'A-2'!D161,'A-2'!D207))</f>
        <v>2000</v>
      </c>
      <c r="F116" s="24">
        <f>IF(AND('A-2'!E115="-",'A-2'!E161="-",'A-2'!E207="-"),"-",SUM('A-2'!E115,'A-2'!E161,'A-2'!E207))</f>
        <v>5700</v>
      </c>
      <c r="G116" s="24">
        <f>IF(AND('A-2'!F115="-",'A-2'!F161="-",'A-2'!F207="-"),"-",SUM('A-2'!F115,'A-2'!F161,'A-2'!F207))</f>
        <v>2300</v>
      </c>
      <c r="H116" s="24">
        <f>IF(AND('A-2'!G115="-",'A-2'!G161="-",'A-2'!G207="-"),"-",SUM('A-2'!G115,'A-2'!G161,'A-2'!G207))</f>
        <v>1750</v>
      </c>
      <c r="I116" s="24" t="str">
        <f>IF(AND('A-2'!H115="-",'A-2'!H161="-",'A-2'!H207="-"),"-",SUM('A-2'!H115,'A-2'!H161,'A-2'!H207))</f>
        <v>-</v>
      </c>
      <c r="J116" s="24" t="s">
        <v>23</v>
      </c>
      <c r="K116" s="24" t="s">
        <v>23</v>
      </c>
      <c r="L116" s="142">
        <f t="shared" si="0"/>
        <v>18850</v>
      </c>
      <c r="M116" s="17"/>
      <c r="N116" s="17"/>
    </row>
    <row r="117" spans="1:14" ht="11.25" customHeight="1">
      <c r="A117" s="99">
        <v>1998</v>
      </c>
      <c r="B117" s="24" t="s">
        <v>23</v>
      </c>
      <c r="C117" s="24" t="str">
        <f>IF(AND('A-2'!B116="-",'A-2'!B162="-",'A-2'!B208="-"),"-",SUM('A-2'!B116,'A-2'!B162,'A-2'!B208))</f>
        <v>-</v>
      </c>
      <c r="D117" s="24">
        <f>IF(AND('A-2'!C116="-",'A-2'!C162="-",'A-2'!C208="-"),"-",SUM('A-2'!C116,'A-2'!C162,'A-2'!C208))</f>
        <v>4300</v>
      </c>
      <c r="E117" s="24">
        <f>IF(AND('A-2'!D116="-",'A-2'!D162="-",'A-2'!D208="-"),"-",SUM('A-2'!D116,'A-2'!D162,'A-2'!D208))</f>
        <v>2100</v>
      </c>
      <c r="F117" s="24">
        <f>IF(AND('A-2'!E116="-",'A-2'!E162="-",'A-2'!E208="-"),"-",SUM('A-2'!E116,'A-2'!E162,'A-2'!E208))</f>
        <v>3900</v>
      </c>
      <c r="G117" s="24">
        <f>IF(AND('A-2'!F116="-",'A-2'!F162="-",'A-2'!F208="-"),"-",SUM('A-2'!F116,'A-2'!F162,'A-2'!F208))</f>
        <v>1800</v>
      </c>
      <c r="H117" s="24">
        <f>IF(AND('A-2'!G116="-",'A-2'!G162="-",'A-2'!G208="-"),"-",SUM('A-2'!G116,'A-2'!G162,'A-2'!G208))</f>
        <v>2300</v>
      </c>
      <c r="I117" s="24" t="str">
        <f>IF(AND('A-2'!H116="-",'A-2'!H162="-",'A-2'!H208="-"),"-",SUM('A-2'!H116,'A-2'!H162,'A-2'!H208))</f>
        <v>-</v>
      </c>
      <c r="J117" s="24" t="s">
        <v>23</v>
      </c>
      <c r="K117" s="24" t="s">
        <v>23</v>
      </c>
      <c r="L117" s="142">
        <f t="shared" si="0"/>
        <v>14400</v>
      </c>
      <c r="M117" s="17"/>
      <c r="N117" s="17"/>
    </row>
    <row r="118" spans="1:14" ht="11.25" customHeight="1">
      <c r="A118" s="99">
        <v>1999</v>
      </c>
      <c r="B118" s="24" t="s">
        <v>23</v>
      </c>
      <c r="C118" s="24">
        <f>IF(AND('A-2'!B117="-",'A-2'!B163="-",'A-2'!B209="-"),"-",SUM('A-2'!B117,'A-2'!B163,'A-2'!B209))</f>
        <v>125</v>
      </c>
      <c r="D118" s="24">
        <f>IF(AND('A-2'!C117="-",'A-2'!C163="-",'A-2'!C209="-"),"-",SUM('A-2'!C117,'A-2'!C163,'A-2'!C209))</f>
        <v>2500</v>
      </c>
      <c r="E118" s="24">
        <f>IF(AND('A-2'!D117="-",'A-2'!D163="-",'A-2'!D209="-"),"-",SUM('A-2'!D117,'A-2'!D163,'A-2'!D209))</f>
        <v>5000</v>
      </c>
      <c r="F118" s="24">
        <f>IF(AND('A-2'!E117="-",'A-2'!E163="-",'A-2'!E209="-"),"-",SUM('A-2'!E117,'A-2'!E163,'A-2'!E209))</f>
        <v>4700</v>
      </c>
      <c r="G118" s="24">
        <f>IF(AND('A-2'!F117="-",'A-2'!F163="-",'A-2'!F209="-"),"-",SUM('A-2'!F117,'A-2'!F163,'A-2'!F209))</f>
        <v>2200</v>
      </c>
      <c r="H118" s="24">
        <f>IF(AND('A-2'!G117="-",'A-2'!G163="-",'A-2'!G209="-"),"-",SUM('A-2'!G117,'A-2'!G163,'A-2'!G209))</f>
        <v>1600</v>
      </c>
      <c r="I118" s="24" t="str">
        <f>IF(AND('A-2'!H117="-",'A-2'!H163="-",'A-2'!H209="-"),"-",SUM('A-2'!H117,'A-2'!H163,'A-2'!H209))</f>
        <v>-</v>
      </c>
      <c r="J118" s="24" t="s">
        <v>23</v>
      </c>
      <c r="K118" s="24" t="s">
        <v>23</v>
      </c>
      <c r="L118" s="142">
        <f t="shared" si="0"/>
        <v>16125</v>
      </c>
      <c r="M118" s="17"/>
      <c r="N118" s="17"/>
    </row>
    <row r="119" spans="1:14" ht="11.25" customHeight="1">
      <c r="A119" s="99">
        <v>2000</v>
      </c>
      <c r="B119" s="24" t="s">
        <v>23</v>
      </c>
      <c r="C119" s="24" t="str">
        <f>IF(AND('A-2'!B118="-",'A-2'!B164="-",'A-2'!B210="-"),"-",SUM('A-2'!B118,'A-2'!B164,'A-2'!B210))</f>
        <v>-</v>
      </c>
      <c r="D119" s="24">
        <f>IF(AND('A-2'!C118="-",'A-2'!C164="-",'A-2'!C210="-"),"-",SUM('A-2'!C118,'A-2'!C164,'A-2'!C210))</f>
        <v>5210</v>
      </c>
      <c r="E119" s="24">
        <f>IF(AND('A-2'!D118="-",'A-2'!D164="-",'A-2'!D210="-"),"-",SUM('A-2'!D118,'A-2'!D164,'A-2'!D210))</f>
        <v>5863</v>
      </c>
      <c r="F119" s="24">
        <f>IF(AND('A-2'!E118="-",'A-2'!E164="-",'A-2'!E210="-"),"-",SUM('A-2'!E118,'A-2'!E164,'A-2'!E210))</f>
        <v>3248</v>
      </c>
      <c r="G119" s="24">
        <f>IF(AND('A-2'!F118="-",'A-2'!F164="-",'A-2'!F210="-"),"-",SUM('A-2'!F118,'A-2'!F164,'A-2'!F210))</f>
        <v>2390</v>
      </c>
      <c r="H119" s="24">
        <f>IF(AND('A-2'!G118="-",'A-2'!G164="-",'A-2'!G210="-"),"-",SUM('A-2'!G118,'A-2'!G164,'A-2'!G210))</f>
        <v>3600</v>
      </c>
      <c r="I119" s="24" t="str">
        <f>IF(AND('A-2'!H118="-",'A-2'!H164="-",'A-2'!H210="-"),"-",SUM('A-2'!H118,'A-2'!H164,'A-2'!H210))</f>
        <v>-</v>
      </c>
      <c r="J119" s="24" t="s">
        <v>23</v>
      </c>
      <c r="K119" s="24" t="s">
        <v>23</v>
      </c>
      <c r="L119" s="142">
        <f t="shared" si="0"/>
        <v>20311</v>
      </c>
      <c r="M119" s="17"/>
      <c r="N119" s="17"/>
    </row>
    <row r="120" spans="1:14" ht="11.25" customHeight="1">
      <c r="A120" s="99">
        <v>2001</v>
      </c>
      <c r="B120" s="24" t="s">
        <v>23</v>
      </c>
      <c r="C120" s="24" t="str">
        <f>IF(AND('A-2'!B119="-",'A-2'!B165="-",'A-2'!B211="-"),"-",SUM('A-2'!B119,'A-2'!B165,'A-2'!B211))</f>
        <v>-</v>
      </c>
      <c r="D120" s="24">
        <f>IF(AND('A-2'!C119="-",'A-2'!C165="-",'A-2'!C211="-"),"-",SUM('A-2'!C119,'A-2'!C165,'A-2'!C211))</f>
        <v>4894</v>
      </c>
      <c r="E120" s="24">
        <f>IF(AND('A-2'!D119="-",'A-2'!D165="-",'A-2'!D211="-"),"-",SUM('A-2'!D119,'A-2'!D165,'A-2'!D211))</f>
        <v>1448</v>
      </c>
      <c r="F120" s="24">
        <f>IF(AND('A-2'!E119="-",'A-2'!E165="-",'A-2'!E211="-"),"-",SUM('A-2'!E119,'A-2'!E165,'A-2'!E211))</f>
        <v>3042</v>
      </c>
      <c r="G120" s="24">
        <f>IF(AND('A-2'!F119="-",'A-2'!F165="-",'A-2'!F211="-"),"-",SUM('A-2'!F119,'A-2'!F165,'A-2'!F211))</f>
        <v>1419</v>
      </c>
      <c r="H120" s="24">
        <f>IF(AND('A-2'!G119="-",'A-2'!G165="-",'A-2'!G211="-"),"-",SUM('A-2'!G119,'A-2'!G165,'A-2'!G211))</f>
        <v>2222</v>
      </c>
      <c r="I120" s="24">
        <f>IF(AND('A-2'!H119="-",'A-2'!H165="-",'A-2'!H211="-"),"-",SUM('A-2'!H119,'A-2'!H165,'A-2'!H211))</f>
        <v>501</v>
      </c>
      <c r="J120" s="24" t="s">
        <v>23</v>
      </c>
      <c r="K120" s="24" t="s">
        <v>23</v>
      </c>
      <c r="L120" s="142">
        <f t="shared" si="0"/>
        <v>13526</v>
      </c>
      <c r="M120" s="17"/>
      <c r="N120" s="17"/>
    </row>
    <row r="121" spans="1:14" ht="11.25" customHeight="1">
      <c r="A121" s="99">
        <v>2002</v>
      </c>
      <c r="B121" s="24" t="s">
        <v>23</v>
      </c>
      <c r="C121" s="24" t="str">
        <f>IF(AND('A-2'!B120="-",'A-2'!B166="-",'A-2'!B212="-"),"-",SUM('A-2'!B120,'A-2'!B166,'A-2'!B212))</f>
        <v>-</v>
      </c>
      <c r="D121" s="24">
        <f>IF(AND('A-2'!C120="-",'A-2'!C166="-",'A-2'!C212="-"),"-",SUM('A-2'!C120,'A-2'!C166,'A-2'!C212))</f>
        <v>4246</v>
      </c>
      <c r="E121" s="24">
        <f>IF(AND('A-2'!D120="-",'A-2'!D166="-",'A-2'!D212="-"),"-",SUM('A-2'!D120,'A-2'!D166,'A-2'!D212))</f>
        <v>3247</v>
      </c>
      <c r="F121" s="24">
        <f>IF(AND('A-2'!E120="-",'A-2'!E166="-",'A-2'!E212="-"),"-",SUM('A-2'!E120,'A-2'!E166,'A-2'!E212))</f>
        <v>4664</v>
      </c>
      <c r="G121" s="24">
        <f>IF(AND('A-2'!F120="-",'A-2'!F166="-",'A-2'!F212="-"),"-",SUM('A-2'!F120,'A-2'!F166,'A-2'!F212))</f>
        <v>2816</v>
      </c>
      <c r="H121" s="24">
        <f>IF(AND('A-2'!G120="-",'A-2'!G166="-",'A-2'!G212="-"),"-",SUM('A-2'!G120,'A-2'!G166,'A-2'!G212))</f>
        <v>1686</v>
      </c>
      <c r="I121" s="24">
        <f>IF(AND('A-2'!H120="-",'A-2'!H166="-",'A-2'!H212="-"),"-",SUM('A-2'!H120,'A-2'!H166,'A-2'!H212))</f>
        <v>139</v>
      </c>
      <c r="J121" s="24" t="s">
        <v>23</v>
      </c>
      <c r="K121" s="24" t="s">
        <v>23</v>
      </c>
      <c r="L121" s="142">
        <f t="shared" si="0"/>
        <v>16798</v>
      </c>
      <c r="M121" s="17"/>
      <c r="N121" s="17"/>
    </row>
    <row r="122" spans="1:14" ht="11.25" customHeight="1">
      <c r="A122" s="99">
        <v>2003</v>
      </c>
      <c r="B122" s="24" t="s">
        <v>23</v>
      </c>
      <c r="C122" s="24" t="str">
        <f>IF(AND('A-2'!B121="-",'A-2'!B167="-",'A-2'!B213="-"),"-",SUM('A-2'!B121,'A-2'!B167,'A-2'!B213))</f>
        <v>-</v>
      </c>
      <c r="D122" s="24">
        <f>IF(AND('A-2'!C121="-",'A-2'!C167="-",'A-2'!C213="-"),"-",SUM('A-2'!C121,'A-2'!C167,'A-2'!C213))</f>
        <v>3074</v>
      </c>
      <c r="E122" s="24">
        <f>IF(AND('A-2'!D121="-",'A-2'!D167="-",'A-2'!D213="-"),"-",SUM('A-2'!D121,'A-2'!D167,'A-2'!D213))</f>
        <v>2727</v>
      </c>
      <c r="F122" s="24">
        <f>IF(AND('A-2'!E121="-",'A-2'!E167="-",'A-2'!E213="-"),"-",SUM('A-2'!E121,'A-2'!E167,'A-2'!E213))</f>
        <v>3697</v>
      </c>
      <c r="G122" s="24">
        <f>IF(AND('A-2'!F121="-",'A-2'!F167="-",'A-2'!F213="-"),"-",SUM('A-2'!F121,'A-2'!F167,'A-2'!F213))</f>
        <v>3745</v>
      </c>
      <c r="H122" s="24">
        <f>IF(AND('A-2'!G121="-",'A-2'!G167="-",'A-2'!G213="-"),"-",SUM('A-2'!G121,'A-2'!G167,'A-2'!G213))</f>
        <v>2431</v>
      </c>
      <c r="I122" s="24">
        <f>IF(AND('A-2'!H121="-",'A-2'!H167="-",'A-2'!H213="-"),"-",SUM('A-2'!H121,'A-2'!H167,'A-2'!H213))</f>
        <v>136</v>
      </c>
      <c r="J122" s="24" t="s">
        <v>23</v>
      </c>
      <c r="K122" s="24" t="s">
        <v>23</v>
      </c>
      <c r="L122" s="142">
        <f t="shared" si="0"/>
        <v>15810</v>
      </c>
      <c r="M122" s="17"/>
      <c r="N122" s="17"/>
    </row>
    <row r="123" spans="1:14" ht="11.25" customHeight="1">
      <c r="A123" s="99">
        <v>2004</v>
      </c>
      <c r="B123" s="24" t="s">
        <v>23</v>
      </c>
      <c r="C123" s="24" t="str">
        <f>IF(AND('A-2'!B122="-",'A-2'!B168="-",'A-2'!B214="-"),"-",SUM('A-2'!B122,'A-2'!B168,'A-2'!B214))</f>
        <v>-</v>
      </c>
      <c r="D123" s="24">
        <f>IF(AND('A-2'!C122="-",'A-2'!C168="-",'A-2'!C214="-"),"-",SUM('A-2'!C122,'A-2'!C168,'A-2'!C214))</f>
        <v>5146</v>
      </c>
      <c r="E123" s="24">
        <f>IF(AND('A-2'!D122="-",'A-2'!D168="-",'A-2'!D214="-"),"-",SUM('A-2'!D122,'A-2'!D168,'A-2'!D214))</f>
        <v>4034</v>
      </c>
      <c r="F123" s="24">
        <f>IF(AND('A-2'!E122="-",'A-2'!E168="-",'A-2'!E214="-"),"-",SUM('A-2'!E122,'A-2'!E168,'A-2'!E214))</f>
        <v>6297</v>
      </c>
      <c r="G123" s="24">
        <f>IF(AND('A-2'!F122="-",'A-2'!F168="-",'A-2'!F214="-"),"-",SUM('A-2'!F122,'A-2'!F168,'A-2'!F214))</f>
        <v>3470</v>
      </c>
      <c r="H123" s="24">
        <f>IF(AND('A-2'!G122="-",'A-2'!G168="-",'A-2'!G214="-"),"-",SUM('A-2'!G122,'A-2'!G168,'A-2'!G214))</f>
        <v>1972</v>
      </c>
      <c r="I123" s="24">
        <f>IF(AND('A-2'!H122="-",'A-2'!H168="-",'A-2'!H214="-"),"-",SUM('A-2'!H122,'A-2'!H168,'A-2'!H214))</f>
        <v>290</v>
      </c>
      <c r="J123" s="24" t="s">
        <v>23</v>
      </c>
      <c r="K123" s="24" t="s">
        <v>23</v>
      </c>
      <c r="L123" s="142">
        <f t="shared" si="0"/>
        <v>21209</v>
      </c>
      <c r="M123" s="17"/>
      <c r="N123" s="17"/>
    </row>
    <row r="124" spans="1:14" ht="11.25" customHeight="1">
      <c r="A124" s="99">
        <v>2005</v>
      </c>
      <c r="B124" s="24" t="s">
        <v>23</v>
      </c>
      <c r="C124" s="24" t="str">
        <f>IF(AND('A-2'!B123="-",'A-2'!B169="-",'A-2'!B215="-"),"-",SUM('A-2'!B123,'A-2'!B169,'A-2'!B215))</f>
        <v>-</v>
      </c>
      <c r="D124" s="24">
        <f>IF(AND('A-2'!C123="-",'A-2'!C169="-",'A-2'!C215="-"),"-",SUM('A-2'!C123,'A-2'!C169,'A-2'!C215))</f>
        <v>3881</v>
      </c>
      <c r="E124" s="24">
        <f>IF(AND('A-2'!D123="-",'A-2'!D169="-",'A-2'!D215="-"),"-",SUM('A-2'!D123,'A-2'!D169,'A-2'!D215))</f>
        <v>377</v>
      </c>
      <c r="F124" s="24">
        <f>IF(AND('A-2'!E123="-",'A-2'!E169="-",'A-2'!E215="-"),"-",SUM('A-2'!E123,'A-2'!E169,'A-2'!E215))</f>
        <v>5001</v>
      </c>
      <c r="G124" s="24">
        <f>IF(AND('A-2'!F123="-",'A-2'!F169="-",'A-2'!F215="-"),"-",SUM('A-2'!F123,'A-2'!F169,'A-2'!F215))</f>
        <v>3365</v>
      </c>
      <c r="H124" s="24">
        <f>IF(AND('A-2'!G123="-",'A-2'!G169="-",'A-2'!G215="-"),"-",SUM('A-2'!G123,'A-2'!G169,'A-2'!G215))</f>
        <v>3669</v>
      </c>
      <c r="I124" s="24">
        <f>IF(AND('A-2'!H123="-",'A-2'!H169="-",'A-2'!H215="-"),"-",SUM('A-2'!H123,'A-2'!H169,'A-2'!H215))</f>
        <v>401</v>
      </c>
      <c r="J124" s="24" t="s">
        <v>23</v>
      </c>
      <c r="K124" s="24" t="s">
        <v>23</v>
      </c>
      <c r="L124" s="142">
        <f t="shared" si="0"/>
        <v>16694</v>
      </c>
      <c r="M124" s="17"/>
      <c r="N124" s="17"/>
    </row>
    <row r="125" spans="1:14" ht="11.25" customHeight="1">
      <c r="A125" s="99">
        <v>2006</v>
      </c>
      <c r="B125" s="24" t="s">
        <v>23</v>
      </c>
      <c r="C125" s="24" t="str">
        <f>IF(AND('A-2'!B124="-",'A-2'!B170="-",'A-2'!B216="-"),"-",SUM('A-2'!B124,'A-2'!B170,'A-2'!B216))</f>
        <v>-</v>
      </c>
      <c r="D125" s="24">
        <f>IF(AND('A-2'!C124="-",'A-2'!C170="-",'A-2'!C216="-"),"-",SUM('A-2'!C124,'A-2'!C170,'A-2'!C216))</f>
        <v>2062</v>
      </c>
      <c r="E125" s="24">
        <f>IF(AND('A-2'!D124="-",'A-2'!D170="-",'A-2'!D216="-"),"-",SUM('A-2'!D124,'A-2'!D170,'A-2'!D216))</f>
        <v>103</v>
      </c>
      <c r="F125" s="24">
        <f>IF(AND('A-2'!E124="-",'A-2'!E170="-",'A-2'!E216="-"),"-",SUM('A-2'!E124,'A-2'!E170,'A-2'!E216))</f>
        <v>650</v>
      </c>
      <c r="G125" s="24">
        <f>IF(AND('A-2'!F124="-",'A-2'!F170="-",'A-2'!F216="-"),"-",SUM('A-2'!F124,'A-2'!F170,'A-2'!F216))</f>
        <v>2593</v>
      </c>
      <c r="H125" s="24">
        <f>IF(AND('A-2'!G124="-",'A-2'!G170="-",'A-2'!G216="-"),"-",SUM('A-2'!G124,'A-2'!G170,'A-2'!G216))</f>
        <v>2477</v>
      </c>
      <c r="I125" s="24">
        <f>IF(AND('A-2'!H124="-",'A-2'!H170="-",'A-2'!H216="-"),"-",SUM('A-2'!H124,'A-2'!H170,'A-2'!H216))</f>
        <v>374</v>
      </c>
      <c r="J125" s="24" t="s">
        <v>23</v>
      </c>
      <c r="K125" s="24" t="s">
        <v>23</v>
      </c>
      <c r="L125" s="142">
        <f t="shared" si="0"/>
        <v>8259</v>
      </c>
      <c r="M125" s="17"/>
      <c r="N125" s="17"/>
    </row>
    <row r="126" spans="1:14" ht="11.25" customHeight="1">
      <c r="A126" s="99">
        <v>2007</v>
      </c>
      <c r="B126" s="24" t="s">
        <v>23</v>
      </c>
      <c r="C126" s="24">
        <f>IF(AND('A-2'!B125="-",'A-2'!B171="-",'A-2'!B217="-"),"-",SUM('A-2'!B125,'A-2'!B171,'A-2'!B217))</f>
        <v>106</v>
      </c>
      <c r="D126" s="24">
        <f>IF(AND('A-2'!C125="-",'A-2'!C171="-",'A-2'!C217="-"),"-",SUM('A-2'!C125,'A-2'!C171,'A-2'!C217))</f>
        <v>3132</v>
      </c>
      <c r="E126" s="24">
        <f>IF(AND('A-2'!D125="-",'A-2'!D171="-",'A-2'!D217="-"),"-",SUM('A-2'!D125,'A-2'!D171,'A-2'!D217))</f>
        <v>29</v>
      </c>
      <c r="F126" s="24">
        <f>IF(AND('A-2'!E125="-",'A-2'!E171="-",'A-2'!E217="-"),"-",SUM('A-2'!E125,'A-2'!E171,'A-2'!E217))</f>
        <v>3288</v>
      </c>
      <c r="G126" s="24">
        <f>IF(AND('A-2'!F125="-",'A-2'!F171="-",'A-2'!F217="-"),"-",SUM('A-2'!F125,'A-2'!F171,'A-2'!F217))</f>
        <v>2659</v>
      </c>
      <c r="H126" s="24">
        <f>IF(AND('A-2'!G125="-",'A-2'!G171="-",'A-2'!G217="-"),"-",SUM('A-2'!G125,'A-2'!G171,'A-2'!G217))</f>
        <v>932</v>
      </c>
      <c r="I126" s="24">
        <f>IF(AND('A-2'!H125="-",'A-2'!H171="-",'A-2'!H217="-"),"-",SUM('A-2'!H125,'A-2'!H171,'A-2'!H217))</f>
        <v>168</v>
      </c>
      <c r="J126" s="24" t="s">
        <v>23</v>
      </c>
      <c r="K126" s="24" t="s">
        <v>23</v>
      </c>
      <c r="L126" s="142">
        <f t="shared" si="0"/>
        <v>10314</v>
      </c>
      <c r="M126" s="17"/>
      <c r="N126" s="17"/>
    </row>
    <row r="127" spans="1:14" ht="11.25" customHeight="1">
      <c r="A127" s="99">
        <v>2008</v>
      </c>
      <c r="B127" s="24" t="s">
        <v>23</v>
      </c>
      <c r="C127" s="24" t="str">
        <f>IF(AND('A-2'!B126="-",'A-2'!B172="-",'A-2'!B218="-"),"-",SUM('A-2'!B126,'A-2'!B172,'A-2'!B218))</f>
        <v>-</v>
      </c>
      <c r="D127" s="24" t="str">
        <f>IF(AND('A-2'!C126="-",'A-2'!C172="-",'A-2'!C218="-"),"-",SUM('A-2'!C126,'A-2'!C172,'A-2'!C218))</f>
        <v>-</v>
      </c>
      <c r="E127" s="24" t="str">
        <f>IF(AND('A-2'!D126="-",'A-2'!D172="-",'A-2'!D218="-"),"-",SUM('A-2'!D126,'A-2'!D172,'A-2'!D218))</f>
        <v>-</v>
      </c>
      <c r="F127" s="24" t="str">
        <f>IF(AND('A-2'!E126="-",'A-2'!E172="-",'A-2'!E218="-"),"-",SUM('A-2'!E126,'A-2'!E172,'A-2'!E218))</f>
        <v>-</v>
      </c>
      <c r="G127" s="24" t="str">
        <f>IF(AND('A-2'!F126="-",'A-2'!F172="-",'A-2'!F218="-"),"-",SUM('A-2'!F126,'A-2'!F172,'A-2'!F218))</f>
        <v>-</v>
      </c>
      <c r="H127" s="24" t="str">
        <f>IF(AND('A-2'!G126="-",'A-2'!G172="-",'A-2'!G218="-"),"-",SUM('A-2'!G126,'A-2'!G172,'A-2'!G218))</f>
        <v>-</v>
      </c>
      <c r="I127" s="24" t="str">
        <f>IF(AND('A-2'!H126="-",'A-2'!H172="-",'A-2'!H218="-"),"-",SUM('A-2'!H126,'A-2'!H172,'A-2'!H218))</f>
        <v>-</v>
      </c>
      <c r="J127" s="24" t="s">
        <v>23</v>
      </c>
      <c r="K127" s="24" t="s">
        <v>23</v>
      </c>
      <c r="L127" s="142" t="s">
        <v>23</v>
      </c>
      <c r="M127" s="17"/>
      <c r="N127" s="17"/>
    </row>
    <row r="128" spans="1:14" ht="11.25" customHeight="1">
      <c r="A128" s="99">
        <v>2009</v>
      </c>
      <c r="B128" s="24" t="s">
        <v>23</v>
      </c>
      <c r="C128" s="24" t="str">
        <f>IF(AND('A-2'!B127="-",'A-2'!B173="-",'A-2'!B219="-"),"-",SUM('A-2'!B127,'A-2'!B173,'A-2'!B219))</f>
        <v>-</v>
      </c>
      <c r="D128" s="24" t="str">
        <f>IF(AND('A-2'!C127="-",'A-2'!C173="-",'A-2'!C219="-"),"-",SUM('A-2'!C127,'A-2'!C173,'A-2'!C219))</f>
        <v>-</v>
      </c>
      <c r="E128" s="24" t="str">
        <f>IF(AND('A-2'!D127="-",'A-2'!D173="-",'A-2'!D219="-"),"-",SUM('A-2'!D127,'A-2'!D173,'A-2'!D219))</f>
        <v>-</v>
      </c>
      <c r="F128" s="24" t="str">
        <f>IF(AND('A-2'!E127="-",'A-2'!E173="-",'A-2'!E219="-"),"-",SUM('A-2'!E127,'A-2'!E173,'A-2'!E219))</f>
        <v>-</v>
      </c>
      <c r="G128" s="24" t="str">
        <f>IF(AND('A-2'!F127="-",'A-2'!F173="-",'A-2'!F219="-"),"-",SUM('A-2'!F127,'A-2'!F173,'A-2'!F219))</f>
        <v>-</v>
      </c>
      <c r="H128" s="24" t="str">
        <f>IF(AND('A-2'!G127="-",'A-2'!G173="-",'A-2'!G219="-"),"-",SUM('A-2'!G127,'A-2'!G173,'A-2'!G219))</f>
        <v>-</v>
      </c>
      <c r="I128" s="24" t="str">
        <f>IF(AND('A-2'!H127="-",'A-2'!H173="-",'A-2'!H219="-"),"-",SUM('A-2'!H127,'A-2'!H173,'A-2'!H219))</f>
        <v>-</v>
      </c>
      <c r="J128" s="24" t="s">
        <v>23</v>
      </c>
      <c r="K128" s="24" t="s">
        <v>23</v>
      </c>
      <c r="L128" s="142" t="s">
        <v>23</v>
      </c>
      <c r="M128" s="17"/>
      <c r="N128" s="17"/>
    </row>
    <row r="129" spans="1:14" ht="11.25" customHeight="1">
      <c r="A129" s="99">
        <v>2010</v>
      </c>
      <c r="B129" s="24" t="s">
        <v>23</v>
      </c>
      <c r="C129" s="24" t="str">
        <f>IF(AND('A-2'!B128="-",'A-2'!B174="-",'A-2'!B220="-"),"-",SUM('A-2'!B128,'A-2'!B174,'A-2'!B220))</f>
        <v>-</v>
      </c>
      <c r="D129" s="24" t="str">
        <f>IF(AND('A-2'!C128="-",'A-2'!C174="-",'A-2'!C220="-"),"-",SUM('A-2'!C128,'A-2'!C174,'A-2'!C220))</f>
        <v>-</v>
      </c>
      <c r="E129" s="24" t="str">
        <f>IF(AND('A-2'!D128="-",'A-2'!D174="-",'A-2'!D220="-"),"-",SUM('A-2'!D128,'A-2'!D174,'A-2'!D220))</f>
        <v>-</v>
      </c>
      <c r="F129" s="24">
        <f>IF(AND('A-2'!E128="-",'A-2'!E174="-",'A-2'!E220="-"),"-",SUM('A-2'!E128,'A-2'!E174,'A-2'!E220))</f>
        <v>1105</v>
      </c>
      <c r="G129" s="24">
        <f>IF(AND('A-2'!F128="-",'A-2'!F174="-",'A-2'!F220="-"),"-",SUM('A-2'!F128,'A-2'!F174,'A-2'!F220))</f>
        <v>870</v>
      </c>
      <c r="H129" s="24" t="str">
        <f>IF(AND('A-2'!G128="-",'A-2'!G174="-",'A-2'!G220="-"),"-",SUM('A-2'!G128,'A-2'!G174,'A-2'!G220))</f>
        <v>-</v>
      </c>
      <c r="I129" s="24" t="str">
        <f>IF(AND('A-2'!H128="-",'A-2'!H174="-",'A-2'!H220="-"),"-",SUM('A-2'!H128,'A-2'!H174,'A-2'!H220))</f>
        <v>-</v>
      </c>
      <c r="J129" s="24" t="s">
        <v>23</v>
      </c>
      <c r="K129" s="24" t="s">
        <v>23</v>
      </c>
      <c r="L129" s="142">
        <f t="shared" si="0"/>
        <v>1975</v>
      </c>
      <c r="M129" s="17"/>
      <c r="N129" s="17"/>
    </row>
    <row r="130" spans="1:14" ht="11.25" customHeight="1">
      <c r="A130" s="99">
        <v>2011</v>
      </c>
      <c r="B130" s="24" t="s">
        <v>23</v>
      </c>
      <c r="C130" s="24" t="str">
        <f>IF(AND('A-2'!B129="-",'A-2'!B175="-",'A-2'!B221="-"),"-",SUM('A-2'!B129,'A-2'!B175,'A-2'!B221))</f>
        <v>-</v>
      </c>
      <c r="D130" s="24">
        <f>IF(AND('A-2'!C129="-",'A-2'!C175="-",'A-2'!C221="-"),"-",SUM('A-2'!C129,'A-2'!C175,'A-2'!C221))</f>
        <v>1879</v>
      </c>
      <c r="E130" s="24">
        <f>IF(AND('A-2'!D129="-",'A-2'!D175="-",'A-2'!D221="-"),"-",SUM('A-2'!D129,'A-2'!D175,'A-2'!D221))</f>
        <v>504</v>
      </c>
      <c r="F130" s="24">
        <f>IF(AND('A-2'!E129="-",'A-2'!E175="-",'A-2'!E221="-"),"-",SUM('A-2'!E129,'A-2'!E175,'A-2'!E221))</f>
        <v>1737</v>
      </c>
      <c r="G130" s="24">
        <f>IF(AND('A-2'!F129="-",'A-2'!F175="-",'A-2'!F221="-"),"-",SUM('A-2'!F129,'A-2'!F175,'A-2'!F221))</f>
        <v>1897</v>
      </c>
      <c r="H130" s="24">
        <f>IF(AND('A-2'!G129="-",'A-2'!G175="-",'A-2'!G221="-"),"-",SUM('A-2'!G129,'A-2'!G175,'A-2'!G221))</f>
        <v>638</v>
      </c>
      <c r="I130" s="24">
        <f>IF(AND('A-2'!H129="-",'A-2'!H175="-",'A-2'!H221="-"),"-",SUM('A-2'!H129,'A-2'!H175,'A-2'!H221))</f>
        <v>117</v>
      </c>
      <c r="J130" s="24" t="s">
        <v>23</v>
      </c>
      <c r="K130" s="24" t="s">
        <v>23</v>
      </c>
      <c r="L130" s="142">
        <f t="shared" si="0"/>
        <v>6772</v>
      </c>
      <c r="M130" s="17"/>
      <c r="N130" s="17"/>
    </row>
    <row r="131" spans="1:14" ht="11.25" customHeight="1">
      <c r="A131" s="99">
        <v>2012</v>
      </c>
      <c r="B131" s="24" t="s">
        <v>23</v>
      </c>
      <c r="C131" s="24" t="str">
        <f>IF(AND('A-2'!B130="-",'A-2'!B176="-",'A-2'!B222="-"),"-",SUM('A-2'!B130,'A-2'!B176,'A-2'!B222))</f>
        <v>-</v>
      </c>
      <c r="D131" s="24">
        <f>IF(AND('A-2'!C130="-",'A-2'!C176="-",'A-2'!C222="-"),"-",SUM('A-2'!C130,'A-2'!C176,'A-2'!C222))</f>
        <v>3738</v>
      </c>
      <c r="E131" s="24">
        <f>IF(AND('A-2'!D130="-",'A-2'!D176="-",'A-2'!D222="-"),"-",SUM('A-2'!D130,'A-2'!D176,'A-2'!D222))</f>
        <v>1593</v>
      </c>
      <c r="F131" s="24">
        <f>IF(AND('A-2'!E130="-",'A-2'!E176="-",'A-2'!E222="-"),"-",SUM('A-2'!E130,'A-2'!E176,'A-2'!E222))</f>
        <v>4406</v>
      </c>
      <c r="G131" s="24">
        <f>IF(AND('A-2'!F130="-",'A-2'!F176="-",'A-2'!F222="-"),"-",SUM('A-2'!F130,'A-2'!F176,'A-2'!F222))</f>
        <v>2650</v>
      </c>
      <c r="H131" s="24">
        <f>IF(AND('A-2'!G130="-",'A-2'!G176="-",'A-2'!G222="-"),"-",SUM('A-2'!G130,'A-2'!G176,'A-2'!G222))</f>
        <v>1361</v>
      </c>
      <c r="I131" s="24">
        <f>IF(AND('A-2'!H130="-",'A-2'!H176="-",'A-2'!H222="-"),"-",SUM('A-2'!H130,'A-2'!H176,'A-2'!H222))</f>
        <v>469</v>
      </c>
      <c r="J131" s="24" t="s">
        <v>23</v>
      </c>
      <c r="K131" s="24" t="s">
        <v>23</v>
      </c>
      <c r="L131" s="142">
        <f t="shared" si="0"/>
        <v>14217</v>
      </c>
      <c r="M131" s="17"/>
      <c r="N131" s="17"/>
    </row>
    <row r="132" spans="1:14" ht="11.25" customHeight="1">
      <c r="A132" s="99">
        <v>2013</v>
      </c>
      <c r="B132" s="24" t="s">
        <v>23</v>
      </c>
      <c r="C132" s="24" t="str">
        <f>IF(AND('A-2'!B131="-",'A-2'!B177="-",'A-2'!B223="-"),"-",SUM('A-2'!B131,'A-2'!B177,'A-2'!B223))</f>
        <v>-</v>
      </c>
      <c r="D132" s="24">
        <f>IF(AND('A-2'!C131="-",'A-2'!C177="-",'A-2'!C223="-"),"-",SUM('A-2'!C131,'A-2'!C177,'A-2'!C223))</f>
        <v>4268</v>
      </c>
      <c r="E132" s="24">
        <f>IF(AND('A-2'!D131="-",'A-2'!D177="-",'A-2'!D223="-"),"-",SUM('A-2'!D131,'A-2'!D177,'A-2'!D223))</f>
        <v>3904</v>
      </c>
      <c r="F132" s="24">
        <f>IF(AND('A-2'!E131="-",'A-2'!E177="-",'A-2'!E223="-"),"-",SUM('A-2'!E131,'A-2'!E177,'A-2'!E223))</f>
        <v>3979</v>
      </c>
      <c r="G132" s="24">
        <f>IF(AND('A-2'!F131="-",'A-2'!F177="-",'A-2'!F223="-"),"-",SUM('A-2'!F131,'A-2'!F177,'A-2'!F223))</f>
        <v>2638</v>
      </c>
      <c r="H132" s="24">
        <f>IF(AND('A-2'!G131="-",'A-2'!G177="-",'A-2'!G223="-"),"-",SUM('A-2'!G131,'A-2'!G177,'A-2'!G223))</f>
        <v>1620</v>
      </c>
      <c r="I132" s="24">
        <f>IF(AND('A-2'!H131="-",'A-2'!H177="-",'A-2'!H223="-"),"-",SUM('A-2'!H131,'A-2'!H177,'A-2'!H223))</f>
        <v>223</v>
      </c>
      <c r="J132" s="24" t="s">
        <v>23</v>
      </c>
      <c r="K132" s="24" t="s">
        <v>23</v>
      </c>
      <c r="L132" s="142">
        <f t="shared" si="0"/>
        <v>16632</v>
      </c>
      <c r="M132" s="155"/>
      <c r="N132" s="17"/>
    </row>
    <row r="133" spans="1:14" ht="11.25" customHeight="1">
      <c r="A133" s="99">
        <v>2014</v>
      </c>
      <c r="B133" s="24" t="s">
        <v>23</v>
      </c>
      <c r="C133" s="24" t="str">
        <f>IF(AND('A-2'!B132="-",'A-2'!B178="-",'A-2'!B224="-"),"-",SUM('A-2'!B132,'A-2'!B178,'A-2'!B224))</f>
        <v>-</v>
      </c>
      <c r="D133" s="24">
        <f>IF(AND('A-2'!C132="-",'A-2'!C178="-",'A-2'!C224="-"),"-",SUM('A-2'!C132,'A-2'!C178,'A-2'!C224))</f>
        <v>3011</v>
      </c>
      <c r="E133" s="24">
        <f>IF(AND('A-2'!D132="-",'A-2'!D178="-",'A-2'!D224="-"),"-",SUM('A-2'!D132,'A-2'!D178,'A-2'!D224))</f>
        <v>2682</v>
      </c>
      <c r="F133" s="24">
        <f>IF(AND('A-2'!E132="-",'A-2'!E178="-",'A-2'!E224="-"),"-",SUM('A-2'!E132,'A-2'!E178,'A-2'!E224))</f>
        <v>3281</v>
      </c>
      <c r="G133" s="24">
        <f>IF(AND('A-2'!F132="-",'A-2'!F178="-",'A-2'!F224="-"),"-",SUM('A-2'!F132,'A-2'!F178,'A-2'!F224))</f>
        <v>2987</v>
      </c>
      <c r="H133" s="24">
        <f>IF(AND('A-2'!G132="-",'A-2'!G178="-",'A-2'!G224="-"),"-",SUM('A-2'!G132,'A-2'!G178,'A-2'!G224))</f>
        <v>1759</v>
      </c>
      <c r="I133" s="24">
        <f>IF(AND('A-2'!H132="-",'A-2'!H178="-",'A-2'!H224="-"),"-",SUM('A-2'!H132,'A-2'!H178,'A-2'!H224))</f>
        <v>575</v>
      </c>
      <c r="J133" s="24" t="s">
        <v>23</v>
      </c>
      <c r="K133" s="24" t="s">
        <v>23</v>
      </c>
      <c r="L133" s="142">
        <f t="shared" si="0"/>
        <v>14295</v>
      </c>
      <c r="M133" s="17"/>
      <c r="N133" s="17"/>
    </row>
    <row r="134" spans="1:14" ht="11.25" customHeight="1">
      <c r="A134" s="99">
        <v>2015</v>
      </c>
      <c r="B134" s="24" t="s">
        <v>23</v>
      </c>
      <c r="C134" s="24" t="str">
        <f>IF(AND('A-2'!B133="-",'A-2'!B179="-",'A-2'!B225="-"),"-",SUM('A-2'!B133,'A-2'!B179,'A-2'!B225))</f>
        <v>-</v>
      </c>
      <c r="D134" s="24">
        <f>IF(AND('A-2'!C133="-",'A-2'!C179="-",'A-2'!C225="-"),"-",SUM('A-2'!C133,'A-2'!C179,'A-2'!C225))</f>
        <v>4434</v>
      </c>
      <c r="E134" s="24">
        <f>IF(AND('A-2'!D133="-",'A-2'!D179="-",'A-2'!D225="-"),"-",SUM('A-2'!D133,'A-2'!D179,'A-2'!D225))</f>
        <v>2392</v>
      </c>
      <c r="F134" s="24">
        <f>IF(AND('A-2'!E133="-",'A-2'!E179="-",'A-2'!E225="-"),"-",SUM('A-2'!E133,'A-2'!E179,'A-2'!E225))</f>
        <v>1943</v>
      </c>
      <c r="G134" s="24">
        <f>IF(AND('A-2'!F133="-",'A-2'!F179="-",'A-2'!F225="-"),"-",SUM('A-2'!F133,'A-2'!F179,'A-2'!F225))</f>
        <v>2000</v>
      </c>
      <c r="H134" s="24">
        <f>IF(AND('A-2'!G133="-",'A-2'!G179="-",'A-2'!G225="-"),"-",SUM('A-2'!G133,'A-2'!G179,'A-2'!G225))</f>
        <v>1695</v>
      </c>
      <c r="I134" s="24">
        <f>IF(AND('A-2'!H133="-",'A-2'!H179="-",'A-2'!H225="-"),"-",SUM('A-2'!H133,'A-2'!H179,'A-2'!H225))</f>
        <v>515</v>
      </c>
      <c r="J134" s="24" t="s">
        <v>23</v>
      </c>
      <c r="K134" s="24" t="s">
        <v>23</v>
      </c>
      <c r="L134" s="142">
        <f>SUM(B134:K134)</f>
        <v>12979</v>
      </c>
      <c r="M134" s="17"/>
      <c r="N134" s="17"/>
    </row>
    <row r="135" spans="1:14" ht="11.25" customHeight="1">
      <c r="A135" s="99">
        <v>2016</v>
      </c>
      <c r="B135" s="24" t="s">
        <v>23</v>
      </c>
      <c r="C135" s="24" t="str">
        <f>IF(AND('A-2'!B134="-",'A-2'!B180="-",'A-2'!B226="-"),"-",SUM('A-2'!B134,'A-2'!B180,'A-2'!B226))</f>
        <v>-</v>
      </c>
      <c r="D135" s="24">
        <f>IF(AND('A-2'!C134="-",'A-2'!C180="-",'A-2'!C226="-"),"-",SUM('A-2'!C134,'A-2'!C180,'A-2'!C226))</f>
        <v>1662</v>
      </c>
      <c r="E135" s="24">
        <f>IF(AND('A-2'!D134="-",'A-2'!D180="-",'A-2'!D226="-"),"-",SUM('A-2'!D134,'A-2'!D180,'A-2'!D226))</f>
        <v>1290</v>
      </c>
      <c r="F135" s="24" t="str">
        <f>IF(AND('A-2'!E134="-",'A-2'!E180="-",'A-2'!E226="-"),"-",SUM('A-2'!E134,'A-2'!E180,'A-2'!E226))</f>
        <v>-</v>
      </c>
      <c r="G135" s="24">
        <f>IF(AND('A-2'!F134="-",'A-2'!F180="-",'A-2'!F226="-"),"-",SUM('A-2'!F134,'A-2'!F180,'A-2'!F226))</f>
        <v>2450</v>
      </c>
      <c r="H135" s="24">
        <f>IF(AND('A-2'!G134="-",'A-2'!G180="-",'A-2'!G226="-"),"-",SUM('A-2'!G134,'A-2'!G180,'A-2'!G226))</f>
        <v>1563</v>
      </c>
      <c r="I135" s="24">
        <f>IF(AND('A-2'!H134="-",'A-2'!H180="-",'A-2'!H226="-"),"-",SUM('A-2'!H134,'A-2'!H180,'A-2'!H226))</f>
        <v>174</v>
      </c>
      <c r="J135" s="24" t="s">
        <v>23</v>
      </c>
      <c r="K135" s="24" t="s">
        <v>23</v>
      </c>
      <c r="L135" s="142">
        <f>SUM(B135:K135)</f>
        <v>7139</v>
      </c>
      <c r="M135" s="17"/>
      <c r="N135" s="17"/>
    </row>
    <row r="136" spans="1:14" ht="11.25" customHeight="1">
      <c r="A136" s="99">
        <v>2017</v>
      </c>
      <c r="B136" s="24" t="s">
        <v>23</v>
      </c>
      <c r="C136" s="24" t="str">
        <f>IF(AND('A-2'!B135="-",'A-2'!B181="-",'A-2'!B227="-"),"-",SUM('A-2'!B135,'A-2'!B181,'A-2'!B227))</f>
        <v>-</v>
      </c>
      <c r="D136" s="24">
        <f>IF(AND('A-2'!C135="-",'A-2'!C181="-",'A-2'!C227="-"),"-",SUM('A-2'!C135,'A-2'!C181,'A-2'!C227))</f>
        <v>874</v>
      </c>
      <c r="E136" s="24">
        <f>IF(AND('A-2'!D135="-",'A-2'!D181="-",'A-2'!D227="-"),"-",SUM('A-2'!D135,'A-2'!D181,'A-2'!D227))</f>
        <v>1210</v>
      </c>
      <c r="F136" s="24" t="str">
        <f>IF(AND('A-2'!E135="-",'A-2'!E181="-",'A-2'!E227="-"),"-",SUM('A-2'!E135,'A-2'!E181,'A-2'!E227))</f>
        <v>-</v>
      </c>
      <c r="G136" s="24">
        <f>IF(AND('A-2'!F135="-",'A-2'!F181="-",'A-2'!F227="-"),"-",SUM('A-2'!F135,'A-2'!F181,'A-2'!F227))</f>
        <v>2610</v>
      </c>
      <c r="H136" s="24">
        <f>IF(AND('A-2'!G135="-",'A-2'!G181="-",'A-2'!G227="-"),"-",SUM('A-2'!G135,'A-2'!G181,'A-2'!G227))</f>
        <v>1811</v>
      </c>
      <c r="I136" s="24">
        <f>IF(AND('A-2'!H135="-",'A-2'!H181="-",'A-2'!H227="-"),"-",SUM('A-2'!H135,'A-2'!H181,'A-2'!H227))</f>
        <v>220</v>
      </c>
      <c r="J136" s="24" t="s">
        <v>23</v>
      </c>
      <c r="K136" s="24" t="s">
        <v>23</v>
      </c>
      <c r="L136" s="142">
        <f>SUM(B136:K136)</f>
        <v>6725</v>
      </c>
      <c r="M136" s="17"/>
      <c r="N136" s="17"/>
    </row>
    <row r="137" spans="1:14" ht="11.25" customHeight="1">
      <c r="A137" s="99">
        <v>2018</v>
      </c>
      <c r="B137" s="24" t="s">
        <v>23</v>
      </c>
      <c r="C137" s="24" t="str">
        <f>IF(AND('A-2'!B136="-",'A-2'!B182="-",'A-2'!B228="-"),"-",SUM('A-2'!B136,'A-2'!B182,'A-2'!B228))</f>
        <v>-</v>
      </c>
      <c r="D137" s="24">
        <f>IF(AND('A-2'!C136="-",'A-2'!C182="-",'A-2'!C228="-"),"-",SUM('A-2'!C136,'A-2'!C182,'A-2'!C228))</f>
        <v>473</v>
      </c>
      <c r="E137" s="24">
        <f>IF(AND('A-2'!D136="-",'A-2'!D182="-",'A-2'!D228="-"),"-",SUM('A-2'!D136,'A-2'!D182,'A-2'!D228))</f>
        <v>839</v>
      </c>
      <c r="F137" s="24">
        <f>IF(AND('A-2'!E136="-",'A-2'!E182="-",'A-2'!E228="-"),"-",SUM('A-2'!E136,'A-2'!E182,'A-2'!E228))</f>
        <v>823</v>
      </c>
      <c r="G137" s="24">
        <f>IF(AND('A-2'!F136="-",'A-2'!F182="-",'A-2'!F228="-"),"-",SUM('A-2'!F136,'A-2'!F182,'A-2'!F228))</f>
        <v>2751</v>
      </c>
      <c r="H137" s="24">
        <f>IF(AND('A-2'!G136="-",'A-2'!G182="-",'A-2'!G228="-"),"-",SUM('A-2'!G136,'A-2'!G182,'A-2'!G228))</f>
        <v>1551</v>
      </c>
      <c r="I137" s="24">
        <f>IF(AND('A-2'!H136="-",'A-2'!H182="-",'A-2'!H228="-"),"-",SUM('A-2'!H136,'A-2'!H182,'A-2'!H228))</f>
        <v>441</v>
      </c>
      <c r="J137" s="24" t="s">
        <v>23</v>
      </c>
      <c r="K137" s="24" t="s">
        <v>23</v>
      </c>
      <c r="L137" s="142">
        <f>SUM(B137:K137)</f>
        <v>6878</v>
      </c>
      <c r="M137" s="17"/>
      <c r="N137" s="17"/>
    </row>
    <row r="138" spans="1:14" ht="11.25" customHeight="1">
      <c r="A138" s="99">
        <v>2019</v>
      </c>
      <c r="B138" s="24" t="s">
        <v>23</v>
      </c>
      <c r="C138" s="24" t="str">
        <f>IF(AND('A-2'!B137="-",'A-2'!B183="-",'A-2'!B229="-"),"-",SUM('A-2'!B137,'A-2'!B183,'A-2'!B229))</f>
        <v>-</v>
      </c>
      <c r="D138" s="24">
        <f>IF(AND('A-2'!C137="-",'A-2'!C183="-",'A-2'!C229="-"),"-",SUM('A-2'!C137,'A-2'!C183,'A-2'!C229))</f>
        <v>3872</v>
      </c>
      <c r="E138" s="24">
        <f>IF(AND('A-2'!D137="-",'A-2'!D183="-",'A-2'!D229="-"),"-",SUM('A-2'!D137,'A-2'!D183,'A-2'!D229))</f>
        <v>4370</v>
      </c>
      <c r="F138" s="24">
        <f>IF(AND('A-2'!E137="-",'A-2'!E183="-",'A-2'!E229="-"),"-",SUM('A-2'!E137,'A-2'!E183,'A-2'!E229))</f>
        <v>3091</v>
      </c>
      <c r="G138" s="24">
        <f>IF(AND('A-2'!F137="-",'A-2'!F183="-",'A-2'!F229="-"),"-",SUM('A-2'!F137,'A-2'!F183,'A-2'!F229))</f>
        <v>2794</v>
      </c>
      <c r="H138" s="24">
        <f>IF(AND('A-2'!G137="-",'A-2'!G183="-",'A-2'!G229="-"),"-",SUM('A-2'!G137,'A-2'!G183,'A-2'!G229))</f>
        <v>1108</v>
      </c>
      <c r="I138" s="24">
        <f>IF(AND('A-2'!H137="-",'A-2'!H183="-",'A-2'!H229="-"),"-",SUM('A-2'!H137,'A-2'!H183,'A-2'!H229))</f>
        <v>251</v>
      </c>
      <c r="J138" s="24" t="s">
        <v>23</v>
      </c>
      <c r="K138" s="24" t="s">
        <v>23</v>
      </c>
      <c r="L138" s="142">
        <f t="shared" ref="L138:L139" si="1">SUM(B138:K138)</f>
        <v>15486</v>
      </c>
      <c r="M138" s="17"/>
      <c r="N138" s="17"/>
    </row>
    <row r="139" spans="1:14" ht="11.25" customHeight="1">
      <c r="A139" s="99" t="s">
        <v>309</v>
      </c>
      <c r="B139" s="24" t="s">
        <v>23</v>
      </c>
      <c r="C139" s="24" t="str">
        <f>IF(AND('A-2'!B138="-",'A-2'!B184="-",'A-2'!B230="-"),"-",SUM('A-2'!B138,'A-2'!B184,'A-2'!B230))</f>
        <v>-</v>
      </c>
      <c r="D139" s="24">
        <f>IF(AND('A-2'!C138="-",'A-2'!C184="-",'A-2'!C230="-"),"-",SUM('A-2'!C138,'A-2'!C184,'A-2'!C230))</f>
        <v>2665</v>
      </c>
      <c r="E139" s="24">
        <f>IF(AND('A-2'!D138="-",'A-2'!D184="-",'A-2'!D230="-"),"-",SUM('A-2'!D138,'A-2'!D184,'A-2'!D230))</f>
        <v>3359</v>
      </c>
      <c r="F139" s="24">
        <f>IF(AND('A-2'!E138="-",'A-2'!E184="-",'A-2'!E230="-"),"-",SUM('A-2'!E138,'A-2'!E184,'A-2'!E230))</f>
        <v>2895</v>
      </c>
      <c r="G139" s="24">
        <f>IF(AND('A-2'!F138="-",'A-2'!F184="-",'A-2'!F230="-"),"-",SUM('A-2'!F138,'A-2'!F184,'A-2'!F230))</f>
        <v>1713</v>
      </c>
      <c r="H139" s="24">
        <f>IF(AND('A-2'!G138="-",'A-2'!G184="-",'A-2'!G230="-"),"-",SUM('A-2'!G138,'A-2'!G184,'A-2'!G230))</f>
        <v>1086</v>
      </c>
      <c r="I139" s="24">
        <f>IF(AND('A-2'!H138="-",'A-2'!H184="-",'A-2'!H230="-"),"-",SUM('A-2'!H138,'A-2'!H184,'A-2'!H230))</f>
        <v>568</v>
      </c>
      <c r="J139" s="24" t="s">
        <v>23</v>
      </c>
      <c r="K139" s="24" t="s">
        <v>23</v>
      </c>
      <c r="L139" s="142">
        <f t="shared" si="1"/>
        <v>12286</v>
      </c>
      <c r="M139" s="17"/>
      <c r="N139" s="17"/>
    </row>
    <row r="140" spans="1:14" ht="11.25" customHeight="1">
      <c r="A140" s="99" t="s">
        <v>317</v>
      </c>
      <c r="B140" s="24" t="s">
        <v>23</v>
      </c>
      <c r="C140" s="24" t="str">
        <f>IF(AND('A-2'!B139="-",'A-2'!B185="-",'A-2'!B231="-"),"-",SUM('A-2'!B139,'A-2'!B185,'A-2'!B231))</f>
        <v>-</v>
      </c>
      <c r="D140" s="24">
        <f>IF(AND('A-2'!C139="-",'A-2'!C185="-",'A-2'!C231="-"),"-",SUM('A-2'!C139,'A-2'!C185,'A-2'!C231))</f>
        <v>2525</v>
      </c>
      <c r="E140" s="24">
        <f>IF(AND('A-2'!D139="-",'A-2'!D185="-",'A-2'!D231="-"),"-",SUM('A-2'!D139,'A-2'!D185,'A-2'!D231))</f>
        <v>2592</v>
      </c>
      <c r="F140" s="24">
        <f>IF(AND('A-2'!E139="-",'A-2'!E185="-",'A-2'!E231="-"),"-",SUM('A-2'!E139,'A-2'!E185,'A-2'!E231))</f>
        <v>767</v>
      </c>
      <c r="G140" s="24">
        <f>IF(AND('A-2'!F139="-",'A-2'!F185="-",'A-2'!F231="-"),"-",SUM('A-2'!F139,'A-2'!F185,'A-2'!F231))</f>
        <v>2392</v>
      </c>
      <c r="H140" s="24">
        <f>IF(AND('A-2'!G139="-",'A-2'!G185="-",'A-2'!G231="-"),"-",SUM('A-2'!G139,'A-2'!G185,'A-2'!G231))</f>
        <v>1324</v>
      </c>
      <c r="I140" s="24">
        <f>IF(AND('A-2'!H139="-",'A-2'!H185="-",'A-2'!H231="-"),"-",SUM('A-2'!H139,'A-2'!H185,'A-2'!H231))</f>
        <v>317</v>
      </c>
      <c r="J140" s="24" t="s">
        <v>23</v>
      </c>
      <c r="K140" s="24" t="s">
        <v>23</v>
      </c>
      <c r="L140" s="142">
        <f t="shared" si="0"/>
        <v>9917</v>
      </c>
      <c r="M140" s="17"/>
      <c r="N140" s="17"/>
    </row>
    <row r="141" spans="1:14" ht="11.25" customHeight="1">
      <c r="A141" s="99"/>
      <c r="B141" s="24"/>
      <c r="C141" s="24"/>
      <c r="D141" s="24"/>
      <c r="E141" s="24"/>
      <c r="F141" s="24"/>
      <c r="G141" s="24"/>
      <c r="H141" s="24"/>
      <c r="I141" s="24"/>
      <c r="J141" s="24"/>
      <c r="K141" s="24"/>
      <c r="L141" s="142"/>
      <c r="M141" s="17"/>
      <c r="N141" s="17"/>
    </row>
    <row r="142" spans="1:14" ht="11.25" customHeight="1">
      <c r="A142" s="97" t="s">
        <v>226</v>
      </c>
      <c r="B142" s="24"/>
      <c r="C142" s="24"/>
      <c r="D142" s="24"/>
      <c r="E142" s="24"/>
      <c r="F142" s="24"/>
      <c r="G142" s="24"/>
      <c r="H142" s="24"/>
      <c r="I142" s="24"/>
      <c r="J142" s="24"/>
      <c r="K142" s="24"/>
      <c r="L142" s="142"/>
      <c r="M142" s="17"/>
      <c r="N142" s="17"/>
    </row>
    <row r="143" spans="1:14" ht="11.25" customHeight="1">
      <c r="A143" s="99">
        <v>1978</v>
      </c>
      <c r="B143" s="24" t="str">
        <f t="shared" ref="B143:C162" si="2">IF(AND(B97="-",B51="-",B5="-"),"-",SUM(B97,B51,B5))</f>
        <v>-</v>
      </c>
      <c r="C143" s="24">
        <f t="shared" si="2"/>
        <v>3424</v>
      </c>
      <c r="D143" s="24">
        <f t="shared" ref="D143:L143" si="3">IF(AND(D97="-",D51="-",D5="-"),"-",SUM(D97,D51,D5))</f>
        <v>20630</v>
      </c>
      <c r="E143" s="24">
        <f t="shared" si="3"/>
        <v>45886</v>
      </c>
      <c r="F143" s="24">
        <f t="shared" si="3"/>
        <v>40326</v>
      </c>
      <c r="G143" s="24">
        <f t="shared" si="3"/>
        <v>21053</v>
      </c>
      <c r="H143" s="24">
        <f t="shared" si="3"/>
        <v>7729</v>
      </c>
      <c r="I143" s="24">
        <f t="shared" si="3"/>
        <v>2020</v>
      </c>
      <c r="J143" s="24">
        <f t="shared" si="3"/>
        <v>1017</v>
      </c>
      <c r="K143" s="24" t="str">
        <f t="shared" si="3"/>
        <v>-</v>
      </c>
      <c r="L143" s="142">
        <f t="shared" si="3"/>
        <v>142085</v>
      </c>
      <c r="M143" s="17"/>
      <c r="N143" s="17"/>
    </row>
    <row r="144" spans="1:14" ht="11.25" customHeight="1">
      <c r="A144" s="99">
        <v>1979</v>
      </c>
      <c r="B144" s="24" t="str">
        <f t="shared" si="2"/>
        <v>-</v>
      </c>
      <c r="C144" s="24">
        <f t="shared" si="2"/>
        <v>12</v>
      </c>
      <c r="D144" s="24">
        <f t="shared" ref="D144:L144" si="4">IF(AND(D98="-",D52="-",D6="-"),"-",SUM(D98,D52,D6))</f>
        <v>18669</v>
      </c>
      <c r="E144" s="24">
        <f t="shared" si="4"/>
        <v>16205</v>
      </c>
      <c r="F144" s="24">
        <f t="shared" si="4"/>
        <v>58500</v>
      </c>
      <c r="G144" s="24">
        <f t="shared" si="4"/>
        <v>41380</v>
      </c>
      <c r="H144" s="24">
        <f t="shared" si="4"/>
        <v>9178</v>
      </c>
      <c r="I144" s="24">
        <f t="shared" si="4"/>
        <v>1187</v>
      </c>
      <c r="J144" s="24">
        <f t="shared" si="4"/>
        <v>203</v>
      </c>
      <c r="K144" s="24" t="str">
        <f t="shared" si="4"/>
        <v>-</v>
      </c>
      <c r="L144" s="142">
        <f t="shared" si="4"/>
        <v>145334</v>
      </c>
      <c r="M144" s="17"/>
      <c r="N144" s="17"/>
    </row>
    <row r="145" spans="1:14" ht="11.25" customHeight="1">
      <c r="A145" s="99">
        <v>1980</v>
      </c>
      <c r="B145" s="24" t="str">
        <f t="shared" si="2"/>
        <v>-</v>
      </c>
      <c r="C145" s="24" t="str">
        <f t="shared" si="2"/>
        <v>-</v>
      </c>
      <c r="D145" s="24">
        <f t="shared" ref="D145:L145" si="5">IF(AND(D99="-",D53="-",D7="-"),"-",SUM(D99,D53,D7))</f>
        <v>26587</v>
      </c>
      <c r="E145" s="24">
        <f t="shared" si="5"/>
        <v>1951</v>
      </c>
      <c r="F145" s="24">
        <f t="shared" si="5"/>
        <v>38829</v>
      </c>
      <c r="G145" s="24">
        <f t="shared" si="5"/>
        <v>27431</v>
      </c>
      <c r="H145" s="24">
        <f t="shared" si="5"/>
        <v>13783</v>
      </c>
      <c r="I145" s="24">
        <f t="shared" si="5"/>
        <v>1451</v>
      </c>
      <c r="J145" s="24">
        <f t="shared" si="5"/>
        <v>513</v>
      </c>
      <c r="K145" s="24" t="str">
        <f t="shared" si="5"/>
        <v>-</v>
      </c>
      <c r="L145" s="142">
        <f t="shared" si="5"/>
        <v>110545</v>
      </c>
      <c r="M145" s="17"/>
      <c r="N145" s="17"/>
    </row>
    <row r="146" spans="1:14" ht="11.25" customHeight="1">
      <c r="A146" s="99">
        <v>1981</v>
      </c>
      <c r="B146" s="24" t="str">
        <f t="shared" si="2"/>
        <v>-</v>
      </c>
      <c r="C146" s="24" t="str">
        <f t="shared" si="2"/>
        <v>-</v>
      </c>
      <c r="D146" s="24">
        <f t="shared" ref="D146:L146" si="6">IF(AND(D100="-",D54="-",D8="-"),"-",SUM(D100,D54,D8))</f>
        <v>21845</v>
      </c>
      <c r="E146" s="24">
        <f t="shared" si="6"/>
        <v>6284</v>
      </c>
      <c r="F146" s="24">
        <f t="shared" si="6"/>
        <v>41604</v>
      </c>
      <c r="G146" s="24">
        <f t="shared" si="6"/>
        <v>30776</v>
      </c>
      <c r="H146" s="24">
        <f t="shared" si="6"/>
        <v>8156</v>
      </c>
      <c r="I146" s="24">
        <f t="shared" si="6"/>
        <v>1841</v>
      </c>
      <c r="J146" s="24">
        <f t="shared" si="6"/>
        <v>453</v>
      </c>
      <c r="K146" s="24" t="str">
        <f t="shared" si="6"/>
        <v>-</v>
      </c>
      <c r="L146" s="142">
        <f t="shared" si="6"/>
        <v>110959</v>
      </c>
      <c r="M146" s="17"/>
      <c r="N146" s="17"/>
    </row>
    <row r="147" spans="1:14" ht="11.25" customHeight="1">
      <c r="A147" s="99">
        <v>1982</v>
      </c>
      <c r="B147" s="24" t="str">
        <f t="shared" si="2"/>
        <v>-</v>
      </c>
      <c r="C147" s="24">
        <f t="shared" si="2"/>
        <v>3755</v>
      </c>
      <c r="D147" s="24">
        <f t="shared" ref="D147:L147" si="7">IF(AND(D101="-",D55="-",D9="-"),"-",SUM(D101,D55,D9))</f>
        <v>19552</v>
      </c>
      <c r="E147" s="24">
        <f t="shared" si="7"/>
        <v>11642</v>
      </c>
      <c r="F147" s="24">
        <f t="shared" si="7"/>
        <v>49520</v>
      </c>
      <c r="G147" s="24">
        <f t="shared" si="7"/>
        <v>27147</v>
      </c>
      <c r="H147" s="24">
        <f t="shared" si="7"/>
        <v>10652</v>
      </c>
      <c r="I147" s="24">
        <f t="shared" si="7"/>
        <v>1886</v>
      </c>
      <c r="J147" s="24">
        <f t="shared" si="7"/>
        <v>585</v>
      </c>
      <c r="K147" s="24" t="str">
        <f t="shared" si="7"/>
        <v>-</v>
      </c>
      <c r="L147" s="142">
        <f t="shared" si="7"/>
        <v>124739</v>
      </c>
      <c r="M147" s="17"/>
      <c r="N147" s="17"/>
    </row>
    <row r="148" spans="1:14" ht="11.25" customHeight="1">
      <c r="A148" s="99">
        <v>1983</v>
      </c>
      <c r="B148" s="24" t="str">
        <f t="shared" si="2"/>
        <v>-</v>
      </c>
      <c r="C148" s="24">
        <f t="shared" si="2"/>
        <v>319</v>
      </c>
      <c r="D148" s="24">
        <f t="shared" ref="D148:L148" si="8">IF(AND(D102="-",D56="-",D10="-"),"-",SUM(D102,D56,D10))</f>
        <v>11129</v>
      </c>
      <c r="E148" s="24">
        <f t="shared" si="8"/>
        <v>13273</v>
      </c>
      <c r="F148" s="24">
        <f t="shared" si="8"/>
        <v>26017</v>
      </c>
      <c r="G148" s="24">
        <f t="shared" si="8"/>
        <v>9697</v>
      </c>
      <c r="H148" s="24">
        <f t="shared" si="8"/>
        <v>2253</v>
      </c>
      <c r="I148" s="24">
        <f t="shared" si="8"/>
        <v>1135</v>
      </c>
      <c r="J148" s="24">
        <f t="shared" si="8"/>
        <v>138</v>
      </c>
      <c r="K148" s="24" t="str">
        <f t="shared" si="8"/>
        <v>-</v>
      </c>
      <c r="L148" s="142">
        <f t="shared" si="8"/>
        <v>63961</v>
      </c>
      <c r="M148" s="17"/>
      <c r="N148" s="17"/>
    </row>
    <row r="149" spans="1:14" ht="11.25" customHeight="1">
      <c r="A149" s="99">
        <v>1984</v>
      </c>
      <c r="B149" s="24" t="str">
        <f t="shared" si="2"/>
        <v>-</v>
      </c>
      <c r="C149" s="24" t="str">
        <f t="shared" si="2"/>
        <v>-</v>
      </c>
      <c r="D149" s="24">
        <f t="shared" ref="D149:L149" si="9">IF(AND(D103="-",D57="-",D11="-"),"-",SUM(D103,D57,D11))</f>
        <v>5806</v>
      </c>
      <c r="E149" s="24">
        <f t="shared" si="9"/>
        <v>8887</v>
      </c>
      <c r="F149" s="24">
        <f t="shared" si="9"/>
        <v>14987</v>
      </c>
      <c r="G149" s="24">
        <f t="shared" si="9"/>
        <v>13702</v>
      </c>
      <c r="H149" s="24">
        <f t="shared" si="9"/>
        <v>5653</v>
      </c>
      <c r="I149" s="24">
        <f t="shared" si="9"/>
        <v>273</v>
      </c>
      <c r="J149" s="24">
        <f t="shared" si="9"/>
        <v>216</v>
      </c>
      <c r="K149" s="24" t="str">
        <f t="shared" si="9"/>
        <v>-</v>
      </c>
      <c r="L149" s="142">
        <f t="shared" si="9"/>
        <v>49524</v>
      </c>
      <c r="M149" s="17"/>
      <c r="N149" s="17"/>
    </row>
    <row r="150" spans="1:14" ht="11.25" customHeight="1">
      <c r="A150" s="99">
        <v>1985</v>
      </c>
      <c r="B150" s="24" t="str">
        <f t="shared" si="2"/>
        <v>-</v>
      </c>
      <c r="C150" s="24" t="str">
        <f t="shared" si="2"/>
        <v>-</v>
      </c>
      <c r="D150" s="24">
        <f t="shared" ref="D150:L150" si="10">IF(AND(D104="-",D58="-",D12="-"),"-",SUM(D104,D58,D12))</f>
        <v>14752</v>
      </c>
      <c r="E150" s="24">
        <f t="shared" si="10"/>
        <v>13460</v>
      </c>
      <c r="F150" s="24">
        <f t="shared" si="10"/>
        <v>19350</v>
      </c>
      <c r="G150" s="24">
        <f t="shared" si="10"/>
        <v>14784</v>
      </c>
      <c r="H150" s="24">
        <f t="shared" si="10"/>
        <v>8190</v>
      </c>
      <c r="I150" s="24">
        <f t="shared" si="10"/>
        <v>767</v>
      </c>
      <c r="J150" s="24">
        <f t="shared" si="10"/>
        <v>340</v>
      </c>
      <c r="K150" s="24" t="str">
        <f t="shared" si="10"/>
        <v>-</v>
      </c>
      <c r="L150" s="142">
        <f t="shared" si="10"/>
        <v>71643</v>
      </c>
      <c r="M150" s="17"/>
      <c r="N150" s="17"/>
    </row>
    <row r="151" spans="1:14" ht="11.25" customHeight="1">
      <c r="A151" s="99">
        <v>1986</v>
      </c>
      <c r="B151" s="24" t="str">
        <f t="shared" si="2"/>
        <v>-</v>
      </c>
      <c r="C151" s="24" t="str">
        <f t="shared" si="2"/>
        <v>-</v>
      </c>
      <c r="D151" s="24">
        <f t="shared" ref="D151:L151" si="11">IF(AND(D105="-",D59="-",D13="-"),"-",SUM(D105,D59,D13))</f>
        <v>17606</v>
      </c>
      <c r="E151" s="24">
        <f t="shared" si="11"/>
        <v>18044</v>
      </c>
      <c r="F151" s="24">
        <f t="shared" si="11"/>
        <v>29097</v>
      </c>
      <c r="G151" s="24">
        <f t="shared" si="11"/>
        <v>15644</v>
      </c>
      <c r="H151" s="24">
        <f t="shared" si="11"/>
        <v>4120</v>
      </c>
      <c r="I151" s="24">
        <f t="shared" si="11"/>
        <v>1327</v>
      </c>
      <c r="J151" s="24">
        <f t="shared" si="11"/>
        <v>131</v>
      </c>
      <c r="K151" s="24" t="str">
        <f t="shared" si="11"/>
        <v>-</v>
      </c>
      <c r="L151" s="142">
        <f t="shared" si="11"/>
        <v>85969</v>
      </c>
      <c r="M151" s="17"/>
      <c r="N151" s="17"/>
    </row>
    <row r="152" spans="1:14" ht="11.25" customHeight="1">
      <c r="A152" s="99">
        <v>1987</v>
      </c>
      <c r="B152" s="24" t="str">
        <f t="shared" si="2"/>
        <v>-</v>
      </c>
      <c r="C152" s="24" t="str">
        <f t="shared" si="2"/>
        <v>-</v>
      </c>
      <c r="D152" s="24">
        <f t="shared" ref="D152:L152" si="12">IF(AND(D106="-",D60="-",D14="-"),"-",SUM(D106,D60,D14))</f>
        <v>18201</v>
      </c>
      <c r="E152" s="24">
        <f t="shared" si="12"/>
        <v>19861</v>
      </c>
      <c r="F152" s="24">
        <f t="shared" si="12"/>
        <v>30923.078658355596</v>
      </c>
      <c r="G152" s="24">
        <f t="shared" si="12"/>
        <v>16539</v>
      </c>
      <c r="H152" s="24">
        <f t="shared" si="12"/>
        <v>9077</v>
      </c>
      <c r="I152" s="24">
        <f t="shared" si="12"/>
        <v>2688</v>
      </c>
      <c r="J152" s="24">
        <f t="shared" si="12"/>
        <v>311</v>
      </c>
      <c r="K152" s="24" t="str">
        <f t="shared" si="12"/>
        <v>-</v>
      </c>
      <c r="L152" s="142">
        <f t="shared" si="12"/>
        <v>97600.078658355604</v>
      </c>
      <c r="M152" s="17"/>
      <c r="N152" s="17"/>
    </row>
    <row r="153" spans="1:14" ht="11.25" customHeight="1">
      <c r="A153" s="99">
        <v>1988</v>
      </c>
      <c r="B153" s="24" t="str">
        <f t="shared" si="2"/>
        <v>-</v>
      </c>
      <c r="C153" s="24" t="str">
        <f t="shared" si="2"/>
        <v>-</v>
      </c>
      <c r="D153" s="24">
        <f t="shared" ref="D153:L153" si="13">IF(AND(D107="-",D61="-",D15="-"),"-",SUM(D107,D61,D15))</f>
        <v>21479.282235939645</v>
      </c>
      <c r="E153" s="24">
        <f t="shared" si="13"/>
        <v>26838</v>
      </c>
      <c r="F153" s="24">
        <f t="shared" si="13"/>
        <v>36871</v>
      </c>
      <c r="G153" s="24">
        <f t="shared" si="13"/>
        <v>26579</v>
      </c>
      <c r="H153" s="24">
        <f t="shared" si="13"/>
        <v>10319</v>
      </c>
      <c r="I153" s="24">
        <f t="shared" si="13"/>
        <v>3981</v>
      </c>
      <c r="J153" s="24">
        <f t="shared" si="13"/>
        <v>227</v>
      </c>
      <c r="K153" s="24" t="str">
        <f t="shared" si="13"/>
        <v>-</v>
      </c>
      <c r="L153" s="142">
        <f t="shared" si="13"/>
        <v>126294.28223593965</v>
      </c>
      <c r="M153" s="17"/>
      <c r="N153" s="17"/>
    </row>
    <row r="154" spans="1:14" ht="11.25" customHeight="1">
      <c r="A154" s="99">
        <v>1989</v>
      </c>
      <c r="B154" s="24" t="str">
        <f t="shared" si="2"/>
        <v>-</v>
      </c>
      <c r="C154" s="24" t="str">
        <f t="shared" si="2"/>
        <v>-</v>
      </c>
      <c r="D154" s="24">
        <f t="shared" ref="D154:L154" si="14">IF(AND(D108="-",D62="-",D16="-"),"-",SUM(D108,D62,D16))</f>
        <v>20222</v>
      </c>
      <c r="E154" s="24">
        <f t="shared" si="14"/>
        <v>22612</v>
      </c>
      <c r="F154" s="24">
        <f t="shared" si="14"/>
        <v>25643</v>
      </c>
      <c r="G154" s="24">
        <f t="shared" si="14"/>
        <v>19936</v>
      </c>
      <c r="H154" s="24">
        <f t="shared" si="14"/>
        <v>7057</v>
      </c>
      <c r="I154" s="24">
        <f t="shared" si="14"/>
        <v>2568</v>
      </c>
      <c r="J154" s="24">
        <f t="shared" si="14"/>
        <v>497</v>
      </c>
      <c r="K154" s="24" t="str">
        <f t="shared" si="14"/>
        <v>-</v>
      </c>
      <c r="L154" s="142">
        <f t="shared" si="14"/>
        <v>98535</v>
      </c>
      <c r="M154" s="17"/>
      <c r="N154" s="17"/>
    </row>
    <row r="155" spans="1:14" ht="11.25" customHeight="1">
      <c r="A155" s="99">
        <v>1990</v>
      </c>
      <c r="B155" s="24" t="str">
        <f t="shared" si="2"/>
        <v>-</v>
      </c>
      <c r="C155" s="24" t="str">
        <f t="shared" si="2"/>
        <v>-</v>
      </c>
      <c r="D155" s="24">
        <f t="shared" ref="D155:L155" si="15">IF(AND(D109="-",D63="-",D17="-"),"-",SUM(D109,D63,D17))</f>
        <v>15436</v>
      </c>
      <c r="E155" s="24">
        <f t="shared" si="15"/>
        <v>18933</v>
      </c>
      <c r="F155" s="24">
        <f t="shared" si="15"/>
        <v>21474</v>
      </c>
      <c r="G155" s="24">
        <f t="shared" si="15"/>
        <v>12292</v>
      </c>
      <c r="H155" s="24">
        <f t="shared" si="15"/>
        <v>2449</v>
      </c>
      <c r="I155" s="24">
        <f t="shared" si="15"/>
        <v>1046</v>
      </c>
      <c r="J155" s="24" t="str">
        <f t="shared" si="15"/>
        <v>-</v>
      </c>
      <c r="K155" s="24" t="str">
        <f t="shared" si="15"/>
        <v>-</v>
      </c>
      <c r="L155" s="142">
        <f t="shared" si="15"/>
        <v>71630</v>
      </c>
      <c r="M155" s="17"/>
      <c r="N155" s="17"/>
    </row>
    <row r="156" spans="1:14" ht="11.25" customHeight="1">
      <c r="A156" s="99">
        <v>1991</v>
      </c>
      <c r="B156" s="24" t="str">
        <f t="shared" si="2"/>
        <v>-</v>
      </c>
      <c r="C156" s="24" t="str">
        <f t="shared" si="2"/>
        <v>-</v>
      </c>
      <c r="D156" s="24">
        <f t="shared" ref="D156:L156" si="16">IF(AND(D110="-",D64="-",D18="-"),"-",SUM(D110,D64,D18))</f>
        <v>9095</v>
      </c>
      <c r="E156" s="24">
        <f t="shared" si="16"/>
        <v>14848</v>
      </c>
      <c r="F156" s="24">
        <f t="shared" si="16"/>
        <v>10502</v>
      </c>
      <c r="G156" s="24">
        <f t="shared" si="16"/>
        <v>9067</v>
      </c>
      <c r="H156" s="24">
        <f t="shared" si="16"/>
        <v>4281</v>
      </c>
      <c r="I156" s="24">
        <f t="shared" si="16"/>
        <v>1696</v>
      </c>
      <c r="J156" s="24" t="str">
        <f t="shared" si="16"/>
        <v>-</v>
      </c>
      <c r="K156" s="24" t="str">
        <f t="shared" si="16"/>
        <v>-</v>
      </c>
      <c r="L156" s="142">
        <f t="shared" si="16"/>
        <v>49489</v>
      </c>
      <c r="M156" s="17"/>
      <c r="N156" s="17"/>
    </row>
    <row r="157" spans="1:14" ht="11.25" customHeight="1">
      <c r="A157" s="99">
        <v>1992</v>
      </c>
      <c r="B157" s="24" t="str">
        <f t="shared" si="2"/>
        <v>-</v>
      </c>
      <c r="C157" s="24" t="str">
        <f t="shared" si="2"/>
        <v>-</v>
      </c>
      <c r="D157" s="24">
        <f t="shared" ref="D157:L157" si="17">IF(AND(D111="-",D65="-",D19="-"),"-",SUM(D111,D65,D19))</f>
        <v>8154</v>
      </c>
      <c r="E157" s="24">
        <f t="shared" si="17"/>
        <v>3400</v>
      </c>
      <c r="F157" s="24">
        <f t="shared" si="17"/>
        <v>4196</v>
      </c>
      <c r="G157" s="24">
        <f t="shared" si="17"/>
        <v>7186</v>
      </c>
      <c r="H157" s="24">
        <f t="shared" si="17"/>
        <v>4574</v>
      </c>
      <c r="I157" s="24">
        <f t="shared" si="17"/>
        <v>1684</v>
      </c>
      <c r="J157" s="24" t="str">
        <f t="shared" si="17"/>
        <v>-</v>
      </c>
      <c r="K157" s="24" t="str">
        <f t="shared" si="17"/>
        <v>-</v>
      </c>
      <c r="L157" s="142">
        <f t="shared" si="17"/>
        <v>29194</v>
      </c>
      <c r="M157" s="17"/>
      <c r="N157" s="17"/>
    </row>
    <row r="158" spans="1:14" ht="11.25" customHeight="1">
      <c r="A158" s="99">
        <v>1993</v>
      </c>
      <c r="B158" s="24" t="str">
        <f t="shared" si="2"/>
        <v>-</v>
      </c>
      <c r="C158" s="24" t="str">
        <f t="shared" si="2"/>
        <v>-</v>
      </c>
      <c r="D158" s="24">
        <f t="shared" ref="D158:L158" si="18">IF(AND(D112="-",D66="-",D20="-"),"-",SUM(D112,D66,D20))</f>
        <v>11351</v>
      </c>
      <c r="E158" s="24">
        <f t="shared" si="18"/>
        <v>5311</v>
      </c>
      <c r="F158" s="24">
        <f t="shared" si="18"/>
        <v>7434</v>
      </c>
      <c r="G158" s="24">
        <f t="shared" si="18"/>
        <v>5353</v>
      </c>
      <c r="H158" s="24">
        <f t="shared" si="18"/>
        <v>4322</v>
      </c>
      <c r="I158" s="24">
        <f t="shared" si="18"/>
        <v>1245</v>
      </c>
      <c r="J158" s="24">
        <f t="shared" si="18"/>
        <v>146</v>
      </c>
      <c r="K158" s="24" t="str">
        <f t="shared" si="18"/>
        <v>-</v>
      </c>
      <c r="L158" s="142">
        <f t="shared" si="18"/>
        <v>35162</v>
      </c>
      <c r="M158" s="17"/>
      <c r="N158" s="17"/>
    </row>
    <row r="159" spans="1:14" ht="11.25" customHeight="1">
      <c r="A159" s="99">
        <v>1994</v>
      </c>
      <c r="B159" s="24" t="str">
        <f t="shared" si="2"/>
        <v>-</v>
      </c>
      <c r="C159" s="24" t="str">
        <f t="shared" si="2"/>
        <v>-</v>
      </c>
      <c r="D159" s="24">
        <f t="shared" ref="D159:L159" si="19">IF(AND(D113="-",D67="-",D21="-"),"-",SUM(D113,D67,D21))</f>
        <v>7476</v>
      </c>
      <c r="E159" s="24">
        <f t="shared" si="19"/>
        <v>5828</v>
      </c>
      <c r="F159" s="24">
        <f t="shared" si="19"/>
        <v>5400</v>
      </c>
      <c r="G159" s="24">
        <f t="shared" si="19"/>
        <v>2456</v>
      </c>
      <c r="H159" s="24">
        <f t="shared" si="19"/>
        <v>2568</v>
      </c>
      <c r="I159" s="24">
        <f t="shared" si="19"/>
        <v>1168</v>
      </c>
      <c r="J159" s="24">
        <f t="shared" si="19"/>
        <v>65</v>
      </c>
      <c r="K159" s="24" t="str">
        <f t="shared" si="19"/>
        <v>-</v>
      </c>
      <c r="L159" s="142">
        <f t="shared" si="19"/>
        <v>24961</v>
      </c>
      <c r="M159" s="17"/>
      <c r="N159" s="17"/>
    </row>
    <row r="160" spans="1:14" ht="11.25" customHeight="1">
      <c r="A160" s="99">
        <v>1995</v>
      </c>
      <c r="B160" s="24" t="str">
        <f t="shared" si="2"/>
        <v>-</v>
      </c>
      <c r="C160" s="24" t="str">
        <f t="shared" si="2"/>
        <v>-</v>
      </c>
      <c r="D160" s="24">
        <f t="shared" ref="D160:L160" si="20">IF(AND(D114="-",D68="-",D22="-"),"-",SUM(D114,D68,D22))</f>
        <v>9485</v>
      </c>
      <c r="E160" s="24">
        <f t="shared" si="20"/>
        <v>6821</v>
      </c>
      <c r="F160" s="24">
        <f t="shared" si="20"/>
        <v>5648</v>
      </c>
      <c r="G160" s="24">
        <f t="shared" si="20"/>
        <v>5808</v>
      </c>
      <c r="H160" s="24">
        <f t="shared" si="20"/>
        <v>4551</v>
      </c>
      <c r="I160" s="24">
        <f t="shared" si="20"/>
        <v>1285</v>
      </c>
      <c r="J160" s="24">
        <f t="shared" si="20"/>
        <v>54</v>
      </c>
      <c r="K160" s="24" t="str">
        <f t="shared" si="20"/>
        <v>-</v>
      </c>
      <c r="L160" s="142">
        <f t="shared" si="20"/>
        <v>33652</v>
      </c>
      <c r="M160" s="17"/>
      <c r="N160" s="17"/>
    </row>
    <row r="161" spans="1:14" ht="11.25" customHeight="1">
      <c r="A161" s="99">
        <v>1996</v>
      </c>
      <c r="B161" s="24" t="str">
        <f t="shared" si="2"/>
        <v>-</v>
      </c>
      <c r="C161" s="24" t="str">
        <f t="shared" si="2"/>
        <v>-</v>
      </c>
      <c r="D161" s="24">
        <f t="shared" ref="D161:L161" si="21">IF(AND(D115="-",D69="-",D23="-"),"-",SUM(D115,D69,D23))</f>
        <v>6177</v>
      </c>
      <c r="E161" s="24">
        <f t="shared" si="21"/>
        <v>7903</v>
      </c>
      <c r="F161" s="24">
        <f t="shared" si="21"/>
        <v>5300</v>
      </c>
      <c r="G161" s="24">
        <f t="shared" si="21"/>
        <v>5042</v>
      </c>
      <c r="H161" s="24">
        <f t="shared" si="21"/>
        <v>3842</v>
      </c>
      <c r="I161" s="24">
        <f t="shared" si="21"/>
        <v>1202</v>
      </c>
      <c r="J161" s="24">
        <f t="shared" si="21"/>
        <v>86</v>
      </c>
      <c r="K161" s="24" t="str">
        <f t="shared" si="21"/>
        <v>-</v>
      </c>
      <c r="L161" s="142">
        <f t="shared" si="21"/>
        <v>29552</v>
      </c>
      <c r="M161" s="17"/>
      <c r="N161" s="17"/>
    </row>
    <row r="162" spans="1:14" ht="11.25" customHeight="1">
      <c r="A162" s="99">
        <v>1997</v>
      </c>
      <c r="B162" s="24" t="str">
        <f t="shared" si="2"/>
        <v>-</v>
      </c>
      <c r="C162" s="24">
        <f t="shared" si="2"/>
        <v>967</v>
      </c>
      <c r="D162" s="24">
        <f t="shared" ref="D162:L162" si="22">IF(AND(D116="-",D70="-",D24="-"),"-",SUM(D116,D70,D24))</f>
        <v>8589</v>
      </c>
      <c r="E162" s="24">
        <f t="shared" si="22"/>
        <v>3875</v>
      </c>
      <c r="F162" s="24">
        <f t="shared" si="22"/>
        <v>5700</v>
      </c>
      <c r="G162" s="24">
        <f t="shared" si="22"/>
        <v>3961</v>
      </c>
      <c r="H162" s="24">
        <f t="shared" si="22"/>
        <v>2889</v>
      </c>
      <c r="I162" s="24">
        <f t="shared" si="22"/>
        <v>710</v>
      </c>
      <c r="J162" s="24">
        <f t="shared" si="22"/>
        <v>67</v>
      </c>
      <c r="K162" s="24" t="str">
        <f t="shared" si="22"/>
        <v>-</v>
      </c>
      <c r="L162" s="142">
        <f t="shared" si="22"/>
        <v>26758</v>
      </c>
      <c r="M162" s="17"/>
      <c r="N162" s="17"/>
    </row>
    <row r="163" spans="1:14" ht="11.25" customHeight="1">
      <c r="A163" s="99">
        <v>1998</v>
      </c>
      <c r="B163" s="24" t="str">
        <f t="shared" ref="B163:C182" si="23">IF(AND(B117="-",B71="-",B25="-"),"-",SUM(B117,B71,B25))</f>
        <v>-</v>
      </c>
      <c r="C163" s="24">
        <f t="shared" si="23"/>
        <v>851</v>
      </c>
      <c r="D163" s="24">
        <f t="shared" ref="D163:L163" si="24">IF(AND(D117="-",D71="-",D25="-"),"-",SUM(D117,D71,D25))</f>
        <v>6104</v>
      </c>
      <c r="E163" s="24">
        <f t="shared" si="24"/>
        <v>3806</v>
      </c>
      <c r="F163" s="24">
        <f t="shared" si="24"/>
        <v>3900</v>
      </c>
      <c r="G163" s="24">
        <f t="shared" si="24"/>
        <v>3170</v>
      </c>
      <c r="H163" s="24">
        <f t="shared" si="24"/>
        <v>3021</v>
      </c>
      <c r="I163" s="24">
        <f t="shared" si="24"/>
        <v>767</v>
      </c>
      <c r="J163" s="24">
        <f t="shared" si="24"/>
        <v>116</v>
      </c>
      <c r="K163" s="24" t="str">
        <f t="shared" si="24"/>
        <v>-</v>
      </c>
      <c r="L163" s="142">
        <f t="shared" si="24"/>
        <v>21735</v>
      </c>
      <c r="M163" s="17"/>
      <c r="N163" s="17"/>
    </row>
    <row r="164" spans="1:14" ht="11.25" customHeight="1">
      <c r="A164" s="99">
        <v>1999</v>
      </c>
      <c r="B164" s="24" t="str">
        <f t="shared" si="23"/>
        <v>-</v>
      </c>
      <c r="C164" s="24">
        <f t="shared" si="23"/>
        <v>302</v>
      </c>
      <c r="D164" s="24">
        <f t="shared" ref="D164:L164" si="25">IF(AND(D118="-",D72="-",D26="-"),"-",SUM(D118,D72,D26))</f>
        <v>3107</v>
      </c>
      <c r="E164" s="24">
        <f t="shared" si="25"/>
        <v>6361</v>
      </c>
      <c r="F164" s="24">
        <f t="shared" si="25"/>
        <v>5433</v>
      </c>
      <c r="G164" s="24">
        <f t="shared" si="25"/>
        <v>3320</v>
      </c>
      <c r="H164" s="24">
        <f t="shared" si="25"/>
        <v>2291</v>
      </c>
      <c r="I164" s="24">
        <f t="shared" si="25"/>
        <v>491</v>
      </c>
      <c r="J164" s="24">
        <f t="shared" si="25"/>
        <v>130</v>
      </c>
      <c r="K164" s="24">
        <f t="shared" si="25"/>
        <v>8</v>
      </c>
      <c r="L164" s="142">
        <f t="shared" si="25"/>
        <v>21443</v>
      </c>
      <c r="M164" s="17"/>
      <c r="N164" s="17"/>
    </row>
    <row r="165" spans="1:14" ht="11.25" customHeight="1">
      <c r="A165" s="99">
        <v>2000</v>
      </c>
      <c r="B165" s="24" t="str">
        <f t="shared" si="23"/>
        <v>-</v>
      </c>
      <c r="C165" s="24">
        <f t="shared" si="23"/>
        <v>155</v>
      </c>
      <c r="D165" s="24">
        <f t="shared" ref="D165:L165" si="26">IF(AND(D119="-",D73="-",D27="-"),"-",SUM(D119,D73,D27))</f>
        <v>5920</v>
      </c>
      <c r="E165" s="24">
        <f t="shared" si="26"/>
        <v>6815</v>
      </c>
      <c r="F165" s="24">
        <f t="shared" si="26"/>
        <v>4434</v>
      </c>
      <c r="G165" s="24">
        <f t="shared" si="26"/>
        <v>4293</v>
      </c>
      <c r="H165" s="24">
        <f t="shared" si="26"/>
        <v>5036</v>
      </c>
      <c r="I165" s="24">
        <f t="shared" si="26"/>
        <v>760</v>
      </c>
      <c r="J165" s="24">
        <f t="shared" si="26"/>
        <v>180</v>
      </c>
      <c r="K165" s="24">
        <f t="shared" si="26"/>
        <v>69</v>
      </c>
      <c r="L165" s="142">
        <f t="shared" si="26"/>
        <v>27662</v>
      </c>
      <c r="M165" s="17"/>
      <c r="N165" s="17"/>
    </row>
    <row r="166" spans="1:14" ht="11.25" customHeight="1">
      <c r="A166" s="99">
        <v>2001</v>
      </c>
      <c r="B166" s="24" t="str">
        <f t="shared" si="23"/>
        <v>-</v>
      </c>
      <c r="C166" s="24">
        <f t="shared" si="23"/>
        <v>937</v>
      </c>
      <c r="D166" s="24">
        <f t="shared" ref="D166:L166" si="27">IF(AND(D120="-",D74="-",D28="-"),"-",SUM(D120,D74,D28))</f>
        <v>6923</v>
      </c>
      <c r="E166" s="24">
        <f t="shared" si="27"/>
        <v>3469</v>
      </c>
      <c r="F166" s="24">
        <f t="shared" si="27"/>
        <v>4400</v>
      </c>
      <c r="G166" s="24">
        <f t="shared" si="27"/>
        <v>3620</v>
      </c>
      <c r="H166" s="24">
        <f t="shared" si="27"/>
        <v>3847</v>
      </c>
      <c r="I166" s="24">
        <f t="shared" si="27"/>
        <v>1415</v>
      </c>
      <c r="J166" s="24">
        <f t="shared" si="27"/>
        <v>135</v>
      </c>
      <c r="K166" s="24">
        <f t="shared" si="27"/>
        <v>1</v>
      </c>
      <c r="L166" s="142">
        <f t="shared" si="27"/>
        <v>24747</v>
      </c>
      <c r="M166" s="17"/>
      <c r="N166" s="17"/>
    </row>
    <row r="167" spans="1:14" ht="11.25" customHeight="1">
      <c r="A167" s="99">
        <v>2002</v>
      </c>
      <c r="B167" s="24">
        <f t="shared" si="23"/>
        <v>370</v>
      </c>
      <c r="C167" s="24">
        <f t="shared" si="23"/>
        <v>855</v>
      </c>
      <c r="D167" s="24">
        <f t="shared" ref="D167:L167" si="28">IF(AND(D121="-",D75="-",D29="-"),"-",SUM(D121,D75,D29))</f>
        <v>5980</v>
      </c>
      <c r="E167" s="24">
        <f t="shared" si="28"/>
        <v>5285</v>
      </c>
      <c r="F167" s="24">
        <f t="shared" si="28"/>
        <v>5428</v>
      </c>
      <c r="G167" s="24">
        <f t="shared" si="28"/>
        <v>4297</v>
      </c>
      <c r="H167" s="24">
        <f t="shared" si="28"/>
        <v>3841</v>
      </c>
      <c r="I167" s="24">
        <f t="shared" si="28"/>
        <v>2445</v>
      </c>
      <c r="J167" s="24">
        <f t="shared" si="28"/>
        <v>158</v>
      </c>
      <c r="K167" s="24">
        <f t="shared" si="28"/>
        <v>15</v>
      </c>
      <c r="L167" s="142">
        <f t="shared" si="28"/>
        <v>28674</v>
      </c>
      <c r="M167" s="17"/>
      <c r="N167" s="17"/>
    </row>
    <row r="168" spans="1:14" ht="11.25" customHeight="1">
      <c r="A168" s="99">
        <v>2003</v>
      </c>
      <c r="B168" s="24">
        <f t="shared" si="23"/>
        <v>175</v>
      </c>
      <c r="C168" s="24">
        <f t="shared" si="23"/>
        <v>1411</v>
      </c>
      <c r="D168" s="24">
        <f t="shared" ref="D168:L168" si="29">IF(AND(D122="-",D76="-",D30="-"),"-",SUM(D122,D76,D30))</f>
        <v>5980</v>
      </c>
      <c r="E168" s="24">
        <f t="shared" si="29"/>
        <v>4342</v>
      </c>
      <c r="F168" s="24">
        <f t="shared" si="29"/>
        <v>4708</v>
      </c>
      <c r="G168" s="24">
        <f t="shared" si="29"/>
        <v>5198</v>
      </c>
      <c r="H168" s="24">
        <f t="shared" si="29"/>
        <v>4281</v>
      </c>
      <c r="I168" s="24">
        <f t="shared" si="29"/>
        <v>1696</v>
      </c>
      <c r="J168" s="24">
        <f t="shared" si="29"/>
        <v>141</v>
      </c>
      <c r="K168" s="24">
        <f t="shared" si="29"/>
        <v>14</v>
      </c>
      <c r="L168" s="142">
        <f t="shared" si="29"/>
        <v>27946</v>
      </c>
      <c r="M168" s="17"/>
      <c r="N168" s="17"/>
    </row>
    <row r="169" spans="1:14" ht="11.25" customHeight="1">
      <c r="A169" s="99">
        <v>2004</v>
      </c>
      <c r="B169" s="24">
        <f t="shared" si="23"/>
        <v>908</v>
      </c>
      <c r="C169" s="24">
        <f t="shared" si="23"/>
        <v>2537</v>
      </c>
      <c r="D169" s="24">
        <f t="shared" ref="D169:L169" si="30">IF(AND(D123="-",D77="-",D31="-"),"-",SUM(D123,D77,D31))</f>
        <v>7356</v>
      </c>
      <c r="E169" s="24">
        <f t="shared" si="30"/>
        <v>5994</v>
      </c>
      <c r="F169" s="24">
        <f t="shared" si="30"/>
        <v>7260</v>
      </c>
      <c r="G169" s="24">
        <f t="shared" si="30"/>
        <v>5523</v>
      </c>
      <c r="H169" s="24">
        <f t="shared" si="30"/>
        <v>3689</v>
      </c>
      <c r="I169" s="24">
        <f t="shared" si="30"/>
        <v>1055</v>
      </c>
      <c r="J169" s="24">
        <f t="shared" si="30"/>
        <v>247</v>
      </c>
      <c r="K169" s="24">
        <f t="shared" si="30"/>
        <v>21</v>
      </c>
      <c r="L169" s="142">
        <f t="shared" si="30"/>
        <v>34590</v>
      </c>
      <c r="M169" s="17"/>
      <c r="N169" s="17"/>
    </row>
    <row r="170" spans="1:14" ht="11.25" customHeight="1">
      <c r="A170" s="99">
        <v>2005</v>
      </c>
      <c r="B170" s="24">
        <f t="shared" si="23"/>
        <v>1304</v>
      </c>
      <c r="C170" s="24">
        <f t="shared" si="23"/>
        <v>370</v>
      </c>
      <c r="D170" s="24">
        <f t="shared" ref="D170:L170" si="31">IF(AND(D124="-",D78="-",D32="-"),"-",SUM(D124,D78,D32))</f>
        <v>6713</v>
      </c>
      <c r="E170" s="24">
        <f t="shared" si="31"/>
        <v>3040</v>
      </c>
      <c r="F170" s="24">
        <f t="shared" si="31"/>
        <v>5001</v>
      </c>
      <c r="G170" s="24">
        <f t="shared" si="31"/>
        <v>3365</v>
      </c>
      <c r="H170" s="24">
        <f t="shared" si="31"/>
        <v>6626</v>
      </c>
      <c r="I170" s="24">
        <f t="shared" si="31"/>
        <v>1471</v>
      </c>
      <c r="J170" s="24">
        <f t="shared" si="31"/>
        <v>160</v>
      </c>
      <c r="K170" s="24">
        <f t="shared" si="31"/>
        <v>75</v>
      </c>
      <c r="L170" s="142">
        <f t="shared" si="31"/>
        <v>28125</v>
      </c>
      <c r="M170" s="17"/>
      <c r="N170" s="17"/>
    </row>
    <row r="171" spans="1:14" ht="11.25" customHeight="1">
      <c r="A171" s="99">
        <v>2006</v>
      </c>
      <c r="B171" s="24" t="str">
        <f t="shared" si="23"/>
        <v>-</v>
      </c>
      <c r="C171" s="24" t="str">
        <f t="shared" si="23"/>
        <v>-</v>
      </c>
      <c r="D171" s="24">
        <f t="shared" ref="D171:L171" si="32">IF(AND(D125="-",D79="-",D33="-"),"-",SUM(D125,D79,D33))</f>
        <v>2062</v>
      </c>
      <c r="E171" s="24">
        <f t="shared" si="32"/>
        <v>1120</v>
      </c>
      <c r="F171" s="24">
        <f t="shared" si="32"/>
        <v>1133</v>
      </c>
      <c r="G171" s="24">
        <f t="shared" si="32"/>
        <v>2778</v>
      </c>
      <c r="H171" s="24">
        <f t="shared" si="32"/>
        <v>3104</v>
      </c>
      <c r="I171" s="24">
        <f t="shared" si="32"/>
        <v>1248</v>
      </c>
      <c r="J171" s="24">
        <f t="shared" si="32"/>
        <v>306</v>
      </c>
      <c r="K171" s="24">
        <f t="shared" si="32"/>
        <v>26</v>
      </c>
      <c r="L171" s="142">
        <f t="shared" si="32"/>
        <v>11777</v>
      </c>
      <c r="M171" s="17"/>
      <c r="N171" s="17"/>
    </row>
    <row r="172" spans="1:14" ht="11.25" customHeight="1">
      <c r="A172" s="99">
        <v>2007</v>
      </c>
      <c r="B172" s="24" t="str">
        <f t="shared" si="23"/>
        <v>-</v>
      </c>
      <c r="C172" s="24">
        <f t="shared" si="23"/>
        <v>454</v>
      </c>
      <c r="D172" s="24">
        <f t="shared" ref="D172:L172" si="33">IF(AND(D126="-",D80="-",D34="-"),"-",SUM(D126,D80,D34))</f>
        <v>4321</v>
      </c>
      <c r="E172" s="24">
        <f t="shared" si="33"/>
        <v>941</v>
      </c>
      <c r="F172" s="24">
        <f t="shared" si="33"/>
        <v>3652</v>
      </c>
      <c r="G172" s="24">
        <f t="shared" si="33"/>
        <v>3905</v>
      </c>
      <c r="H172" s="24">
        <f t="shared" si="33"/>
        <v>1652</v>
      </c>
      <c r="I172" s="24">
        <f t="shared" si="33"/>
        <v>459</v>
      </c>
      <c r="J172" s="24">
        <f t="shared" si="33"/>
        <v>174</v>
      </c>
      <c r="K172" s="24" t="str">
        <f t="shared" si="33"/>
        <v>-</v>
      </c>
      <c r="L172" s="142">
        <f t="shared" si="33"/>
        <v>15558</v>
      </c>
      <c r="M172" s="17"/>
      <c r="N172" s="17"/>
    </row>
    <row r="173" spans="1:14" ht="11.25" customHeight="1">
      <c r="A173" s="99">
        <v>2008</v>
      </c>
      <c r="B173" s="24" t="str">
        <f t="shared" si="23"/>
        <v>-</v>
      </c>
      <c r="C173" s="24" t="str">
        <f t="shared" si="23"/>
        <v>-</v>
      </c>
      <c r="D173" s="24" t="str">
        <f t="shared" ref="D173:L173" si="34">IF(AND(D127="-",D81="-",D35="-"),"-",SUM(D127,D81,D35))</f>
        <v>-</v>
      </c>
      <c r="E173" s="24" t="str">
        <f t="shared" si="34"/>
        <v>-</v>
      </c>
      <c r="F173" s="24" t="str">
        <f t="shared" si="34"/>
        <v>-</v>
      </c>
      <c r="G173" s="24" t="str">
        <f t="shared" si="34"/>
        <v>-</v>
      </c>
      <c r="H173" s="24">
        <f t="shared" si="34"/>
        <v>37</v>
      </c>
      <c r="I173" s="24">
        <f t="shared" si="34"/>
        <v>63</v>
      </c>
      <c r="J173" s="24">
        <f t="shared" si="34"/>
        <v>48</v>
      </c>
      <c r="K173" s="24" t="str">
        <f t="shared" si="34"/>
        <v>-</v>
      </c>
      <c r="L173" s="142">
        <f t="shared" si="34"/>
        <v>148</v>
      </c>
      <c r="M173" s="17"/>
      <c r="N173" s="17"/>
    </row>
    <row r="174" spans="1:14" ht="11.25" customHeight="1">
      <c r="A174" s="99">
        <v>2009</v>
      </c>
      <c r="B174" s="24" t="str">
        <f t="shared" si="23"/>
        <v>-</v>
      </c>
      <c r="C174" s="24" t="str">
        <f t="shared" si="23"/>
        <v>-</v>
      </c>
      <c r="D174" s="24" t="str">
        <f t="shared" ref="D174:L174" si="35">IF(AND(D128="-",D82="-",D36="-"),"-",SUM(D128,D82,D36))</f>
        <v>-</v>
      </c>
      <c r="E174" s="24" t="str">
        <f t="shared" si="35"/>
        <v>-</v>
      </c>
      <c r="F174" s="24" t="str">
        <f t="shared" si="35"/>
        <v>-</v>
      </c>
      <c r="G174" s="24" t="str">
        <f t="shared" si="35"/>
        <v>-</v>
      </c>
      <c r="H174" s="24">
        <f t="shared" si="35"/>
        <v>634</v>
      </c>
      <c r="I174" s="24">
        <f t="shared" si="35"/>
        <v>60</v>
      </c>
      <c r="J174" s="24" t="str">
        <f t="shared" si="35"/>
        <v>-</v>
      </c>
      <c r="K174" s="24" t="str">
        <f t="shared" si="35"/>
        <v>-</v>
      </c>
      <c r="L174" s="142">
        <f t="shared" si="35"/>
        <v>694</v>
      </c>
      <c r="M174" s="17"/>
      <c r="N174" s="17"/>
    </row>
    <row r="175" spans="1:14" ht="11.25" customHeight="1">
      <c r="A175" s="99">
        <v>2010</v>
      </c>
      <c r="B175" s="24" t="str">
        <f t="shared" si="23"/>
        <v>-</v>
      </c>
      <c r="C175" s="24" t="str">
        <f t="shared" si="23"/>
        <v>-</v>
      </c>
      <c r="D175" s="24">
        <f t="shared" ref="D175:L175" si="36">IF(AND(D129="-",D83="-",D37="-"),"-",SUM(D129,D83,D37))</f>
        <v>1058</v>
      </c>
      <c r="E175" s="24">
        <f t="shared" si="36"/>
        <v>987</v>
      </c>
      <c r="F175" s="24">
        <f t="shared" si="36"/>
        <v>1699</v>
      </c>
      <c r="G175" s="24">
        <f t="shared" si="36"/>
        <v>1629</v>
      </c>
      <c r="H175" s="24">
        <f t="shared" si="36"/>
        <v>37</v>
      </c>
      <c r="I175" s="24">
        <f t="shared" si="36"/>
        <v>229</v>
      </c>
      <c r="J175" s="24" t="str">
        <f t="shared" si="36"/>
        <v>-</v>
      </c>
      <c r="K175" s="24" t="str">
        <f t="shared" si="36"/>
        <v>-</v>
      </c>
      <c r="L175" s="142">
        <f t="shared" si="36"/>
        <v>5639</v>
      </c>
      <c r="M175" s="17"/>
      <c r="N175" s="17"/>
    </row>
    <row r="176" spans="1:14" ht="11.25" customHeight="1">
      <c r="A176" s="99">
        <v>2011</v>
      </c>
      <c r="B176" s="24" t="str">
        <f t="shared" si="23"/>
        <v>-</v>
      </c>
      <c r="C176" s="24">
        <f t="shared" si="23"/>
        <v>316</v>
      </c>
      <c r="D176" s="24">
        <f t="shared" ref="D176:L176" si="37">IF(AND(D130="-",D84="-",D38="-"),"-",SUM(D130,D84,D38))</f>
        <v>2827</v>
      </c>
      <c r="E176" s="24">
        <f t="shared" si="37"/>
        <v>1644</v>
      </c>
      <c r="F176" s="24">
        <f t="shared" si="37"/>
        <v>1997</v>
      </c>
      <c r="G176" s="24">
        <f t="shared" si="37"/>
        <v>2239</v>
      </c>
      <c r="H176" s="24">
        <f t="shared" si="37"/>
        <v>760</v>
      </c>
      <c r="I176" s="24">
        <f t="shared" si="37"/>
        <v>418</v>
      </c>
      <c r="J176" s="24">
        <f t="shared" si="37"/>
        <v>235</v>
      </c>
      <c r="K176" s="24" t="str">
        <f t="shared" si="37"/>
        <v>-</v>
      </c>
      <c r="L176" s="142">
        <f t="shared" si="37"/>
        <v>10436</v>
      </c>
      <c r="M176" s="17"/>
      <c r="N176" s="17"/>
    </row>
    <row r="177" spans="1:14" ht="11.25" customHeight="1">
      <c r="A177" s="99">
        <v>2012</v>
      </c>
      <c r="B177" s="24" t="str">
        <f t="shared" si="23"/>
        <v>-</v>
      </c>
      <c r="C177" s="24">
        <f t="shared" si="23"/>
        <v>522</v>
      </c>
      <c r="D177" s="24">
        <f t="shared" ref="D177:L177" si="38">IF(AND(D131="-",D85="-",D39="-"),"-",SUM(D131,D85,D39))</f>
        <v>5195</v>
      </c>
      <c r="E177" s="24">
        <f t="shared" si="38"/>
        <v>2647</v>
      </c>
      <c r="F177" s="24">
        <f t="shared" si="38"/>
        <v>4742</v>
      </c>
      <c r="G177" s="24">
        <f t="shared" si="38"/>
        <v>3349</v>
      </c>
      <c r="H177" s="24">
        <f t="shared" si="38"/>
        <v>2596</v>
      </c>
      <c r="I177" s="24">
        <f t="shared" si="38"/>
        <v>1190</v>
      </c>
      <c r="J177" s="24">
        <f t="shared" si="38"/>
        <v>121</v>
      </c>
      <c r="K177" s="24" t="str">
        <f t="shared" si="38"/>
        <v>-</v>
      </c>
      <c r="L177" s="142">
        <f t="shared" si="38"/>
        <v>20362</v>
      </c>
      <c r="M177" s="17"/>
      <c r="N177" s="17"/>
    </row>
    <row r="178" spans="1:14" ht="11.25" customHeight="1">
      <c r="A178" s="99">
        <v>2013</v>
      </c>
      <c r="B178" s="24" t="str">
        <f t="shared" si="23"/>
        <v>-</v>
      </c>
      <c r="C178" s="24">
        <f t="shared" si="23"/>
        <v>1042</v>
      </c>
      <c r="D178" s="24">
        <f t="shared" ref="D178:L178" si="39">IF(AND(D132="-",D86="-",D40="-"),"-",SUM(D132,D86,D40))</f>
        <v>5587</v>
      </c>
      <c r="E178" s="24">
        <f t="shared" si="39"/>
        <v>4942</v>
      </c>
      <c r="F178" s="24">
        <f t="shared" si="39"/>
        <v>4938</v>
      </c>
      <c r="G178" s="24">
        <f t="shared" si="39"/>
        <v>5106</v>
      </c>
      <c r="H178" s="24">
        <f t="shared" si="39"/>
        <v>3054</v>
      </c>
      <c r="I178" s="24">
        <f t="shared" si="39"/>
        <v>1168</v>
      </c>
      <c r="J178" s="24">
        <f t="shared" si="39"/>
        <v>155</v>
      </c>
      <c r="K178" s="24" t="str">
        <f t="shared" si="39"/>
        <v>-</v>
      </c>
      <c r="L178" s="142">
        <f t="shared" si="39"/>
        <v>25992</v>
      </c>
      <c r="M178" s="17"/>
      <c r="N178" s="17"/>
    </row>
    <row r="179" spans="1:14" ht="11.25" customHeight="1">
      <c r="A179" s="99">
        <v>2014</v>
      </c>
      <c r="B179" s="24" t="str">
        <f t="shared" si="23"/>
        <v>-</v>
      </c>
      <c r="C179" s="24">
        <f t="shared" si="23"/>
        <v>962</v>
      </c>
      <c r="D179" s="24">
        <f t="shared" ref="D179:L179" si="40">IF(AND(D133="-",D87="-",D41="-"),"-",SUM(D133,D87,D41))</f>
        <v>5583</v>
      </c>
      <c r="E179" s="24">
        <f t="shared" si="40"/>
        <v>4482</v>
      </c>
      <c r="F179" s="24">
        <f t="shared" si="40"/>
        <v>4381</v>
      </c>
      <c r="G179" s="24">
        <f t="shared" si="40"/>
        <v>5212</v>
      </c>
      <c r="H179" s="24">
        <f t="shared" si="40"/>
        <v>2621</v>
      </c>
      <c r="I179" s="24">
        <f t="shared" si="40"/>
        <v>942</v>
      </c>
      <c r="J179" s="24">
        <f t="shared" si="40"/>
        <v>98</v>
      </c>
      <c r="K179" s="24" t="str">
        <f t="shared" si="40"/>
        <v>-</v>
      </c>
      <c r="L179" s="142">
        <f t="shared" si="40"/>
        <v>24281</v>
      </c>
      <c r="M179" s="17"/>
      <c r="N179" s="17"/>
    </row>
    <row r="180" spans="1:14" ht="11.25" customHeight="1">
      <c r="A180" s="99">
        <v>2015</v>
      </c>
      <c r="B180" s="24" t="str">
        <f t="shared" si="23"/>
        <v>-</v>
      </c>
      <c r="C180" s="24">
        <f t="shared" si="23"/>
        <v>1767</v>
      </c>
      <c r="D180" s="24">
        <f t="shared" ref="D180:L180" si="41">IF(AND(D134="-",D88="-",D42="-"),"-",SUM(D134,D88,D42))</f>
        <v>6146</v>
      </c>
      <c r="E180" s="24">
        <f t="shared" si="41"/>
        <v>3741</v>
      </c>
      <c r="F180" s="24">
        <f t="shared" si="41"/>
        <v>3308</v>
      </c>
      <c r="G180" s="24">
        <f t="shared" si="41"/>
        <v>2812</v>
      </c>
      <c r="H180" s="24">
        <f t="shared" si="41"/>
        <v>2094</v>
      </c>
      <c r="I180" s="24">
        <f t="shared" si="41"/>
        <v>896</v>
      </c>
      <c r="J180" s="24">
        <f t="shared" si="41"/>
        <v>158</v>
      </c>
      <c r="K180" s="24" t="str">
        <f t="shared" si="41"/>
        <v>-</v>
      </c>
      <c r="L180" s="142">
        <f t="shared" si="41"/>
        <v>20922</v>
      </c>
      <c r="M180" s="17"/>
      <c r="N180" s="17"/>
    </row>
    <row r="181" spans="1:14" ht="11.25" customHeight="1">
      <c r="A181" s="99">
        <v>2016</v>
      </c>
      <c r="B181" s="24" t="str">
        <f t="shared" si="23"/>
        <v>-</v>
      </c>
      <c r="C181" s="24">
        <f t="shared" si="23"/>
        <v>895</v>
      </c>
      <c r="D181" s="24">
        <f t="shared" ref="D181:L181" si="42">IF(AND(D135="-",D89="-",D43="-"),"-",SUM(D135,D89,D43))</f>
        <v>2508</v>
      </c>
      <c r="E181" s="24">
        <f t="shared" si="42"/>
        <v>1972</v>
      </c>
      <c r="F181" s="24">
        <f t="shared" si="42"/>
        <v>550</v>
      </c>
      <c r="G181" s="24">
        <f t="shared" si="42"/>
        <v>3084</v>
      </c>
      <c r="H181" s="24">
        <f t="shared" si="42"/>
        <v>1952</v>
      </c>
      <c r="I181" s="24">
        <f t="shared" si="42"/>
        <v>363</v>
      </c>
      <c r="J181" s="24">
        <f t="shared" si="42"/>
        <v>41</v>
      </c>
      <c r="K181" s="24" t="str">
        <f t="shared" si="42"/>
        <v>-</v>
      </c>
      <c r="L181" s="142">
        <f t="shared" si="42"/>
        <v>11365</v>
      </c>
      <c r="M181" s="17"/>
      <c r="N181" s="17"/>
    </row>
    <row r="182" spans="1:14" ht="11.25" customHeight="1">
      <c r="A182" s="99">
        <v>2017</v>
      </c>
      <c r="B182" s="24" t="str">
        <f t="shared" si="23"/>
        <v>-</v>
      </c>
      <c r="C182" s="24">
        <f t="shared" si="23"/>
        <v>106</v>
      </c>
      <c r="D182" s="24">
        <f t="shared" ref="D182:L182" si="43">IF(AND(D136="-",D90="-",D44="-"),"-",SUM(D136,D90,D44))</f>
        <v>1057</v>
      </c>
      <c r="E182" s="24">
        <f t="shared" si="43"/>
        <v>1601</v>
      </c>
      <c r="F182" s="24">
        <f t="shared" si="43"/>
        <v>655</v>
      </c>
      <c r="G182" s="24">
        <f t="shared" si="43"/>
        <v>2610</v>
      </c>
      <c r="H182" s="24">
        <f t="shared" si="43"/>
        <v>1899</v>
      </c>
      <c r="I182" s="24">
        <f t="shared" si="43"/>
        <v>466</v>
      </c>
      <c r="J182" s="24">
        <f t="shared" si="43"/>
        <v>41</v>
      </c>
      <c r="K182" s="24" t="str">
        <f t="shared" si="43"/>
        <v>-</v>
      </c>
      <c r="L182" s="142">
        <f t="shared" si="43"/>
        <v>8435</v>
      </c>
      <c r="M182" s="17"/>
      <c r="N182" s="17"/>
    </row>
    <row r="183" spans="1:14" ht="11.25" customHeight="1">
      <c r="A183" s="99">
        <v>2018</v>
      </c>
      <c r="B183" s="24" t="str">
        <f t="shared" ref="B183:C183" si="44">IF(AND(B137="-",B91="-",B45="-"),"-",SUM(B137,B91,B45))</f>
        <v>-</v>
      </c>
      <c r="C183" s="24" t="str">
        <f t="shared" si="44"/>
        <v>-</v>
      </c>
      <c r="D183" s="24">
        <f t="shared" ref="D183:L183" si="45">IF(AND(D137="-",D91="-",D45="-"),"-",SUM(D137,D91,D45))</f>
        <v>988</v>
      </c>
      <c r="E183" s="24">
        <f t="shared" si="45"/>
        <v>1623</v>
      </c>
      <c r="F183" s="24">
        <f t="shared" si="45"/>
        <v>1396</v>
      </c>
      <c r="G183" s="24">
        <f t="shared" si="45"/>
        <v>3673</v>
      </c>
      <c r="H183" s="24">
        <f t="shared" si="45"/>
        <v>1631</v>
      </c>
      <c r="I183" s="24">
        <f t="shared" si="45"/>
        <v>658</v>
      </c>
      <c r="J183" s="24">
        <f t="shared" si="45"/>
        <v>83</v>
      </c>
      <c r="K183" s="24" t="str">
        <f t="shared" si="45"/>
        <v>-</v>
      </c>
      <c r="L183" s="142">
        <f t="shared" si="45"/>
        <v>10052</v>
      </c>
      <c r="M183" s="17"/>
      <c r="N183" s="17"/>
    </row>
    <row r="184" spans="1:14" ht="11.25" customHeight="1">
      <c r="A184" s="99">
        <v>2019</v>
      </c>
      <c r="B184" s="24" t="str">
        <f t="shared" ref="B184:L184" si="46">IF(AND(B138="-",B92="-",B46="-"),"-",SUM(B138,B92,B46))</f>
        <v>-</v>
      </c>
      <c r="C184" s="24">
        <f t="shared" si="46"/>
        <v>51</v>
      </c>
      <c r="D184" s="24">
        <f t="shared" si="46"/>
        <v>4013</v>
      </c>
      <c r="E184" s="24">
        <f t="shared" si="46"/>
        <v>4820</v>
      </c>
      <c r="F184" s="24">
        <f t="shared" si="46"/>
        <v>4143</v>
      </c>
      <c r="G184" s="24">
        <f t="shared" si="46"/>
        <v>3466</v>
      </c>
      <c r="H184" s="24">
        <f t="shared" si="46"/>
        <v>1212</v>
      </c>
      <c r="I184" s="24">
        <f t="shared" si="46"/>
        <v>438</v>
      </c>
      <c r="J184" s="24" t="str">
        <f t="shared" si="46"/>
        <v>-</v>
      </c>
      <c r="K184" s="24" t="str">
        <f t="shared" si="46"/>
        <v>-</v>
      </c>
      <c r="L184" s="142">
        <f t="shared" si="46"/>
        <v>18143</v>
      </c>
      <c r="M184" s="17"/>
      <c r="N184" s="17"/>
    </row>
    <row r="185" spans="1:14" ht="11.25" customHeight="1">
      <c r="A185" s="99" t="s">
        <v>309</v>
      </c>
      <c r="B185" s="24" t="str">
        <f t="shared" ref="B185:L186" si="47">IF(AND(B139="-",B93="-",B47="-"),"-",SUM(B139,B93,B47))</f>
        <v>-</v>
      </c>
      <c r="C185" s="24">
        <f t="shared" si="47"/>
        <v>137</v>
      </c>
      <c r="D185" s="24">
        <f t="shared" si="47"/>
        <v>2760</v>
      </c>
      <c r="E185" s="24">
        <f t="shared" si="47"/>
        <v>3773</v>
      </c>
      <c r="F185" s="24">
        <f>IF(AND(F139="-",F93="-",F47="-"),"-",SUM(F139,F93,F47))</f>
        <v>3516</v>
      </c>
      <c r="G185" s="24">
        <f t="shared" si="47"/>
        <v>1962</v>
      </c>
      <c r="H185" s="24">
        <f t="shared" si="47"/>
        <v>1261</v>
      </c>
      <c r="I185" s="24">
        <f t="shared" si="47"/>
        <v>780</v>
      </c>
      <c r="J185" s="24" t="str">
        <f t="shared" si="47"/>
        <v>-</v>
      </c>
      <c r="K185" s="24" t="str">
        <f t="shared" si="47"/>
        <v>-</v>
      </c>
      <c r="L185" s="142">
        <f t="shared" si="47"/>
        <v>14189</v>
      </c>
      <c r="M185" s="17"/>
      <c r="N185" s="17"/>
    </row>
    <row r="186" spans="1:14" ht="11.25" customHeight="1">
      <c r="A186" s="99" t="s">
        <v>317</v>
      </c>
      <c r="B186" s="25">
        <f t="shared" si="47"/>
        <v>33</v>
      </c>
      <c r="C186" s="25">
        <f t="shared" si="47"/>
        <v>407</v>
      </c>
      <c r="D186" s="25">
        <f t="shared" si="47"/>
        <v>2872</v>
      </c>
      <c r="E186" s="25">
        <f t="shared" si="47"/>
        <v>2817</v>
      </c>
      <c r="F186" s="25">
        <f>IF(AND(F140="-",F94="-",F48="-"),"-",SUM(F140,F94,F48))</f>
        <v>1165</v>
      </c>
      <c r="G186" s="25">
        <f t="shared" si="47"/>
        <v>2660</v>
      </c>
      <c r="H186" s="25">
        <f t="shared" si="47"/>
        <v>1394</v>
      </c>
      <c r="I186" s="25">
        <f t="shared" si="47"/>
        <v>498</v>
      </c>
      <c r="J186" s="25" t="str">
        <f t="shared" si="47"/>
        <v>-</v>
      </c>
      <c r="K186" s="25" t="str">
        <f t="shared" si="47"/>
        <v>-</v>
      </c>
      <c r="L186" s="142">
        <f t="shared" si="47"/>
        <v>11846</v>
      </c>
      <c r="M186" s="17"/>
      <c r="N186" s="17"/>
    </row>
    <row r="187" spans="1:14" ht="11.25" customHeight="1">
      <c r="A187" s="344" t="s">
        <v>148</v>
      </c>
      <c r="B187" s="344"/>
      <c r="C187" s="344"/>
      <c r="D187" s="344"/>
      <c r="E187" s="344"/>
      <c r="F187" s="344"/>
      <c r="G187" s="344"/>
      <c r="H187" s="344"/>
      <c r="I187" s="344"/>
      <c r="J187" s="344"/>
      <c r="K187" s="344"/>
      <c r="L187" s="344"/>
    </row>
    <row r="188" spans="1:14" ht="11.25" customHeight="1">
      <c r="A188" s="280" t="s">
        <v>42</v>
      </c>
      <c r="B188" s="280"/>
      <c r="C188" s="280"/>
      <c r="D188" s="280"/>
      <c r="E188" s="280"/>
      <c r="F188" s="280"/>
      <c r="G188" s="280"/>
      <c r="H188" s="280"/>
      <c r="I188" s="280"/>
      <c r="J188" s="280"/>
      <c r="K188" s="280"/>
      <c r="L188" s="280"/>
    </row>
    <row r="189" spans="1:14" ht="51.75" customHeight="1">
      <c r="A189" s="280" t="s">
        <v>354</v>
      </c>
      <c r="B189" s="280"/>
      <c r="C189" s="280"/>
      <c r="D189" s="280"/>
      <c r="E189" s="280"/>
      <c r="F189" s="280"/>
      <c r="G189" s="280"/>
      <c r="H189" s="280"/>
      <c r="I189" s="280"/>
      <c r="J189" s="280"/>
      <c r="K189" s="280"/>
      <c r="L189" s="280"/>
    </row>
    <row r="190" spans="1:14" ht="11.25" customHeight="1">
      <c r="A190" s="197"/>
      <c r="B190" s="197"/>
      <c r="C190" s="197"/>
      <c r="D190" s="197"/>
      <c r="E190" s="197"/>
      <c r="F190" s="197"/>
      <c r="G190" s="197"/>
      <c r="H190" s="197"/>
      <c r="I190" s="197"/>
      <c r="J190" s="197"/>
      <c r="K190" s="197"/>
      <c r="L190" s="197"/>
    </row>
    <row r="191" spans="1:14" ht="11.25" customHeight="1">
      <c r="A191" s="197"/>
      <c r="B191" s="197"/>
      <c r="C191" s="197"/>
      <c r="D191" s="197"/>
      <c r="E191" s="197"/>
      <c r="F191" s="197"/>
      <c r="G191" s="197"/>
      <c r="H191" s="197"/>
      <c r="I191" s="197"/>
      <c r="J191" s="197"/>
      <c r="K191" s="197"/>
      <c r="L191" s="197"/>
    </row>
    <row r="192" spans="1:14" ht="11.25" customHeight="1">
      <c r="A192" s="197"/>
      <c r="B192" s="197"/>
      <c r="C192" s="197"/>
      <c r="D192" s="197"/>
      <c r="E192" s="197"/>
      <c r="F192" s="197"/>
      <c r="G192" s="197"/>
      <c r="H192" s="197"/>
      <c r="I192" s="197"/>
      <c r="J192" s="197"/>
      <c r="K192" s="197"/>
      <c r="L192" s="197"/>
    </row>
    <row r="193" spans="1:12" ht="11.25" customHeight="1">
      <c r="A193" s="197"/>
      <c r="B193" s="197"/>
      <c r="C193" s="197"/>
      <c r="D193" s="197"/>
      <c r="E193" s="197"/>
      <c r="F193" s="197"/>
      <c r="G193" s="197"/>
      <c r="H193" s="197"/>
      <c r="I193" s="197"/>
      <c r="J193" s="197"/>
      <c r="K193" s="197"/>
      <c r="L193" s="197"/>
    </row>
    <row r="194" spans="1:12" ht="11.25" customHeight="1">
      <c r="A194" s="197"/>
      <c r="B194" s="197"/>
      <c r="C194" s="197"/>
      <c r="D194" s="197"/>
      <c r="E194" s="197"/>
      <c r="F194" s="197"/>
      <c r="G194" s="197"/>
      <c r="H194" s="197"/>
      <c r="I194" s="197"/>
      <c r="J194" s="197"/>
      <c r="K194" s="197"/>
      <c r="L194" s="197"/>
    </row>
    <row r="195" spans="1:12" ht="11.25" customHeight="1">
      <c r="A195" s="99"/>
      <c r="B195" s="24"/>
      <c r="C195" s="24"/>
      <c r="D195" s="24"/>
      <c r="E195" s="24"/>
      <c r="F195" s="24"/>
      <c r="G195" s="24"/>
      <c r="H195" s="24"/>
      <c r="I195" s="24"/>
      <c r="J195" s="24"/>
      <c r="K195" s="24"/>
      <c r="L195" s="142"/>
    </row>
    <row r="196" spans="1:12" ht="11.25" customHeight="1">
      <c r="A196" s="158"/>
      <c r="B196" s="160"/>
      <c r="C196" s="160"/>
      <c r="D196" s="160"/>
      <c r="E196" s="160"/>
      <c r="F196" s="160"/>
      <c r="G196" s="160"/>
      <c r="H196" s="160"/>
      <c r="I196" s="160"/>
      <c r="J196" s="160"/>
      <c r="K196" s="160"/>
      <c r="L196" s="159"/>
    </row>
    <row r="197" spans="1:12" ht="11.25" customHeight="1">
      <c r="A197" s="99"/>
      <c r="B197" s="24"/>
      <c r="C197" s="24"/>
      <c r="D197" s="24"/>
      <c r="E197" s="24"/>
      <c r="F197" s="24"/>
      <c r="G197" s="24"/>
      <c r="H197" s="24"/>
      <c r="I197" s="24"/>
      <c r="J197" s="24"/>
      <c r="K197" s="24"/>
      <c r="L197" s="142"/>
    </row>
    <row r="198" spans="1:12" ht="11.25" customHeight="1">
      <c r="A198" s="99"/>
      <c r="B198" s="24"/>
      <c r="C198" s="24"/>
      <c r="D198" s="24"/>
      <c r="E198" s="24"/>
      <c r="F198" s="24"/>
      <c r="G198" s="24"/>
      <c r="H198" s="24"/>
      <c r="I198" s="24"/>
      <c r="J198" s="24"/>
      <c r="K198" s="24"/>
      <c r="L198" s="142"/>
    </row>
    <row r="199" spans="1:12" ht="11.25" customHeight="1">
      <c r="A199" s="99"/>
      <c r="B199" s="24"/>
      <c r="C199" s="24"/>
      <c r="D199" s="24"/>
      <c r="E199" s="24"/>
      <c r="F199" s="24"/>
      <c r="G199" s="24"/>
      <c r="H199" s="24"/>
      <c r="I199" s="24"/>
      <c r="J199" s="24"/>
      <c r="K199" s="24"/>
      <c r="L199" s="142"/>
    </row>
    <row r="200" spans="1:12" ht="11.25" customHeight="1">
      <c r="A200" s="99"/>
      <c r="B200" s="24"/>
      <c r="C200" s="24"/>
      <c r="D200" s="24"/>
      <c r="E200" s="24"/>
      <c r="F200" s="24"/>
      <c r="G200" s="24"/>
      <c r="H200" s="24"/>
      <c r="I200" s="24"/>
      <c r="J200" s="24"/>
      <c r="K200" s="24"/>
      <c r="L200" s="142"/>
    </row>
    <row r="201" spans="1:12" ht="11.25" customHeight="1">
      <c r="A201" s="357" t="s">
        <v>139</v>
      </c>
      <c r="B201" s="357"/>
      <c r="C201" s="357"/>
      <c r="D201" s="357"/>
      <c r="E201" s="357"/>
      <c r="F201" s="357"/>
      <c r="G201" s="357"/>
      <c r="H201" s="357"/>
      <c r="I201" s="357"/>
      <c r="J201" s="357"/>
      <c r="K201" s="357"/>
      <c r="L201" s="357"/>
    </row>
    <row r="202" spans="1:12" ht="11.25" customHeight="1">
      <c r="A202" s="357"/>
      <c r="B202" s="357"/>
      <c r="C202" s="357"/>
      <c r="D202" s="357"/>
      <c r="E202" s="357"/>
      <c r="F202" s="357"/>
      <c r="G202" s="357"/>
      <c r="H202" s="357"/>
      <c r="I202" s="357"/>
      <c r="J202" s="357"/>
      <c r="K202" s="357"/>
      <c r="L202" s="357"/>
    </row>
    <row r="203" spans="1:12" ht="11.25" customHeight="1">
      <c r="A203" s="98" t="s">
        <v>27</v>
      </c>
      <c r="B203" s="196" t="s">
        <v>37</v>
      </c>
      <c r="C203" s="196" t="s">
        <v>28</v>
      </c>
      <c r="D203" s="196" t="s">
        <v>29</v>
      </c>
      <c r="E203" s="196" t="s">
        <v>73</v>
      </c>
      <c r="F203" s="196" t="s">
        <v>74</v>
      </c>
      <c r="G203" s="196" t="s">
        <v>32</v>
      </c>
      <c r="H203" s="196" t="s">
        <v>33</v>
      </c>
      <c r="I203" s="196" t="s">
        <v>34</v>
      </c>
      <c r="J203" s="196" t="s">
        <v>38</v>
      </c>
      <c r="K203" s="196" t="s">
        <v>75</v>
      </c>
      <c r="L203" s="46" t="s">
        <v>76</v>
      </c>
    </row>
    <row r="204" spans="1:12" ht="14.25" customHeight="1">
      <c r="A204" s="94" t="s">
        <v>225</v>
      </c>
      <c r="B204" s="24"/>
      <c r="C204" s="24"/>
      <c r="D204" s="24"/>
      <c r="E204" s="24"/>
      <c r="F204" s="24"/>
      <c r="G204" s="24"/>
      <c r="H204" s="24"/>
      <c r="I204" s="24"/>
      <c r="J204" s="24"/>
      <c r="K204" s="24"/>
      <c r="L204" s="142"/>
    </row>
    <row r="205" spans="1:12" ht="11.25" customHeight="1">
      <c r="A205" s="99" t="s">
        <v>24</v>
      </c>
      <c r="B205" s="24" t="s">
        <v>23</v>
      </c>
      <c r="C205" s="24" t="s">
        <v>23</v>
      </c>
      <c r="D205" s="24">
        <f t="shared" ref="D205:L205" si="48">AVERAGE(D8:D12)</f>
        <v>1412.6</v>
      </c>
      <c r="E205" s="24">
        <f t="shared" si="48"/>
        <v>1011.4</v>
      </c>
      <c r="F205" s="24">
        <f t="shared" si="48"/>
        <v>10192.799999999999</v>
      </c>
      <c r="G205" s="24">
        <f t="shared" si="48"/>
        <v>5360</v>
      </c>
      <c r="H205" s="24">
        <f t="shared" si="48"/>
        <v>941.4</v>
      </c>
      <c r="I205" s="24">
        <f t="shared" si="48"/>
        <v>448.4</v>
      </c>
      <c r="J205" s="24">
        <f t="shared" si="48"/>
        <v>10</v>
      </c>
      <c r="K205" s="24" t="s">
        <v>23</v>
      </c>
      <c r="L205" s="142">
        <f t="shared" si="48"/>
        <v>19376.599999999999</v>
      </c>
    </row>
    <row r="206" spans="1:12" ht="11.25" customHeight="1">
      <c r="A206" s="99" t="s">
        <v>78</v>
      </c>
      <c r="B206" s="24" t="s">
        <v>23</v>
      </c>
      <c r="C206" s="24" t="s">
        <v>23</v>
      </c>
      <c r="D206" s="24">
        <f t="shared" ref="D206:L206" si="49">AVERAGE(D13:D17)</f>
        <v>3745.4</v>
      </c>
      <c r="E206" s="24">
        <f t="shared" si="49"/>
        <v>4493.8</v>
      </c>
      <c r="F206" s="24">
        <f t="shared" si="49"/>
        <v>14032.6</v>
      </c>
      <c r="G206" s="24">
        <f t="shared" si="49"/>
        <v>8092.6</v>
      </c>
      <c r="H206" s="24">
        <f t="shared" si="49"/>
        <v>3213.8</v>
      </c>
      <c r="I206" s="24">
        <f t="shared" si="49"/>
        <v>2162</v>
      </c>
      <c r="J206" s="24">
        <f t="shared" si="49"/>
        <v>257</v>
      </c>
      <c r="K206" s="24" t="s">
        <v>23</v>
      </c>
      <c r="L206" s="142">
        <f t="shared" si="49"/>
        <v>35843</v>
      </c>
    </row>
    <row r="207" spans="1:12" ht="11.25" customHeight="1">
      <c r="A207" s="99" t="s">
        <v>10</v>
      </c>
      <c r="B207" s="24" t="s">
        <v>23</v>
      </c>
      <c r="C207" s="24" t="s">
        <v>23</v>
      </c>
      <c r="D207" s="24">
        <f>AVERAGE(D18:D22)</f>
        <v>1234.2</v>
      </c>
      <c r="E207" s="24">
        <f t="shared" ref="E207:J207" si="50">AVERAGE(E18:E22)</f>
        <v>2027</v>
      </c>
      <c r="F207" s="24">
        <f t="shared" si="50"/>
        <v>2444</v>
      </c>
      <c r="G207" s="24">
        <f t="shared" si="50"/>
        <v>2053.5</v>
      </c>
      <c r="H207" s="24">
        <f t="shared" si="50"/>
        <v>1334.8</v>
      </c>
      <c r="I207" s="24">
        <f t="shared" si="50"/>
        <v>1321.4</v>
      </c>
      <c r="J207" s="24">
        <f t="shared" si="50"/>
        <v>88.333333333333329</v>
      </c>
      <c r="K207" s="24" t="s">
        <v>23</v>
      </c>
      <c r="L207" s="142">
        <f>AVERAGE(L18:L22)</f>
        <v>8674.2000000000007</v>
      </c>
    </row>
    <row r="208" spans="1:12" ht="11.25" customHeight="1">
      <c r="A208" s="99" t="s">
        <v>144</v>
      </c>
      <c r="B208" s="24" t="s">
        <v>23</v>
      </c>
      <c r="C208" s="24" t="s">
        <v>23</v>
      </c>
      <c r="D208" s="24">
        <f>AVERAGE(D23:D27)</f>
        <v>1282</v>
      </c>
      <c r="E208" s="24">
        <f t="shared" ref="E208:J208" si="51">AVERAGE(E23:E27)</f>
        <v>1573.2</v>
      </c>
      <c r="F208" s="24">
        <f t="shared" si="51"/>
        <v>959.5</v>
      </c>
      <c r="G208" s="24">
        <f t="shared" si="51"/>
        <v>1531.8</v>
      </c>
      <c r="H208" s="24">
        <f t="shared" si="51"/>
        <v>972.8</v>
      </c>
      <c r="I208" s="24">
        <f t="shared" si="51"/>
        <v>635.6</v>
      </c>
      <c r="J208" s="24">
        <f t="shared" si="51"/>
        <v>114</v>
      </c>
      <c r="K208" s="24" t="s">
        <v>23</v>
      </c>
      <c r="L208" s="142">
        <f>AVERAGE(L23:L27)</f>
        <v>6814.8</v>
      </c>
    </row>
    <row r="209" spans="1:12" ht="11.25" customHeight="1">
      <c r="A209" s="99" t="s">
        <v>166</v>
      </c>
      <c r="B209" s="24">
        <f>AVERAGE(B28:B32)</f>
        <v>686.5</v>
      </c>
      <c r="C209" s="24">
        <f>AVERAGE(C28:C32)</f>
        <v>1208.4000000000001</v>
      </c>
      <c r="D209" s="24">
        <f>AVERAGE(D28:D32)</f>
        <v>2309.8000000000002</v>
      </c>
      <c r="E209" s="24">
        <f t="shared" ref="E209:L209" si="52">AVERAGE(E28:E32)</f>
        <v>1993.6</v>
      </c>
      <c r="F209" s="24">
        <f t="shared" si="52"/>
        <v>941.75</v>
      </c>
      <c r="G209" s="24">
        <f t="shared" si="52"/>
        <v>1631</v>
      </c>
      <c r="H209" s="24">
        <f t="shared" si="52"/>
        <v>1672.8</v>
      </c>
      <c r="I209" s="24">
        <f t="shared" si="52"/>
        <v>1212.5999999999999</v>
      </c>
      <c r="J209" s="24">
        <f t="shared" si="52"/>
        <v>160.6</v>
      </c>
      <c r="K209" s="24">
        <f t="shared" si="52"/>
        <v>25.2</v>
      </c>
      <c r="L209" s="142">
        <f t="shared" si="52"/>
        <v>11190.4</v>
      </c>
    </row>
    <row r="210" spans="1:12" ht="11.25" customHeight="1">
      <c r="A210" s="99" t="s">
        <v>315</v>
      </c>
      <c r="B210" s="24" t="str">
        <f>B33</f>
        <v>-</v>
      </c>
      <c r="C210" s="24">
        <f>AVERAGE(C33:C37)</f>
        <v>342</v>
      </c>
      <c r="D210" s="24">
        <f t="shared" ref="D210:L210" si="53">AVERAGE(D33:D37)</f>
        <v>1098</v>
      </c>
      <c r="E210" s="24">
        <f t="shared" si="53"/>
        <v>926</v>
      </c>
      <c r="F210" s="24">
        <f t="shared" si="53"/>
        <v>438.66666666666669</v>
      </c>
      <c r="G210" s="24">
        <f t="shared" si="53"/>
        <v>685</v>
      </c>
      <c r="H210" s="24">
        <f t="shared" si="53"/>
        <v>326.39999999999998</v>
      </c>
      <c r="I210" s="24">
        <f t="shared" si="53"/>
        <v>239.2</v>
      </c>
      <c r="J210" s="24">
        <f t="shared" si="53"/>
        <v>163</v>
      </c>
      <c r="K210" s="24">
        <f t="shared" si="53"/>
        <v>26</v>
      </c>
      <c r="L210" s="142">
        <f t="shared" si="53"/>
        <v>2406</v>
      </c>
    </row>
    <row r="211" spans="1:12" ht="11.25" customHeight="1">
      <c r="A211" s="99">
        <v>2011</v>
      </c>
      <c r="B211" s="24" t="str">
        <f t="shared" ref="B211:L211" si="54">B38</f>
        <v>-</v>
      </c>
      <c r="C211" s="24">
        <f t="shared" si="54"/>
        <v>316</v>
      </c>
      <c r="D211" s="24">
        <f t="shared" si="54"/>
        <v>888</v>
      </c>
      <c r="E211" s="24">
        <f t="shared" si="54"/>
        <v>1080</v>
      </c>
      <c r="F211" s="24">
        <f t="shared" si="54"/>
        <v>100</v>
      </c>
      <c r="G211" s="24">
        <f t="shared" si="54"/>
        <v>207</v>
      </c>
      <c r="H211" s="24">
        <f t="shared" si="54"/>
        <v>122</v>
      </c>
      <c r="I211" s="24">
        <f t="shared" si="54"/>
        <v>226</v>
      </c>
      <c r="J211" s="24">
        <f t="shared" si="54"/>
        <v>235</v>
      </c>
      <c r="K211" s="24" t="str">
        <f t="shared" si="54"/>
        <v>-</v>
      </c>
      <c r="L211" s="142">
        <f t="shared" si="54"/>
        <v>3174</v>
      </c>
    </row>
    <row r="212" spans="1:12" ht="11.25" customHeight="1">
      <c r="A212" s="99">
        <v>2012</v>
      </c>
      <c r="B212" s="24" t="str">
        <f t="shared" ref="B212:L212" si="55">B39</f>
        <v>-</v>
      </c>
      <c r="C212" s="24">
        <f t="shared" si="55"/>
        <v>522</v>
      </c>
      <c r="D212" s="24">
        <f t="shared" si="55"/>
        <v>1434</v>
      </c>
      <c r="E212" s="24">
        <f t="shared" si="55"/>
        <v>936</v>
      </c>
      <c r="F212" s="24">
        <f t="shared" si="55"/>
        <v>246</v>
      </c>
      <c r="G212" s="24">
        <f t="shared" si="55"/>
        <v>632</v>
      </c>
      <c r="H212" s="24">
        <f t="shared" si="55"/>
        <v>887</v>
      </c>
      <c r="I212" s="24">
        <f t="shared" si="55"/>
        <v>680</v>
      </c>
      <c r="J212" s="24">
        <f t="shared" si="55"/>
        <v>121</v>
      </c>
      <c r="K212" s="24" t="str">
        <f t="shared" si="55"/>
        <v>-</v>
      </c>
      <c r="L212" s="142">
        <f t="shared" si="55"/>
        <v>5458</v>
      </c>
    </row>
    <row r="213" spans="1:12" ht="11.25" customHeight="1">
      <c r="A213" s="99">
        <v>2013</v>
      </c>
      <c r="B213" s="24" t="str">
        <f t="shared" ref="B213:L213" si="56">B40</f>
        <v>-</v>
      </c>
      <c r="C213" s="24">
        <f t="shared" si="56"/>
        <v>1029</v>
      </c>
      <c r="D213" s="24">
        <f t="shared" si="56"/>
        <v>1134</v>
      </c>
      <c r="E213" s="24">
        <f t="shared" si="56"/>
        <v>771</v>
      </c>
      <c r="F213" s="24">
        <f t="shared" si="56"/>
        <v>518</v>
      </c>
      <c r="G213" s="24">
        <f t="shared" si="56"/>
        <v>2147</v>
      </c>
      <c r="H213" s="24">
        <f t="shared" si="56"/>
        <v>1345</v>
      </c>
      <c r="I213" s="24">
        <f t="shared" si="56"/>
        <v>893</v>
      </c>
      <c r="J213" s="24">
        <f t="shared" si="56"/>
        <v>155</v>
      </c>
      <c r="K213" s="24" t="str">
        <f t="shared" si="56"/>
        <v>-</v>
      </c>
      <c r="L213" s="142">
        <f t="shared" si="56"/>
        <v>7992</v>
      </c>
    </row>
    <row r="214" spans="1:12" ht="11.25" customHeight="1">
      <c r="A214" s="99">
        <v>2014</v>
      </c>
      <c r="B214" s="24" t="str">
        <f t="shared" ref="B214:L214" si="57">B41</f>
        <v>-</v>
      </c>
      <c r="C214" s="24">
        <f t="shared" si="57"/>
        <v>952</v>
      </c>
      <c r="D214" s="24">
        <f t="shared" si="57"/>
        <v>2101</v>
      </c>
      <c r="E214" s="24">
        <f t="shared" si="57"/>
        <v>1718</v>
      </c>
      <c r="F214" s="24">
        <f t="shared" si="57"/>
        <v>1062</v>
      </c>
      <c r="G214" s="24">
        <f t="shared" si="57"/>
        <v>2155</v>
      </c>
      <c r="H214" s="24">
        <f t="shared" si="57"/>
        <v>742</v>
      </c>
      <c r="I214" s="24">
        <f t="shared" si="57"/>
        <v>289</v>
      </c>
      <c r="J214" s="24">
        <f t="shared" si="57"/>
        <v>98</v>
      </c>
      <c r="K214" s="24" t="str">
        <f t="shared" si="57"/>
        <v>-</v>
      </c>
      <c r="L214" s="142">
        <f t="shared" si="57"/>
        <v>9117</v>
      </c>
    </row>
    <row r="215" spans="1:12" ht="11.25" customHeight="1">
      <c r="A215" s="99">
        <v>2015</v>
      </c>
      <c r="B215" s="24" t="str">
        <f t="shared" ref="B215:L215" si="58">B42</f>
        <v>-</v>
      </c>
      <c r="C215" s="24">
        <f t="shared" si="58"/>
        <v>1755</v>
      </c>
      <c r="D215" s="24">
        <f t="shared" si="58"/>
        <v>1562</v>
      </c>
      <c r="E215" s="24">
        <f t="shared" si="58"/>
        <v>1249</v>
      </c>
      <c r="F215" s="24">
        <f t="shared" si="58"/>
        <v>1275</v>
      </c>
      <c r="G215" s="24">
        <f t="shared" si="58"/>
        <v>788</v>
      </c>
      <c r="H215" s="24">
        <f t="shared" si="58"/>
        <v>367</v>
      </c>
      <c r="I215" s="24">
        <f t="shared" si="58"/>
        <v>237</v>
      </c>
      <c r="J215" s="24">
        <f t="shared" si="58"/>
        <v>158</v>
      </c>
      <c r="K215" s="24" t="str">
        <f t="shared" si="58"/>
        <v>-</v>
      </c>
      <c r="L215" s="142">
        <f t="shared" si="58"/>
        <v>7391</v>
      </c>
    </row>
    <row r="216" spans="1:12" ht="11.25" customHeight="1">
      <c r="A216" s="99">
        <v>2016</v>
      </c>
      <c r="B216" s="24" t="str">
        <f t="shared" ref="B216:L216" si="59">B43</f>
        <v>-</v>
      </c>
      <c r="C216" s="24">
        <f t="shared" si="59"/>
        <v>888</v>
      </c>
      <c r="D216" s="24">
        <f t="shared" si="59"/>
        <v>833</v>
      </c>
      <c r="E216" s="24">
        <f t="shared" si="59"/>
        <v>635</v>
      </c>
      <c r="F216" s="24">
        <f t="shared" si="59"/>
        <v>542</v>
      </c>
      <c r="G216" s="24">
        <f t="shared" si="59"/>
        <v>634</v>
      </c>
      <c r="H216" s="24">
        <f t="shared" si="59"/>
        <v>330</v>
      </c>
      <c r="I216" s="24">
        <f t="shared" si="59"/>
        <v>137</v>
      </c>
      <c r="J216" s="24">
        <f t="shared" si="59"/>
        <v>41</v>
      </c>
      <c r="K216" s="24" t="str">
        <f t="shared" si="59"/>
        <v>-</v>
      </c>
      <c r="L216" s="142">
        <f t="shared" si="59"/>
        <v>4040</v>
      </c>
    </row>
    <row r="217" spans="1:12" ht="11.25" customHeight="1">
      <c r="A217" s="99">
        <v>2017</v>
      </c>
      <c r="B217" s="24" t="str">
        <f t="shared" ref="B217:L217" si="60">B44</f>
        <v>-</v>
      </c>
      <c r="C217" s="24">
        <f t="shared" si="60"/>
        <v>106</v>
      </c>
      <c r="D217" s="24">
        <f t="shared" si="60"/>
        <v>183</v>
      </c>
      <c r="E217" s="24">
        <f t="shared" si="60"/>
        <v>391</v>
      </c>
      <c r="F217" s="24">
        <f t="shared" si="60"/>
        <v>655</v>
      </c>
      <c r="G217" s="24" t="str">
        <f t="shared" si="60"/>
        <v>-</v>
      </c>
      <c r="H217" s="24">
        <f t="shared" si="60"/>
        <v>88</v>
      </c>
      <c r="I217" s="24">
        <f t="shared" si="60"/>
        <v>137</v>
      </c>
      <c r="J217" s="24">
        <f t="shared" si="60"/>
        <v>41</v>
      </c>
      <c r="K217" s="24" t="str">
        <f t="shared" si="60"/>
        <v>-</v>
      </c>
      <c r="L217" s="142">
        <f t="shared" si="60"/>
        <v>1601</v>
      </c>
    </row>
    <row r="218" spans="1:12" ht="11.25" customHeight="1">
      <c r="A218" s="99">
        <v>2018</v>
      </c>
      <c r="B218" s="24" t="str">
        <f t="shared" ref="B218:L218" si="61">B45</f>
        <v>-</v>
      </c>
      <c r="C218" s="24" t="str">
        <f t="shared" si="61"/>
        <v>-</v>
      </c>
      <c r="D218" s="24">
        <f t="shared" si="61"/>
        <v>348</v>
      </c>
      <c r="E218" s="24">
        <f t="shared" si="61"/>
        <v>433</v>
      </c>
      <c r="F218" s="24">
        <f t="shared" si="61"/>
        <v>287</v>
      </c>
      <c r="G218" s="24">
        <f t="shared" si="61"/>
        <v>667</v>
      </c>
      <c r="H218" s="24">
        <f t="shared" si="61"/>
        <v>80</v>
      </c>
      <c r="I218" s="24">
        <f t="shared" si="61"/>
        <v>102</v>
      </c>
      <c r="J218" s="24">
        <f t="shared" si="61"/>
        <v>83</v>
      </c>
      <c r="K218" s="24" t="str">
        <f t="shared" si="61"/>
        <v>-</v>
      </c>
      <c r="L218" s="142">
        <f t="shared" si="61"/>
        <v>2000</v>
      </c>
    </row>
    <row r="219" spans="1:12" ht="11.25" customHeight="1">
      <c r="A219" s="99">
        <v>2019</v>
      </c>
      <c r="B219" s="24" t="str">
        <f t="shared" ref="B219:L219" si="62">B46</f>
        <v>-</v>
      </c>
      <c r="C219" s="24">
        <f t="shared" si="62"/>
        <v>49</v>
      </c>
      <c r="D219" s="24">
        <f t="shared" si="62"/>
        <v>134</v>
      </c>
      <c r="E219" s="24">
        <f t="shared" si="62"/>
        <v>342</v>
      </c>
      <c r="F219" s="24">
        <f t="shared" si="62"/>
        <v>912</v>
      </c>
      <c r="G219" s="24">
        <f t="shared" si="62"/>
        <v>389</v>
      </c>
      <c r="H219" s="24">
        <f t="shared" si="62"/>
        <v>104</v>
      </c>
      <c r="I219" s="24">
        <f t="shared" si="62"/>
        <v>187</v>
      </c>
      <c r="J219" s="24" t="str">
        <f t="shared" si="62"/>
        <v>-</v>
      </c>
      <c r="K219" s="24" t="str">
        <f t="shared" si="62"/>
        <v>-</v>
      </c>
      <c r="L219" s="142">
        <f t="shared" si="62"/>
        <v>2117</v>
      </c>
    </row>
    <row r="220" spans="1:12" ht="11.25" customHeight="1">
      <c r="A220" s="99">
        <v>2020</v>
      </c>
      <c r="B220" s="24" t="str">
        <f t="shared" ref="B220:L220" si="63">B47</f>
        <v>-</v>
      </c>
      <c r="C220" s="24">
        <f t="shared" si="63"/>
        <v>136</v>
      </c>
      <c r="D220" s="24">
        <f t="shared" si="63"/>
        <v>92</v>
      </c>
      <c r="E220" s="24">
        <f t="shared" si="63"/>
        <v>367</v>
      </c>
      <c r="F220" s="24">
        <f t="shared" si="63"/>
        <v>549</v>
      </c>
      <c r="G220" s="24">
        <f t="shared" si="63"/>
        <v>249</v>
      </c>
      <c r="H220" s="24">
        <f t="shared" si="63"/>
        <v>175</v>
      </c>
      <c r="I220" s="24">
        <f t="shared" si="63"/>
        <v>212</v>
      </c>
      <c r="J220" s="24" t="str">
        <f t="shared" si="63"/>
        <v>-</v>
      </c>
      <c r="K220" s="24" t="str">
        <f t="shared" si="63"/>
        <v>-</v>
      </c>
      <c r="L220" s="142">
        <f t="shared" si="63"/>
        <v>1780</v>
      </c>
    </row>
    <row r="221" spans="1:12" ht="11.25" customHeight="1">
      <c r="A221" s="99" t="s">
        <v>317</v>
      </c>
      <c r="B221" s="24">
        <f t="shared" ref="B221:L221" si="64">B48</f>
        <v>32</v>
      </c>
      <c r="C221" s="24">
        <f t="shared" si="64"/>
        <v>405</v>
      </c>
      <c r="D221" s="24">
        <f t="shared" si="64"/>
        <v>343</v>
      </c>
      <c r="E221" s="24">
        <f t="shared" si="64"/>
        <v>170</v>
      </c>
      <c r="F221" s="24">
        <f t="shared" si="64"/>
        <v>342</v>
      </c>
      <c r="G221" s="24">
        <f t="shared" si="64"/>
        <v>268</v>
      </c>
      <c r="H221" s="24">
        <f t="shared" si="64"/>
        <v>70</v>
      </c>
      <c r="I221" s="24">
        <f t="shared" si="64"/>
        <v>181</v>
      </c>
      <c r="J221" s="24" t="str">
        <f t="shared" si="64"/>
        <v>-</v>
      </c>
      <c r="K221" s="24" t="str">
        <f t="shared" si="64"/>
        <v>-</v>
      </c>
      <c r="L221" s="142">
        <f t="shared" si="64"/>
        <v>1811</v>
      </c>
    </row>
    <row r="222" spans="1:12" ht="11.25" customHeight="1">
      <c r="A222" s="99"/>
      <c r="B222" s="24"/>
      <c r="C222" s="24"/>
      <c r="D222" s="24"/>
      <c r="E222" s="24"/>
      <c r="F222" s="24"/>
      <c r="G222" s="24"/>
      <c r="H222" s="24"/>
      <c r="I222" s="24"/>
      <c r="J222" s="24"/>
      <c r="K222" s="24"/>
      <c r="L222" s="142"/>
    </row>
    <row r="223" spans="1:12" ht="11.25" customHeight="1">
      <c r="A223" s="123" t="s">
        <v>346</v>
      </c>
      <c r="B223" s="24"/>
      <c r="C223" s="24"/>
      <c r="D223" s="24"/>
      <c r="E223" s="24"/>
      <c r="F223" s="24"/>
      <c r="G223" s="24"/>
      <c r="H223" s="24"/>
      <c r="I223" s="24"/>
      <c r="J223" s="24"/>
      <c r="K223" s="24"/>
      <c r="L223" s="142"/>
    </row>
    <row r="224" spans="1:12" ht="11.25" customHeight="1">
      <c r="A224" s="99" t="s">
        <v>24</v>
      </c>
      <c r="B224" s="24" t="s">
        <v>23</v>
      </c>
      <c r="C224" s="24" t="s">
        <v>23</v>
      </c>
      <c r="D224" s="24">
        <f t="shared" ref="D224:L224" si="65">AVERAGE(D54:D58)</f>
        <v>2978.8</v>
      </c>
      <c r="E224" s="24">
        <f t="shared" si="65"/>
        <v>1817.2</v>
      </c>
      <c r="F224" s="24">
        <f t="shared" si="65"/>
        <v>5010.3999999999996</v>
      </c>
      <c r="G224" s="24">
        <f t="shared" si="65"/>
        <v>5260.2</v>
      </c>
      <c r="H224" s="24">
        <f t="shared" si="65"/>
        <v>1273.2</v>
      </c>
      <c r="I224" s="24">
        <f t="shared" si="65"/>
        <v>732</v>
      </c>
      <c r="J224" s="24">
        <f t="shared" si="65"/>
        <v>336.4</v>
      </c>
      <c r="K224" s="24" t="s">
        <v>23</v>
      </c>
      <c r="L224" s="142">
        <f t="shared" si="65"/>
        <v>17408.2</v>
      </c>
    </row>
    <row r="225" spans="1:12" ht="11.25" customHeight="1">
      <c r="A225" s="99" t="s">
        <v>78</v>
      </c>
      <c r="B225" s="24" t="s">
        <v>23</v>
      </c>
      <c r="C225" s="24" t="s">
        <v>23</v>
      </c>
      <c r="D225" s="24">
        <f t="shared" ref="D225:J225" si="66">AVERAGE(D59:D63)</f>
        <v>326.39999999999998</v>
      </c>
      <c r="E225" s="24">
        <f t="shared" si="66"/>
        <v>1888.8325813096312</v>
      </c>
      <c r="F225" s="24">
        <f t="shared" si="66"/>
        <v>756.24994336060411</v>
      </c>
      <c r="G225" s="24">
        <f t="shared" si="66"/>
        <v>1406.4248428412764</v>
      </c>
      <c r="H225" s="24">
        <f t="shared" si="66"/>
        <v>551.18293927164189</v>
      </c>
      <c r="I225" s="24">
        <f t="shared" si="66"/>
        <v>160</v>
      </c>
      <c r="J225" s="24">
        <f t="shared" si="66"/>
        <v>217.33333333333334</v>
      </c>
      <c r="K225" s="24" t="s">
        <v>23</v>
      </c>
      <c r="L225" s="142">
        <f>AVERAGE(L59:L63)</f>
        <v>3825.4038873683544</v>
      </c>
    </row>
    <row r="226" spans="1:12" ht="11.25" customHeight="1">
      <c r="A226" s="99" t="s">
        <v>10</v>
      </c>
      <c r="B226" s="24" t="s">
        <v>23</v>
      </c>
      <c r="C226" s="24" t="s">
        <v>23</v>
      </c>
      <c r="D226" s="24">
        <f>AVERAGE(D64:D68)</f>
        <v>45</v>
      </c>
      <c r="E226" s="24" t="s">
        <v>23</v>
      </c>
      <c r="F226" s="24" t="s">
        <v>23</v>
      </c>
      <c r="G226" s="24">
        <f>AVERAGE(G64:G68)</f>
        <v>56</v>
      </c>
      <c r="H226" s="24">
        <f>AVERAGE(H64:H68)</f>
        <v>522</v>
      </c>
      <c r="I226" s="24">
        <f>AVERAGE(I64:I68)</f>
        <v>157</v>
      </c>
      <c r="J226" s="24" t="s">
        <v>23</v>
      </c>
      <c r="K226" s="24" t="s">
        <v>23</v>
      </c>
      <c r="L226" s="142">
        <f>AVERAGE(L64:L68)</f>
        <v>395.66666666666669</v>
      </c>
    </row>
    <row r="227" spans="1:12" ht="11.25" customHeight="1">
      <c r="A227" s="99" t="s">
        <v>144</v>
      </c>
      <c r="B227" s="24" t="s">
        <v>23</v>
      </c>
      <c r="C227" s="24" t="s">
        <v>23</v>
      </c>
      <c r="D227" s="24">
        <f>AVERAGE(D69:D73)</f>
        <v>55.4</v>
      </c>
      <c r="E227" s="24" t="s">
        <v>23</v>
      </c>
      <c r="F227" s="24" t="s">
        <v>23</v>
      </c>
      <c r="G227" s="24">
        <f>AVERAGE(G69:G73)</f>
        <v>107.4</v>
      </c>
      <c r="H227" s="24">
        <f>AVERAGE(H69:H73)</f>
        <v>208</v>
      </c>
      <c r="I227" s="24">
        <f>AVERAGE(I69:I73)</f>
        <v>150.4</v>
      </c>
      <c r="J227" s="24" t="s">
        <v>23</v>
      </c>
      <c r="K227" s="24" t="s">
        <v>23</v>
      </c>
      <c r="L227" s="142">
        <f>AVERAGE(L69:L73)</f>
        <v>533</v>
      </c>
    </row>
    <row r="228" spans="1:12" ht="11.25" customHeight="1">
      <c r="A228" s="99" t="s">
        <v>166</v>
      </c>
      <c r="B228" s="24" t="s">
        <v>23</v>
      </c>
      <c r="C228" s="24">
        <f>AVERAGE(C74:C78)</f>
        <v>17</v>
      </c>
      <c r="D228" s="24">
        <f>AVERAGE(D74:D78)</f>
        <v>40.5</v>
      </c>
      <c r="E228" s="24">
        <f t="shared" ref="E228:J228" si="67">AVERAGE(E74:E78)</f>
        <v>82.25</v>
      </c>
      <c r="F228" s="24">
        <f t="shared" si="67"/>
        <v>109.66666666666667</v>
      </c>
      <c r="G228" s="24">
        <f t="shared" si="67"/>
        <v>166</v>
      </c>
      <c r="H228" s="24">
        <f t="shared" si="67"/>
        <v>388</v>
      </c>
      <c r="I228" s="24">
        <f t="shared" si="67"/>
        <v>110.4</v>
      </c>
      <c r="J228" s="24">
        <f t="shared" si="67"/>
        <v>12.666666666666666</v>
      </c>
      <c r="K228" s="24" t="str">
        <f>K74</f>
        <v>-</v>
      </c>
      <c r="L228" s="142">
        <f>AVERAGE(L74:L78)</f>
        <v>818.6</v>
      </c>
    </row>
    <row r="229" spans="1:12" ht="11.25" customHeight="1">
      <c r="A229" s="99" t="s">
        <v>315</v>
      </c>
      <c r="B229" s="24" t="str">
        <f>B79</f>
        <v>-</v>
      </c>
      <c r="C229" s="24">
        <f>AVERAGE(C79:C83)</f>
        <v>6</v>
      </c>
      <c r="D229" s="24">
        <f t="shared" ref="D229:L229" si="68">AVERAGE(D79:D83)</f>
        <v>25.5</v>
      </c>
      <c r="E229" s="24">
        <f t="shared" si="68"/>
        <v>138</v>
      </c>
      <c r="F229" s="24">
        <f t="shared" si="68"/>
        <v>62.5</v>
      </c>
      <c r="G229" s="24">
        <f t="shared" si="68"/>
        <v>67.5</v>
      </c>
      <c r="H229" s="24">
        <f t="shared" si="68"/>
        <v>211.5</v>
      </c>
      <c r="I229" s="24">
        <f t="shared" si="68"/>
        <v>80.25</v>
      </c>
      <c r="J229" s="24">
        <f t="shared" si="68"/>
        <v>19.5</v>
      </c>
      <c r="K229" s="24" t="str">
        <f>K79</f>
        <v>-</v>
      </c>
      <c r="L229" s="142">
        <f t="shared" si="68"/>
        <v>309.5</v>
      </c>
    </row>
    <row r="230" spans="1:12" ht="11.25" customHeight="1">
      <c r="A230" s="99">
        <v>2011</v>
      </c>
      <c r="B230" s="24" t="str">
        <f t="shared" ref="B230:L230" si="69">B84</f>
        <v>-</v>
      </c>
      <c r="C230" s="24" t="str">
        <f t="shared" si="69"/>
        <v>-</v>
      </c>
      <c r="D230" s="24">
        <f t="shared" si="69"/>
        <v>60</v>
      </c>
      <c r="E230" s="24">
        <f t="shared" si="69"/>
        <v>60</v>
      </c>
      <c r="F230" s="24">
        <f t="shared" si="69"/>
        <v>160</v>
      </c>
      <c r="G230" s="24">
        <f t="shared" si="69"/>
        <v>135</v>
      </c>
      <c r="H230" s="24" t="str">
        <f t="shared" si="69"/>
        <v>-</v>
      </c>
      <c r="I230" s="24">
        <f t="shared" si="69"/>
        <v>75</v>
      </c>
      <c r="J230" s="24" t="str">
        <f t="shared" si="69"/>
        <v>-</v>
      </c>
      <c r="K230" s="24" t="str">
        <f t="shared" si="69"/>
        <v>-</v>
      </c>
      <c r="L230" s="142">
        <f t="shared" si="69"/>
        <v>490</v>
      </c>
    </row>
    <row r="231" spans="1:12" ht="11.25" customHeight="1">
      <c r="A231" s="99">
        <v>2012</v>
      </c>
      <c r="B231" s="24" t="str">
        <f t="shared" ref="B231:L231" si="70">B85</f>
        <v>-</v>
      </c>
      <c r="C231" s="24">
        <f t="shared" si="70"/>
        <v>0</v>
      </c>
      <c r="D231" s="24">
        <f t="shared" si="70"/>
        <v>23</v>
      </c>
      <c r="E231" s="24">
        <f t="shared" si="70"/>
        <v>118</v>
      </c>
      <c r="F231" s="24">
        <f t="shared" si="70"/>
        <v>90</v>
      </c>
      <c r="G231" s="24">
        <f t="shared" si="70"/>
        <v>67</v>
      </c>
      <c r="H231" s="24">
        <f t="shared" si="70"/>
        <v>348</v>
      </c>
      <c r="I231" s="24">
        <f t="shared" si="70"/>
        <v>41</v>
      </c>
      <c r="J231" s="24" t="str">
        <f t="shared" si="70"/>
        <v>-</v>
      </c>
      <c r="K231" s="24" t="str">
        <f t="shared" si="70"/>
        <v>-</v>
      </c>
      <c r="L231" s="142">
        <f t="shared" si="70"/>
        <v>687</v>
      </c>
    </row>
    <row r="232" spans="1:12" ht="11.25" customHeight="1">
      <c r="A232" s="99">
        <v>2013</v>
      </c>
      <c r="B232" s="24" t="str">
        <f t="shared" ref="B232:L232" si="71">B86</f>
        <v>-</v>
      </c>
      <c r="C232" s="24">
        <f t="shared" si="71"/>
        <v>13</v>
      </c>
      <c r="D232" s="24">
        <f t="shared" si="71"/>
        <v>185</v>
      </c>
      <c r="E232" s="24">
        <f t="shared" si="71"/>
        <v>267</v>
      </c>
      <c r="F232" s="24">
        <f t="shared" si="71"/>
        <v>441</v>
      </c>
      <c r="G232" s="24">
        <f t="shared" si="71"/>
        <v>321</v>
      </c>
      <c r="H232" s="24">
        <f t="shared" si="71"/>
        <v>89</v>
      </c>
      <c r="I232" s="24">
        <f t="shared" si="71"/>
        <v>52</v>
      </c>
      <c r="J232" s="24" t="str">
        <f t="shared" si="71"/>
        <v>-</v>
      </c>
      <c r="K232" s="24" t="str">
        <f t="shared" si="71"/>
        <v>-</v>
      </c>
      <c r="L232" s="142">
        <f t="shared" si="71"/>
        <v>1368</v>
      </c>
    </row>
    <row r="233" spans="1:12" ht="11.25" customHeight="1">
      <c r="A233" s="99">
        <v>2014</v>
      </c>
      <c r="B233" s="24" t="str">
        <f t="shared" ref="B233:L233" si="72">B87</f>
        <v>-</v>
      </c>
      <c r="C233" s="24">
        <f t="shared" si="72"/>
        <v>10</v>
      </c>
      <c r="D233" s="24">
        <f t="shared" si="72"/>
        <v>471</v>
      </c>
      <c r="E233" s="24">
        <f t="shared" si="72"/>
        <v>82</v>
      </c>
      <c r="F233" s="24">
        <f t="shared" si="72"/>
        <v>38</v>
      </c>
      <c r="G233" s="24">
        <f t="shared" si="72"/>
        <v>70</v>
      </c>
      <c r="H233" s="24">
        <f t="shared" si="72"/>
        <v>120</v>
      </c>
      <c r="I233" s="24">
        <f t="shared" si="72"/>
        <v>78</v>
      </c>
      <c r="J233" s="24" t="str">
        <f t="shared" si="72"/>
        <v>-</v>
      </c>
      <c r="K233" s="24" t="str">
        <f t="shared" si="72"/>
        <v>-</v>
      </c>
      <c r="L233" s="142">
        <f t="shared" si="72"/>
        <v>869</v>
      </c>
    </row>
    <row r="234" spans="1:12" ht="11.25" customHeight="1">
      <c r="A234" s="99">
        <v>2015</v>
      </c>
      <c r="B234" s="24" t="str">
        <f t="shared" ref="B234:L234" si="73">B88</f>
        <v>-</v>
      </c>
      <c r="C234" s="24">
        <f t="shared" si="73"/>
        <v>12</v>
      </c>
      <c r="D234" s="24">
        <f t="shared" si="73"/>
        <v>150</v>
      </c>
      <c r="E234" s="24">
        <f t="shared" si="73"/>
        <v>100</v>
      </c>
      <c r="F234" s="24">
        <f t="shared" si="73"/>
        <v>90</v>
      </c>
      <c r="G234" s="24">
        <f t="shared" si="73"/>
        <v>24</v>
      </c>
      <c r="H234" s="24">
        <f t="shared" si="73"/>
        <v>32</v>
      </c>
      <c r="I234" s="24">
        <f t="shared" si="73"/>
        <v>144</v>
      </c>
      <c r="J234" s="24" t="str">
        <f t="shared" si="73"/>
        <v>-</v>
      </c>
      <c r="K234" s="24" t="str">
        <f t="shared" si="73"/>
        <v>-</v>
      </c>
      <c r="L234" s="142">
        <f t="shared" si="73"/>
        <v>552</v>
      </c>
    </row>
    <row r="235" spans="1:12" ht="11.25" customHeight="1">
      <c r="A235" s="99">
        <v>2016</v>
      </c>
      <c r="B235" s="24" t="str">
        <f t="shared" ref="B235:L235" si="74">B89</f>
        <v>-</v>
      </c>
      <c r="C235" s="24">
        <f t="shared" si="74"/>
        <v>7</v>
      </c>
      <c r="D235" s="24">
        <f t="shared" si="74"/>
        <v>13</v>
      </c>
      <c r="E235" s="24">
        <f t="shared" si="74"/>
        <v>47</v>
      </c>
      <c r="F235" s="24">
        <f t="shared" si="74"/>
        <v>8</v>
      </c>
      <c r="G235" s="24" t="str">
        <f t="shared" si="74"/>
        <v>-</v>
      </c>
      <c r="H235" s="24">
        <f t="shared" si="74"/>
        <v>59</v>
      </c>
      <c r="I235" s="24">
        <f t="shared" si="74"/>
        <v>52</v>
      </c>
      <c r="J235" s="24" t="str">
        <f t="shared" si="74"/>
        <v>-</v>
      </c>
      <c r="K235" s="24" t="str">
        <f t="shared" si="74"/>
        <v>-</v>
      </c>
      <c r="L235" s="142">
        <f t="shared" si="74"/>
        <v>186</v>
      </c>
    </row>
    <row r="236" spans="1:12" ht="11.25" customHeight="1">
      <c r="A236" s="99">
        <v>2017</v>
      </c>
      <c r="B236" s="24" t="str">
        <f t="shared" ref="B236:L236" si="75">B90</f>
        <v>-</v>
      </c>
      <c r="C236" s="24" t="str">
        <f t="shared" si="75"/>
        <v>-</v>
      </c>
      <c r="D236" s="24" t="str">
        <f t="shared" si="75"/>
        <v>-</v>
      </c>
      <c r="E236" s="24" t="str">
        <f t="shared" si="75"/>
        <v>-</v>
      </c>
      <c r="F236" s="24" t="str">
        <f t="shared" si="75"/>
        <v>-</v>
      </c>
      <c r="G236" s="24" t="str">
        <f t="shared" si="75"/>
        <v>-</v>
      </c>
      <c r="H236" s="24" t="str">
        <f t="shared" si="75"/>
        <v>-</v>
      </c>
      <c r="I236" s="24">
        <f t="shared" si="75"/>
        <v>109</v>
      </c>
      <c r="J236" s="24" t="str">
        <f t="shared" si="75"/>
        <v>-</v>
      </c>
      <c r="K236" s="24" t="str">
        <f t="shared" si="75"/>
        <v>-</v>
      </c>
      <c r="L236" s="142">
        <f t="shared" si="75"/>
        <v>109</v>
      </c>
    </row>
    <row r="237" spans="1:12" ht="11.25" customHeight="1">
      <c r="A237" s="99">
        <v>2018</v>
      </c>
      <c r="B237" s="24" t="str">
        <f t="shared" ref="B237:L237" si="76">B91</f>
        <v>-</v>
      </c>
      <c r="C237" s="24" t="str">
        <f t="shared" si="76"/>
        <v>-</v>
      </c>
      <c r="D237" s="24">
        <f t="shared" si="76"/>
        <v>167</v>
      </c>
      <c r="E237" s="24">
        <f t="shared" si="76"/>
        <v>351</v>
      </c>
      <c r="F237" s="24">
        <f t="shared" si="76"/>
        <v>286</v>
      </c>
      <c r="G237" s="24">
        <f t="shared" si="76"/>
        <v>255</v>
      </c>
      <c r="H237" s="24" t="str">
        <f t="shared" si="76"/>
        <v>-</v>
      </c>
      <c r="I237" s="24">
        <f t="shared" si="76"/>
        <v>115</v>
      </c>
      <c r="J237" s="24" t="str">
        <f t="shared" si="76"/>
        <v>-</v>
      </c>
      <c r="K237" s="24" t="str">
        <f t="shared" si="76"/>
        <v>-</v>
      </c>
      <c r="L237" s="142">
        <f t="shared" si="76"/>
        <v>1174</v>
      </c>
    </row>
    <row r="238" spans="1:12" ht="11.25" customHeight="1">
      <c r="A238" s="99">
        <v>2019</v>
      </c>
      <c r="B238" s="24" t="str">
        <f t="shared" ref="B238:L238" si="77">B92</f>
        <v>-</v>
      </c>
      <c r="C238" s="24">
        <f t="shared" si="77"/>
        <v>2</v>
      </c>
      <c r="D238" s="24">
        <f t="shared" si="77"/>
        <v>7</v>
      </c>
      <c r="E238" s="24">
        <f t="shared" si="77"/>
        <v>108</v>
      </c>
      <c r="F238" s="24">
        <f t="shared" si="77"/>
        <v>140</v>
      </c>
      <c r="G238" s="24">
        <f t="shared" si="77"/>
        <v>283</v>
      </c>
      <c r="H238" s="24" t="str">
        <f t="shared" si="77"/>
        <v>-</v>
      </c>
      <c r="I238" s="24" t="str">
        <f t="shared" si="77"/>
        <v>-</v>
      </c>
      <c r="J238" s="24" t="str">
        <f t="shared" si="77"/>
        <v>-</v>
      </c>
      <c r="K238" s="24" t="str">
        <f t="shared" si="77"/>
        <v>-</v>
      </c>
      <c r="L238" s="142">
        <f t="shared" si="77"/>
        <v>540</v>
      </c>
    </row>
    <row r="239" spans="1:12" ht="11.25" customHeight="1">
      <c r="A239" s="99">
        <v>2020</v>
      </c>
      <c r="B239" s="24" t="str">
        <f t="shared" ref="B239:L239" si="78">B93</f>
        <v>-</v>
      </c>
      <c r="C239" s="24">
        <f t="shared" si="78"/>
        <v>1</v>
      </c>
      <c r="D239" s="24">
        <f t="shared" si="78"/>
        <v>3</v>
      </c>
      <c r="E239" s="24">
        <f t="shared" si="78"/>
        <v>47</v>
      </c>
      <c r="F239" s="24">
        <f t="shared" si="78"/>
        <v>72</v>
      </c>
      <c r="G239" s="24" t="str">
        <f t="shared" si="78"/>
        <v>-</v>
      </c>
      <c r="H239" s="24" t="str">
        <f t="shared" si="78"/>
        <v>-</v>
      </c>
      <c r="I239" s="24" t="str">
        <f t="shared" si="78"/>
        <v>-</v>
      </c>
      <c r="J239" s="24" t="str">
        <f t="shared" si="78"/>
        <v>-</v>
      </c>
      <c r="K239" s="24" t="str">
        <f t="shared" si="78"/>
        <v>-</v>
      </c>
      <c r="L239" s="142">
        <f t="shared" si="78"/>
        <v>123</v>
      </c>
    </row>
    <row r="240" spans="1:12" ht="11.25" customHeight="1">
      <c r="A240" s="99" t="s">
        <v>317</v>
      </c>
      <c r="B240" s="24">
        <f t="shared" ref="B240:L240" si="79">B94</f>
        <v>1</v>
      </c>
      <c r="C240" s="24">
        <f t="shared" si="79"/>
        <v>2</v>
      </c>
      <c r="D240" s="24">
        <f t="shared" si="79"/>
        <v>4</v>
      </c>
      <c r="E240" s="24">
        <f t="shared" si="79"/>
        <v>55</v>
      </c>
      <c r="F240" s="24">
        <f t="shared" si="79"/>
        <v>56</v>
      </c>
      <c r="G240" s="24" t="str">
        <f t="shared" si="79"/>
        <v>-</v>
      </c>
      <c r="H240" s="24" t="str">
        <f t="shared" si="79"/>
        <v>-</v>
      </c>
      <c r="I240" s="24" t="str">
        <f t="shared" si="79"/>
        <v>-</v>
      </c>
      <c r="J240" s="24" t="str">
        <f t="shared" si="79"/>
        <v>-</v>
      </c>
      <c r="K240" s="24" t="str">
        <f t="shared" si="79"/>
        <v>-</v>
      </c>
      <c r="L240" s="142">
        <f t="shared" si="79"/>
        <v>118</v>
      </c>
    </row>
    <row r="241" spans="1:12" ht="11.25" customHeight="1">
      <c r="A241" s="99"/>
      <c r="B241" s="24"/>
      <c r="C241" s="24"/>
      <c r="D241" s="24"/>
      <c r="E241" s="24"/>
      <c r="F241" s="24"/>
      <c r="G241" s="24"/>
      <c r="H241" s="24"/>
      <c r="I241" s="24"/>
      <c r="J241" s="24"/>
      <c r="K241" s="24"/>
      <c r="L241" s="142"/>
    </row>
    <row r="242" spans="1:12" ht="11.25" customHeight="1">
      <c r="A242" s="99"/>
      <c r="B242" s="24"/>
      <c r="C242" s="24"/>
      <c r="D242" s="24"/>
      <c r="E242" s="24"/>
      <c r="F242" s="24"/>
      <c r="G242" s="24"/>
      <c r="H242" s="24"/>
      <c r="I242" s="24"/>
      <c r="J242" s="24"/>
      <c r="K242" s="24"/>
      <c r="L242" s="142"/>
    </row>
    <row r="243" spans="1:12" ht="11.25" customHeight="1">
      <c r="A243" s="357" t="s">
        <v>288</v>
      </c>
      <c r="B243" s="357"/>
      <c r="C243" s="357"/>
      <c r="D243" s="357"/>
      <c r="E243" s="357"/>
      <c r="F243" s="357"/>
      <c r="G243" s="357"/>
      <c r="H243" s="357"/>
      <c r="I243" s="357"/>
      <c r="J243" s="357"/>
      <c r="K243" s="357"/>
      <c r="L243" s="357"/>
    </row>
    <row r="244" spans="1:12" ht="11.25" customHeight="1">
      <c r="A244" s="356" t="s">
        <v>152</v>
      </c>
      <c r="B244" s="356"/>
      <c r="C244" s="229"/>
      <c r="D244" s="229"/>
      <c r="E244" s="229"/>
      <c r="F244" s="229"/>
      <c r="G244" s="229"/>
      <c r="H244" s="229"/>
      <c r="I244" s="229"/>
      <c r="J244" s="229"/>
      <c r="K244" s="229"/>
      <c r="L244" s="229"/>
    </row>
    <row r="245" spans="1:12" ht="11.25" customHeight="1">
      <c r="A245" s="96" t="s">
        <v>27</v>
      </c>
      <c r="B245" s="225" t="s">
        <v>37</v>
      </c>
      <c r="C245" s="225" t="s">
        <v>28</v>
      </c>
      <c r="D245" s="225" t="s">
        <v>29</v>
      </c>
      <c r="E245" s="225" t="s">
        <v>73</v>
      </c>
      <c r="F245" s="225" t="s">
        <v>74</v>
      </c>
      <c r="G245" s="225" t="s">
        <v>32</v>
      </c>
      <c r="H245" s="225" t="s">
        <v>33</v>
      </c>
      <c r="I245" s="225" t="s">
        <v>34</v>
      </c>
      <c r="J245" s="225" t="s">
        <v>38</v>
      </c>
      <c r="K245" s="225" t="s">
        <v>75</v>
      </c>
      <c r="L245" s="15" t="s">
        <v>76</v>
      </c>
    </row>
    <row r="246" spans="1:12" ht="11.25" customHeight="1">
      <c r="A246" s="94" t="s">
        <v>348</v>
      </c>
      <c r="B246" s="24"/>
      <c r="C246" s="24"/>
      <c r="D246" s="24"/>
      <c r="E246" s="24"/>
      <c r="F246" s="24"/>
      <c r="G246" s="24"/>
      <c r="H246" s="24"/>
      <c r="I246" s="24"/>
      <c r="J246" s="24"/>
      <c r="K246" s="24"/>
      <c r="L246" s="142"/>
    </row>
    <row r="247" spans="1:12" ht="11.25" customHeight="1">
      <c r="A247" s="99" t="s">
        <v>24</v>
      </c>
      <c r="B247" s="24" t="s">
        <v>23</v>
      </c>
      <c r="C247" s="24">
        <f t="shared" ref="C247:L247" si="80">AVERAGE(C100:C104)</f>
        <v>2037</v>
      </c>
      <c r="D247" s="24">
        <f t="shared" si="80"/>
        <v>10225.4</v>
      </c>
      <c r="E247" s="24">
        <f t="shared" si="80"/>
        <v>7880.6</v>
      </c>
      <c r="F247" s="24">
        <f t="shared" si="80"/>
        <v>15092.4</v>
      </c>
      <c r="G247" s="24">
        <f t="shared" si="80"/>
        <v>8601</v>
      </c>
      <c r="H247" s="24">
        <f t="shared" si="80"/>
        <v>4766.2</v>
      </c>
      <c r="I247" s="24" t="s">
        <v>23</v>
      </c>
      <c r="J247" s="24" t="s">
        <v>23</v>
      </c>
      <c r="K247" s="24" t="s">
        <v>23</v>
      </c>
      <c r="L247" s="142">
        <f t="shared" si="80"/>
        <v>47380.4</v>
      </c>
    </row>
    <row r="248" spans="1:12" ht="11.25" customHeight="1">
      <c r="A248" s="99" t="s">
        <v>78</v>
      </c>
      <c r="B248" s="24" t="s">
        <v>23</v>
      </c>
      <c r="C248" s="24" t="s">
        <v>23</v>
      </c>
      <c r="D248" s="24">
        <f t="shared" ref="D248:L248" si="81">AVERAGE(D105:D109)</f>
        <v>14517.056447187928</v>
      </c>
      <c r="E248" s="24">
        <f t="shared" si="81"/>
        <v>15252.733934952295</v>
      </c>
      <c r="F248" s="24">
        <f t="shared" si="81"/>
        <v>14466.515754326878</v>
      </c>
      <c r="G248" s="24">
        <f t="shared" si="81"/>
        <v>9261.5450942952339</v>
      </c>
      <c r="H248" s="24">
        <f t="shared" si="81"/>
        <v>2839.4170607283581</v>
      </c>
      <c r="I248" s="24" t="s">
        <v>23</v>
      </c>
      <c r="J248" s="24" t="s">
        <v>23</v>
      </c>
      <c r="K248" s="24" t="s">
        <v>23</v>
      </c>
      <c r="L248" s="142">
        <f t="shared" si="81"/>
        <v>56337.268291490698</v>
      </c>
    </row>
    <row r="249" spans="1:12" ht="11.25" customHeight="1">
      <c r="A249" s="99" t="s">
        <v>10</v>
      </c>
      <c r="B249" s="24" t="s">
        <v>23</v>
      </c>
      <c r="C249" s="24" t="s">
        <v>23</v>
      </c>
      <c r="D249" s="24">
        <f>AVERAGE(D110:D114)</f>
        <v>7860</v>
      </c>
      <c r="E249" s="24">
        <f t="shared" ref="E249:L249" si="82">AVERAGE(E110:E114)</f>
        <v>5620</v>
      </c>
      <c r="F249" s="24">
        <f t="shared" si="82"/>
        <v>5160</v>
      </c>
      <c r="G249" s="24">
        <f t="shared" si="82"/>
        <v>4320</v>
      </c>
      <c r="H249" s="24">
        <f t="shared" si="82"/>
        <v>2620</v>
      </c>
      <c r="I249" s="24" t="s">
        <v>23</v>
      </c>
      <c r="J249" s="24" t="s">
        <v>23</v>
      </c>
      <c r="K249" s="24" t="s">
        <v>23</v>
      </c>
      <c r="L249" s="142">
        <f t="shared" si="82"/>
        <v>25580</v>
      </c>
    </row>
    <row r="250" spans="1:12" ht="11.25" customHeight="1">
      <c r="A250" s="99" t="s">
        <v>144</v>
      </c>
      <c r="B250" s="24" t="s">
        <v>23</v>
      </c>
      <c r="C250" s="24" t="s">
        <v>23</v>
      </c>
      <c r="D250" s="24">
        <f>AVERAGE(D115:D119)</f>
        <v>4642</v>
      </c>
      <c r="E250" s="24">
        <f t="shared" ref="E250:L250" si="83">AVERAGE(E115:E119)</f>
        <v>4172.6000000000004</v>
      </c>
      <c r="F250" s="24">
        <f t="shared" si="83"/>
        <v>4569.6000000000004</v>
      </c>
      <c r="G250" s="24">
        <f t="shared" si="83"/>
        <v>2318</v>
      </c>
      <c r="H250" s="24">
        <f t="shared" si="83"/>
        <v>2235</v>
      </c>
      <c r="I250" s="24" t="s">
        <v>23</v>
      </c>
      <c r="J250" s="24" t="s">
        <v>23</v>
      </c>
      <c r="K250" s="24" t="s">
        <v>23</v>
      </c>
      <c r="L250" s="142">
        <f t="shared" si="83"/>
        <v>18082.2</v>
      </c>
    </row>
    <row r="251" spans="1:12" ht="11.25" customHeight="1">
      <c r="A251" s="99" t="s">
        <v>166</v>
      </c>
      <c r="B251" s="24" t="str">
        <f>B120</f>
        <v>-</v>
      </c>
      <c r="C251" s="24" t="str">
        <f>C120</f>
        <v>-</v>
      </c>
      <c r="D251" s="24">
        <f t="shared" ref="D251:I251" si="84">AVERAGE(D120:D124)</f>
        <v>4248.2</v>
      </c>
      <c r="E251" s="24">
        <f t="shared" si="84"/>
        <v>2366.6</v>
      </c>
      <c r="F251" s="24">
        <f t="shared" si="84"/>
        <v>4540.2</v>
      </c>
      <c r="G251" s="24">
        <f t="shared" si="84"/>
        <v>2963</v>
      </c>
      <c r="H251" s="24">
        <f t="shared" si="84"/>
        <v>2396</v>
      </c>
      <c r="I251" s="24">
        <f t="shared" si="84"/>
        <v>293.39999999999998</v>
      </c>
      <c r="J251" s="24" t="str">
        <f>J120</f>
        <v>-</v>
      </c>
      <c r="K251" s="24" t="str">
        <f>K120</f>
        <v>-</v>
      </c>
      <c r="L251" s="142">
        <f>AVERAGE(L120:L124)</f>
        <v>16807.400000000001</v>
      </c>
    </row>
    <row r="252" spans="1:12" ht="11.25" customHeight="1">
      <c r="A252" s="99" t="s">
        <v>315</v>
      </c>
      <c r="B252" s="24" t="str">
        <f>B129</f>
        <v>-</v>
      </c>
      <c r="C252" s="24">
        <f>AVERAGE(C125:C129)</f>
        <v>106</v>
      </c>
      <c r="D252" s="24">
        <f>AVERAGE(D125:D129)</f>
        <v>2597</v>
      </c>
      <c r="E252" s="24">
        <f t="shared" ref="E252:I252" si="85">AVERAGE(E125:E129)</f>
        <v>66</v>
      </c>
      <c r="F252" s="24">
        <f t="shared" si="85"/>
        <v>1681</v>
      </c>
      <c r="G252" s="24">
        <f t="shared" si="85"/>
        <v>2040.6666666666667</v>
      </c>
      <c r="H252" s="24">
        <f t="shared" si="85"/>
        <v>1704.5</v>
      </c>
      <c r="I252" s="24">
        <f t="shared" si="85"/>
        <v>271</v>
      </c>
      <c r="J252" s="24" t="str">
        <f t="shared" ref="J252:K252" si="86">J129</f>
        <v>-</v>
      </c>
      <c r="K252" s="24" t="str">
        <f t="shared" si="86"/>
        <v>-</v>
      </c>
      <c r="L252" s="142">
        <f t="shared" ref="L252" si="87">AVERAGE(L125:L129)</f>
        <v>6849.333333333333</v>
      </c>
    </row>
    <row r="253" spans="1:12" ht="11.25" customHeight="1">
      <c r="A253" s="99">
        <v>2011</v>
      </c>
      <c r="B253" s="24" t="str">
        <f t="shared" ref="B253:L253" si="88">B130</f>
        <v>-</v>
      </c>
      <c r="C253" s="24" t="str">
        <f t="shared" si="88"/>
        <v>-</v>
      </c>
      <c r="D253" s="24">
        <f t="shared" si="88"/>
        <v>1879</v>
      </c>
      <c r="E253" s="24">
        <f t="shared" si="88"/>
        <v>504</v>
      </c>
      <c r="F253" s="24">
        <f t="shared" si="88"/>
        <v>1737</v>
      </c>
      <c r="G253" s="24">
        <f t="shared" si="88"/>
        <v>1897</v>
      </c>
      <c r="H253" s="24">
        <f t="shared" si="88"/>
        <v>638</v>
      </c>
      <c r="I253" s="24">
        <f t="shared" si="88"/>
        <v>117</v>
      </c>
      <c r="J253" s="24" t="str">
        <f t="shared" si="88"/>
        <v>-</v>
      </c>
      <c r="K253" s="24" t="str">
        <f t="shared" si="88"/>
        <v>-</v>
      </c>
      <c r="L253" s="142">
        <f t="shared" si="88"/>
        <v>6772</v>
      </c>
    </row>
    <row r="254" spans="1:12" ht="11.25" customHeight="1">
      <c r="A254" s="99">
        <v>2012</v>
      </c>
      <c r="B254" s="24" t="str">
        <f t="shared" ref="B254:L254" si="89">B131</f>
        <v>-</v>
      </c>
      <c r="C254" s="24" t="str">
        <f t="shared" si="89"/>
        <v>-</v>
      </c>
      <c r="D254" s="24">
        <f t="shared" si="89"/>
        <v>3738</v>
      </c>
      <c r="E254" s="24">
        <f t="shared" si="89"/>
        <v>1593</v>
      </c>
      <c r="F254" s="24">
        <f t="shared" si="89"/>
        <v>4406</v>
      </c>
      <c r="G254" s="24">
        <f t="shared" si="89"/>
        <v>2650</v>
      </c>
      <c r="H254" s="24">
        <f t="shared" si="89"/>
        <v>1361</v>
      </c>
      <c r="I254" s="24">
        <f t="shared" si="89"/>
        <v>469</v>
      </c>
      <c r="J254" s="24" t="str">
        <f t="shared" si="89"/>
        <v>-</v>
      </c>
      <c r="K254" s="24" t="str">
        <f t="shared" si="89"/>
        <v>-</v>
      </c>
      <c r="L254" s="142">
        <f t="shared" si="89"/>
        <v>14217</v>
      </c>
    </row>
    <row r="255" spans="1:12" ht="11.25" customHeight="1">
      <c r="A255" s="99">
        <v>2013</v>
      </c>
      <c r="B255" s="24" t="str">
        <f t="shared" ref="B255:L255" si="90">B132</f>
        <v>-</v>
      </c>
      <c r="C255" s="24" t="str">
        <f t="shared" si="90"/>
        <v>-</v>
      </c>
      <c r="D255" s="24">
        <f t="shared" ref="D255:E263" si="91">D132</f>
        <v>4268</v>
      </c>
      <c r="E255" s="24">
        <f t="shared" si="90"/>
        <v>3904</v>
      </c>
      <c r="F255" s="24">
        <f t="shared" si="90"/>
        <v>3979</v>
      </c>
      <c r="G255" s="24">
        <f t="shared" si="90"/>
        <v>2638</v>
      </c>
      <c r="H255" s="24">
        <f t="shared" si="90"/>
        <v>1620</v>
      </c>
      <c r="I255" s="24">
        <f t="shared" si="90"/>
        <v>223</v>
      </c>
      <c r="J255" s="24" t="str">
        <f t="shared" si="90"/>
        <v>-</v>
      </c>
      <c r="K255" s="24" t="str">
        <f t="shared" si="90"/>
        <v>-</v>
      </c>
      <c r="L255" s="142">
        <f t="shared" si="90"/>
        <v>16632</v>
      </c>
    </row>
    <row r="256" spans="1:12" ht="11.25" customHeight="1">
      <c r="A256" s="99">
        <v>2014</v>
      </c>
      <c r="B256" s="24" t="str">
        <f t="shared" ref="B256:D261" si="92">B133</f>
        <v>-</v>
      </c>
      <c r="C256" s="24" t="str">
        <f t="shared" si="92"/>
        <v>-</v>
      </c>
      <c r="D256" s="24">
        <f t="shared" si="91"/>
        <v>3011</v>
      </c>
      <c r="E256" s="24">
        <f t="shared" ref="E256:L256" si="93">E133</f>
        <v>2682</v>
      </c>
      <c r="F256" s="24">
        <f t="shared" si="93"/>
        <v>3281</v>
      </c>
      <c r="G256" s="24">
        <f t="shared" si="93"/>
        <v>2987</v>
      </c>
      <c r="H256" s="24">
        <f t="shared" si="93"/>
        <v>1759</v>
      </c>
      <c r="I256" s="24">
        <f t="shared" si="93"/>
        <v>575</v>
      </c>
      <c r="J256" s="24" t="str">
        <f t="shared" si="93"/>
        <v>-</v>
      </c>
      <c r="K256" s="24" t="str">
        <f t="shared" si="93"/>
        <v>-</v>
      </c>
      <c r="L256" s="142">
        <f t="shared" si="93"/>
        <v>14295</v>
      </c>
    </row>
    <row r="257" spans="1:22" ht="11.25" customHeight="1">
      <c r="A257" s="99">
        <v>2015</v>
      </c>
      <c r="B257" s="24" t="str">
        <f t="shared" si="92"/>
        <v>-</v>
      </c>
      <c r="C257" s="24" t="str">
        <f t="shared" si="92"/>
        <v>-</v>
      </c>
      <c r="D257" s="24">
        <f t="shared" si="91"/>
        <v>4434</v>
      </c>
      <c r="E257" s="24">
        <f t="shared" si="91"/>
        <v>2392</v>
      </c>
      <c r="F257" s="24">
        <f t="shared" ref="F257:L257" si="94">F134</f>
        <v>1943</v>
      </c>
      <c r="G257" s="24">
        <f t="shared" si="94"/>
        <v>2000</v>
      </c>
      <c r="H257" s="24">
        <f t="shared" si="94"/>
        <v>1695</v>
      </c>
      <c r="I257" s="24">
        <f t="shared" si="94"/>
        <v>515</v>
      </c>
      <c r="J257" s="24" t="str">
        <f t="shared" si="94"/>
        <v>-</v>
      </c>
      <c r="K257" s="24" t="str">
        <f t="shared" si="94"/>
        <v>-</v>
      </c>
      <c r="L257" s="142">
        <f t="shared" si="94"/>
        <v>12979</v>
      </c>
    </row>
    <row r="258" spans="1:22" ht="11.25" customHeight="1">
      <c r="A258" s="99">
        <v>2016</v>
      </c>
      <c r="B258" s="24" t="str">
        <f t="shared" si="92"/>
        <v>-</v>
      </c>
      <c r="C258" s="24" t="str">
        <f t="shared" si="92"/>
        <v>-</v>
      </c>
      <c r="D258" s="24">
        <f t="shared" si="91"/>
        <v>1662</v>
      </c>
      <c r="E258" s="24">
        <f t="shared" si="91"/>
        <v>1290</v>
      </c>
      <c r="F258" s="24" t="str">
        <f t="shared" ref="F258:L258" si="95">F135</f>
        <v>-</v>
      </c>
      <c r="G258" s="24">
        <f t="shared" si="95"/>
        <v>2450</v>
      </c>
      <c r="H258" s="24">
        <f t="shared" si="95"/>
        <v>1563</v>
      </c>
      <c r="I258" s="24">
        <f t="shared" si="95"/>
        <v>174</v>
      </c>
      <c r="J258" s="24" t="str">
        <f t="shared" si="95"/>
        <v>-</v>
      </c>
      <c r="K258" s="24" t="str">
        <f t="shared" si="95"/>
        <v>-</v>
      </c>
      <c r="L258" s="142">
        <f t="shared" si="95"/>
        <v>7139</v>
      </c>
    </row>
    <row r="259" spans="1:22" ht="11.25" customHeight="1">
      <c r="A259" s="99">
        <v>2017</v>
      </c>
      <c r="B259" s="24" t="str">
        <f t="shared" si="92"/>
        <v>-</v>
      </c>
      <c r="C259" s="24" t="str">
        <f t="shared" si="92"/>
        <v>-</v>
      </c>
      <c r="D259" s="24">
        <f t="shared" si="91"/>
        <v>874</v>
      </c>
      <c r="E259" s="24">
        <f t="shared" si="91"/>
        <v>1210</v>
      </c>
      <c r="F259" s="24" t="str">
        <f t="shared" ref="F259:L259" si="96">F136</f>
        <v>-</v>
      </c>
      <c r="G259" s="24">
        <f t="shared" si="96"/>
        <v>2610</v>
      </c>
      <c r="H259" s="24">
        <f t="shared" si="96"/>
        <v>1811</v>
      </c>
      <c r="I259" s="24">
        <f t="shared" si="96"/>
        <v>220</v>
      </c>
      <c r="J259" s="24" t="str">
        <f t="shared" si="96"/>
        <v>-</v>
      </c>
      <c r="K259" s="24" t="str">
        <f t="shared" si="96"/>
        <v>-</v>
      </c>
      <c r="L259" s="142">
        <f t="shared" si="96"/>
        <v>6725</v>
      </c>
    </row>
    <row r="260" spans="1:22" ht="11.25" customHeight="1">
      <c r="A260" s="99">
        <v>2018</v>
      </c>
      <c r="B260" s="24" t="str">
        <f t="shared" si="92"/>
        <v>-</v>
      </c>
      <c r="C260" s="24" t="str">
        <f t="shared" si="92"/>
        <v>-</v>
      </c>
      <c r="D260" s="24">
        <f t="shared" si="91"/>
        <v>473</v>
      </c>
      <c r="E260" s="24">
        <f t="shared" si="91"/>
        <v>839</v>
      </c>
      <c r="F260" s="24">
        <f t="shared" ref="F260:L260" si="97">F137</f>
        <v>823</v>
      </c>
      <c r="G260" s="24">
        <f t="shared" si="97"/>
        <v>2751</v>
      </c>
      <c r="H260" s="24">
        <f t="shared" si="97"/>
        <v>1551</v>
      </c>
      <c r="I260" s="24">
        <f t="shared" si="97"/>
        <v>441</v>
      </c>
      <c r="J260" s="24" t="str">
        <f t="shared" si="97"/>
        <v>-</v>
      </c>
      <c r="K260" s="24" t="str">
        <f t="shared" si="97"/>
        <v>-</v>
      </c>
      <c r="L260" s="142">
        <f t="shared" si="97"/>
        <v>6878</v>
      </c>
    </row>
    <row r="261" spans="1:22" ht="11.25" customHeight="1">
      <c r="A261" s="99">
        <v>2019</v>
      </c>
      <c r="B261" s="24" t="str">
        <f t="shared" si="92"/>
        <v>-</v>
      </c>
      <c r="C261" s="24" t="str">
        <f t="shared" si="92"/>
        <v>-</v>
      </c>
      <c r="D261" s="24">
        <f t="shared" si="92"/>
        <v>3872</v>
      </c>
      <c r="E261" s="24">
        <f t="shared" si="91"/>
        <v>4370</v>
      </c>
      <c r="F261" s="24">
        <f t="shared" ref="F261:L261" si="98">F138</f>
        <v>3091</v>
      </c>
      <c r="G261" s="24">
        <f t="shared" si="98"/>
        <v>2794</v>
      </c>
      <c r="H261" s="24">
        <f t="shared" si="98"/>
        <v>1108</v>
      </c>
      <c r="I261" s="24">
        <f t="shared" si="98"/>
        <v>251</v>
      </c>
      <c r="J261" s="24" t="str">
        <f t="shared" si="98"/>
        <v>-</v>
      </c>
      <c r="K261" s="24" t="str">
        <f t="shared" si="98"/>
        <v>-</v>
      </c>
      <c r="L261" s="142">
        <f t="shared" si="98"/>
        <v>15486</v>
      </c>
    </row>
    <row r="262" spans="1:22" ht="11.25" customHeight="1">
      <c r="A262" s="99">
        <v>2020</v>
      </c>
      <c r="B262" s="24" t="str">
        <f t="shared" ref="B262:L263" si="99">B139</f>
        <v>-</v>
      </c>
      <c r="C262" s="24" t="str">
        <f t="shared" si="99"/>
        <v>-</v>
      </c>
      <c r="D262" s="24">
        <f t="shared" si="99"/>
        <v>2665</v>
      </c>
      <c r="E262" s="24">
        <f t="shared" si="91"/>
        <v>3359</v>
      </c>
      <c r="F262" s="24">
        <f t="shared" si="99"/>
        <v>2895</v>
      </c>
      <c r="G262" s="24">
        <f t="shared" si="99"/>
        <v>1713</v>
      </c>
      <c r="H262" s="24">
        <f t="shared" si="99"/>
        <v>1086</v>
      </c>
      <c r="I262" s="24">
        <f t="shared" si="99"/>
        <v>568</v>
      </c>
      <c r="J262" s="24" t="str">
        <f t="shared" si="99"/>
        <v>-</v>
      </c>
      <c r="K262" s="24" t="str">
        <f t="shared" si="99"/>
        <v>-</v>
      </c>
      <c r="L262" s="142">
        <f t="shared" si="99"/>
        <v>12286</v>
      </c>
    </row>
    <row r="263" spans="1:22" ht="11.25" customHeight="1">
      <c r="A263" s="99" t="s">
        <v>317</v>
      </c>
      <c r="B263" s="24" t="str">
        <f t="shared" si="99"/>
        <v>-</v>
      </c>
      <c r="C263" s="24" t="str">
        <f t="shared" si="99"/>
        <v>-</v>
      </c>
      <c r="D263" s="24">
        <f t="shared" si="99"/>
        <v>2525</v>
      </c>
      <c r="E263" s="24">
        <f t="shared" si="91"/>
        <v>2592</v>
      </c>
      <c r="F263" s="24">
        <f t="shared" si="99"/>
        <v>767</v>
      </c>
      <c r="G263" s="24">
        <f t="shared" si="99"/>
        <v>2392</v>
      </c>
      <c r="H263" s="24">
        <f t="shared" si="99"/>
        <v>1324</v>
      </c>
      <c r="I263" s="24">
        <f t="shared" si="99"/>
        <v>317</v>
      </c>
      <c r="J263" s="24" t="str">
        <f t="shared" si="99"/>
        <v>-</v>
      </c>
      <c r="K263" s="24" t="str">
        <f t="shared" si="99"/>
        <v>-</v>
      </c>
      <c r="L263" s="142">
        <f>L140</f>
        <v>9917</v>
      </c>
    </row>
    <row r="264" spans="1:22" ht="11.25" customHeight="1">
      <c r="A264" s="99"/>
      <c r="B264" s="24"/>
      <c r="C264" s="24"/>
      <c r="D264" s="24"/>
      <c r="E264" s="24"/>
      <c r="F264" s="24"/>
      <c r="G264" s="24"/>
      <c r="H264" s="24"/>
      <c r="I264" s="24"/>
      <c r="J264" s="24"/>
      <c r="K264" s="24"/>
      <c r="L264" s="142"/>
    </row>
    <row r="265" spans="1:22" ht="12.75" customHeight="1">
      <c r="A265" s="97" t="s">
        <v>289</v>
      </c>
      <c r="B265" s="24"/>
      <c r="C265" s="24"/>
      <c r="D265" s="24"/>
      <c r="E265" s="24"/>
      <c r="F265" s="24"/>
      <c r="G265" s="24"/>
      <c r="H265" s="24"/>
      <c r="I265" s="24"/>
      <c r="J265" s="24"/>
      <c r="K265" s="24"/>
      <c r="L265" s="142"/>
    </row>
    <row r="266" spans="1:22" ht="11.25" customHeight="1">
      <c r="A266" s="99" t="s">
        <v>24</v>
      </c>
      <c r="B266" s="24" t="s">
        <v>23</v>
      </c>
      <c r="C266" s="24">
        <f t="shared" ref="C266:L266" si="100">AVERAGE(C146:C150)</f>
        <v>2037</v>
      </c>
      <c r="D266" s="24">
        <f t="shared" si="100"/>
        <v>14616.8</v>
      </c>
      <c r="E266" s="24">
        <f t="shared" si="100"/>
        <v>10709.2</v>
      </c>
      <c r="F266" s="24">
        <f t="shared" si="100"/>
        <v>30295.599999999999</v>
      </c>
      <c r="G266" s="24">
        <f t="shared" si="100"/>
        <v>19221.2</v>
      </c>
      <c r="H266" s="24">
        <f t="shared" si="100"/>
        <v>6980.8</v>
      </c>
      <c r="I266" s="24">
        <f t="shared" si="100"/>
        <v>1180.4000000000001</v>
      </c>
      <c r="J266" s="24">
        <f t="shared" si="100"/>
        <v>346.4</v>
      </c>
      <c r="K266" s="24" t="s">
        <v>23</v>
      </c>
      <c r="L266" s="142">
        <f t="shared" si="100"/>
        <v>84165.2</v>
      </c>
    </row>
    <row r="267" spans="1:22" ht="11.25" customHeight="1">
      <c r="A267" s="99" t="s">
        <v>78</v>
      </c>
      <c r="B267" s="24" t="s">
        <v>23</v>
      </c>
      <c r="C267" s="24" t="s">
        <v>23</v>
      </c>
      <c r="D267" s="24">
        <f t="shared" ref="D267:J267" si="101">AVERAGE(D151:D155)</f>
        <v>18588.856447187929</v>
      </c>
      <c r="E267" s="24">
        <f t="shared" si="101"/>
        <v>21257.599999999999</v>
      </c>
      <c r="F267" s="24">
        <f t="shared" si="101"/>
        <v>28801.615731671121</v>
      </c>
      <c r="G267" s="24">
        <f t="shared" si="101"/>
        <v>18198</v>
      </c>
      <c r="H267" s="24">
        <f t="shared" si="101"/>
        <v>6604.4</v>
      </c>
      <c r="I267" s="24">
        <f t="shared" si="101"/>
        <v>2322</v>
      </c>
      <c r="J267" s="24">
        <f t="shared" si="101"/>
        <v>291.5</v>
      </c>
      <c r="K267" s="24" t="s">
        <v>23</v>
      </c>
      <c r="L267" s="142">
        <f>AVERAGE(L151:L155)</f>
        <v>96005.672178859051</v>
      </c>
    </row>
    <row r="268" spans="1:22" ht="11.25" customHeight="1">
      <c r="A268" s="99" t="s">
        <v>10</v>
      </c>
      <c r="B268" s="24" t="s">
        <v>23</v>
      </c>
      <c r="C268" s="24" t="s">
        <v>23</v>
      </c>
      <c r="D268" s="24">
        <f>AVERAGE(D156:D160)</f>
        <v>9112.2000000000007</v>
      </c>
      <c r="E268" s="24">
        <f t="shared" ref="E268:J268" si="102">AVERAGE(E156:E160)</f>
        <v>7241.6</v>
      </c>
      <c r="F268" s="24">
        <f t="shared" si="102"/>
        <v>6636</v>
      </c>
      <c r="G268" s="24">
        <f t="shared" si="102"/>
        <v>5974</v>
      </c>
      <c r="H268" s="24">
        <f t="shared" si="102"/>
        <v>4059.2</v>
      </c>
      <c r="I268" s="24">
        <f t="shared" si="102"/>
        <v>1415.6</v>
      </c>
      <c r="J268" s="24">
        <f t="shared" si="102"/>
        <v>88.333333333333329</v>
      </c>
      <c r="K268" s="24" t="s">
        <v>23</v>
      </c>
      <c r="L268" s="142">
        <f>AVERAGE(L156:L160)</f>
        <v>34491.599999999999</v>
      </c>
      <c r="M268" s="24"/>
      <c r="N268" s="24"/>
      <c r="O268" s="24"/>
      <c r="P268" s="24"/>
      <c r="Q268" s="24"/>
      <c r="R268" s="24"/>
      <c r="S268" s="24"/>
      <c r="T268" s="24"/>
      <c r="U268" s="24"/>
      <c r="V268" s="142"/>
    </row>
    <row r="269" spans="1:22" ht="11.25" customHeight="1">
      <c r="A269" s="99" t="s">
        <v>144</v>
      </c>
      <c r="B269" s="24" t="s">
        <v>23</v>
      </c>
      <c r="C269" s="24" t="s">
        <v>23</v>
      </c>
      <c r="D269" s="24">
        <f>AVERAGE(D161:D165)</f>
        <v>5979.4</v>
      </c>
      <c r="E269" s="24">
        <f t="shared" ref="E269:J269" si="103">AVERAGE(E161:E165)</f>
        <v>5752</v>
      </c>
      <c r="F269" s="24">
        <f t="shared" si="103"/>
        <v>4953.3999999999996</v>
      </c>
      <c r="G269" s="24">
        <f t="shared" si="103"/>
        <v>3957.2</v>
      </c>
      <c r="H269" s="24">
        <f t="shared" si="103"/>
        <v>3415.8</v>
      </c>
      <c r="I269" s="24">
        <f t="shared" si="103"/>
        <v>786</v>
      </c>
      <c r="J269" s="24">
        <f t="shared" si="103"/>
        <v>115.8</v>
      </c>
      <c r="K269" s="24" t="s">
        <v>23</v>
      </c>
      <c r="L269" s="142">
        <f>AVERAGE(L161:L165)</f>
        <v>25430</v>
      </c>
      <c r="M269" s="24"/>
      <c r="N269" s="24"/>
      <c r="O269" s="24"/>
      <c r="P269" s="24"/>
      <c r="Q269" s="24"/>
      <c r="R269" s="24"/>
      <c r="S269" s="24"/>
      <c r="T269" s="24"/>
      <c r="U269" s="24"/>
      <c r="V269" s="142"/>
    </row>
    <row r="270" spans="1:22" ht="11.25" customHeight="1">
      <c r="A270" s="99" t="s">
        <v>166</v>
      </c>
      <c r="B270" s="24">
        <f>AVERAGE(B166:B170)</f>
        <v>689.25</v>
      </c>
      <c r="C270" s="24">
        <f>AVERAGE(C166:C170)</f>
        <v>1222</v>
      </c>
      <c r="D270" s="24">
        <f>AVERAGE(D166:D170)</f>
        <v>6590.4</v>
      </c>
      <c r="E270" s="24">
        <f>AVERAGE(E166:E170)</f>
        <v>4426</v>
      </c>
      <c r="F270" s="24">
        <f>AVERAGE(F166:F170)</f>
        <v>5359.4</v>
      </c>
      <c r="G270" s="24">
        <f t="shared" ref="G270:L270" si="104">AVERAGE(G166:G170)</f>
        <v>4400.6000000000004</v>
      </c>
      <c r="H270" s="24">
        <f t="shared" si="104"/>
        <v>4456.8</v>
      </c>
      <c r="I270" s="24">
        <f t="shared" si="104"/>
        <v>1616.4</v>
      </c>
      <c r="J270" s="24">
        <f t="shared" si="104"/>
        <v>168.2</v>
      </c>
      <c r="K270" s="24">
        <f t="shared" si="104"/>
        <v>25.2</v>
      </c>
      <c r="L270" s="142">
        <f t="shared" si="104"/>
        <v>28816.400000000001</v>
      </c>
    </row>
    <row r="271" spans="1:22" ht="11.25" customHeight="1">
      <c r="A271" s="99" t="s">
        <v>315</v>
      </c>
      <c r="B271" s="24" t="str">
        <f>B171</f>
        <v>-</v>
      </c>
      <c r="C271" s="24">
        <f t="shared" ref="C271:L271" si="105">AVERAGE(C171:C175)</f>
        <v>454</v>
      </c>
      <c r="D271" s="24">
        <f t="shared" si="105"/>
        <v>2480.3333333333335</v>
      </c>
      <c r="E271" s="24">
        <f t="shared" si="105"/>
        <v>1016</v>
      </c>
      <c r="F271" s="24">
        <f t="shared" si="105"/>
        <v>2161.3333333333335</v>
      </c>
      <c r="G271" s="24">
        <f t="shared" si="105"/>
        <v>2770.6666666666665</v>
      </c>
      <c r="H271" s="24">
        <f t="shared" si="105"/>
        <v>1092.8</v>
      </c>
      <c r="I271" s="24">
        <f t="shared" si="105"/>
        <v>411.8</v>
      </c>
      <c r="J271" s="24">
        <f t="shared" si="105"/>
        <v>176</v>
      </c>
      <c r="K271" s="24">
        <f t="shared" si="105"/>
        <v>26</v>
      </c>
      <c r="L271" s="142">
        <f t="shared" si="105"/>
        <v>6763.2</v>
      </c>
    </row>
    <row r="272" spans="1:22" ht="11.25" customHeight="1">
      <c r="A272" s="99">
        <v>2011</v>
      </c>
      <c r="B272" s="24" t="str">
        <f t="shared" ref="B272:L272" si="106">B176</f>
        <v>-</v>
      </c>
      <c r="C272" s="24">
        <f t="shared" si="106"/>
        <v>316</v>
      </c>
      <c r="D272" s="24">
        <f t="shared" si="106"/>
        <v>2827</v>
      </c>
      <c r="E272" s="24">
        <f t="shared" si="106"/>
        <v>1644</v>
      </c>
      <c r="F272" s="24">
        <f t="shared" si="106"/>
        <v>1997</v>
      </c>
      <c r="G272" s="24">
        <f t="shared" si="106"/>
        <v>2239</v>
      </c>
      <c r="H272" s="24">
        <f t="shared" si="106"/>
        <v>760</v>
      </c>
      <c r="I272" s="24">
        <f t="shared" si="106"/>
        <v>418</v>
      </c>
      <c r="J272" s="24">
        <f t="shared" si="106"/>
        <v>235</v>
      </c>
      <c r="K272" s="24" t="str">
        <f t="shared" si="106"/>
        <v>-</v>
      </c>
      <c r="L272" s="142">
        <f t="shared" si="106"/>
        <v>10436</v>
      </c>
    </row>
    <row r="273" spans="1:12" ht="11.25" customHeight="1">
      <c r="A273" s="99">
        <v>2012</v>
      </c>
      <c r="B273" s="24" t="str">
        <f t="shared" ref="B273:L273" si="107">B177</f>
        <v>-</v>
      </c>
      <c r="C273" s="24">
        <f t="shared" si="107"/>
        <v>522</v>
      </c>
      <c r="D273" s="24">
        <f t="shared" si="107"/>
        <v>5195</v>
      </c>
      <c r="E273" s="24">
        <f t="shared" si="107"/>
        <v>2647</v>
      </c>
      <c r="F273" s="24">
        <f t="shared" si="107"/>
        <v>4742</v>
      </c>
      <c r="G273" s="24">
        <f t="shared" si="107"/>
        <v>3349</v>
      </c>
      <c r="H273" s="24">
        <f t="shared" si="107"/>
        <v>2596</v>
      </c>
      <c r="I273" s="24">
        <f t="shared" si="107"/>
        <v>1190</v>
      </c>
      <c r="J273" s="24">
        <f t="shared" si="107"/>
        <v>121</v>
      </c>
      <c r="K273" s="24" t="str">
        <f t="shared" si="107"/>
        <v>-</v>
      </c>
      <c r="L273" s="142">
        <f t="shared" si="107"/>
        <v>20362</v>
      </c>
    </row>
    <row r="274" spans="1:12" ht="11.25" customHeight="1">
      <c r="A274" s="99">
        <v>2013</v>
      </c>
      <c r="B274" s="24" t="str">
        <f t="shared" ref="B274:L274" si="108">B178</f>
        <v>-</v>
      </c>
      <c r="C274" s="24">
        <f t="shared" si="108"/>
        <v>1042</v>
      </c>
      <c r="D274" s="24">
        <f t="shared" si="108"/>
        <v>5587</v>
      </c>
      <c r="E274" s="24">
        <f t="shared" si="108"/>
        <v>4942</v>
      </c>
      <c r="F274" s="24">
        <f t="shared" si="108"/>
        <v>4938</v>
      </c>
      <c r="G274" s="24">
        <f t="shared" si="108"/>
        <v>5106</v>
      </c>
      <c r="H274" s="24">
        <f t="shared" si="108"/>
        <v>3054</v>
      </c>
      <c r="I274" s="24">
        <f t="shared" si="108"/>
        <v>1168</v>
      </c>
      <c r="J274" s="24">
        <f t="shared" si="108"/>
        <v>155</v>
      </c>
      <c r="K274" s="24" t="str">
        <f t="shared" si="108"/>
        <v>-</v>
      </c>
      <c r="L274" s="142">
        <f t="shared" si="108"/>
        <v>25992</v>
      </c>
    </row>
    <row r="275" spans="1:12" ht="11.25" customHeight="1">
      <c r="A275" s="99">
        <v>2014</v>
      </c>
      <c r="B275" s="24" t="str">
        <f t="shared" ref="B275:L275" si="109">B179</f>
        <v>-</v>
      </c>
      <c r="C275" s="24">
        <f t="shared" si="109"/>
        <v>962</v>
      </c>
      <c r="D275" s="24">
        <f t="shared" si="109"/>
        <v>5583</v>
      </c>
      <c r="E275" s="24">
        <f t="shared" si="109"/>
        <v>4482</v>
      </c>
      <c r="F275" s="24">
        <f t="shared" si="109"/>
        <v>4381</v>
      </c>
      <c r="G275" s="24">
        <f t="shared" si="109"/>
        <v>5212</v>
      </c>
      <c r="H275" s="24">
        <f t="shared" si="109"/>
        <v>2621</v>
      </c>
      <c r="I275" s="24">
        <f t="shared" si="109"/>
        <v>942</v>
      </c>
      <c r="J275" s="24">
        <f t="shared" si="109"/>
        <v>98</v>
      </c>
      <c r="K275" s="24" t="str">
        <f t="shared" si="109"/>
        <v>-</v>
      </c>
      <c r="L275" s="142">
        <f t="shared" si="109"/>
        <v>24281</v>
      </c>
    </row>
    <row r="276" spans="1:12" ht="11.25" customHeight="1">
      <c r="A276" s="99">
        <v>2015</v>
      </c>
      <c r="B276" s="24" t="str">
        <f t="shared" ref="B276:L276" si="110">B180</f>
        <v>-</v>
      </c>
      <c r="C276" s="24">
        <f t="shared" si="110"/>
        <v>1767</v>
      </c>
      <c r="D276" s="24">
        <f t="shared" si="110"/>
        <v>6146</v>
      </c>
      <c r="E276" s="24">
        <f t="shared" si="110"/>
        <v>3741</v>
      </c>
      <c r="F276" s="24">
        <f t="shared" si="110"/>
        <v>3308</v>
      </c>
      <c r="G276" s="24">
        <f t="shared" si="110"/>
        <v>2812</v>
      </c>
      <c r="H276" s="24">
        <f t="shared" si="110"/>
        <v>2094</v>
      </c>
      <c r="I276" s="24">
        <f t="shared" si="110"/>
        <v>896</v>
      </c>
      <c r="J276" s="24">
        <f t="shared" si="110"/>
        <v>158</v>
      </c>
      <c r="K276" s="24" t="str">
        <f t="shared" si="110"/>
        <v>-</v>
      </c>
      <c r="L276" s="142">
        <f t="shared" si="110"/>
        <v>20922</v>
      </c>
    </row>
    <row r="277" spans="1:12" ht="11.25" customHeight="1">
      <c r="A277" s="99">
        <v>2016</v>
      </c>
      <c r="B277" s="24" t="str">
        <f t="shared" ref="B277:L277" si="111">B181</f>
        <v>-</v>
      </c>
      <c r="C277" s="24">
        <f t="shared" si="111"/>
        <v>895</v>
      </c>
      <c r="D277" s="24">
        <f t="shared" si="111"/>
        <v>2508</v>
      </c>
      <c r="E277" s="24">
        <f t="shared" si="111"/>
        <v>1972</v>
      </c>
      <c r="F277" s="24">
        <f t="shared" si="111"/>
        <v>550</v>
      </c>
      <c r="G277" s="24">
        <f t="shared" si="111"/>
        <v>3084</v>
      </c>
      <c r="H277" s="24">
        <f t="shared" si="111"/>
        <v>1952</v>
      </c>
      <c r="I277" s="24">
        <f t="shared" si="111"/>
        <v>363</v>
      </c>
      <c r="J277" s="24">
        <f t="shared" si="111"/>
        <v>41</v>
      </c>
      <c r="K277" s="24" t="str">
        <f t="shared" si="111"/>
        <v>-</v>
      </c>
      <c r="L277" s="142">
        <f t="shared" si="111"/>
        <v>11365</v>
      </c>
    </row>
    <row r="278" spans="1:12" ht="11.25" customHeight="1">
      <c r="A278" s="99">
        <v>2017</v>
      </c>
      <c r="B278" s="24" t="str">
        <f t="shared" ref="B278:L278" si="112">B182</f>
        <v>-</v>
      </c>
      <c r="C278" s="24">
        <f t="shared" si="112"/>
        <v>106</v>
      </c>
      <c r="D278" s="24">
        <f t="shared" si="112"/>
        <v>1057</v>
      </c>
      <c r="E278" s="24">
        <f t="shared" si="112"/>
        <v>1601</v>
      </c>
      <c r="F278" s="24">
        <f t="shared" si="112"/>
        <v>655</v>
      </c>
      <c r="G278" s="24">
        <f t="shared" si="112"/>
        <v>2610</v>
      </c>
      <c r="H278" s="24">
        <f t="shared" si="112"/>
        <v>1899</v>
      </c>
      <c r="I278" s="24">
        <f t="shared" si="112"/>
        <v>466</v>
      </c>
      <c r="J278" s="24">
        <f t="shared" si="112"/>
        <v>41</v>
      </c>
      <c r="K278" s="24" t="str">
        <f t="shared" si="112"/>
        <v>-</v>
      </c>
      <c r="L278" s="142">
        <f t="shared" si="112"/>
        <v>8435</v>
      </c>
    </row>
    <row r="279" spans="1:12" ht="11.25" customHeight="1">
      <c r="A279" s="99">
        <v>2018</v>
      </c>
      <c r="B279" s="24" t="str">
        <f t="shared" ref="B279:L279" si="113">B183</f>
        <v>-</v>
      </c>
      <c r="C279" s="24" t="str">
        <f t="shared" si="113"/>
        <v>-</v>
      </c>
      <c r="D279" s="24">
        <f t="shared" si="113"/>
        <v>988</v>
      </c>
      <c r="E279" s="24">
        <f t="shared" si="113"/>
        <v>1623</v>
      </c>
      <c r="F279" s="24">
        <f t="shared" si="113"/>
        <v>1396</v>
      </c>
      <c r="G279" s="24">
        <f t="shared" si="113"/>
        <v>3673</v>
      </c>
      <c r="H279" s="24">
        <f t="shared" si="113"/>
        <v>1631</v>
      </c>
      <c r="I279" s="24">
        <f t="shared" si="113"/>
        <v>658</v>
      </c>
      <c r="J279" s="24">
        <f t="shared" si="113"/>
        <v>83</v>
      </c>
      <c r="K279" s="24" t="str">
        <f t="shared" si="113"/>
        <v>-</v>
      </c>
      <c r="L279" s="142">
        <f t="shared" si="113"/>
        <v>10052</v>
      </c>
    </row>
    <row r="280" spans="1:12" ht="11.25" customHeight="1">
      <c r="A280" s="99">
        <v>2019</v>
      </c>
      <c r="B280" s="24" t="str">
        <f t="shared" ref="B280:L280" si="114">B184</f>
        <v>-</v>
      </c>
      <c r="C280" s="24">
        <f t="shared" si="114"/>
        <v>51</v>
      </c>
      <c r="D280" s="24">
        <f t="shared" si="114"/>
        <v>4013</v>
      </c>
      <c r="E280" s="24">
        <f t="shared" si="114"/>
        <v>4820</v>
      </c>
      <c r="F280" s="24">
        <f t="shared" si="114"/>
        <v>4143</v>
      </c>
      <c r="G280" s="24">
        <f t="shared" si="114"/>
        <v>3466</v>
      </c>
      <c r="H280" s="24">
        <f t="shared" si="114"/>
        <v>1212</v>
      </c>
      <c r="I280" s="24">
        <f t="shared" si="114"/>
        <v>438</v>
      </c>
      <c r="J280" s="24" t="str">
        <f t="shared" si="114"/>
        <v>-</v>
      </c>
      <c r="K280" s="24" t="str">
        <f t="shared" si="114"/>
        <v>-</v>
      </c>
      <c r="L280" s="142">
        <f t="shared" si="114"/>
        <v>18143</v>
      </c>
    </row>
    <row r="281" spans="1:12" ht="11.25" customHeight="1">
      <c r="A281" s="99">
        <v>2020</v>
      </c>
      <c r="B281" s="24" t="str">
        <f t="shared" ref="B281:L282" si="115">B185</f>
        <v>-</v>
      </c>
      <c r="C281" s="24">
        <f t="shared" si="115"/>
        <v>137</v>
      </c>
      <c r="D281" s="24">
        <f t="shared" si="115"/>
        <v>2760</v>
      </c>
      <c r="E281" s="24">
        <f t="shared" si="115"/>
        <v>3773</v>
      </c>
      <c r="F281" s="24">
        <f t="shared" si="115"/>
        <v>3516</v>
      </c>
      <c r="G281" s="24">
        <f t="shared" si="115"/>
        <v>1962</v>
      </c>
      <c r="H281" s="24">
        <f t="shared" si="115"/>
        <v>1261</v>
      </c>
      <c r="I281" s="24">
        <f t="shared" si="115"/>
        <v>780</v>
      </c>
      <c r="J281" s="24" t="str">
        <f t="shared" si="115"/>
        <v>-</v>
      </c>
      <c r="K281" s="24" t="str">
        <f t="shared" si="115"/>
        <v>-</v>
      </c>
      <c r="L281" s="142">
        <f t="shared" si="115"/>
        <v>14189</v>
      </c>
    </row>
    <row r="282" spans="1:12" ht="11.25" customHeight="1">
      <c r="A282" s="99" t="s">
        <v>317</v>
      </c>
      <c r="B282" s="24">
        <f t="shared" si="115"/>
        <v>33</v>
      </c>
      <c r="C282" s="24">
        <f t="shared" si="115"/>
        <v>407</v>
      </c>
      <c r="D282" s="24">
        <f t="shared" si="115"/>
        <v>2872</v>
      </c>
      <c r="E282" s="24">
        <f t="shared" si="115"/>
        <v>2817</v>
      </c>
      <c r="F282" s="24">
        <f t="shared" si="115"/>
        <v>1165</v>
      </c>
      <c r="G282" s="24">
        <f t="shared" si="115"/>
        <v>2660</v>
      </c>
      <c r="H282" s="24">
        <f t="shared" si="115"/>
        <v>1394</v>
      </c>
      <c r="I282" s="24">
        <f t="shared" si="115"/>
        <v>498</v>
      </c>
      <c r="J282" s="24" t="str">
        <f t="shared" si="115"/>
        <v>-</v>
      </c>
      <c r="K282" s="24" t="str">
        <f t="shared" si="115"/>
        <v>-</v>
      </c>
      <c r="L282" s="142">
        <f t="shared" si="115"/>
        <v>11846</v>
      </c>
    </row>
    <row r="283" spans="1:12" ht="11.25" customHeight="1">
      <c r="A283" s="190" t="str">
        <f>A187</f>
        <v>a/  Monthly totals for Oregon data are the sum of statistical weeks with closest fit to the calendar month.</v>
      </c>
      <c r="B283" s="190"/>
      <c r="C283" s="190"/>
      <c r="D283" s="190"/>
      <c r="E283" s="190"/>
      <c r="F283" s="190"/>
      <c r="G283" s="190"/>
      <c r="H283" s="190"/>
      <c r="I283" s="190"/>
      <c r="J283" s="190"/>
      <c r="K283" s="190"/>
      <c r="L283" s="190"/>
    </row>
    <row r="284" spans="1:12" ht="11.25" customHeight="1">
      <c r="A284" s="1" t="str">
        <f>A188</f>
        <v>b/  Preliminary.</v>
      </c>
      <c r="B284" s="1"/>
      <c r="C284" s="1"/>
      <c r="D284" s="1"/>
      <c r="E284" s="1"/>
      <c r="F284" s="1"/>
      <c r="G284" s="1"/>
      <c r="H284" s="1"/>
      <c r="I284" s="1"/>
      <c r="J284" s="1"/>
      <c r="K284" s="1"/>
      <c r="L284" s="1"/>
    </row>
    <row r="285" spans="1:12" ht="22.5" customHeight="1">
      <c r="A285" s="280" t="str">
        <f>A189</f>
        <v>c/  In 2021, the southern boundary of the KMZ was officially moved five nautical miles north from Horse Mountain to latitude 40°10′ N.</v>
      </c>
      <c r="B285" s="280"/>
      <c r="C285" s="280"/>
      <c r="D285" s="280"/>
      <c r="E285" s="280"/>
      <c r="F285" s="280"/>
      <c r="G285" s="280"/>
      <c r="H285" s="280"/>
      <c r="I285" s="280"/>
      <c r="J285" s="280"/>
      <c r="K285" s="280"/>
      <c r="L285" s="280"/>
    </row>
    <row r="289" spans="6:6">
      <c r="F289" s="45"/>
    </row>
  </sheetData>
  <mergeCells count="8">
    <mergeCell ref="A285:L285"/>
    <mergeCell ref="A243:L243"/>
    <mergeCell ref="A244:B244"/>
    <mergeCell ref="A1:L1"/>
    <mergeCell ref="A187:L187"/>
    <mergeCell ref="A188:L188"/>
    <mergeCell ref="A189:L189"/>
    <mergeCell ref="A201:L202"/>
  </mergeCells>
  <pageMargins left="0.7" right="0.7" top="0.75" bottom="0.75" header="0.3" footer="0.3"/>
  <pageSetup scale="78" orientation="portrait" r:id="rId1"/>
  <rowBreaks count="1" manualBreakCount="1">
    <brk id="242" max="11"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54"/>
  <dimension ref="A1:Z297"/>
  <sheetViews>
    <sheetView showGridLines="0" zoomScaleNormal="100" workbookViewId="0">
      <pane xSplit="1" ySplit="4" topLeftCell="B250"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9" defaultRowHeight="16"/>
  <cols>
    <col min="1" max="1" width="8.33203125" style="218" customWidth="1"/>
    <col min="2" max="2" width="6.83203125" style="218" bestFit="1" customWidth="1"/>
    <col min="3" max="3" width="5.1640625" style="218" customWidth="1"/>
    <col min="4" max="7" width="6.33203125" style="218" bestFit="1" customWidth="1"/>
    <col min="8" max="8" width="5.6640625" style="218" bestFit="1" customWidth="1"/>
    <col min="9" max="9" width="5.1640625" style="218" customWidth="1"/>
    <col min="10" max="10" width="4.1640625" style="218" customWidth="1"/>
    <col min="11" max="11" width="3.6640625" style="218" bestFit="1" customWidth="1"/>
    <col min="12" max="12" width="6.83203125" style="218" customWidth="1"/>
    <col min="13" max="13" width="2.1640625" style="218" customWidth="1"/>
    <col min="14" max="14" width="4.6640625" style="218" bestFit="1" customWidth="1"/>
    <col min="15" max="15" width="5" style="218" bestFit="1" customWidth="1"/>
    <col min="16" max="17" width="5.6640625" style="218" bestFit="1" customWidth="1"/>
    <col min="18" max="18" width="6.33203125" style="218" bestFit="1" customWidth="1"/>
    <col min="19" max="19" width="5.6640625" style="218" bestFit="1" customWidth="1"/>
    <col min="20" max="20" width="5.6640625" style="218" customWidth="1"/>
    <col min="21" max="21" width="4.1640625" style="218" bestFit="1" customWidth="1"/>
    <col min="22" max="23" width="3.6640625" style="218" bestFit="1" customWidth="1"/>
    <col min="24" max="24" width="6.83203125" style="218" bestFit="1" customWidth="1"/>
    <col min="25" max="25" width="9" style="218"/>
    <col min="26" max="26" width="3.83203125" style="218" bestFit="1" customWidth="1"/>
    <col min="27" max="16384" width="9" style="218"/>
  </cols>
  <sheetData>
    <row r="1" spans="1:26" ht="11.25" customHeight="1">
      <c r="A1" s="195" t="s">
        <v>285</v>
      </c>
      <c r="B1" s="195"/>
      <c r="C1" s="195"/>
      <c r="D1" s="195"/>
      <c r="E1" s="195"/>
      <c r="F1" s="195"/>
      <c r="G1" s="195"/>
      <c r="H1" s="195"/>
      <c r="I1" s="195"/>
      <c r="J1" s="195"/>
      <c r="K1" s="195"/>
      <c r="L1" s="195"/>
      <c r="M1" s="195"/>
      <c r="N1" s="195"/>
      <c r="O1" s="195"/>
      <c r="P1" s="195"/>
      <c r="Q1" s="195"/>
      <c r="R1" s="195"/>
      <c r="S1" s="195"/>
      <c r="T1" s="195"/>
      <c r="U1" s="195"/>
      <c r="V1" s="195"/>
      <c r="W1" s="195"/>
      <c r="X1" s="195"/>
    </row>
    <row r="2" spans="1:26" ht="11.25" customHeight="1">
      <c r="A2" s="119" t="s">
        <v>27</v>
      </c>
      <c r="B2" s="46" t="s">
        <v>37</v>
      </c>
      <c r="C2" s="46" t="s">
        <v>28</v>
      </c>
      <c r="D2" s="46" t="s">
        <v>29</v>
      </c>
      <c r="E2" s="46" t="s">
        <v>30</v>
      </c>
      <c r="F2" s="46" t="s">
        <v>31</v>
      </c>
      <c r="G2" s="46" t="s">
        <v>32</v>
      </c>
      <c r="H2" s="46" t="s">
        <v>33</v>
      </c>
      <c r="I2" s="46" t="s">
        <v>34</v>
      </c>
      <c r="J2" s="46" t="s">
        <v>38</v>
      </c>
      <c r="K2" s="46" t="s">
        <v>75</v>
      </c>
      <c r="L2" s="46" t="s">
        <v>22</v>
      </c>
      <c r="M2" s="47"/>
      <c r="N2" s="46" t="s">
        <v>37</v>
      </c>
      <c r="O2" s="46" t="s">
        <v>28</v>
      </c>
      <c r="P2" s="46" t="s">
        <v>29</v>
      </c>
      <c r="Q2" s="46" t="s">
        <v>30</v>
      </c>
      <c r="R2" s="46" t="s">
        <v>31</v>
      </c>
      <c r="S2" s="46" t="s">
        <v>32</v>
      </c>
      <c r="T2" s="46" t="s">
        <v>33</v>
      </c>
      <c r="U2" s="46" t="s">
        <v>34</v>
      </c>
      <c r="V2" s="46" t="s">
        <v>38</v>
      </c>
      <c r="W2" s="46" t="s">
        <v>75</v>
      </c>
      <c r="X2" s="46" t="s">
        <v>22</v>
      </c>
    </row>
    <row r="3" spans="1:26" ht="11.25" customHeight="1">
      <c r="B3" s="228" t="s">
        <v>61</v>
      </c>
      <c r="C3" s="228"/>
      <c r="D3" s="228"/>
      <c r="E3" s="228"/>
      <c r="F3" s="228"/>
      <c r="G3" s="228"/>
      <c r="H3" s="228"/>
      <c r="I3" s="228"/>
      <c r="J3" s="228"/>
      <c r="K3" s="228"/>
      <c r="L3" s="228"/>
      <c r="M3" s="6"/>
      <c r="N3" s="228" t="s">
        <v>62</v>
      </c>
      <c r="O3" s="228"/>
      <c r="P3" s="228"/>
      <c r="Q3" s="228"/>
      <c r="R3" s="228"/>
      <c r="S3" s="228"/>
      <c r="T3" s="228"/>
      <c r="U3" s="228"/>
      <c r="V3" s="228"/>
      <c r="W3" s="228"/>
      <c r="X3" s="228"/>
      <c r="Z3" s="124" t="s">
        <v>137</v>
      </c>
    </row>
    <row r="4" spans="1:26" ht="11.25" customHeight="1">
      <c r="A4" s="94" t="s">
        <v>225</v>
      </c>
    </row>
    <row r="5" spans="1:26" ht="11.25" customHeight="1">
      <c r="A5" s="99">
        <v>1976</v>
      </c>
      <c r="B5" s="142" t="str">
        <f>IF(AND('A-8'!B101="-",'A-8'!B173="-",'A-8'!B245="-"),"-",SUM('A-8'!B101,'A-8'!B173,'A-8'!B245))</f>
        <v>-</v>
      </c>
      <c r="C5" s="142" t="str">
        <f>IF(AND('A-8'!C101="-",'A-8'!C173="-",'A-8'!C245="-"),"-",SUM('A-8'!C101,'A-8'!C173,'A-8'!C245))</f>
        <v>-</v>
      </c>
      <c r="D5" s="142">
        <f>IF(AND('A-8'!D101="-",'A-8'!D173="-",'A-8'!D245="-"),"-",SUM('A-8'!D101,'A-8'!D173,'A-8'!D245))</f>
        <v>3119</v>
      </c>
      <c r="E5" s="142">
        <f>IF(AND('A-8'!E101="-",'A-8'!E173="-",'A-8'!E245="-"),"-",SUM('A-8'!E101,'A-8'!E173,'A-8'!E245))</f>
        <v>22256</v>
      </c>
      <c r="F5" s="142">
        <f>IF(AND('A-8'!F101="-",'A-8'!F173="-",'A-8'!F245="-"),"-",SUM('A-8'!F101,'A-8'!F173,'A-8'!F245))</f>
        <v>34264</v>
      </c>
      <c r="G5" s="142">
        <f>IF(AND('A-8'!G101="-",'A-8'!G173="-",'A-8'!G245="-"),"-",SUM('A-8'!G101,'A-8'!G173,'A-8'!G245))</f>
        <v>39312</v>
      </c>
      <c r="H5" s="142">
        <f>IF(AND('A-8'!H101="-",'A-8'!H173="-",'A-8'!H245="-"),"-",SUM('A-8'!H101,'A-8'!H173,'A-8'!H245))</f>
        <v>11143</v>
      </c>
      <c r="I5" s="142">
        <f>IF(AND('A-8'!I101="-",'A-8'!I173="-",'A-8'!I245="-"),"-",SUM('A-8'!I101,'A-8'!I173,'A-8'!I245))</f>
        <v>3950</v>
      </c>
      <c r="J5" s="142">
        <f>IF(AND('A-8'!J101="-",'A-8'!J173="-",'A-8'!J245="-"),"-",SUM('A-8'!J101,'A-8'!J173,'A-8'!J245))</f>
        <v>0</v>
      </c>
      <c r="K5" s="142" t="str">
        <f>IF(AND('A-8'!K101="-",'A-8'!K173="-",'A-8'!K245="-"),"-",SUM('A-8'!K101,'A-8'!K173,'A-8'!K245))</f>
        <v>-</v>
      </c>
      <c r="L5" s="142">
        <f>IF(AND('A-8'!L101="-",'A-8'!L173="-",'A-8'!L245="-"),"-",SUM('A-8'!L101,'A-8'!L173,'A-8'!L245))</f>
        <v>114044</v>
      </c>
      <c r="M5" s="7"/>
      <c r="N5" s="142" t="s">
        <v>23</v>
      </c>
      <c r="O5" s="142" t="s">
        <v>23</v>
      </c>
      <c r="P5" s="142" t="s">
        <v>23</v>
      </c>
      <c r="Q5" s="142">
        <f>IF(AND('A-8'!N101="-",'A-8'!N173="-",'A-8'!N245="-"),"-",SUM('A-8'!N101,'A-8'!N173,'A-8'!N245))</f>
        <v>382652</v>
      </c>
      <c r="R5" s="142">
        <f>IF(AND('A-8'!O101="-",'A-8'!O173="-",'A-8'!O245="-"),"-",SUM('A-8'!O101,'A-8'!O173,'A-8'!O245))</f>
        <v>744382</v>
      </c>
      <c r="S5" s="142">
        <f>IF(AND('A-8'!P101="-",'A-8'!P173="-",'A-8'!P245="-"),"-",SUM('A-8'!P101,'A-8'!P173,'A-8'!P245))</f>
        <v>368159</v>
      </c>
      <c r="T5" s="142">
        <f>IF(AND('A-8'!Q101="-",'A-8'!Q173="-",'A-8'!Q245="-"),"-",SUM('A-8'!Q101,'A-8'!Q173,'A-8'!Q245))</f>
        <v>32139</v>
      </c>
      <c r="U5" s="142">
        <f>IF(AND('A-8'!R101="-",'A-8'!R173="-",'A-8'!R245="-"),"-",SUM('A-8'!R101,'A-8'!R173,'A-8'!R245))</f>
        <v>4296</v>
      </c>
      <c r="V5" s="142" t="s">
        <v>23</v>
      </c>
      <c r="W5" s="142" t="s">
        <v>23</v>
      </c>
      <c r="X5" s="142">
        <f>SUM(N5:W5)</f>
        <v>1531628</v>
      </c>
    </row>
    <row r="6" spans="1:26" ht="11.25" customHeight="1">
      <c r="A6" s="99">
        <v>1977</v>
      </c>
      <c r="B6" s="142" t="str">
        <f>IF(AND('A-8'!B102="-",'A-8'!B174="-",'A-8'!B246="-"),"-",SUM('A-8'!B102,'A-8'!B174,'A-8'!B246))</f>
        <v>-</v>
      </c>
      <c r="C6" s="142" t="str">
        <f>IF(AND('A-8'!C102="-",'A-8'!C174="-",'A-8'!C246="-"),"-",SUM('A-8'!C102,'A-8'!C174,'A-8'!C246))</f>
        <v>-</v>
      </c>
      <c r="D6" s="142">
        <f>IF(AND('A-8'!D102="-",'A-8'!D174="-",'A-8'!D246="-"),"-",SUM('A-8'!D102,'A-8'!D174,'A-8'!D246))</f>
        <v>10851</v>
      </c>
      <c r="E6" s="142">
        <f>IF(AND('A-8'!E102="-",'A-8'!E174="-",'A-8'!E246="-"),"-",SUM('A-8'!E102,'A-8'!E174,'A-8'!E246))</f>
        <v>36732</v>
      </c>
      <c r="F6" s="142">
        <f>IF(AND('A-8'!F102="-",'A-8'!F174="-",'A-8'!F246="-"),"-",SUM('A-8'!F102,'A-8'!F174,'A-8'!F246))</f>
        <v>68377</v>
      </c>
      <c r="G6" s="142">
        <f>IF(AND('A-8'!G102="-",'A-8'!G174="-",'A-8'!G246="-"),"-",SUM('A-8'!G102,'A-8'!G174,'A-8'!G246))</f>
        <v>91790</v>
      </c>
      <c r="H6" s="142">
        <f>IF(AND('A-8'!H102="-",'A-8'!H174="-",'A-8'!H246="-"),"-",SUM('A-8'!H102,'A-8'!H174,'A-8'!H246))</f>
        <v>17677</v>
      </c>
      <c r="I6" s="142">
        <f>IF(AND('A-8'!I102="-",'A-8'!I174="-",'A-8'!I246="-"),"-",SUM('A-8'!I102,'A-8'!I174,'A-8'!I246))</f>
        <v>4856</v>
      </c>
      <c r="J6" s="142">
        <f>IF(AND('A-8'!J102="-",'A-8'!J174="-",'A-8'!J246="-"),"-",SUM('A-8'!J102,'A-8'!J174,'A-8'!J246))</f>
        <v>0</v>
      </c>
      <c r="K6" s="142" t="str">
        <f>IF(AND('A-8'!K102="-",'A-8'!K174="-",'A-8'!K246="-"),"-",SUM('A-8'!K102,'A-8'!K174,'A-8'!K246))</f>
        <v>-</v>
      </c>
      <c r="L6" s="142">
        <f>IF(AND('A-8'!L102="-",'A-8'!L174="-",'A-8'!L246="-"),"-",SUM('A-8'!L102,'A-8'!L174,'A-8'!L246))</f>
        <v>230283</v>
      </c>
      <c r="M6" s="7"/>
      <c r="N6" s="142" t="s">
        <v>23</v>
      </c>
      <c r="O6" s="142" t="s">
        <v>23</v>
      </c>
      <c r="P6" s="142" t="s">
        <v>23</v>
      </c>
      <c r="Q6" s="142">
        <f>IF(AND('A-8'!N102="-",'A-8'!N174="-",'A-8'!N246="-"),"-",SUM('A-8'!N102,'A-8'!N174,'A-8'!N246))</f>
        <v>64059</v>
      </c>
      <c r="R6" s="142">
        <f>IF(AND('A-8'!O102="-",'A-8'!O174="-",'A-8'!O246="-"),"-",SUM('A-8'!O102,'A-8'!O174,'A-8'!O246))</f>
        <v>206629</v>
      </c>
      <c r="S6" s="142">
        <f>IF(AND('A-8'!P102="-",'A-8'!P174="-",'A-8'!P246="-"),"-",SUM('A-8'!P102,'A-8'!P174,'A-8'!P246))</f>
        <v>71336</v>
      </c>
      <c r="T6" s="142">
        <f>IF(AND('A-8'!Q102="-",'A-8'!Q174="-",'A-8'!Q246="-"),"-",SUM('A-8'!Q102,'A-8'!Q174,'A-8'!Q246))</f>
        <v>7157</v>
      </c>
      <c r="U6" s="142">
        <f>IF(AND('A-8'!R102="-",'A-8'!R174="-",'A-8'!R246="-"),"-",SUM('A-8'!R102,'A-8'!R174,'A-8'!R246))</f>
        <v>562</v>
      </c>
      <c r="V6" s="142" t="s">
        <v>23</v>
      </c>
      <c r="W6" s="142" t="s">
        <v>23</v>
      </c>
      <c r="X6" s="142">
        <f t="shared" ref="X6:X25" si="0">SUM(N6:W6)</f>
        <v>349743</v>
      </c>
    </row>
    <row r="7" spans="1:26" ht="11.25" customHeight="1">
      <c r="A7" s="99">
        <v>1978</v>
      </c>
      <c r="B7" s="142" t="str">
        <f>IF(AND('A-8'!B103="-",'A-8'!B175="-",'A-8'!B247="-"),"-",SUM('A-8'!B103,'A-8'!B175,'A-8'!B247))</f>
        <v>-</v>
      </c>
      <c r="C7" s="142">
        <f>IF(AND('A-8'!C103="-",'A-8'!C175="-",'A-8'!C247="-"),"-",SUM('A-8'!C103,'A-8'!C175,'A-8'!C247))</f>
        <v>17</v>
      </c>
      <c r="D7" s="142">
        <f>IF(AND('A-8'!D103="-",'A-8'!D175="-",'A-8'!D247="-"),"-",SUM('A-8'!D103,'A-8'!D175,'A-8'!D247))</f>
        <v>1359</v>
      </c>
      <c r="E7" s="142">
        <f>IF(AND('A-8'!E103="-",'A-8'!E175="-",'A-8'!E247="-"),"-",SUM('A-8'!E103,'A-8'!E175,'A-8'!E247))</f>
        <v>24237</v>
      </c>
      <c r="F7" s="142">
        <f>IF(AND('A-8'!F103="-",'A-8'!F175="-",'A-8'!F247="-"),"-",SUM('A-8'!F103,'A-8'!F175,'A-8'!F247))</f>
        <v>48226</v>
      </c>
      <c r="G7" s="142">
        <f>IF(AND('A-8'!G103="-",'A-8'!G175="-",'A-8'!G247="-"),"-",SUM('A-8'!G103,'A-8'!G175,'A-8'!G247))</f>
        <v>35370</v>
      </c>
      <c r="H7" s="142">
        <f>IF(AND('A-8'!H103="-",'A-8'!H175="-",'A-8'!H247="-"),"-",SUM('A-8'!H103,'A-8'!H175,'A-8'!H247))</f>
        <v>16525</v>
      </c>
      <c r="I7" s="142">
        <f>IF(AND('A-8'!I103="-",'A-8'!I175="-",'A-8'!I247="-"),"-",SUM('A-8'!I103,'A-8'!I175,'A-8'!I247))</f>
        <v>3107</v>
      </c>
      <c r="J7" s="142">
        <f>IF(AND('A-8'!J103="-",'A-8'!J175="-",'A-8'!J247="-"),"-",SUM('A-8'!J103,'A-8'!J175,'A-8'!J247))</f>
        <v>244</v>
      </c>
      <c r="K7" s="142" t="str">
        <f>IF(AND('A-8'!K103="-",'A-8'!K175="-",'A-8'!K247="-"),"-",SUM('A-8'!K103,'A-8'!K175,'A-8'!K247))</f>
        <v>-</v>
      </c>
      <c r="L7" s="142">
        <f>IF(AND('A-8'!L103="-",'A-8'!L175="-",'A-8'!L247="-"),"-",SUM('A-8'!L103,'A-8'!L175,'A-8'!L247))</f>
        <v>129085</v>
      </c>
      <c r="M7" s="7"/>
      <c r="N7" s="142" t="s">
        <v>23</v>
      </c>
      <c r="O7" s="142" t="s">
        <v>23</v>
      </c>
      <c r="P7" s="142" t="s">
        <v>23</v>
      </c>
      <c r="Q7" s="142">
        <f>IF(AND('A-8'!N103="-",'A-8'!N175="-",'A-8'!N247="-"),"-",SUM('A-8'!N103,'A-8'!N175,'A-8'!N247))</f>
        <v>234327</v>
      </c>
      <c r="R7" s="142">
        <f>IF(AND('A-8'!O103="-",'A-8'!O175="-",'A-8'!O247="-"),"-",SUM('A-8'!O103,'A-8'!O175,'A-8'!O247))</f>
        <v>182207</v>
      </c>
      <c r="S7" s="142">
        <f>IF(AND('A-8'!P103="-",'A-8'!P175="-",'A-8'!P247="-"),"-",SUM('A-8'!P103,'A-8'!P175,'A-8'!P247))</f>
        <v>74484</v>
      </c>
      <c r="T7" s="142">
        <f>IF(AND('A-8'!Q103="-",'A-8'!Q175="-",'A-8'!Q247="-"),"-",SUM('A-8'!Q103,'A-8'!Q175,'A-8'!Q247))</f>
        <v>5985</v>
      </c>
      <c r="U7" s="142">
        <f>IF(AND('A-8'!R103="-",'A-8'!R175="-",'A-8'!R247="-"),"-",SUM('A-8'!R103,'A-8'!R175,'A-8'!R247))</f>
        <v>323</v>
      </c>
      <c r="V7" s="142" t="s">
        <v>23</v>
      </c>
      <c r="W7" s="142" t="s">
        <v>23</v>
      </c>
      <c r="X7" s="142">
        <f t="shared" si="0"/>
        <v>497326</v>
      </c>
    </row>
    <row r="8" spans="1:26" ht="11.25" customHeight="1">
      <c r="A8" s="99">
        <v>1979</v>
      </c>
      <c r="B8" s="142" t="str">
        <f>IF(AND('A-8'!B104="-",'A-8'!B176="-",'A-8'!B248="-"),"-",SUM('A-8'!B104,'A-8'!B176,'A-8'!B248))</f>
        <v>-</v>
      </c>
      <c r="C8" s="142" t="str">
        <f>IF(AND('A-8'!C104="-",'A-8'!C176="-",'A-8'!C248="-"),"-",SUM('A-8'!C104,'A-8'!C176,'A-8'!C248))</f>
        <v>-</v>
      </c>
      <c r="D8" s="142">
        <f>IF(AND('A-8'!D104="-",'A-8'!D176="-",'A-8'!D248="-"),"-",SUM('A-8'!D104,'A-8'!D176,'A-8'!D248))</f>
        <v>7939</v>
      </c>
      <c r="E8" s="142">
        <f>IF(AND('A-8'!E104="-",'A-8'!E176="-",'A-8'!E248="-"),"-",SUM('A-8'!E104,'A-8'!E176,'A-8'!E248))</f>
        <v>310</v>
      </c>
      <c r="F8" s="142">
        <f>IF(AND('A-8'!F104="-",'A-8'!F176="-",'A-8'!F248="-"),"-",SUM('A-8'!F104,'A-8'!F176,'A-8'!F248))</f>
        <v>46434</v>
      </c>
      <c r="G8" s="142">
        <f>IF(AND('A-8'!G104="-",'A-8'!G176="-",'A-8'!G248="-"),"-",SUM('A-8'!G104,'A-8'!G176,'A-8'!G248))</f>
        <v>39119</v>
      </c>
      <c r="H8" s="142">
        <f>IF(AND('A-8'!H104="-",'A-8'!H176="-",'A-8'!H248="-"),"-",SUM('A-8'!H104,'A-8'!H176,'A-8'!H248))</f>
        <v>8276</v>
      </c>
      <c r="I8" s="142">
        <f>IF(AND('A-8'!I104="-",'A-8'!I176="-",'A-8'!I248="-"),"-",SUM('A-8'!I104,'A-8'!I176,'A-8'!I248))</f>
        <v>10202</v>
      </c>
      <c r="J8" s="142">
        <f>IF(AND('A-8'!J104="-",'A-8'!J176="-",'A-8'!J248="-"),"-",SUM('A-8'!J104,'A-8'!J176,'A-8'!J248))</f>
        <v>0</v>
      </c>
      <c r="K8" s="142" t="str">
        <f>IF(AND('A-8'!K104="-",'A-8'!K176="-",'A-8'!K248="-"),"-",SUM('A-8'!K104,'A-8'!K176,'A-8'!K248))</f>
        <v>-</v>
      </c>
      <c r="L8" s="142">
        <f>IF(AND('A-8'!L104="-",'A-8'!L176="-",'A-8'!L248="-"),"-",SUM('A-8'!L104,'A-8'!L176,'A-8'!L248))</f>
        <v>112280</v>
      </c>
      <c r="M8" s="7"/>
      <c r="N8" s="142" t="s">
        <v>23</v>
      </c>
      <c r="O8" s="142" t="s">
        <v>23</v>
      </c>
      <c r="P8" s="142" t="s">
        <v>23</v>
      </c>
      <c r="Q8" s="142">
        <f>IF(AND('A-8'!N104="-",'A-8'!N176="-",'A-8'!N248="-"),"-",SUM('A-8'!N104,'A-8'!N176,'A-8'!N248))</f>
        <v>6453</v>
      </c>
      <c r="R8" s="142">
        <f>IF(AND('A-8'!O104="-",'A-8'!O176="-",'A-8'!O248="-"),"-",SUM('A-8'!O104,'A-8'!O176,'A-8'!O248))</f>
        <v>434609</v>
      </c>
      <c r="S8" s="142">
        <f>IF(AND('A-8'!P104="-",'A-8'!P176="-",'A-8'!P248="-"),"-",SUM('A-8'!P104,'A-8'!P176,'A-8'!P248))</f>
        <v>111127</v>
      </c>
      <c r="T8" s="142">
        <f>IF(AND('A-8'!Q104="-",'A-8'!Q176="-",'A-8'!Q248="-"),"-",SUM('A-8'!Q104,'A-8'!Q176,'A-8'!Q248))</f>
        <v>592</v>
      </c>
      <c r="U8" s="142" t="str">
        <f>IF(AND('A-8'!R104="-",'A-8'!R176="-",'A-8'!R248="-"),"-",SUM('A-8'!R104,'A-8'!R176,'A-8'!R248))</f>
        <v>-</v>
      </c>
      <c r="V8" s="142" t="s">
        <v>23</v>
      </c>
      <c r="W8" s="142" t="s">
        <v>23</v>
      </c>
      <c r="X8" s="142">
        <f t="shared" si="0"/>
        <v>552781</v>
      </c>
    </row>
    <row r="9" spans="1:26" ht="11.25" customHeight="1">
      <c r="A9" s="99">
        <v>1980</v>
      </c>
      <c r="B9" s="142" t="str">
        <f>IF(AND('A-8'!B105="-",'A-8'!B177="-",'A-8'!B249="-"),"-",SUM('A-8'!B105,'A-8'!B177,'A-8'!B249))</f>
        <v>-</v>
      </c>
      <c r="C9" s="142" t="str">
        <f>IF(AND('A-8'!C105="-",'A-8'!C177="-",'A-8'!C249="-"),"-",SUM('A-8'!C105,'A-8'!C177,'A-8'!C249))</f>
        <v>-</v>
      </c>
      <c r="D9" s="142">
        <f>IF(AND('A-8'!D105="-",'A-8'!D177="-",'A-8'!D249="-"),"-",SUM('A-8'!D105,'A-8'!D177,'A-8'!D249))</f>
        <v>12921</v>
      </c>
      <c r="E9" s="142">
        <f>IF(AND('A-8'!E105="-",'A-8'!E177="-",'A-8'!E249="-"),"-",SUM('A-8'!E105,'A-8'!E177,'A-8'!E249))</f>
        <v>25039</v>
      </c>
      <c r="F9" s="142">
        <f>IF(AND('A-8'!F105="-",'A-8'!F177="-",'A-8'!F249="-"),"-",SUM('A-8'!F105,'A-8'!F177,'A-8'!F249))</f>
        <v>36524</v>
      </c>
      <c r="G9" s="142">
        <f>IF(AND('A-8'!G105="-",'A-8'!G177="-",'A-8'!G249="-"),"-",SUM('A-8'!G105,'A-8'!G177,'A-8'!G249))</f>
        <v>34266</v>
      </c>
      <c r="H9" s="142">
        <f>IF(AND('A-8'!H105="-",'A-8'!H177="-",'A-8'!H249="-"),"-",SUM('A-8'!H105,'A-8'!H177,'A-8'!H249))</f>
        <v>10257</v>
      </c>
      <c r="I9" s="142">
        <f>IF(AND('A-8'!I105="-",'A-8'!I177="-",'A-8'!I249="-"),"-",SUM('A-8'!I105,'A-8'!I177,'A-8'!I249))</f>
        <v>12286</v>
      </c>
      <c r="J9" s="142">
        <f>IF(AND('A-8'!J105="-",'A-8'!J177="-",'A-8'!J249="-"),"-",SUM('A-8'!J105,'A-8'!J177,'A-8'!J249))</f>
        <v>1</v>
      </c>
      <c r="K9" s="142" t="str">
        <f>IF(AND('A-8'!K105="-",'A-8'!K177="-",'A-8'!K249="-"),"-",SUM('A-8'!K105,'A-8'!K177,'A-8'!K249))</f>
        <v>-</v>
      </c>
      <c r="L9" s="142">
        <f>IF(AND('A-8'!L105="-",'A-8'!L177="-",'A-8'!L249="-"),"-",SUM('A-8'!L105,'A-8'!L177,'A-8'!L249))</f>
        <v>131294</v>
      </c>
      <c r="M9" s="7"/>
      <c r="N9" s="142" t="s">
        <v>23</v>
      </c>
      <c r="O9" s="142" t="s">
        <v>23</v>
      </c>
      <c r="P9" s="142" t="s">
        <v>23</v>
      </c>
      <c r="Q9" s="142" t="str">
        <f>IF(AND('A-8'!N105="-",'A-8'!N177="-",'A-8'!N249="-"),"-",SUM('A-8'!N105,'A-8'!N177,'A-8'!N249))</f>
        <v>-</v>
      </c>
      <c r="R9" s="142">
        <f>IF(AND('A-8'!O105="-",'A-8'!O177="-",'A-8'!O249="-"),"-",SUM('A-8'!O105,'A-8'!O177,'A-8'!O249))</f>
        <v>86488</v>
      </c>
      <c r="S9" s="142">
        <f>IF(AND('A-8'!P105="-",'A-8'!P177="-",'A-8'!P249="-"),"-",SUM('A-8'!P105,'A-8'!P177,'A-8'!P249))</f>
        <v>23709</v>
      </c>
      <c r="T9" s="142">
        <f>IF(AND('A-8'!Q105="-",'A-8'!Q177="-",'A-8'!Q249="-"),"-",SUM('A-8'!Q105,'A-8'!Q177,'A-8'!Q249))</f>
        <v>8</v>
      </c>
      <c r="U9" s="142" t="str">
        <f>IF(AND('A-8'!R105="-",'A-8'!R177="-",'A-8'!R249="-"),"-",SUM('A-8'!R105,'A-8'!R177,'A-8'!R249))</f>
        <v>-</v>
      </c>
      <c r="V9" s="142" t="s">
        <v>23</v>
      </c>
      <c r="W9" s="142" t="s">
        <v>23</v>
      </c>
      <c r="X9" s="142">
        <f t="shared" si="0"/>
        <v>110205</v>
      </c>
    </row>
    <row r="10" spans="1:26" ht="11.25" customHeight="1">
      <c r="A10" s="99">
        <v>1981</v>
      </c>
      <c r="B10" s="142" t="str">
        <f>IF(AND('A-8'!B106="-",'A-8'!B178="-",'A-8'!B250="-"),"-",SUM('A-8'!B106,'A-8'!B178,'A-8'!B250))</f>
        <v>-</v>
      </c>
      <c r="C10" s="142" t="str">
        <f>IF(AND('A-8'!C106="-",'A-8'!C178="-",'A-8'!C250="-"),"-",SUM('A-8'!C106,'A-8'!C178,'A-8'!C250))</f>
        <v>-</v>
      </c>
      <c r="D10" s="142">
        <f>IF(AND('A-8'!D106="-",'A-8'!D178="-",'A-8'!D250="-"),"-",SUM('A-8'!D106,'A-8'!D178,'A-8'!D250))</f>
        <v>16390</v>
      </c>
      <c r="E10" s="142">
        <f>IF(AND('A-8'!E106="-",'A-8'!E178="-",'A-8'!E250="-"),"-",SUM('A-8'!E106,'A-8'!E178,'A-8'!E250))</f>
        <v>0</v>
      </c>
      <c r="F10" s="142">
        <f>IF(AND('A-8'!F106="-",'A-8'!F178="-",'A-8'!F250="-"),"-",SUM('A-8'!F106,'A-8'!F178,'A-8'!F250))</f>
        <v>23984</v>
      </c>
      <c r="G10" s="142">
        <f>IF(AND('A-8'!G106="-",'A-8'!G178="-",'A-8'!G250="-"),"-",SUM('A-8'!G106,'A-8'!G178,'A-8'!G250))</f>
        <v>20230</v>
      </c>
      <c r="H10" s="142">
        <f>IF(AND('A-8'!H106="-",'A-8'!H178="-",'A-8'!H250="-"),"-",SUM('A-8'!H106,'A-8'!H178,'A-8'!H250))</f>
        <v>1757</v>
      </c>
      <c r="I10" s="142">
        <f>IF(AND('A-8'!I106="-",'A-8'!I178="-",'A-8'!I250="-"),"-",SUM('A-8'!I106,'A-8'!I178,'A-8'!I250))</f>
        <v>1737</v>
      </c>
      <c r="J10" s="142">
        <f>IF(AND('A-8'!J106="-",'A-8'!J178="-",'A-8'!J250="-"),"-",SUM('A-8'!J106,'A-8'!J178,'A-8'!J250))</f>
        <v>4</v>
      </c>
      <c r="K10" s="142" t="str">
        <f>IF(AND('A-8'!K106="-",'A-8'!K178="-",'A-8'!K250="-"),"-",SUM('A-8'!K106,'A-8'!K178,'A-8'!K250))</f>
        <v>-</v>
      </c>
      <c r="L10" s="142">
        <f>IF(AND('A-8'!L106="-",'A-8'!L178="-",'A-8'!L250="-"),"-",SUM('A-8'!L106,'A-8'!L178,'A-8'!L250))</f>
        <v>64102</v>
      </c>
      <c r="M10" s="7"/>
      <c r="N10" s="142" t="s">
        <v>23</v>
      </c>
      <c r="O10" s="142" t="s">
        <v>23</v>
      </c>
      <c r="P10" s="142" t="s">
        <v>23</v>
      </c>
      <c r="Q10" s="142" t="str">
        <f>IF(AND('A-8'!N106="-",'A-8'!N178="-",'A-8'!N250="-"),"-",SUM('A-8'!N106,'A-8'!N178,'A-8'!N250))</f>
        <v>-</v>
      </c>
      <c r="R10" s="142">
        <f>IF(AND('A-8'!O106="-",'A-8'!O178="-",'A-8'!O250="-"),"-",SUM('A-8'!O106,'A-8'!O178,'A-8'!O250))</f>
        <v>287885</v>
      </c>
      <c r="S10" s="142">
        <f>IF(AND('A-8'!P106="-",'A-8'!P178="-",'A-8'!P250="-"),"-",SUM('A-8'!P106,'A-8'!P178,'A-8'!P250))</f>
        <v>223202</v>
      </c>
      <c r="T10" s="142" t="str">
        <f>IF(AND('A-8'!Q106="-",'A-8'!Q178="-",'A-8'!Q250="-"),"-",SUM('A-8'!Q106,'A-8'!Q178,'A-8'!Q250))</f>
        <v>-</v>
      </c>
      <c r="U10" s="142" t="str">
        <f>IF(AND('A-8'!R106="-",'A-8'!R178="-",'A-8'!R250="-"),"-",SUM('A-8'!R106,'A-8'!R178,'A-8'!R250))</f>
        <v>-</v>
      </c>
      <c r="V10" s="142" t="s">
        <v>23</v>
      </c>
      <c r="W10" s="142" t="s">
        <v>23</v>
      </c>
      <c r="X10" s="142">
        <f t="shared" si="0"/>
        <v>511087</v>
      </c>
    </row>
    <row r="11" spans="1:26" ht="11.25" customHeight="1">
      <c r="A11" s="99">
        <v>1982</v>
      </c>
      <c r="B11" s="142" t="str">
        <f>IF(AND('A-8'!B107="-",'A-8'!B179="-",'A-8'!B251="-"),"-",SUM('A-8'!B107,'A-8'!B179,'A-8'!B251))</f>
        <v>-</v>
      </c>
      <c r="C11" s="142" t="str">
        <f>IF(AND('A-8'!C107="-",'A-8'!C179="-",'A-8'!C251="-"),"-",SUM('A-8'!C107,'A-8'!C179,'A-8'!C251))</f>
        <v>-</v>
      </c>
      <c r="D11" s="142">
        <f>IF(AND('A-8'!D107="-",'A-8'!D179="-",'A-8'!D251="-"),"-",SUM('A-8'!D107,'A-8'!D179,'A-8'!D251))</f>
        <v>12343</v>
      </c>
      <c r="E11" s="142">
        <f>IF(AND('A-8'!E107="-",'A-8'!E179="-",'A-8'!E251="-"),"-",SUM('A-8'!E107,'A-8'!E179,'A-8'!E251))</f>
        <v>11712</v>
      </c>
      <c r="F11" s="142">
        <f>IF(AND('A-8'!F107="-",'A-8'!F179="-",'A-8'!F251="-"),"-",SUM('A-8'!F107,'A-8'!F179,'A-8'!F251))</f>
        <v>90422</v>
      </c>
      <c r="G11" s="142">
        <f>IF(AND('A-8'!G107="-",'A-8'!G179="-",'A-8'!G251="-"),"-",SUM('A-8'!G107,'A-8'!G179,'A-8'!G251))</f>
        <v>16164</v>
      </c>
      <c r="H11" s="142">
        <f>IF(AND('A-8'!H107="-",'A-8'!H179="-",'A-8'!H251="-"),"-",SUM('A-8'!H107,'A-8'!H179,'A-8'!H251))</f>
        <v>9700</v>
      </c>
      <c r="I11" s="142">
        <f>IF(AND('A-8'!I107="-",'A-8'!I179="-",'A-8'!I251="-"),"-",SUM('A-8'!I107,'A-8'!I179,'A-8'!I251))</f>
        <v>4792</v>
      </c>
      <c r="J11" s="142">
        <f>IF(AND('A-8'!J107="-",'A-8'!J179="-",'A-8'!J251="-"),"-",SUM('A-8'!J107,'A-8'!J179,'A-8'!J251))</f>
        <v>15</v>
      </c>
      <c r="K11" s="142" t="str">
        <f>IF(AND('A-8'!K107="-",'A-8'!K179="-",'A-8'!K251="-"),"-",SUM('A-8'!K107,'A-8'!K179,'A-8'!K251))</f>
        <v>-</v>
      </c>
      <c r="L11" s="142">
        <f>IF(AND('A-8'!L107="-",'A-8'!L179="-",'A-8'!L251="-"),"-",SUM('A-8'!L107,'A-8'!L179,'A-8'!L251))</f>
        <v>145148</v>
      </c>
      <c r="M11" s="7"/>
      <c r="N11" s="142" t="s">
        <v>23</v>
      </c>
      <c r="O11" s="142" t="s">
        <v>23</v>
      </c>
      <c r="P11" s="142" t="s">
        <v>23</v>
      </c>
      <c r="Q11" s="142" t="str">
        <f>IF(AND('A-8'!N107="-",'A-8'!N179="-",'A-8'!N251="-"),"-",SUM('A-8'!N107,'A-8'!N179,'A-8'!N251))</f>
        <v>-</v>
      </c>
      <c r="R11" s="142">
        <f>IF(AND('A-8'!O107="-",'A-8'!O179="-",'A-8'!O251="-"),"-",SUM('A-8'!O107,'A-8'!O179,'A-8'!O251))</f>
        <v>458778</v>
      </c>
      <c r="S11" s="142" t="str">
        <f>IF(AND('A-8'!P107="-",'A-8'!P179="-",'A-8'!P251="-"),"-",SUM('A-8'!P107,'A-8'!P179,'A-8'!P251))</f>
        <v>-</v>
      </c>
      <c r="T11" s="142" t="str">
        <f>IF(AND('A-8'!Q107="-",'A-8'!Q179="-",'A-8'!Q251="-"),"-",SUM('A-8'!Q107,'A-8'!Q179,'A-8'!Q251))</f>
        <v>-</v>
      </c>
      <c r="U11" s="142" t="str">
        <f>IF(AND('A-8'!R107="-",'A-8'!R179="-",'A-8'!R251="-"),"-",SUM('A-8'!R107,'A-8'!R179,'A-8'!R251))</f>
        <v>-</v>
      </c>
      <c r="V11" s="142" t="s">
        <v>23</v>
      </c>
      <c r="W11" s="142" t="s">
        <v>23</v>
      </c>
      <c r="X11" s="142">
        <f t="shared" si="0"/>
        <v>458778</v>
      </c>
    </row>
    <row r="12" spans="1:26" ht="11.25" customHeight="1">
      <c r="A12" s="99">
        <v>1983</v>
      </c>
      <c r="B12" s="142" t="str">
        <f>IF(AND('A-8'!B108="-",'A-8'!B180="-",'A-8'!B252="-"),"-",SUM('A-8'!B108,'A-8'!B180,'A-8'!B252))</f>
        <v>-</v>
      </c>
      <c r="C12" s="142" t="str">
        <f>IF(AND('A-8'!C108="-",'A-8'!C180="-",'A-8'!C252="-"),"-",SUM('A-8'!C108,'A-8'!C180,'A-8'!C252))</f>
        <v>-</v>
      </c>
      <c r="D12" s="142">
        <f>IF(AND('A-8'!D108="-",'A-8'!D180="-",'A-8'!D252="-"),"-",SUM('A-8'!D108,'A-8'!D180,'A-8'!D252))</f>
        <v>3863</v>
      </c>
      <c r="E12" s="142">
        <f>IF(AND('A-8'!E108="-",'A-8'!E180="-",'A-8'!E252="-"),"-",SUM('A-8'!E108,'A-8'!E180,'A-8'!E252))</f>
        <v>5223</v>
      </c>
      <c r="F12" s="142">
        <f>IF(AND('A-8'!F108="-",'A-8'!F180="-",'A-8'!F252="-"),"-",SUM('A-8'!F108,'A-8'!F180,'A-8'!F252))</f>
        <v>24843</v>
      </c>
      <c r="G12" s="142">
        <f>IF(AND('A-8'!G108="-",'A-8'!G180="-",'A-8'!G252="-"),"-",SUM('A-8'!G108,'A-8'!G180,'A-8'!G252))</f>
        <v>8382</v>
      </c>
      <c r="H12" s="142">
        <f>IF(AND('A-8'!H108="-",'A-8'!H180="-",'A-8'!H252="-"),"-",SUM('A-8'!H108,'A-8'!H180,'A-8'!H252))</f>
        <v>2169</v>
      </c>
      <c r="I12" s="142">
        <f>IF(AND('A-8'!I108="-",'A-8'!I180="-",'A-8'!I252="-"),"-",SUM('A-8'!I108,'A-8'!I180,'A-8'!I252))</f>
        <v>2923</v>
      </c>
      <c r="J12" s="142">
        <f>IF(AND('A-8'!J108="-",'A-8'!J180="-",'A-8'!J252="-"),"-",SUM('A-8'!J108,'A-8'!J180,'A-8'!J252))</f>
        <v>116</v>
      </c>
      <c r="K12" s="142" t="str">
        <f>IF(AND('A-8'!K108="-",'A-8'!K180="-",'A-8'!K252="-"),"-",SUM('A-8'!K108,'A-8'!K180,'A-8'!K252))</f>
        <v>-</v>
      </c>
      <c r="L12" s="142">
        <f>IF(AND('A-8'!L108="-",'A-8'!L180="-",'A-8'!L252="-"),"-",SUM('A-8'!L108,'A-8'!L180,'A-8'!L252))</f>
        <v>47519</v>
      </c>
      <c r="M12" s="7"/>
      <c r="N12" s="142" t="s">
        <v>23</v>
      </c>
      <c r="O12" s="142" t="s">
        <v>23</v>
      </c>
      <c r="P12" s="142" t="s">
        <v>23</v>
      </c>
      <c r="Q12" s="142" t="str">
        <f>IF(AND('A-8'!N108="-",'A-8'!N180="-",'A-8'!N252="-"),"-",SUM('A-8'!N108,'A-8'!N180,'A-8'!N252))</f>
        <v>-</v>
      </c>
      <c r="R12" s="142">
        <f>IF(AND('A-8'!O108="-",'A-8'!O180="-",'A-8'!O252="-"),"-",SUM('A-8'!O108,'A-8'!O180,'A-8'!O252))</f>
        <v>250985</v>
      </c>
      <c r="S12" s="142">
        <f>IF(AND('A-8'!P108="-",'A-8'!P180="-",'A-8'!P252="-"),"-",SUM('A-8'!P108,'A-8'!P180,'A-8'!P252))</f>
        <v>32531</v>
      </c>
      <c r="T12" s="142">
        <f>IF(AND('A-8'!Q108="-",'A-8'!Q180="-",'A-8'!Q252="-"),"-",SUM('A-8'!Q108,'A-8'!Q180,'A-8'!Q252))</f>
        <v>5803</v>
      </c>
      <c r="U12" s="142" t="str">
        <f>IF(AND('A-8'!R108="-",'A-8'!R180="-",'A-8'!R252="-"),"-",SUM('A-8'!R108,'A-8'!R180,'A-8'!R252))</f>
        <v>-</v>
      </c>
      <c r="V12" s="142" t="s">
        <v>23</v>
      </c>
      <c r="W12" s="142" t="s">
        <v>23</v>
      </c>
      <c r="X12" s="142">
        <f t="shared" si="0"/>
        <v>289319</v>
      </c>
    </row>
    <row r="13" spans="1:26" ht="11.25" customHeight="1">
      <c r="A13" s="99">
        <v>1984</v>
      </c>
      <c r="B13" s="142" t="str">
        <f>IF(AND('A-8'!B109="-",'A-8'!B181="-",'A-8'!B253="-"),"-",SUM('A-8'!B109,'A-8'!B181,'A-8'!B253))</f>
        <v>-</v>
      </c>
      <c r="C13" s="142" t="str">
        <f>IF(AND('A-8'!C109="-",'A-8'!C181="-",'A-8'!C253="-"),"-",SUM('A-8'!C109,'A-8'!C181,'A-8'!C253))</f>
        <v>-</v>
      </c>
      <c r="D13" s="142">
        <f>IF(AND('A-8'!D109="-",'A-8'!D181="-",'A-8'!D253="-"),"-",SUM('A-8'!D109,'A-8'!D181,'A-8'!D253))</f>
        <v>595</v>
      </c>
      <c r="E13" s="142">
        <f>IF(AND('A-8'!E109="-",'A-8'!E181="-",'A-8'!E253="-"),"-",SUM('A-8'!E109,'A-8'!E181,'A-8'!E253))</f>
        <v>2410</v>
      </c>
      <c r="F13" s="142">
        <f>IF(AND('A-8'!F109="-",'A-8'!F181="-",'A-8'!F253="-"),"-",SUM('A-8'!F109,'A-8'!F181,'A-8'!F253))</f>
        <v>14310</v>
      </c>
      <c r="G13" s="142">
        <f>IF(AND('A-8'!G109="-",'A-8'!G181="-",'A-8'!G253="-"),"-",SUM('A-8'!G109,'A-8'!G181,'A-8'!G253))</f>
        <v>17940</v>
      </c>
      <c r="H13" s="142">
        <f>IF(AND('A-8'!H109="-",'A-8'!H181="-",'A-8'!H253="-"),"-",SUM('A-8'!H109,'A-8'!H181,'A-8'!H253))</f>
        <v>733</v>
      </c>
      <c r="I13" s="142">
        <f>IF(AND('A-8'!I109="-",'A-8'!I181="-",'A-8'!I253="-"),"-",SUM('A-8'!I109,'A-8'!I181,'A-8'!I253))</f>
        <v>85</v>
      </c>
      <c r="J13" s="142">
        <f>IF(AND('A-8'!J109="-",'A-8'!J181="-",'A-8'!J253="-"),"-",SUM('A-8'!J109,'A-8'!J181,'A-8'!J253))</f>
        <v>11</v>
      </c>
      <c r="K13" s="142" t="str">
        <f>IF(AND('A-8'!K109="-",'A-8'!K181="-",'A-8'!K253="-"),"-",SUM('A-8'!K109,'A-8'!K181,'A-8'!K253))</f>
        <v>-</v>
      </c>
      <c r="L13" s="142">
        <f>IF(AND('A-8'!L109="-",'A-8'!L181="-",'A-8'!L253="-"),"-",SUM('A-8'!L109,'A-8'!L181,'A-8'!L253))</f>
        <v>36084</v>
      </c>
      <c r="M13" s="7"/>
      <c r="N13" s="142" t="s">
        <v>23</v>
      </c>
      <c r="O13" s="142" t="s">
        <v>23</v>
      </c>
      <c r="P13" s="142" t="s">
        <v>23</v>
      </c>
      <c r="Q13" s="142" t="str">
        <f>IF(AND('A-8'!N109="-",'A-8'!N181="-",'A-8'!N253="-"),"-",SUM('A-8'!N109,'A-8'!N181,'A-8'!N253))</f>
        <v>-</v>
      </c>
      <c r="R13" s="142" t="str">
        <f>IF(AND('A-8'!O109="-",'A-8'!O181="-",'A-8'!O253="-"),"-",SUM('A-8'!O109,'A-8'!O181,'A-8'!O253))</f>
        <v>-</v>
      </c>
      <c r="S13" s="142" t="str">
        <f>IF(AND('A-8'!P109="-",'A-8'!P181="-",'A-8'!P253="-"),"-",SUM('A-8'!P109,'A-8'!P181,'A-8'!P253))</f>
        <v>-</v>
      </c>
      <c r="T13" s="142" t="str">
        <f>IF(AND('A-8'!Q109="-",'A-8'!Q181="-",'A-8'!Q253="-"),"-",SUM('A-8'!Q109,'A-8'!Q181,'A-8'!Q253))</f>
        <v>-</v>
      </c>
      <c r="U13" s="142" t="str">
        <f>IF(AND('A-8'!R109="-",'A-8'!R181="-",'A-8'!R253="-"),"-",SUM('A-8'!R109,'A-8'!R181,'A-8'!R253))</f>
        <v>-</v>
      </c>
      <c r="V13" s="142" t="s">
        <v>23</v>
      </c>
      <c r="W13" s="142" t="s">
        <v>23</v>
      </c>
      <c r="X13" s="142" t="s">
        <v>23</v>
      </c>
    </row>
    <row r="14" spans="1:26" ht="11.25" customHeight="1">
      <c r="A14" s="99">
        <v>1985</v>
      </c>
      <c r="B14" s="142" t="str">
        <f>IF(AND('A-8'!B110="-",'A-8'!B182="-",'A-8'!B254="-"),"-",SUM('A-8'!B110,'A-8'!B182,'A-8'!B254))</f>
        <v>-</v>
      </c>
      <c r="C14" s="142" t="str">
        <f>IF(AND('A-8'!C110="-",'A-8'!C182="-",'A-8'!C254="-"),"-",SUM('A-8'!C110,'A-8'!C182,'A-8'!C254))</f>
        <v>-</v>
      </c>
      <c r="D14" s="142">
        <f>IF(AND('A-8'!D110="-",'A-8'!D182="-",'A-8'!D254="-"),"-",SUM('A-8'!D110,'A-8'!D182,'A-8'!D254))</f>
        <v>33575</v>
      </c>
      <c r="E14" s="142">
        <f>IF(AND('A-8'!E110="-",'A-8'!E182="-",'A-8'!E254="-"),"-",SUM('A-8'!E110,'A-8'!E182,'A-8'!E254))</f>
        <v>14852</v>
      </c>
      <c r="F14" s="142">
        <f>IF(AND('A-8'!F110="-",'A-8'!F182="-",'A-8'!F254="-"),"-",SUM('A-8'!F110,'A-8'!F182,'A-8'!F254))</f>
        <v>66382</v>
      </c>
      <c r="G14" s="142">
        <f>IF(AND('A-8'!G110="-",'A-8'!G182="-",'A-8'!G254="-"),"-",SUM('A-8'!G110,'A-8'!G182,'A-8'!G254))</f>
        <v>55505</v>
      </c>
      <c r="H14" s="142">
        <f>IF(AND('A-8'!H110="-",'A-8'!H182="-",'A-8'!H254="-"),"-",SUM('A-8'!H110,'A-8'!H182,'A-8'!H254))</f>
        <v>18939</v>
      </c>
      <c r="I14" s="142">
        <f>IF(AND('A-8'!I110="-",'A-8'!I182="-",'A-8'!I254="-"),"-",SUM('A-8'!I110,'A-8'!I182,'A-8'!I254))</f>
        <v>4484</v>
      </c>
      <c r="J14" s="142">
        <f>IF(AND('A-8'!J110="-",'A-8'!J182="-",'A-8'!J254="-"),"-",SUM('A-8'!J110,'A-8'!J182,'A-8'!J254))</f>
        <v>33</v>
      </c>
      <c r="K14" s="142" t="str">
        <f>IF(AND('A-8'!K110="-",'A-8'!K182="-",'A-8'!K254="-"),"-",SUM('A-8'!K110,'A-8'!K182,'A-8'!K254))</f>
        <v>-</v>
      </c>
      <c r="L14" s="142">
        <f>IF(AND('A-8'!L110="-",'A-8'!L182="-",'A-8'!L254="-"),"-",SUM('A-8'!L110,'A-8'!L182,'A-8'!L254))</f>
        <v>193770</v>
      </c>
      <c r="M14" s="7"/>
      <c r="N14" s="142" t="s">
        <v>23</v>
      </c>
      <c r="O14" s="142" t="s">
        <v>23</v>
      </c>
      <c r="P14" s="142" t="s">
        <v>23</v>
      </c>
      <c r="Q14" s="142" t="str">
        <f>IF(AND('A-8'!N110="-",'A-8'!N182="-",'A-8'!N254="-"),"-",SUM('A-8'!N110,'A-8'!N182,'A-8'!N254))</f>
        <v>-</v>
      </c>
      <c r="R14" s="142">
        <f>IF(AND('A-8'!O110="-",'A-8'!O182="-",'A-8'!O254="-"),"-",SUM('A-8'!O110,'A-8'!O182,'A-8'!O254))</f>
        <v>42859</v>
      </c>
      <c r="S14" s="142">
        <f>IF(AND('A-8'!P110="-",'A-8'!P182="-",'A-8'!P254="-"),"-",SUM('A-8'!P110,'A-8'!P182,'A-8'!P254))</f>
        <v>15</v>
      </c>
      <c r="T14" s="142" t="str">
        <f>IF(AND('A-8'!Q110="-",'A-8'!Q182="-",'A-8'!Q254="-"),"-",SUM('A-8'!Q110,'A-8'!Q182,'A-8'!Q254))</f>
        <v>-</v>
      </c>
      <c r="U14" s="142" t="str">
        <f>IF(AND('A-8'!R110="-",'A-8'!R182="-",'A-8'!R254="-"),"-",SUM('A-8'!R110,'A-8'!R182,'A-8'!R254))</f>
        <v>-</v>
      </c>
      <c r="V14" s="142" t="s">
        <v>23</v>
      </c>
      <c r="W14" s="142" t="s">
        <v>23</v>
      </c>
      <c r="X14" s="142">
        <f t="shared" si="0"/>
        <v>42874</v>
      </c>
    </row>
    <row r="15" spans="1:26" ht="11.25" customHeight="1">
      <c r="A15" s="99">
        <v>1986</v>
      </c>
      <c r="B15" s="142" t="str">
        <f>IF(AND('A-8'!B111="-",'A-8'!B183="-",'A-8'!B255="-"),"-",SUM('A-8'!B111,'A-8'!B183,'A-8'!B255))</f>
        <v>-</v>
      </c>
      <c r="C15" s="142" t="str">
        <f>IF(AND('A-8'!C111="-",'A-8'!C183="-",'A-8'!C255="-"),"-",SUM('A-8'!C111,'A-8'!C183,'A-8'!C255))</f>
        <v>-</v>
      </c>
      <c r="D15" s="142">
        <f>IF(AND('A-8'!D111="-",'A-8'!D183="-",'A-8'!D255="-"),"-",SUM('A-8'!D111,'A-8'!D183,'A-8'!D255))</f>
        <v>28677</v>
      </c>
      <c r="E15" s="142">
        <f>IF(AND('A-8'!E111="-",'A-8'!E183="-",'A-8'!E255="-"),"-",SUM('A-8'!E111,'A-8'!E183,'A-8'!E255))</f>
        <v>33317</v>
      </c>
      <c r="F15" s="142">
        <f>IF(AND('A-8'!F111="-",'A-8'!F183="-",'A-8'!F255="-"),"-",SUM('A-8'!F111,'A-8'!F183,'A-8'!F255))</f>
        <v>128552</v>
      </c>
      <c r="G15" s="142">
        <f>IF(AND('A-8'!G111="-",'A-8'!G183="-",'A-8'!G255="-"),"-",SUM('A-8'!G111,'A-8'!G183,'A-8'!G255))</f>
        <v>91903</v>
      </c>
      <c r="H15" s="142">
        <f>IF(AND('A-8'!H111="-",'A-8'!H183="-",'A-8'!H255="-"),"-",SUM('A-8'!H111,'A-8'!H183,'A-8'!H255))</f>
        <v>33955</v>
      </c>
      <c r="I15" s="142">
        <f>IF(AND('A-8'!I111="-",'A-8'!I183="-",'A-8'!I255="-"),"-",SUM('A-8'!I111,'A-8'!I183,'A-8'!I255))</f>
        <v>25677</v>
      </c>
      <c r="J15" s="142">
        <f>IF(AND('A-8'!J111="-",'A-8'!J183="-",'A-8'!J255="-"),"-",SUM('A-8'!J111,'A-8'!J183,'A-8'!J255))</f>
        <v>11</v>
      </c>
      <c r="K15" s="142" t="str">
        <f>IF(AND('A-8'!K111="-",'A-8'!K183="-",'A-8'!K255="-"),"-",SUM('A-8'!K111,'A-8'!K183,'A-8'!K255))</f>
        <v>-</v>
      </c>
      <c r="L15" s="142">
        <f>IF(AND('A-8'!L111="-",'A-8'!L183="-",'A-8'!L255="-"),"-",SUM('A-8'!L111,'A-8'!L183,'A-8'!L255))</f>
        <v>342092</v>
      </c>
      <c r="M15" s="7"/>
      <c r="N15" s="142" t="s">
        <v>23</v>
      </c>
      <c r="O15" s="142" t="s">
        <v>23</v>
      </c>
      <c r="P15" s="142" t="s">
        <v>23</v>
      </c>
      <c r="Q15" s="142">
        <f>IF(AND('A-8'!N111="-",'A-8'!N183="-",'A-8'!N255="-"),"-",SUM('A-8'!N111,'A-8'!N183,'A-8'!N255))</f>
        <v>0</v>
      </c>
      <c r="R15" s="142">
        <f>IF(AND('A-8'!O111="-",'A-8'!O183="-",'A-8'!O255="-"),"-",SUM('A-8'!O111,'A-8'!O183,'A-8'!O255))</f>
        <v>375236</v>
      </c>
      <c r="S15" s="142" t="str">
        <f>IF(AND('A-8'!P111="-",'A-8'!P183="-",'A-8'!P255="-"),"-",SUM('A-8'!P111,'A-8'!P183,'A-8'!P255))</f>
        <v>-</v>
      </c>
      <c r="T15" s="142" t="str">
        <f>IF(AND('A-8'!Q111="-",'A-8'!Q183="-",'A-8'!Q255="-"),"-",SUM('A-8'!Q111,'A-8'!Q183,'A-8'!Q255))</f>
        <v>-</v>
      </c>
      <c r="U15" s="142" t="str">
        <f>IF(AND('A-8'!R111="-",'A-8'!R183="-",'A-8'!R255="-"),"-",SUM('A-8'!R111,'A-8'!R183,'A-8'!R255))</f>
        <v>-</v>
      </c>
      <c r="V15" s="142" t="s">
        <v>23</v>
      </c>
      <c r="W15" s="142" t="s">
        <v>23</v>
      </c>
      <c r="X15" s="142">
        <f t="shared" si="0"/>
        <v>375236</v>
      </c>
    </row>
    <row r="16" spans="1:26" ht="11.25" customHeight="1">
      <c r="A16" s="99">
        <v>1987</v>
      </c>
      <c r="B16" s="142" t="str">
        <f>IF(AND('A-8'!B112="-",'A-8'!B184="-",'A-8'!B256="-"),"-",SUM('A-8'!B112,'A-8'!B184,'A-8'!B256))</f>
        <v>-</v>
      </c>
      <c r="C16" s="142" t="str">
        <f>IF(AND('A-8'!C112="-",'A-8'!C184="-",'A-8'!C256="-"),"-",SUM('A-8'!C112,'A-8'!C184,'A-8'!C256))</f>
        <v>-</v>
      </c>
      <c r="D16" s="142">
        <f>IF(AND('A-8'!D112="-",'A-8'!D184="-",'A-8'!D256="-"),"-",SUM('A-8'!D112,'A-8'!D184,'A-8'!D256))</f>
        <v>30081</v>
      </c>
      <c r="E16" s="142">
        <f>IF(AND('A-8'!E112="-",'A-8'!E184="-",'A-8'!E256="-"),"-",SUM('A-8'!E112,'A-8'!E184,'A-8'!E256))</f>
        <v>20551</v>
      </c>
      <c r="F16" s="142">
        <f>IF(AND('A-8'!F112="-",'A-8'!F184="-",'A-8'!F256="-"),"-",SUM('A-8'!F112,'A-8'!F184,'A-8'!F256))</f>
        <v>268821</v>
      </c>
      <c r="G16" s="142">
        <f>IF(AND('A-8'!G112="-",'A-8'!G184="-",'A-8'!G256="-"),"-",SUM('A-8'!G112,'A-8'!G184,'A-8'!G256))</f>
        <v>82750</v>
      </c>
      <c r="H16" s="142">
        <f>IF(AND('A-8'!H112="-",'A-8'!H184="-",'A-8'!H256="-"),"-",SUM('A-8'!H112,'A-8'!H184,'A-8'!H256))</f>
        <v>61039</v>
      </c>
      <c r="I16" s="142">
        <f>IF(AND('A-8'!I112="-",'A-8'!I184="-",'A-8'!I256="-"),"-",SUM('A-8'!I112,'A-8'!I184,'A-8'!I256))</f>
        <v>16185</v>
      </c>
      <c r="J16" s="142" t="str">
        <f>IF(AND('A-8'!J112="-",'A-8'!J184="-",'A-8'!J256="-"),"-",SUM('A-8'!J112,'A-8'!J184,'A-8'!J256))</f>
        <v>-</v>
      </c>
      <c r="K16" s="142" t="str">
        <f>IF(AND('A-8'!K112="-",'A-8'!K184="-",'A-8'!K256="-"),"-",SUM('A-8'!K112,'A-8'!K184,'A-8'!K256))</f>
        <v>-</v>
      </c>
      <c r="L16" s="142">
        <f>IF(AND('A-8'!L112="-",'A-8'!L184="-",'A-8'!L256="-"),"-",SUM('A-8'!L112,'A-8'!L184,'A-8'!L256))</f>
        <v>479427</v>
      </c>
      <c r="M16" s="7"/>
      <c r="N16" s="142" t="s">
        <v>23</v>
      </c>
      <c r="O16" s="142" t="s">
        <v>23</v>
      </c>
      <c r="P16" s="142" t="s">
        <v>23</v>
      </c>
      <c r="Q16" s="142">
        <f>IF(AND('A-8'!N112="-",'A-8'!N184="-",'A-8'!N256="-"),"-",SUM('A-8'!N112,'A-8'!N184,'A-8'!N256))</f>
        <v>22</v>
      </c>
      <c r="R16" s="142">
        <f>IF(AND('A-8'!O112="-",'A-8'!O184="-",'A-8'!O256="-"),"-",SUM('A-8'!O112,'A-8'!O184,'A-8'!O256))</f>
        <v>255215</v>
      </c>
      <c r="S16" s="142">
        <f>IF(AND('A-8'!P112="-",'A-8'!P184="-",'A-8'!P256="-"),"-",SUM('A-8'!P112,'A-8'!P184,'A-8'!P256))</f>
        <v>58754</v>
      </c>
      <c r="T16" s="142">
        <f>IF(AND('A-8'!Q112="-",'A-8'!Q184="-",'A-8'!Q256="-"),"-",SUM('A-8'!Q112,'A-8'!Q184,'A-8'!Q256))</f>
        <v>20776</v>
      </c>
      <c r="U16" s="142" t="str">
        <f>IF(AND('A-8'!R112="-",'A-8'!R184="-",'A-8'!R256="-"),"-",SUM('A-8'!R112,'A-8'!R184,'A-8'!R256))</f>
        <v>-</v>
      </c>
      <c r="V16" s="142" t="s">
        <v>23</v>
      </c>
      <c r="W16" s="142" t="s">
        <v>23</v>
      </c>
      <c r="X16" s="142">
        <f t="shared" si="0"/>
        <v>334767</v>
      </c>
    </row>
    <row r="17" spans="1:26" ht="11.25" customHeight="1">
      <c r="A17" s="99">
        <v>1988</v>
      </c>
      <c r="B17" s="142" t="str">
        <f>IF(AND('A-8'!B113="-",'A-8'!B185="-",'A-8'!B257="-"),"-",SUM('A-8'!B113,'A-8'!B185,'A-8'!B257))</f>
        <v>-</v>
      </c>
      <c r="C17" s="142" t="str">
        <f>IF(AND('A-8'!C113="-",'A-8'!C185="-",'A-8'!C257="-"),"-",SUM('A-8'!C113,'A-8'!C185,'A-8'!C257))</f>
        <v>-</v>
      </c>
      <c r="D17" s="142">
        <f>IF(AND('A-8'!D113="-",'A-8'!D185="-",'A-8'!D257="-"),"-",SUM('A-8'!D113,'A-8'!D185,'A-8'!D257))</f>
        <v>48735</v>
      </c>
      <c r="E17" s="142">
        <f>IF(AND('A-8'!E113="-",'A-8'!E185="-",'A-8'!E257="-"),"-",SUM('A-8'!E113,'A-8'!E185,'A-8'!E257))</f>
        <v>68179</v>
      </c>
      <c r="F17" s="142">
        <f>IF(AND('A-8'!F113="-",'A-8'!F185="-",'A-8'!F257="-"),"-",SUM('A-8'!F113,'A-8'!F185,'A-8'!F257))</f>
        <v>110298</v>
      </c>
      <c r="G17" s="142">
        <f>IF(AND('A-8'!G113="-",'A-8'!G185="-",'A-8'!G257="-"),"-",SUM('A-8'!G113,'A-8'!G185,'A-8'!G257))</f>
        <v>128960</v>
      </c>
      <c r="H17" s="142">
        <f>IF(AND('A-8'!H113="-",'A-8'!H185="-",'A-8'!H257="-"),"-",SUM('A-8'!H113,'A-8'!H185,'A-8'!H257))</f>
        <v>31559</v>
      </c>
      <c r="I17" s="142">
        <f>IF(AND('A-8'!I113="-",'A-8'!I185="-",'A-8'!I257="-"),"-",SUM('A-8'!I113,'A-8'!I185,'A-8'!I257))</f>
        <v>42652</v>
      </c>
      <c r="J17" s="142" t="str">
        <f>IF(AND('A-8'!J113="-",'A-8'!J185="-",'A-8'!J257="-"),"-",SUM('A-8'!J113,'A-8'!J185,'A-8'!J257))</f>
        <v>-</v>
      </c>
      <c r="K17" s="142" t="str">
        <f>IF(AND('A-8'!K113="-",'A-8'!K185="-",'A-8'!K257="-"),"-",SUM('A-8'!K113,'A-8'!K185,'A-8'!K257))</f>
        <v>-</v>
      </c>
      <c r="L17" s="142">
        <f>IF(AND('A-8'!L113="-",'A-8'!L185="-",'A-8'!L257="-"),"-",SUM('A-8'!L113,'A-8'!L185,'A-8'!L257))</f>
        <v>430383</v>
      </c>
      <c r="M17" s="7"/>
      <c r="N17" s="142" t="s">
        <v>23</v>
      </c>
      <c r="O17" s="142" t="s">
        <v>23</v>
      </c>
      <c r="P17" s="142" t="s">
        <v>23</v>
      </c>
      <c r="Q17" s="142" t="str">
        <f>IF(AND('A-8'!N113="-",'A-8'!N185="-",'A-8'!N257="-"),"-",SUM('A-8'!N113,'A-8'!N185,'A-8'!N257))</f>
        <v>-</v>
      </c>
      <c r="R17" s="142">
        <f>IF(AND('A-8'!O113="-",'A-8'!O185="-",'A-8'!O257="-"),"-",SUM('A-8'!O113,'A-8'!O185,'A-8'!O257))</f>
        <v>387467</v>
      </c>
      <c r="S17" s="142">
        <f>IF(AND('A-8'!P113="-",'A-8'!P185="-",'A-8'!P257="-"),"-",SUM('A-8'!P113,'A-8'!P185,'A-8'!P257))</f>
        <v>233688</v>
      </c>
      <c r="T17" s="142" t="str">
        <f>IF(AND('A-8'!Q113="-",'A-8'!Q185="-",'A-8'!Q257="-"),"-",SUM('A-8'!Q113,'A-8'!Q185,'A-8'!Q257))</f>
        <v>-</v>
      </c>
      <c r="U17" s="142" t="str">
        <f>IF(AND('A-8'!R113="-",'A-8'!R185="-",'A-8'!R257="-"),"-",SUM('A-8'!R113,'A-8'!R185,'A-8'!R257))</f>
        <v>-</v>
      </c>
      <c r="V17" s="142" t="s">
        <v>23</v>
      </c>
      <c r="W17" s="142" t="s">
        <v>23</v>
      </c>
      <c r="X17" s="142">
        <f t="shared" si="0"/>
        <v>621155</v>
      </c>
    </row>
    <row r="18" spans="1:26" ht="11.25" customHeight="1">
      <c r="A18" s="99">
        <v>1989</v>
      </c>
      <c r="B18" s="142" t="str">
        <f>IF(AND('A-8'!B114="-",'A-8'!B186="-",'A-8'!B258="-"),"-",SUM('A-8'!B114,'A-8'!B186,'A-8'!B258))</f>
        <v>-</v>
      </c>
      <c r="C18" s="142" t="str">
        <f>IF(AND('A-8'!C114="-",'A-8'!C186="-",'A-8'!C258="-"),"-",SUM('A-8'!C114,'A-8'!C186,'A-8'!C258))</f>
        <v>-</v>
      </c>
      <c r="D18" s="142">
        <f>IF(AND('A-8'!D114="-",'A-8'!D186="-",'A-8'!D258="-"),"-",SUM('A-8'!D114,'A-8'!D186,'A-8'!D258))</f>
        <v>82574</v>
      </c>
      <c r="E18" s="142">
        <f>IF(AND('A-8'!E114="-",'A-8'!E186="-",'A-8'!E258="-"),"-",SUM('A-8'!E114,'A-8'!E186,'A-8'!E258))</f>
        <v>72255</v>
      </c>
      <c r="F18" s="142">
        <f>IF(AND('A-8'!F114="-",'A-8'!F186="-",'A-8'!F258="-"),"-",SUM('A-8'!F114,'A-8'!F186,'A-8'!F258))</f>
        <v>70238</v>
      </c>
      <c r="G18" s="142">
        <f>IF(AND('A-8'!G114="-",'A-8'!G186="-",'A-8'!G258="-"),"-",SUM('A-8'!G114,'A-8'!G186,'A-8'!G258))</f>
        <v>73529</v>
      </c>
      <c r="H18" s="142">
        <f>IF(AND('A-8'!H114="-",'A-8'!H186="-",'A-8'!H258="-"),"-",SUM('A-8'!H114,'A-8'!H186,'A-8'!H258))</f>
        <v>15933</v>
      </c>
      <c r="I18" s="142">
        <f>IF(AND('A-8'!I114="-",'A-8'!I186="-",'A-8'!I258="-"),"-",SUM('A-8'!I114,'A-8'!I186,'A-8'!I258))</f>
        <v>16878</v>
      </c>
      <c r="J18" s="142">
        <f>IF(AND('A-8'!J114="-",'A-8'!J186="-",'A-8'!J258="-"),"-",SUM('A-8'!J114,'A-8'!J186,'A-8'!J258))</f>
        <v>2178</v>
      </c>
      <c r="K18" s="142" t="str">
        <f>IF(AND('A-8'!K114="-",'A-8'!K186="-",'A-8'!K258="-"),"-",SUM('A-8'!K114,'A-8'!K186,'A-8'!K258))</f>
        <v>-</v>
      </c>
      <c r="L18" s="142">
        <f>IF(AND('A-8'!L114="-",'A-8'!L186="-",'A-8'!L258="-"),"-",SUM('A-8'!L114,'A-8'!L186,'A-8'!L258))</f>
        <v>333585</v>
      </c>
      <c r="M18" s="7"/>
      <c r="N18" s="142" t="s">
        <v>23</v>
      </c>
      <c r="O18" s="142" t="s">
        <v>23</v>
      </c>
      <c r="P18" s="142" t="s">
        <v>23</v>
      </c>
      <c r="Q18" s="142" t="str">
        <f>IF(AND('A-8'!N114="-",'A-8'!N186="-",'A-8'!N258="-"),"-",SUM('A-8'!N114,'A-8'!N186,'A-8'!N258))</f>
        <v>-</v>
      </c>
      <c r="R18" s="142">
        <f>IF(AND('A-8'!O114="-",'A-8'!O186="-",'A-8'!O258="-"),"-",SUM('A-8'!O114,'A-8'!O186,'A-8'!O258))</f>
        <v>372173</v>
      </c>
      <c r="S18" s="142">
        <f>IF(AND('A-8'!P114="-",'A-8'!P186="-",'A-8'!P258="-"),"-",SUM('A-8'!P114,'A-8'!P186,'A-8'!P258))</f>
        <v>61423</v>
      </c>
      <c r="T18" s="142" t="str">
        <f>IF(AND('A-8'!Q114="-",'A-8'!Q186="-",'A-8'!Q258="-"),"-",SUM('A-8'!Q114,'A-8'!Q186,'A-8'!Q258))</f>
        <v>-</v>
      </c>
      <c r="U18" s="142" t="str">
        <f>IF(AND('A-8'!R114="-",'A-8'!R186="-",'A-8'!R258="-"),"-",SUM('A-8'!R114,'A-8'!R186,'A-8'!R258))</f>
        <v>-</v>
      </c>
      <c r="V18" s="142" t="s">
        <v>23</v>
      </c>
      <c r="W18" s="142" t="s">
        <v>23</v>
      </c>
      <c r="X18" s="142">
        <f t="shared" si="0"/>
        <v>433596</v>
      </c>
    </row>
    <row r="19" spans="1:26" ht="11.25" customHeight="1">
      <c r="A19" s="99">
        <v>1990</v>
      </c>
      <c r="B19" s="142" t="str">
        <f>IF(AND('A-8'!B115="-",'A-8'!B187="-",'A-8'!B259="-"),"-",SUM('A-8'!B115,'A-8'!B187,'A-8'!B259))</f>
        <v>-</v>
      </c>
      <c r="C19" s="142" t="str">
        <f>IF(AND('A-8'!C115="-",'A-8'!C187="-",'A-8'!C259="-"),"-",SUM('A-8'!C115,'A-8'!C187,'A-8'!C259))</f>
        <v>-</v>
      </c>
      <c r="D19" s="142">
        <f>IF(AND('A-8'!D115="-",'A-8'!D187="-",'A-8'!D259="-"),"-",SUM('A-8'!D115,'A-8'!D187,'A-8'!D259))</f>
        <v>14994</v>
      </c>
      <c r="E19" s="142">
        <f>IF(AND('A-8'!E115="-",'A-8'!E187="-",'A-8'!E259="-"),"-",SUM('A-8'!E115,'A-8'!E187,'A-8'!E259))</f>
        <v>32580</v>
      </c>
      <c r="F19" s="142">
        <f>IF(AND('A-8'!F115="-",'A-8'!F187="-",'A-8'!F259="-"),"-",SUM('A-8'!F115,'A-8'!F187,'A-8'!F259))</f>
        <v>119364</v>
      </c>
      <c r="G19" s="142">
        <f>IF(AND('A-8'!G115="-",'A-8'!G187="-",'A-8'!G259="-"),"-",SUM('A-8'!G115,'A-8'!G187,'A-8'!G259))</f>
        <v>49516</v>
      </c>
      <c r="H19" s="142">
        <f>IF(AND('A-8'!H115="-",'A-8'!H187="-",'A-8'!H259="-"),"-",SUM('A-8'!H115,'A-8'!H187,'A-8'!H259))</f>
        <v>7018</v>
      </c>
      <c r="I19" s="142">
        <f>IF(AND('A-8'!I115="-",'A-8'!I187="-",'A-8'!I259="-"),"-",SUM('A-8'!I115,'A-8'!I187,'A-8'!I259))</f>
        <v>4165</v>
      </c>
      <c r="J19" s="142" t="str">
        <f>IF(AND('A-8'!J115="-",'A-8'!J187="-",'A-8'!J259="-"),"-",SUM('A-8'!J115,'A-8'!J187,'A-8'!J259))</f>
        <v>-</v>
      </c>
      <c r="K19" s="142" t="str">
        <f>IF(AND('A-8'!K115="-",'A-8'!K187="-",'A-8'!K259="-"),"-",SUM('A-8'!K115,'A-8'!K187,'A-8'!K259))</f>
        <v>-</v>
      </c>
      <c r="L19" s="142">
        <f>IF(AND('A-8'!L115="-",'A-8'!L187="-",'A-8'!L259="-"),"-",SUM('A-8'!L115,'A-8'!L187,'A-8'!L259))</f>
        <v>227637</v>
      </c>
      <c r="M19" s="7"/>
      <c r="N19" s="142" t="s">
        <v>23</v>
      </c>
      <c r="O19" s="142" t="s">
        <v>23</v>
      </c>
      <c r="P19" s="142" t="s">
        <v>23</v>
      </c>
      <c r="Q19" s="142">
        <f>IF(AND('A-8'!N115="-",'A-8'!N187="-",'A-8'!N259="-"),"-",SUM('A-8'!N115,'A-8'!N187,'A-8'!N259))</f>
        <v>99</v>
      </c>
      <c r="R19" s="142">
        <f>IF(AND('A-8'!O115="-",'A-8'!O187="-",'A-8'!O259="-"),"-",SUM('A-8'!O115,'A-8'!O187,'A-8'!O259))</f>
        <v>80281</v>
      </c>
      <c r="S19" s="142">
        <f>IF(AND('A-8'!P115="-",'A-8'!P187="-",'A-8'!P259="-"),"-",SUM('A-8'!P115,'A-8'!P187,'A-8'!P259))</f>
        <v>30129</v>
      </c>
      <c r="T19" s="142" t="str">
        <f>IF(AND('A-8'!Q115="-",'A-8'!Q187="-",'A-8'!Q259="-"),"-",SUM('A-8'!Q115,'A-8'!Q187,'A-8'!Q259))</f>
        <v>-</v>
      </c>
      <c r="U19" s="142" t="str">
        <f>IF(AND('A-8'!R115="-",'A-8'!R187="-",'A-8'!R259="-"),"-",SUM('A-8'!R115,'A-8'!R187,'A-8'!R259))</f>
        <v>-</v>
      </c>
      <c r="V19" s="142" t="s">
        <v>23</v>
      </c>
      <c r="W19" s="142" t="s">
        <v>23</v>
      </c>
      <c r="X19" s="142">
        <f t="shared" si="0"/>
        <v>110509</v>
      </c>
    </row>
    <row r="20" spans="1:26" ht="11.25" customHeight="1">
      <c r="A20" s="99">
        <v>1991</v>
      </c>
      <c r="B20" s="142" t="str">
        <f>IF(AND('A-8'!B116="-",'A-8'!B188="-",'A-8'!B260="-"),"-",SUM('A-8'!B116,'A-8'!B188,'A-8'!B260))</f>
        <v>-</v>
      </c>
      <c r="C20" s="142" t="str">
        <f>IF(AND('A-8'!C116="-",'A-8'!C188="-",'A-8'!C260="-"),"-",SUM('A-8'!C116,'A-8'!C188,'A-8'!C260))</f>
        <v>-</v>
      </c>
      <c r="D20" s="142">
        <f>IF(AND('A-8'!D116="-",'A-8'!D188="-",'A-8'!D260="-"),"-",SUM('A-8'!D116,'A-8'!D188,'A-8'!D260))</f>
        <v>3276</v>
      </c>
      <c r="E20" s="142">
        <f>IF(AND('A-8'!E116="-",'A-8'!E188="-",'A-8'!E260="-"),"-",SUM('A-8'!E116,'A-8'!E188,'A-8'!E260))</f>
        <v>12570</v>
      </c>
      <c r="F20" s="142">
        <f>IF(AND('A-8'!F116="-",'A-8'!F188="-",'A-8'!F260="-"),"-",SUM('A-8'!F116,'A-8'!F188,'A-8'!F260))</f>
        <v>15428</v>
      </c>
      <c r="G20" s="142">
        <f>IF(AND('A-8'!G116="-",'A-8'!G188="-",'A-8'!G260="-"),"-",SUM('A-8'!G116,'A-8'!G188,'A-8'!G260))</f>
        <v>11596</v>
      </c>
      <c r="H20" s="142">
        <f>IF(AND('A-8'!H116="-",'A-8'!H188="-",'A-8'!H260="-"),"-",SUM('A-8'!H116,'A-8'!H188,'A-8'!H260))</f>
        <v>18014</v>
      </c>
      <c r="I20" s="142">
        <f>IF(AND('A-8'!I116="-",'A-8'!I188="-",'A-8'!I260="-"),"-",SUM('A-8'!I116,'A-8'!I188,'A-8'!I260))</f>
        <v>12439</v>
      </c>
      <c r="J20" s="142" t="str">
        <f>IF(AND('A-8'!J116="-",'A-8'!J188="-",'A-8'!J260="-"),"-",SUM('A-8'!J116,'A-8'!J188,'A-8'!J260))</f>
        <v>-</v>
      </c>
      <c r="K20" s="142" t="str">
        <f>IF(AND('A-8'!K116="-",'A-8'!K188="-",'A-8'!K260="-"),"-",SUM('A-8'!K116,'A-8'!K188,'A-8'!K260))</f>
        <v>-</v>
      </c>
      <c r="L20" s="142">
        <f>IF(AND('A-8'!L116="-",'A-8'!L188="-",'A-8'!L260="-"),"-",SUM('A-8'!L116,'A-8'!L188,'A-8'!L260))</f>
        <v>73323</v>
      </c>
      <c r="M20" s="7"/>
      <c r="N20" s="142" t="s">
        <v>23</v>
      </c>
      <c r="O20" s="142" t="s">
        <v>23</v>
      </c>
      <c r="P20" s="142" t="s">
        <v>23</v>
      </c>
      <c r="Q20" s="142">
        <f>IF(AND('A-8'!N116="-",'A-8'!N188="-",'A-8'!N260="-"),"-",SUM('A-8'!N116,'A-8'!N188,'A-8'!N260))</f>
        <v>91249</v>
      </c>
      <c r="R20" s="142">
        <f>IF(AND('A-8'!O116="-",'A-8'!O188="-",'A-8'!O260="-"),"-",SUM('A-8'!O116,'A-8'!O188,'A-8'!O260))</f>
        <v>188757</v>
      </c>
      <c r="S20" s="142">
        <f>IF(AND('A-8'!P116="-",'A-8'!P188="-",'A-8'!P260="-"),"-",SUM('A-8'!P116,'A-8'!P188,'A-8'!P260))</f>
        <v>11</v>
      </c>
      <c r="T20" s="142" t="str">
        <f>IF(AND('A-8'!Q116="-",'A-8'!Q188="-",'A-8'!Q260="-"),"-",SUM('A-8'!Q116,'A-8'!Q188,'A-8'!Q260))</f>
        <v>-</v>
      </c>
      <c r="U20" s="142" t="str">
        <f>IF(AND('A-8'!R116="-",'A-8'!R188="-",'A-8'!R260="-"),"-",SUM('A-8'!R116,'A-8'!R188,'A-8'!R260))</f>
        <v>-</v>
      </c>
      <c r="V20" s="142" t="s">
        <v>23</v>
      </c>
      <c r="W20" s="142" t="s">
        <v>23</v>
      </c>
      <c r="X20" s="142">
        <f t="shared" si="0"/>
        <v>280017</v>
      </c>
    </row>
    <row r="21" spans="1:26" ht="11.25" customHeight="1">
      <c r="A21" s="99">
        <v>1992</v>
      </c>
      <c r="B21" s="142" t="str">
        <f>IF(AND('A-8'!B117="-",'A-8'!B189="-",'A-8'!B261="-"),"-",SUM('A-8'!B117,'A-8'!B189,'A-8'!B261))</f>
        <v>-</v>
      </c>
      <c r="C21" s="142" t="str">
        <f>IF(AND('A-8'!C117="-",'A-8'!C189="-",'A-8'!C261="-"),"-",SUM('A-8'!C117,'A-8'!C189,'A-8'!C261))</f>
        <v>-</v>
      </c>
      <c r="D21" s="142">
        <f>IF(AND('A-8'!D117="-",'A-8'!D189="-",'A-8'!D261="-"),"-",SUM('A-8'!D117,'A-8'!D189,'A-8'!D261))</f>
        <v>20644</v>
      </c>
      <c r="E21" s="142" t="str">
        <f>IF(AND('A-8'!E117="-",'A-8'!E189="-",'A-8'!E261="-"),"-",SUM('A-8'!E117,'A-8'!E189,'A-8'!E261))</f>
        <v>-</v>
      </c>
      <c r="F21" s="142">
        <f>IF(AND('A-8'!F117="-",'A-8'!F189="-",'A-8'!F261="-"),"-",SUM('A-8'!F117,'A-8'!F189,'A-8'!F261))</f>
        <v>31488</v>
      </c>
      <c r="G21" s="142">
        <f>IF(AND('A-8'!G117="-",'A-8'!G189="-",'A-8'!G261="-"),"-",SUM('A-8'!G117,'A-8'!G189,'A-8'!G261))</f>
        <v>26086</v>
      </c>
      <c r="H21" s="142">
        <f>IF(AND('A-8'!H117="-",'A-8'!H189="-",'A-8'!H261="-"),"-",SUM('A-8'!H117,'A-8'!H189,'A-8'!H261))</f>
        <v>10757</v>
      </c>
      <c r="I21" s="142">
        <f>IF(AND('A-8'!I117="-",'A-8'!I189="-",'A-8'!I261="-"),"-",SUM('A-8'!I117,'A-8'!I189,'A-8'!I261))</f>
        <v>19272</v>
      </c>
      <c r="J21" s="142" t="str">
        <f>IF(AND('A-8'!J117="-",'A-8'!J189="-",'A-8'!J261="-"),"-",SUM('A-8'!J117,'A-8'!J189,'A-8'!J261))</f>
        <v>-</v>
      </c>
      <c r="K21" s="142" t="str">
        <f>IF(AND('A-8'!K117="-",'A-8'!K189="-",'A-8'!K261="-"),"-",SUM('A-8'!K117,'A-8'!K189,'A-8'!K261))</f>
        <v>-</v>
      </c>
      <c r="L21" s="142">
        <f>IF(AND('A-8'!L117="-",'A-8'!L189="-",'A-8'!L261="-"),"-",SUM('A-8'!L117,'A-8'!L189,'A-8'!L261))</f>
        <v>108247</v>
      </c>
      <c r="M21" s="7"/>
      <c r="N21" s="142" t="s">
        <v>23</v>
      </c>
      <c r="O21" s="142" t="s">
        <v>23</v>
      </c>
      <c r="P21" s="142" t="s">
        <v>23</v>
      </c>
      <c r="Q21" s="142" t="str">
        <f>IF(AND('A-8'!N117="-",'A-8'!N189="-",'A-8'!N261="-"),"-",SUM('A-8'!N117,'A-8'!N189,'A-8'!N261))</f>
        <v>-</v>
      </c>
      <c r="R21" s="142">
        <f>IF(AND('A-8'!O117="-",'A-8'!O189="-",'A-8'!O261="-"),"-",SUM('A-8'!O117,'A-8'!O189,'A-8'!O261))</f>
        <v>23064</v>
      </c>
      <c r="S21" s="142">
        <f>IF(AND('A-8'!P117="-",'A-8'!P189="-",'A-8'!P261="-"),"-",SUM('A-8'!P117,'A-8'!P189,'A-8'!P261))</f>
        <v>25133</v>
      </c>
      <c r="T21" s="142" t="str">
        <f>IF(AND('A-8'!Q117="-",'A-8'!Q189="-",'A-8'!Q261="-"),"-",SUM('A-8'!Q117,'A-8'!Q189,'A-8'!Q261))</f>
        <v>-</v>
      </c>
      <c r="U21" s="142">
        <f>IF(AND('A-8'!R117="-",'A-8'!R189="-",'A-8'!R261="-"),"-",SUM('A-8'!R117,'A-8'!R189,'A-8'!R261))</f>
        <v>12</v>
      </c>
      <c r="V21" s="142" t="s">
        <v>23</v>
      </c>
      <c r="W21" s="142" t="s">
        <v>23</v>
      </c>
      <c r="X21" s="142">
        <f t="shared" si="0"/>
        <v>48209</v>
      </c>
    </row>
    <row r="22" spans="1:26" ht="11.25" customHeight="1">
      <c r="A22" s="99">
        <v>1993</v>
      </c>
      <c r="B22" s="142" t="str">
        <f>IF(AND('A-8'!B118="-",'A-8'!B190="-",'A-8'!B262="-"),"-",SUM('A-8'!B118,'A-8'!B190,'A-8'!B262))</f>
        <v>-</v>
      </c>
      <c r="C22" s="142" t="str">
        <f>IF(AND('A-8'!C118="-",'A-8'!C190="-",'A-8'!C262="-"),"-",SUM('A-8'!C118,'A-8'!C190,'A-8'!C262))</f>
        <v>-</v>
      </c>
      <c r="D22" s="142">
        <f>IF(AND('A-8'!D118="-",'A-8'!D190="-",'A-8'!D262="-"),"-",SUM('A-8'!D118,'A-8'!D190,'A-8'!D262))</f>
        <v>20311</v>
      </c>
      <c r="E22" s="142">
        <f>IF(AND('A-8'!E118="-",'A-8'!E190="-",'A-8'!E262="-"),"-",SUM('A-8'!E118,'A-8'!E190,'A-8'!E262))</f>
        <v>14723</v>
      </c>
      <c r="F22" s="142">
        <f>IF(AND('A-8'!F118="-",'A-8'!F190="-",'A-8'!F262="-"),"-",SUM('A-8'!F118,'A-8'!F190,'A-8'!F262))</f>
        <v>12952</v>
      </c>
      <c r="G22" s="142">
        <f>IF(AND('A-8'!G118="-",'A-8'!G190="-",'A-8'!G262="-"),"-",SUM('A-8'!G118,'A-8'!G190,'A-8'!G262))</f>
        <v>10436</v>
      </c>
      <c r="H22" s="142">
        <f>IF(AND('A-8'!H118="-",'A-8'!H190="-",'A-8'!H262="-"),"-",SUM('A-8'!H118,'A-8'!H190,'A-8'!H262))</f>
        <v>15578</v>
      </c>
      <c r="I22" s="142">
        <f>IF(AND('A-8'!I118="-",'A-8'!I190="-",'A-8'!I262="-"),"-",SUM('A-8'!I118,'A-8'!I190,'A-8'!I262))</f>
        <v>6454</v>
      </c>
      <c r="J22" s="142">
        <f>IF(AND('A-8'!J118="-",'A-8'!J190="-",'A-8'!J262="-"),"-",SUM('A-8'!J118,'A-8'!J190,'A-8'!J262))</f>
        <v>658</v>
      </c>
      <c r="K22" s="142" t="str">
        <f>IF(AND('A-8'!K118="-",'A-8'!K190="-",'A-8'!K262="-"),"-",SUM('A-8'!K118,'A-8'!K190,'A-8'!K262))</f>
        <v>-</v>
      </c>
      <c r="L22" s="142">
        <f>IF(AND('A-8'!L118="-",'A-8'!L190="-",'A-8'!L262="-"),"-",SUM('A-8'!L118,'A-8'!L190,'A-8'!L262))</f>
        <v>81112</v>
      </c>
      <c r="M22" s="7"/>
      <c r="N22" s="142" t="s">
        <v>23</v>
      </c>
      <c r="O22" s="142" t="s">
        <v>23</v>
      </c>
      <c r="P22" s="142" t="s">
        <v>23</v>
      </c>
      <c r="Q22" s="142" t="str">
        <f>IF(AND('A-8'!N118="-",'A-8'!N190="-",'A-8'!N262="-"),"-",SUM('A-8'!N118,'A-8'!N190,'A-8'!N262))</f>
        <v>-</v>
      </c>
      <c r="R22" s="142" t="str">
        <f>IF(AND('A-8'!O118="-",'A-8'!O190="-",'A-8'!O262="-"),"-",SUM('A-8'!O118,'A-8'!O190,'A-8'!O262))</f>
        <v>-</v>
      </c>
      <c r="S22" s="142">
        <f>IF(AND('A-8'!P118="-",'A-8'!P190="-",'A-8'!P262="-"),"-",SUM('A-8'!P118,'A-8'!P190,'A-8'!P262))</f>
        <v>2</v>
      </c>
      <c r="T22" s="142" t="str">
        <f>IF(AND('A-8'!Q118="-",'A-8'!Q190="-",'A-8'!Q262="-"),"-",SUM('A-8'!Q118,'A-8'!Q190,'A-8'!Q262))</f>
        <v>-</v>
      </c>
      <c r="U22" s="142">
        <f>IF(AND('A-8'!R118="-",'A-8'!R190="-",'A-8'!R262="-"),"-",SUM('A-8'!R118,'A-8'!R190,'A-8'!R262))</f>
        <v>25</v>
      </c>
      <c r="V22" s="142" t="s">
        <v>23</v>
      </c>
      <c r="W22" s="142" t="s">
        <v>23</v>
      </c>
      <c r="X22" s="142">
        <f t="shared" si="0"/>
        <v>27</v>
      </c>
    </row>
    <row r="23" spans="1:26" ht="11.25" customHeight="1">
      <c r="A23" s="99">
        <v>1994</v>
      </c>
      <c r="B23" s="142" t="str">
        <f>IF(AND('A-8'!B119="-",'A-8'!B191="-",'A-8'!B263="-"),"-",SUM('A-8'!B119,'A-8'!B191,'A-8'!B263))</f>
        <v>-</v>
      </c>
      <c r="C23" s="142" t="str">
        <f>IF(AND('A-8'!C119="-",'A-8'!C191="-",'A-8'!C263="-"),"-",SUM('A-8'!C119,'A-8'!C191,'A-8'!C263))</f>
        <v>-</v>
      </c>
      <c r="D23" s="142">
        <f>IF(AND('A-8'!D119="-",'A-8'!D191="-",'A-8'!D263="-"),"-",SUM('A-8'!D119,'A-8'!D191,'A-8'!D263))</f>
        <v>7661</v>
      </c>
      <c r="E23" s="142">
        <f>IF(AND('A-8'!E119="-",'A-8'!E191="-",'A-8'!E263="-"),"-",SUM('A-8'!E119,'A-8'!E191,'A-8'!E263))</f>
        <v>8906</v>
      </c>
      <c r="F23" s="142" t="str">
        <f>IF(AND('A-8'!F119="-",'A-8'!F191="-",'A-8'!F263="-"),"-",SUM('A-8'!F119,'A-8'!F191,'A-8'!F263))</f>
        <v>-</v>
      </c>
      <c r="G23" s="142" t="str">
        <f>IF(AND('A-8'!G119="-",'A-8'!G191="-",'A-8'!G263="-"),"-",SUM('A-8'!G119,'A-8'!G191,'A-8'!G263))</f>
        <v>-</v>
      </c>
      <c r="H23" s="142">
        <f>IF(AND('A-8'!H119="-",'A-8'!H191="-",'A-8'!H263="-"),"-",SUM('A-8'!H119,'A-8'!H191,'A-8'!H263))</f>
        <v>1239</v>
      </c>
      <c r="I23" s="142">
        <f>IF(AND('A-8'!I119="-",'A-8'!I191="-",'A-8'!I263="-"),"-",SUM('A-8'!I119,'A-8'!I191,'A-8'!I263))</f>
        <v>5545</v>
      </c>
      <c r="J23" s="142">
        <f>IF(AND('A-8'!J119="-",'A-8'!J191="-",'A-8'!J263="-"),"-",SUM('A-8'!J119,'A-8'!J191,'A-8'!J263))</f>
        <v>378</v>
      </c>
      <c r="K23" s="142" t="str">
        <f>IF(AND('A-8'!K119="-",'A-8'!K191="-",'A-8'!K263="-"),"-",SUM('A-8'!K119,'A-8'!K191,'A-8'!K263))</f>
        <v>-</v>
      </c>
      <c r="L23" s="142">
        <f>IF(AND('A-8'!L119="-",'A-8'!L191="-",'A-8'!L263="-"),"-",SUM('A-8'!L119,'A-8'!L191,'A-8'!L263))</f>
        <v>23729</v>
      </c>
      <c r="M23" s="7"/>
      <c r="N23" s="142" t="s">
        <v>23</v>
      </c>
      <c r="O23" s="142" t="s">
        <v>23</v>
      </c>
      <c r="P23" s="142" t="s">
        <v>23</v>
      </c>
      <c r="Q23" s="142" t="str">
        <f>IF(AND('A-8'!N119="-",'A-8'!N191="-",'A-8'!N263="-"),"-",SUM('A-8'!N119,'A-8'!N191,'A-8'!N263))</f>
        <v>-</v>
      </c>
      <c r="R23" s="142" t="str">
        <f>IF(AND('A-8'!O119="-",'A-8'!O191="-",'A-8'!O263="-"),"-",SUM('A-8'!O119,'A-8'!O191,'A-8'!O263))</f>
        <v>-</v>
      </c>
      <c r="S23" s="142" t="str">
        <f>IF(AND('A-8'!P119="-",'A-8'!P191="-",'A-8'!P263="-"),"-",SUM('A-8'!P119,'A-8'!P191,'A-8'!P263))</f>
        <v>-</v>
      </c>
      <c r="T23" s="142" t="str">
        <f>IF(AND('A-8'!Q119="-",'A-8'!Q191="-",'A-8'!Q263="-"),"-",SUM('A-8'!Q119,'A-8'!Q191,'A-8'!Q263))</f>
        <v>-</v>
      </c>
      <c r="U23" s="142" t="str">
        <f>IF(AND('A-8'!R119="-",'A-8'!R191="-",'A-8'!R263="-"),"-",SUM('A-8'!R119,'A-8'!R191,'A-8'!R263))</f>
        <v>-</v>
      </c>
      <c r="V23" s="142" t="s">
        <v>23</v>
      </c>
      <c r="W23" s="142" t="s">
        <v>23</v>
      </c>
      <c r="X23" s="142" t="s">
        <v>23</v>
      </c>
    </row>
    <row r="24" spans="1:26" ht="11.25" customHeight="1">
      <c r="A24" s="99">
        <v>1995</v>
      </c>
      <c r="B24" s="142" t="str">
        <f>IF(AND('A-8'!B120="-",'A-8'!B192="-",'A-8'!B264="-"),"-",SUM('A-8'!B120,'A-8'!B192,'A-8'!B264))</f>
        <v>-</v>
      </c>
      <c r="C24" s="142" t="str">
        <f>IF(AND('A-8'!C120="-",'A-8'!C192="-",'A-8'!C264="-"),"-",SUM('A-8'!C120,'A-8'!C192,'A-8'!C264))</f>
        <v>-</v>
      </c>
      <c r="D24" s="142">
        <f>IF(AND('A-8'!D120="-",'A-8'!D192="-",'A-8'!D264="-"),"-",SUM('A-8'!D120,'A-8'!D192,'A-8'!D264))</f>
        <v>10602</v>
      </c>
      <c r="E24" s="142">
        <f>IF(AND('A-8'!E120="-",'A-8'!E192="-",'A-8'!E264="-"),"-",SUM('A-8'!E120,'A-8'!E192,'A-8'!E264))</f>
        <v>35866</v>
      </c>
      <c r="F24" s="142" t="str">
        <f>IF(AND('A-8'!F120="-",'A-8'!F192="-",'A-8'!F264="-"),"-",SUM('A-8'!F120,'A-8'!F192,'A-8'!F264))</f>
        <v>-</v>
      </c>
      <c r="G24" s="142">
        <f>IF(AND('A-8'!G120="-",'A-8'!G192="-",'A-8'!G264="-"),"-",SUM('A-8'!G120,'A-8'!G192,'A-8'!G264))</f>
        <v>97878</v>
      </c>
      <c r="H24" s="142">
        <f>IF(AND('A-8'!H120="-",'A-8'!H192="-",'A-8'!H264="-"),"-",SUM('A-8'!H120,'A-8'!H192,'A-8'!H264))</f>
        <v>38547</v>
      </c>
      <c r="I24" s="142">
        <f>IF(AND('A-8'!I120="-",'A-8'!I192="-",'A-8'!I264="-"),"-",SUM('A-8'!I120,'A-8'!I192,'A-8'!I264))</f>
        <v>27247</v>
      </c>
      <c r="J24" s="142">
        <f>IF(AND('A-8'!J120="-",'A-8'!J192="-",'A-8'!J264="-"),"-",SUM('A-8'!J120,'A-8'!J192,'A-8'!J264))</f>
        <v>324</v>
      </c>
      <c r="K24" s="142" t="str">
        <f>IF(AND('A-8'!K120="-",'A-8'!K192="-",'A-8'!K264="-"),"-",SUM('A-8'!K120,'A-8'!K192,'A-8'!K264))</f>
        <v>-</v>
      </c>
      <c r="L24" s="142">
        <f>IF(AND('A-8'!L120="-",'A-8'!L192="-",'A-8'!L264="-"),"-",SUM('A-8'!L120,'A-8'!L192,'A-8'!L264))</f>
        <v>210464</v>
      </c>
      <c r="M24" s="7"/>
      <c r="N24" s="142" t="s">
        <v>23</v>
      </c>
      <c r="O24" s="142" t="s">
        <v>23</v>
      </c>
      <c r="P24" s="142" t="s">
        <v>23</v>
      </c>
      <c r="Q24" s="142" t="str">
        <f>IF(AND('A-8'!N120="-",'A-8'!N192="-",'A-8'!N264="-"),"-",SUM('A-8'!N120,'A-8'!N192,'A-8'!N264))</f>
        <v>-</v>
      </c>
      <c r="R24" s="142" t="str">
        <f>IF(AND('A-8'!O120="-",'A-8'!O192="-",'A-8'!O264="-"),"-",SUM('A-8'!O120,'A-8'!O192,'A-8'!O264))</f>
        <v>-</v>
      </c>
      <c r="S24" s="142" t="str">
        <f>IF(AND('A-8'!P120="-",'A-8'!P192="-",'A-8'!P264="-"),"-",SUM('A-8'!P120,'A-8'!P192,'A-8'!P264))</f>
        <v>-</v>
      </c>
      <c r="T24" s="142" t="str">
        <f>IF(AND('A-8'!Q120="-",'A-8'!Q192="-",'A-8'!Q264="-"),"-",SUM('A-8'!Q120,'A-8'!Q192,'A-8'!Q264))</f>
        <v>-</v>
      </c>
      <c r="U24" s="142" t="str">
        <f>IF(AND('A-8'!R120="-",'A-8'!R192="-",'A-8'!R264="-"),"-",SUM('A-8'!R120,'A-8'!R192,'A-8'!R264))</f>
        <v>-</v>
      </c>
      <c r="V24" s="142" t="s">
        <v>23</v>
      </c>
      <c r="W24" s="142" t="s">
        <v>23</v>
      </c>
      <c r="X24" s="142" t="s">
        <v>23</v>
      </c>
    </row>
    <row r="25" spans="1:26" ht="11.25" customHeight="1">
      <c r="A25" s="99">
        <v>1996</v>
      </c>
      <c r="B25" s="142" t="str">
        <f>IF(AND('A-8'!B121="-",'A-8'!B193="-",'A-8'!B265="-"),"-",SUM('A-8'!B121,'A-8'!B193,'A-8'!B265))</f>
        <v>-</v>
      </c>
      <c r="C25" s="142" t="str">
        <f>IF(AND('A-8'!C121="-",'A-8'!C193="-",'A-8'!C265="-"),"-",SUM('A-8'!C121,'A-8'!C193,'A-8'!C265))</f>
        <v>-</v>
      </c>
      <c r="D25" s="142">
        <f>IF(AND('A-8'!D121="-",'A-8'!D193="-",'A-8'!D265="-"),"-",SUM('A-8'!D121,'A-8'!D193,'A-8'!D265))</f>
        <v>25630</v>
      </c>
      <c r="E25" s="142">
        <f>IF(AND('A-8'!E121="-",'A-8'!E193="-",'A-8'!E265="-"),"-",SUM('A-8'!E121,'A-8'!E193,'A-8'!E265))</f>
        <v>39267</v>
      </c>
      <c r="F25" s="142" t="str">
        <f>IF(AND('A-8'!F121="-",'A-8'!F193="-",'A-8'!F265="-"),"-",SUM('A-8'!F121,'A-8'!F193,'A-8'!F265))</f>
        <v>-</v>
      </c>
      <c r="G25" s="142">
        <f>IF(AND('A-8'!G121="-",'A-8'!G193="-",'A-8'!G265="-"),"-",SUM('A-8'!G121,'A-8'!G193,'A-8'!G265))</f>
        <v>60797</v>
      </c>
      <c r="H25" s="142">
        <f>IF(AND('A-8'!H121="-",'A-8'!H193="-",'A-8'!H265="-"),"-",SUM('A-8'!H121,'A-8'!H193,'A-8'!H265))</f>
        <v>25967</v>
      </c>
      <c r="I25" s="142">
        <f>IF(AND('A-8'!I121="-",'A-8'!I193="-",'A-8'!I265="-"),"-",SUM('A-8'!I121,'A-8'!I193,'A-8'!I265))</f>
        <v>14139</v>
      </c>
      <c r="J25" s="142">
        <f>IF(AND('A-8'!J121="-",'A-8'!J193="-",'A-8'!J265="-"),"-",SUM('A-8'!J121,'A-8'!J193,'A-8'!J265))</f>
        <v>845</v>
      </c>
      <c r="K25" s="142" t="str">
        <f>IF(AND('A-8'!K121="-",'A-8'!K193="-",'A-8'!K265="-"),"-",SUM('A-8'!K121,'A-8'!K193,'A-8'!K265))</f>
        <v>-</v>
      </c>
      <c r="L25" s="142">
        <f>IF(AND('A-8'!L121="-",'A-8'!L193="-",'A-8'!L265="-"),"-",SUM('A-8'!L121,'A-8'!L193,'A-8'!L265))</f>
        <v>166645</v>
      </c>
      <c r="M25" s="7"/>
      <c r="N25" s="142" t="s">
        <v>23</v>
      </c>
      <c r="O25" s="142" t="s">
        <v>23</v>
      </c>
      <c r="P25" s="142" t="s">
        <v>23</v>
      </c>
      <c r="Q25" s="142">
        <f>IF(AND('A-8'!N121="-",'A-8'!N193="-",'A-8'!N265="-"),"-",SUM('A-8'!N121,'A-8'!N193,'A-8'!N265))</f>
        <v>8</v>
      </c>
      <c r="R25" s="142" t="str">
        <f>IF(AND('A-8'!O121="-",'A-8'!O193="-",'A-8'!O265="-"),"-",SUM('A-8'!O121,'A-8'!O193,'A-8'!O265))</f>
        <v>-</v>
      </c>
      <c r="S25" s="142" t="str">
        <f>IF(AND('A-8'!P121="-",'A-8'!P193="-",'A-8'!P265="-"),"-",SUM('A-8'!P121,'A-8'!P193,'A-8'!P265))</f>
        <v>-</v>
      </c>
      <c r="T25" s="142" t="str">
        <f>IF(AND('A-8'!Q121="-",'A-8'!Q193="-",'A-8'!Q265="-"),"-",SUM('A-8'!Q121,'A-8'!Q193,'A-8'!Q265))</f>
        <v>-</v>
      </c>
      <c r="U25" s="142" t="str">
        <f>IF(AND('A-8'!R121="-",'A-8'!R193="-",'A-8'!R265="-"),"-",SUM('A-8'!R121,'A-8'!R193,'A-8'!R265))</f>
        <v>-</v>
      </c>
      <c r="V25" s="142" t="s">
        <v>23</v>
      </c>
      <c r="W25" s="142" t="s">
        <v>23</v>
      </c>
      <c r="X25" s="142">
        <f t="shared" si="0"/>
        <v>8</v>
      </c>
    </row>
    <row r="26" spans="1:26" ht="11.25" customHeight="1">
      <c r="A26" s="99">
        <v>1997</v>
      </c>
      <c r="B26" s="142" t="str">
        <f>IF(AND('A-8'!B122="-",'A-8'!B194="-",'A-8'!B266="-"),"-",SUM('A-8'!B122,'A-8'!B194,'A-8'!B266))</f>
        <v>-</v>
      </c>
      <c r="C26" s="142">
        <f>IF(AND('A-8'!C122="-",'A-8'!C194="-",'A-8'!C266="-"),"-",SUM('A-8'!C122,'A-8'!C194,'A-8'!C266))</f>
        <v>4392</v>
      </c>
      <c r="D26" s="142">
        <f>IF(AND('A-8'!D122="-",'A-8'!D194="-",'A-8'!D266="-"),"-",SUM('A-8'!D122,'A-8'!D194,'A-8'!D266))</f>
        <v>31018</v>
      </c>
      <c r="E26" s="142">
        <f>IF(AND('A-8'!E122="-",'A-8'!E194="-",'A-8'!E266="-"),"-",SUM('A-8'!E122,'A-8'!E194,'A-8'!E266))</f>
        <v>35381</v>
      </c>
      <c r="F26" s="142" t="str">
        <f>IF(AND('A-8'!F122="-",'A-8'!F194="-",'A-8'!F266="-"),"-",SUM('A-8'!F122,'A-8'!F194,'A-8'!F266))</f>
        <v>-</v>
      </c>
      <c r="G26" s="142">
        <f>IF(AND('A-8'!G122="-",'A-8'!G194="-",'A-8'!G266="-"),"-",SUM('A-8'!G122,'A-8'!G194,'A-8'!G266))</f>
        <v>44588</v>
      </c>
      <c r="H26" s="142">
        <f>IF(AND('A-8'!H122="-",'A-8'!H194="-",'A-8'!H266="-"),"-",SUM('A-8'!H122,'A-8'!H194,'A-8'!H266))</f>
        <v>25786</v>
      </c>
      <c r="I26" s="142">
        <f>IF(AND('A-8'!I122="-",'A-8'!I194="-",'A-8'!I266="-"),"-",SUM('A-8'!I122,'A-8'!I194,'A-8'!I266))</f>
        <v>4501</v>
      </c>
      <c r="J26" s="142">
        <f>IF(AND('A-8'!J122="-",'A-8'!J194="-",'A-8'!J266="-"),"-",SUM('A-8'!J122,'A-8'!J194,'A-8'!J266))</f>
        <v>492</v>
      </c>
      <c r="K26" s="142" t="str">
        <f>IF(AND('A-8'!K122="-",'A-8'!K194="-",'A-8'!K266="-"),"-",SUM('A-8'!K122,'A-8'!K194,'A-8'!K266))</f>
        <v>-</v>
      </c>
      <c r="L26" s="142">
        <f>IF(AND('A-8'!L122="-",'A-8'!L194="-",'A-8'!L266="-"),"-",SUM('A-8'!L122,'A-8'!L194,'A-8'!L266))</f>
        <v>146158</v>
      </c>
      <c r="M26" s="7"/>
      <c r="N26" s="142" t="s">
        <v>23</v>
      </c>
      <c r="O26" s="142" t="s">
        <v>23</v>
      </c>
      <c r="P26" s="142" t="s">
        <v>23</v>
      </c>
      <c r="Q26" s="142" t="str">
        <f>IF(AND('A-8'!N122="-",'A-8'!N194="-",'A-8'!N266="-"),"-",SUM('A-8'!N122,'A-8'!N194,'A-8'!N266))</f>
        <v>-</v>
      </c>
      <c r="R26" s="142" t="str">
        <f>IF(AND('A-8'!O122="-",'A-8'!O194="-",'A-8'!O266="-"),"-",SUM('A-8'!O122,'A-8'!O194,'A-8'!O266))</f>
        <v>-</v>
      </c>
      <c r="S26" s="142" t="str">
        <f>IF(AND('A-8'!P122="-",'A-8'!P194="-",'A-8'!P266="-"),"-",SUM('A-8'!P122,'A-8'!P194,'A-8'!P266))</f>
        <v>-</v>
      </c>
      <c r="T26" s="142" t="str">
        <f>IF(AND('A-8'!Q122="-",'A-8'!Q194="-",'A-8'!Q266="-"),"-",SUM('A-8'!Q122,'A-8'!Q194,'A-8'!Q266))</f>
        <v>-</v>
      </c>
      <c r="U26" s="142" t="str">
        <f>IF(AND('A-8'!R122="-",'A-8'!R194="-",'A-8'!R266="-"),"-",SUM('A-8'!R122,'A-8'!R194,'A-8'!R266))</f>
        <v>-</v>
      </c>
      <c r="V26" s="142" t="s">
        <v>23</v>
      </c>
      <c r="W26" s="142" t="s">
        <v>23</v>
      </c>
      <c r="X26" s="142" t="s">
        <v>23</v>
      </c>
    </row>
    <row r="27" spans="1:26" ht="11.25" customHeight="1">
      <c r="A27" s="99">
        <v>1998</v>
      </c>
      <c r="B27" s="142" t="str">
        <f>IF(AND('A-8'!B123="-",'A-8'!B195="-",'A-8'!B267="-"),"-",SUM('A-8'!B123,'A-8'!B195,'A-8'!B267))</f>
        <v>-</v>
      </c>
      <c r="C27" s="142">
        <f>IF(AND('A-8'!C123="-",'A-8'!C195="-",'A-8'!C267="-"),"-",SUM('A-8'!C123,'A-8'!C195,'A-8'!C267))</f>
        <v>19953</v>
      </c>
      <c r="D27" s="142">
        <f>IF(AND('A-8'!D123="-",'A-8'!D195="-",'A-8'!D267="-"),"-",SUM('A-8'!D123,'A-8'!D195,'A-8'!D267))</f>
        <v>39671</v>
      </c>
      <c r="E27" s="142">
        <f>IF(AND('A-8'!E123="-",'A-8'!E195="-",'A-8'!E267="-"),"-",SUM('A-8'!E123,'A-8'!E195,'A-8'!E267))</f>
        <v>33749</v>
      </c>
      <c r="F27" s="142" t="str">
        <f>IF(AND('A-8'!F123="-",'A-8'!F195="-",'A-8'!F267="-"),"-",SUM('A-8'!F123,'A-8'!F195,'A-8'!F267))</f>
        <v>-</v>
      </c>
      <c r="G27" s="142">
        <f>IF(AND('A-8'!G123="-",'A-8'!G195="-",'A-8'!G267="-"),"-",SUM('A-8'!G123,'A-8'!G195,'A-8'!G267))</f>
        <v>20875</v>
      </c>
      <c r="H27" s="142">
        <f>IF(AND('A-8'!H123="-",'A-8'!H195="-",'A-8'!H267="-"),"-",SUM('A-8'!H123,'A-8'!H195,'A-8'!H267))</f>
        <v>4952</v>
      </c>
      <c r="I27" s="142">
        <f>IF(AND('A-8'!I123="-",'A-8'!I195="-",'A-8'!I267="-"),"-",SUM('A-8'!I123,'A-8'!I195,'A-8'!I267))</f>
        <v>3368</v>
      </c>
      <c r="J27" s="142">
        <f>IF(AND('A-8'!J123="-",'A-8'!J195="-",'A-8'!J267="-"),"-",SUM('A-8'!J123,'A-8'!J195,'A-8'!J267))</f>
        <v>900</v>
      </c>
      <c r="K27" s="142" t="str">
        <f>IF(AND('A-8'!K123="-",'A-8'!K195="-",'A-8'!K267="-"),"-",SUM('A-8'!K123,'A-8'!K195,'A-8'!K267))</f>
        <v>-</v>
      </c>
      <c r="L27" s="142">
        <f>IF(AND('A-8'!L123="-",'A-8'!L195="-",'A-8'!L267="-"),"-",SUM('A-8'!L123,'A-8'!L195,'A-8'!L267))</f>
        <v>123468</v>
      </c>
      <c r="M27" s="7"/>
      <c r="N27" s="142" t="s">
        <v>23</v>
      </c>
      <c r="O27" s="142" t="s">
        <v>23</v>
      </c>
      <c r="P27" s="142" t="s">
        <v>23</v>
      </c>
      <c r="Q27" s="142" t="str">
        <f>IF(AND('A-8'!N123="-",'A-8'!N195="-",'A-8'!N267="-"),"-",SUM('A-8'!N123,'A-8'!N195,'A-8'!N267))</f>
        <v>-</v>
      </c>
      <c r="R27" s="142" t="str">
        <f>IF(AND('A-8'!O123="-",'A-8'!O195="-",'A-8'!O267="-"),"-",SUM('A-8'!O123,'A-8'!O195,'A-8'!O267))</f>
        <v>-</v>
      </c>
      <c r="S27" s="142" t="str">
        <f>IF(AND('A-8'!P123="-",'A-8'!P195="-",'A-8'!P267="-"),"-",SUM('A-8'!P123,'A-8'!P195,'A-8'!P267))</f>
        <v>-</v>
      </c>
      <c r="T27" s="142" t="str">
        <f>IF(AND('A-8'!Q123="-",'A-8'!Q195="-",'A-8'!Q267="-"),"-",SUM('A-8'!Q123,'A-8'!Q195,'A-8'!Q267))</f>
        <v>-</v>
      </c>
      <c r="U27" s="142" t="str">
        <f>IF(AND('A-8'!R123="-",'A-8'!R195="-",'A-8'!R267="-"),"-",SUM('A-8'!R123,'A-8'!R195,'A-8'!R267))</f>
        <v>-</v>
      </c>
      <c r="V27" s="142" t="s">
        <v>23</v>
      </c>
      <c r="W27" s="142" t="s">
        <v>23</v>
      </c>
      <c r="X27" s="142" t="s">
        <v>23</v>
      </c>
    </row>
    <row r="28" spans="1:26" ht="11.25" customHeight="1">
      <c r="A28" s="99">
        <v>1999</v>
      </c>
      <c r="B28" s="142" t="str">
        <f>IF(AND('A-8'!B124="-",'A-8'!B196="-",'A-8'!B268="-"),"-",SUM('A-8'!B124,'A-8'!B196,'A-8'!B268))</f>
        <v>-</v>
      </c>
      <c r="C28" s="142">
        <f>IF(AND('A-8'!C124="-",'A-8'!C196="-",'A-8'!C268="-"),"-",SUM('A-8'!C124,'A-8'!C196,'A-8'!C268))</f>
        <v>826</v>
      </c>
      <c r="D28" s="142">
        <f>IF(AND('A-8'!D124="-",'A-8'!D196="-",'A-8'!D268="-"),"-",SUM('A-8'!D124,'A-8'!D196,'A-8'!D268))</f>
        <v>6052</v>
      </c>
      <c r="E28" s="142">
        <f>IF(AND('A-8'!E124="-",'A-8'!E196="-",'A-8'!E268="-"),"-",SUM('A-8'!E124,'A-8'!E196,'A-8'!E268))</f>
        <v>23447</v>
      </c>
      <c r="F28" s="142">
        <f>IF(AND('A-8'!F124="-",'A-8'!F196="-",'A-8'!F268="-"),"-",SUM('A-8'!F124,'A-8'!F196,'A-8'!F268))</f>
        <v>8095</v>
      </c>
      <c r="G28" s="142">
        <f>IF(AND('A-8'!G124="-",'A-8'!G196="-",'A-8'!G268="-"),"-",SUM('A-8'!G124,'A-8'!G196,'A-8'!G268))</f>
        <v>17220</v>
      </c>
      <c r="H28" s="142">
        <f>IF(AND('A-8'!H124="-",'A-8'!H196="-",'A-8'!H268="-"),"-",SUM('A-8'!H124,'A-8'!H196,'A-8'!H268))</f>
        <v>1784</v>
      </c>
      <c r="I28" s="142">
        <f>IF(AND('A-8'!I124="-",'A-8'!I196="-",'A-8'!I268="-"),"-",SUM('A-8'!I124,'A-8'!I196,'A-8'!I268))</f>
        <v>2452</v>
      </c>
      <c r="J28" s="142">
        <f>IF(AND('A-8'!J124="-",'A-8'!J196="-",'A-8'!J268="-"),"-",SUM('A-8'!J124,'A-8'!J196,'A-8'!J268))</f>
        <v>1237</v>
      </c>
      <c r="K28" s="142">
        <f>IF(AND('A-8'!K124="-",'A-8'!K196="-",'A-8'!K268="-"),"-",SUM('A-8'!K124,'A-8'!K196,'A-8'!K268))</f>
        <v>43</v>
      </c>
      <c r="L28" s="142">
        <f>IF(AND('A-8'!L124="-",'A-8'!L196="-",'A-8'!L268="-"),"-",SUM('A-8'!L124,'A-8'!L196,'A-8'!L268))</f>
        <v>61156</v>
      </c>
      <c r="M28" s="7"/>
      <c r="N28" s="142" t="s">
        <v>23</v>
      </c>
      <c r="O28" s="142" t="s">
        <v>23</v>
      </c>
      <c r="P28" s="142" t="s">
        <v>23</v>
      </c>
      <c r="Q28" s="142" t="str">
        <f>IF(AND('A-8'!N124="-",'A-8'!N196="-",'A-8'!N268="-"),"-",SUM('A-8'!N124,'A-8'!N196,'A-8'!N268))</f>
        <v>-</v>
      </c>
      <c r="R28" s="142" t="str">
        <f>IF(AND('A-8'!O124="-",'A-8'!O196="-",'A-8'!O268="-"),"-",SUM('A-8'!O124,'A-8'!O196,'A-8'!O268))</f>
        <v>-</v>
      </c>
      <c r="S28" s="142" t="str">
        <f>IF(AND('A-8'!P124="-",'A-8'!P196="-",'A-8'!P268="-"),"-",SUM('A-8'!P124,'A-8'!P196,'A-8'!P268))</f>
        <v>-</v>
      </c>
      <c r="T28" s="142" t="str">
        <f>IF(AND('A-8'!Q124="-",'A-8'!Q196="-",'A-8'!Q268="-"),"-",SUM('A-8'!Q124,'A-8'!Q196,'A-8'!Q268))</f>
        <v>-</v>
      </c>
      <c r="U28" s="142" t="str">
        <f>IF(AND('A-8'!R124="-",'A-8'!R196="-",'A-8'!R268="-"),"-",SUM('A-8'!R124,'A-8'!R196,'A-8'!R268))</f>
        <v>-</v>
      </c>
      <c r="V28" s="142" t="s">
        <v>23</v>
      </c>
      <c r="W28" s="142" t="s">
        <v>23</v>
      </c>
      <c r="X28" s="142" t="s">
        <v>23</v>
      </c>
    </row>
    <row r="29" spans="1:26" ht="11.25" customHeight="1">
      <c r="A29" s="99">
        <v>2000</v>
      </c>
      <c r="B29" s="142" t="str">
        <f>IF(AND('A-8'!B125="-",'A-8'!B197="-",'A-8'!B269="-"),"-",SUM('A-8'!B125,'A-8'!B197,'A-8'!B269))</f>
        <v>-</v>
      </c>
      <c r="C29" s="142">
        <f>IF(AND('A-8'!C125="-",'A-8'!C197="-",'A-8'!C269="-"),"-",SUM('A-8'!C125,'A-8'!C197,'A-8'!C269))</f>
        <v>1187</v>
      </c>
      <c r="D29" s="142">
        <f>IF(AND('A-8'!D125="-",'A-8'!D197="-",'A-8'!D269="-"),"-",SUM('A-8'!D125,'A-8'!D197,'A-8'!D269))</f>
        <v>6064</v>
      </c>
      <c r="E29" s="142">
        <f>IF(AND('A-8'!E125="-",'A-8'!E197="-",'A-8'!E269="-"),"-",SUM('A-8'!E125,'A-8'!E197,'A-8'!E269))</f>
        <v>11441</v>
      </c>
      <c r="F29" s="142">
        <f>IF(AND('A-8'!F125="-",'A-8'!F197="-",'A-8'!F269="-"),"-",SUM('A-8'!F125,'A-8'!F197,'A-8'!F269))</f>
        <v>19664</v>
      </c>
      <c r="G29" s="142">
        <f>IF(AND('A-8'!G125="-",'A-8'!G197="-",'A-8'!G269="-"),"-",SUM('A-8'!G125,'A-8'!G197,'A-8'!G269))</f>
        <v>47342</v>
      </c>
      <c r="H29" s="142">
        <f>IF(AND('A-8'!H125="-",'A-8'!H197="-",'A-8'!H269="-"),"-",SUM('A-8'!H125,'A-8'!H197,'A-8'!H269))</f>
        <v>30355</v>
      </c>
      <c r="I29" s="142">
        <f>IF(AND('A-8'!I125="-",'A-8'!I197="-",'A-8'!I269="-"),"-",SUM('A-8'!I125,'A-8'!I197,'A-8'!I269))</f>
        <v>12235</v>
      </c>
      <c r="J29" s="142">
        <f>IF(AND('A-8'!J125="-",'A-8'!J197="-",'A-8'!J269="-"),"-",SUM('A-8'!J125,'A-8'!J197,'A-8'!J269))</f>
        <v>1537</v>
      </c>
      <c r="K29" s="142">
        <f>IF(AND('A-8'!K125="-",'A-8'!K197="-",'A-8'!K269="-"),"-",SUM('A-8'!K125,'A-8'!K197,'A-8'!K269))</f>
        <v>367</v>
      </c>
      <c r="L29" s="142">
        <f>IF(AND('A-8'!L125="-",'A-8'!L197="-",'A-8'!L269="-"),"-",SUM('A-8'!L125,'A-8'!L197,'A-8'!L269))</f>
        <v>130192</v>
      </c>
      <c r="M29" s="7"/>
      <c r="N29" s="142" t="s">
        <v>23</v>
      </c>
      <c r="O29" s="142" t="s">
        <v>23</v>
      </c>
      <c r="P29" s="142" t="s">
        <v>23</v>
      </c>
      <c r="Q29" s="142" t="str">
        <f>IF(AND('A-8'!N125="-",'A-8'!N197="-",'A-8'!N269="-"),"-",SUM('A-8'!N125,'A-8'!N197,'A-8'!N269))</f>
        <v>-</v>
      </c>
      <c r="R29" s="142" t="str">
        <f>IF(AND('A-8'!O125="-",'A-8'!O197="-",'A-8'!O269="-"),"-",SUM('A-8'!O125,'A-8'!O197,'A-8'!O269))</f>
        <v>-</v>
      </c>
      <c r="S29" s="142" t="str">
        <f>IF(AND('A-8'!P125="-",'A-8'!P197="-",'A-8'!P269="-"),"-",SUM('A-8'!P125,'A-8'!P197,'A-8'!P269))</f>
        <v>-</v>
      </c>
      <c r="T29" s="142" t="str">
        <f>IF(AND('A-8'!Q125="-",'A-8'!Q197="-",'A-8'!Q269="-"),"-",SUM('A-8'!Q125,'A-8'!Q197,'A-8'!Q269))</f>
        <v>-</v>
      </c>
      <c r="U29" s="142" t="str">
        <f>IF(AND('A-8'!R125="-",'A-8'!R197="-",'A-8'!R269="-"),"-",SUM('A-8'!R125,'A-8'!R197,'A-8'!R269))</f>
        <v>-</v>
      </c>
      <c r="V29" s="142" t="s">
        <v>23</v>
      </c>
      <c r="W29" s="142" t="s">
        <v>23</v>
      </c>
      <c r="X29" s="142" t="s">
        <v>23</v>
      </c>
      <c r="Z29" s="1">
        <v>3</v>
      </c>
    </row>
    <row r="30" spans="1:26" ht="11.25" customHeight="1">
      <c r="A30" s="99">
        <v>2001</v>
      </c>
      <c r="B30" s="142" t="str">
        <f>IF(AND('A-8'!B126="-",'A-8'!B198="-",'A-8'!B270="-"),"-",SUM('A-8'!B126,'A-8'!B198,'A-8'!B270))</f>
        <v>-</v>
      </c>
      <c r="C30" s="142">
        <f>IF(AND('A-8'!C126="-",'A-8'!C198="-",'A-8'!C270="-"),"-",SUM('A-8'!C126,'A-8'!C198,'A-8'!C270))</f>
        <v>18536</v>
      </c>
      <c r="D30" s="142">
        <f>IF(AND('A-8'!D126="-",'A-8'!D198="-",'A-8'!D270="-"),"-",SUM('A-8'!D126,'A-8'!D198,'A-8'!D270))</f>
        <v>60552</v>
      </c>
      <c r="E30" s="142">
        <f>IF(AND('A-8'!E126="-",'A-8'!E198="-",'A-8'!E270="-"),"-",SUM('A-8'!E126,'A-8'!E198,'A-8'!E270))</f>
        <v>42926</v>
      </c>
      <c r="F30" s="142">
        <f>IF(AND('A-8'!F126="-",'A-8'!F198="-",'A-8'!F270="-"),"-",SUM('A-8'!F126,'A-8'!F198,'A-8'!F270))</f>
        <v>37539</v>
      </c>
      <c r="G30" s="142">
        <f>IF(AND('A-8'!G126="-",'A-8'!G198="-",'A-8'!G270="-"),"-",SUM('A-8'!G126,'A-8'!G198,'A-8'!G270))</f>
        <v>60707</v>
      </c>
      <c r="H30" s="142">
        <f>IF(AND('A-8'!H126="-",'A-8'!H198="-",'A-8'!H270="-"),"-",SUM('A-8'!H126,'A-8'!H198,'A-8'!H270))</f>
        <v>30535</v>
      </c>
      <c r="I30" s="142">
        <f>IF(AND('A-8'!I126="-",'A-8'!I198="-",'A-8'!I270="-"),"-",SUM('A-8'!I126,'A-8'!I198,'A-8'!I270))</f>
        <v>15112</v>
      </c>
      <c r="J30" s="142">
        <f>IF(AND('A-8'!J126="-",'A-8'!J198="-",'A-8'!J270="-"),"-",SUM('A-8'!J126,'A-8'!J198,'A-8'!J270))</f>
        <v>1345</v>
      </c>
      <c r="K30" s="142">
        <f>IF(AND('A-8'!K126="-",'A-8'!K198="-",'A-8'!K270="-"),"-",SUM('A-8'!K126,'A-8'!K198,'A-8'!K270))</f>
        <v>21</v>
      </c>
      <c r="L30" s="142">
        <f>IF(AND('A-8'!L126="-",'A-8'!L198="-",'A-8'!L270="-"),"-",SUM('A-8'!L126,'A-8'!L198,'A-8'!L270))</f>
        <v>267273</v>
      </c>
      <c r="M30" s="7"/>
      <c r="N30" s="142" t="s">
        <v>23</v>
      </c>
      <c r="O30" s="142" t="s">
        <v>23</v>
      </c>
      <c r="P30" s="142" t="s">
        <v>23</v>
      </c>
      <c r="Q30" s="142" t="str">
        <f>IF(AND('A-8'!N126="-",'A-8'!N198="-",'A-8'!N270="-"),"-",SUM('A-8'!N126,'A-8'!N198,'A-8'!N270))</f>
        <v>-</v>
      </c>
      <c r="R30" s="142" t="str">
        <f>IF(AND('A-8'!O126="-",'A-8'!O198="-",'A-8'!O270="-"),"-",SUM('A-8'!O126,'A-8'!O198,'A-8'!O270))</f>
        <v>-</v>
      </c>
      <c r="S30" s="142" t="str">
        <f>IF(AND('A-8'!P126="-",'A-8'!P198="-",'A-8'!P270="-"),"-",SUM('A-8'!P126,'A-8'!P198,'A-8'!P270))</f>
        <v>-</v>
      </c>
      <c r="T30" s="142" t="str">
        <f>IF(AND('A-8'!Q126="-",'A-8'!Q198="-",'A-8'!Q270="-"),"-",SUM('A-8'!Q126,'A-8'!Q198,'A-8'!Q270))</f>
        <v>-</v>
      </c>
      <c r="U30" s="142" t="str">
        <f>IF(AND('A-8'!R126="-",'A-8'!R198="-",'A-8'!R270="-"),"-",SUM('A-8'!R126,'A-8'!R198,'A-8'!R270))</f>
        <v>-</v>
      </c>
      <c r="V30" s="142" t="s">
        <v>23</v>
      </c>
      <c r="W30" s="142" t="s">
        <v>23</v>
      </c>
      <c r="X30" s="142" t="s">
        <v>23</v>
      </c>
      <c r="Z30" s="1">
        <v>344</v>
      </c>
    </row>
    <row r="31" spans="1:26" ht="11.25" customHeight="1">
      <c r="A31" s="99">
        <v>2002</v>
      </c>
      <c r="B31" s="142">
        <f>IF(AND('A-8'!B127="-",'A-8'!B199="-",'A-8'!B271="-"),"-",SUM('A-8'!B127,'A-8'!B199,'A-8'!B271))</f>
        <v>6662</v>
      </c>
      <c r="C31" s="142">
        <f>IF(AND('A-8'!C127="-",'A-8'!C199="-",'A-8'!C271="-"),"-",SUM('A-8'!C127,'A-8'!C199,'A-8'!C271))</f>
        <v>10586</v>
      </c>
      <c r="D31" s="142">
        <f>IF(AND('A-8'!D127="-",'A-8'!D199="-",'A-8'!D271="-"),"-",SUM('A-8'!D127,'A-8'!D199,'A-8'!D271))</f>
        <v>23452</v>
      </c>
      <c r="E31" s="142">
        <f>IF(AND('A-8'!E127="-",'A-8'!E199="-",'A-8'!E271="-"),"-",SUM('A-8'!E127,'A-8'!E199,'A-8'!E271))</f>
        <v>59881</v>
      </c>
      <c r="F31" s="142">
        <f>IF(AND('A-8'!F127="-",'A-8'!F199="-",'A-8'!F271="-"),"-",SUM('A-8'!F127,'A-8'!F199,'A-8'!F271))</f>
        <v>12321</v>
      </c>
      <c r="G31" s="142">
        <f>IF(AND('A-8'!G127="-",'A-8'!G199="-",'A-8'!G271="-"),"-",SUM('A-8'!G127,'A-8'!G199,'A-8'!G271))</f>
        <v>28301</v>
      </c>
      <c r="H31" s="142">
        <f>IF(AND('A-8'!H127="-",'A-8'!H199="-",'A-8'!H271="-"),"-",SUM('A-8'!H127,'A-8'!H199,'A-8'!H271))</f>
        <v>58861</v>
      </c>
      <c r="I31" s="142">
        <f>IF(AND('A-8'!I127="-",'A-8'!I199="-",'A-8'!I271="-"),"-",SUM('A-8'!I127,'A-8'!I199,'A-8'!I271))</f>
        <v>83205</v>
      </c>
      <c r="J31" s="142">
        <f>IF(AND('A-8'!J127="-",'A-8'!J199="-",'A-8'!J271="-"),"-",SUM('A-8'!J127,'A-8'!J199,'A-8'!J271))</f>
        <v>1255</v>
      </c>
      <c r="K31" s="142">
        <f>IF(AND('A-8'!K127="-",'A-8'!K199="-",'A-8'!K271="-"),"-",SUM('A-8'!K127,'A-8'!K199,'A-8'!K271))</f>
        <v>65</v>
      </c>
      <c r="L31" s="142">
        <f>IF(AND('A-8'!L127="-",'A-8'!L199="-",'A-8'!L271="-"),"-",SUM('A-8'!L127,'A-8'!L199,'A-8'!L271))</f>
        <v>284589</v>
      </c>
      <c r="M31" s="7"/>
      <c r="N31" s="142" t="s">
        <v>23</v>
      </c>
      <c r="O31" s="142" t="s">
        <v>23</v>
      </c>
      <c r="P31" s="142" t="s">
        <v>23</v>
      </c>
      <c r="Q31" s="142" t="str">
        <f>IF(AND('A-8'!N127="-",'A-8'!N199="-",'A-8'!N271="-"),"-",SUM('A-8'!N127,'A-8'!N199,'A-8'!N271))</f>
        <v>-</v>
      </c>
      <c r="R31" s="142" t="str">
        <f>IF(AND('A-8'!O127="-",'A-8'!O199="-",'A-8'!O271="-"),"-",SUM('A-8'!O127,'A-8'!O199,'A-8'!O271))</f>
        <v>-</v>
      </c>
      <c r="S31" s="142" t="str">
        <f>IF(AND('A-8'!P127="-",'A-8'!P199="-",'A-8'!P271="-"),"-",SUM('A-8'!P127,'A-8'!P199,'A-8'!P271))</f>
        <v>-</v>
      </c>
      <c r="T31" s="142" t="str">
        <f>IF(AND('A-8'!Q127="-",'A-8'!Q199="-",'A-8'!Q271="-"),"-",SUM('A-8'!Q127,'A-8'!Q199,'A-8'!Q271))</f>
        <v>-</v>
      </c>
      <c r="U31" s="142" t="str">
        <f>IF(AND('A-8'!R127="-",'A-8'!R199="-",'A-8'!R271="-"),"-",SUM('A-8'!R127,'A-8'!R199,'A-8'!R271))</f>
        <v>-</v>
      </c>
      <c r="V31" s="142" t="s">
        <v>23</v>
      </c>
      <c r="W31" s="142" t="s">
        <v>23</v>
      </c>
      <c r="X31" s="142" t="s">
        <v>23</v>
      </c>
      <c r="Z31" s="1">
        <v>0</v>
      </c>
    </row>
    <row r="32" spans="1:26" ht="11.25" customHeight="1">
      <c r="A32" s="99">
        <v>2003</v>
      </c>
      <c r="B32" s="142">
        <f>IF(AND('A-8'!B128="-",'A-8'!B200="-",'A-8'!B272="-"),"-",SUM('A-8'!B128,'A-8'!B200,'A-8'!B272))</f>
        <v>3192</v>
      </c>
      <c r="C32" s="142">
        <f>IF(AND('A-8'!C128="-",'A-8'!C200="-",'A-8'!C272="-"),"-",SUM('A-8'!C128,'A-8'!C200,'A-8'!C272))</f>
        <v>58899</v>
      </c>
      <c r="D32" s="142">
        <f>IF(AND('A-8'!D128="-",'A-8'!D200="-",'A-8'!D272="-"),"-",SUM('A-8'!D128,'A-8'!D200,'A-8'!D272))</f>
        <v>73522</v>
      </c>
      <c r="E32" s="142">
        <f>IF(AND('A-8'!E128="-",'A-8'!E200="-",'A-8'!E272="-"),"-",SUM('A-8'!E128,'A-8'!E200,'A-8'!E272))</f>
        <v>31841</v>
      </c>
      <c r="F32" s="142">
        <f>IF(AND('A-8'!F128="-",'A-8'!F200="-",'A-8'!F272="-"),"-",SUM('A-8'!F128,'A-8'!F200,'A-8'!F272))</f>
        <v>19579</v>
      </c>
      <c r="G32" s="142">
        <f>IF(AND('A-8'!G128="-",'A-8'!G200="-",'A-8'!G272="-"),"-",SUM('A-8'!G128,'A-8'!G200,'A-8'!G272))</f>
        <v>37321</v>
      </c>
      <c r="H32" s="142">
        <f>IF(AND('A-8'!H128="-",'A-8'!H200="-",'A-8'!H272="-"),"-",SUM('A-8'!H128,'A-8'!H200,'A-8'!H272))</f>
        <v>49646</v>
      </c>
      <c r="I32" s="142">
        <f>IF(AND('A-8'!I128="-",'A-8'!I200="-",'A-8'!I272="-"),"-",SUM('A-8'!I128,'A-8'!I200,'A-8'!I272))</f>
        <v>39089</v>
      </c>
      <c r="J32" s="142">
        <f>IF(AND('A-8'!J128="-",'A-8'!J200="-",'A-8'!J272="-"),"-",SUM('A-8'!J128,'A-8'!J200,'A-8'!J272))</f>
        <v>996</v>
      </c>
      <c r="K32" s="142">
        <f>IF(AND('A-8'!K128="-",'A-8'!K200="-",'A-8'!K272="-"),"-",SUM('A-8'!K128,'A-8'!K200,'A-8'!K272))</f>
        <v>137</v>
      </c>
      <c r="L32" s="142">
        <f>IF(AND('A-8'!L128="-",'A-8'!L200="-",'A-8'!L272="-"),"-",SUM('A-8'!L128,'A-8'!L200,'A-8'!L272))</f>
        <v>314222</v>
      </c>
      <c r="M32" s="7"/>
      <c r="N32" s="142" t="s">
        <v>23</v>
      </c>
      <c r="O32" s="142" t="s">
        <v>23</v>
      </c>
      <c r="P32" s="142" t="s">
        <v>23</v>
      </c>
      <c r="Q32" s="142" t="str">
        <f>IF(AND('A-8'!N128="-",'A-8'!N200="-",'A-8'!N272="-"),"-",SUM('A-8'!N128,'A-8'!N200,'A-8'!N272))</f>
        <v>-</v>
      </c>
      <c r="R32" s="142" t="str">
        <f>IF(AND('A-8'!O128="-",'A-8'!O200="-",'A-8'!O272="-"),"-",SUM('A-8'!O128,'A-8'!O200,'A-8'!O272))</f>
        <v>-</v>
      </c>
      <c r="S32" s="142" t="str">
        <f>IF(AND('A-8'!P128="-",'A-8'!P200="-",'A-8'!P272="-"),"-",SUM('A-8'!P128,'A-8'!P200,'A-8'!P272))</f>
        <v>-</v>
      </c>
      <c r="T32" s="142" t="str">
        <f>IF(AND('A-8'!Q128="-",'A-8'!Q200="-",'A-8'!Q272="-"),"-",SUM('A-8'!Q128,'A-8'!Q200,'A-8'!Q272))</f>
        <v>-</v>
      </c>
      <c r="U32" s="142" t="str">
        <f>IF(AND('A-8'!R128="-",'A-8'!R200="-",'A-8'!R272="-"),"-",SUM('A-8'!R128,'A-8'!R200,'A-8'!R272))</f>
        <v>-</v>
      </c>
      <c r="V32" s="142" t="s">
        <v>23</v>
      </c>
      <c r="W32" s="142" t="s">
        <v>23</v>
      </c>
      <c r="X32" s="142" t="s">
        <v>23</v>
      </c>
      <c r="Z32" s="1">
        <v>23</v>
      </c>
    </row>
    <row r="33" spans="1:26" ht="11.25" customHeight="1">
      <c r="A33" s="99">
        <v>2004</v>
      </c>
      <c r="B33" s="142">
        <f>IF(AND('A-8'!B129="-",'A-8'!B201="-",'A-8'!B273="-"),"-",SUM('A-8'!B129,'A-8'!B201,'A-8'!B273))</f>
        <v>21043</v>
      </c>
      <c r="C33" s="142">
        <f>IF(AND('A-8'!C129="-",'A-8'!C201="-",'A-8'!C273="-"),"-",SUM('A-8'!C129,'A-8'!C201,'A-8'!C273))</f>
        <v>33989</v>
      </c>
      <c r="D33" s="142">
        <f>IF(AND('A-8'!D129="-",'A-8'!D201="-",'A-8'!D273="-"),"-",SUM('A-8'!D129,'A-8'!D201,'A-8'!D273))</f>
        <v>37270</v>
      </c>
      <c r="E33" s="142">
        <f>IF(AND('A-8'!E129="-",'A-8'!E201="-",'A-8'!E273="-"),"-",SUM('A-8'!E129,'A-8'!E201,'A-8'!E273))</f>
        <v>22899</v>
      </c>
      <c r="F33" s="142">
        <f>IF(AND('A-8'!F129="-",'A-8'!F201="-",'A-8'!F273="-"),"-",SUM('A-8'!F129,'A-8'!F201,'A-8'!F273))</f>
        <v>14068</v>
      </c>
      <c r="G33" s="142">
        <f>IF(AND('A-8'!G129="-",'A-8'!G201="-",'A-8'!G273="-"),"-",SUM('A-8'!G129,'A-8'!G201,'A-8'!G273))</f>
        <v>76652</v>
      </c>
      <c r="H33" s="142">
        <f>IF(AND('A-8'!H129="-",'A-8'!H201="-",'A-8'!H273="-"),"-",SUM('A-8'!H129,'A-8'!H201,'A-8'!H273))</f>
        <v>24531</v>
      </c>
      <c r="I33" s="142">
        <f>IF(AND('A-8'!I129="-",'A-8'!I201="-",'A-8'!I273="-"),"-",SUM('A-8'!I129,'A-8'!I201,'A-8'!I273))</f>
        <v>8322</v>
      </c>
      <c r="J33" s="142">
        <f>IF(AND('A-8'!J129="-",'A-8'!J201="-",'A-8'!J273="-"),"-",SUM('A-8'!J129,'A-8'!J201,'A-8'!J273))</f>
        <v>2151</v>
      </c>
      <c r="K33" s="142">
        <f>IF(AND('A-8'!K129="-",'A-8'!K201="-",'A-8'!K273="-"),"-",SUM('A-8'!K129,'A-8'!K201,'A-8'!K273))</f>
        <v>182</v>
      </c>
      <c r="L33" s="142">
        <f>IF(AND('A-8'!L129="-",'A-8'!L201="-",'A-8'!L273="-"),"-",SUM('A-8'!L129,'A-8'!L201,'A-8'!L273))</f>
        <v>241107</v>
      </c>
      <c r="M33" s="7"/>
      <c r="N33" s="142" t="s">
        <v>23</v>
      </c>
      <c r="O33" s="142" t="s">
        <v>23</v>
      </c>
      <c r="P33" s="142" t="s">
        <v>23</v>
      </c>
      <c r="Q33" s="142" t="str">
        <f>IF(AND('A-8'!N129="-",'A-8'!N201="-",'A-8'!N273="-"),"-",SUM('A-8'!N129,'A-8'!N201,'A-8'!N273))</f>
        <v>-</v>
      </c>
      <c r="R33" s="142" t="str">
        <f>IF(AND('A-8'!O129="-",'A-8'!O201="-",'A-8'!O273="-"),"-",SUM('A-8'!O129,'A-8'!O201,'A-8'!O273))</f>
        <v>-</v>
      </c>
      <c r="S33" s="142" t="str">
        <f>IF(AND('A-8'!P129="-",'A-8'!P201="-",'A-8'!P273="-"),"-",SUM('A-8'!P129,'A-8'!P201,'A-8'!P273))</f>
        <v>-</v>
      </c>
      <c r="T33" s="142" t="str">
        <f>IF(AND('A-8'!Q129="-",'A-8'!Q201="-",'A-8'!Q273="-"),"-",SUM('A-8'!Q129,'A-8'!Q201,'A-8'!Q273))</f>
        <v>-</v>
      </c>
      <c r="U33" s="142" t="str">
        <f>IF(AND('A-8'!R129="-",'A-8'!R201="-",'A-8'!R273="-"),"-",SUM('A-8'!R129,'A-8'!R201,'A-8'!R273))</f>
        <v>-</v>
      </c>
      <c r="V33" s="142" t="s">
        <v>23</v>
      </c>
      <c r="W33" s="142" t="s">
        <v>23</v>
      </c>
      <c r="X33" s="142" t="s">
        <v>23</v>
      </c>
      <c r="Z33" s="1">
        <v>0</v>
      </c>
    </row>
    <row r="34" spans="1:26" ht="11.25" customHeight="1">
      <c r="A34" s="99">
        <v>2005</v>
      </c>
      <c r="B34" s="142">
        <f>IF(AND('A-8'!B130="-",'A-8'!B202="-",'A-8'!B274="-"),"-",SUM('A-8'!B130,'A-8'!B202,'A-8'!B274))</f>
        <v>28297</v>
      </c>
      <c r="C34" s="142">
        <f>IF(AND('A-8'!C130="-",'A-8'!C202="-",'A-8'!C274="-"),"-",SUM('A-8'!C130,'A-8'!C202,'A-8'!C274))</f>
        <v>4782</v>
      </c>
      <c r="D34" s="142">
        <f>IF(AND('A-8'!D130="-",'A-8'!D202="-",'A-8'!D274="-"),"-",SUM('A-8'!D130,'A-8'!D202,'A-8'!D274))</f>
        <v>55741</v>
      </c>
      <c r="E34" s="142">
        <f>IF(AND('A-8'!E130="-",'A-8'!E202="-",'A-8'!E274="-"),"-",SUM('A-8'!E130,'A-8'!E202,'A-8'!E274))</f>
        <v>49895</v>
      </c>
      <c r="F34" s="142" t="str">
        <f>IF(AND('A-8'!F130="-",'A-8'!F202="-",'A-8'!F274="-"),"-",SUM('A-8'!F130,'A-8'!F202,'A-8'!F274))</f>
        <v>-</v>
      </c>
      <c r="G34" s="142" t="str">
        <f>IF(AND('A-8'!G130="-",'A-8'!G202="-",'A-8'!G274="-"),"-",SUM('A-8'!G130,'A-8'!G202,'A-8'!G274))</f>
        <v>-</v>
      </c>
      <c r="H34" s="142">
        <f>IF(AND('A-8'!H130="-",'A-8'!H202="-",'A-8'!H274="-"),"-",SUM('A-8'!H130,'A-8'!H202,'A-8'!H274))</f>
        <v>81937</v>
      </c>
      <c r="I34" s="142">
        <f>IF(AND('A-8'!I130="-",'A-8'!I202="-",'A-8'!I274="-"),"-",SUM('A-8'!I130,'A-8'!I202,'A-8'!I274))</f>
        <v>17170</v>
      </c>
      <c r="J34" s="142">
        <f>IF(AND('A-8'!J130="-",'A-8'!J202="-",'A-8'!J274="-"),"-",SUM('A-8'!J130,'A-8'!J202,'A-8'!J274))</f>
        <v>787</v>
      </c>
      <c r="K34" s="142">
        <f>IF(AND('A-8'!K130="-",'A-8'!K202="-",'A-8'!K274="-"),"-",SUM('A-8'!K130,'A-8'!K202,'A-8'!K274))</f>
        <v>335</v>
      </c>
      <c r="L34" s="142">
        <f>IF(AND('A-8'!L130="-",'A-8'!L202="-",'A-8'!L274="-"),"-",SUM('A-8'!L130,'A-8'!L202,'A-8'!L274))</f>
        <v>238944</v>
      </c>
      <c r="M34" s="7"/>
      <c r="N34" s="142" t="s">
        <v>23</v>
      </c>
      <c r="O34" s="142" t="s">
        <v>23</v>
      </c>
      <c r="P34" s="142" t="s">
        <v>23</v>
      </c>
      <c r="Q34" s="142" t="str">
        <f>IF(AND('A-8'!N130="-",'A-8'!N202="-",'A-8'!N274="-"),"-",SUM('A-8'!N130,'A-8'!N202,'A-8'!N274))</f>
        <v>-</v>
      </c>
      <c r="R34" s="142" t="str">
        <f>IF(AND('A-8'!O130="-",'A-8'!O202="-",'A-8'!O274="-"),"-",SUM('A-8'!O130,'A-8'!O202,'A-8'!O274))</f>
        <v>-</v>
      </c>
      <c r="S34" s="142" t="str">
        <f>IF(AND('A-8'!P130="-",'A-8'!P202="-",'A-8'!P274="-"),"-",SUM('A-8'!P130,'A-8'!P202,'A-8'!P274))</f>
        <v>-</v>
      </c>
      <c r="T34" s="142" t="str">
        <f>IF(AND('A-8'!Q130="-",'A-8'!Q202="-",'A-8'!Q274="-"),"-",SUM('A-8'!Q130,'A-8'!Q202,'A-8'!Q274))</f>
        <v>-</v>
      </c>
      <c r="U34" s="142" t="str">
        <f>IF(AND('A-8'!R130="-",'A-8'!R202="-",'A-8'!R274="-"),"-",SUM('A-8'!R130,'A-8'!R202,'A-8'!R274))</f>
        <v>-</v>
      </c>
      <c r="V34" s="142" t="s">
        <v>23</v>
      </c>
      <c r="W34" s="142" t="s">
        <v>23</v>
      </c>
      <c r="X34" s="142" t="s">
        <v>23</v>
      </c>
      <c r="Z34" s="1">
        <v>1</v>
      </c>
    </row>
    <row r="35" spans="1:26" ht="11.25" customHeight="1">
      <c r="A35" s="99">
        <v>2006</v>
      </c>
      <c r="B35" s="142" t="str">
        <f>IF(AND('A-8'!B131="-",'A-8'!B203="-",'A-8'!B275="-"),"-",SUM('A-8'!B131,'A-8'!B203,'A-8'!B275))</f>
        <v>-</v>
      </c>
      <c r="C35" s="142" t="str">
        <f>IF(AND('A-8'!C131="-",'A-8'!C203="-",'A-8'!C275="-"),"-",SUM('A-8'!C131,'A-8'!C203,'A-8'!C275))</f>
        <v>-</v>
      </c>
      <c r="D35" s="142" t="str">
        <f>IF(AND('A-8'!D131="-",'A-8'!D203="-",'A-8'!D275="-"),"-",SUM('A-8'!D131,'A-8'!D203,'A-8'!D275))</f>
        <v>-</v>
      </c>
      <c r="E35" s="142">
        <f>IF(AND('A-8'!E131="-",'A-8'!E203="-",'A-8'!E275="-"),"-",SUM('A-8'!E131,'A-8'!E203,'A-8'!E275))</f>
        <v>9550</v>
      </c>
      <c r="F35" s="142">
        <f>IF(AND('A-8'!F131="-",'A-8'!F203="-",'A-8'!F275="-"),"-",SUM('A-8'!F131,'A-8'!F203,'A-8'!F275))</f>
        <v>3616</v>
      </c>
      <c r="G35" s="142">
        <f>IF(AND('A-8'!G131="-",'A-8'!G203="-",'A-8'!G275="-"),"-",SUM('A-8'!G131,'A-8'!G203,'A-8'!G275))</f>
        <v>962</v>
      </c>
      <c r="H35" s="142">
        <f>IF(AND('A-8'!H131="-",'A-8'!H203="-",'A-8'!H275="-"),"-",SUM('A-8'!H131,'A-8'!H203,'A-8'!H275))</f>
        <v>4367</v>
      </c>
      <c r="I35" s="142">
        <f>IF(AND('A-8'!I131="-",'A-8'!I203="-",'A-8'!I275="-"),"-",SUM('A-8'!I131,'A-8'!I203,'A-8'!I275))</f>
        <v>3449</v>
      </c>
      <c r="J35" s="142">
        <f>IF(AND('A-8'!J131="-",'A-8'!J203="-",'A-8'!J275="-"),"-",SUM('A-8'!J131,'A-8'!J203,'A-8'!J275))</f>
        <v>1555</v>
      </c>
      <c r="K35" s="142">
        <f>IF(AND('A-8'!K131="-",'A-8'!K203="-",'A-8'!K275="-"),"-",SUM('A-8'!K131,'A-8'!K203,'A-8'!K275))</f>
        <v>131</v>
      </c>
      <c r="L35" s="142">
        <f>IF(AND('A-8'!L131="-",'A-8'!L203="-",'A-8'!L275="-"),"-",SUM('A-8'!L131,'A-8'!L203,'A-8'!L275))</f>
        <v>23630</v>
      </c>
      <c r="M35" s="7"/>
      <c r="N35" s="142" t="s">
        <v>23</v>
      </c>
      <c r="O35" s="142" t="s">
        <v>23</v>
      </c>
      <c r="P35" s="142" t="s">
        <v>23</v>
      </c>
      <c r="Q35" s="142" t="str">
        <f>IF(AND('A-8'!N131="-",'A-8'!N203="-",'A-8'!N275="-"),"-",SUM('A-8'!N131,'A-8'!N203,'A-8'!N275))</f>
        <v>-</v>
      </c>
      <c r="R35" s="142" t="str">
        <f>IF(AND('A-8'!O131="-",'A-8'!O203="-",'A-8'!O275="-"),"-",SUM('A-8'!O131,'A-8'!O203,'A-8'!O275))</f>
        <v>-</v>
      </c>
      <c r="S35" s="142" t="str">
        <f>IF(AND('A-8'!P131="-",'A-8'!P203="-",'A-8'!P275="-"),"-",SUM('A-8'!P131,'A-8'!P203,'A-8'!P275))</f>
        <v>-</v>
      </c>
      <c r="T35" s="142" t="str">
        <f>IF(AND('A-8'!Q131="-",'A-8'!Q203="-",'A-8'!Q275="-"),"-",SUM('A-8'!Q131,'A-8'!Q203,'A-8'!Q275))</f>
        <v>-</v>
      </c>
      <c r="U35" s="142" t="str">
        <f>IF(AND('A-8'!R131="-",'A-8'!R203="-",'A-8'!R275="-"),"-",SUM('A-8'!R131,'A-8'!R203,'A-8'!R275))</f>
        <v>-</v>
      </c>
      <c r="V35" s="142" t="s">
        <v>23</v>
      </c>
      <c r="W35" s="142" t="s">
        <v>23</v>
      </c>
      <c r="X35" s="142" t="s">
        <v>23</v>
      </c>
      <c r="Z35" s="1">
        <v>0</v>
      </c>
    </row>
    <row r="36" spans="1:26" ht="11.25" customHeight="1">
      <c r="A36" s="99">
        <v>2007</v>
      </c>
      <c r="B36" s="142" t="str">
        <f>IF(AND('A-8'!B132="-",'A-8'!B204="-",'A-8'!B276="-"),"-",SUM('A-8'!B132,'A-8'!B204,'A-8'!B276))</f>
        <v>-</v>
      </c>
      <c r="C36" s="142">
        <f>IF(AND('A-8'!C132="-",'A-8'!C204="-",'A-8'!C276="-"),"-",SUM('A-8'!C132,'A-8'!C204,'A-8'!C276))</f>
        <v>1856</v>
      </c>
      <c r="D36" s="142">
        <f>IF(AND('A-8'!D132="-",'A-8'!D204="-",'A-8'!D276="-"),"-",SUM('A-8'!D132,'A-8'!D204,'A-8'!D276))</f>
        <v>7328</v>
      </c>
      <c r="E36" s="142">
        <f>IF(AND('A-8'!E132="-",'A-8'!E204="-",'A-8'!E276="-"),"-",SUM('A-8'!E132,'A-8'!E204,'A-8'!E276))</f>
        <v>4463</v>
      </c>
      <c r="F36" s="142">
        <f>IF(AND('A-8'!F132="-",'A-8'!F204="-",'A-8'!F276="-"),"-",SUM('A-8'!F132,'A-8'!F204,'A-8'!F276))</f>
        <v>1759</v>
      </c>
      <c r="G36" s="142">
        <f>IF(AND('A-8'!G132="-",'A-8'!G204="-",'A-8'!G276="-"),"-",SUM('A-8'!G132,'A-8'!G204,'A-8'!G276))</f>
        <v>12360</v>
      </c>
      <c r="H36" s="142">
        <f>IF(AND('A-8'!H132="-",'A-8'!H204="-",'A-8'!H276="-"),"-",SUM('A-8'!H132,'A-8'!H204,'A-8'!H276))</f>
        <v>713</v>
      </c>
      <c r="I36" s="142">
        <f>IF(AND('A-8'!I132="-",'A-8'!I204="-",'A-8'!I276="-"),"-",SUM('A-8'!I132,'A-8'!I204,'A-8'!I276))</f>
        <v>795</v>
      </c>
      <c r="J36" s="142">
        <f>IF(AND('A-8'!J132="-",'A-8'!J204="-",'A-8'!J276="-"),"-",SUM('A-8'!J132,'A-8'!J204,'A-8'!J276))</f>
        <v>670</v>
      </c>
      <c r="K36" s="142">
        <f>IF(AND('A-8'!K132="-",'A-8'!K204="-",'A-8'!K276="-"),"-",SUM('A-8'!K132,'A-8'!K204,'A-8'!K276))</f>
        <v>3</v>
      </c>
      <c r="L36" s="142">
        <f>IF(AND('A-8'!L132="-",'A-8'!L204="-",'A-8'!L276="-"),"-",SUM('A-8'!L132,'A-8'!L204,'A-8'!L276))</f>
        <v>29947</v>
      </c>
      <c r="M36" s="7"/>
      <c r="N36" s="142" t="s">
        <v>23</v>
      </c>
      <c r="O36" s="142" t="s">
        <v>23</v>
      </c>
      <c r="P36" s="142" t="s">
        <v>23</v>
      </c>
      <c r="Q36" s="142" t="str">
        <f>IF(AND('A-8'!N132="-",'A-8'!N204="-",'A-8'!N276="-"),"-",SUM('A-8'!N132,'A-8'!N204,'A-8'!N276))</f>
        <v>-</v>
      </c>
      <c r="R36" s="142" t="str">
        <f>IF(AND('A-8'!O132="-",'A-8'!O204="-",'A-8'!O276="-"),"-",SUM('A-8'!O132,'A-8'!O204,'A-8'!O276))</f>
        <v>-</v>
      </c>
      <c r="S36" s="142">
        <f>IF(AND('A-8'!P132="-",'A-8'!P204="-",'A-8'!P276="-"),"-",SUM('A-8'!P132,'A-8'!P204,'A-8'!P276))</f>
        <v>5036</v>
      </c>
      <c r="T36" s="142">
        <f>IF(AND('A-8'!Q132="-",'A-8'!Q204="-",'A-8'!Q276="-"),"-",SUM('A-8'!Q132,'A-8'!Q204,'A-8'!Q276))</f>
        <v>519</v>
      </c>
      <c r="U36" s="142" t="str">
        <f>IF(AND('A-8'!R132="-",'A-8'!R204="-",'A-8'!R276="-"),"-",SUM('A-8'!R132,'A-8'!R204,'A-8'!R276))</f>
        <v>-</v>
      </c>
      <c r="V36" s="142" t="s">
        <v>23</v>
      </c>
      <c r="W36" s="142" t="s">
        <v>23</v>
      </c>
      <c r="X36" s="142">
        <f>SUM(N36:W36)</f>
        <v>5555</v>
      </c>
      <c r="Z36" s="1">
        <v>73</v>
      </c>
    </row>
    <row r="37" spans="1:26" ht="11.25" customHeight="1">
      <c r="A37" s="99">
        <v>2008</v>
      </c>
      <c r="B37" s="142" t="str">
        <f>IF(AND('A-8'!B133="-",'A-8'!B205="-",'A-8'!B277="-"),"-",SUM('A-8'!B133,'A-8'!B205,'A-8'!B277))</f>
        <v>-</v>
      </c>
      <c r="C37" s="142" t="str">
        <f>IF(AND('A-8'!C133="-",'A-8'!C205="-",'A-8'!C277="-"),"-",SUM('A-8'!C133,'A-8'!C205,'A-8'!C277))</f>
        <v>-</v>
      </c>
      <c r="D37" s="142" t="str">
        <f>IF(AND('A-8'!D133="-",'A-8'!D205="-",'A-8'!D277="-"),"-",SUM('A-8'!D133,'A-8'!D205,'A-8'!D277))</f>
        <v>-</v>
      </c>
      <c r="E37" s="142" t="str">
        <f>IF(AND('A-8'!E133="-",'A-8'!E205="-",'A-8'!E277="-"),"-",SUM('A-8'!E133,'A-8'!E205,'A-8'!E277))</f>
        <v>-</v>
      </c>
      <c r="F37" s="142" t="str">
        <f>IF(AND('A-8'!F133="-",'A-8'!F205="-",'A-8'!F277="-"),"-",SUM('A-8'!F133,'A-8'!F205,'A-8'!F277))</f>
        <v>-</v>
      </c>
      <c r="G37" s="142" t="str">
        <f>IF(AND('A-8'!G133="-",'A-8'!G205="-",'A-8'!G277="-"),"-",SUM('A-8'!G133,'A-8'!G205,'A-8'!G277))</f>
        <v>-</v>
      </c>
      <c r="H37" s="142">
        <f>IF(AND('A-8'!H133="-",'A-8'!H205="-",'A-8'!H277="-"),"-",SUM('A-8'!H133,'A-8'!H205,'A-8'!H277))</f>
        <v>64</v>
      </c>
      <c r="I37" s="142">
        <f>IF(AND('A-8'!I133="-",'A-8'!I205="-",'A-8'!I277="-"),"-",SUM('A-8'!I133,'A-8'!I205,'A-8'!I277))</f>
        <v>12</v>
      </c>
      <c r="J37" s="142">
        <f>IF(AND('A-8'!J133="-",'A-8'!J205="-",'A-8'!J277="-"),"-",SUM('A-8'!J133,'A-8'!J205,'A-8'!J277))</f>
        <v>208</v>
      </c>
      <c r="K37" s="142" t="str">
        <f>IF(AND('A-8'!K133="-",'A-8'!K205="-",'A-8'!K277="-"),"-",SUM('A-8'!K133,'A-8'!K205,'A-8'!K277))</f>
        <v>-</v>
      </c>
      <c r="L37" s="142">
        <f>IF(AND('A-8'!L133="-",'A-8'!L205="-",'A-8'!L277="-"),"-",SUM('A-8'!L133,'A-8'!L205,'A-8'!L277))</f>
        <v>284</v>
      </c>
      <c r="M37" s="7"/>
      <c r="N37" s="142" t="s">
        <v>23</v>
      </c>
      <c r="O37" s="142" t="s">
        <v>23</v>
      </c>
      <c r="P37" s="142" t="s">
        <v>23</v>
      </c>
      <c r="Q37" s="142" t="str">
        <f>IF(AND('A-8'!N133="-",'A-8'!N205="-",'A-8'!N277="-"),"-",SUM('A-8'!N133,'A-8'!N205,'A-8'!N277))</f>
        <v>-</v>
      </c>
      <c r="R37" s="142" t="str">
        <f>IF(AND('A-8'!O133="-",'A-8'!O205="-",'A-8'!O277="-"),"-",SUM('A-8'!O133,'A-8'!O205,'A-8'!O277))</f>
        <v>-</v>
      </c>
      <c r="S37" s="142" t="str">
        <f>IF(AND('A-8'!P133="-",'A-8'!P205="-",'A-8'!P277="-"),"-",SUM('A-8'!P133,'A-8'!P205,'A-8'!P277))</f>
        <v>-</v>
      </c>
      <c r="T37" s="142" t="str">
        <f>IF(AND('A-8'!Q133="-",'A-8'!Q205="-",'A-8'!Q277="-"),"-",SUM('A-8'!Q133,'A-8'!Q205,'A-8'!Q277))</f>
        <v>-</v>
      </c>
      <c r="U37" s="142" t="str">
        <f>IF(AND('A-8'!R133="-",'A-8'!R205="-",'A-8'!R277="-"),"-",SUM('A-8'!R133,'A-8'!R205,'A-8'!R277))</f>
        <v>-</v>
      </c>
      <c r="V37" s="142" t="s">
        <v>23</v>
      </c>
      <c r="W37" s="142" t="s">
        <v>23</v>
      </c>
      <c r="X37" s="142" t="s">
        <v>23</v>
      </c>
      <c r="Z37" s="1">
        <v>0</v>
      </c>
    </row>
    <row r="38" spans="1:26" ht="11.25" customHeight="1">
      <c r="A38" s="99">
        <v>2009</v>
      </c>
      <c r="B38" s="142" t="str">
        <f>IF(AND('A-8'!B134="-",'A-8'!B206="-",'A-8'!B278="-"),"-",SUM('A-8'!B134,'A-8'!B206,'A-8'!B278))</f>
        <v>-</v>
      </c>
      <c r="C38" s="142" t="str">
        <f>IF(AND('A-8'!C134="-",'A-8'!C206="-",'A-8'!C278="-"),"-",SUM('A-8'!C134,'A-8'!C206,'A-8'!C278))</f>
        <v>-</v>
      </c>
      <c r="D38" s="142" t="str">
        <f>IF(AND('A-8'!D134="-",'A-8'!D206="-",'A-8'!D278="-"),"-",SUM('A-8'!D134,'A-8'!D206,'A-8'!D278))</f>
        <v>-</v>
      </c>
      <c r="E38" s="142" t="str">
        <f>IF(AND('A-8'!E134="-",'A-8'!E206="-",'A-8'!E278="-"),"-",SUM('A-8'!E134,'A-8'!E206,'A-8'!E278))</f>
        <v>-</v>
      </c>
      <c r="F38" s="142" t="str">
        <f>IF(AND('A-8'!F134="-",'A-8'!F206="-",'A-8'!F278="-"),"-",SUM('A-8'!F134,'A-8'!F206,'A-8'!F278))</f>
        <v>-</v>
      </c>
      <c r="G38" s="142" t="str">
        <f>IF(AND('A-8'!G134="-",'A-8'!G206="-",'A-8'!G278="-"),"-",SUM('A-8'!G134,'A-8'!G206,'A-8'!G278))</f>
        <v>-</v>
      </c>
      <c r="H38" s="142">
        <f>IF(AND('A-8'!H134="-",'A-8'!H206="-",'A-8'!H278="-"),"-",SUM('A-8'!H134,'A-8'!H206,'A-8'!H278))</f>
        <v>105</v>
      </c>
      <c r="I38" s="142">
        <f>IF(AND('A-8'!I134="-",'A-8'!I206="-",'A-8'!I278="-"),"-",SUM('A-8'!I134,'A-8'!I206,'A-8'!I278))</f>
        <v>332</v>
      </c>
      <c r="J38" s="142" t="str">
        <f>IF(AND('A-8'!J134="-",'A-8'!J206="-",'A-8'!J278="-"),"-",SUM('A-8'!J134,'A-8'!J206,'A-8'!J278))</f>
        <v>-</v>
      </c>
      <c r="K38" s="142" t="str">
        <f>IF(AND('A-8'!K134="-",'A-8'!K206="-",'A-8'!K278="-"),"-",SUM('A-8'!K134,'A-8'!K206,'A-8'!K278))</f>
        <v>-</v>
      </c>
      <c r="L38" s="142">
        <f>IF(AND('A-8'!L134="-",'A-8'!L206="-",'A-8'!L278="-"),"-",SUM('A-8'!L134,'A-8'!L206,'A-8'!L278))</f>
        <v>437</v>
      </c>
      <c r="M38" s="7"/>
      <c r="N38" s="142" t="s">
        <v>23</v>
      </c>
      <c r="O38" s="142" t="s">
        <v>23</v>
      </c>
      <c r="P38" s="142" t="s">
        <v>23</v>
      </c>
      <c r="Q38" s="142" t="str">
        <f>IF(AND('A-8'!N134="-",'A-8'!N206="-",'A-8'!N278="-"),"-",SUM('A-8'!N134,'A-8'!N206,'A-8'!N278))</f>
        <v>-</v>
      </c>
      <c r="R38" s="142" t="str">
        <f>IF(AND('A-8'!O134="-",'A-8'!O206="-",'A-8'!O278="-"),"-",SUM('A-8'!O134,'A-8'!O206,'A-8'!O278))</f>
        <v>-</v>
      </c>
      <c r="S38" s="142" t="str">
        <f>IF(AND('A-8'!P134="-",'A-8'!P206="-",'A-8'!P278="-"),"-",SUM('A-8'!P134,'A-8'!P206,'A-8'!P278))</f>
        <v>-</v>
      </c>
      <c r="T38" s="142">
        <f>IF(AND('A-8'!Q134="-",'A-8'!Q206="-",'A-8'!Q278="-"),"-",SUM('A-8'!Q134,'A-8'!Q206,'A-8'!Q278))</f>
        <v>9278</v>
      </c>
      <c r="U38" s="142" t="str">
        <f>IF(AND('A-8'!R134="-",'A-8'!R206="-",'A-8'!R278="-"),"-",SUM('A-8'!R134,'A-8'!R206,'A-8'!R278))</f>
        <v>-</v>
      </c>
      <c r="V38" s="142" t="s">
        <v>23</v>
      </c>
      <c r="W38" s="142" t="s">
        <v>23</v>
      </c>
      <c r="X38" s="142">
        <f>SUM(N38:W38)</f>
        <v>9278</v>
      </c>
      <c r="Z38" s="1">
        <v>0</v>
      </c>
    </row>
    <row r="39" spans="1:26" ht="11.25" customHeight="1">
      <c r="A39" s="99">
        <v>2010</v>
      </c>
      <c r="B39" s="142" t="str">
        <f>IF(AND('A-8'!B135="-",'A-8'!B207="-",'A-8'!B279="-"),"-",SUM('A-8'!B135,'A-8'!B207,'A-8'!B279))</f>
        <v>-</v>
      </c>
      <c r="C39" s="142" t="str">
        <f>IF(AND('A-8'!C135="-",'A-8'!C207="-",'A-8'!C279="-"),"-",SUM('A-8'!C135,'A-8'!C207,'A-8'!C279))</f>
        <v>-</v>
      </c>
      <c r="D39" s="142">
        <f>IF(AND('A-8'!D135="-",'A-8'!D207="-",'A-8'!D279="-"),"-",SUM('A-8'!D135,'A-8'!D207,'A-8'!D279))</f>
        <v>9019</v>
      </c>
      <c r="E39" s="142">
        <f>IF(AND('A-8'!E135="-",'A-8'!E207="-",'A-8'!E279="-"),"-",SUM('A-8'!E135,'A-8'!E207,'A-8'!E279))</f>
        <v>8966</v>
      </c>
      <c r="F39" s="142">
        <f>IF(AND('A-8'!F135="-",'A-8'!F207="-",'A-8'!F279="-"),"-",SUM('A-8'!F135,'A-8'!F207,'A-8'!F279))</f>
        <v>4276</v>
      </c>
      <c r="G39" s="142">
        <f>IF(AND('A-8'!G135="-",'A-8'!G207="-",'A-8'!G279="-"),"-",SUM('A-8'!G135,'A-8'!G207,'A-8'!G279))</f>
        <v>3797</v>
      </c>
      <c r="H39" s="142">
        <f>IF(AND('A-8'!H135="-",'A-8'!H207="-",'A-8'!H279="-"),"-",SUM('A-8'!H135,'A-8'!H207,'A-8'!H279))</f>
        <v>56</v>
      </c>
      <c r="I39" s="142">
        <f>IF(AND('A-8'!I135="-",'A-8'!I207="-",'A-8'!I279="-"),"-",SUM('A-8'!I135,'A-8'!I207,'A-8'!I279))</f>
        <v>1330</v>
      </c>
      <c r="J39" s="142" t="str">
        <f>IF(AND('A-8'!J135="-",'A-8'!J207="-",'A-8'!J279="-"),"-",SUM('A-8'!J135,'A-8'!J207,'A-8'!J279))</f>
        <v>-</v>
      </c>
      <c r="K39" s="142" t="str">
        <f>IF(AND('A-8'!K135="-",'A-8'!K207="-",'A-8'!K279="-"),"-",SUM('A-8'!K135,'A-8'!K207,'A-8'!K279))</f>
        <v>-</v>
      </c>
      <c r="L39" s="142">
        <f>IF(AND('A-8'!L135="-",'A-8'!L207="-",'A-8'!L279="-"),"-",SUM('A-8'!L135,'A-8'!L207,'A-8'!L279))</f>
        <v>27444</v>
      </c>
      <c r="M39" s="7"/>
      <c r="N39" s="142" t="s">
        <v>23</v>
      </c>
      <c r="O39" s="142" t="s">
        <v>23</v>
      </c>
      <c r="P39" s="142" t="s">
        <v>23</v>
      </c>
      <c r="Q39" s="142" t="str">
        <f>IF(AND('A-8'!N135="-",'A-8'!N207="-",'A-8'!N279="-"),"-",SUM('A-8'!N135,'A-8'!N207,'A-8'!N279))</f>
        <v>-</v>
      </c>
      <c r="R39" s="142" t="str">
        <f>IF(AND('A-8'!O135="-",'A-8'!O207="-",'A-8'!O279="-"),"-",SUM('A-8'!O135,'A-8'!O207,'A-8'!O279))</f>
        <v>-</v>
      </c>
      <c r="S39" s="142" t="str">
        <f>IF(AND('A-8'!P135="-",'A-8'!P207="-",'A-8'!P279="-"),"-",SUM('A-8'!P135,'A-8'!P207,'A-8'!P279))</f>
        <v>-</v>
      </c>
      <c r="T39" s="142" t="str">
        <f>IF(AND('A-8'!Q135="-",'A-8'!Q207="-",'A-8'!Q279="-"),"-",SUM('A-8'!Q135,'A-8'!Q207,'A-8'!Q279))</f>
        <v>-</v>
      </c>
      <c r="U39" s="142" t="str">
        <f>IF(AND('A-8'!R135="-",'A-8'!R207="-",'A-8'!R279="-"),"-",SUM('A-8'!R135,'A-8'!R207,'A-8'!R279))</f>
        <v>-</v>
      </c>
      <c r="V39" s="142" t="s">
        <v>23</v>
      </c>
      <c r="W39" s="142" t="s">
        <v>23</v>
      </c>
      <c r="X39" s="142" t="s">
        <v>23</v>
      </c>
      <c r="Z39" s="1">
        <v>0</v>
      </c>
    </row>
    <row r="40" spans="1:26" ht="11.25" customHeight="1">
      <c r="A40" s="99">
        <v>2011</v>
      </c>
      <c r="B40" s="142" t="str">
        <f>IF(AND('A-8'!B136="-",'A-8'!B208="-",'A-8'!B280="-"),"-",SUM('A-8'!B136,'A-8'!B208,'A-8'!B280))</f>
        <v>-</v>
      </c>
      <c r="C40" s="142">
        <f>IF(AND('A-8'!C136="-",'A-8'!C208="-",'A-8'!C280="-"),"-",SUM('A-8'!C136,'A-8'!C208,'A-8'!C280))</f>
        <v>4481</v>
      </c>
      <c r="D40" s="142">
        <f>IF(AND('A-8'!D136="-",'A-8'!D208="-",'A-8'!D280="-"),"-",SUM('A-8'!D136,'A-8'!D208,'A-8'!D280))</f>
        <v>7901</v>
      </c>
      <c r="E40" s="142">
        <f>IF(AND('A-8'!E136="-",'A-8'!E208="-",'A-8'!E280="-"),"-",SUM('A-8'!E136,'A-8'!E208,'A-8'!E280))</f>
        <v>10401</v>
      </c>
      <c r="F40" s="142">
        <f>IF(AND('A-8'!F136="-",'A-8'!F208="-",'A-8'!F280="-"),"-",SUM('A-8'!F136,'A-8'!F208,'A-8'!F280))</f>
        <v>699</v>
      </c>
      <c r="G40" s="142">
        <f>IF(AND('A-8'!G136="-",'A-8'!G208="-",'A-8'!G280="-"),"-",SUM('A-8'!G136,'A-8'!G208,'A-8'!G280))</f>
        <v>1012</v>
      </c>
      <c r="H40" s="142">
        <f>IF(AND('A-8'!H136="-",'A-8'!H208="-",'A-8'!H280="-"),"-",SUM('A-8'!H136,'A-8'!H208,'A-8'!H280))</f>
        <v>337</v>
      </c>
      <c r="I40" s="142">
        <f>IF(AND('A-8'!I136="-",'A-8'!I208="-",'A-8'!I280="-"),"-",SUM('A-8'!I136,'A-8'!I208,'A-8'!I280))</f>
        <v>1093</v>
      </c>
      <c r="J40" s="142">
        <f>IF(AND('A-8'!J136="-",'A-8'!J208="-",'A-8'!J280="-"),"-",SUM('A-8'!J136,'A-8'!J208,'A-8'!J280))</f>
        <v>1995</v>
      </c>
      <c r="K40" s="142" t="str">
        <f>IF(AND('A-8'!K136="-",'A-8'!K208="-",'A-8'!K280="-"),"-",SUM('A-8'!K136,'A-8'!K208,'A-8'!K280))</f>
        <v>-</v>
      </c>
      <c r="L40" s="142">
        <f>IF(AND('A-8'!L136="-",'A-8'!L208="-",'A-8'!L280="-"),"-",SUM('A-8'!L136,'A-8'!L208,'A-8'!L280))</f>
        <v>27919</v>
      </c>
      <c r="M40" s="7"/>
      <c r="N40" s="142" t="s">
        <v>23</v>
      </c>
      <c r="O40" s="142" t="s">
        <v>23</v>
      </c>
      <c r="P40" s="142" t="s">
        <v>23</v>
      </c>
      <c r="Q40" s="142" t="str">
        <f>IF(AND('A-8'!N136="-",'A-8'!N208="-",'A-8'!N280="-"),"-",SUM('A-8'!N136,'A-8'!N208,'A-8'!N280))</f>
        <v>-</v>
      </c>
      <c r="R40" s="142" t="str">
        <f>IF(AND('A-8'!O136="-",'A-8'!O208="-",'A-8'!O280="-"),"-",SUM('A-8'!O136,'A-8'!O208,'A-8'!O280))</f>
        <v>-</v>
      </c>
      <c r="S40" s="142" t="str">
        <f>IF(AND('A-8'!P136="-",'A-8'!P208="-",'A-8'!P280="-"),"-",SUM('A-8'!P136,'A-8'!P208,'A-8'!P280))</f>
        <v>-</v>
      </c>
      <c r="T40" s="142" t="str">
        <f>IF(AND('A-8'!Q136="-",'A-8'!Q208="-",'A-8'!Q280="-"),"-",SUM('A-8'!Q136,'A-8'!Q208,'A-8'!Q280))</f>
        <v>-</v>
      </c>
      <c r="U40" s="142" t="str">
        <f>IF(AND('A-8'!R136="-",'A-8'!R208="-",'A-8'!R280="-"),"-",SUM('A-8'!R136,'A-8'!R208,'A-8'!R280))</f>
        <v>-</v>
      </c>
      <c r="V40" s="142" t="s">
        <v>23</v>
      </c>
      <c r="W40" s="142" t="s">
        <v>23</v>
      </c>
      <c r="X40" s="142" t="s">
        <v>23</v>
      </c>
      <c r="Z40" s="1">
        <v>0</v>
      </c>
    </row>
    <row r="41" spans="1:26" ht="11.25" customHeight="1">
      <c r="A41" s="99">
        <v>2012</v>
      </c>
      <c r="B41" s="142" t="str">
        <f>IF(AND('A-8'!B137="-",'A-8'!B209="-",'A-8'!B281="-"),"-",SUM('A-8'!B137,'A-8'!B209,'A-8'!B281))</f>
        <v>-</v>
      </c>
      <c r="C41" s="142">
        <f>IF(AND('A-8'!C137="-",'A-8'!C209="-",'A-8'!C281="-"),"-",SUM('A-8'!C137,'A-8'!C209,'A-8'!C281))</f>
        <v>3633</v>
      </c>
      <c r="D41" s="142">
        <f>IF(AND('A-8'!D137="-",'A-8'!D209="-",'A-8'!D281="-"),"-",SUM('A-8'!D137,'A-8'!D209,'A-8'!D281))</f>
        <v>14533</v>
      </c>
      <c r="E41" s="142">
        <f>IF(AND('A-8'!E137="-",'A-8'!E209="-",'A-8'!E281="-"),"-",SUM('A-8'!E137,'A-8'!E209,'A-8'!E281))</f>
        <v>7357</v>
      </c>
      <c r="F41" s="142">
        <f>IF(AND('A-8'!F137="-",'A-8'!F209="-",'A-8'!F281="-"),"-",SUM('A-8'!F137,'A-8'!F209,'A-8'!F281))</f>
        <v>1785</v>
      </c>
      <c r="G41" s="142">
        <f>IF(AND('A-8'!G137="-",'A-8'!G209="-",'A-8'!G281="-"),"-",SUM('A-8'!G137,'A-8'!G209,'A-8'!G281))</f>
        <v>8771</v>
      </c>
      <c r="H41" s="142">
        <f>IF(AND('A-8'!H137="-",'A-8'!H209="-",'A-8'!H281="-"),"-",SUM('A-8'!H137,'A-8'!H209,'A-8'!H281))</f>
        <v>13677</v>
      </c>
      <c r="I41" s="142">
        <f>IF(AND('A-8'!I137="-",'A-8'!I209="-",'A-8'!I281="-"),"-",SUM('A-8'!I137,'A-8'!I209,'A-8'!I281))</f>
        <v>8756</v>
      </c>
      <c r="J41" s="142">
        <f>IF(AND('A-8'!J137="-",'A-8'!J209="-",'A-8'!J281="-"),"-",SUM('A-8'!J137,'A-8'!J209,'A-8'!J281))</f>
        <v>701</v>
      </c>
      <c r="K41" s="142" t="str">
        <f>IF(AND('A-8'!K137="-",'A-8'!K209="-",'A-8'!K281="-"),"-",SUM('A-8'!K137,'A-8'!K209,'A-8'!K281))</f>
        <v>-</v>
      </c>
      <c r="L41" s="142">
        <f>IF(AND('A-8'!L137="-",'A-8'!L209="-",'A-8'!L281="-"),"-",SUM('A-8'!L137,'A-8'!L209,'A-8'!L281))</f>
        <v>59213</v>
      </c>
      <c r="M41" s="7"/>
      <c r="N41" s="142" t="s">
        <v>23</v>
      </c>
      <c r="O41" s="142" t="s">
        <v>23</v>
      </c>
      <c r="P41" s="142" t="s">
        <v>23</v>
      </c>
      <c r="Q41" s="142" t="str">
        <f>IF(AND('A-8'!N137="-",'A-8'!N209="-",'A-8'!N281="-"),"-",SUM('A-8'!N137,'A-8'!N209,'A-8'!N281))</f>
        <v>-</v>
      </c>
      <c r="R41" s="142" t="str">
        <f>IF(AND('A-8'!O137="-",'A-8'!O209="-",'A-8'!O281="-"),"-",SUM('A-8'!O137,'A-8'!O209,'A-8'!O281))</f>
        <v>-</v>
      </c>
      <c r="S41" s="142" t="str">
        <f>IF(AND('A-8'!P137="-",'A-8'!P209="-",'A-8'!P281="-"),"-",SUM('A-8'!P137,'A-8'!P209,'A-8'!P281))</f>
        <v>-</v>
      </c>
      <c r="T41" s="142" t="str">
        <f>IF(AND('A-8'!Q137="-",'A-8'!Q209="-",'A-8'!Q281="-"),"-",SUM('A-8'!Q137,'A-8'!Q209,'A-8'!Q281))</f>
        <v>-</v>
      </c>
      <c r="U41" s="142" t="str">
        <f>IF(AND('A-8'!R137="-",'A-8'!R209="-",'A-8'!R281="-"),"-",SUM('A-8'!R137,'A-8'!R209,'A-8'!R281))</f>
        <v>-</v>
      </c>
      <c r="V41" s="142" t="s">
        <v>23</v>
      </c>
      <c r="W41" s="142" t="s">
        <v>23</v>
      </c>
      <c r="X41" s="142" t="s">
        <v>23</v>
      </c>
      <c r="Z41" s="1">
        <v>0</v>
      </c>
    </row>
    <row r="42" spans="1:26" ht="11.25" customHeight="1">
      <c r="A42" s="99">
        <v>2013</v>
      </c>
      <c r="B42" s="142" t="str">
        <f>IF(AND('A-8'!B138="-",'A-8'!B210="-",'A-8'!B282="-"),"-",SUM('A-8'!B138,'A-8'!B210,'A-8'!B282))</f>
        <v>-</v>
      </c>
      <c r="C42" s="142">
        <f>IF(AND('A-8'!C138="-",'A-8'!C210="-",'A-8'!C282="-"),"-",SUM('A-8'!C138,'A-8'!C210,'A-8'!C282))</f>
        <v>7373</v>
      </c>
      <c r="D42" s="142">
        <f>IF(AND('A-8'!D138="-",'A-8'!D210="-",'A-8'!D282="-"),"-",SUM('A-8'!D138,'A-8'!D210,'A-8'!D282))</f>
        <v>9093</v>
      </c>
      <c r="E42" s="142">
        <f>IF(AND('A-8'!E138="-",'A-8'!E210="-",'A-8'!E282="-"),"-",SUM('A-8'!E138,'A-8'!E210,'A-8'!E282))</f>
        <v>5987</v>
      </c>
      <c r="F42" s="142">
        <f>IF(AND('A-8'!F138="-",'A-8'!F210="-",'A-8'!F282="-"),"-",SUM('A-8'!F138,'A-8'!F210,'A-8'!F282))</f>
        <v>5331</v>
      </c>
      <c r="G42" s="142">
        <f>IF(AND('A-8'!G138="-",'A-8'!G210="-",'A-8'!G282="-"),"-",SUM('A-8'!G138,'A-8'!G210,'A-8'!G282))</f>
        <v>38535</v>
      </c>
      <c r="H42" s="142">
        <f>IF(AND('A-8'!H138="-",'A-8'!H210="-",'A-8'!H282="-"),"-",SUM('A-8'!H138,'A-8'!H210,'A-8'!H282))</f>
        <v>28251</v>
      </c>
      <c r="I42" s="142">
        <f>IF(AND('A-8'!I138="-",'A-8'!I210="-",'A-8'!I282="-"),"-",SUM('A-8'!I138,'A-8'!I210,'A-8'!I282))</f>
        <v>8424</v>
      </c>
      <c r="J42" s="142">
        <f>IF(AND('A-8'!J138="-",'A-8'!J210="-",'A-8'!J282="-"),"-",SUM('A-8'!J138,'A-8'!J210,'A-8'!J282))</f>
        <v>1002</v>
      </c>
      <c r="K42" s="142" t="str">
        <f>IF(AND('A-8'!K138="-",'A-8'!K210="-",'A-8'!K282="-"),"-",SUM('A-8'!K138,'A-8'!K210,'A-8'!K282))</f>
        <v>-</v>
      </c>
      <c r="L42" s="142">
        <f>IF(AND('A-8'!L138="-",'A-8'!L210="-",'A-8'!L282="-"),"-",SUM('A-8'!L138,'A-8'!L210,'A-8'!L282))</f>
        <v>103996</v>
      </c>
      <c r="M42" s="7"/>
      <c r="N42" s="142" t="s">
        <v>23</v>
      </c>
      <c r="O42" s="142" t="s">
        <v>23</v>
      </c>
      <c r="P42" s="142" t="s">
        <v>23</v>
      </c>
      <c r="Q42" s="142" t="str">
        <f>IF(AND('A-8'!N138="-",'A-8'!N210="-",'A-8'!N282="-"),"-",SUM('A-8'!N138,'A-8'!N210,'A-8'!N282))</f>
        <v>-</v>
      </c>
      <c r="R42" s="142" t="str">
        <f>IF(AND('A-8'!O138="-",'A-8'!O210="-",'A-8'!O282="-"),"-",SUM('A-8'!O138,'A-8'!O210,'A-8'!O282))</f>
        <v>-</v>
      </c>
      <c r="S42" s="142" t="str">
        <f>IF(AND('A-8'!P138="-",'A-8'!P210="-",'A-8'!P282="-"),"-",SUM('A-8'!P138,'A-8'!P210,'A-8'!P282))</f>
        <v>-</v>
      </c>
      <c r="T42" s="142" t="str">
        <f>IF(AND('A-8'!Q138="-",'A-8'!Q210="-",'A-8'!Q282="-"),"-",SUM('A-8'!Q138,'A-8'!Q210,'A-8'!Q282))</f>
        <v>-</v>
      </c>
      <c r="U42" s="142" t="str">
        <f>IF(AND('A-8'!R138="-",'A-8'!R210="-",'A-8'!R282="-"),"-",SUM('A-8'!R138,'A-8'!R210,'A-8'!R282))</f>
        <v>-</v>
      </c>
      <c r="V42" s="142" t="s">
        <v>23</v>
      </c>
      <c r="W42" s="142" t="s">
        <v>23</v>
      </c>
      <c r="X42" s="142" t="s">
        <v>23</v>
      </c>
      <c r="Z42" s="1">
        <v>0</v>
      </c>
    </row>
    <row r="43" spans="1:26" ht="11.25" customHeight="1">
      <c r="A43" s="99">
        <v>2014</v>
      </c>
      <c r="B43" s="142" t="str">
        <f>IF(AND('A-8'!B139="-",'A-8'!B211="-",'A-8'!B283="-"),"-",SUM('A-8'!B139,'A-8'!B211,'A-8'!B283))</f>
        <v>-</v>
      </c>
      <c r="C43" s="142">
        <f>IF(AND('A-8'!C139="-",'A-8'!C211="-",'A-8'!C283="-"),"-",SUM('A-8'!C139,'A-8'!C211,'A-8'!C283))</f>
        <v>15501</v>
      </c>
      <c r="D43" s="142">
        <f>IF(AND('A-8'!D139="-",'A-8'!D211="-",'A-8'!D283="-"),"-",SUM('A-8'!D139,'A-8'!D211,'A-8'!D283))</f>
        <v>35389</v>
      </c>
      <c r="E43" s="142">
        <f>IF(AND('A-8'!E139="-",'A-8'!E211="-",'A-8'!E283="-"),"-",SUM('A-8'!E139,'A-8'!E211,'A-8'!E283))</f>
        <v>28560</v>
      </c>
      <c r="F43" s="142">
        <f>IF(AND('A-8'!F139="-",'A-8'!F211="-",'A-8'!F283="-"),"-",SUM('A-8'!F139,'A-8'!F211,'A-8'!F283))</f>
        <v>18326</v>
      </c>
      <c r="G43" s="142">
        <f>IF(AND('A-8'!G139="-",'A-8'!G211="-",'A-8'!G283="-"),"-",SUM('A-8'!G139,'A-8'!G211,'A-8'!G283))</f>
        <v>66600</v>
      </c>
      <c r="H43" s="142">
        <f>IF(AND('A-8'!H139="-",'A-8'!H211="-",'A-8'!H283="-"),"-",SUM('A-8'!H139,'A-8'!H211,'A-8'!H283))</f>
        <v>8851</v>
      </c>
      <c r="I43" s="142">
        <f>IF(AND('A-8'!I139="-",'A-8'!I211="-",'A-8'!I283="-"),"-",SUM('A-8'!I139,'A-8'!I211,'A-8'!I283))</f>
        <v>2072</v>
      </c>
      <c r="J43" s="142">
        <f>IF(AND('A-8'!J139="-",'A-8'!J211="-",'A-8'!J283="-"),"-",SUM('A-8'!J139,'A-8'!J211,'A-8'!J283))</f>
        <v>469</v>
      </c>
      <c r="K43" s="142" t="str">
        <f>IF(AND('A-8'!K139="-",'A-8'!K211="-",'A-8'!K283="-"),"-",SUM('A-8'!K139,'A-8'!K211,'A-8'!K283))</f>
        <v>-</v>
      </c>
      <c r="L43" s="142">
        <f>IF(AND('A-8'!L139="-",'A-8'!L211="-",'A-8'!L283="-"),"-",SUM('A-8'!L139,'A-8'!L211,'A-8'!L283))</f>
        <v>175768</v>
      </c>
      <c r="M43" s="7"/>
      <c r="N43" s="142" t="s">
        <v>23</v>
      </c>
      <c r="O43" s="142" t="s">
        <v>23</v>
      </c>
      <c r="P43" s="142" t="s">
        <v>23</v>
      </c>
      <c r="Q43" s="142" t="str">
        <f>IF(AND('A-8'!N139="-",'A-8'!N211="-",'A-8'!N283="-"),"-",SUM('A-8'!N139,'A-8'!N211,'A-8'!N283))</f>
        <v>-</v>
      </c>
      <c r="R43" s="142" t="str">
        <f>IF(AND('A-8'!O139="-",'A-8'!O211="-",'A-8'!O283="-"),"-",SUM('A-8'!O139,'A-8'!O211,'A-8'!O283))</f>
        <v>-</v>
      </c>
      <c r="S43" s="142" t="str">
        <f>IF(AND('A-8'!P139="-",'A-8'!P211="-",'A-8'!P283="-"),"-",SUM('A-8'!P139,'A-8'!P211,'A-8'!P283))</f>
        <v>-</v>
      </c>
      <c r="T43" s="142">
        <f>IF(AND('A-8'!Q139="-",'A-8'!Q211="-",'A-8'!Q283="-"),"-",SUM('A-8'!Q139,'A-8'!Q211,'A-8'!Q283))</f>
        <v>3296</v>
      </c>
      <c r="U43" s="142" t="str">
        <f>IF(AND('A-8'!R139="-",'A-8'!R211="-",'A-8'!R283="-"),"-",SUM('A-8'!R139,'A-8'!R211,'A-8'!R283))</f>
        <v>-</v>
      </c>
      <c r="V43" s="142" t="s">
        <v>23</v>
      </c>
      <c r="W43" s="142" t="s">
        <v>23</v>
      </c>
      <c r="X43" s="142">
        <f>SUM(N43:W43)</f>
        <v>3296</v>
      </c>
      <c r="Z43" s="1">
        <v>0</v>
      </c>
    </row>
    <row r="44" spans="1:26" ht="11.25" customHeight="1">
      <c r="A44" s="99">
        <v>2015</v>
      </c>
      <c r="B44" s="142" t="str">
        <f>IF(AND('A-8'!B140="-",'A-8'!B212="-",'A-8'!B284="-"),"-",SUM('A-8'!B140,'A-8'!B212,'A-8'!B284))</f>
        <v>-</v>
      </c>
      <c r="C44" s="142">
        <f>IF(AND('A-8'!C140="-",'A-8'!C212="-",'A-8'!C284="-"),"-",SUM('A-8'!C140,'A-8'!C212,'A-8'!C284))</f>
        <v>16381</v>
      </c>
      <c r="D44" s="142">
        <f>IF(AND('A-8'!D140="-",'A-8'!D212="-",'A-8'!D284="-"),"-",SUM('A-8'!D140,'A-8'!D212,'A-8'!D284))</f>
        <v>13140</v>
      </c>
      <c r="E44" s="142">
        <f>IF(AND('A-8'!E140="-",'A-8'!E212="-",'A-8'!E284="-"),"-",SUM('A-8'!E140,'A-8'!E212,'A-8'!E284))</f>
        <v>19803</v>
      </c>
      <c r="F44" s="142">
        <f>IF(AND('A-8'!F140="-",'A-8'!F212="-",'A-8'!F284="-"),"-",SUM('A-8'!F140,'A-8'!F212,'A-8'!F284))</f>
        <v>27250</v>
      </c>
      <c r="G44" s="142">
        <f>IF(AND('A-8'!G140="-",'A-8'!G212="-",'A-8'!G284="-"),"-",SUM('A-8'!G140,'A-8'!G212,'A-8'!G284))</f>
        <v>7457</v>
      </c>
      <c r="H44" s="142">
        <f>IF(AND('A-8'!H140="-",'A-8'!H212="-",'A-8'!H284="-"),"-",SUM('A-8'!H140,'A-8'!H212,'A-8'!H284))</f>
        <v>2006</v>
      </c>
      <c r="I44" s="142">
        <f>IF(AND('A-8'!I140="-",'A-8'!I212="-",'A-8'!I284="-"),"-",SUM('A-8'!I140,'A-8'!I212,'A-8'!I284))</f>
        <v>1954</v>
      </c>
      <c r="J44" s="142">
        <f>IF(AND('A-8'!J140="-",'A-8'!J212="-",'A-8'!J284="-"),"-",SUM('A-8'!J140,'A-8'!J212,'A-8'!J284))</f>
        <v>1163</v>
      </c>
      <c r="K44" s="142" t="str">
        <f>IF(AND('A-8'!K140="-",'A-8'!K212="-",'A-8'!K284="-"),"-",SUM('A-8'!K140,'A-8'!K212,'A-8'!K284))</f>
        <v>-</v>
      </c>
      <c r="L44" s="142">
        <f>IF(AND('A-8'!L140="-",'A-8'!L212="-",'A-8'!L284="-"),"-",SUM('A-8'!L140,'A-8'!L212,'A-8'!L284))</f>
        <v>89154</v>
      </c>
      <c r="M44" s="7"/>
      <c r="N44" s="142" t="s">
        <v>23</v>
      </c>
      <c r="O44" s="142" t="s">
        <v>23</v>
      </c>
      <c r="P44" s="142" t="s">
        <v>23</v>
      </c>
      <c r="Q44" s="142" t="str">
        <f>IF(AND('A-8'!N140="-",'A-8'!N212="-",'A-8'!N284="-"),"-",SUM('A-8'!N140,'A-8'!N212,'A-8'!N284))</f>
        <v>-</v>
      </c>
      <c r="R44" s="142" t="str">
        <f>IF(AND('A-8'!O140="-",'A-8'!O212="-",'A-8'!O284="-"),"-",SUM('A-8'!O140,'A-8'!O212,'A-8'!O284))</f>
        <v>-</v>
      </c>
      <c r="S44" s="142" t="str">
        <f>IF(AND('A-8'!P140="-",'A-8'!P212="-",'A-8'!P284="-"),"-",SUM('A-8'!P140,'A-8'!P212,'A-8'!P284))</f>
        <v>-</v>
      </c>
      <c r="T44" s="142" t="str">
        <f>IF(AND('A-8'!Q140="-",'A-8'!Q212="-",'A-8'!Q284="-"),"-",SUM('A-8'!Q140,'A-8'!Q212,'A-8'!Q284))</f>
        <v>-</v>
      </c>
      <c r="U44" s="142" t="str">
        <f>IF(AND('A-8'!R140="-",'A-8'!R212="-",'A-8'!R284="-"),"-",SUM('A-8'!R140,'A-8'!R212,'A-8'!R284))</f>
        <v>-</v>
      </c>
      <c r="V44" s="142" t="s">
        <v>23</v>
      </c>
      <c r="W44" s="142" t="s">
        <v>23</v>
      </c>
      <c r="X44" s="142" t="s">
        <v>23</v>
      </c>
      <c r="Z44" s="1">
        <v>0</v>
      </c>
    </row>
    <row r="45" spans="1:26" ht="11.25" customHeight="1">
      <c r="A45" s="99">
        <v>2016</v>
      </c>
      <c r="B45" s="142" t="str">
        <f>IF(AND('A-8'!B141="-",'A-8'!B213="-",'A-8'!B285="-"),"-",SUM('A-8'!B141,'A-8'!B213,'A-8'!B285))</f>
        <v>-</v>
      </c>
      <c r="C45" s="142">
        <f>IF(AND('A-8'!C141="-",'A-8'!C213="-",'A-8'!C285="-"),"-",SUM('A-8'!C141,'A-8'!C213,'A-8'!C285))</f>
        <v>6585</v>
      </c>
      <c r="D45" s="142">
        <f>IF(AND('A-8'!D141="-",'A-8'!D213="-",'A-8'!D285="-"),"-",SUM('A-8'!D141,'A-8'!D213,'A-8'!D285))</f>
        <v>5989</v>
      </c>
      <c r="E45" s="142">
        <f>IF(AND('A-8'!E141="-",'A-8'!E213="-",'A-8'!E285="-"),"-",SUM('A-8'!E141,'A-8'!E213,'A-8'!E285))</f>
        <v>4736</v>
      </c>
      <c r="F45" s="142">
        <f>IF(AND('A-8'!F141="-",'A-8'!F213="-",'A-8'!F285="-"),"-",SUM('A-8'!F141,'A-8'!F213,'A-8'!F285))</f>
        <v>11243</v>
      </c>
      <c r="G45" s="142">
        <f>IF(AND('A-8'!G141="-",'A-8'!G213="-",'A-8'!G285="-"),"-",SUM('A-8'!G141,'A-8'!G213,'A-8'!G285))</f>
        <v>8627</v>
      </c>
      <c r="H45" s="142">
        <f>IF(AND('A-8'!H141="-",'A-8'!H213="-",'A-8'!H285="-"),"-",SUM('A-8'!H141,'A-8'!H213,'A-8'!H285))</f>
        <v>1812</v>
      </c>
      <c r="I45" s="142">
        <f>IF(AND('A-8'!I141="-",'A-8'!I213="-",'A-8'!I285="-"),"-",SUM('A-8'!I141,'A-8'!I213,'A-8'!I285))</f>
        <v>717</v>
      </c>
      <c r="J45" s="142">
        <f>IF(AND('A-8'!J141="-",'A-8'!J213="-",'A-8'!J285="-"),"-",SUM('A-8'!J141,'A-8'!J213,'A-8'!J285))</f>
        <v>182</v>
      </c>
      <c r="K45" s="142" t="str">
        <f>IF(AND('A-8'!K141="-",'A-8'!K213="-",'A-8'!K285="-"),"-",SUM('A-8'!K141,'A-8'!K213,'A-8'!K285))</f>
        <v>-</v>
      </c>
      <c r="L45" s="142">
        <f>IF(AND('A-8'!L141="-",'A-8'!L213="-",'A-8'!L285="-"),"-",SUM('A-8'!L141,'A-8'!L213,'A-8'!L285))</f>
        <v>39891</v>
      </c>
      <c r="M45" s="7"/>
      <c r="N45" s="142" t="s">
        <v>23</v>
      </c>
      <c r="O45" s="142" t="s">
        <v>23</v>
      </c>
      <c r="P45" s="142" t="s">
        <v>23</v>
      </c>
      <c r="Q45" s="142" t="str">
        <f>IF(AND('A-8'!N141="-",'A-8'!N213="-",'A-8'!N285="-"),"-",SUM('A-8'!N141,'A-8'!N213,'A-8'!N285))</f>
        <v>-</v>
      </c>
      <c r="R45" s="142" t="str">
        <f>IF(AND('A-8'!O141="-",'A-8'!O213="-",'A-8'!O285="-"),"-",SUM('A-8'!O141,'A-8'!O213,'A-8'!O285))</f>
        <v>-</v>
      </c>
      <c r="S45" s="142" t="str">
        <f>IF(AND('A-8'!P141="-",'A-8'!P213="-",'A-8'!P285="-"),"-",SUM('A-8'!P141,'A-8'!P213,'A-8'!P285))</f>
        <v>-</v>
      </c>
      <c r="T45" s="142" t="str">
        <f>IF(AND('A-8'!Q141="-",'A-8'!Q213="-",'A-8'!Q285="-"),"-",SUM('A-8'!Q141,'A-8'!Q213,'A-8'!Q285))</f>
        <v>-</v>
      </c>
      <c r="U45" s="142" t="str">
        <f>IF(AND('A-8'!R141="-",'A-8'!R213="-",'A-8'!R285="-"),"-",SUM('A-8'!R141,'A-8'!R213,'A-8'!R285))</f>
        <v>-</v>
      </c>
      <c r="V45" s="142" t="s">
        <v>23</v>
      </c>
      <c r="W45" s="142" t="s">
        <v>23</v>
      </c>
      <c r="X45" s="142" t="s">
        <v>23</v>
      </c>
      <c r="Z45" s="1">
        <v>0</v>
      </c>
    </row>
    <row r="46" spans="1:26" ht="11.25" customHeight="1">
      <c r="A46" s="99">
        <v>2017</v>
      </c>
      <c r="B46" s="142" t="str">
        <f>IF(AND('A-8'!B142="-",'A-8'!B214="-",'A-8'!B286="-"),"-",SUM('A-8'!B142,'A-8'!B214,'A-8'!B286))</f>
        <v>-</v>
      </c>
      <c r="C46" s="142">
        <f>IF(AND('A-8'!C142="-",'A-8'!C214="-",'A-8'!C286="-"),"-",SUM('A-8'!C142,'A-8'!C214,'A-8'!C286))</f>
        <v>553</v>
      </c>
      <c r="D46" s="142">
        <f>IF(AND('A-8'!D142="-",'A-8'!D214="-",'A-8'!D286="-"),"-",SUM('A-8'!D142,'A-8'!D214,'A-8'!D286))</f>
        <v>1229</v>
      </c>
      <c r="E46" s="142">
        <f>IF(AND('A-8'!E142="-",'A-8'!E214="-",'A-8'!E286="-"),"-",SUM('A-8'!E142,'A-8'!E214,'A-8'!E286))</f>
        <v>3174</v>
      </c>
      <c r="F46" s="142">
        <f>IF(AND('A-8'!F142="-",'A-8'!F214="-",'A-8'!F286="-"),"-",SUM('A-8'!F142,'A-8'!F214,'A-8'!F286))</f>
        <v>13019</v>
      </c>
      <c r="G46" s="142" t="str">
        <f>IF(AND('A-8'!G142="-",'A-8'!G214="-",'A-8'!G286="-"),"-",SUM('A-8'!G142,'A-8'!G214,'A-8'!G286))</f>
        <v>-</v>
      </c>
      <c r="H46" s="142">
        <f>IF(AND('A-8'!H142="-",'A-8'!H214="-",'A-8'!H286="-"),"-",SUM('A-8'!H142,'A-8'!H214,'A-8'!H286))</f>
        <v>137</v>
      </c>
      <c r="I46" s="142">
        <f>IF(AND('A-8'!I142="-",'A-8'!I214="-",'A-8'!I286="-"),"-",SUM('A-8'!I142,'A-8'!I214,'A-8'!I286))</f>
        <v>681</v>
      </c>
      <c r="J46" s="142">
        <f>IF(AND('A-8'!J142="-",'A-8'!J214="-",'A-8'!J286="-"),"-",SUM('A-8'!J142,'A-8'!J214,'A-8'!J286))</f>
        <v>96</v>
      </c>
      <c r="K46" s="142" t="str">
        <f>IF(AND('A-8'!K142="-",'A-8'!K214="-",'A-8'!K286="-"),"-",SUM('A-8'!K142,'A-8'!K214,'A-8'!K286))</f>
        <v>-</v>
      </c>
      <c r="L46" s="142">
        <f>IF(AND('A-8'!L142="-",'A-8'!L214="-",'A-8'!L286="-"),"-",SUM('A-8'!L142,'A-8'!L214,'A-8'!L286))</f>
        <v>18889</v>
      </c>
      <c r="M46" s="7"/>
      <c r="N46" s="142" t="s">
        <v>23</v>
      </c>
      <c r="O46" s="142" t="s">
        <v>23</v>
      </c>
      <c r="P46" s="142" t="s">
        <v>23</v>
      </c>
      <c r="Q46" s="142" t="str">
        <f>IF(AND('A-8'!N142="-",'A-8'!N214="-",'A-8'!N286="-"),"-",SUM('A-8'!N142,'A-8'!N214,'A-8'!N286))</f>
        <v>-</v>
      </c>
      <c r="R46" s="142" t="str">
        <f>IF(AND('A-8'!O142="-",'A-8'!O214="-",'A-8'!O286="-"),"-",SUM('A-8'!O142,'A-8'!O214,'A-8'!O286))</f>
        <v>-</v>
      </c>
      <c r="S46" s="142" t="str">
        <f>IF(AND('A-8'!P142="-",'A-8'!P214="-",'A-8'!P286="-"),"-",SUM('A-8'!P142,'A-8'!P214,'A-8'!P286))</f>
        <v>-</v>
      </c>
      <c r="T46" s="142" t="str">
        <f>IF(AND('A-8'!Q142="-",'A-8'!Q214="-",'A-8'!Q286="-"),"-",SUM('A-8'!Q142,'A-8'!Q214,'A-8'!Q286))</f>
        <v>-</v>
      </c>
      <c r="U46" s="142" t="str">
        <f>IF(AND('A-8'!R142="-",'A-8'!R214="-",'A-8'!R286="-"),"-",SUM('A-8'!R142,'A-8'!R214,'A-8'!R286))</f>
        <v>-</v>
      </c>
      <c r="V46" s="142" t="s">
        <v>23</v>
      </c>
      <c r="W46" s="142" t="s">
        <v>23</v>
      </c>
      <c r="X46" s="142" t="s">
        <v>23</v>
      </c>
      <c r="Z46" s="1">
        <v>0</v>
      </c>
    </row>
    <row r="47" spans="1:26" ht="11.25" customHeight="1">
      <c r="A47" s="99">
        <v>2018</v>
      </c>
      <c r="B47" s="142" t="str">
        <f>IF(AND('A-8'!B143="-",'A-8'!B215="-",'A-8'!B287="-"),"-",SUM('A-8'!B143,'A-8'!B215,'A-8'!B287))</f>
        <v>-</v>
      </c>
      <c r="C47" s="142" t="str">
        <f>IF(AND('A-8'!C143="-",'A-8'!C215="-",'A-8'!C287="-"),"-",SUM('A-8'!C143,'A-8'!C215,'A-8'!C287))</f>
        <v>-</v>
      </c>
      <c r="D47" s="142">
        <f>IF(AND('A-8'!D143="-",'A-8'!D215="-",'A-8'!D287="-"),"-",SUM('A-8'!D143,'A-8'!D215,'A-8'!D287))</f>
        <v>971</v>
      </c>
      <c r="E47" s="142">
        <f>IF(AND('A-8'!E143="-",'A-8'!E215="-",'A-8'!E287="-"),"-",SUM('A-8'!E143,'A-8'!E215,'A-8'!E287))</f>
        <v>2878</v>
      </c>
      <c r="F47" s="142">
        <f>IF(AND('A-8'!F143="-",'A-8'!F215="-",'A-8'!F287="-"),"-",SUM('A-8'!F143,'A-8'!F215,'A-8'!F287))</f>
        <v>2930</v>
      </c>
      <c r="G47" s="142">
        <f>IF(AND('A-8'!G143="-",'A-8'!G215="-",'A-8'!G287="-"),"-",SUM('A-8'!G143,'A-8'!G215,'A-8'!G287))</f>
        <v>12304</v>
      </c>
      <c r="H47" s="142">
        <f>IF(AND('A-8'!H143="-",'A-8'!H215="-",'A-8'!H287="-"),"-",SUM('A-8'!H143,'A-8'!H215,'A-8'!H287))</f>
        <v>225</v>
      </c>
      <c r="I47" s="142">
        <f>IF(AND('A-8'!I143="-",'A-8'!I215="-",'A-8'!I287="-"),"-",SUM('A-8'!I143,'A-8'!I215,'A-8'!I287))</f>
        <v>490</v>
      </c>
      <c r="J47" s="142">
        <f>IF(AND('A-8'!J143="-",'A-8'!J215="-",'A-8'!J287="-"),"-",SUM('A-8'!J143,'A-8'!J215,'A-8'!J287))</f>
        <v>431</v>
      </c>
      <c r="K47" s="142" t="str">
        <f>IF(AND('A-8'!K143="-",'A-8'!K215="-",'A-8'!K287="-"),"-",SUM('A-8'!K143,'A-8'!K215,'A-8'!K287))</f>
        <v>-</v>
      </c>
      <c r="L47" s="142">
        <f>IF(AND('A-8'!L143="-",'A-8'!L215="-",'A-8'!L287="-"),"-",SUM('A-8'!L143,'A-8'!L215,'A-8'!L287))</f>
        <v>20229</v>
      </c>
      <c r="M47" s="7"/>
      <c r="N47" s="142" t="s">
        <v>23</v>
      </c>
      <c r="O47" s="142" t="s">
        <v>23</v>
      </c>
      <c r="P47" s="142" t="s">
        <v>23</v>
      </c>
      <c r="Q47" s="142" t="str">
        <f>IF(AND('A-8'!N143="-",'A-8'!N215="-",'A-8'!N287="-"),"-",SUM('A-8'!N143,'A-8'!N215,'A-8'!N287))</f>
        <v>-</v>
      </c>
      <c r="R47" s="142" t="str">
        <f>IF(AND('A-8'!O143="-",'A-8'!O215="-",'A-8'!O287="-"),"-",SUM('A-8'!O143,'A-8'!O215,'A-8'!O287))</f>
        <v>-</v>
      </c>
      <c r="S47" s="142" t="str">
        <f>IF(AND('A-8'!P143="-",'A-8'!P215="-",'A-8'!P287="-"),"-",SUM('A-8'!P143,'A-8'!P215,'A-8'!P287))</f>
        <v>-</v>
      </c>
      <c r="T47" s="142" t="str">
        <f>IF(AND('A-8'!Q143="-",'A-8'!Q215="-",'A-8'!Q287="-"),"-",SUM('A-8'!Q143,'A-8'!Q215,'A-8'!Q287))</f>
        <v>-</v>
      </c>
      <c r="U47" s="142" t="str">
        <f>IF(AND('A-8'!R143="-",'A-8'!R215="-",'A-8'!R287="-"),"-",SUM('A-8'!R143,'A-8'!R215,'A-8'!R287))</f>
        <v>-</v>
      </c>
      <c r="V47" s="142" t="s">
        <v>23</v>
      </c>
      <c r="W47" s="142" t="s">
        <v>23</v>
      </c>
      <c r="X47" s="142" t="s">
        <v>23</v>
      </c>
      <c r="Z47" s="1">
        <v>0</v>
      </c>
    </row>
    <row r="48" spans="1:26" ht="11.25" customHeight="1">
      <c r="A48" s="99">
        <v>2019</v>
      </c>
      <c r="B48" s="142" t="str">
        <f>IF(AND('A-8'!B144="-",'A-8'!B216="-",'A-8'!B288="-"),"-",SUM('A-8'!B144,'A-8'!B216,'A-8'!B288))</f>
        <v>-</v>
      </c>
      <c r="C48" s="142">
        <f>IF(AND('A-8'!C144="-",'A-8'!C216="-",'A-8'!C288="-"),"-",SUM('A-8'!C144,'A-8'!C216,'A-8'!C288))</f>
        <v>150</v>
      </c>
      <c r="D48" s="142">
        <f>IF(AND('A-8'!D144="-",'A-8'!D216="-",'A-8'!D288="-"),"-",SUM('A-8'!D144,'A-8'!D216,'A-8'!D288))</f>
        <v>665</v>
      </c>
      <c r="E48" s="142">
        <f>IF(AND('A-8'!E144="-",'A-8'!E216="-",'A-8'!E288="-"),"-",SUM('A-8'!E144,'A-8'!E216,'A-8'!E288))</f>
        <v>3302</v>
      </c>
      <c r="F48" s="142">
        <f>IF(AND('A-8'!F144="-",'A-8'!F216="-",'A-8'!F288="-"),"-",SUM('A-8'!F144,'A-8'!F216,'A-8'!F288))</f>
        <v>16242</v>
      </c>
      <c r="G48" s="142">
        <f>IF(AND('A-8'!G144="-",'A-8'!G216="-",'A-8'!G288="-"),"-",SUM('A-8'!G144,'A-8'!G216,'A-8'!G288))</f>
        <v>4648</v>
      </c>
      <c r="H48" s="142">
        <f>IF(AND('A-8'!H144="-",'A-8'!H216="-",'A-8'!H288="-"),"-",SUM('A-8'!H144,'A-8'!H216,'A-8'!H288))</f>
        <v>632</v>
      </c>
      <c r="I48" s="142">
        <f>IF(AND('A-8'!I144="-",'A-8'!I216="-",'A-8'!I288="-"),"-",SUM('A-8'!I144,'A-8'!I216,'A-8'!I288))</f>
        <v>870</v>
      </c>
      <c r="J48" s="142" t="str">
        <f>IF(AND('A-8'!J144="-",'A-8'!J216="-",'A-8'!J288="-"),"-",SUM('A-8'!J144,'A-8'!J216,'A-8'!J288))</f>
        <v>-</v>
      </c>
      <c r="K48" s="142" t="str">
        <f>IF(AND('A-8'!K144="-",'A-8'!K216="-",'A-8'!K288="-"),"-",SUM('A-8'!K144,'A-8'!K216,'A-8'!K288))</f>
        <v>-</v>
      </c>
      <c r="L48" s="142">
        <f>IF(AND('A-8'!L144="-",'A-8'!L216="-",'A-8'!L288="-"),"-",SUM('A-8'!L144,'A-8'!L216,'A-8'!L288))</f>
        <v>26509</v>
      </c>
      <c r="M48" s="7"/>
      <c r="N48" s="142" t="s">
        <v>23</v>
      </c>
      <c r="O48" s="142" t="s">
        <v>23</v>
      </c>
      <c r="P48" s="142" t="s">
        <v>23</v>
      </c>
      <c r="Q48" s="142" t="str">
        <f>IF(AND('A-8'!N144="-",'A-8'!N216="-",'A-8'!N288="-"),"-",SUM('A-8'!N144,'A-8'!N216,'A-8'!N288))</f>
        <v>-</v>
      </c>
      <c r="R48" s="142" t="str">
        <f>IF(AND('A-8'!O144="-",'A-8'!O216="-",'A-8'!O288="-"),"-",SUM('A-8'!O144,'A-8'!O216,'A-8'!O288))</f>
        <v>-</v>
      </c>
      <c r="S48" s="142" t="str">
        <f>IF(AND('A-8'!P144="-",'A-8'!P216="-",'A-8'!P288="-"),"-",SUM('A-8'!P144,'A-8'!P216,'A-8'!P288))</f>
        <v>-</v>
      </c>
      <c r="T48" s="142" t="str">
        <f>IF(AND('A-8'!Q144="-",'A-8'!Q216="-",'A-8'!Q288="-"),"-",SUM('A-8'!Q144,'A-8'!Q216,'A-8'!Q288))</f>
        <v>-</v>
      </c>
      <c r="U48" s="142" t="str">
        <f>IF(AND('A-8'!R144="-",'A-8'!R216="-",'A-8'!R288="-"),"-",SUM('A-8'!R144,'A-8'!R216,'A-8'!R288))</f>
        <v>-</v>
      </c>
      <c r="V48" s="142" t="s">
        <v>23</v>
      </c>
      <c r="W48" s="142" t="s">
        <v>23</v>
      </c>
      <c r="X48" s="142" t="s">
        <v>23</v>
      </c>
      <c r="Z48" s="1">
        <v>0</v>
      </c>
    </row>
    <row r="49" spans="1:26" ht="11.25" customHeight="1">
      <c r="A49" s="99">
        <v>2020</v>
      </c>
      <c r="B49" s="142" t="str">
        <f>IF(AND('A-8'!B145="-",'A-8'!B217="-",'A-8'!B289="-"),"-",SUM('A-8'!B145,'A-8'!B217,'A-8'!B289))</f>
        <v>-</v>
      </c>
      <c r="C49" s="142">
        <f>IF(AND('A-8'!C145="-",'A-8'!C217="-",'A-8'!C289="-"),"-",SUM('A-8'!C145,'A-8'!C217,'A-8'!C289))</f>
        <v>799</v>
      </c>
      <c r="D49" s="142">
        <f>IF(AND('A-8'!D145="-",'A-8'!D217="-",'A-8'!D289="-"),"-",SUM('A-8'!D145,'A-8'!D217,'A-8'!D289))</f>
        <v>773</v>
      </c>
      <c r="E49" s="142">
        <f>IF(AND('A-8'!E145="-",'A-8'!E217="-",'A-8'!E289="-"),"-",SUM('A-8'!E145,'A-8'!E217,'A-8'!E289))</f>
        <v>2414</v>
      </c>
      <c r="F49" s="142">
        <f>IF(AND('A-8'!F145="-",'A-8'!F217="-",'A-8'!F289="-"),"-",SUM('A-8'!F145,'A-8'!F217,'A-8'!F289))</f>
        <v>4385</v>
      </c>
      <c r="G49" s="142">
        <f>IF(AND('A-8'!G145="-",'A-8'!G217="-",'A-8'!G289="-"),"-",SUM('A-8'!G145,'A-8'!G217,'A-8'!G289))</f>
        <v>1861</v>
      </c>
      <c r="H49" s="142">
        <f>IF(AND('A-8'!H145="-",'A-8'!H217="-",'A-8'!H289="-"),"-",SUM('A-8'!H145,'A-8'!H217,'A-8'!H289))</f>
        <v>560</v>
      </c>
      <c r="I49" s="142">
        <f>IF(AND('A-8'!I145="-",'A-8'!I217="-",'A-8'!I289="-"),"-",SUM('A-8'!I145,'A-8'!I217,'A-8'!I289))</f>
        <v>1003</v>
      </c>
      <c r="J49" s="142" t="str">
        <f>IF(AND('A-8'!J145="-",'A-8'!J217="-",'A-8'!J289="-"),"-",SUM('A-8'!J145,'A-8'!J217,'A-8'!J289))</f>
        <v>-</v>
      </c>
      <c r="K49" s="142" t="str">
        <f>IF(AND('A-8'!K145="-",'A-8'!K217="-",'A-8'!K289="-"),"-",SUM('A-8'!K145,'A-8'!K217,'A-8'!K289))</f>
        <v>-</v>
      </c>
      <c r="L49" s="142">
        <f>IF(AND('A-8'!L145="-",'A-8'!L217="-",'A-8'!L289="-"),"-",SUM('A-8'!L145,'A-8'!L217,'A-8'!L289))</f>
        <v>11795</v>
      </c>
      <c r="M49" s="7"/>
      <c r="N49" s="142" t="s">
        <v>23</v>
      </c>
      <c r="O49" s="142" t="s">
        <v>23</v>
      </c>
      <c r="P49" s="142" t="s">
        <v>23</v>
      </c>
      <c r="Q49" s="142" t="str">
        <f>IF(AND('A-8'!N145="-",'A-8'!N217="-",'A-8'!N289="-"),"-",SUM('A-8'!N145,'A-8'!N217,'A-8'!N289))</f>
        <v>-</v>
      </c>
      <c r="R49" s="142" t="str">
        <f>IF(AND('A-8'!O145="-",'A-8'!O217="-",'A-8'!O289="-"),"-",SUM('A-8'!O145,'A-8'!O217,'A-8'!O289))</f>
        <v>-</v>
      </c>
      <c r="S49" s="142" t="str">
        <f>IF(AND('A-8'!P145="-",'A-8'!P217="-",'A-8'!P289="-"),"-",SUM('A-8'!P145,'A-8'!P217,'A-8'!P289))</f>
        <v>-</v>
      </c>
      <c r="T49" s="142" t="str">
        <f>IF(AND('A-8'!Q145="-",'A-8'!Q217="-",'A-8'!Q289="-"),"-",SUM('A-8'!Q145,'A-8'!Q217,'A-8'!Q289))</f>
        <v>-</v>
      </c>
      <c r="U49" s="142" t="str">
        <f>IF(AND('A-8'!R145="-",'A-8'!R217="-",'A-8'!R289="-"),"-",SUM('A-8'!R145,'A-8'!R217,'A-8'!R289))</f>
        <v>-</v>
      </c>
      <c r="V49" s="142" t="s">
        <v>23</v>
      </c>
      <c r="W49" s="142" t="s">
        <v>23</v>
      </c>
      <c r="X49" s="142" t="s">
        <v>23</v>
      </c>
      <c r="Z49" s="1">
        <v>0</v>
      </c>
    </row>
    <row r="50" spans="1:26" ht="11.25" customHeight="1">
      <c r="A50" s="99" t="s">
        <v>317</v>
      </c>
      <c r="B50" s="142">
        <f>IF(AND('A-8'!B146="-",'A-8'!B218="-",'A-8'!B290="-"),"-",SUM('A-8'!B146,'A-8'!B218,'A-8'!B290))</f>
        <v>229</v>
      </c>
      <c r="C50" s="142">
        <f>IF(AND('A-8'!C146="-",'A-8'!C218="-",'A-8'!C290="-"),"-",SUM('A-8'!C146,'A-8'!C218,'A-8'!C290))</f>
        <v>2383</v>
      </c>
      <c r="D50" s="142">
        <f>IF(AND('A-8'!D146="-",'A-8'!D218="-",'A-8'!D290="-"),"-",SUM('A-8'!D146,'A-8'!D218,'A-8'!D290))</f>
        <v>2105</v>
      </c>
      <c r="E50" s="142">
        <f>IF(AND('A-8'!E146="-",'A-8'!E218="-",'A-8'!E290="-"),"-",SUM('A-8'!E146,'A-8'!E218,'A-8'!E290))</f>
        <v>841</v>
      </c>
      <c r="F50" s="142">
        <f>IF(AND('A-8'!F146="-",'A-8'!F218="-",'A-8'!F290="-"),"-",SUM('A-8'!F146,'A-8'!F218,'A-8'!F290))</f>
        <v>4656</v>
      </c>
      <c r="G50" s="142">
        <f>IF(AND('A-8'!G146="-",'A-8'!G218="-",'A-8'!G290="-"),"-",SUM('A-8'!G146,'A-8'!G218,'A-8'!G290))</f>
        <v>5111</v>
      </c>
      <c r="H50" s="142">
        <f>IF(AND('A-8'!H146="-",'A-8'!H218="-",'A-8'!H290="-"),"-",SUM('A-8'!H146,'A-8'!H218,'A-8'!H290))</f>
        <v>367</v>
      </c>
      <c r="I50" s="142">
        <f>IF(AND('A-8'!I146="-",'A-8'!I218="-",'A-8'!I290="-"),"-",SUM('A-8'!I146,'A-8'!I218,'A-8'!I290))</f>
        <v>1243</v>
      </c>
      <c r="J50" s="142" t="str">
        <f>IF(AND('A-8'!J146="-",'A-8'!J218="-",'A-8'!J290="-"),"-",SUM('A-8'!J146,'A-8'!J218,'A-8'!J290))</f>
        <v>-</v>
      </c>
      <c r="K50" s="142" t="str">
        <f>IF(AND('A-8'!K146="-",'A-8'!K218="-",'A-8'!K290="-"),"-",SUM('A-8'!K146,'A-8'!K218,'A-8'!K290))</f>
        <v>-</v>
      </c>
      <c r="L50" s="142">
        <f>IF(AND('A-8'!L146="-",'A-8'!L218="-",'A-8'!L290="-"),"-",SUM('A-8'!L146,'A-8'!L218,'A-8'!L290))</f>
        <v>16935</v>
      </c>
      <c r="M50" s="7"/>
      <c r="N50" s="142" t="s">
        <v>23</v>
      </c>
      <c r="O50" s="142" t="s">
        <v>23</v>
      </c>
      <c r="P50" s="142" t="s">
        <v>23</v>
      </c>
      <c r="Q50" s="142" t="str">
        <f>IF(AND('A-8'!N146="-",'A-8'!N218="-",'A-8'!N290="-"),"-",SUM('A-8'!N146,'A-8'!N218,'A-8'!N290))</f>
        <v>-</v>
      </c>
      <c r="R50" s="142">
        <f>IF(AND('A-8'!O146="-",'A-8'!O218="-",'A-8'!O290="-"),"-",SUM('A-8'!O146,'A-8'!O218,'A-8'!O290))</f>
        <v>934</v>
      </c>
      <c r="S50" s="142">
        <f>IF(AND('A-8'!P146="-",'A-8'!P218="-",'A-8'!P290="-"),"-",SUM('A-8'!P146,'A-8'!P218,'A-8'!P290))</f>
        <v>1154</v>
      </c>
      <c r="T50" s="142" t="str">
        <f>IF(AND('A-8'!Q146="-",'A-8'!Q218="-",'A-8'!Q290="-"),"-",SUM('A-8'!Q146,'A-8'!Q218,'A-8'!Q290))</f>
        <v>-</v>
      </c>
      <c r="U50" s="142" t="str">
        <f>IF(AND('A-8'!R146="-",'A-8'!R218="-",'A-8'!R290="-"),"-",SUM('A-8'!R146,'A-8'!R218,'A-8'!R290))</f>
        <v>-</v>
      </c>
      <c r="V50" s="142" t="s">
        <v>23</v>
      </c>
      <c r="W50" s="142" t="s">
        <v>23</v>
      </c>
      <c r="X50" s="142" t="s">
        <v>23</v>
      </c>
      <c r="Z50" s="1">
        <v>0</v>
      </c>
    </row>
    <row r="51" spans="1:26" ht="11.25" customHeight="1">
      <c r="A51" s="99"/>
      <c r="M51" s="7"/>
    </row>
    <row r="52" spans="1:26" ht="11.25" customHeight="1">
      <c r="A52" s="94" t="s">
        <v>346</v>
      </c>
      <c r="M52" s="7"/>
    </row>
    <row r="53" spans="1:26" ht="11.25" customHeight="1">
      <c r="A53" s="99">
        <v>1976</v>
      </c>
      <c r="B53" s="142" t="s">
        <v>23</v>
      </c>
      <c r="C53" s="142">
        <f>IF(AND('A-8'!C317="-",'A-3'!B5="-",'A-3'!B53="-"),"-",SUM('A-8'!C317,'A-3'!B5,'A-3'!B53))</f>
        <v>2663</v>
      </c>
      <c r="D53" s="142">
        <f>IF(AND('A-8'!D317="-",'A-3'!C5="-",'A-3'!C53="-"),"-",SUM('A-8'!D317,'A-3'!C5,'A-3'!C53))</f>
        <v>58189</v>
      </c>
      <c r="E53" s="142">
        <f>IF(AND('A-8'!E317="-",'A-3'!D5="-",'A-3'!D53="-"),"-",SUM('A-8'!E317,'A-3'!D5,'A-3'!D53))</f>
        <v>53962</v>
      </c>
      <c r="F53" s="142">
        <f>IF(AND('A-8'!F317="-",'A-3'!E5="-",'A-3'!E53="-"),"-",SUM('A-8'!F317,'A-3'!E5,'A-3'!E53))</f>
        <v>77446</v>
      </c>
      <c r="G53" s="142">
        <f>IF(AND('A-8'!G317="-",'A-3'!F5="-",'A-3'!F53="-"),"-",SUM('A-8'!G317,'A-3'!F5,'A-3'!F53))</f>
        <v>17444</v>
      </c>
      <c r="H53" s="142">
        <f>IF(AND('A-8'!H317="-",'A-3'!G5="-",'A-3'!G53="-"),"-",SUM('A-8'!H317,'A-3'!G5,'A-3'!G53))</f>
        <v>12732</v>
      </c>
      <c r="I53" s="142">
        <f>IF(AND('A-8'!I317="-",'A-3'!H5="-",'A-3'!H53="-"),"-",SUM('A-8'!I317,'A-3'!H5,'A-3'!H53))</f>
        <v>4299</v>
      </c>
      <c r="J53" s="142">
        <f>IF('A-8'!J317="-","-",('A-8'!J317))</f>
        <v>1854</v>
      </c>
      <c r="K53" s="142" t="str">
        <f>IF('A-8'!K317="-","-",('A-8'!K317))</f>
        <v>-</v>
      </c>
      <c r="L53" s="142">
        <f>IF(AND('A-8'!L317="-",'A-3'!I5="-",'A-3'!I53="-"),"-",SUM('A-8'!L317,'A-3'!I5,'A-3'!I53))</f>
        <v>228589</v>
      </c>
      <c r="M53" s="7"/>
      <c r="N53" s="142" t="s">
        <v>23</v>
      </c>
      <c r="O53" s="142">
        <f>SUM('A-8'!L317,'A-3'!K5,'A-3'!K53)</f>
        <v>42199</v>
      </c>
      <c r="P53" s="142">
        <f>SUM('A-8'!M317,'A-3'!L5,'A-3'!L53)</f>
        <v>130181</v>
      </c>
      <c r="Q53" s="142">
        <f>SUM('A-8'!N317,'A-3'!M5,'A-3'!M53)</f>
        <v>184797</v>
      </c>
      <c r="R53" s="142">
        <f>SUM('A-8'!O317,'A-3'!N5,'A-3'!N53)</f>
        <v>110197</v>
      </c>
      <c r="S53" s="142">
        <f>SUM('A-8'!P317,'A-3'!O5,'A-3'!O53)</f>
        <v>28547</v>
      </c>
      <c r="T53" s="142">
        <f>SUM('A-8'!Q317,'A-3'!P5,'A-3'!P53)</f>
        <v>2528</v>
      </c>
      <c r="U53" s="142">
        <f>SUM('A-8'!R317,'A-3'!Q5,'A-3'!Q53)</f>
        <v>306</v>
      </c>
      <c r="V53" s="142" t="s">
        <v>23</v>
      </c>
      <c r="W53" s="142" t="s">
        <v>23</v>
      </c>
      <c r="X53" s="142">
        <f>SUM(N53:W53)</f>
        <v>498755</v>
      </c>
    </row>
    <row r="54" spans="1:26" ht="11.25" customHeight="1">
      <c r="A54" s="99">
        <v>1977</v>
      </c>
      <c r="B54" s="142" t="s">
        <v>23</v>
      </c>
      <c r="C54" s="142">
        <f>IF(AND('A-8'!C318="-",'A-3'!B6="-",'A-3'!B54="-"),"-",SUM('A-8'!C318,'A-3'!B6,'A-3'!B54))</f>
        <v>22668</v>
      </c>
      <c r="D54" s="142">
        <f>IF(AND('A-8'!D318="-",'A-3'!C6="-",'A-3'!C54="-"),"-",SUM('A-8'!D318,'A-3'!C6,'A-3'!C54))</f>
        <v>70586</v>
      </c>
      <c r="E54" s="142">
        <f>IF(AND('A-8'!E318="-",'A-3'!D6="-",'A-3'!D54="-"),"-",SUM('A-8'!E318,'A-3'!D6,'A-3'!D54))</f>
        <v>43261</v>
      </c>
      <c r="F54" s="142">
        <f>IF(AND('A-8'!F318="-",'A-3'!E6="-",'A-3'!E54="-"),"-",SUM('A-8'!F318,'A-3'!E6,'A-3'!E54))</f>
        <v>84720</v>
      </c>
      <c r="G54" s="142">
        <f>IF(AND('A-8'!G318="-",'A-3'!F6="-",'A-3'!F54="-"),"-",SUM('A-8'!G318,'A-3'!F6,'A-3'!F54))</f>
        <v>39426</v>
      </c>
      <c r="H54" s="142">
        <f>IF(AND('A-8'!H318="-",'A-3'!G6="-",'A-3'!G54="-"),"-",SUM('A-8'!H318,'A-3'!G6,'A-3'!G54))</f>
        <v>15595</v>
      </c>
      <c r="I54" s="142">
        <f>IF(AND('A-8'!I318="-",'A-3'!H6="-",'A-3'!H54="-"),"-",SUM('A-8'!I318,'A-3'!H6,'A-3'!H54))</f>
        <v>4910</v>
      </c>
      <c r="J54" s="142">
        <f>IF('A-8'!J318="-","-",('A-8'!J318))</f>
        <v>4141</v>
      </c>
      <c r="K54" s="142" t="str">
        <f>IF('A-8'!K318="-","-",('A-8'!K318))</f>
        <v>-</v>
      </c>
      <c r="L54" s="142">
        <f>IF(AND('A-8'!L318="-",'A-3'!I6="-",'A-3'!I54="-"),"-",SUM('A-8'!L318,'A-3'!I6,'A-3'!I54))</f>
        <v>285307</v>
      </c>
      <c r="M54" s="7"/>
      <c r="N54" s="142" t="s">
        <v>23</v>
      </c>
      <c r="O54" s="142">
        <f>SUM('A-8'!L318,'A-3'!K6,'A-3'!K54)</f>
        <v>87847</v>
      </c>
      <c r="P54" s="142">
        <f>SUM('A-8'!M318,'A-3'!L6,'A-3'!L54)</f>
        <v>10658</v>
      </c>
      <c r="Q54" s="142">
        <f>SUM('A-8'!N318,'A-3'!M6,'A-3'!M54)</f>
        <v>6458</v>
      </c>
      <c r="R54" s="142">
        <f>SUM('A-8'!O318,'A-3'!N6,'A-3'!N54)</f>
        <v>32052</v>
      </c>
      <c r="S54" s="142">
        <f>SUM('A-8'!P318,'A-3'!O6,'A-3'!O54)</f>
        <v>11504</v>
      </c>
      <c r="T54" s="142">
        <f>SUM('A-8'!Q318,'A-3'!P6,'A-3'!P54)</f>
        <v>434</v>
      </c>
      <c r="U54" s="142">
        <f>SUM('A-8'!R318,'A-3'!Q6,'A-3'!Q54)</f>
        <v>30</v>
      </c>
      <c r="V54" s="142" t="s">
        <v>23</v>
      </c>
      <c r="W54" s="142" t="s">
        <v>23</v>
      </c>
      <c r="X54" s="142">
        <f t="shared" ref="X54:X68" si="1">SUM(N54:W54)</f>
        <v>148983</v>
      </c>
    </row>
    <row r="55" spans="1:26" ht="11.25" customHeight="1">
      <c r="A55" s="99">
        <v>1978</v>
      </c>
      <c r="B55" s="142" t="str">
        <f>IF('A-8'!B319="-","-",('A-8'!B319))</f>
        <v>-</v>
      </c>
      <c r="C55" s="142">
        <f>IF(AND('A-8'!C319="-",'A-3'!B7="-",'A-3'!B55="-"),"-",SUM('A-8'!C319,'A-3'!B7,'A-3'!B55))</f>
        <v>8787</v>
      </c>
      <c r="D55" s="142">
        <f>IF(AND('A-8'!D319="-",'A-3'!C7="-",'A-3'!C55="-"),"-",SUM('A-8'!D319,'A-3'!C7,'A-3'!C55))</f>
        <v>114656</v>
      </c>
      <c r="E55" s="142">
        <f>IF(AND('A-8'!E319="-",'A-3'!D7="-",'A-3'!D55="-"),"-",SUM('A-8'!E319,'A-3'!D7,'A-3'!D55))</f>
        <v>85715</v>
      </c>
      <c r="F55" s="142">
        <f>IF(AND('A-8'!F319="-",'A-3'!E7="-",'A-3'!E55="-"),"-",SUM('A-8'!F319,'A-3'!E7,'A-3'!E55))</f>
        <v>22568</v>
      </c>
      <c r="G55" s="142">
        <f>IF(AND('A-8'!G319="-",'A-3'!F7="-",'A-3'!F55="-"),"-",SUM('A-8'!G319,'A-3'!F7,'A-3'!F55))</f>
        <v>13387</v>
      </c>
      <c r="H55" s="142">
        <f>IF(AND('A-8'!H319="-",'A-3'!G7="-",'A-3'!G55="-"),"-",SUM('A-8'!H319,'A-3'!G7,'A-3'!G55))</f>
        <v>9520</v>
      </c>
      <c r="I55" s="142">
        <f>IF(AND('A-8'!I319="-",'A-3'!H7="-",'A-3'!H55="-"),"-",SUM('A-8'!I319,'A-3'!H7,'A-3'!H55))</f>
        <v>4215</v>
      </c>
      <c r="J55" s="142">
        <f>IF('A-8'!J319="-","-",('A-8'!J319))</f>
        <v>3207</v>
      </c>
      <c r="K55" s="142" t="str">
        <f>IF('A-8'!K319="-","-",('A-8'!K319))</f>
        <v>-</v>
      </c>
      <c r="L55" s="142">
        <f>IF(AND('A-8'!L319="-",'A-3'!I7="-",'A-3'!I55="-"),"-",SUM('A-8'!L319,'A-3'!I7,'A-3'!I55))</f>
        <v>262055</v>
      </c>
      <c r="M55" s="7"/>
      <c r="N55" s="142" t="s">
        <v>23</v>
      </c>
      <c r="O55" s="142">
        <f>SUM('A-3'!K7,'A-3'!K55)</f>
        <v>12</v>
      </c>
      <c r="P55" s="142">
        <f>SUM('A-3'!L7,'A-3'!L55)</f>
        <v>48473</v>
      </c>
      <c r="Q55" s="142">
        <f>SUM('A-8'!N319,'A-3'!M7,'A-3'!M55)</f>
        <v>199374</v>
      </c>
      <c r="R55" s="142">
        <f>SUM('A-8'!O319,'A-3'!N7,'A-3'!N55)</f>
        <v>49174</v>
      </c>
      <c r="S55" s="142">
        <f>SUM('A-8'!P319,'A-3'!O7,'A-3'!O55)</f>
        <v>14505</v>
      </c>
      <c r="T55" s="142">
        <f>SUM('A-8'!Q319,'A-3'!P7,'A-3'!P55)</f>
        <v>3035</v>
      </c>
      <c r="U55" s="142">
        <f>SUM('A-8'!R319,'A-3'!Q7,'A-3'!Q55)</f>
        <v>186</v>
      </c>
      <c r="V55" s="142" t="s">
        <v>23</v>
      </c>
      <c r="W55" s="142" t="s">
        <v>23</v>
      </c>
      <c r="X55" s="142">
        <f t="shared" si="1"/>
        <v>314759</v>
      </c>
    </row>
    <row r="56" spans="1:26" ht="11.25" customHeight="1">
      <c r="A56" s="99">
        <v>1979</v>
      </c>
      <c r="B56" s="142" t="str">
        <f>IF('A-8'!B320="-","-",('A-8'!B320))</f>
        <v>-</v>
      </c>
      <c r="C56" s="142">
        <f>IF(AND('A-8'!C320="-",'A-3'!B8="-",'A-3'!B56="-"),"-",SUM('A-8'!C320,'A-3'!B8,'A-3'!B56))</f>
        <v>0</v>
      </c>
      <c r="D56" s="142">
        <f>IF(AND('A-8'!D320="-",'A-3'!C8="-",'A-3'!C56="-"),"-",SUM('A-8'!D320,'A-3'!C8,'A-3'!C56))</f>
        <v>113134</v>
      </c>
      <c r="E56" s="142">
        <f>IF(AND('A-8'!E320="-",'A-3'!D8="-",'A-3'!D56="-"),"-",SUM('A-8'!E320,'A-3'!D8,'A-3'!D56))</f>
        <v>34917</v>
      </c>
      <c r="F56" s="142">
        <f>IF(AND('A-8'!F320="-",'A-3'!E8="-",'A-3'!E56="-"),"-",SUM('A-8'!F320,'A-3'!E8,'A-3'!E56))</f>
        <v>107473</v>
      </c>
      <c r="G56" s="142">
        <f>IF(AND('A-8'!G320="-",'A-3'!F8="-",'A-3'!F56="-"),"-",SUM('A-8'!G320,'A-3'!F8,'A-3'!F56))</f>
        <v>118411</v>
      </c>
      <c r="H56" s="142">
        <f>IF(AND('A-8'!H320="-",'A-3'!G8="-",'A-3'!G56="-"),"-",SUM('A-8'!H320,'A-3'!G8,'A-3'!G56))</f>
        <v>22401</v>
      </c>
      <c r="I56" s="142">
        <f>IF(AND('A-8'!I320="-",'A-3'!H8="-",'A-3'!H56="-"),"-",SUM('A-8'!I320,'A-3'!H8,'A-3'!H56))</f>
        <v>15743</v>
      </c>
      <c r="J56" s="142">
        <f>IF('A-8'!J320="-","-",('A-8'!J320))</f>
        <v>1861</v>
      </c>
      <c r="K56" s="142" t="str">
        <f>IF('A-8'!K320="-","-",('A-8'!K320))</f>
        <v>-</v>
      </c>
      <c r="L56" s="142">
        <f>IF(AND('A-8'!L320="-",'A-3'!I8="-",'A-3'!I56="-"),"-",SUM('A-8'!L320,'A-3'!I8,'A-3'!I56))</f>
        <v>413940</v>
      </c>
      <c r="M56" s="7"/>
      <c r="N56" s="142" t="s">
        <v>23</v>
      </c>
      <c r="O56" s="142">
        <f>SUM('A-3'!K8,'A-3'!K56)</f>
        <v>0</v>
      </c>
      <c r="P56" s="142">
        <f>SUM('A-3'!L8,'A-3'!L56)</f>
        <v>14301</v>
      </c>
      <c r="Q56" s="142">
        <f>SUM('A-8'!N320,'A-3'!M8,'A-3'!M56)</f>
        <v>48965</v>
      </c>
      <c r="R56" s="142">
        <f>SUM('A-8'!O320,'A-3'!N8,'A-3'!N56)</f>
        <v>155914</v>
      </c>
      <c r="S56" s="142">
        <f>SUM('A-8'!P320,'A-3'!O8,'A-3'!O56)</f>
        <v>23795</v>
      </c>
      <c r="T56" s="142">
        <f>SUM('A-8'!Q320,'A-3'!P8,'A-3'!P56)</f>
        <v>394</v>
      </c>
      <c r="U56" s="142">
        <f>SUM('A-8'!R320,'A-3'!Q8,'A-3'!Q56)</f>
        <v>0</v>
      </c>
      <c r="V56" s="142" t="s">
        <v>23</v>
      </c>
      <c r="W56" s="142" t="s">
        <v>23</v>
      </c>
      <c r="X56" s="142">
        <f t="shared" si="1"/>
        <v>243369</v>
      </c>
    </row>
    <row r="57" spans="1:26" ht="11.25" customHeight="1">
      <c r="A57" s="99">
        <v>1980</v>
      </c>
      <c r="B57" s="142" t="str">
        <f>IF('A-8'!B321="-","-",('A-8'!B321))</f>
        <v>-</v>
      </c>
      <c r="C57" s="142" t="str">
        <f>IF(AND('A-8'!C321="-",'A-3'!B9="-",'A-3'!B57="-"),"-",SUM('A-8'!C321,'A-3'!B9,'A-3'!B57))</f>
        <v>-</v>
      </c>
      <c r="D57" s="142">
        <f>IF(AND('A-8'!D321="-",'A-3'!C9="-",'A-3'!C57="-"),"-",SUM('A-8'!D321,'A-3'!C9,'A-3'!C57))</f>
        <v>112594</v>
      </c>
      <c r="E57" s="142">
        <f>IF(AND('A-8'!E321="-",'A-3'!D9="-",'A-3'!D57="-"),"-",SUM('A-8'!E321,'A-3'!D9,'A-3'!D57))</f>
        <v>2566</v>
      </c>
      <c r="F57" s="142">
        <f>IF(AND('A-8'!F321="-",'A-3'!E9="-",'A-3'!E57="-"),"-",SUM('A-8'!F321,'A-3'!E9,'A-3'!E57))</f>
        <v>37282</v>
      </c>
      <c r="G57" s="142">
        <f>IF(AND('A-8'!G321="-",'A-3'!F9="-",'A-3'!F57="-"),"-",SUM('A-8'!G321,'A-3'!F9,'A-3'!F57))</f>
        <v>44426</v>
      </c>
      <c r="H57" s="142">
        <f>IF(AND('A-8'!H321="-",'A-3'!G9="-",'A-3'!G57="-"),"-",SUM('A-8'!H321,'A-3'!G9,'A-3'!G57))</f>
        <v>30711</v>
      </c>
      <c r="I57" s="142">
        <f>IF(AND('A-8'!I321="-",'A-3'!H9="-",'A-3'!H57="-"),"-",SUM('A-8'!I321,'A-3'!H9,'A-3'!H57))</f>
        <v>3748</v>
      </c>
      <c r="J57" s="142">
        <f>IF('A-8'!J321="-","-",('A-8'!J321))</f>
        <v>983</v>
      </c>
      <c r="K57" s="142" t="str">
        <f>IF('A-8'!K321="-","-",('A-8'!K321))</f>
        <v>-</v>
      </c>
      <c r="L57" s="142">
        <f>IF(AND('A-8'!L321="-",'A-3'!I9="-",'A-3'!I57="-"),"-",SUM('A-8'!L321,'A-3'!I9,'A-3'!I57))</f>
        <v>232310</v>
      </c>
      <c r="M57" s="7"/>
      <c r="N57" s="142" t="s">
        <v>23</v>
      </c>
      <c r="O57" s="142">
        <f>SUM('A-3'!K9,'A-3'!K57)</f>
        <v>0</v>
      </c>
      <c r="P57" s="142">
        <f>SUM('A-3'!L9,'A-3'!L57)</f>
        <v>934</v>
      </c>
      <c r="Q57" s="142">
        <f>SUM('A-8'!N321,'A-3'!M9,'A-3'!M57)</f>
        <v>0</v>
      </c>
      <c r="R57" s="142">
        <f>SUM('A-8'!O321,'A-3'!N9,'A-3'!N57)</f>
        <v>21095</v>
      </c>
      <c r="S57" s="142">
        <f>SUM('A-8'!P321,'A-3'!O9,'A-3'!O57)</f>
        <v>8644</v>
      </c>
      <c r="T57" s="142">
        <f>SUM('A-8'!Q321,'A-3'!P9,'A-3'!P57)</f>
        <v>5463</v>
      </c>
      <c r="U57" s="142">
        <f>SUM('A-8'!R321,'A-3'!Q9,'A-3'!Q57)</f>
        <v>0</v>
      </c>
      <c r="V57" s="142" t="s">
        <v>23</v>
      </c>
      <c r="W57" s="142" t="s">
        <v>23</v>
      </c>
      <c r="X57" s="142">
        <f t="shared" si="1"/>
        <v>36136</v>
      </c>
    </row>
    <row r="58" spans="1:26" ht="11.25" customHeight="1">
      <c r="A58" s="99">
        <v>1981</v>
      </c>
      <c r="B58" s="142" t="str">
        <f>IF('A-8'!B322="-","-",('A-8'!B322))</f>
        <v>-</v>
      </c>
      <c r="C58" s="142" t="str">
        <f>IF(AND('A-8'!C322="-",'A-3'!B10="-",'A-3'!B58="-"),"-",SUM('A-8'!C322,'A-3'!B10,'A-3'!B58))</f>
        <v>-</v>
      </c>
      <c r="D58" s="142">
        <f>IF(AND('A-8'!D322="-",'A-3'!C10="-",'A-3'!C58="-"),"-",SUM('A-8'!D322,'A-3'!C10,'A-3'!C58))</f>
        <v>81389</v>
      </c>
      <c r="E58" s="142">
        <f>IF(AND('A-8'!E322="-",'A-3'!D10="-",'A-3'!D58="-"),"-",SUM('A-8'!E322,'A-3'!D10,'A-3'!D58))</f>
        <v>6825</v>
      </c>
      <c r="F58" s="142">
        <f>IF(AND('A-8'!F322="-",'A-3'!E10="-",'A-3'!E58="-"),"-",SUM('A-8'!F322,'A-3'!E10,'A-3'!E58))</f>
        <v>26188</v>
      </c>
      <c r="G58" s="142">
        <f>IF(AND('A-8'!G322="-",'A-3'!F10="-",'A-3'!F58="-"),"-",SUM('A-8'!G322,'A-3'!F10,'A-3'!F58))</f>
        <v>104145</v>
      </c>
      <c r="H58" s="142">
        <f>IF(AND('A-8'!H322="-",'A-3'!G10="-",'A-3'!G58="-"),"-",SUM('A-8'!H322,'A-3'!G10,'A-3'!G58))</f>
        <v>33830</v>
      </c>
      <c r="I58" s="142">
        <f>IF(AND('A-8'!I322="-",'A-3'!H10="-",'A-3'!H58="-"),"-",SUM('A-8'!I322,'A-3'!H10,'A-3'!H58))</f>
        <v>11266</v>
      </c>
      <c r="J58" s="142">
        <f>IF('A-8'!J322="-","-",('A-8'!J322))</f>
        <v>1214</v>
      </c>
      <c r="K58" s="142" t="str">
        <f>IF('A-8'!K322="-","-",('A-8'!K322))</f>
        <v>-</v>
      </c>
      <c r="L58" s="142">
        <f>IF(AND('A-8'!L322="-",'A-3'!I10="-",'A-3'!I58="-"),"-",SUM('A-8'!L322,'A-3'!I10,'A-3'!I58))</f>
        <v>264857</v>
      </c>
      <c r="M58" s="7"/>
      <c r="N58" s="142" t="s">
        <v>23</v>
      </c>
      <c r="O58" s="142" t="s">
        <v>23</v>
      </c>
      <c r="P58" s="142">
        <f>SUM('A-3'!L10,'A-3'!L58)</f>
        <v>17088</v>
      </c>
      <c r="Q58" s="142">
        <f>SUM('A-8'!N322,'A-3'!M10,'A-3'!M58)</f>
        <v>5514</v>
      </c>
      <c r="R58" s="142">
        <f>SUM('A-8'!O322,'A-3'!N10,'A-3'!N58)</f>
        <v>35758</v>
      </c>
      <c r="S58" s="142">
        <f>SUM('A-8'!P322,'A-3'!O10,'A-3'!O58)</f>
        <v>63580</v>
      </c>
      <c r="T58" s="142">
        <f>SUM('A-8'!Q322,'A-3'!P10,'A-3'!P58)</f>
        <v>2776</v>
      </c>
      <c r="U58" s="142">
        <f>SUM('A-8'!R322,'A-3'!Q10,'A-3'!Q58)</f>
        <v>0</v>
      </c>
      <c r="V58" s="142" t="s">
        <v>23</v>
      </c>
      <c r="W58" s="142" t="s">
        <v>23</v>
      </c>
      <c r="X58" s="142">
        <f t="shared" si="1"/>
        <v>124716</v>
      </c>
    </row>
    <row r="59" spans="1:26" ht="11.25" customHeight="1">
      <c r="A59" s="99">
        <v>1982</v>
      </c>
      <c r="B59" s="142" t="str">
        <f>IF('A-8'!B323="-","-",('A-8'!B323))</f>
        <v>-</v>
      </c>
      <c r="C59" s="142" t="str">
        <f>IF(AND('A-8'!C323="-",'A-3'!B11="-",'A-3'!B59="-"),"-",SUM('A-8'!C323,'A-3'!B11,'A-3'!B59))</f>
        <v>-</v>
      </c>
      <c r="D59" s="142">
        <f>IF(AND('A-8'!D323="-",'A-3'!C11="-",'A-3'!C59="-"),"-",SUM('A-8'!D323,'A-3'!C11,'A-3'!C59))</f>
        <v>51595</v>
      </c>
      <c r="E59" s="142">
        <f>IF(AND('A-8'!E323="-",'A-3'!D11="-",'A-3'!D59="-"),"-",SUM('A-8'!E323,'A-3'!D11,'A-3'!D59))</f>
        <v>17987</v>
      </c>
      <c r="F59" s="142">
        <f>IF(AND('A-8'!F323="-",'A-3'!E11="-",'A-3'!E59="-"),"-",SUM('A-8'!F323,'A-3'!E11,'A-3'!E59))</f>
        <v>71681</v>
      </c>
      <c r="G59" s="142">
        <f>IF(AND('A-8'!G323="-",'A-3'!F11="-",'A-3'!F59="-"),"-",SUM('A-8'!G323,'A-3'!F11,'A-3'!F59))</f>
        <v>77975</v>
      </c>
      <c r="H59" s="142">
        <f>IF(AND('A-8'!H323="-",'A-3'!G11="-",'A-3'!G59="-"),"-",SUM('A-8'!H323,'A-3'!G11,'A-3'!G59))</f>
        <v>13754</v>
      </c>
      <c r="I59" s="142">
        <f>IF(AND('A-8'!I323="-",'A-3'!H11="-",'A-3'!H59="-"),"-",SUM('A-8'!I323,'A-3'!H11,'A-3'!H59))</f>
        <v>3204</v>
      </c>
      <c r="J59" s="142">
        <f>IF('A-8'!J323="-","-",('A-8'!J323))</f>
        <v>1385</v>
      </c>
      <c r="K59" s="142" t="str">
        <f>IF('A-8'!K323="-","-",('A-8'!K323))</f>
        <v>-</v>
      </c>
      <c r="L59" s="142">
        <f>IF(AND('A-8'!L323="-",'A-3'!I11="-",'A-3'!I59="-"),"-",SUM('A-8'!L323,'A-3'!I11,'A-3'!I59))</f>
        <v>237581</v>
      </c>
      <c r="M59" s="7"/>
      <c r="N59" s="142" t="s">
        <v>23</v>
      </c>
      <c r="O59" s="142" t="s">
        <v>23</v>
      </c>
      <c r="P59" s="142">
        <f>SUM('A-3'!L11,'A-3'!L59)</f>
        <v>544</v>
      </c>
      <c r="Q59" s="142">
        <f>SUM('A-8'!N323,'A-3'!M11,'A-3'!M59)</f>
        <v>8117</v>
      </c>
      <c r="R59" s="142">
        <f>SUM('A-8'!O323,'A-3'!N11,'A-3'!N59)</f>
        <v>54394</v>
      </c>
      <c r="S59" s="142">
        <f>SUM('A-8'!P323,'A-3'!O11,'A-3'!O59)</f>
        <v>11178</v>
      </c>
      <c r="T59" s="142">
        <f>SUM('A-8'!Q323,'A-3'!P11,'A-3'!P59)</f>
        <v>1238</v>
      </c>
      <c r="U59" s="142">
        <f>SUM('A-8'!R323,'A-3'!Q11,'A-3'!Q59)</f>
        <v>0</v>
      </c>
      <c r="V59" s="142" t="s">
        <v>23</v>
      </c>
      <c r="W59" s="142" t="s">
        <v>23</v>
      </c>
      <c r="X59" s="142">
        <f t="shared" si="1"/>
        <v>75471</v>
      </c>
    </row>
    <row r="60" spans="1:26" ht="11.25" customHeight="1">
      <c r="A60" s="99">
        <v>1983</v>
      </c>
      <c r="B60" s="142" t="str">
        <f>IF('A-8'!B324="-","-",('A-8'!B324))</f>
        <v>-</v>
      </c>
      <c r="C60" s="142" t="str">
        <f>IF(AND('A-8'!C324="-",'A-3'!B12="-",'A-3'!B60="-"),"-",SUM('A-8'!C324,'A-3'!B12,'A-3'!B60))</f>
        <v>-</v>
      </c>
      <c r="D60" s="142">
        <f>IF(AND('A-8'!D324="-",'A-3'!C12="-",'A-3'!C60="-"),"-",SUM('A-8'!D324,'A-3'!C12,'A-3'!C60))</f>
        <v>13106</v>
      </c>
      <c r="E60" s="142">
        <f>IF(AND('A-8'!E324="-",'A-3'!D12="-",'A-3'!D60="-"),"-",SUM('A-8'!E324,'A-3'!D12,'A-3'!D60))</f>
        <v>40854</v>
      </c>
      <c r="F60" s="142">
        <f>IF(AND('A-8'!F324="-",'A-3'!E12="-",'A-3'!E60="-"),"-",SUM('A-8'!F324,'A-3'!E12,'A-3'!E60))</f>
        <v>18797</v>
      </c>
      <c r="G60" s="142">
        <f>IF(AND('A-8'!G324="-",'A-3'!F12="-",'A-3'!F60="-"),"-",SUM('A-8'!G324,'A-3'!F12,'A-3'!F60))</f>
        <v>6911</v>
      </c>
      <c r="H60" s="142">
        <f>IF(AND('A-8'!H324="-",'A-3'!G12="-",'A-3'!G60="-"),"-",SUM('A-8'!H324,'A-3'!G12,'A-3'!G60))</f>
        <v>307</v>
      </c>
      <c r="I60" s="142">
        <f>IF(AND('A-8'!I324="-",'A-3'!H12="-",'A-3'!H60="-"),"-",SUM('A-8'!I324,'A-3'!H12,'A-3'!H60))</f>
        <v>1744</v>
      </c>
      <c r="J60" s="142">
        <f>IF('A-8'!J324="-","-",('A-8'!J324))</f>
        <v>753</v>
      </c>
      <c r="K60" s="142" t="str">
        <f>IF('A-8'!K324="-","-",('A-8'!K324))</f>
        <v>-</v>
      </c>
      <c r="L60" s="142">
        <f>IF(AND('A-8'!L324="-",'A-3'!I12="-",'A-3'!I60="-"),"-",SUM('A-8'!L324,'A-3'!I12,'A-3'!I60))</f>
        <v>82472</v>
      </c>
      <c r="M60" s="7"/>
      <c r="N60" s="142" t="s">
        <v>23</v>
      </c>
      <c r="O60" s="142" t="s">
        <v>23</v>
      </c>
      <c r="P60" s="142">
        <f>SUM('A-3'!L12,'A-3'!L60)</f>
        <v>1</v>
      </c>
      <c r="Q60" s="142">
        <f>SUM('A-8'!N324,'A-3'!M12,'A-3'!M60)</f>
        <v>22283</v>
      </c>
      <c r="R60" s="142">
        <f>SUM('A-8'!O324,'A-3'!N12,'A-3'!N60)</f>
        <v>37714</v>
      </c>
      <c r="S60" s="142">
        <f>SUM('A-8'!P324,'A-3'!O12,'A-3'!O60)</f>
        <v>6653</v>
      </c>
      <c r="T60" s="142">
        <f>SUM('A-8'!Q324,'A-3'!P12,'A-3'!P60)</f>
        <v>0</v>
      </c>
      <c r="U60" s="142">
        <f>SUM('A-8'!R324,'A-3'!Q12,'A-3'!Q60)</f>
        <v>0</v>
      </c>
      <c r="V60" s="142" t="s">
        <v>23</v>
      </c>
      <c r="W60" s="142" t="s">
        <v>23</v>
      </c>
      <c r="X60" s="142">
        <f t="shared" si="1"/>
        <v>66651</v>
      </c>
    </row>
    <row r="61" spans="1:26" ht="11.25" customHeight="1">
      <c r="A61" s="99">
        <v>1984</v>
      </c>
      <c r="B61" s="142" t="str">
        <f>IF('A-8'!B325="-","-",('A-8'!B325))</f>
        <v>-</v>
      </c>
      <c r="C61" s="142" t="str">
        <f>IF(AND('A-8'!C325="-",'A-3'!B13="-",'A-3'!B61="-"),"-",SUM('A-8'!C325,'A-3'!B13,'A-3'!B61))</f>
        <v>-</v>
      </c>
      <c r="D61" s="142">
        <f>IF(AND('A-8'!D325="-",'A-3'!C13="-",'A-3'!C61="-"),"-",SUM('A-8'!D325,'A-3'!C13,'A-3'!C61))</f>
        <v>9954</v>
      </c>
      <c r="E61" s="142">
        <f>IF(AND('A-8'!E325="-",'A-3'!D13="-",'A-3'!D61="-"),"-",SUM('A-8'!E325,'A-3'!D13,'A-3'!D61))</f>
        <v>1110</v>
      </c>
      <c r="F61" s="142">
        <f>IF(AND('A-8'!F325="-",'A-3'!E13="-",'A-3'!E61="-"),"-",SUM('A-8'!F325,'A-3'!E13,'A-3'!E61))</f>
        <v>13826</v>
      </c>
      <c r="G61" s="142">
        <f>IF(AND('A-8'!G325="-",'A-3'!F13="-",'A-3'!F61="-"),"-",SUM('A-8'!G325,'A-3'!F13,'A-3'!F61))</f>
        <v>26266</v>
      </c>
      <c r="H61" s="142">
        <f>IF(AND('A-8'!H325="-",'A-3'!G13="-",'A-3'!G61="-"),"-",SUM('A-8'!H325,'A-3'!G13,'A-3'!G61))</f>
        <v>8</v>
      </c>
      <c r="I61" s="142">
        <f>IF(AND('A-8'!I325="-",'A-3'!H13="-",'A-3'!H61="-"),"-",SUM('A-8'!I325,'A-3'!H13,'A-3'!H61))</f>
        <v>871</v>
      </c>
      <c r="J61" s="142">
        <f>IF('A-8'!J325="-","-",('A-8'!J325))</f>
        <v>894</v>
      </c>
      <c r="K61" s="142" t="str">
        <f>IF('A-8'!K325="-","-",('A-8'!K325))</f>
        <v>-</v>
      </c>
      <c r="L61" s="142">
        <f>IF(AND('A-8'!L325="-",'A-3'!I13="-",'A-3'!I61="-"),"-",SUM('A-8'!L325,'A-3'!I13,'A-3'!I61))</f>
        <v>52929</v>
      </c>
      <c r="M61" s="7"/>
      <c r="N61" s="142" t="s">
        <v>23</v>
      </c>
      <c r="O61" s="142" t="s">
        <v>23</v>
      </c>
      <c r="P61" s="142">
        <f>SUM('A-3'!L13,'A-3'!L61)</f>
        <v>0</v>
      </c>
      <c r="Q61" s="142">
        <f>SUM('A-8'!N325,'A-3'!M13,'A-3'!M61)</f>
        <v>0</v>
      </c>
      <c r="R61" s="142">
        <f>SUM('A-8'!O325,'A-3'!N13,'A-3'!N61)</f>
        <v>699</v>
      </c>
      <c r="S61" s="142">
        <f>SUM('A-8'!P325,'A-3'!O13,'A-3'!O61)</f>
        <v>5437</v>
      </c>
      <c r="T61" s="142">
        <f>SUM('A-8'!Q325,'A-3'!P13,'A-3'!P61)</f>
        <v>0</v>
      </c>
      <c r="U61" s="142">
        <f>SUM('A-8'!R325,'A-3'!Q13,'A-3'!Q61)</f>
        <v>0</v>
      </c>
      <c r="V61" s="142" t="s">
        <v>23</v>
      </c>
      <c r="W61" s="142" t="s">
        <v>23</v>
      </c>
      <c r="X61" s="142">
        <f t="shared" si="1"/>
        <v>6136</v>
      </c>
    </row>
    <row r="62" spans="1:26" ht="11.25" customHeight="1">
      <c r="A62" s="99">
        <v>1985</v>
      </c>
      <c r="B62" s="142" t="str">
        <f>IF('A-8'!B326="-","-",('A-8'!B326))</f>
        <v>-</v>
      </c>
      <c r="C62" s="142" t="str">
        <f>IF(AND('A-8'!C326="-",'A-3'!B14="-",'A-3'!B62="-"),"-",SUM('A-8'!C326,'A-3'!B14,'A-3'!B62))</f>
        <v>-</v>
      </c>
      <c r="D62" s="142">
        <f>IF(AND('A-8'!D326="-",'A-3'!C14="-",'A-3'!C62="-"),"-",SUM('A-8'!D326,'A-3'!C14,'A-3'!C62))</f>
        <v>259</v>
      </c>
      <c r="E62" s="142">
        <f>IF(AND('A-8'!E326="-",'A-3'!D14="-",'A-3'!D62="-"),"-",SUM('A-8'!E326,'A-3'!D14,'A-3'!D62))</f>
        <v>75</v>
      </c>
      <c r="F62" s="142">
        <f>IF(AND('A-8'!F326="-",'A-3'!E14="-",'A-3'!E62="-"),"-",SUM('A-8'!F326,'A-3'!E14,'A-3'!E62))</f>
        <v>2394</v>
      </c>
      <c r="G62" s="142">
        <f>IF(AND('A-8'!G326="-",'A-3'!F14="-",'A-3'!F62="-"),"-",SUM('A-8'!G326,'A-3'!F14,'A-3'!F62))</f>
        <v>7005</v>
      </c>
      <c r="H62" s="142">
        <f>IF(AND('A-8'!H326="-",'A-3'!G14="-",'A-3'!G62="-"),"-",SUM('A-8'!H326,'A-3'!G14,'A-3'!G62))</f>
        <v>2545</v>
      </c>
      <c r="I62" s="142">
        <f>IF(AND('A-8'!I326="-",'A-3'!H14="-",'A-3'!H62="-"),"-",SUM('A-8'!I326,'A-3'!H14,'A-3'!H62))</f>
        <v>388</v>
      </c>
      <c r="J62" s="142">
        <f>IF('A-8'!J326="-","-",('A-8'!J326))</f>
        <v>1320</v>
      </c>
      <c r="K62" s="142" t="str">
        <f>IF('A-8'!K326="-","-",('A-8'!K326))</f>
        <v>-</v>
      </c>
      <c r="L62" s="142">
        <f>IF(AND('A-8'!L326="-",'A-3'!I14="-",'A-3'!I62="-"),"-",SUM('A-8'!L326,'A-3'!I14,'A-3'!I62))</f>
        <v>13986</v>
      </c>
      <c r="M62" s="7"/>
      <c r="N62" s="142" t="s">
        <v>23</v>
      </c>
      <c r="O62" s="142" t="s">
        <v>23</v>
      </c>
      <c r="P62" s="142">
        <f>SUM('A-3'!L14,'A-3'!L62)</f>
        <v>0</v>
      </c>
      <c r="Q62" s="142">
        <f>SUM('A-8'!N326,'A-3'!M14,'A-3'!M62)</f>
        <v>0</v>
      </c>
      <c r="R62" s="142">
        <f>SUM('A-8'!O326,'A-3'!N14,'A-3'!N62)</f>
        <v>1011</v>
      </c>
      <c r="S62" s="142">
        <f>SUM('A-8'!P326,'A-3'!O14,'A-3'!O62)</f>
        <v>0</v>
      </c>
      <c r="T62" s="142">
        <f>SUM('A-8'!Q326,'A-3'!P14,'A-3'!P62)</f>
        <v>0</v>
      </c>
      <c r="U62" s="142">
        <f>SUM('A-8'!R326,'A-3'!Q14,'A-3'!Q62)</f>
        <v>0</v>
      </c>
      <c r="V62" s="142" t="s">
        <v>23</v>
      </c>
      <c r="W62" s="142" t="s">
        <v>23</v>
      </c>
      <c r="X62" s="142">
        <f t="shared" si="1"/>
        <v>1011</v>
      </c>
    </row>
    <row r="63" spans="1:26" ht="11.25" customHeight="1">
      <c r="A63" s="99">
        <v>1986</v>
      </c>
      <c r="B63" s="142" t="str">
        <f>IF('A-8'!B327="-","-",('A-8'!B327))</f>
        <v>-</v>
      </c>
      <c r="C63" s="142" t="str">
        <f>IF(AND('A-8'!C327="-",'A-3'!B15="-",'A-3'!B63="-"),"-",SUM('A-8'!C327,'A-3'!B15,'A-3'!B63))</f>
        <v>-</v>
      </c>
      <c r="D63" s="142">
        <f>IF(AND('A-8'!D327="-",'A-3'!C15="-",'A-3'!C63="-"),"-",SUM('A-8'!D327,'A-3'!C15,'A-3'!C63))</f>
        <v>3894</v>
      </c>
      <c r="E63" s="142">
        <f>IF(AND('A-8'!E327="-",'A-3'!D15="-",'A-3'!D63="-"),"-",SUM('A-8'!E327,'A-3'!D15,'A-3'!D63))</f>
        <v>37059.32</v>
      </c>
      <c r="F63" s="142">
        <f>IF(AND('A-8'!F327="-",'A-3'!E15="-",'A-3'!E63="-"),"-",SUM('A-8'!F327,'A-3'!E15,'A-3'!E63))</f>
        <v>16701.04</v>
      </c>
      <c r="G63" s="142">
        <f>IF(AND('A-8'!G327="-",'A-3'!F15="-",'A-3'!F63="-"),"-",SUM('A-8'!G327,'A-3'!F15,'A-3'!F63))</f>
        <v>41513.26</v>
      </c>
      <c r="H63" s="142">
        <f>IF(AND('A-8'!H327="-",'A-3'!G15="-",'A-3'!G63="-"),"-",SUM('A-8'!H327,'A-3'!G15,'A-3'!G63))</f>
        <v>3569</v>
      </c>
      <c r="I63" s="142">
        <f>IF(AND('A-8'!I327="-",'A-3'!H15="-",'A-3'!H63="-"),"-",SUM('A-8'!I327,'A-3'!H15,'A-3'!H63))</f>
        <v>1045</v>
      </c>
      <c r="J63" s="142">
        <f>IF('A-8'!J327="-","-",('A-8'!J327))</f>
        <v>613</v>
      </c>
      <c r="K63" s="142" t="str">
        <f>IF('A-8'!K327="-","-",('A-8'!K327))</f>
        <v>-</v>
      </c>
      <c r="L63" s="142">
        <f>IF(AND('A-8'!L327="-",'A-3'!I15="-",'A-3'!I63="-"),"-",SUM('A-8'!L327,'A-3'!I15,'A-3'!I63))</f>
        <v>104394.62</v>
      </c>
      <c r="M63" s="7"/>
      <c r="N63" s="142" t="s">
        <v>23</v>
      </c>
      <c r="O63" s="142" t="s">
        <v>23</v>
      </c>
      <c r="P63" s="142" t="s">
        <v>23</v>
      </c>
      <c r="Q63" s="142">
        <f>SUM('A-8'!N327,'A-3'!M15,'A-3'!M63)</f>
        <v>18774.646773019871</v>
      </c>
      <c r="R63" s="142">
        <f>SUM('A-8'!O327,'A-3'!N15,'A-3'!N63)</f>
        <v>9206.5521510383896</v>
      </c>
      <c r="S63" s="142">
        <f>SUM('A-8'!P327,'A-3'!O15,'A-3'!O63)</f>
        <v>235.12255447283678</v>
      </c>
      <c r="T63" s="142">
        <f>SUM('A-8'!Q327,'A-3'!P15,'A-3'!P63)</f>
        <v>48</v>
      </c>
      <c r="U63" s="142">
        <f>SUM('A-8'!R327,'A-3'!Q15,'A-3'!Q63)</f>
        <v>0</v>
      </c>
      <c r="V63" s="142" t="s">
        <v>23</v>
      </c>
      <c r="W63" s="142" t="s">
        <v>23</v>
      </c>
      <c r="X63" s="142">
        <f t="shared" si="1"/>
        <v>28264.321478531099</v>
      </c>
    </row>
    <row r="64" spans="1:26" ht="11.25" customHeight="1">
      <c r="A64" s="99">
        <v>1987</v>
      </c>
      <c r="B64" s="142" t="str">
        <f>IF('A-8'!B328="-","-",('A-8'!B328))</f>
        <v>-</v>
      </c>
      <c r="C64" s="142" t="str">
        <f>IF(AND('A-8'!C328="-",'A-3'!B16="-",'A-3'!B64="-"),"-",SUM('A-8'!C328,'A-3'!B16,'A-3'!B64))</f>
        <v>-</v>
      </c>
      <c r="D64" s="142">
        <f>IF(AND('A-8'!D328="-",'A-3'!C16="-",'A-3'!C64="-"),"-",SUM('A-8'!D328,'A-3'!C16,'A-3'!C64))</f>
        <v>9604</v>
      </c>
      <c r="E64" s="142">
        <f>IF(AND('A-8'!E328="-",'A-3'!D16="-",'A-3'!D64="-"),"-",SUM('A-8'!E328,'A-3'!D16,'A-3'!D64))</f>
        <v>107472</v>
      </c>
      <c r="F64" s="142">
        <f>IF(AND('A-8'!F328="-",'A-3'!E16="-",'A-3'!E64="-"),"-",SUM('A-8'!F328,'A-3'!E16,'A-3'!E64))</f>
        <v>3211</v>
      </c>
      <c r="G64" s="142" t="str">
        <f>IF(AND('A-8'!G328="-",'A-3'!F16="-",'A-3'!F64="-"),"-",SUM('A-8'!G328,'A-3'!F16,'A-3'!F64))</f>
        <v>-</v>
      </c>
      <c r="H64" s="142">
        <f>IF(AND('A-8'!H328="-",'A-3'!G16="-",'A-3'!G64="-"),"-",SUM('A-8'!H328,'A-3'!G16,'A-3'!G64))</f>
        <v>4836</v>
      </c>
      <c r="I64" s="142">
        <f>IF(AND('A-8'!I328="-",'A-3'!H16="-",'A-3'!H64="-"),"-",SUM('A-8'!I328,'A-3'!H16,'A-3'!H64))</f>
        <v>1070</v>
      </c>
      <c r="J64" s="142">
        <f>IF('A-8'!J328="-","-",('A-8'!J328))</f>
        <v>1916</v>
      </c>
      <c r="K64" s="142" t="str">
        <f>IF('A-8'!K328="-","-",('A-8'!K328))</f>
        <v>-</v>
      </c>
      <c r="L64" s="142">
        <f>IF(AND('A-8'!L328="-",'A-3'!I16="-",'A-3'!I64="-"),"-",SUM('A-8'!L328,'A-3'!I16,'A-3'!I64))</f>
        <v>128109</v>
      </c>
      <c r="M64" s="7"/>
      <c r="N64" s="142" t="s">
        <v>23</v>
      </c>
      <c r="O64" s="142" t="s">
        <v>23</v>
      </c>
      <c r="P64" s="142" t="s">
        <v>23</v>
      </c>
      <c r="Q64" s="142">
        <f>SUM('A-8'!N328,'A-3'!M16,'A-3'!M64)</f>
        <v>19164.676327387962</v>
      </c>
      <c r="R64" s="142">
        <f>SUM('A-8'!O328,'A-3'!N16,'A-3'!N64)</f>
        <v>193</v>
      </c>
      <c r="S64" s="142">
        <f>SUM('A-8'!P328,'A-3'!O16,'A-3'!O64)</f>
        <v>0</v>
      </c>
      <c r="T64" s="142">
        <f>SUM('A-8'!Q328,'A-3'!P16,'A-3'!P64)</f>
        <v>1257.3070607553366</v>
      </c>
      <c r="U64" s="142">
        <f>SUM('A-8'!R328,'A-3'!Q16,'A-3'!Q64)</f>
        <v>0</v>
      </c>
      <c r="V64" s="142" t="s">
        <v>23</v>
      </c>
      <c r="W64" s="142" t="s">
        <v>23</v>
      </c>
      <c r="X64" s="142">
        <f t="shared" si="1"/>
        <v>20614.983388143301</v>
      </c>
    </row>
    <row r="65" spans="1:24" ht="11.25" customHeight="1">
      <c r="A65" s="99">
        <v>1988</v>
      </c>
      <c r="B65" s="142" t="str">
        <f>IF('A-8'!B329="-","-",('A-8'!B329))</f>
        <v>-</v>
      </c>
      <c r="C65" s="142" t="str">
        <f>IF(AND('A-8'!C329="-",'A-3'!B17="-",'A-3'!B65="-"),"-",SUM('A-8'!C329,'A-3'!B17,'A-3'!B65))</f>
        <v>-</v>
      </c>
      <c r="D65" s="142">
        <f>IF(AND('A-8'!D329="-",'A-3'!C17="-",'A-3'!C65="-"),"-",SUM('A-8'!D329,'A-3'!C17,'A-3'!C65))</f>
        <v>8926</v>
      </c>
      <c r="E65" s="142">
        <f>IF(AND('A-8'!E329="-",'A-3'!D17="-",'A-3'!D65="-"),"-",SUM('A-8'!E329,'A-3'!D17,'A-3'!D65))</f>
        <v>63217</v>
      </c>
      <c r="F65" s="142" t="str">
        <f>IF(AND('A-8'!F329="-",'A-3'!E17="-",'A-3'!E65="-"),"-",SUM('A-8'!F329,'A-3'!E17,'A-3'!E65))</f>
        <v>-</v>
      </c>
      <c r="G65" s="142" t="str">
        <f>IF(AND('A-8'!G329="-",'A-3'!F17="-",'A-3'!F65="-"),"-",SUM('A-8'!G329,'A-3'!F17,'A-3'!F65))</f>
        <v>-</v>
      </c>
      <c r="H65" s="142">
        <f>IF(AND('A-8'!H329="-",'A-3'!G17="-",'A-3'!G65="-"),"-",SUM('A-8'!H329,'A-3'!G17,'A-3'!G65))</f>
        <v>18853</v>
      </c>
      <c r="I65" s="142">
        <f>IF(AND('A-8'!I329="-",'A-3'!H17="-",'A-3'!H65="-"),"-",SUM('A-8'!I329,'A-3'!H17,'A-3'!H65))</f>
        <v>774</v>
      </c>
      <c r="J65" s="142">
        <f>IF('A-8'!J329="-","-",('A-8'!J329))</f>
        <v>1851</v>
      </c>
      <c r="K65" s="142" t="str">
        <f>IF('A-8'!K329="-","-",('A-8'!K329))</f>
        <v>-</v>
      </c>
      <c r="L65" s="142">
        <f>IF(AND('A-8'!L329="-",'A-3'!I17="-",'A-3'!I65="-"),"-",SUM('A-8'!L329,'A-3'!I17,'A-3'!I65))</f>
        <v>93621</v>
      </c>
      <c r="M65" s="7"/>
      <c r="N65" s="142" t="s">
        <v>23</v>
      </c>
      <c r="O65" s="142" t="s">
        <v>23</v>
      </c>
      <c r="P65" s="142" t="s">
        <v>23</v>
      </c>
      <c r="Q65" s="142">
        <f>SUM('A-8'!N329,'A-3'!M17,'A-3'!M65)</f>
        <v>12614.405148491469</v>
      </c>
      <c r="R65" s="142">
        <f>SUM('A-8'!O329,'A-3'!N17,'A-3'!N65)</f>
        <v>0</v>
      </c>
      <c r="S65" s="142">
        <f>SUM('A-8'!P329,'A-3'!O17,'A-3'!O65)</f>
        <v>0</v>
      </c>
      <c r="T65" s="142">
        <f>SUM('A-8'!Q329,'A-3'!P17,'A-3'!P65)</f>
        <v>1517.2144969556393</v>
      </c>
      <c r="U65" s="142">
        <f>SUM('A-8'!R329,'A-3'!Q17,'A-3'!Q65)</f>
        <v>0</v>
      </c>
      <c r="V65" s="142" t="s">
        <v>23</v>
      </c>
      <c r="W65" s="142" t="s">
        <v>23</v>
      </c>
      <c r="X65" s="142">
        <f t="shared" si="1"/>
        <v>14131.619645447108</v>
      </c>
    </row>
    <row r="66" spans="1:24" ht="11.25" customHeight="1">
      <c r="A66" s="99">
        <v>1989</v>
      </c>
      <c r="B66" s="142" t="str">
        <f>IF('A-8'!B330="-","-",('A-8'!B330))</f>
        <v>-</v>
      </c>
      <c r="C66" s="142" t="str">
        <f>IF(AND('A-8'!C330="-",'A-3'!B18="-",'A-3'!B66="-"),"-",SUM('A-8'!C330,'A-3'!B18,'A-3'!B66))</f>
        <v>-</v>
      </c>
      <c r="D66" s="142">
        <f>IF(AND('A-8'!D330="-",'A-3'!C18="-",'A-3'!C66="-"),"-",SUM('A-8'!D330,'A-3'!C18,'A-3'!C66))</f>
        <v>5035</v>
      </c>
      <c r="E66" s="142">
        <f>IF(AND('A-8'!E330="-",'A-3'!D18="-",'A-3'!D66="-"),"-",SUM('A-8'!E330,'A-3'!D18,'A-3'!D66))</f>
        <v>16156</v>
      </c>
      <c r="F66" s="142" t="str">
        <f>IF(AND('A-8'!F330="-",'A-3'!E18="-",'A-3'!E66="-"),"-",SUM('A-8'!F330,'A-3'!E18,'A-3'!E66))</f>
        <v>-</v>
      </c>
      <c r="G66" s="142">
        <f>IF(AND('A-8'!G330="-",'A-3'!F18="-",'A-3'!F66="-"),"-",SUM('A-8'!G330,'A-3'!F18,'A-3'!F66))</f>
        <v>4579</v>
      </c>
      <c r="H66" s="142">
        <f>IF(AND('A-8'!H330="-",'A-3'!G18="-",'A-3'!G66="-"),"-",SUM('A-8'!H330,'A-3'!G18,'A-3'!G66))</f>
        <v>13059</v>
      </c>
      <c r="I66" s="142">
        <f>IF(AND('A-8'!I330="-",'A-3'!H18="-",'A-3'!H66="-"),"-",SUM('A-8'!I330,'A-3'!H18,'A-3'!H66))</f>
        <v>906</v>
      </c>
      <c r="J66" s="142" t="str">
        <f>IF('A-8'!J330="-","-",('A-8'!J330))</f>
        <v>-</v>
      </c>
      <c r="K66" s="142" t="str">
        <f>IF('A-8'!K330="-","-",('A-8'!K330))</f>
        <v>-</v>
      </c>
      <c r="L66" s="142">
        <f>IF(AND('A-8'!L330="-",'A-3'!I18="-",'A-3'!I66="-"),"-",SUM('A-8'!L330,'A-3'!I18,'A-3'!I66))</f>
        <v>39735</v>
      </c>
      <c r="M66" s="7"/>
      <c r="N66" s="142" t="s">
        <v>23</v>
      </c>
      <c r="O66" s="142" t="s">
        <v>23</v>
      </c>
      <c r="P66" s="142" t="s">
        <v>23</v>
      </c>
      <c r="Q66" s="142">
        <f>SUM('A-8'!N330,'A-3'!M18,'A-3'!M66)</f>
        <v>9247.6338525985084</v>
      </c>
      <c r="R66" s="142" t="s">
        <v>23</v>
      </c>
      <c r="S66" s="142">
        <v>17.399999999999999</v>
      </c>
      <c r="T66" s="142">
        <v>0.8</v>
      </c>
      <c r="U66" s="142" t="s">
        <v>23</v>
      </c>
      <c r="V66" s="142" t="s">
        <v>23</v>
      </c>
      <c r="W66" s="142" t="s">
        <v>23</v>
      </c>
      <c r="X66" s="142">
        <f t="shared" si="1"/>
        <v>9265.8338525985073</v>
      </c>
    </row>
    <row r="67" spans="1:24" ht="11.25" customHeight="1">
      <c r="A67" s="99">
        <v>1990</v>
      </c>
      <c r="B67" s="142" t="str">
        <f>IF('A-8'!B331="-","-",('A-8'!B331))</f>
        <v>-</v>
      </c>
      <c r="C67" s="142" t="str">
        <f>IF(AND('A-8'!C331="-",'A-3'!B19="-",'A-3'!B67="-"),"-",SUM('A-8'!C331,'A-3'!B19,'A-3'!B67))</f>
        <v>-</v>
      </c>
      <c r="D67" s="142">
        <f>IF(AND('A-8'!D331="-",'A-3'!C19="-",'A-3'!C67="-"),"-",SUM('A-8'!D331,'A-3'!C19,'A-3'!C67))</f>
        <v>84</v>
      </c>
      <c r="E67" s="142" t="str">
        <f>IF(AND('A-8'!E331="-",'A-3'!D19="-",'A-3'!D67="-"),"-",SUM('A-8'!E331,'A-3'!D19,'A-3'!D67))</f>
        <v>-</v>
      </c>
      <c r="F67" s="142" t="str">
        <f>IF(AND('A-8'!F331="-",'A-3'!E19="-",'A-3'!E67="-"),"-",SUM('A-8'!F331,'A-3'!E19,'A-3'!E67))</f>
        <v>-</v>
      </c>
      <c r="G67" s="142">
        <f>IF(AND('A-8'!G331="-",'A-3'!F19="-",'A-3'!F67="-"),"-",SUM('A-8'!G331,'A-3'!F19,'A-3'!F67))</f>
        <v>7807</v>
      </c>
      <c r="H67" s="142">
        <f>IF(AND('A-8'!H331="-",'A-3'!G19="-",'A-3'!G67="-"),"-",SUM('A-8'!H331,'A-3'!G19,'A-3'!G67))</f>
        <v>1950</v>
      </c>
      <c r="I67" s="142">
        <f>IF(AND('A-8'!I331="-",'A-3'!H19="-",'A-3'!H67="-"),"-",SUM('A-8'!I331,'A-3'!H19,'A-3'!H67))</f>
        <v>53</v>
      </c>
      <c r="J67" s="142" t="str">
        <f>IF('A-8'!J331="-","-",('A-8'!J331))</f>
        <v>-</v>
      </c>
      <c r="K67" s="142" t="str">
        <f>IF('A-8'!K331="-","-",('A-8'!K331))</f>
        <v>-</v>
      </c>
      <c r="L67" s="142">
        <f>IF(AND('A-8'!L331="-",'A-3'!I19="-",'A-3'!I67="-"),"-",SUM('A-8'!L331,'A-3'!I19,'A-3'!I67))</f>
        <v>9894</v>
      </c>
      <c r="M67" s="7"/>
      <c r="N67" s="142" t="s">
        <v>23</v>
      </c>
      <c r="O67" s="142" t="s">
        <v>23</v>
      </c>
      <c r="P67" s="142" t="s">
        <v>23</v>
      </c>
      <c r="Q67" s="142">
        <f>SUM('A-8'!N331,'A-3'!M19,'A-3'!M67)</f>
        <v>0</v>
      </c>
      <c r="R67" s="142">
        <f>SUM('A-8'!O331,'A-3'!N19,'A-3'!N67)</f>
        <v>0</v>
      </c>
      <c r="S67" s="142">
        <v>0.1</v>
      </c>
      <c r="T67" s="142">
        <v>0.9</v>
      </c>
      <c r="U67" s="142">
        <v>0.1</v>
      </c>
      <c r="V67" s="142" t="s">
        <v>23</v>
      </c>
      <c r="W67" s="142" t="s">
        <v>23</v>
      </c>
      <c r="X67" s="142">
        <f t="shared" si="1"/>
        <v>1.1000000000000001</v>
      </c>
    </row>
    <row r="68" spans="1:24" ht="11.25" customHeight="1">
      <c r="A68" s="99">
        <v>1991</v>
      </c>
      <c r="B68" s="142" t="str">
        <f>IF('A-8'!B332="-","-",('A-8'!B332))</f>
        <v>-</v>
      </c>
      <c r="C68" s="142" t="str">
        <f>IF(AND('A-8'!C332="-",'A-3'!B20="-",'A-3'!B68="-"),"-",SUM('A-8'!C332,'A-3'!B20,'A-3'!B68))</f>
        <v>-</v>
      </c>
      <c r="D68" s="142" t="str">
        <f>IF(AND('A-8'!D332="-",'A-3'!C20="-",'A-3'!C68="-"),"-",SUM('A-8'!D332,'A-3'!C20,'A-3'!C68))</f>
        <v>-</v>
      </c>
      <c r="E68" s="142" t="str">
        <f>IF(AND('A-8'!E332="-",'A-3'!D20="-",'A-3'!D68="-"),"-",SUM('A-8'!E332,'A-3'!D20,'A-3'!D68))</f>
        <v>-</v>
      </c>
      <c r="F68" s="142" t="str">
        <f>IF(AND('A-8'!F332="-",'A-3'!E20="-",'A-3'!E68="-"),"-",SUM('A-8'!F332,'A-3'!E20,'A-3'!E68))</f>
        <v>-</v>
      </c>
      <c r="G68" s="142" t="str">
        <f>IF(AND('A-8'!G332="-",'A-3'!F20="-",'A-3'!F68="-"),"-",SUM('A-8'!G332,'A-3'!F20,'A-3'!F68))</f>
        <v>-</v>
      </c>
      <c r="H68" s="142">
        <f>IF(AND('A-8'!H332="-",'A-3'!G20="-",'A-3'!G68="-"),"-",SUM('A-8'!H332,'A-3'!G20,'A-3'!G68))</f>
        <v>4510</v>
      </c>
      <c r="I68" s="142">
        <f>IF(AND('A-8'!I332="-",'A-3'!H20="-",'A-3'!H68="-"),"-",SUM('A-8'!I332,'A-3'!H20,'A-3'!H68))</f>
        <v>400</v>
      </c>
      <c r="J68" s="142" t="str">
        <f>IF('A-8'!J332="-","-",('A-8'!J332))</f>
        <v>-</v>
      </c>
      <c r="K68" s="142" t="str">
        <f>IF('A-8'!K332="-","-",('A-8'!K332))</f>
        <v>-</v>
      </c>
      <c r="L68" s="142">
        <f>IF(AND('A-8'!L332="-",'A-3'!I20="-",'A-3'!I68="-"),"-",SUM('A-8'!L332,'A-3'!I20,'A-3'!I68))</f>
        <v>4910</v>
      </c>
      <c r="M68" s="7"/>
      <c r="N68" s="142" t="s">
        <v>23</v>
      </c>
      <c r="O68" s="142" t="s">
        <v>23</v>
      </c>
      <c r="P68" s="142" t="s">
        <v>23</v>
      </c>
      <c r="Q68" s="142" t="s">
        <v>23</v>
      </c>
      <c r="R68" s="142" t="s">
        <v>23</v>
      </c>
      <c r="S68" s="142" t="s">
        <v>23</v>
      </c>
      <c r="T68" s="142">
        <v>3</v>
      </c>
      <c r="U68" s="142">
        <v>0.1</v>
      </c>
      <c r="V68" s="142" t="s">
        <v>23</v>
      </c>
      <c r="W68" s="142" t="s">
        <v>23</v>
      </c>
      <c r="X68" s="142">
        <f t="shared" si="1"/>
        <v>3.1</v>
      </c>
    </row>
    <row r="69" spans="1:24" ht="11.25" customHeight="1">
      <c r="A69" s="99">
        <v>1992</v>
      </c>
      <c r="B69" s="142" t="str">
        <f>IF('A-8'!B333="-","-",('A-8'!B333))</f>
        <v>-</v>
      </c>
      <c r="C69" s="142" t="str">
        <f>IF(AND('A-8'!C333="-",'A-3'!B21="-",'A-3'!B69="-"),"-",SUM('A-8'!C333,'A-3'!B21,'A-3'!B69))</f>
        <v>-</v>
      </c>
      <c r="D69" s="142" t="str">
        <f>IF(AND('A-8'!D333="-",'A-3'!C21="-",'A-3'!C69="-"),"-",SUM('A-8'!D333,'A-3'!C21,'A-3'!C69))</f>
        <v>-</v>
      </c>
      <c r="E69" s="142" t="str">
        <f>IF(AND('A-8'!E333="-",'A-3'!D21="-",'A-3'!D69="-"),"-",SUM('A-8'!E333,'A-3'!D21,'A-3'!D69))</f>
        <v>-</v>
      </c>
      <c r="F69" s="142" t="str">
        <f>IF(AND('A-8'!F333="-",'A-3'!E21="-",'A-3'!E69="-"),"-",SUM('A-8'!F333,'A-3'!E21,'A-3'!E69))</f>
        <v>-</v>
      </c>
      <c r="G69" s="142" t="str">
        <f>IF(AND('A-8'!G333="-",'A-3'!F21="-",'A-3'!F69="-"),"-",SUM('A-8'!G333,'A-3'!F21,'A-3'!F69))</f>
        <v>-</v>
      </c>
      <c r="H69" s="142" t="str">
        <f>IF(AND('A-8'!H333="-",'A-3'!G21="-",'A-3'!G69="-"),"-",SUM('A-8'!H333,'A-3'!G21,'A-3'!G69))</f>
        <v>-</v>
      </c>
      <c r="I69" s="142" t="str">
        <f>IF(AND('A-8'!I333="-",'A-3'!H21="-",'A-3'!H69="-"),"-",SUM('A-8'!I333,'A-3'!H21,'A-3'!H69))</f>
        <v>-</v>
      </c>
      <c r="J69" s="142" t="str">
        <f>IF('A-8'!J333="-","-",('A-8'!J333))</f>
        <v>-</v>
      </c>
      <c r="K69" s="142" t="str">
        <f>IF('A-8'!K333="-","-",('A-8'!K333))</f>
        <v>-</v>
      </c>
      <c r="L69" s="142" t="str">
        <f>IF(AND('A-8'!L333="-",'A-3'!I21="-",'A-3'!I69="-"),"-",SUM('A-8'!L333,'A-3'!I21,'A-3'!I69))</f>
        <v>-</v>
      </c>
      <c r="M69" s="7"/>
      <c r="N69" s="142" t="s">
        <v>23</v>
      </c>
      <c r="O69" s="142" t="s">
        <v>23</v>
      </c>
      <c r="P69" s="142" t="s">
        <v>23</v>
      </c>
      <c r="Q69" s="142" t="s">
        <v>23</v>
      </c>
      <c r="R69" s="142" t="s">
        <v>23</v>
      </c>
      <c r="S69" s="142" t="s">
        <v>23</v>
      </c>
      <c r="T69" s="142" t="s">
        <v>23</v>
      </c>
      <c r="U69" s="142" t="s">
        <v>23</v>
      </c>
      <c r="V69" s="142" t="s">
        <v>23</v>
      </c>
      <c r="W69" s="142" t="s">
        <v>23</v>
      </c>
      <c r="X69" s="142" t="s">
        <v>23</v>
      </c>
    </row>
    <row r="70" spans="1:24" ht="11.25" customHeight="1">
      <c r="A70" s="99">
        <v>1993</v>
      </c>
      <c r="B70" s="142" t="str">
        <f>IF('A-8'!B334="-","-",('A-8'!B334))</f>
        <v>-</v>
      </c>
      <c r="C70" s="142" t="str">
        <f>IF(AND('A-8'!C334="-",'A-3'!B22="-",'A-3'!B70="-"),"-",SUM('A-8'!C334,'A-3'!B22,'A-3'!B70))</f>
        <v>-</v>
      </c>
      <c r="D70" s="142" t="str">
        <f>IF(AND('A-8'!D334="-",'A-3'!C22="-",'A-3'!C70="-"),"-",SUM('A-8'!D334,'A-3'!C22,'A-3'!C70))</f>
        <v>-</v>
      </c>
      <c r="E70" s="142" t="str">
        <f>IF(AND('A-8'!E334="-",'A-3'!D22="-",'A-3'!D70="-"),"-",SUM('A-8'!E334,'A-3'!D22,'A-3'!D70))</f>
        <v>-</v>
      </c>
      <c r="F70" s="142" t="str">
        <f>IF(AND('A-8'!F334="-",'A-3'!E22="-",'A-3'!E70="-"),"-",SUM('A-8'!F334,'A-3'!E22,'A-3'!E70))</f>
        <v>-</v>
      </c>
      <c r="G70" s="142" t="str">
        <f>IF(AND('A-8'!G334="-",'A-3'!F22="-",'A-3'!F70="-"),"-",SUM('A-8'!G334,'A-3'!F22,'A-3'!F70))</f>
        <v>-</v>
      </c>
      <c r="H70" s="142" t="str">
        <f>IF(AND('A-8'!H334="-",'A-3'!G22="-",'A-3'!G70="-"),"-",SUM('A-8'!H334,'A-3'!G22,'A-3'!G70))</f>
        <v>-</v>
      </c>
      <c r="I70" s="142" t="str">
        <f>IF(AND('A-8'!I334="-",'A-3'!H22="-",'A-3'!H70="-"),"-",SUM('A-8'!I334,'A-3'!H22,'A-3'!H70))</f>
        <v>-</v>
      </c>
      <c r="J70" s="142" t="str">
        <f>IF('A-8'!J334="-","-",('A-8'!J334))</f>
        <v>-</v>
      </c>
      <c r="K70" s="142" t="str">
        <f>IF('A-8'!K334="-","-",('A-8'!K334))</f>
        <v>-</v>
      </c>
      <c r="L70" s="142" t="str">
        <f>IF(AND('A-8'!L334="-",'A-3'!I22="-",'A-3'!I70="-"),"-",SUM('A-8'!L334,'A-3'!I22,'A-3'!I70))</f>
        <v>-</v>
      </c>
      <c r="M70" s="7"/>
      <c r="N70" s="142" t="s">
        <v>23</v>
      </c>
      <c r="O70" s="142" t="s">
        <v>23</v>
      </c>
      <c r="P70" s="142" t="s">
        <v>23</v>
      </c>
      <c r="Q70" s="142" t="s">
        <v>23</v>
      </c>
      <c r="R70" s="142" t="s">
        <v>23</v>
      </c>
      <c r="S70" s="142" t="s">
        <v>23</v>
      </c>
      <c r="T70" s="142" t="s">
        <v>23</v>
      </c>
      <c r="U70" s="142" t="s">
        <v>23</v>
      </c>
      <c r="V70" s="142" t="s">
        <v>23</v>
      </c>
      <c r="W70" s="142" t="s">
        <v>23</v>
      </c>
      <c r="X70" s="142" t="s">
        <v>23</v>
      </c>
    </row>
    <row r="71" spans="1:24" ht="11.25" customHeight="1">
      <c r="A71" s="99">
        <v>1994</v>
      </c>
      <c r="B71" s="142" t="str">
        <f>IF('A-8'!B335="-","-",('A-8'!B335))</f>
        <v>-</v>
      </c>
      <c r="C71" s="142" t="str">
        <f>IF(AND('A-8'!C335="-",'A-3'!B23="-",'A-3'!B71="-"),"-",SUM('A-8'!C335,'A-3'!B23,'A-3'!B71))</f>
        <v>-</v>
      </c>
      <c r="D71" s="142">
        <f>IF(AND('A-8'!D335="-",'A-3'!C23="-",'A-3'!C71="-"),"-",SUM('A-8'!D335,'A-3'!C23,'A-3'!C71))</f>
        <v>224</v>
      </c>
      <c r="E71" s="142" t="str">
        <f>IF(AND('A-8'!E335="-",'A-3'!D23="-",'A-3'!D71="-"),"-",SUM('A-8'!E335,'A-3'!D23,'A-3'!D71))</f>
        <v>-</v>
      </c>
      <c r="F71" s="142" t="str">
        <f>IF(AND('A-8'!F335="-",'A-3'!E23="-",'A-3'!E71="-"),"-",SUM('A-8'!F335,'A-3'!E23,'A-3'!E71))</f>
        <v>-</v>
      </c>
      <c r="G71" s="142">
        <f>IF(AND('A-8'!G335="-",'A-3'!F23="-",'A-3'!F71="-"),"-",SUM('A-8'!G335,'A-3'!F23,'A-3'!F71))</f>
        <v>234</v>
      </c>
      <c r="H71" s="142" t="str">
        <f>IF(AND('A-8'!H335="-",'A-3'!G23="-",'A-3'!G71="-"),"-",SUM('A-8'!H335,'A-3'!G23,'A-3'!G71))</f>
        <v>-</v>
      </c>
      <c r="I71" s="142">
        <f>IF(AND('A-8'!I335="-",'A-3'!H23="-",'A-3'!H71="-"),"-",SUM('A-8'!I335,'A-3'!H23,'A-3'!H71))</f>
        <v>1043</v>
      </c>
      <c r="J71" s="142" t="str">
        <f>IF('A-8'!J335="-","-",('A-8'!J335))</f>
        <v>-</v>
      </c>
      <c r="K71" s="142" t="str">
        <f>IF('A-8'!K335="-","-",('A-8'!K335))</f>
        <v>-</v>
      </c>
      <c r="L71" s="142">
        <f>IF(AND('A-8'!L335="-",'A-3'!I23="-",'A-3'!I71="-"),"-",SUM('A-8'!L335,'A-3'!I23,'A-3'!I71))</f>
        <v>1501</v>
      </c>
      <c r="M71" s="7"/>
      <c r="N71" s="142" t="s">
        <v>23</v>
      </c>
      <c r="O71" s="142" t="s">
        <v>23</v>
      </c>
      <c r="P71" s="142" t="s">
        <v>23</v>
      </c>
      <c r="Q71" s="142" t="s">
        <v>23</v>
      </c>
      <c r="R71" s="142" t="s">
        <v>23</v>
      </c>
      <c r="S71" s="142" t="s">
        <v>23</v>
      </c>
      <c r="T71" s="142" t="s">
        <v>23</v>
      </c>
      <c r="U71" s="142" t="s">
        <v>23</v>
      </c>
      <c r="V71" s="142" t="s">
        <v>23</v>
      </c>
      <c r="W71" s="142" t="s">
        <v>23</v>
      </c>
      <c r="X71" s="142" t="s">
        <v>23</v>
      </c>
    </row>
    <row r="72" spans="1:24" ht="11.25" customHeight="1">
      <c r="A72" s="99">
        <v>1995</v>
      </c>
      <c r="B72" s="142" t="str">
        <f>IF('A-8'!B336="-","-",('A-8'!B336))</f>
        <v>-</v>
      </c>
      <c r="C72" s="142" t="str">
        <f>IF(AND('A-8'!C336="-",'A-3'!B24="-",'A-3'!B72="-"),"-",SUM('A-8'!C336,'A-3'!B24,'A-3'!B72))</f>
        <v>-</v>
      </c>
      <c r="D72" s="142">
        <f>IF(AND('A-8'!D336="-",'A-3'!C24="-",'A-3'!C72="-"),"-",SUM('A-8'!D336,'A-3'!C24,'A-3'!C72))</f>
        <v>305</v>
      </c>
      <c r="E72" s="142" t="str">
        <f>IF(AND('A-8'!E336="-",'A-3'!D24="-",'A-3'!D72="-"),"-",SUM('A-8'!E336,'A-3'!D24,'A-3'!D72))</f>
        <v>-</v>
      </c>
      <c r="F72" s="142">
        <f>IF(AND('A-8'!F336="-",'A-3'!E24="-",'A-3'!E72="-"),"-",SUM('A-8'!F336,'A-3'!E24,'A-3'!E72))</f>
        <v>1682</v>
      </c>
      <c r="G72" s="142" t="str">
        <f>IF(AND('A-8'!G336="-",'A-3'!F24="-",'A-3'!F72="-"),"-",SUM('A-8'!G336,'A-3'!F24,'A-3'!F72))</f>
        <v>-</v>
      </c>
      <c r="H72" s="142" t="str">
        <f>IF(AND('A-8'!H336="-",'A-3'!G24="-",'A-3'!G72="-"),"-",SUM('A-8'!H336,'A-3'!G24,'A-3'!G72))</f>
        <v>-</v>
      </c>
      <c r="I72" s="142">
        <f>IF(AND('A-8'!I336="-",'A-3'!H24="-",'A-3'!H72="-"),"-",SUM('A-8'!I336,'A-3'!H24,'A-3'!H72))</f>
        <v>1338</v>
      </c>
      <c r="J72" s="142" t="str">
        <f>IF('A-8'!J336="-","-",('A-8'!J336))</f>
        <v>-</v>
      </c>
      <c r="K72" s="142" t="str">
        <f>IF('A-8'!K336="-","-",('A-8'!K336))</f>
        <v>-</v>
      </c>
      <c r="L72" s="142">
        <f>IF(AND('A-8'!L336="-",'A-3'!I24="-",'A-3'!I72="-"),"-",SUM('A-8'!L336,'A-3'!I24,'A-3'!I72))</f>
        <v>3325</v>
      </c>
      <c r="M72" s="7"/>
      <c r="N72" s="142" t="s">
        <v>23</v>
      </c>
      <c r="O72" s="142" t="s">
        <v>23</v>
      </c>
      <c r="P72" s="142" t="s">
        <v>23</v>
      </c>
      <c r="Q72" s="142" t="s">
        <v>23</v>
      </c>
      <c r="R72" s="142" t="s">
        <v>23</v>
      </c>
      <c r="S72" s="142" t="s">
        <v>23</v>
      </c>
      <c r="T72" s="142" t="s">
        <v>23</v>
      </c>
      <c r="U72" s="142" t="s">
        <v>23</v>
      </c>
      <c r="V72" s="142" t="s">
        <v>23</v>
      </c>
      <c r="W72" s="142" t="s">
        <v>23</v>
      </c>
      <c r="X72" s="142" t="s">
        <v>23</v>
      </c>
    </row>
    <row r="73" spans="1:24" ht="11.25" customHeight="1">
      <c r="A73" s="99">
        <v>1996</v>
      </c>
      <c r="B73" s="142" t="str">
        <f>IF('A-8'!B337="-","-",('A-8'!B337))</f>
        <v>-</v>
      </c>
      <c r="C73" s="142" t="str">
        <f>IF(AND('A-8'!C337="-",'A-3'!B25="-",'A-3'!B73="-"),"-",SUM('A-8'!C337,'A-3'!B25,'A-3'!B73))</f>
        <v>-</v>
      </c>
      <c r="D73" s="142">
        <f>IF(AND('A-8'!D337="-",'A-3'!C25="-",'A-3'!C73="-"),"-",SUM('A-8'!D337,'A-3'!C25,'A-3'!C73))</f>
        <v>2876</v>
      </c>
      <c r="E73" s="142">
        <f>IF(AND('A-8'!E337="-",'A-3'!D25="-",'A-3'!D73="-"),"-",SUM('A-8'!E337,'A-3'!D25,'A-3'!D73))</f>
        <v>2233</v>
      </c>
      <c r="F73" s="142" t="str">
        <f>IF(AND('A-8'!F337="-",'A-3'!E25="-",'A-3'!E73="-"),"-",SUM('A-8'!F337,'A-3'!E25,'A-3'!E73))</f>
        <v>-</v>
      </c>
      <c r="G73" s="142">
        <f>IF(AND('A-8'!G337="-",'A-3'!F25="-",'A-3'!F73="-"),"-",SUM('A-8'!G337,'A-3'!F25,'A-3'!F73))</f>
        <v>5364</v>
      </c>
      <c r="H73" s="142">
        <f>IF(AND('A-8'!H337="-",'A-3'!G25="-",'A-3'!G73="-"),"-",SUM('A-8'!H337,'A-3'!G25,'A-3'!G73))</f>
        <v>6378</v>
      </c>
      <c r="I73" s="142">
        <f>IF(AND('A-8'!I337="-",'A-3'!H25="-",'A-3'!H73="-"),"-",SUM('A-8'!I337,'A-3'!H25,'A-3'!H73))</f>
        <v>788</v>
      </c>
      <c r="J73" s="142" t="str">
        <f>IF('A-8'!J337="-","-",('A-8'!J337))</f>
        <v>-</v>
      </c>
      <c r="K73" s="142" t="str">
        <f>IF('A-8'!K337="-","-",('A-8'!K337))</f>
        <v>-</v>
      </c>
      <c r="L73" s="142">
        <f>IF(AND('A-8'!L337="-",'A-3'!I25="-",'A-3'!I73="-"),"-",SUM('A-8'!L337,'A-3'!I25,'A-3'!I73))</f>
        <v>17639</v>
      </c>
      <c r="M73" s="7"/>
      <c r="N73" s="142" t="s">
        <v>23</v>
      </c>
      <c r="O73" s="142" t="s">
        <v>23</v>
      </c>
      <c r="P73" s="142" t="s">
        <v>23</v>
      </c>
      <c r="Q73" s="142" t="s">
        <v>23</v>
      </c>
      <c r="R73" s="142" t="s">
        <v>23</v>
      </c>
      <c r="S73" s="142" t="s">
        <v>23</v>
      </c>
      <c r="T73" s="142" t="s">
        <v>23</v>
      </c>
      <c r="U73" s="142" t="s">
        <v>23</v>
      </c>
      <c r="V73" s="142" t="s">
        <v>23</v>
      </c>
      <c r="W73" s="142" t="s">
        <v>23</v>
      </c>
      <c r="X73" s="142" t="s">
        <v>23</v>
      </c>
    </row>
    <row r="74" spans="1:24" ht="11.25" customHeight="1">
      <c r="A74" s="99">
        <v>1997</v>
      </c>
      <c r="B74" s="142" t="str">
        <f>IF('A-8'!B338="-","-",('A-8'!B338))</f>
        <v>-</v>
      </c>
      <c r="C74" s="142">
        <f>IF(AND('A-8'!C338="-",'A-3'!B26="-",'A-3'!B74="-"),"-",SUM('A-8'!C338,'A-3'!B26,'A-3'!B74))</f>
        <v>101</v>
      </c>
      <c r="D74" s="142">
        <f>IF(AND('A-8'!D338="-",'A-3'!C26="-",'A-3'!C74="-"),"-",SUM('A-8'!D338,'A-3'!C26,'A-3'!C74))</f>
        <v>2348</v>
      </c>
      <c r="E74" s="142" t="str">
        <f>IF(AND('A-8'!E338="-",'A-3'!D26="-",'A-3'!D74="-"),"-",SUM('A-8'!E338,'A-3'!D26,'A-3'!D74))</f>
        <v>-</v>
      </c>
      <c r="F74" s="142" t="str">
        <f>IF(AND('A-8'!F338="-",'A-3'!E26="-",'A-3'!E74="-"),"-",SUM('A-8'!F338,'A-3'!E26,'A-3'!E74))</f>
        <v>-</v>
      </c>
      <c r="G74" s="142">
        <f>IF(AND('A-8'!G338="-",'A-3'!F26="-",'A-3'!F74="-"),"-",SUM('A-8'!G338,'A-3'!F26,'A-3'!F74))</f>
        <v>255</v>
      </c>
      <c r="H74" s="142">
        <f>IF(AND('A-8'!H338="-",'A-3'!G26="-",'A-3'!G74="-"),"-",SUM('A-8'!H338,'A-3'!G26,'A-3'!G74))</f>
        <v>1424</v>
      </c>
      <c r="I74" s="142">
        <f>IF(AND('A-8'!I338="-",'A-3'!H26="-",'A-3'!H74="-"),"-",SUM('A-8'!I338,'A-3'!H26,'A-3'!H74))</f>
        <v>869</v>
      </c>
      <c r="J74" s="142" t="str">
        <f>IF('A-8'!J338="-","-",('A-8'!J338))</f>
        <v>-</v>
      </c>
      <c r="K74" s="142" t="str">
        <f>IF('A-8'!K338="-","-",('A-8'!K338))</f>
        <v>-</v>
      </c>
      <c r="L74" s="142">
        <f>IF(AND('A-8'!L338="-",'A-3'!I26="-",'A-3'!I74="-"),"-",SUM('A-8'!L338,'A-3'!I26,'A-3'!I74))</f>
        <v>4997</v>
      </c>
      <c r="M74" s="7"/>
      <c r="N74" s="142" t="s">
        <v>23</v>
      </c>
      <c r="O74" s="142" t="s">
        <v>23</v>
      </c>
      <c r="P74" s="142" t="s">
        <v>23</v>
      </c>
      <c r="Q74" s="142" t="s">
        <v>23</v>
      </c>
      <c r="R74" s="142" t="s">
        <v>23</v>
      </c>
      <c r="S74" s="142" t="s">
        <v>23</v>
      </c>
      <c r="T74" s="142" t="s">
        <v>23</v>
      </c>
      <c r="U74" s="142" t="s">
        <v>23</v>
      </c>
      <c r="V74" s="142" t="s">
        <v>23</v>
      </c>
      <c r="W74" s="142" t="s">
        <v>23</v>
      </c>
      <c r="X74" s="142" t="s">
        <v>23</v>
      </c>
    </row>
    <row r="75" spans="1:24" ht="11.25" customHeight="1">
      <c r="A75" s="99">
        <v>1998</v>
      </c>
      <c r="B75" s="142" t="str">
        <f>IF('A-8'!B339="-","-",('A-8'!B339))</f>
        <v>-</v>
      </c>
      <c r="C75" s="142">
        <f>IF(AND('A-8'!C339="-",'A-3'!B27="-",'A-3'!B75="-"),"-",SUM('A-8'!C339,'A-3'!B27,'A-3'!B75))</f>
        <v>0</v>
      </c>
      <c r="D75" s="142">
        <f>IF(AND('A-8'!D339="-",'A-3'!C27="-",'A-3'!C75="-"),"-",SUM('A-8'!D339,'A-3'!C27,'A-3'!C75))</f>
        <v>69</v>
      </c>
      <c r="E75" s="142" t="str">
        <f>IF(AND('A-8'!E339="-",'A-3'!D27="-",'A-3'!D75="-"),"-",SUM('A-8'!E339,'A-3'!D27,'A-3'!D75))</f>
        <v>-</v>
      </c>
      <c r="F75" s="142" t="str">
        <f>IF(AND('A-8'!F339="-",'A-3'!E27="-",'A-3'!E75="-"),"-",SUM('A-8'!F339,'A-3'!E27,'A-3'!E75))</f>
        <v>-</v>
      </c>
      <c r="G75" s="142">
        <f>IF(AND('A-8'!G339="-",'A-3'!F27="-",'A-3'!F75="-"),"-",SUM('A-8'!G339,'A-3'!F27,'A-3'!F75))</f>
        <v>75</v>
      </c>
      <c r="H75" s="142">
        <f>IF(AND('A-8'!H339="-",'A-3'!G27="-",'A-3'!G75="-"),"-",SUM('A-8'!H339,'A-3'!G27,'A-3'!G75))</f>
        <v>2501</v>
      </c>
      <c r="I75" s="142">
        <f>IF(AND('A-8'!I339="-",'A-3'!H27="-",'A-3'!H75="-"),"-",SUM('A-8'!I339,'A-3'!H27,'A-3'!H75))</f>
        <v>599</v>
      </c>
      <c r="J75" s="142" t="str">
        <f>IF('A-8'!J339="-","-",('A-8'!J339))</f>
        <v>-</v>
      </c>
      <c r="K75" s="142" t="str">
        <f>IF('A-8'!K339="-","-",('A-8'!K339))</f>
        <v>-</v>
      </c>
      <c r="L75" s="142">
        <f>IF(AND('A-8'!L339="-",'A-3'!I27="-",'A-3'!I75="-"),"-",SUM('A-8'!L339,'A-3'!I27,'A-3'!I75))</f>
        <v>3244</v>
      </c>
      <c r="M75" s="7"/>
      <c r="N75" s="142" t="s">
        <v>23</v>
      </c>
      <c r="O75" s="142" t="s">
        <v>23</v>
      </c>
      <c r="P75" s="142" t="s">
        <v>23</v>
      </c>
      <c r="Q75" s="142" t="s">
        <v>23</v>
      </c>
      <c r="R75" s="142" t="s">
        <v>23</v>
      </c>
      <c r="S75" s="142" t="s">
        <v>23</v>
      </c>
      <c r="T75" s="142" t="s">
        <v>23</v>
      </c>
      <c r="U75" s="142" t="s">
        <v>23</v>
      </c>
      <c r="V75" s="142" t="s">
        <v>23</v>
      </c>
      <c r="W75" s="142" t="s">
        <v>23</v>
      </c>
      <c r="X75" s="142" t="s">
        <v>23</v>
      </c>
    </row>
    <row r="76" spans="1:24" ht="11.25" customHeight="1">
      <c r="A76" s="99">
        <v>1999</v>
      </c>
      <c r="B76" s="142" t="str">
        <f>IF('A-8'!B340="-","-",('A-8'!B340))</f>
        <v>-</v>
      </c>
      <c r="C76" s="142" t="str">
        <f>IF(AND('A-8'!C340="-",'A-3'!B28="-",'A-3'!B76="-"),"-",SUM('A-8'!C340,'A-3'!B28,'A-3'!B76))</f>
        <v>-</v>
      </c>
      <c r="D76" s="142">
        <f>IF(AND('A-8'!D340="-",'A-3'!C28="-",'A-3'!C76="-"),"-",SUM('A-8'!D340,'A-3'!C28,'A-3'!C76))</f>
        <v>4</v>
      </c>
      <c r="E76" s="142" t="str">
        <f>IF(AND('A-8'!E340="-",'A-3'!D28="-",'A-3'!D76="-"),"-",SUM('A-8'!E340,'A-3'!D28,'A-3'!D76))</f>
        <v>-</v>
      </c>
      <c r="F76" s="142" t="str">
        <f>IF(AND('A-8'!F340="-",'A-3'!E28="-",'A-3'!E76="-"),"-",SUM('A-8'!F340,'A-3'!E28,'A-3'!E76))</f>
        <v>-</v>
      </c>
      <c r="G76" s="142">
        <f>IF(AND('A-8'!G340="-",'A-3'!F28="-",'A-3'!F76="-"),"-",SUM('A-8'!G340,'A-3'!F28,'A-3'!F76))</f>
        <v>844</v>
      </c>
      <c r="H76" s="142">
        <f>IF(AND('A-8'!H340="-",'A-3'!G28="-",'A-3'!G76="-"),"-",SUM('A-8'!H340,'A-3'!G28,'A-3'!G76))</f>
        <v>2650</v>
      </c>
      <c r="I76" s="142">
        <f>IF(AND('A-8'!I340="-",'A-3'!H28="-",'A-3'!H76="-"),"-",SUM('A-8'!I340,'A-3'!H28,'A-3'!H76))</f>
        <v>364</v>
      </c>
      <c r="J76" s="142" t="str">
        <f>IF('A-8'!J340="-","-",('A-8'!J340))</f>
        <v>-</v>
      </c>
      <c r="K76" s="142" t="str">
        <f>IF('A-8'!K340="-","-",('A-8'!K340))</f>
        <v>-</v>
      </c>
      <c r="L76" s="142">
        <f>IF(AND('A-8'!L340="-",'A-3'!I28="-",'A-3'!I76="-"),"-",SUM('A-8'!L340,'A-3'!I28,'A-3'!I76))</f>
        <v>3862</v>
      </c>
      <c r="M76" s="7"/>
      <c r="N76" s="142" t="s">
        <v>23</v>
      </c>
      <c r="O76" s="142" t="s">
        <v>23</v>
      </c>
      <c r="P76" s="142" t="s">
        <v>23</v>
      </c>
      <c r="Q76" s="142" t="s">
        <v>23</v>
      </c>
      <c r="R76" s="142" t="s">
        <v>23</v>
      </c>
      <c r="S76" s="142" t="s">
        <v>23</v>
      </c>
      <c r="T76" s="142" t="s">
        <v>23</v>
      </c>
      <c r="U76" s="142" t="s">
        <v>23</v>
      </c>
      <c r="V76" s="142" t="s">
        <v>23</v>
      </c>
      <c r="W76" s="142" t="s">
        <v>23</v>
      </c>
      <c r="X76" s="142" t="s">
        <v>23</v>
      </c>
    </row>
    <row r="77" spans="1:24" ht="11.25" customHeight="1">
      <c r="A77" s="99">
        <v>2000</v>
      </c>
      <c r="B77" s="142" t="str">
        <f>IF('A-8'!B341="-","-",('A-8'!B341))</f>
        <v>-</v>
      </c>
      <c r="C77" s="142" t="str">
        <f>IF(AND('A-8'!C341="-",'A-3'!B29="-",'A-3'!B77="-"),"-",SUM('A-8'!C341,'A-3'!B29,'A-3'!B77))</f>
        <v>-</v>
      </c>
      <c r="D77" s="142">
        <f>IF(AND('A-8'!D341="-",'A-3'!C29="-",'A-3'!C77="-"),"-",SUM('A-8'!D341,'A-3'!C29,'A-3'!C77))</f>
        <v>21</v>
      </c>
      <c r="E77" s="142" t="str">
        <f>IF(AND('A-8'!E341="-",'A-3'!D29="-",'A-3'!D77="-"),"-",SUM('A-8'!E341,'A-3'!D29,'A-3'!D77))</f>
        <v>-</v>
      </c>
      <c r="F77" s="142" t="str">
        <f>IF(AND('A-8'!F341="-",'A-3'!E29="-",'A-3'!E77="-"),"-",SUM('A-8'!F341,'A-3'!E29,'A-3'!E77))</f>
        <v>-</v>
      </c>
      <c r="G77" s="142">
        <f>IF(AND('A-8'!G341="-",'A-3'!F29="-",'A-3'!F77="-"),"-",SUM('A-8'!G341,'A-3'!F29,'A-3'!F77))</f>
        <v>1405</v>
      </c>
      <c r="H77" s="142">
        <f>IF(AND('A-8'!H341="-",'A-3'!G29="-",'A-3'!G77="-"),"-",SUM('A-8'!H341,'A-3'!G29,'A-3'!G77))</f>
        <v>3206</v>
      </c>
      <c r="I77" s="142">
        <f>IF(AND('A-8'!I341="-",'A-3'!H29="-",'A-3'!H77="-"),"-",SUM('A-8'!I341,'A-3'!H29,'A-3'!H77))</f>
        <v>861</v>
      </c>
      <c r="J77" s="142" t="str">
        <f>IF('A-8'!J341="-","-",('A-8'!J341))</f>
        <v>-</v>
      </c>
      <c r="K77" s="142" t="str">
        <f>IF('A-8'!K341="-","-",('A-8'!K341))</f>
        <v>-</v>
      </c>
      <c r="L77" s="142">
        <f>IF(AND('A-8'!L341="-",'A-3'!I29="-",'A-3'!I77="-"),"-",SUM('A-8'!L341,'A-3'!I29,'A-3'!I77))</f>
        <v>5493</v>
      </c>
      <c r="M77" s="7"/>
      <c r="N77" s="142" t="s">
        <v>23</v>
      </c>
      <c r="O77" s="142" t="s">
        <v>23</v>
      </c>
      <c r="P77" s="142" t="s">
        <v>23</v>
      </c>
      <c r="Q77" s="142" t="s">
        <v>23</v>
      </c>
      <c r="R77" s="142" t="s">
        <v>23</v>
      </c>
      <c r="S77" s="142" t="s">
        <v>23</v>
      </c>
      <c r="T77" s="142" t="s">
        <v>23</v>
      </c>
      <c r="U77" s="142" t="s">
        <v>23</v>
      </c>
      <c r="V77" s="142" t="s">
        <v>23</v>
      </c>
      <c r="W77" s="142" t="s">
        <v>23</v>
      </c>
      <c r="X77" s="142" t="s">
        <v>23</v>
      </c>
    </row>
    <row r="78" spans="1:24" ht="11.25" customHeight="1">
      <c r="A78" s="99">
        <v>2001</v>
      </c>
      <c r="B78" s="142" t="str">
        <f>IF('A-8'!B342="-","-",('A-8'!B342))</f>
        <v>-</v>
      </c>
      <c r="C78" s="142" t="str">
        <f>IF(AND('A-8'!C342="-",'A-3'!B30="-",'A-3'!B78="-"),"-",SUM('A-8'!C342,'A-3'!B30,'A-3'!B78))</f>
        <v>-</v>
      </c>
      <c r="D78" s="142">
        <f>IF(AND('A-8'!D342="-",'A-3'!C30="-",'A-3'!C78="-"),"-",SUM('A-8'!D342,'A-3'!C30,'A-3'!C78))</f>
        <v>233</v>
      </c>
      <c r="E78" s="142">
        <f>IF(AND('A-8'!E342="-",'A-3'!D30="-",'A-3'!D78="-"),"-",SUM('A-8'!E342,'A-3'!D30,'A-3'!D78))</f>
        <v>362</v>
      </c>
      <c r="F78" s="142" t="str">
        <f>IF(AND('A-8'!F342="-",'A-3'!E30="-",'A-3'!E78="-"),"-",SUM('A-8'!F342,'A-3'!E30,'A-3'!E78))</f>
        <v>-</v>
      </c>
      <c r="G78" s="142">
        <f>IF(AND('A-8'!G342="-",'A-3'!F30="-",'A-3'!F78="-"),"-",SUM('A-8'!G342,'A-3'!F30,'A-3'!F78))</f>
        <v>1290</v>
      </c>
      <c r="H78" s="142">
        <f>IF(AND('A-8'!H342="-",'A-3'!G30="-",'A-3'!G78="-"),"-",SUM('A-8'!H342,'A-3'!G30,'A-3'!G78))</f>
        <v>6509</v>
      </c>
      <c r="I78" s="142">
        <f>IF(AND('A-8'!I342="-",'A-3'!H30="-",'A-3'!H78="-"),"-",SUM('A-8'!I342,'A-3'!H30,'A-3'!H78))</f>
        <v>728</v>
      </c>
      <c r="J78" s="142" t="str">
        <f>IF('A-8'!J342="-","-",('A-8'!J342))</f>
        <v>-</v>
      </c>
      <c r="K78" s="142" t="str">
        <f>IF('A-8'!K342="-","-",('A-8'!K342))</f>
        <v>-</v>
      </c>
      <c r="L78" s="142">
        <f>IF(AND('A-8'!L342="-",'A-3'!I30="-",'A-3'!I78="-"),"-",SUM('A-8'!L342,'A-3'!I30,'A-3'!I78))</f>
        <v>9122</v>
      </c>
      <c r="M78" s="7"/>
      <c r="N78" s="142" t="s">
        <v>23</v>
      </c>
      <c r="O78" s="142" t="s">
        <v>23</v>
      </c>
      <c r="P78" s="142" t="s">
        <v>23</v>
      </c>
      <c r="Q78" s="142" t="s">
        <v>23</v>
      </c>
      <c r="R78" s="142" t="s">
        <v>23</v>
      </c>
      <c r="S78" s="142" t="s">
        <v>23</v>
      </c>
      <c r="T78" s="142" t="s">
        <v>23</v>
      </c>
      <c r="U78" s="142" t="s">
        <v>23</v>
      </c>
      <c r="V78" s="142" t="s">
        <v>23</v>
      </c>
      <c r="W78" s="142" t="s">
        <v>23</v>
      </c>
      <c r="X78" s="142" t="s">
        <v>23</v>
      </c>
    </row>
    <row r="79" spans="1:24" ht="11.25" customHeight="1">
      <c r="A79" s="99">
        <v>2002</v>
      </c>
      <c r="B79" s="142">
        <f>IF('A-8'!B343="-","-",('A-8'!B343))</f>
        <v>5</v>
      </c>
      <c r="C79" s="142">
        <f>IF(AND('A-8'!C343="-",'A-3'!B31="-",'A-3'!B79="-"),"-",SUM('A-8'!C343,'A-3'!B31,'A-3'!B79))</f>
        <v>103</v>
      </c>
      <c r="D79" s="142">
        <f>IF(AND('A-8'!D343="-",'A-3'!C31="-",'A-3'!C79="-"),"-",SUM('A-8'!D343,'A-3'!C31,'A-3'!C79))</f>
        <v>118</v>
      </c>
      <c r="E79" s="142">
        <f>IF(AND('A-8'!E343="-",'A-3'!D31="-",'A-3'!D79="-"),"-",SUM('A-8'!E343,'A-3'!D31,'A-3'!D79))</f>
        <v>952</v>
      </c>
      <c r="F79" s="142">
        <f>IF(AND('A-8'!F343="-",'A-3'!E31="-",'A-3'!E79="-"),"-",SUM('A-8'!F343,'A-3'!E31,'A-3'!E79))</f>
        <v>1457</v>
      </c>
      <c r="G79" s="142">
        <f>IF(AND('A-8'!G343="-",'A-3'!F31="-",'A-3'!F79="-"),"-",SUM('A-8'!G343,'A-3'!F31,'A-3'!F79))</f>
        <v>3399</v>
      </c>
      <c r="H79" s="142">
        <f>IF(AND('A-8'!H343="-",'A-3'!G31="-",'A-3'!G79="-"),"-",SUM('A-8'!H343,'A-3'!G31,'A-3'!G79))</f>
        <v>13275</v>
      </c>
      <c r="I79" s="142">
        <f>IF(AND('A-8'!I343="-",'A-3'!H31="-",'A-3'!H79="-"),"-",SUM('A-8'!I343,'A-3'!H31,'A-3'!H79))</f>
        <v>961</v>
      </c>
      <c r="J79" s="142" t="str">
        <f>IF('A-8'!J343="-","-",('A-8'!J343))</f>
        <v>-</v>
      </c>
      <c r="K79" s="142" t="str">
        <f>IF('A-8'!K343="-","-",('A-8'!K343))</f>
        <v>-</v>
      </c>
      <c r="L79" s="142">
        <f>IF(AND('A-8'!L343="-",'A-3'!I31="-",'A-3'!I79="-"),"-",SUM('A-8'!L343,'A-3'!I31,'A-3'!I79))</f>
        <v>20270</v>
      </c>
      <c r="M79" s="7"/>
      <c r="N79" s="142" t="s">
        <v>23</v>
      </c>
      <c r="O79" s="142" t="s">
        <v>23</v>
      </c>
      <c r="P79" s="142" t="s">
        <v>23</v>
      </c>
      <c r="Q79" s="142" t="s">
        <v>23</v>
      </c>
      <c r="R79" s="142" t="s">
        <v>23</v>
      </c>
      <c r="S79" s="142" t="s">
        <v>23</v>
      </c>
      <c r="T79" s="142" t="s">
        <v>23</v>
      </c>
      <c r="U79" s="142" t="s">
        <v>23</v>
      </c>
      <c r="V79" s="142" t="s">
        <v>23</v>
      </c>
      <c r="W79" s="142" t="s">
        <v>23</v>
      </c>
      <c r="X79" s="142" t="s">
        <v>23</v>
      </c>
    </row>
    <row r="80" spans="1:24" ht="11.25" customHeight="1">
      <c r="A80" s="99">
        <v>2003</v>
      </c>
      <c r="B80" s="142">
        <f>IF('A-8'!B344="-","-",('A-8'!B344))</f>
        <v>0</v>
      </c>
      <c r="C80" s="142">
        <f>IF(AND('A-8'!C344="-",'A-3'!B32="-",'A-3'!B80="-"),"-",SUM('A-8'!C344,'A-3'!B32,'A-3'!B80))</f>
        <v>1764</v>
      </c>
      <c r="D80" s="142">
        <f>IF(AND('A-8'!D344="-",'A-3'!C32="-",'A-3'!C80="-"),"-",SUM('A-8'!D344,'A-3'!C32,'A-3'!C80))</f>
        <v>659</v>
      </c>
      <c r="E80" s="142">
        <f>IF(AND('A-8'!E344="-",'A-3'!D32="-",'A-3'!D80="-"),"-",SUM('A-8'!E344,'A-3'!D32,'A-3'!D80))</f>
        <v>584</v>
      </c>
      <c r="F80" s="142">
        <f>IF(AND('A-8'!F344="-",'A-3'!E32="-",'A-3'!E80="-"),"-",SUM('A-8'!F344,'A-3'!E32,'A-3'!E80))</f>
        <v>1082</v>
      </c>
      <c r="G80" s="142">
        <f>IF(AND('A-8'!G344="-",'A-3'!F32="-",'A-3'!F80="-"),"-",SUM('A-8'!G344,'A-3'!F32,'A-3'!F80))</f>
        <v>1108</v>
      </c>
      <c r="H80" s="142">
        <f>IF(AND('A-8'!H344="-",'A-3'!G32="-",'A-3'!G80="-"),"-",SUM('A-8'!H344,'A-3'!G32,'A-3'!G80))</f>
        <v>3163</v>
      </c>
      <c r="I80" s="142">
        <f>IF(AND('A-8'!I344="-",'A-3'!H32="-",'A-3'!H80="-"),"-",SUM('A-8'!I344,'A-3'!H32,'A-3'!H80))</f>
        <v>753</v>
      </c>
      <c r="J80" s="142">
        <f>IF('A-8'!J344="-","-",('A-8'!J344))</f>
        <v>3</v>
      </c>
      <c r="K80" s="142" t="str">
        <f>IF('A-8'!K344="-","-",('A-8'!K344))</f>
        <v>-</v>
      </c>
      <c r="L80" s="142">
        <f>IF(AND('A-8'!L344="-",'A-3'!I32="-",'A-3'!I80="-"),"-",SUM('A-8'!L344,'A-3'!I32,'A-3'!I80))</f>
        <v>9116</v>
      </c>
      <c r="M80" s="7"/>
      <c r="N80" s="142" t="s">
        <v>23</v>
      </c>
      <c r="O80" s="142" t="s">
        <v>23</v>
      </c>
      <c r="P80" s="142" t="s">
        <v>23</v>
      </c>
      <c r="Q80" s="142" t="s">
        <v>23</v>
      </c>
      <c r="R80" s="142" t="s">
        <v>23</v>
      </c>
      <c r="S80" s="142" t="s">
        <v>23</v>
      </c>
      <c r="T80" s="142" t="s">
        <v>23</v>
      </c>
      <c r="U80" s="142" t="s">
        <v>23</v>
      </c>
      <c r="V80" s="142" t="s">
        <v>23</v>
      </c>
      <c r="W80" s="142" t="s">
        <v>23</v>
      </c>
      <c r="X80" s="142" t="s">
        <v>23</v>
      </c>
    </row>
    <row r="81" spans="1:24" ht="11.25" customHeight="1">
      <c r="A81" s="99">
        <v>2004</v>
      </c>
      <c r="B81" s="142">
        <f>IF('A-8'!B345="-","-",('A-8'!B345))</f>
        <v>6</v>
      </c>
      <c r="C81" s="142">
        <f>IF(AND('A-8'!C345="-",'A-3'!B33="-",'A-3'!B81="-"),"-",SUM('A-8'!C345,'A-3'!B33,'A-3'!B81))</f>
        <v>750</v>
      </c>
      <c r="D81" s="142">
        <f>IF(AND('A-8'!D345="-",'A-3'!C33="-",'A-3'!C81="-"),"-",SUM('A-8'!D345,'A-3'!C33,'A-3'!C81))</f>
        <v>774</v>
      </c>
      <c r="E81" s="142">
        <f>IF(AND('A-8'!E345="-",'A-3'!D33="-",'A-3'!D81="-"),"-",SUM('A-8'!E345,'A-3'!D33,'A-3'!D81))</f>
        <v>2831</v>
      </c>
      <c r="F81" s="142">
        <f>IF(AND('A-8'!F345="-",'A-3'!E33="-",'A-3'!E81="-"),"-",SUM('A-8'!F345,'A-3'!E33,'A-3'!E81))</f>
        <v>7550</v>
      </c>
      <c r="G81" s="142">
        <f>IF(AND('A-8'!G345="-",'A-3'!F33="-",'A-3'!F81="-"),"-",SUM('A-8'!G345,'A-3'!F33,'A-3'!F81))</f>
        <v>21697</v>
      </c>
      <c r="H81" s="142">
        <f>IF(AND('A-8'!H345="-",'A-3'!G33="-",'A-3'!G81="-"),"-",SUM('A-8'!H345,'A-3'!G33,'A-3'!G81))</f>
        <v>6531</v>
      </c>
      <c r="I81" s="142">
        <f>IF(AND('A-8'!I345="-",'A-3'!H33="-",'A-3'!H81="-"),"-",SUM('A-8'!I345,'A-3'!H33,'A-3'!H81))</f>
        <v>220</v>
      </c>
      <c r="J81" s="142">
        <f>IF('A-8'!J345="-","-",('A-8'!J345))</f>
        <v>40</v>
      </c>
      <c r="K81" s="142" t="str">
        <f>IF('A-8'!K345="-","-",('A-8'!K345))</f>
        <v>-</v>
      </c>
      <c r="L81" s="142">
        <f>IF(AND('A-8'!L345="-",'A-3'!I33="-",'A-3'!I81="-"),"-",SUM('A-8'!L345,'A-3'!I33,'A-3'!I81))</f>
        <v>40399</v>
      </c>
      <c r="M81" s="7"/>
      <c r="N81" s="142" t="s">
        <v>23</v>
      </c>
      <c r="O81" s="142" t="s">
        <v>23</v>
      </c>
      <c r="P81" s="142" t="s">
        <v>23</v>
      </c>
      <c r="Q81" s="142" t="s">
        <v>23</v>
      </c>
      <c r="R81" s="142" t="s">
        <v>23</v>
      </c>
      <c r="S81" s="142" t="s">
        <v>23</v>
      </c>
      <c r="T81" s="142" t="s">
        <v>23</v>
      </c>
      <c r="U81" s="142" t="s">
        <v>23</v>
      </c>
      <c r="V81" s="142" t="s">
        <v>23</v>
      </c>
      <c r="W81" s="142" t="s">
        <v>23</v>
      </c>
      <c r="X81" s="142" t="s">
        <v>23</v>
      </c>
    </row>
    <row r="82" spans="1:24" ht="11.25" customHeight="1">
      <c r="A82" s="99">
        <v>2005</v>
      </c>
      <c r="B82" s="142">
        <f>IF('A-8'!B346="-","-",('A-8'!B346))</f>
        <v>87</v>
      </c>
      <c r="C82" s="142">
        <f>IF(AND('A-8'!C346="-",'A-3'!B34="-",'A-3'!B82="-"),"-",SUM('A-8'!C346,'A-3'!B34,'A-3'!B82))</f>
        <v>6</v>
      </c>
      <c r="D82" s="142" t="str">
        <f>IF(AND('A-8'!D346="-",'A-3'!C34="-",'A-3'!C82="-"),"-",SUM('A-8'!D346,'A-3'!C34,'A-3'!C82))</f>
        <v>-</v>
      </c>
      <c r="E82" s="142" t="str">
        <f>IF(AND('A-8'!E346="-",'A-3'!D34="-",'A-3'!D82="-"),"-",SUM('A-8'!E346,'A-3'!D34,'A-3'!D82))</f>
        <v>-</v>
      </c>
      <c r="F82" s="142" t="str">
        <f>IF(AND('A-8'!F346="-",'A-3'!E34="-",'A-3'!E82="-"),"-",SUM('A-8'!F346,'A-3'!E34,'A-3'!E82))</f>
        <v>-</v>
      </c>
      <c r="G82" s="142" t="str">
        <f>IF(AND('A-8'!G346="-",'A-3'!F34="-",'A-3'!F82="-"),"-",SUM('A-8'!G346,'A-3'!F34,'A-3'!F82))</f>
        <v>-</v>
      </c>
      <c r="H82" s="142">
        <f>IF(AND('A-8'!H346="-",'A-3'!G34="-",'A-3'!G82="-"),"-",SUM('A-8'!H346,'A-3'!G34,'A-3'!G82))</f>
        <v>8430</v>
      </c>
      <c r="I82" s="142">
        <f>IF(AND('A-8'!I346="-",'A-3'!H34="-",'A-3'!H82="-"),"-",SUM('A-8'!I346,'A-3'!H34,'A-3'!H82))</f>
        <v>641</v>
      </c>
      <c r="J82" s="142">
        <f>IF('A-8'!J346="-","-",('A-8'!J346))</f>
        <v>156</v>
      </c>
      <c r="K82" s="142" t="str">
        <f>IF('A-8'!K346="-","-",('A-8'!K346))</f>
        <v>-</v>
      </c>
      <c r="L82" s="142">
        <f>IF(AND('A-8'!L346="-",'A-3'!I34="-",'A-3'!I82="-"),"-",SUM('A-8'!L346,'A-3'!I34,'A-3'!I82))</f>
        <v>9320</v>
      </c>
      <c r="M82" s="7"/>
      <c r="N82" s="142" t="s">
        <v>23</v>
      </c>
      <c r="O82" s="142" t="s">
        <v>23</v>
      </c>
      <c r="P82" s="142" t="s">
        <v>23</v>
      </c>
      <c r="Q82" s="142" t="s">
        <v>23</v>
      </c>
      <c r="R82" s="142" t="s">
        <v>23</v>
      </c>
      <c r="S82" s="142" t="s">
        <v>23</v>
      </c>
      <c r="T82" s="142" t="s">
        <v>23</v>
      </c>
      <c r="U82" s="142" t="s">
        <v>23</v>
      </c>
      <c r="V82" s="142" t="s">
        <v>23</v>
      </c>
      <c r="W82" s="142" t="s">
        <v>23</v>
      </c>
      <c r="X82" s="142" t="s">
        <v>23</v>
      </c>
    </row>
    <row r="83" spans="1:24" ht="11.25" customHeight="1">
      <c r="A83" s="99">
        <v>2006</v>
      </c>
      <c r="B83" s="142" t="str">
        <f>IF('A-8'!B347="-","-",('A-8'!B347))</f>
        <v>-</v>
      </c>
      <c r="C83" s="142" t="str">
        <f>IF(AND('A-8'!C347="-",'A-3'!B35="-",'A-3'!B83="-"),"-",SUM('A-8'!C347,'A-3'!B35,'A-3'!B83))</f>
        <v>-</v>
      </c>
      <c r="D83" s="142" t="str">
        <f>IF(AND('A-8'!D347="-",'A-3'!C35="-",'A-3'!C83="-"),"-",SUM('A-8'!D347,'A-3'!C35,'A-3'!C83))</f>
        <v>-</v>
      </c>
      <c r="E83" s="142" t="str">
        <f>IF(AND('A-8'!E347="-",'A-3'!D35="-",'A-3'!D83="-"),"-",SUM('A-8'!E347,'A-3'!D35,'A-3'!D83))</f>
        <v>-</v>
      </c>
      <c r="F83" s="142" t="str">
        <f>IF(AND('A-8'!F347="-",'A-3'!E35="-",'A-3'!E83="-"),"-",SUM('A-8'!F347,'A-3'!E35,'A-3'!E83))</f>
        <v>-</v>
      </c>
      <c r="G83" s="142" t="str">
        <f>IF(AND('A-8'!G347="-",'A-3'!F35="-",'A-3'!F83="-"),"-",SUM('A-8'!G347,'A-3'!F35,'A-3'!F83))</f>
        <v>-</v>
      </c>
      <c r="H83" s="142">
        <f>IF(AND('A-8'!H347="-",'A-3'!G35="-",'A-3'!G83="-"),"-",SUM('A-8'!H347,'A-3'!G35,'A-3'!G83))</f>
        <v>12</v>
      </c>
      <c r="I83" s="142">
        <f>IF(AND('A-8'!I347="-",'A-3'!H35="-",'A-3'!H83="-"),"-",SUM('A-8'!I347,'A-3'!H35,'A-3'!H83))</f>
        <v>590</v>
      </c>
      <c r="J83" s="142">
        <f>IF('A-8'!J347="-","-",('A-8'!J347))</f>
        <v>136</v>
      </c>
      <c r="K83" s="142" t="str">
        <f>IF('A-8'!K347="-","-",('A-8'!K347))</f>
        <v>-</v>
      </c>
      <c r="L83" s="142">
        <f>IF(AND('A-8'!L347="-",'A-3'!I35="-",'A-3'!I83="-"),"-",SUM('A-8'!L347,'A-3'!I35,'A-3'!I83))</f>
        <v>738</v>
      </c>
      <c r="M83" s="7"/>
      <c r="N83" s="142" t="s">
        <v>23</v>
      </c>
      <c r="O83" s="142" t="s">
        <v>23</v>
      </c>
      <c r="P83" s="142" t="s">
        <v>23</v>
      </c>
      <c r="Q83" s="142" t="s">
        <v>23</v>
      </c>
      <c r="R83" s="142" t="s">
        <v>23</v>
      </c>
      <c r="S83" s="142" t="s">
        <v>23</v>
      </c>
      <c r="T83" s="142" t="s">
        <v>23</v>
      </c>
      <c r="U83" s="142" t="s">
        <v>23</v>
      </c>
      <c r="V83" s="142" t="s">
        <v>23</v>
      </c>
      <c r="W83" s="142" t="s">
        <v>23</v>
      </c>
      <c r="X83" s="142" t="s">
        <v>23</v>
      </c>
    </row>
    <row r="84" spans="1:24" ht="11.25" customHeight="1">
      <c r="A84" s="99">
        <v>2007</v>
      </c>
      <c r="B84" s="142" t="str">
        <f>IF('A-8'!B348="-","-",('A-8'!B348))</f>
        <v>-</v>
      </c>
      <c r="C84" s="142">
        <f>IF(AND('A-8'!C348="-",'A-3'!B36="-",'A-3'!B84="-"),"-",SUM('A-8'!C348,'A-3'!B36,'A-3'!B84))</f>
        <v>15</v>
      </c>
      <c r="D84" s="142">
        <f>IF(AND('A-8'!D348="-",'A-3'!C36="-",'A-3'!C84="-"),"-",SUM('A-8'!D348,'A-3'!C36,'A-3'!C84))</f>
        <v>25</v>
      </c>
      <c r="E84" s="142">
        <f>IF(AND('A-8'!E348="-",'A-3'!D36="-",'A-3'!D84="-"),"-",SUM('A-8'!E348,'A-3'!D36,'A-3'!D84))</f>
        <v>727</v>
      </c>
      <c r="F84" s="142">
        <f>IF(AND('A-8'!F348="-",'A-3'!E36="-",'A-3'!E84="-"),"-",SUM('A-8'!F348,'A-3'!E36,'A-3'!E84))</f>
        <v>1150</v>
      </c>
      <c r="G84" s="142">
        <f>IF(AND('A-8'!G348="-",'A-3'!F36="-",'A-3'!F84="-"),"-",SUM('A-8'!G348,'A-3'!F36,'A-3'!F84))</f>
        <v>1524</v>
      </c>
      <c r="H84" s="142">
        <f>IF(AND('A-8'!H348="-",'A-3'!G36="-",'A-3'!G84="-"),"-",SUM('A-8'!H348,'A-3'!G36,'A-3'!G84))</f>
        <v>9162</v>
      </c>
      <c r="I84" s="142">
        <f>IF(AND('A-8'!I348="-",'A-3'!H36="-",'A-3'!H84="-"),"-",SUM('A-8'!I348,'A-3'!H36,'A-3'!H84))</f>
        <v>209</v>
      </c>
      <c r="J84" s="142">
        <f>IF('A-8'!J348="-","-",('A-8'!J348))</f>
        <v>47</v>
      </c>
      <c r="K84" s="142" t="str">
        <f>IF('A-8'!K348="-","-",('A-8'!K348))</f>
        <v>-</v>
      </c>
      <c r="L84" s="142">
        <f>IF(AND('A-8'!L348="-",'A-3'!I36="-",'A-3'!I84="-"),"-",SUM('A-8'!L348,'A-3'!I36,'A-3'!I84))</f>
        <v>12859</v>
      </c>
      <c r="M84" s="7"/>
      <c r="N84" s="142" t="s">
        <v>23</v>
      </c>
      <c r="O84" s="142" t="s">
        <v>23</v>
      </c>
      <c r="P84" s="142" t="s">
        <v>23</v>
      </c>
      <c r="Q84" s="142" t="s">
        <v>23</v>
      </c>
      <c r="R84" s="142" t="s">
        <v>23</v>
      </c>
      <c r="S84" s="142" t="s">
        <v>23</v>
      </c>
      <c r="T84" s="142" t="s">
        <v>23</v>
      </c>
      <c r="U84" s="142" t="s">
        <v>23</v>
      </c>
      <c r="V84" s="142" t="s">
        <v>23</v>
      </c>
      <c r="W84" s="142" t="s">
        <v>23</v>
      </c>
      <c r="X84" s="142" t="s">
        <v>23</v>
      </c>
    </row>
    <row r="85" spans="1:24" ht="11.25" customHeight="1">
      <c r="A85" s="99">
        <v>2008</v>
      </c>
      <c r="B85" s="142" t="str">
        <f>IF('A-8'!B349="-","-",('A-8'!B349))</f>
        <v>-</v>
      </c>
      <c r="C85" s="142" t="str">
        <f>IF(AND('A-8'!C349="-",'A-3'!B37="-",'A-3'!B85="-"),"-",SUM('A-8'!C349,'A-3'!B37,'A-3'!B85))</f>
        <v>-</v>
      </c>
      <c r="D85" s="142" t="str">
        <f>IF(AND('A-8'!D349="-",'A-3'!C37="-",'A-3'!C85="-"),"-",SUM('A-8'!D349,'A-3'!C37,'A-3'!C85))</f>
        <v>-</v>
      </c>
      <c r="E85" s="142" t="str">
        <f>IF(AND('A-8'!E349="-",'A-3'!D37="-",'A-3'!D85="-"),"-",SUM('A-8'!E349,'A-3'!D37,'A-3'!D85))</f>
        <v>-</v>
      </c>
      <c r="F85" s="142" t="str">
        <f>IF(AND('A-8'!F349="-",'A-3'!E37="-",'A-3'!E85="-"),"-",SUM('A-8'!F349,'A-3'!E37,'A-3'!E85))</f>
        <v>-</v>
      </c>
      <c r="G85" s="142" t="str">
        <f>IF(AND('A-8'!G349="-",'A-3'!F37="-",'A-3'!F85="-"),"-",SUM('A-8'!G349,'A-3'!F37,'A-3'!F85))</f>
        <v>-</v>
      </c>
      <c r="H85" s="142" t="str">
        <f>IF(AND('A-8'!H349="-",'A-3'!G37="-",'A-3'!G85="-"),"-",SUM('A-8'!H349,'A-3'!G37,'A-3'!G85))</f>
        <v>-</v>
      </c>
      <c r="I85" s="142">
        <f>IF(AND('A-8'!I349="-",'A-3'!H37="-",'A-3'!H85="-"),"-",SUM('A-8'!I349,'A-3'!H37,'A-3'!H85))</f>
        <v>236</v>
      </c>
      <c r="J85" s="142" t="str">
        <f>IF('A-8'!J349="-","-",('A-8'!J349))</f>
        <v>-</v>
      </c>
      <c r="K85" s="142" t="str">
        <f>IF('A-8'!K349="-","-",('A-8'!K349))</f>
        <v>-</v>
      </c>
      <c r="L85" s="142">
        <f>IF(AND('A-8'!L349="-",'A-3'!I37="-",'A-3'!I85="-"),"-",SUM('A-8'!L349,'A-3'!I37,'A-3'!I85))</f>
        <v>236</v>
      </c>
      <c r="M85" s="7"/>
      <c r="N85" s="142" t="s">
        <v>23</v>
      </c>
      <c r="O85" s="142" t="s">
        <v>23</v>
      </c>
      <c r="P85" s="142" t="s">
        <v>23</v>
      </c>
      <c r="Q85" s="142" t="s">
        <v>23</v>
      </c>
      <c r="R85" s="142" t="s">
        <v>23</v>
      </c>
      <c r="S85" s="142" t="s">
        <v>23</v>
      </c>
      <c r="T85" s="142" t="s">
        <v>23</v>
      </c>
      <c r="U85" s="142" t="s">
        <v>23</v>
      </c>
      <c r="V85" s="142" t="s">
        <v>23</v>
      </c>
      <c r="W85" s="142" t="s">
        <v>23</v>
      </c>
      <c r="X85" s="142" t="s">
        <v>23</v>
      </c>
    </row>
    <row r="86" spans="1:24" ht="11.25" customHeight="1">
      <c r="A86" s="99">
        <v>2009</v>
      </c>
      <c r="B86" s="142" t="str">
        <f>IF('A-8'!B350="-","-",('A-8'!B350))</f>
        <v>-</v>
      </c>
      <c r="C86" s="142" t="str">
        <f>IF(AND('A-8'!C350="-",'A-3'!B38="-",'A-3'!B86="-"),"-",SUM('A-8'!C350,'A-3'!B38,'A-3'!B86))</f>
        <v>-</v>
      </c>
      <c r="D86" s="142" t="str">
        <f>IF(AND('A-8'!D350="-",'A-3'!C38="-",'A-3'!C86="-"),"-",SUM('A-8'!D350,'A-3'!C38,'A-3'!C86))</f>
        <v>-</v>
      </c>
      <c r="E86" s="142" t="str">
        <f>IF(AND('A-8'!E350="-",'A-3'!D38="-",'A-3'!D86="-"),"-",SUM('A-8'!E350,'A-3'!D38,'A-3'!D86))</f>
        <v>-</v>
      </c>
      <c r="F86" s="142" t="str">
        <f>IF(AND('A-8'!F350="-",'A-3'!E38="-",'A-3'!E86="-"),"-",SUM('A-8'!F350,'A-3'!E38,'A-3'!E86))</f>
        <v>-</v>
      </c>
      <c r="G86" s="142" t="str">
        <f>IF(AND('A-8'!G350="-",'A-3'!F38="-",'A-3'!F86="-"),"-",SUM('A-8'!G350,'A-3'!F38,'A-3'!F86))</f>
        <v>-</v>
      </c>
      <c r="H86" s="142" t="str">
        <f>IF(AND('A-8'!H350="-",'A-3'!G38="-",'A-3'!G86="-"),"-",SUM('A-8'!H350,'A-3'!G38,'A-3'!G86))</f>
        <v>-</v>
      </c>
      <c r="I86" s="142" t="str">
        <f>IF(AND('A-8'!I350="-",'A-3'!H38="-",'A-3'!H86="-"),"-",SUM('A-8'!I350,'A-3'!H38,'A-3'!H86))</f>
        <v>-</v>
      </c>
      <c r="J86" s="142" t="str">
        <f>IF('A-8'!J350="-","-",('A-8'!J350))</f>
        <v>-</v>
      </c>
      <c r="K86" s="142" t="str">
        <f>IF('A-8'!K350="-","-",('A-8'!K350))</f>
        <v>-</v>
      </c>
      <c r="L86" s="142" t="str">
        <f>IF(AND('A-8'!L350="-",'A-3'!I38="-",'A-3'!I86="-"),"-",SUM('A-8'!L350,'A-3'!I38,'A-3'!I86))</f>
        <v>-</v>
      </c>
      <c r="M86" s="7"/>
      <c r="N86" s="142" t="s">
        <v>23</v>
      </c>
      <c r="O86" s="142" t="s">
        <v>23</v>
      </c>
      <c r="P86" s="142" t="s">
        <v>23</v>
      </c>
      <c r="Q86" s="142" t="s">
        <v>23</v>
      </c>
      <c r="R86" s="142" t="s">
        <v>23</v>
      </c>
      <c r="S86" s="142" t="s">
        <v>23</v>
      </c>
      <c r="T86" s="142" t="s">
        <v>23</v>
      </c>
      <c r="U86" s="142" t="s">
        <v>23</v>
      </c>
      <c r="V86" s="142" t="s">
        <v>23</v>
      </c>
      <c r="W86" s="142" t="s">
        <v>23</v>
      </c>
      <c r="X86" s="142" t="s">
        <v>23</v>
      </c>
    </row>
    <row r="87" spans="1:24" ht="11.25" customHeight="1">
      <c r="A87" s="99">
        <v>2010</v>
      </c>
      <c r="B87" s="142" t="str">
        <f>IF('A-8'!B351="-","-",('A-8'!B351))</f>
        <v>-</v>
      </c>
      <c r="C87" s="142" t="str">
        <f>IF(AND('A-8'!C351="-",'A-3'!B39="-",'A-3'!B87="-"),"-",SUM('A-8'!C351,'A-3'!B39,'A-3'!B87))</f>
        <v>-</v>
      </c>
      <c r="D87" s="142">
        <f>IF(AND('A-8'!D351="-",'A-3'!C39="-",'A-3'!C87="-"),"-",SUM('A-8'!D351,'A-3'!C39,'A-3'!C87))</f>
        <v>164</v>
      </c>
      <c r="E87" s="142" t="str">
        <f>IF(AND('A-8'!E351="-",'A-3'!D39="-",'A-3'!D87="-"),"-",SUM('A-8'!E351,'A-3'!D39,'A-3'!D87))</f>
        <v>-</v>
      </c>
      <c r="F87" s="142">
        <f>IF(AND('A-8'!F351="-",'A-3'!E39="-",'A-3'!E87="-"),"-",SUM('A-8'!F351,'A-3'!E39,'A-3'!E87))</f>
        <v>51</v>
      </c>
      <c r="G87" s="142">
        <f>IF(AND('A-8'!G351="-",'A-3'!F39="-",'A-3'!F87="-"),"-",SUM('A-8'!G351,'A-3'!F39,'A-3'!F87))</f>
        <v>125</v>
      </c>
      <c r="H87" s="142" t="str">
        <f>IF(AND('A-8'!H351="-",'A-3'!G39="-",'A-3'!G87="-"),"-",SUM('A-8'!H351,'A-3'!G39,'A-3'!G87))</f>
        <v>-</v>
      </c>
      <c r="I87" s="142">
        <f>IF(AND('A-8'!I351="-",'A-3'!H39="-",'A-3'!H87="-"),"-",SUM('A-8'!I351,'A-3'!H39,'A-3'!H87))</f>
        <v>529</v>
      </c>
      <c r="J87" s="142" t="str">
        <f>IF('A-8'!J351="-","-",('A-8'!J351))</f>
        <v>-</v>
      </c>
      <c r="K87" s="142" t="str">
        <f>IF('A-8'!K351="-","-",('A-8'!K351))</f>
        <v>-</v>
      </c>
      <c r="L87" s="142">
        <f>IF(AND('A-8'!L351="-",'A-3'!I39="-",'A-3'!I87="-"),"-",SUM('A-8'!L351,'A-3'!I39,'A-3'!I87))</f>
        <v>869</v>
      </c>
      <c r="M87" s="7"/>
      <c r="N87" s="142" t="s">
        <v>23</v>
      </c>
      <c r="O87" s="142" t="s">
        <v>23</v>
      </c>
      <c r="P87" s="142" t="s">
        <v>23</v>
      </c>
      <c r="Q87" s="142" t="s">
        <v>23</v>
      </c>
      <c r="R87" s="142" t="s">
        <v>23</v>
      </c>
      <c r="S87" s="142" t="s">
        <v>23</v>
      </c>
      <c r="T87" s="142" t="s">
        <v>23</v>
      </c>
      <c r="U87" s="142" t="s">
        <v>23</v>
      </c>
      <c r="V87" s="142" t="s">
        <v>23</v>
      </c>
      <c r="W87" s="142" t="s">
        <v>23</v>
      </c>
      <c r="X87" s="142" t="s">
        <v>23</v>
      </c>
    </row>
    <row r="88" spans="1:24" ht="11.25" customHeight="1">
      <c r="A88" s="99">
        <v>2011</v>
      </c>
      <c r="B88" s="142" t="str">
        <f>IF('A-8'!B352="-","-",('A-8'!B352))</f>
        <v>-</v>
      </c>
      <c r="C88" s="142" t="str">
        <f>IF(AND('A-8'!C352="-",'A-3'!B40="-",'A-3'!B88="-"),"-",SUM('A-8'!C352,'A-3'!B40,'A-3'!B88))</f>
        <v>-</v>
      </c>
      <c r="D88" s="142">
        <f>IF(AND('A-8'!D352="-",'A-3'!C40="-",'A-3'!C88="-"),"-",SUM('A-8'!D352,'A-3'!C40,'A-3'!C88))</f>
        <v>601</v>
      </c>
      <c r="E88" s="142">
        <f>IF(AND('A-8'!E352="-",'A-3'!D40="-",'A-3'!D88="-"),"-",SUM('A-8'!E352,'A-3'!D40,'A-3'!D88))</f>
        <v>254</v>
      </c>
      <c r="F88" s="142">
        <f>IF(AND('A-8'!F352="-",'A-3'!E40="-",'A-3'!E88="-"),"-",SUM('A-8'!F352,'A-3'!E40,'A-3'!E88))</f>
        <v>1611</v>
      </c>
      <c r="G88" s="142">
        <f>IF(AND('A-8'!G352="-",'A-3'!F40="-",'A-3'!F88="-"),"-",SUM('A-8'!G352,'A-3'!F40,'A-3'!F88))</f>
        <v>1144</v>
      </c>
      <c r="H88" s="142" t="str">
        <f>IF(AND('A-8'!H352="-",'A-3'!G40="-",'A-3'!G88="-"),"-",SUM('A-8'!H352,'A-3'!G40,'A-3'!G88))</f>
        <v>-</v>
      </c>
      <c r="I88" s="142">
        <f>IF(AND('A-8'!I352="-",'A-3'!H40="-",'A-3'!H88="-"),"-",SUM('A-8'!I352,'A-3'!H40,'A-3'!H88))</f>
        <v>107</v>
      </c>
      <c r="J88" s="142" t="str">
        <f>IF('A-8'!J352="-","-",('A-8'!J352))</f>
        <v>-</v>
      </c>
      <c r="K88" s="142" t="str">
        <f>IF('A-8'!K352="-","-",('A-8'!K352))</f>
        <v>-</v>
      </c>
      <c r="L88" s="142">
        <f>IF(AND('A-8'!L352="-",'A-3'!I40="-",'A-3'!I88="-"),"-",SUM('A-8'!L352,'A-3'!I40,'A-3'!I88))</f>
        <v>3717</v>
      </c>
      <c r="M88" s="7"/>
      <c r="N88" s="142" t="s">
        <v>23</v>
      </c>
      <c r="O88" s="142" t="s">
        <v>23</v>
      </c>
      <c r="P88" s="142" t="s">
        <v>23</v>
      </c>
      <c r="Q88" s="142" t="s">
        <v>23</v>
      </c>
      <c r="R88" s="142" t="s">
        <v>23</v>
      </c>
      <c r="S88" s="142" t="s">
        <v>23</v>
      </c>
      <c r="T88" s="142" t="s">
        <v>23</v>
      </c>
      <c r="U88" s="142" t="s">
        <v>23</v>
      </c>
      <c r="V88" s="142" t="s">
        <v>23</v>
      </c>
      <c r="W88" s="142" t="s">
        <v>23</v>
      </c>
      <c r="X88" s="142" t="s">
        <v>23</v>
      </c>
    </row>
    <row r="89" spans="1:24" ht="11.25" customHeight="1">
      <c r="A89" s="99">
        <v>2012</v>
      </c>
      <c r="B89" s="142" t="str">
        <f>IF('A-8'!B353="-","-",('A-8'!B353))</f>
        <v>-</v>
      </c>
      <c r="C89" s="142">
        <f>IF(AND('A-8'!C353="-",'A-3'!B41="-",'A-3'!B89="-"),"-",SUM('A-8'!C353,'A-3'!B41,'A-3'!B89))</f>
        <v>0</v>
      </c>
      <c r="D89" s="142">
        <f>IF(AND('A-8'!D353="-",'A-3'!C41="-",'A-3'!C89="-"),"-",SUM('A-8'!D353,'A-3'!C41,'A-3'!C89))</f>
        <v>371</v>
      </c>
      <c r="E89" s="142">
        <f>IF(AND('A-8'!E353="-",'A-3'!D41="-",'A-3'!D89="-"),"-",SUM('A-8'!E353,'A-3'!D41,'A-3'!D89))</f>
        <v>1287</v>
      </c>
      <c r="F89" s="142">
        <f>IF(AND('A-8'!F353="-",'A-3'!E41="-",'A-3'!E89="-"),"-",SUM('A-8'!F353,'A-3'!E41,'A-3'!E89))</f>
        <v>1456</v>
      </c>
      <c r="G89" s="142">
        <f>IF(AND('A-8'!G353="-",'A-3'!F41="-",'A-3'!F89="-"),"-",SUM('A-8'!G353,'A-3'!F41,'A-3'!F89))</f>
        <v>1328</v>
      </c>
      <c r="H89" s="142">
        <f>IF(AND('A-8'!H353="-",'A-3'!G41="-",'A-3'!G89="-"),"-",SUM('A-8'!H353,'A-3'!G41,'A-3'!G89))</f>
        <v>6115</v>
      </c>
      <c r="I89" s="142">
        <f>IF(AND('A-8'!I353="-",'A-3'!H41="-",'A-3'!H89="-"),"-",SUM('A-8'!I353,'A-3'!H41,'A-3'!H89))</f>
        <v>118</v>
      </c>
      <c r="J89" s="142" t="str">
        <f>IF('A-8'!J353="-","-",('A-8'!J353))</f>
        <v>-</v>
      </c>
      <c r="K89" s="142" t="str">
        <f>IF('A-8'!K353="-","-",('A-8'!K353))</f>
        <v>-</v>
      </c>
      <c r="L89" s="142">
        <f>IF(AND('A-8'!L353="-",'A-3'!I41="-",'A-3'!I89="-"),"-",SUM('A-8'!L353,'A-3'!I41,'A-3'!I89))</f>
        <v>10675</v>
      </c>
      <c r="M89" s="7"/>
      <c r="N89" s="142" t="s">
        <v>23</v>
      </c>
      <c r="O89" s="142" t="s">
        <v>23</v>
      </c>
      <c r="P89" s="142" t="s">
        <v>23</v>
      </c>
      <c r="Q89" s="142" t="s">
        <v>23</v>
      </c>
      <c r="R89" s="142" t="s">
        <v>23</v>
      </c>
      <c r="S89" s="142" t="s">
        <v>23</v>
      </c>
      <c r="T89" s="142" t="s">
        <v>23</v>
      </c>
      <c r="U89" s="142" t="s">
        <v>23</v>
      </c>
      <c r="V89" s="142" t="s">
        <v>23</v>
      </c>
      <c r="W89" s="142" t="s">
        <v>23</v>
      </c>
      <c r="X89" s="142" t="s">
        <v>23</v>
      </c>
    </row>
    <row r="90" spans="1:24" ht="11.25" customHeight="1">
      <c r="A90" s="99">
        <v>2013</v>
      </c>
      <c r="B90" s="142" t="str">
        <f>IF('A-8'!B354="-","-",('A-8'!B354))</f>
        <v>-</v>
      </c>
      <c r="C90" s="142">
        <f>IF(AND('A-8'!C354="-",'A-3'!B42="-",'A-3'!B90="-"),"-",SUM('A-8'!C354,'A-3'!B42,'A-3'!B90))</f>
        <v>50</v>
      </c>
      <c r="D90" s="142">
        <f>IF(AND('A-8'!D354="-",'A-3'!C42="-",'A-3'!C90="-"),"-",SUM('A-8'!D354,'A-3'!C42,'A-3'!C90))</f>
        <v>2695</v>
      </c>
      <c r="E90" s="142">
        <f>IF(AND('A-8'!E354="-",'A-3'!D42="-",'A-3'!D90="-"),"-",SUM('A-8'!E354,'A-3'!D42,'A-3'!D90))</f>
        <v>4374</v>
      </c>
      <c r="F90" s="142">
        <f>IF(AND('A-8'!F354="-",'A-3'!E42="-",'A-3'!E90="-"),"-",SUM('A-8'!F354,'A-3'!E42,'A-3'!E90))</f>
        <v>5545</v>
      </c>
      <c r="G90" s="142">
        <f>IF(AND('A-8'!G354="-",'A-3'!F42="-",'A-3'!F90="-"),"-",SUM('A-8'!G354,'A-3'!F42,'A-3'!F90))</f>
        <v>3856</v>
      </c>
      <c r="H90" s="142">
        <f>IF(AND('A-8'!H354="-",'A-3'!G42="-",'A-3'!G90="-"),"-",SUM('A-8'!H354,'A-3'!G42,'A-3'!G90))</f>
        <v>319</v>
      </c>
      <c r="I90" s="142">
        <f>IF(AND('A-8'!I354="-",'A-3'!H42="-",'A-3'!H90="-"),"-",SUM('A-8'!I354,'A-3'!H42,'A-3'!H90))</f>
        <v>155</v>
      </c>
      <c r="J90" s="142" t="str">
        <f>IF('A-8'!J354="-","-",('A-8'!J354))</f>
        <v>-</v>
      </c>
      <c r="K90" s="142" t="str">
        <f>IF('A-8'!K354="-","-",('A-8'!K354))</f>
        <v>-</v>
      </c>
      <c r="L90" s="142">
        <f>IF(AND('A-8'!L354="-",'A-3'!I42="-",'A-3'!I90="-"),"-",SUM('A-8'!L354,'A-3'!I42,'A-3'!I90))</f>
        <v>16994</v>
      </c>
      <c r="M90" s="7"/>
      <c r="N90" s="142" t="s">
        <v>23</v>
      </c>
      <c r="O90" s="142" t="s">
        <v>23</v>
      </c>
      <c r="P90" s="142" t="s">
        <v>23</v>
      </c>
      <c r="Q90" s="142" t="s">
        <v>23</v>
      </c>
      <c r="R90" s="142" t="s">
        <v>23</v>
      </c>
      <c r="S90" s="142" t="s">
        <v>23</v>
      </c>
      <c r="T90" s="142" t="s">
        <v>23</v>
      </c>
      <c r="U90" s="142" t="s">
        <v>23</v>
      </c>
      <c r="V90" s="142" t="s">
        <v>23</v>
      </c>
      <c r="W90" s="142" t="s">
        <v>23</v>
      </c>
      <c r="X90" s="142" t="s">
        <v>23</v>
      </c>
    </row>
    <row r="91" spans="1:24" ht="11.25" customHeight="1">
      <c r="A91" s="99">
        <v>2014</v>
      </c>
      <c r="B91" s="142" t="str">
        <f>IF('A-8'!B355="-","-",('A-8'!B355))</f>
        <v>-</v>
      </c>
      <c r="C91" s="142">
        <f>IF(AND('A-8'!C355="-",'A-3'!B43="-",'A-3'!B91="-"),"-",SUM('A-8'!C355,'A-3'!B43,'A-3'!B91))</f>
        <v>53</v>
      </c>
      <c r="D91" s="142">
        <f>IF(AND('A-8'!D355="-",'A-3'!C43="-",'A-3'!C91="-"),"-",SUM('A-8'!D355,'A-3'!C43,'A-3'!C91))</f>
        <v>13352</v>
      </c>
      <c r="E91" s="142">
        <f>IF(AND('A-8'!E355="-",'A-3'!D43="-",'A-3'!D91="-"),"-",SUM('A-8'!E355,'A-3'!D43,'A-3'!D91))</f>
        <v>1349</v>
      </c>
      <c r="F91" s="142">
        <f>IF(AND('A-8'!F355="-",'A-3'!E43="-",'A-3'!E91="-"),"-",SUM('A-8'!F355,'A-3'!E43,'A-3'!E91))</f>
        <v>492</v>
      </c>
      <c r="G91" s="142">
        <f>IF(AND('A-8'!G355="-",'A-3'!F43="-",'A-3'!F91="-"),"-",SUM('A-8'!G355,'A-3'!F43,'A-3'!F91))</f>
        <v>403</v>
      </c>
      <c r="H91" s="142">
        <f>IF(AND('A-8'!H355="-",'A-3'!G43="-",'A-3'!G91="-"),"-",SUM('A-8'!H355,'A-3'!G43,'A-3'!G91))</f>
        <v>674</v>
      </c>
      <c r="I91" s="142">
        <f>IF(AND('A-8'!I355="-",'A-3'!H43="-",'A-3'!H91="-"),"-",SUM('A-8'!I355,'A-3'!H43,'A-3'!H91))</f>
        <v>443</v>
      </c>
      <c r="J91" s="142" t="str">
        <f>IF('A-8'!J355="-","-",('A-8'!J355))</f>
        <v>-</v>
      </c>
      <c r="K91" s="142" t="str">
        <f>IF('A-8'!K355="-","-",('A-8'!K355))</f>
        <v>-</v>
      </c>
      <c r="L91" s="142">
        <f>IF(AND('A-8'!L355="-",'A-3'!I43="-",'A-3'!I91="-"),"-",SUM('A-8'!L355,'A-3'!I43,'A-3'!I91))</f>
        <v>16766</v>
      </c>
      <c r="M91" s="7"/>
      <c r="N91" s="142" t="s">
        <v>23</v>
      </c>
      <c r="O91" s="142" t="s">
        <v>23</v>
      </c>
      <c r="P91" s="142" t="s">
        <v>23</v>
      </c>
      <c r="Q91" s="142" t="s">
        <v>23</v>
      </c>
      <c r="R91" s="142" t="s">
        <v>23</v>
      </c>
      <c r="S91" s="142" t="s">
        <v>23</v>
      </c>
      <c r="T91" s="142" t="s">
        <v>23</v>
      </c>
      <c r="U91" s="142" t="s">
        <v>23</v>
      </c>
      <c r="V91" s="142" t="s">
        <v>23</v>
      </c>
      <c r="W91" s="142" t="s">
        <v>23</v>
      </c>
      <c r="X91" s="142" t="s">
        <v>23</v>
      </c>
    </row>
    <row r="92" spans="1:24" ht="11.25" customHeight="1">
      <c r="A92" s="99">
        <v>2015</v>
      </c>
      <c r="B92" s="142" t="str">
        <f>IF('A-8'!B356="-","-",('A-8'!B356))</f>
        <v>-</v>
      </c>
      <c r="C92" s="142">
        <f>IF(AND('A-8'!C356="-",'A-3'!B44="-",'A-3'!B92="-"),"-",SUM('A-8'!C356,'A-3'!B44,'A-3'!B92))</f>
        <v>39</v>
      </c>
      <c r="D92" s="142">
        <f>IF(AND('A-8'!D356="-",'A-3'!C44="-",'A-3'!C92="-"),"-",SUM('A-8'!D356,'A-3'!C44,'A-3'!C92))</f>
        <v>1146</v>
      </c>
      <c r="E92" s="142">
        <f>IF(AND('A-8'!E356="-",'A-3'!D44="-",'A-3'!D92="-"),"-",SUM('A-8'!E356,'A-3'!D44,'A-3'!D92))</f>
        <v>1528</v>
      </c>
      <c r="F92" s="142">
        <f>IF(AND('A-8'!F356="-",'A-3'!E44="-",'A-3'!E92="-"),"-",SUM('A-8'!F356,'A-3'!E44,'A-3'!E92))</f>
        <v>779</v>
      </c>
      <c r="G92" s="142">
        <f>IF(AND('A-8'!G356="-",'A-3'!F44="-",'A-3'!F92="-"),"-",SUM('A-8'!G356,'A-3'!F44,'A-3'!F92))</f>
        <v>92</v>
      </c>
      <c r="H92" s="142">
        <f>IF(AND('A-8'!H356="-",'A-3'!G44="-",'A-3'!G92="-"),"-",SUM('A-8'!H356,'A-3'!G44,'A-3'!G92))</f>
        <v>46</v>
      </c>
      <c r="I92" s="142">
        <f>IF(AND('A-8'!I356="-",'A-3'!H44="-",'A-3'!H92="-"),"-",SUM('A-8'!I356,'A-3'!H44,'A-3'!H92))</f>
        <v>639</v>
      </c>
      <c r="J92" s="142" t="str">
        <f>IF('A-8'!J356="-","-",('A-8'!J356))</f>
        <v>-</v>
      </c>
      <c r="K92" s="142" t="str">
        <f>IF('A-8'!K356="-","-",('A-8'!K356))</f>
        <v>-</v>
      </c>
      <c r="L92" s="142">
        <f>IF(AND('A-8'!L356="-",'A-3'!I44="-",'A-3'!I92="-"),"-",SUM('A-8'!L356,'A-3'!I44,'A-3'!I92))</f>
        <v>4269</v>
      </c>
      <c r="M92" s="7"/>
      <c r="N92" s="142" t="s">
        <v>23</v>
      </c>
      <c r="O92" s="142" t="s">
        <v>23</v>
      </c>
      <c r="P92" s="142" t="s">
        <v>23</v>
      </c>
      <c r="Q92" s="142" t="s">
        <v>23</v>
      </c>
      <c r="R92" s="142" t="s">
        <v>23</v>
      </c>
      <c r="S92" s="142" t="s">
        <v>23</v>
      </c>
      <c r="T92" s="142" t="s">
        <v>23</v>
      </c>
      <c r="U92" s="142" t="s">
        <v>23</v>
      </c>
      <c r="V92" s="142" t="s">
        <v>23</v>
      </c>
      <c r="W92" s="142" t="s">
        <v>23</v>
      </c>
      <c r="X92" s="142" t="s">
        <v>23</v>
      </c>
    </row>
    <row r="93" spans="1:24" ht="11.25" customHeight="1">
      <c r="A93" s="99">
        <v>2016</v>
      </c>
      <c r="B93" s="142" t="str">
        <f>IF('A-8'!B357="-","-",('A-8'!B357))</f>
        <v>-</v>
      </c>
      <c r="C93" s="142">
        <f>IF(AND('A-8'!C357="-",'A-3'!B45="-",'A-3'!B93="-"),"-",SUM('A-8'!C357,'A-3'!B45,'A-3'!B93))</f>
        <v>12</v>
      </c>
      <c r="D93" s="142">
        <f>IF(AND('A-8'!D357="-",'A-3'!C45="-",'A-3'!C93="-"),"-",SUM('A-8'!D357,'A-3'!C45,'A-3'!C93))</f>
        <v>34</v>
      </c>
      <c r="E93" s="142">
        <f>IF(AND('A-8'!E357="-",'A-3'!D45="-",'A-3'!D93="-"),"-",SUM('A-8'!E357,'A-3'!D45,'A-3'!D93))</f>
        <v>179</v>
      </c>
      <c r="F93" s="142">
        <f>IF(AND('A-8'!F357="-",'A-3'!E45="-",'A-3'!E93="-"),"-",SUM('A-8'!F357,'A-3'!E45,'A-3'!E93))</f>
        <v>21</v>
      </c>
      <c r="G93" s="142" t="str">
        <f>IF(AND('A-8'!G357="-",'A-3'!F45="-",'A-3'!F93="-"),"-",SUM('A-8'!G357,'A-3'!F45,'A-3'!F93))</f>
        <v>-</v>
      </c>
      <c r="H93" s="142">
        <f>IF(AND('A-8'!H357="-",'A-3'!G45="-",'A-3'!G93="-"),"-",SUM('A-8'!H357,'A-3'!G45,'A-3'!G93))</f>
        <v>196</v>
      </c>
      <c r="I93" s="142">
        <f>IF(AND('A-8'!I357="-",'A-3'!H45="-",'A-3'!H93="-"),"-",SUM('A-8'!I357,'A-3'!H45,'A-3'!H93))</f>
        <v>152</v>
      </c>
      <c r="J93" s="142" t="str">
        <f>IF('A-8'!J357="-","-",('A-8'!J357))</f>
        <v>-</v>
      </c>
      <c r="K93" s="142" t="str">
        <f>IF('A-8'!K357="-","-",('A-8'!K357))</f>
        <v>-</v>
      </c>
      <c r="L93" s="142">
        <f>IF(AND('A-8'!L357="-",'A-3'!I45="-",'A-3'!I93="-"),"-",SUM('A-8'!L357,'A-3'!I45,'A-3'!I93))</f>
        <v>594</v>
      </c>
      <c r="M93" s="7"/>
      <c r="N93" s="142" t="s">
        <v>23</v>
      </c>
      <c r="O93" s="142" t="s">
        <v>23</v>
      </c>
      <c r="P93" s="142" t="s">
        <v>23</v>
      </c>
      <c r="Q93" s="142" t="s">
        <v>23</v>
      </c>
      <c r="R93" s="142" t="s">
        <v>23</v>
      </c>
      <c r="S93" s="142" t="s">
        <v>23</v>
      </c>
      <c r="T93" s="142" t="s">
        <v>23</v>
      </c>
      <c r="U93" s="142" t="s">
        <v>23</v>
      </c>
      <c r="V93" s="142" t="s">
        <v>23</v>
      </c>
      <c r="W93" s="142" t="s">
        <v>23</v>
      </c>
      <c r="X93" s="142" t="s">
        <v>23</v>
      </c>
    </row>
    <row r="94" spans="1:24" ht="11.25" customHeight="1">
      <c r="A94" s="99">
        <v>2017</v>
      </c>
      <c r="B94" s="142" t="str">
        <f>IF('A-8'!B358="-","-",('A-8'!B358))</f>
        <v>-</v>
      </c>
      <c r="C94" s="142" t="str">
        <f>IF(AND('A-8'!C358="-",'A-3'!B46="-",'A-3'!B94="-"),"-",SUM('A-8'!C358,'A-3'!B46,'A-3'!B94))</f>
        <v>-</v>
      </c>
      <c r="D94" s="142" t="str">
        <f>IF(AND('A-8'!D358="-",'A-3'!C46="-",'A-3'!C94="-"),"-",SUM('A-8'!D358,'A-3'!C46,'A-3'!C94))</f>
        <v>-</v>
      </c>
      <c r="E94" s="142" t="str">
        <f>IF(AND('A-8'!E358="-",'A-3'!D46="-",'A-3'!D94="-"),"-",SUM('A-8'!E358,'A-3'!D46,'A-3'!D94))</f>
        <v>-</v>
      </c>
      <c r="F94" s="142" t="str">
        <f>IF(AND('A-8'!F358="-",'A-3'!E46="-",'A-3'!E94="-"),"-",SUM('A-8'!F358,'A-3'!E46,'A-3'!E94))</f>
        <v>-</v>
      </c>
      <c r="G94" s="142" t="str">
        <f>IF(AND('A-8'!G358="-",'A-3'!F46="-",'A-3'!F94="-"),"-",SUM('A-8'!G358,'A-3'!F46,'A-3'!F94))</f>
        <v>-</v>
      </c>
      <c r="H94" s="142" t="str">
        <f>IF(AND('A-8'!H358="-",'A-3'!G46="-",'A-3'!G94="-"),"-",SUM('A-8'!H358,'A-3'!G46,'A-3'!G94))</f>
        <v>-</v>
      </c>
      <c r="I94" s="142">
        <f>IF(AND('A-8'!I358="-",'A-3'!H46="-",'A-3'!H94="-"),"-",SUM('A-8'!I358,'A-3'!H46,'A-3'!H94))</f>
        <v>329</v>
      </c>
      <c r="J94" s="142" t="str">
        <f>IF('A-8'!J358="-","-",('A-8'!J358))</f>
        <v>-</v>
      </c>
      <c r="K94" s="142" t="str">
        <f>IF('A-8'!K358="-","-",('A-8'!K358))</f>
        <v>-</v>
      </c>
      <c r="L94" s="142">
        <f>IF(AND('A-8'!L358="-",'A-3'!I46="-",'A-3'!I94="-"),"-",SUM('A-8'!L358,'A-3'!I46,'A-3'!I94))</f>
        <v>329</v>
      </c>
      <c r="M94" s="7"/>
      <c r="N94" s="142" t="s">
        <v>23</v>
      </c>
      <c r="O94" s="142" t="s">
        <v>23</v>
      </c>
      <c r="P94" s="142" t="s">
        <v>23</v>
      </c>
      <c r="Q94" s="142" t="s">
        <v>23</v>
      </c>
      <c r="R94" s="142" t="s">
        <v>23</v>
      </c>
      <c r="S94" s="142" t="s">
        <v>23</v>
      </c>
      <c r="T94" s="142" t="s">
        <v>23</v>
      </c>
      <c r="U94" s="142" t="s">
        <v>23</v>
      </c>
      <c r="V94" s="142" t="s">
        <v>23</v>
      </c>
      <c r="W94" s="142" t="s">
        <v>23</v>
      </c>
      <c r="X94" s="142" t="s">
        <v>23</v>
      </c>
    </row>
    <row r="95" spans="1:24" ht="11.25" customHeight="1">
      <c r="A95" s="99">
        <v>2018</v>
      </c>
      <c r="B95" s="142" t="str">
        <f>IF('A-8'!B359="-","-",('A-8'!B359))</f>
        <v>-</v>
      </c>
      <c r="C95" s="142" t="str">
        <f>IF(AND('A-8'!C359="-",'A-3'!B47="-",'A-3'!B95="-"),"-",SUM('A-8'!C359,'A-3'!B47,'A-3'!B95))</f>
        <v>-</v>
      </c>
      <c r="D95" s="142">
        <f>IF(AND('A-8'!D359="-",'A-3'!C47="-",'A-3'!C95="-"),"-",SUM('A-8'!D359,'A-3'!C47,'A-3'!C95))</f>
        <v>1209</v>
      </c>
      <c r="E95" s="142">
        <f>IF(AND('A-8'!E359="-",'A-3'!D47="-",'A-3'!D95="-"),"-",SUM('A-8'!E359,'A-3'!D47,'A-3'!D95))</f>
        <v>4006</v>
      </c>
      <c r="F95" s="142">
        <f>IF(AND('A-8'!F359="-",'A-3'!E47="-",'A-3'!E95="-"),"-",SUM('A-8'!F359,'A-3'!E47,'A-3'!E95))</f>
        <v>2988</v>
      </c>
      <c r="G95" s="142">
        <f>IF(AND('A-8'!G359="-",'A-3'!F47="-",'A-3'!F95="-"),"-",SUM('A-8'!G359,'A-3'!F47,'A-3'!F95))</f>
        <v>4391</v>
      </c>
      <c r="H95" s="142" t="str">
        <f>IF(AND('A-8'!H359="-",'A-3'!G47="-",'A-3'!G95="-"),"-",SUM('A-8'!H359,'A-3'!G47,'A-3'!G95))</f>
        <v>-</v>
      </c>
      <c r="I95" s="142">
        <f>IF(AND('A-8'!I359="-",'A-3'!H47="-",'A-3'!H95="-"),"-",SUM('A-8'!I359,'A-3'!H47,'A-3'!H95))</f>
        <v>316</v>
      </c>
      <c r="J95" s="142" t="str">
        <f>IF('A-8'!J359="-","-",('A-8'!J359))</f>
        <v>-</v>
      </c>
      <c r="K95" s="142" t="str">
        <f>IF('A-8'!K359="-","-",('A-8'!K359))</f>
        <v>-</v>
      </c>
      <c r="L95" s="142">
        <f>IF(AND('A-8'!L359="-",'A-3'!I47="-",'A-3'!I95="-"),"-",SUM('A-8'!L359,'A-3'!I47,'A-3'!I95))</f>
        <v>12910</v>
      </c>
      <c r="M95" s="7"/>
      <c r="N95" s="142" t="s">
        <v>23</v>
      </c>
      <c r="O95" s="142" t="s">
        <v>23</v>
      </c>
      <c r="P95" s="142" t="s">
        <v>23</v>
      </c>
      <c r="Q95" s="142" t="s">
        <v>23</v>
      </c>
      <c r="R95" s="142" t="s">
        <v>23</v>
      </c>
      <c r="S95" s="142" t="s">
        <v>23</v>
      </c>
      <c r="T95" s="142" t="s">
        <v>23</v>
      </c>
      <c r="U95" s="142" t="s">
        <v>23</v>
      </c>
      <c r="V95" s="142" t="s">
        <v>23</v>
      </c>
      <c r="W95" s="142" t="s">
        <v>23</v>
      </c>
      <c r="X95" s="142" t="s">
        <v>23</v>
      </c>
    </row>
    <row r="96" spans="1:24" ht="11.25" customHeight="1">
      <c r="A96" s="99">
        <v>2019</v>
      </c>
      <c r="B96" s="142" t="str">
        <f>IF('A-8'!B360="-","-",('A-8'!B360))</f>
        <v>-</v>
      </c>
      <c r="C96" s="142">
        <f>IF(AND('A-8'!C360="-",'A-3'!B48="-",'A-3'!B96="-"),"-",SUM('A-8'!C360,'A-3'!B48,'A-3'!B96))</f>
        <v>12</v>
      </c>
      <c r="D96" s="142">
        <f>IF(AND('A-8'!D360="-",'A-3'!C48="-",'A-3'!C96="-"),"-",SUM('A-8'!D360,'A-3'!C48,'A-3'!C96))</f>
        <v>16</v>
      </c>
      <c r="E96" s="142">
        <f>IF(AND('A-8'!E360="-",'A-3'!D48="-",'A-3'!D96="-"),"-",SUM('A-8'!E360,'A-3'!D48,'A-3'!D96))</f>
        <v>799</v>
      </c>
      <c r="F96" s="142">
        <f>IF(AND('A-8'!F360="-",'A-3'!E48="-",'A-3'!E96="-"),"-",SUM('A-8'!F360,'A-3'!E48,'A-3'!E96))</f>
        <v>1945</v>
      </c>
      <c r="G96" s="142">
        <f>IF(AND('A-8'!G360="-",'A-3'!F48="-",'A-3'!F96="-"),"-",SUM('A-8'!G360,'A-3'!F48,'A-3'!F96))</f>
        <v>4957</v>
      </c>
      <c r="H96" s="142" t="str">
        <f>IF(AND('A-8'!H360="-",'A-3'!G48="-",'A-3'!G96="-"),"-",SUM('A-8'!H360,'A-3'!G48,'A-3'!G96))</f>
        <v>-</v>
      </c>
      <c r="I96" s="142" t="str">
        <f>IF(AND('A-8'!I360="-",'A-3'!H48="-",'A-3'!H96="-"),"-",SUM('A-8'!I360,'A-3'!H48,'A-3'!H96))</f>
        <v>-</v>
      </c>
      <c r="J96" s="142" t="str">
        <f>IF('A-8'!J360="-","-",('A-8'!J360))</f>
        <v>-</v>
      </c>
      <c r="K96" s="142" t="str">
        <f>IF('A-8'!K360="-","-",('A-8'!K360))</f>
        <v>-</v>
      </c>
      <c r="L96" s="142">
        <f>IF(AND('A-8'!L360="-",'A-3'!I48="-",'A-3'!I96="-"),"-",SUM('A-8'!L360,'A-3'!I48,'A-3'!I96))</f>
        <v>7729</v>
      </c>
      <c r="M96" s="7"/>
      <c r="N96" s="142" t="s">
        <v>23</v>
      </c>
      <c r="O96" s="142" t="s">
        <v>23</v>
      </c>
      <c r="P96" s="142" t="s">
        <v>23</v>
      </c>
      <c r="Q96" s="142" t="s">
        <v>23</v>
      </c>
      <c r="R96" s="142" t="s">
        <v>23</v>
      </c>
      <c r="S96" s="142" t="s">
        <v>23</v>
      </c>
      <c r="T96" s="142" t="s">
        <v>23</v>
      </c>
      <c r="U96" s="142" t="s">
        <v>23</v>
      </c>
      <c r="V96" s="142" t="s">
        <v>23</v>
      </c>
      <c r="W96" s="142" t="s">
        <v>23</v>
      </c>
      <c r="X96" s="142" t="s">
        <v>23</v>
      </c>
    </row>
    <row r="97" spans="1:24" ht="11.25" customHeight="1">
      <c r="A97" s="99" t="s">
        <v>309</v>
      </c>
      <c r="B97" s="142" t="str">
        <f>IF('A-8'!B361="-","-",('A-8'!B361))</f>
        <v>-</v>
      </c>
      <c r="C97" s="142">
        <f>IF(AND('A-8'!C361="-",'A-3'!B49="-",'A-3'!B97="-"),"-",SUM('A-8'!C361,'A-3'!B49,'A-3'!B97))</f>
        <v>1</v>
      </c>
      <c r="D97" s="142">
        <f>IF(AND('A-8'!D361="-",'A-3'!C49="-",'A-3'!C97="-"),"-",SUM('A-8'!D361,'A-3'!C49,'A-3'!C97))</f>
        <v>5</v>
      </c>
      <c r="E97" s="142">
        <f>IF(AND('A-8'!E361="-",'A-3'!D49="-",'A-3'!D97="-"),"-",SUM('A-8'!E361,'A-3'!D49,'A-3'!D97))</f>
        <v>168</v>
      </c>
      <c r="F97" s="142">
        <f>IF(AND('A-8'!F361="-",'A-3'!E49="-",'A-3'!E97="-"),"-",SUM('A-8'!F361,'A-3'!E49,'A-3'!E97))</f>
        <v>651</v>
      </c>
      <c r="G97" s="142" t="str">
        <f>IF(AND('A-8'!G361="-",'A-3'!F49="-",'A-3'!F97="-"),"-",SUM('A-8'!G361,'A-3'!F49,'A-3'!F97))</f>
        <v>-</v>
      </c>
      <c r="H97" s="142" t="str">
        <f>IF(AND('A-8'!H361="-",'A-3'!G49="-",'A-3'!G97="-"),"-",SUM('A-8'!H361,'A-3'!G49,'A-3'!G97))</f>
        <v>-</v>
      </c>
      <c r="I97" s="142" t="str">
        <f>IF(AND('A-8'!I361="-",'A-3'!H49="-",'A-3'!H97="-"),"-",SUM('A-8'!I361,'A-3'!H49,'A-3'!H97))</f>
        <v>-</v>
      </c>
      <c r="J97" s="142" t="str">
        <f>IF('A-8'!J361="-","-",('A-8'!J361))</f>
        <v>-</v>
      </c>
      <c r="K97" s="142" t="str">
        <f>IF('A-8'!K361="-","-",('A-8'!K361))</f>
        <v>-</v>
      </c>
      <c r="L97" s="142">
        <f>IF(AND('A-8'!L361="-",'A-3'!I49="-",'A-3'!I97="-"),"-",SUM('A-8'!L361,'A-3'!I49,'A-3'!I97))</f>
        <v>825</v>
      </c>
      <c r="M97" s="7"/>
      <c r="N97" s="142" t="s">
        <v>23</v>
      </c>
      <c r="O97" s="142" t="s">
        <v>23</v>
      </c>
      <c r="P97" s="142" t="s">
        <v>23</v>
      </c>
      <c r="Q97" s="142" t="s">
        <v>23</v>
      </c>
      <c r="R97" s="142" t="s">
        <v>23</v>
      </c>
      <c r="S97" s="142" t="s">
        <v>23</v>
      </c>
      <c r="T97" s="142" t="s">
        <v>23</v>
      </c>
      <c r="U97" s="142" t="s">
        <v>23</v>
      </c>
      <c r="V97" s="142" t="s">
        <v>23</v>
      </c>
      <c r="W97" s="142" t="s">
        <v>23</v>
      </c>
      <c r="X97" s="142" t="s">
        <v>23</v>
      </c>
    </row>
    <row r="98" spans="1:24" ht="11.25" customHeight="1">
      <c r="A98" s="99" t="s">
        <v>317</v>
      </c>
      <c r="B98" s="142">
        <f>IF('A-8'!B362="-","-",('A-8'!B362))</f>
        <v>2</v>
      </c>
      <c r="C98" s="142">
        <f>IF(AND('A-8'!C362="-",'A-3'!B50="-",'A-3'!B98="-"),"-",SUM('A-8'!C362,'A-3'!B50,'A-3'!B98))</f>
        <v>2</v>
      </c>
      <c r="D98" s="142">
        <f>IF(AND('A-8'!D362="-",'A-3'!C50="-",'A-3'!C98="-"),"-",SUM('A-8'!D362,'A-3'!C50,'A-3'!C98))</f>
        <v>13</v>
      </c>
      <c r="E98" s="142">
        <f>IF(AND('A-8'!E362="-",'A-3'!D50="-",'A-3'!D98="-"),"-",SUM('A-8'!E362,'A-3'!D50,'A-3'!D98))</f>
        <v>275</v>
      </c>
      <c r="F98" s="142">
        <f>IF(AND('A-8'!F362="-",'A-3'!E50="-",'A-3'!E98="-"),"-",SUM('A-8'!F362,'A-3'!E50,'A-3'!E98))</f>
        <v>132</v>
      </c>
      <c r="G98" s="142" t="str">
        <f>IF(AND('A-8'!G362="-",'A-3'!F50="-",'A-3'!F98="-"),"-",SUM('A-8'!G362,'A-3'!F50,'A-3'!F98))</f>
        <v>-</v>
      </c>
      <c r="H98" s="142" t="str">
        <f>IF(AND('A-8'!H362="-",'A-3'!G50="-",'A-3'!G98="-"),"-",SUM('A-8'!H362,'A-3'!G50,'A-3'!G98))</f>
        <v>-</v>
      </c>
      <c r="I98" s="142" t="str">
        <f>IF(AND('A-8'!I362="-",'A-3'!H50="-",'A-3'!H98="-"),"-",SUM('A-8'!I362,'A-3'!H50,'A-3'!H98))</f>
        <v>-</v>
      </c>
      <c r="J98" s="142" t="str">
        <f>IF('A-8'!J362="-","-",('A-8'!J362))</f>
        <v>-</v>
      </c>
      <c r="K98" s="142" t="str">
        <f>IF('A-8'!K362="-","-",('A-8'!K362))</f>
        <v>-</v>
      </c>
      <c r="L98" s="142">
        <f>IF(AND('A-8'!L362="-",'A-3'!I50="-",'A-3'!I98="-"),"-",SUM('A-8'!L362,'A-3'!I50,'A-3'!I98))</f>
        <v>424</v>
      </c>
      <c r="M98" s="7"/>
      <c r="N98" s="142" t="s">
        <v>23</v>
      </c>
      <c r="O98" s="142" t="s">
        <v>23</v>
      </c>
      <c r="P98" s="142" t="s">
        <v>23</v>
      </c>
      <c r="Q98" s="142" t="s">
        <v>23</v>
      </c>
      <c r="R98" s="142" t="s">
        <v>23</v>
      </c>
      <c r="S98" s="142" t="s">
        <v>23</v>
      </c>
      <c r="T98" s="142" t="s">
        <v>23</v>
      </c>
      <c r="U98" s="142" t="s">
        <v>23</v>
      </c>
      <c r="V98" s="142" t="s">
        <v>23</v>
      </c>
      <c r="W98" s="142" t="s">
        <v>23</v>
      </c>
      <c r="X98" s="142" t="s">
        <v>23</v>
      </c>
    </row>
    <row r="99" spans="1:24" ht="11.25" customHeight="1">
      <c r="A99" s="99"/>
      <c r="M99" s="7"/>
    </row>
    <row r="100" spans="1:24" ht="11.25" customHeight="1">
      <c r="A100" s="94" t="s">
        <v>347</v>
      </c>
      <c r="M100" s="7"/>
    </row>
    <row r="101" spans="1:24" ht="11.25" customHeight="1">
      <c r="A101" s="99">
        <v>1976</v>
      </c>
      <c r="B101" s="142" t="s">
        <v>23</v>
      </c>
      <c r="C101" s="142">
        <f>IF(AND('A-3'!B101="-",'A-3'!B149="-",'A-3'!B197="-"),"-",SUM('A-3'!B101,'A-3'!B149,'A-3'!B197))</f>
        <v>54031</v>
      </c>
      <c r="D101" s="142">
        <f>IF(AND('A-3'!C101="-",'A-3'!C149="-",'A-3'!C197="-"),"-",SUM('A-3'!C101,'A-3'!C149,'A-3'!C197))</f>
        <v>86207</v>
      </c>
      <c r="E101" s="142">
        <f>IF(AND('A-3'!D101="-",'A-3'!D149="-",'A-3'!D197="-"),"-",SUM('A-3'!D101,'A-3'!D149,'A-3'!D197))</f>
        <v>81508</v>
      </c>
      <c r="F101" s="142">
        <f>IF(AND('A-3'!E101="-",'A-3'!E149="-",'A-3'!E197="-"),"-",SUM('A-3'!E101,'A-3'!E149,'A-3'!E197))</f>
        <v>80514</v>
      </c>
      <c r="G101" s="142">
        <f>IF(AND('A-3'!F101="-",'A-3'!F149="-",'A-3'!F197="-"),"-",SUM('A-3'!F101,'A-3'!F149,'A-3'!F197))</f>
        <v>32372</v>
      </c>
      <c r="H101" s="142">
        <f>IF(AND('A-3'!G101="-",'A-3'!G149="-",'A-3'!G197="-"),"-",SUM('A-3'!G101,'A-3'!G149,'A-3'!G197))</f>
        <v>18908</v>
      </c>
      <c r="I101" s="142" t="str">
        <f>IF(AND('A-3'!H101="-",'A-3'!H149="-",'A-3'!H197="-"),"-",SUM('A-3'!H101,'A-3'!H149,'A-3'!H197))</f>
        <v>-</v>
      </c>
      <c r="J101" s="142" t="s">
        <v>23</v>
      </c>
      <c r="K101" s="142" t="s">
        <v>23</v>
      </c>
      <c r="L101" s="142">
        <f>IF(AND('A-3'!I101="-",'A-3'!I149="-",'A-3'!I197="-"),"-",SUM('A-3'!I101,'A-3'!I149,'A-3'!I197))</f>
        <v>353540</v>
      </c>
      <c r="M101" s="7"/>
      <c r="N101" s="142" t="s">
        <v>23</v>
      </c>
      <c r="O101" s="142">
        <f>SUM('A-3'!K101,'A-3'!K149,'A-3'!K197)</f>
        <v>0</v>
      </c>
      <c r="P101" s="142">
        <f>SUM('A-3'!L101,'A-3'!L149,'A-3'!L197)</f>
        <v>62976</v>
      </c>
      <c r="Q101" s="142">
        <f>SUM('A-3'!M101,'A-3'!M149,'A-3'!M197)</f>
        <v>162868</v>
      </c>
      <c r="R101" s="142">
        <f>SUM('A-3'!N101,'A-3'!N149,'A-3'!N197)</f>
        <v>47074</v>
      </c>
      <c r="S101" s="142">
        <f>SUM('A-3'!O101,'A-3'!O149,'A-3'!O197)</f>
        <v>9830</v>
      </c>
      <c r="T101" s="142">
        <f>SUM('A-3'!P101,'A-3'!P149,'A-3'!P197)</f>
        <v>1141</v>
      </c>
      <c r="U101" s="142" t="s">
        <v>23</v>
      </c>
      <c r="V101" s="142" t="s">
        <v>23</v>
      </c>
      <c r="W101" s="142" t="s">
        <v>23</v>
      </c>
      <c r="X101" s="142">
        <f t="shared" ref="X101:X117" si="2">SUM(N101:W101)</f>
        <v>283889</v>
      </c>
    </row>
    <row r="102" spans="1:24" ht="11.25" customHeight="1">
      <c r="A102" s="99">
        <v>1977</v>
      </c>
      <c r="B102" s="142" t="s">
        <v>23</v>
      </c>
      <c r="C102" s="142">
        <f>IF(AND('A-3'!B102="-",'A-3'!B150="-",'A-3'!B198="-"),"-",SUM('A-3'!B102,'A-3'!B150,'A-3'!B198))</f>
        <v>59973</v>
      </c>
      <c r="D102" s="142">
        <f>IF(AND('A-3'!C102="-",'A-3'!C150="-",'A-3'!C198="-"),"-",SUM('A-3'!C102,'A-3'!C150,'A-3'!C198))</f>
        <v>100695</v>
      </c>
      <c r="E102" s="142">
        <f>IF(AND('A-3'!D102="-",'A-3'!D150="-",'A-3'!D198="-"),"-",SUM('A-3'!D102,'A-3'!D150,'A-3'!D198))</f>
        <v>63249</v>
      </c>
      <c r="F102" s="142">
        <f>IF(AND('A-3'!E102="-",'A-3'!E150="-",'A-3'!E198="-"),"-",SUM('A-3'!E102,'A-3'!E150,'A-3'!E198))</f>
        <v>90788</v>
      </c>
      <c r="G102" s="142">
        <f>IF(AND('A-3'!F102="-",'A-3'!F150="-",'A-3'!F198="-"),"-",SUM('A-3'!F102,'A-3'!F150,'A-3'!F198))</f>
        <v>62062</v>
      </c>
      <c r="H102" s="142">
        <f>IF(AND('A-3'!G102="-",'A-3'!G150="-",'A-3'!G198="-"),"-",SUM('A-3'!G102,'A-3'!G150,'A-3'!G198))</f>
        <v>25958</v>
      </c>
      <c r="I102" s="142" t="str">
        <f>IF(AND('A-3'!H102="-",'A-3'!H150="-",'A-3'!H198="-"),"-",SUM('A-3'!H102,'A-3'!H150,'A-3'!H198))</f>
        <v>-</v>
      </c>
      <c r="J102" s="142" t="s">
        <v>23</v>
      </c>
      <c r="K102" s="142" t="s">
        <v>23</v>
      </c>
      <c r="L102" s="142">
        <f>IF(AND('A-3'!I102="-",'A-3'!I150="-",'A-3'!I198="-"),"-",SUM('A-3'!I102,'A-3'!I150,'A-3'!I198))</f>
        <v>402725</v>
      </c>
      <c r="M102" s="7"/>
      <c r="N102" s="142" t="s">
        <v>23</v>
      </c>
      <c r="O102" s="142">
        <f>SUM('A-3'!K102,'A-3'!K150,'A-3'!K198)</f>
        <v>0</v>
      </c>
      <c r="P102" s="142">
        <f>SUM('A-3'!L102,'A-3'!L150,'A-3'!L198)</f>
        <v>1032</v>
      </c>
      <c r="Q102" s="142">
        <f>SUM('A-3'!M102,'A-3'!M150,'A-3'!M198)</f>
        <v>3949</v>
      </c>
      <c r="R102" s="142">
        <f>SUM('A-3'!N102,'A-3'!N150,'A-3'!N198)</f>
        <v>1246</v>
      </c>
      <c r="S102" s="142">
        <f>SUM('A-3'!O102,'A-3'!O150,'A-3'!O198)</f>
        <v>881</v>
      </c>
      <c r="T102" s="142">
        <f>SUM('A-3'!P102,'A-3'!P150,'A-3'!P198)</f>
        <v>59</v>
      </c>
      <c r="U102" s="142">
        <f>SUM('A-3'!Q102,'A-3'!Q150,'A-3'!Q198)</f>
        <v>0</v>
      </c>
      <c r="V102" s="142" t="s">
        <v>23</v>
      </c>
      <c r="W102" s="142" t="s">
        <v>23</v>
      </c>
      <c r="X102" s="142">
        <f t="shared" si="2"/>
        <v>7167</v>
      </c>
    </row>
    <row r="103" spans="1:24" ht="11.25" customHeight="1">
      <c r="A103" s="99">
        <v>1978</v>
      </c>
      <c r="B103" s="142" t="s">
        <v>23</v>
      </c>
      <c r="C103" s="142">
        <f>IF(AND('A-3'!B103="-",'A-3'!B151="-",'A-3'!B199="-"),"-",SUM('A-3'!B103,'A-3'!B151,'A-3'!B199))</f>
        <v>22735</v>
      </c>
      <c r="D103" s="142">
        <f>IF(AND('A-3'!C103="-",'A-3'!C151="-",'A-3'!C199="-"),"-",SUM('A-3'!C103,'A-3'!C151,'A-3'!C199))</f>
        <v>118026</v>
      </c>
      <c r="E103" s="142">
        <f>IF(AND('A-3'!D103="-",'A-3'!D151="-",'A-3'!D199="-"),"-",SUM('A-3'!D103,'A-3'!D151,'A-3'!D199))</f>
        <v>142906</v>
      </c>
      <c r="F103" s="142">
        <f>IF(AND('A-3'!E103="-",'A-3'!E151="-",'A-3'!E199="-"),"-",SUM('A-3'!E103,'A-3'!E151,'A-3'!E199))</f>
        <v>89046</v>
      </c>
      <c r="G103" s="142">
        <f>IF(AND('A-3'!F103="-",'A-3'!F151="-",'A-3'!F199="-"),"-",SUM('A-3'!F103,'A-3'!F151,'A-3'!F199))</f>
        <v>31012</v>
      </c>
      <c r="H103" s="142">
        <f>IF(AND('A-3'!G103="-",'A-3'!G151="-",'A-3'!G199="-"),"-",SUM('A-3'!G103,'A-3'!G151,'A-3'!G199))</f>
        <v>19129</v>
      </c>
      <c r="I103" s="142" t="str">
        <f>IF(AND('A-3'!H103="-",'A-3'!H151="-",'A-3'!H199="-"),"-",SUM('A-3'!H103,'A-3'!H151,'A-3'!H199))</f>
        <v>-</v>
      </c>
      <c r="J103" s="142" t="s">
        <v>23</v>
      </c>
      <c r="K103" s="142" t="s">
        <v>23</v>
      </c>
      <c r="L103" s="142">
        <f>IF(AND('A-3'!I103="-",'A-3'!I151="-",'A-3'!I199="-"),"-",SUM('A-3'!I103,'A-3'!I151,'A-3'!I199))</f>
        <v>422854</v>
      </c>
      <c r="M103" s="7"/>
      <c r="N103" s="142" t="s">
        <v>23</v>
      </c>
      <c r="O103" s="142">
        <f>SUM('A-3'!K103,'A-3'!K151,'A-3'!K199)</f>
        <v>51</v>
      </c>
      <c r="P103" s="142">
        <f>SUM('A-3'!L103,'A-3'!L151,'A-3'!L199)</f>
        <v>4015</v>
      </c>
      <c r="Q103" s="142">
        <f>SUM('A-3'!M103,'A-3'!M151,'A-3'!M199)</f>
        <v>37739</v>
      </c>
      <c r="R103" s="142">
        <f>SUM('A-3'!N103,'A-3'!N151,'A-3'!N199)</f>
        <v>15302</v>
      </c>
      <c r="S103" s="142">
        <f>SUM('A-3'!O103,'A-3'!O151,'A-3'!O199)</f>
        <v>1681</v>
      </c>
      <c r="T103" s="142">
        <f>SUM('A-3'!P103,'A-3'!P151,'A-3'!P199)</f>
        <v>370</v>
      </c>
      <c r="U103" s="142">
        <f>SUM('A-3'!Q103,'A-3'!Q151,'A-3'!Q199)</f>
        <v>0</v>
      </c>
      <c r="V103" s="142" t="s">
        <v>23</v>
      </c>
      <c r="W103" s="142" t="s">
        <v>23</v>
      </c>
      <c r="X103" s="142">
        <f t="shared" si="2"/>
        <v>59158</v>
      </c>
    </row>
    <row r="104" spans="1:24" ht="11.25" customHeight="1">
      <c r="A104" s="99">
        <v>1979</v>
      </c>
      <c r="B104" s="142" t="s">
        <v>23</v>
      </c>
      <c r="C104" s="142">
        <f>IF(AND('A-3'!B104="-",'A-3'!B152="-",'A-3'!B200="-"),"-",SUM('A-3'!B104,'A-3'!B152,'A-3'!B200))</f>
        <v>38</v>
      </c>
      <c r="D104" s="142">
        <f>IF(AND('A-3'!C104="-",'A-3'!C152="-",'A-3'!C200="-"),"-",SUM('A-3'!C104,'A-3'!C152,'A-3'!C200))</f>
        <v>107286</v>
      </c>
      <c r="E104" s="142">
        <f>IF(AND('A-3'!D104="-",'A-3'!D152="-",'A-3'!D200="-"),"-",SUM('A-3'!D104,'A-3'!D152,'A-3'!D200))</f>
        <v>61047</v>
      </c>
      <c r="F104" s="142">
        <f>IF(AND('A-3'!E104="-",'A-3'!E152="-",'A-3'!E200="-"),"-",SUM('A-3'!E104,'A-3'!E152,'A-3'!E200))</f>
        <v>149849</v>
      </c>
      <c r="G104" s="142">
        <f>IF(AND('A-3'!F104="-",'A-3'!F152="-",'A-3'!F200="-"),"-",SUM('A-3'!F104,'A-3'!F152,'A-3'!F200))</f>
        <v>77455</v>
      </c>
      <c r="H104" s="142">
        <f>IF(AND('A-3'!G104="-",'A-3'!G152="-",'A-3'!G200="-"),"-",SUM('A-3'!G104,'A-3'!G152,'A-3'!G200))</f>
        <v>40939</v>
      </c>
      <c r="I104" s="142" t="str">
        <f>IF(AND('A-3'!H104="-",'A-3'!H152="-",'A-3'!H200="-"),"-",SUM('A-3'!H104,'A-3'!H152,'A-3'!H200))</f>
        <v>-</v>
      </c>
      <c r="J104" s="142" t="s">
        <v>23</v>
      </c>
      <c r="K104" s="142" t="s">
        <v>23</v>
      </c>
      <c r="L104" s="142">
        <f>IF(AND('A-3'!I104="-",'A-3'!I152="-",'A-3'!I200="-"),"-",SUM('A-3'!I104,'A-3'!I152,'A-3'!I200))</f>
        <v>436614</v>
      </c>
      <c r="M104" s="7"/>
      <c r="N104" s="142" t="s">
        <v>23</v>
      </c>
      <c r="O104" s="142">
        <f>SUM('A-3'!K104,'A-3'!K152,'A-3'!K200)</f>
        <v>12</v>
      </c>
      <c r="P104" s="142">
        <f>SUM('A-3'!L104,'A-3'!L152,'A-3'!L200)</f>
        <v>1503</v>
      </c>
      <c r="Q104" s="142">
        <f>SUM('A-3'!M104,'A-3'!M152,'A-3'!M200)</f>
        <v>8013</v>
      </c>
      <c r="R104" s="142">
        <f>SUM('A-3'!N104,'A-3'!N152,'A-3'!N200)</f>
        <v>25865</v>
      </c>
      <c r="S104" s="142">
        <f>SUM('A-3'!O104,'A-3'!O152,'A-3'!O200)</f>
        <v>6432</v>
      </c>
      <c r="T104" s="142">
        <f>SUM('A-3'!P104,'A-3'!P152,'A-3'!P200)</f>
        <v>411</v>
      </c>
      <c r="U104" s="142">
        <f>SUM('A-3'!Q104,'A-3'!Q152,'A-3'!Q200)</f>
        <v>0</v>
      </c>
      <c r="V104" s="142" t="s">
        <v>23</v>
      </c>
      <c r="W104" s="142" t="s">
        <v>23</v>
      </c>
      <c r="X104" s="142">
        <f t="shared" si="2"/>
        <v>42236</v>
      </c>
    </row>
    <row r="105" spans="1:24" ht="11.25" customHeight="1">
      <c r="A105" s="99">
        <v>1980</v>
      </c>
      <c r="B105" s="142" t="s">
        <v>23</v>
      </c>
      <c r="C105" s="142" t="str">
        <f>IF(AND('A-3'!B105="-",'A-3'!B153="-",'A-3'!B201="-"),"-",SUM('A-3'!B105,'A-3'!B153,'A-3'!B201))</f>
        <v>-</v>
      </c>
      <c r="D105" s="142">
        <f>IF(AND('A-3'!C105="-",'A-3'!C153="-",'A-3'!C201="-"),"-",SUM('A-3'!C105,'A-3'!C153,'A-3'!C201))</f>
        <v>127872</v>
      </c>
      <c r="E105" s="142" t="str">
        <f>IF(AND('A-3'!D105="-",'A-3'!D153="-",'A-3'!D201="-"),"-",SUM('A-3'!D105,'A-3'!D153,'A-3'!D201))</f>
        <v>-</v>
      </c>
      <c r="F105" s="142">
        <f>IF(AND('A-3'!E105="-",'A-3'!E153="-",'A-3'!E201="-"),"-",SUM('A-3'!E105,'A-3'!E153,'A-3'!E201))</f>
        <v>232273</v>
      </c>
      <c r="G105" s="142">
        <f>IF(AND('A-3'!F105="-",'A-3'!F153="-",'A-3'!F201="-"),"-",SUM('A-3'!F105,'A-3'!F153,'A-3'!F201))</f>
        <v>38840</v>
      </c>
      <c r="H105" s="142">
        <f>IF(AND('A-3'!G105="-",'A-3'!G153="-",'A-3'!G201="-"),"-",SUM('A-3'!G105,'A-3'!G153,'A-3'!G201))</f>
        <v>25760</v>
      </c>
      <c r="I105" s="142" t="str">
        <f>IF(AND('A-3'!H105="-",'A-3'!H153="-",'A-3'!H201="-"),"-",SUM('A-3'!H105,'A-3'!H153,'A-3'!H201))</f>
        <v>-</v>
      </c>
      <c r="J105" s="142" t="s">
        <v>23</v>
      </c>
      <c r="K105" s="142" t="s">
        <v>23</v>
      </c>
      <c r="L105" s="142">
        <f>IF(AND('A-3'!I105="-",'A-3'!I153="-",'A-3'!I201="-"),"-",SUM('A-3'!I105,'A-3'!I153,'A-3'!I201))</f>
        <v>424745</v>
      </c>
      <c r="M105" s="7"/>
      <c r="N105" s="142" t="s">
        <v>23</v>
      </c>
      <c r="O105" s="142">
        <f>SUM('A-3'!K105,'A-3'!K153,'A-3'!K201)</f>
        <v>0</v>
      </c>
      <c r="P105" s="142">
        <f>SUM('A-3'!L105,'A-3'!L153,'A-3'!L201)</f>
        <v>413</v>
      </c>
      <c r="Q105" s="142">
        <f>SUM('A-3'!M105,'A-3'!M153,'A-3'!M201)</f>
        <v>0</v>
      </c>
      <c r="R105" s="142">
        <f>SUM('A-3'!N105,'A-3'!N153,'A-3'!N201)</f>
        <v>9835</v>
      </c>
      <c r="S105" s="142">
        <f>SUM('A-3'!O105,'A-3'!O153,'A-3'!O201)</f>
        <v>2709</v>
      </c>
      <c r="T105" s="142">
        <f>SUM('A-3'!P105,'A-3'!P153,'A-3'!P201)</f>
        <v>718</v>
      </c>
      <c r="U105" s="142">
        <f>SUM('A-3'!Q105,'A-3'!Q153,'A-3'!Q201)</f>
        <v>0</v>
      </c>
      <c r="V105" s="142" t="s">
        <v>23</v>
      </c>
      <c r="W105" s="142" t="s">
        <v>23</v>
      </c>
      <c r="X105" s="142">
        <f t="shared" si="2"/>
        <v>13675</v>
      </c>
    </row>
    <row r="106" spans="1:24" ht="11.25" customHeight="1">
      <c r="A106" s="99">
        <v>1981</v>
      </c>
      <c r="B106" s="142" t="s">
        <v>23</v>
      </c>
      <c r="C106" s="142" t="str">
        <f>IF(AND('A-3'!B106="-",'A-3'!B154="-",'A-3'!B202="-"),"-",SUM('A-3'!B106,'A-3'!B154,'A-3'!B202))</f>
        <v>-</v>
      </c>
      <c r="D106" s="142">
        <f>IF(AND('A-3'!C106="-",'A-3'!C154="-",'A-3'!C202="-"),"-",SUM('A-3'!C106,'A-3'!C154,'A-3'!C202))</f>
        <v>125875</v>
      </c>
      <c r="E106" s="142">
        <f>IF(AND('A-3'!D106="-",'A-3'!D154="-",'A-3'!D202="-"),"-",SUM('A-3'!D106,'A-3'!D154,'A-3'!D202))</f>
        <v>52237</v>
      </c>
      <c r="F106" s="142">
        <f>IF(AND('A-3'!E106="-",'A-3'!E154="-",'A-3'!E202="-"),"-",SUM('A-3'!E106,'A-3'!E154,'A-3'!E202))</f>
        <v>157779</v>
      </c>
      <c r="G106" s="142">
        <f>IF(AND('A-3'!F106="-",'A-3'!F154="-",'A-3'!F202="-"),"-",SUM('A-3'!F106,'A-3'!F154,'A-3'!F202))</f>
        <v>51646</v>
      </c>
      <c r="H106" s="142">
        <f>IF(AND('A-3'!G106="-",'A-3'!G154="-",'A-3'!G202="-"),"-",SUM('A-3'!G106,'A-3'!G154,'A-3'!G202))</f>
        <v>18992</v>
      </c>
      <c r="I106" s="142" t="str">
        <f>IF(AND('A-3'!H106="-",'A-3'!H154="-",'A-3'!H202="-"),"-",SUM('A-3'!H106,'A-3'!H154,'A-3'!H202))</f>
        <v>-</v>
      </c>
      <c r="J106" s="142" t="s">
        <v>23</v>
      </c>
      <c r="K106" s="142" t="s">
        <v>23</v>
      </c>
      <c r="L106" s="142">
        <f>IF(AND('A-3'!I106="-",'A-3'!I154="-",'A-3'!I202="-"),"-",SUM('A-3'!I106,'A-3'!I154,'A-3'!I202))</f>
        <v>406529</v>
      </c>
      <c r="M106" s="7"/>
      <c r="N106" s="142" t="s">
        <v>23</v>
      </c>
      <c r="O106" s="142">
        <f>SUM('A-3'!K106,'A-3'!K154,'A-3'!K202)</f>
        <v>0</v>
      </c>
      <c r="P106" s="142">
        <f>SUM('A-3'!L106,'A-3'!L154,'A-3'!L202)</f>
        <v>875</v>
      </c>
      <c r="Q106" s="142">
        <f>SUM('A-3'!M106,'A-3'!M154,'A-3'!M202)</f>
        <v>2546</v>
      </c>
      <c r="R106" s="142">
        <f>SUM('A-3'!N106,'A-3'!N154,'A-3'!N202)</f>
        <v>6491</v>
      </c>
      <c r="S106" s="142">
        <f>SUM('A-3'!O106,'A-3'!O154,'A-3'!O202)</f>
        <v>2432</v>
      </c>
      <c r="T106" s="142">
        <f>SUM('A-3'!P106,'A-3'!P154,'A-3'!P202)</f>
        <v>285</v>
      </c>
      <c r="U106" s="142">
        <f>SUM('A-3'!Q106,'A-3'!Q154,'A-3'!Q202)</f>
        <v>0</v>
      </c>
      <c r="V106" s="142" t="s">
        <v>23</v>
      </c>
      <c r="W106" s="142" t="s">
        <v>23</v>
      </c>
      <c r="X106" s="142">
        <f t="shared" si="2"/>
        <v>12629</v>
      </c>
    </row>
    <row r="107" spans="1:24" ht="11.25" customHeight="1">
      <c r="A107" s="99">
        <v>1982</v>
      </c>
      <c r="B107" s="142" t="s">
        <v>23</v>
      </c>
      <c r="C107" s="142">
        <f>IF(AND('A-3'!B107="-",'A-3'!B155="-",'A-3'!B203="-"),"-",SUM('A-3'!B107,'A-3'!B155,'A-3'!B203))</f>
        <v>59844</v>
      </c>
      <c r="D107" s="142">
        <f>IF(AND('A-3'!C107="-",'A-3'!C155="-",'A-3'!C203="-"),"-",SUM('A-3'!C107,'A-3'!C155,'A-3'!C203))</f>
        <v>151906</v>
      </c>
      <c r="E107" s="142">
        <f>IF(AND('A-3'!D107="-",'A-3'!D155="-",'A-3'!D203="-"),"-",SUM('A-3'!D107,'A-3'!D155,'A-3'!D203))</f>
        <v>66745</v>
      </c>
      <c r="F107" s="142">
        <f>IF(AND('A-3'!E107="-",'A-3'!E155="-",'A-3'!E203="-"),"-",SUM('A-3'!E107,'A-3'!E155,'A-3'!E203))</f>
        <v>204259</v>
      </c>
      <c r="G107" s="142">
        <f>IF(AND('A-3'!F107="-",'A-3'!F155="-",'A-3'!F203="-"),"-",SUM('A-3'!F107,'A-3'!F155,'A-3'!F203))</f>
        <v>90377</v>
      </c>
      <c r="H107" s="142">
        <f>IF(AND('A-3'!G107="-",'A-3'!G155="-",'A-3'!G203="-"),"-",SUM('A-3'!G107,'A-3'!G155,'A-3'!G203))</f>
        <v>23058</v>
      </c>
      <c r="I107" s="142" t="str">
        <f>IF(AND('A-3'!H107="-",'A-3'!H155="-",'A-3'!H203="-"),"-",SUM('A-3'!H107,'A-3'!H155,'A-3'!H203))</f>
        <v>-</v>
      </c>
      <c r="J107" s="142" t="s">
        <v>23</v>
      </c>
      <c r="K107" s="142" t="s">
        <v>23</v>
      </c>
      <c r="L107" s="142">
        <f>IF(AND('A-3'!I107="-",'A-3'!I155="-",'A-3'!I203="-"),"-",SUM('A-3'!I107,'A-3'!I155,'A-3'!I203))</f>
        <v>596189</v>
      </c>
      <c r="M107" s="7"/>
      <c r="N107" s="142" t="s">
        <v>23</v>
      </c>
      <c r="O107" s="142">
        <f>SUM('A-3'!K107,'A-3'!K155,'A-3'!K203)</f>
        <v>115</v>
      </c>
      <c r="P107" s="142">
        <f>SUM('A-3'!L107,'A-3'!L155,'A-3'!L203)</f>
        <v>1260</v>
      </c>
      <c r="Q107" s="142">
        <f>SUM('A-3'!M107,'A-3'!M155,'A-3'!M203)</f>
        <v>4780</v>
      </c>
      <c r="R107" s="142">
        <f>SUM('A-3'!N107,'A-3'!N155,'A-3'!N203)</f>
        <v>26269</v>
      </c>
      <c r="S107" s="142">
        <f>SUM('A-3'!O107,'A-3'!O155,'A-3'!O203)</f>
        <v>3837</v>
      </c>
      <c r="T107" s="142">
        <f>SUM('A-3'!P107,'A-3'!P155,'A-3'!P203)</f>
        <v>562</v>
      </c>
      <c r="U107" s="142">
        <f>SUM('A-3'!Q107,'A-3'!Q155,'A-3'!Q203)</f>
        <v>0</v>
      </c>
      <c r="V107" s="142" t="s">
        <v>23</v>
      </c>
      <c r="W107" s="142" t="s">
        <v>23</v>
      </c>
      <c r="X107" s="142">
        <f t="shared" si="2"/>
        <v>36823</v>
      </c>
    </row>
    <row r="108" spans="1:24" ht="11.25" customHeight="1">
      <c r="A108" s="99">
        <v>1983</v>
      </c>
      <c r="B108" s="142" t="s">
        <v>23</v>
      </c>
      <c r="C108" s="142">
        <f>IF(AND('A-3'!B108="-",'A-3'!B156="-",'A-3'!B204="-"),"-",SUM('A-3'!B108,'A-3'!B156,'A-3'!B204))</f>
        <v>2187</v>
      </c>
      <c r="D108" s="142">
        <f>IF(AND('A-3'!C108="-",'A-3'!C156="-",'A-3'!C204="-"),"-",SUM('A-3'!C108,'A-3'!C156,'A-3'!C204))</f>
        <v>81541</v>
      </c>
      <c r="E108" s="142">
        <f>IF(AND('A-3'!D108="-",'A-3'!D156="-",'A-3'!D204="-"),"-",SUM('A-3'!D108,'A-3'!D156,'A-3'!D204))</f>
        <v>51786</v>
      </c>
      <c r="F108" s="142">
        <f>IF(AND('A-3'!E108="-",'A-3'!E156="-",'A-3'!E204="-"),"-",SUM('A-3'!E108,'A-3'!E156,'A-3'!E204))</f>
        <v>73680</v>
      </c>
      <c r="G108" s="142">
        <f>IF(AND('A-3'!F108="-",'A-3'!F156="-",'A-3'!F204="-"),"-",SUM('A-3'!F108,'A-3'!F156,'A-3'!F204))</f>
        <v>21114</v>
      </c>
      <c r="H108" s="142">
        <f>IF(AND('A-3'!G108="-",'A-3'!G156="-",'A-3'!G204="-"),"-",SUM('A-3'!G108,'A-3'!G156,'A-3'!G204))</f>
        <v>3812</v>
      </c>
      <c r="I108" s="142" t="str">
        <f>IF(AND('A-3'!H108="-",'A-3'!H156="-",'A-3'!H204="-"),"-",SUM('A-3'!H108,'A-3'!H156,'A-3'!H204))</f>
        <v>-</v>
      </c>
      <c r="J108" s="142" t="s">
        <v>23</v>
      </c>
      <c r="K108" s="142" t="s">
        <v>23</v>
      </c>
      <c r="L108" s="142">
        <f>IF(AND('A-3'!I108="-",'A-3'!I156="-",'A-3'!I204="-"),"-",SUM('A-3'!I108,'A-3'!I156,'A-3'!I204))</f>
        <v>234120</v>
      </c>
      <c r="M108" s="7"/>
      <c r="N108" s="142" t="s">
        <v>23</v>
      </c>
      <c r="O108" s="142">
        <f>SUM('A-3'!K108,'A-3'!K156,'A-3'!K204)</f>
        <v>68</v>
      </c>
      <c r="P108" s="142">
        <f>SUM('A-3'!L108,'A-3'!L156,'A-3'!L204)</f>
        <v>364</v>
      </c>
      <c r="Q108" s="142">
        <f>SUM('A-3'!M108,'A-3'!M156,'A-3'!M204)</f>
        <v>7310</v>
      </c>
      <c r="R108" s="142">
        <f>SUM('A-3'!N108,'A-3'!N156,'A-3'!N204)</f>
        <v>6701</v>
      </c>
      <c r="S108" s="142">
        <f>SUM('A-3'!O108,'A-3'!O156,'A-3'!O204)</f>
        <v>2689</v>
      </c>
      <c r="T108" s="142">
        <f>SUM('A-3'!P108,'A-3'!P156,'A-3'!P204)</f>
        <v>136</v>
      </c>
      <c r="U108" s="142">
        <f>SUM('A-3'!Q108,'A-3'!Q156,'A-3'!Q204)</f>
        <v>0</v>
      </c>
      <c r="V108" s="142" t="s">
        <v>23</v>
      </c>
      <c r="W108" s="142" t="s">
        <v>23</v>
      </c>
      <c r="X108" s="142">
        <f t="shared" si="2"/>
        <v>17268</v>
      </c>
    </row>
    <row r="109" spans="1:24" ht="11.25" customHeight="1">
      <c r="A109" s="99">
        <v>1984</v>
      </c>
      <c r="B109" s="142" t="s">
        <v>23</v>
      </c>
      <c r="C109" s="142" t="str">
        <f>IF(AND('A-3'!B109="-",'A-3'!B157="-",'A-3'!B205="-"),"-",SUM('A-3'!B109,'A-3'!B157,'A-3'!B205))</f>
        <v>-</v>
      </c>
      <c r="D109" s="142">
        <f>IF(AND('A-3'!C109="-",'A-3'!C157="-",'A-3'!C205="-"),"-",SUM('A-3'!C109,'A-3'!C157,'A-3'!C205))</f>
        <v>23779</v>
      </c>
      <c r="E109" s="142">
        <f>IF(AND('A-3'!D109="-",'A-3'!D157="-",'A-3'!D205="-"),"-",SUM('A-3'!D109,'A-3'!D157,'A-3'!D205))</f>
        <v>56452</v>
      </c>
      <c r="F109" s="142">
        <f>IF(AND('A-3'!E109="-",'A-3'!E157="-",'A-3'!E205="-"),"-",SUM('A-3'!E109,'A-3'!E157,'A-3'!E205))</f>
        <v>102685</v>
      </c>
      <c r="G109" s="142">
        <f>IF(AND('A-3'!F109="-",'A-3'!F157="-",'A-3'!F205="-"),"-",SUM('A-3'!F109,'A-3'!F157,'A-3'!F205))</f>
        <v>66451</v>
      </c>
      <c r="H109" s="142">
        <f>IF(AND('A-3'!G109="-",'A-3'!G157="-",'A-3'!G205="-"),"-",SUM('A-3'!G109,'A-3'!G157,'A-3'!G205))</f>
        <v>22044</v>
      </c>
      <c r="I109" s="142" t="str">
        <f>IF(AND('A-3'!H109="-",'A-3'!H157="-",'A-3'!H205="-"),"-",SUM('A-3'!H109,'A-3'!H157,'A-3'!H205))</f>
        <v>-</v>
      </c>
      <c r="J109" s="142" t="s">
        <v>23</v>
      </c>
      <c r="K109" s="142" t="s">
        <v>23</v>
      </c>
      <c r="L109" s="142">
        <f>IF(AND('A-3'!I109="-",'A-3'!I157="-",'A-3'!I205="-"),"-",SUM('A-3'!I109,'A-3'!I157,'A-3'!I205))</f>
        <v>271411</v>
      </c>
      <c r="M109" s="7"/>
      <c r="N109" s="142" t="s">
        <v>23</v>
      </c>
      <c r="O109" s="142">
        <f>SUM('A-3'!K109,'A-3'!K157,'A-3'!K205)</f>
        <v>0</v>
      </c>
      <c r="P109" s="142">
        <f>SUM('A-3'!L109,'A-3'!L157,'A-3'!L205)</f>
        <v>0</v>
      </c>
      <c r="Q109" s="142">
        <f>SUM('A-3'!M109,'A-3'!M157,'A-3'!M205)</f>
        <v>11232</v>
      </c>
      <c r="R109" s="142">
        <f>SUM('A-3'!N109,'A-3'!N157,'A-3'!N205)</f>
        <v>28472</v>
      </c>
      <c r="S109" s="142">
        <f>SUM('A-3'!O109,'A-3'!O157,'A-3'!O205)</f>
        <v>849</v>
      </c>
      <c r="T109" s="142">
        <f>SUM('A-3'!P109,'A-3'!P157,'A-3'!P205)</f>
        <v>333</v>
      </c>
      <c r="U109" s="142">
        <f>SUM('A-3'!Q109,'A-3'!Q157,'A-3'!Q205)</f>
        <v>0</v>
      </c>
      <c r="V109" s="142" t="s">
        <v>23</v>
      </c>
      <c r="W109" s="142" t="s">
        <v>23</v>
      </c>
      <c r="X109" s="142">
        <f t="shared" si="2"/>
        <v>40886</v>
      </c>
    </row>
    <row r="110" spans="1:24" ht="11.25" customHeight="1">
      <c r="A110" s="99">
        <v>1985</v>
      </c>
      <c r="B110" s="142" t="s">
        <v>23</v>
      </c>
      <c r="C110" s="142" t="str">
        <f>IF(AND('A-3'!B110="-",'A-3'!B158="-",'A-3'!B206="-"),"-",SUM('A-3'!B110,'A-3'!B158,'A-3'!B206))</f>
        <v>-</v>
      </c>
      <c r="D110" s="142">
        <f>IF(AND('A-3'!C110="-",'A-3'!C158="-",'A-3'!C206="-"),"-",SUM('A-3'!C110,'A-3'!C158,'A-3'!C206))</f>
        <v>92449</v>
      </c>
      <c r="E110" s="142">
        <f>IF(AND('A-3'!D110="-",'A-3'!D158="-",'A-3'!D206="-"),"-",SUM('A-3'!D110,'A-3'!D158,'A-3'!D206))</f>
        <v>88766</v>
      </c>
      <c r="F110" s="142">
        <f>IF(AND('A-3'!E110="-",'A-3'!E158="-",'A-3'!E206="-"),"-",SUM('A-3'!E110,'A-3'!E158,'A-3'!E206))</f>
        <v>106144</v>
      </c>
      <c r="G110" s="142">
        <f>IF(AND('A-3'!F110="-",'A-3'!F158="-",'A-3'!F206="-"),"-",SUM('A-3'!F110,'A-3'!F158,'A-3'!F206))</f>
        <v>59166</v>
      </c>
      <c r="H110" s="142">
        <f>IF(AND('A-3'!G110="-",'A-3'!G158="-",'A-3'!G206="-"),"-",SUM('A-3'!G110,'A-3'!G158,'A-3'!G206))</f>
        <v>19773</v>
      </c>
      <c r="I110" s="142" t="str">
        <f>IF(AND('A-3'!H110="-",'A-3'!H158="-",'A-3'!H206="-"),"-",SUM('A-3'!H110,'A-3'!H158,'A-3'!H206))</f>
        <v>-</v>
      </c>
      <c r="J110" s="142" t="s">
        <v>23</v>
      </c>
      <c r="K110" s="142" t="s">
        <v>23</v>
      </c>
      <c r="L110" s="142">
        <f>IF(AND('A-3'!I110="-",'A-3'!I158="-",'A-3'!I206="-"),"-",SUM('A-3'!I110,'A-3'!I158,'A-3'!I206))</f>
        <v>366298</v>
      </c>
      <c r="M110" s="7"/>
      <c r="N110" s="142" t="s">
        <v>23</v>
      </c>
      <c r="O110" s="142">
        <f>SUM('A-3'!K110,'A-3'!K158,'A-3'!K206)</f>
        <v>0</v>
      </c>
      <c r="P110" s="142">
        <f>SUM('A-3'!L110,'A-3'!L158,'A-3'!L206)</f>
        <v>15</v>
      </c>
      <c r="Q110" s="142">
        <f>SUM('A-3'!M110,'A-3'!M158,'A-3'!M206)</f>
        <v>2957</v>
      </c>
      <c r="R110" s="142">
        <f>SUM('A-3'!N110,'A-3'!N158,'A-3'!N206)</f>
        <v>6630</v>
      </c>
      <c r="S110" s="142">
        <f>SUM('A-3'!O110,'A-3'!O158,'A-3'!O206)</f>
        <v>1286</v>
      </c>
      <c r="T110" s="142">
        <f>SUM('A-3'!P110,'A-3'!P158,'A-3'!P206)</f>
        <v>66</v>
      </c>
      <c r="U110" s="142">
        <f>SUM('A-3'!Q110,'A-3'!Q158,'A-3'!Q206)</f>
        <v>0</v>
      </c>
      <c r="V110" s="142" t="s">
        <v>23</v>
      </c>
      <c r="W110" s="142" t="s">
        <v>23</v>
      </c>
      <c r="X110" s="142">
        <f t="shared" si="2"/>
        <v>10954</v>
      </c>
    </row>
    <row r="111" spans="1:24" ht="11.25" customHeight="1">
      <c r="A111" s="99">
        <v>1986</v>
      </c>
      <c r="B111" s="142" t="s">
        <v>23</v>
      </c>
      <c r="C111" s="142" t="str">
        <f>IF(AND('A-3'!B111="-",'A-3'!B159="-",'A-3'!B207="-"),"-",SUM('A-3'!B111,'A-3'!B159,'A-3'!B207))</f>
        <v>-</v>
      </c>
      <c r="D111" s="142">
        <f>IF(AND('A-3'!C111="-",'A-3'!C159="-",'A-3'!C207="-"),"-",SUM('A-3'!C111,'A-3'!C159,'A-3'!C207))</f>
        <v>223413</v>
      </c>
      <c r="E111" s="142">
        <f>IF(AND('A-3'!D111="-",'A-3'!D159="-",'A-3'!D207="-"),"-",SUM('A-3'!D111,'A-3'!D159,'A-3'!D207))</f>
        <v>272788.68</v>
      </c>
      <c r="F111" s="142">
        <f>IF(AND('A-3'!E111="-",'A-3'!E159="-",'A-3'!E207="-"),"-",SUM('A-3'!E111,'A-3'!E159,'A-3'!E207))</f>
        <v>207993.96000000002</v>
      </c>
      <c r="G111" s="142">
        <f>IF(AND('A-3'!F111="-",'A-3'!F159="-",'A-3'!F207="-"),"-",SUM('A-3'!F111,'A-3'!F159,'A-3'!F207))</f>
        <v>65146.740000000005</v>
      </c>
      <c r="H111" s="142">
        <f>IF(AND('A-3'!G111="-",'A-3'!G159="-",'A-3'!G207="-"),"-",SUM('A-3'!G111,'A-3'!G159,'A-3'!G207))</f>
        <v>5532</v>
      </c>
      <c r="I111" s="142" t="str">
        <f>IF(AND('A-3'!H111="-",'A-3'!H159="-",'A-3'!H207="-"),"-",SUM('A-3'!H111,'A-3'!H159,'A-3'!H207))</f>
        <v>-</v>
      </c>
      <c r="J111" s="142" t="s">
        <v>23</v>
      </c>
      <c r="K111" s="142" t="s">
        <v>23</v>
      </c>
      <c r="L111" s="142">
        <f>IF(AND('A-3'!I111="-",'A-3'!I159="-",'A-3'!I207="-"),"-",SUM('A-3'!I111,'A-3'!I159,'A-3'!I207))</f>
        <v>774874.38</v>
      </c>
      <c r="M111" s="7"/>
      <c r="N111" s="142" t="s">
        <v>23</v>
      </c>
      <c r="O111" s="142" t="s">
        <v>23</v>
      </c>
      <c r="P111" s="142" t="s">
        <v>23</v>
      </c>
      <c r="Q111" s="142">
        <f>SUM('A-3'!M111,'A-3'!M159,'A-3'!M207)</f>
        <v>9208.353226980129</v>
      </c>
      <c r="R111" s="142">
        <f>SUM('A-3'!N111,'A-3'!N159,'A-3'!N207)</f>
        <v>16108.44784896161</v>
      </c>
      <c r="S111" s="142">
        <f>SUM('A-3'!O111,'A-3'!O159,'A-3'!O207)</f>
        <v>1841.8774455271632</v>
      </c>
      <c r="T111" s="142">
        <f>SUM('A-3'!P111,'A-3'!P159,'A-3'!P207)</f>
        <v>81</v>
      </c>
      <c r="U111" s="142">
        <f>SUM('A-3'!Q111,'A-3'!Q159,'A-3'!Q207)</f>
        <v>0</v>
      </c>
      <c r="V111" s="142" t="s">
        <v>23</v>
      </c>
      <c r="W111" s="142" t="s">
        <v>23</v>
      </c>
      <c r="X111" s="142">
        <f t="shared" si="2"/>
        <v>27239.678521468901</v>
      </c>
    </row>
    <row r="112" spans="1:24" ht="11.25" customHeight="1">
      <c r="A112" s="99">
        <v>1987</v>
      </c>
      <c r="B112" s="142" t="s">
        <v>23</v>
      </c>
      <c r="C112" s="142" t="str">
        <f>IF(AND('A-3'!B112="-",'A-3'!B160="-",'A-3'!B208="-"),"-",SUM('A-3'!B112,'A-3'!B160,'A-3'!B208))</f>
        <v>-</v>
      </c>
      <c r="D112" s="142">
        <f>IF(AND('A-3'!C112="-",'A-3'!C160="-",'A-3'!C208="-"),"-",SUM('A-3'!C112,'A-3'!C160,'A-3'!C208))</f>
        <v>264142</v>
      </c>
      <c r="E112" s="142">
        <f>IF(AND('A-3'!D112="-",'A-3'!D160="-",'A-3'!D208="-"),"-",SUM('A-3'!D112,'A-3'!D160,'A-3'!D208))</f>
        <v>222190</v>
      </c>
      <c r="F112" s="142">
        <f>IF(AND('A-3'!E112="-",'A-3'!E160="-",'A-3'!E208="-"),"-",SUM('A-3'!E112,'A-3'!E160,'A-3'!E208))</f>
        <v>202194</v>
      </c>
      <c r="G112" s="142">
        <f>IF(AND('A-3'!F112="-",'A-3'!F160="-",'A-3'!F208="-"),"-",SUM('A-3'!F112,'A-3'!F160,'A-3'!F208))</f>
        <v>84142</v>
      </c>
      <c r="H112" s="142">
        <f>IF(AND('A-3'!G112="-",'A-3'!G160="-",'A-3'!G208="-"),"-",SUM('A-3'!G112,'A-3'!G160,'A-3'!G208))</f>
        <v>15394</v>
      </c>
      <c r="I112" s="142" t="str">
        <f>IF(AND('A-3'!H112="-",'A-3'!H160="-",'A-3'!H208="-"),"-",SUM('A-3'!H112,'A-3'!H160,'A-3'!H208))</f>
        <v>-</v>
      </c>
      <c r="J112" s="142" t="s">
        <v>23</v>
      </c>
      <c r="K112" s="142" t="s">
        <v>23</v>
      </c>
      <c r="L112" s="142">
        <f>IF(AND('A-3'!I112="-",'A-3'!I160="-",'A-3'!I208="-"),"-",SUM('A-3'!I112,'A-3'!I160,'A-3'!I208))</f>
        <v>788062</v>
      </c>
      <c r="M112" s="7"/>
      <c r="N112" s="142" t="s">
        <v>23</v>
      </c>
      <c r="O112" s="142" t="s">
        <v>23</v>
      </c>
      <c r="P112" s="142" t="s">
        <v>23</v>
      </c>
      <c r="Q112" s="142">
        <f>SUM('A-3'!M112,'A-3'!M160,'A-3'!M208)</f>
        <v>9853.3236726120376</v>
      </c>
      <c r="R112" s="142">
        <f>SUM('A-3'!N112,'A-3'!N160,'A-3'!N208)</f>
        <v>17115.473434253487</v>
      </c>
      <c r="S112" s="142">
        <f>SUM('A-3'!O112,'A-3'!O160,'A-3'!O208)</f>
        <v>0</v>
      </c>
      <c r="T112" s="142">
        <f>SUM('A-3'!P112,'A-3'!P160,'A-3'!P208)</f>
        <v>184.69293924466345</v>
      </c>
      <c r="U112" s="142">
        <f>SUM('A-3'!Q112,'A-3'!Q160,'A-3'!Q208)</f>
        <v>0</v>
      </c>
      <c r="V112" s="142" t="s">
        <v>23</v>
      </c>
      <c r="W112" s="142" t="s">
        <v>23</v>
      </c>
      <c r="X112" s="142">
        <f t="shared" si="2"/>
        <v>27153.490046110186</v>
      </c>
    </row>
    <row r="113" spans="1:24" ht="11.25" customHeight="1">
      <c r="A113" s="99">
        <v>1988</v>
      </c>
      <c r="B113" s="142" t="s">
        <v>23</v>
      </c>
      <c r="C113" s="142" t="str">
        <f>IF(AND('A-3'!B113="-",'A-3'!B161="-",'A-3'!B209="-"),"-",SUM('A-3'!B113,'A-3'!B161,'A-3'!B209))</f>
        <v>-</v>
      </c>
      <c r="D113" s="142">
        <f>IF(AND('A-3'!C113="-",'A-3'!C161="-",'A-3'!C209="-"),"-",SUM('A-3'!C113,'A-3'!C161,'A-3'!C209))</f>
        <v>390057</v>
      </c>
      <c r="E113" s="142">
        <f>IF(AND('A-3'!D113="-",'A-3'!D161="-",'A-3'!D209="-"),"-",SUM('A-3'!D113,'A-3'!D161,'A-3'!D209))</f>
        <v>340221</v>
      </c>
      <c r="F113" s="142">
        <f>IF(AND('A-3'!E113="-",'A-3'!E161="-",'A-3'!E209="-"),"-",SUM('A-3'!E113,'A-3'!E161,'A-3'!E209))</f>
        <v>370942</v>
      </c>
      <c r="G113" s="142">
        <f>IF(AND('A-3'!F113="-",'A-3'!F161="-",'A-3'!F209="-"),"-",SUM('A-3'!F113,'A-3'!F161,'A-3'!F209))</f>
        <v>111881</v>
      </c>
      <c r="H113" s="142">
        <f>IF(AND('A-3'!G113="-",'A-3'!G161="-",'A-3'!G209="-"),"-",SUM('A-3'!G113,'A-3'!G161,'A-3'!G209))</f>
        <v>42073</v>
      </c>
      <c r="I113" s="142" t="str">
        <f>IF(AND('A-3'!H113="-",'A-3'!H161="-",'A-3'!H209="-"),"-",SUM('A-3'!H113,'A-3'!H161,'A-3'!H209))</f>
        <v>-</v>
      </c>
      <c r="J113" s="142" t="s">
        <v>23</v>
      </c>
      <c r="K113" s="142" t="s">
        <v>23</v>
      </c>
      <c r="L113" s="142">
        <f>IF(AND('A-3'!I113="-",'A-3'!I161="-",'A-3'!I209="-"),"-",SUM('A-3'!I113,'A-3'!I161,'A-3'!I209))</f>
        <v>1255174</v>
      </c>
      <c r="M113" s="7"/>
      <c r="N113" s="142" t="s">
        <v>23</v>
      </c>
      <c r="O113" s="142" t="s">
        <v>23</v>
      </c>
      <c r="P113" s="142" t="s">
        <v>23</v>
      </c>
      <c r="Q113" s="142">
        <f>SUM('A-3'!M113,'A-3'!M161,'A-3'!M209)</f>
        <v>12083.594851508531</v>
      </c>
      <c r="R113" s="142">
        <f>SUM('A-3'!N113,'A-3'!N161,'A-3'!N209)</f>
        <v>23612</v>
      </c>
      <c r="S113" s="142">
        <f>SUM('A-3'!O113,'A-3'!O161,'A-3'!O209)</f>
        <v>2294</v>
      </c>
      <c r="T113" s="142">
        <f>SUM('A-3'!P113,'A-3'!P161,'A-3'!P209)</f>
        <v>89.785503044360695</v>
      </c>
      <c r="U113" s="142">
        <f>SUM('A-3'!Q113,'A-3'!Q161,'A-3'!Q209)</f>
        <v>0</v>
      </c>
      <c r="V113" s="142" t="s">
        <v>23</v>
      </c>
      <c r="W113" s="142" t="s">
        <v>23</v>
      </c>
      <c r="X113" s="142">
        <f t="shared" si="2"/>
        <v>38079.380354552894</v>
      </c>
    </row>
    <row r="114" spans="1:24" ht="11.25" customHeight="1">
      <c r="A114" s="99">
        <v>1989</v>
      </c>
      <c r="B114" s="142" t="s">
        <v>23</v>
      </c>
      <c r="C114" s="142" t="str">
        <f>IF(AND('A-3'!B114="-",'A-3'!B162="-",'A-3'!B210="-"),"-",SUM('A-3'!B114,'A-3'!B162,'A-3'!B210))</f>
        <v>-</v>
      </c>
      <c r="D114" s="142">
        <f>IF(AND('A-3'!C114="-",'A-3'!C162="-",'A-3'!C210="-"),"-",SUM('A-3'!C114,'A-3'!C162,'A-3'!C210))</f>
        <v>175760</v>
      </c>
      <c r="E114" s="142">
        <f>IF(AND('A-3'!D114="-",'A-3'!D162="-",'A-3'!D210="-"),"-",SUM('A-3'!D114,'A-3'!D162,'A-3'!D210))</f>
        <v>123305</v>
      </c>
      <c r="F114" s="142">
        <f>IF(AND('A-3'!E114="-",'A-3'!E162="-",'A-3'!E210="-"),"-",SUM('A-3'!E114,'A-3'!E162,'A-3'!E210))</f>
        <v>112466</v>
      </c>
      <c r="G114" s="142">
        <f>IF(AND('A-3'!F114="-",'A-3'!F162="-",'A-3'!F210="-"),"-",SUM('A-3'!F114,'A-3'!F162,'A-3'!F210))</f>
        <v>77855</v>
      </c>
      <c r="H114" s="142">
        <f>IF(AND('A-3'!G114="-",'A-3'!G162="-",'A-3'!G210="-"),"-",SUM('A-3'!G114,'A-3'!G162,'A-3'!G210))</f>
        <v>18615</v>
      </c>
      <c r="I114" s="142" t="str">
        <f>IF(AND('A-3'!H114="-",'A-3'!H162="-",'A-3'!H210="-"),"-",SUM('A-3'!H114,'A-3'!H162,'A-3'!H210))</f>
        <v>-</v>
      </c>
      <c r="J114" s="142" t="s">
        <v>23</v>
      </c>
      <c r="K114" s="142" t="s">
        <v>23</v>
      </c>
      <c r="L114" s="142">
        <f>IF(AND('A-3'!I114="-",'A-3'!I162="-",'A-3'!I210="-"),"-",SUM('A-3'!I114,'A-3'!I162,'A-3'!I210))</f>
        <v>508001</v>
      </c>
      <c r="M114" s="7"/>
      <c r="N114" s="142" t="s">
        <v>23</v>
      </c>
      <c r="O114" s="142" t="s">
        <v>23</v>
      </c>
      <c r="P114" s="142" t="s">
        <v>23</v>
      </c>
      <c r="Q114" s="142">
        <f>SUM('A-3'!M114,'A-3'!M162,'A-3'!M210)</f>
        <v>7792.3661474014916</v>
      </c>
      <c r="R114" s="142">
        <f>SUM('A-3'!N114,'A-3'!N162,'A-3'!N210)</f>
        <v>15913</v>
      </c>
      <c r="S114" s="142">
        <f>SUM('A-3'!O114,'A-3'!O162,'A-3'!O210)</f>
        <v>8583.2571381416074</v>
      </c>
      <c r="T114" s="142">
        <f>SUM('A-3'!P114,'A-3'!P162,'A-3'!P210)</f>
        <v>458</v>
      </c>
      <c r="U114" s="142" t="s">
        <v>23</v>
      </c>
      <c r="V114" s="142" t="s">
        <v>23</v>
      </c>
      <c r="W114" s="142" t="s">
        <v>23</v>
      </c>
      <c r="X114" s="142">
        <f t="shared" si="2"/>
        <v>32746.623285543101</v>
      </c>
    </row>
    <row r="115" spans="1:24" ht="11.25" customHeight="1">
      <c r="A115" s="99">
        <v>1990</v>
      </c>
      <c r="B115" s="142" t="s">
        <v>23</v>
      </c>
      <c r="C115" s="142" t="str">
        <f>IF(AND('A-3'!B115="-",'A-3'!B163="-",'A-3'!B211="-"),"-",SUM('A-3'!B115,'A-3'!B163,'A-3'!B211))</f>
        <v>-</v>
      </c>
      <c r="D115" s="142">
        <f>IF(AND('A-3'!C115="-",'A-3'!C163="-",'A-3'!C211="-"),"-",SUM('A-3'!C115,'A-3'!C163,'A-3'!C211))</f>
        <v>145197</v>
      </c>
      <c r="E115" s="142">
        <f>IF(AND('A-3'!D115="-",'A-3'!D163="-",'A-3'!D211="-"),"-",SUM('A-3'!D115,'A-3'!D163,'A-3'!D211))</f>
        <v>173971</v>
      </c>
      <c r="F115" s="142">
        <f>IF(AND('A-3'!E115="-",'A-3'!E163="-",'A-3'!E211="-"),"-",SUM('A-3'!E115,'A-3'!E163,'A-3'!E211))</f>
        <v>71743</v>
      </c>
      <c r="G115" s="142">
        <f>IF(AND('A-3'!F115="-",'A-3'!F163="-",'A-3'!F211="-"),"-",SUM('A-3'!F115,'A-3'!F163,'A-3'!F211))</f>
        <v>19649</v>
      </c>
      <c r="H115" s="142">
        <f>IF(AND('A-3'!G115="-",'A-3'!G163="-",'A-3'!G211="-"),"-",SUM('A-3'!G115,'A-3'!G163,'A-3'!G211))</f>
        <v>5212</v>
      </c>
      <c r="I115" s="142" t="str">
        <f>IF(AND('A-3'!H115="-",'A-3'!H163="-",'A-3'!H211="-"),"-",SUM('A-3'!H115,'A-3'!H163,'A-3'!H211))</f>
        <v>-</v>
      </c>
      <c r="J115" s="142" t="s">
        <v>23</v>
      </c>
      <c r="K115" s="142" t="s">
        <v>23</v>
      </c>
      <c r="L115" s="142">
        <f>IF(AND('A-3'!I115="-",'A-3'!I163="-",'A-3'!I211="-"),"-",SUM('A-3'!I115,'A-3'!I163,'A-3'!I211))</f>
        <v>415772</v>
      </c>
      <c r="M115" s="7"/>
      <c r="N115" s="142" t="s">
        <v>23</v>
      </c>
      <c r="O115" s="142" t="s">
        <v>23</v>
      </c>
      <c r="P115" s="142" t="s">
        <v>23</v>
      </c>
      <c r="Q115" s="142">
        <f>SUM('A-3'!M115,'A-3'!M163,'A-3'!M211)</f>
        <v>38588</v>
      </c>
      <c r="R115" s="142">
        <f>SUM('A-3'!N115,'A-3'!N163,'A-3'!N211)</f>
        <v>16260</v>
      </c>
      <c r="S115" s="142">
        <f>SUM('A-3'!O115,'A-3'!O163,'A-3'!O211)</f>
        <v>4418</v>
      </c>
      <c r="T115" s="142">
        <v>0.3</v>
      </c>
      <c r="U115" s="142" t="s">
        <v>23</v>
      </c>
      <c r="V115" s="142" t="s">
        <v>23</v>
      </c>
      <c r="W115" s="142" t="s">
        <v>23</v>
      </c>
      <c r="X115" s="142">
        <f t="shared" si="2"/>
        <v>59266.3</v>
      </c>
    </row>
    <row r="116" spans="1:24" ht="11.25" customHeight="1">
      <c r="A116" s="99">
        <v>1991</v>
      </c>
      <c r="B116" s="142" t="s">
        <v>23</v>
      </c>
      <c r="C116" s="142" t="str">
        <f>IF(AND('A-3'!B116="-",'A-3'!B164="-",'A-3'!B212="-"),"-",SUM('A-3'!B116,'A-3'!B164,'A-3'!B212))</f>
        <v>-</v>
      </c>
      <c r="D116" s="142">
        <f>IF(AND('A-3'!C116="-",'A-3'!C164="-",'A-3'!C212="-"),"-",SUM('A-3'!C116,'A-3'!C164,'A-3'!C212))</f>
        <v>80100</v>
      </c>
      <c r="E116" s="142">
        <f>IF(AND('A-3'!D116="-",'A-3'!D164="-",'A-3'!D212="-"),"-",SUM('A-3'!D116,'A-3'!D164,'A-3'!D212))</f>
        <v>87100</v>
      </c>
      <c r="F116" s="142">
        <f>IF(AND('A-3'!E116="-",'A-3'!E164="-",'A-3'!E212="-"),"-",SUM('A-3'!E116,'A-3'!E164,'A-3'!E212))</f>
        <v>49600</v>
      </c>
      <c r="G116" s="142">
        <f>IF(AND('A-3'!F116="-",'A-3'!F164="-",'A-3'!F212="-"),"-",SUM('A-3'!F116,'A-3'!F164,'A-3'!F212))</f>
        <v>65600</v>
      </c>
      <c r="H116" s="142">
        <f>IF(AND('A-3'!G116="-",'A-3'!G164="-",'A-3'!G212="-"),"-",SUM('A-3'!G116,'A-3'!G164,'A-3'!G212))</f>
        <v>7800</v>
      </c>
      <c r="I116" s="142" t="str">
        <f>IF(AND('A-3'!H116="-",'A-3'!H164="-",'A-3'!H212="-"),"-",SUM('A-3'!H116,'A-3'!H164,'A-3'!H212))</f>
        <v>-</v>
      </c>
      <c r="J116" s="142" t="s">
        <v>23</v>
      </c>
      <c r="K116" s="142" t="s">
        <v>23</v>
      </c>
      <c r="L116" s="142">
        <f>IF(AND('A-3'!I116="-",'A-3'!I164="-",'A-3'!I212="-"),"-",SUM('A-3'!I116,'A-3'!I164,'A-3'!I212))</f>
        <v>290200</v>
      </c>
      <c r="M116" s="7"/>
      <c r="N116" s="142" t="s">
        <v>23</v>
      </c>
      <c r="O116" s="142" t="s">
        <v>23</v>
      </c>
      <c r="P116" s="142" t="s">
        <v>23</v>
      </c>
      <c r="Q116" s="142">
        <f>SUM('A-3'!M116,'A-3'!M164,'A-3'!M212)</f>
        <v>50200</v>
      </c>
      <c r="R116" s="142">
        <f>SUM('A-3'!N116,'A-3'!N164,'A-3'!N212)</f>
        <v>24000</v>
      </c>
      <c r="S116" s="142">
        <f>SUM('A-3'!O116,'A-3'!O164,'A-3'!O212)</f>
        <v>5200</v>
      </c>
      <c r="T116" s="142" t="s">
        <v>23</v>
      </c>
      <c r="U116" s="142" t="s">
        <v>23</v>
      </c>
      <c r="V116" s="142" t="s">
        <v>23</v>
      </c>
      <c r="W116" s="142" t="s">
        <v>23</v>
      </c>
      <c r="X116" s="142">
        <f t="shared" si="2"/>
        <v>79400</v>
      </c>
    </row>
    <row r="117" spans="1:24" ht="11.25" customHeight="1">
      <c r="A117" s="99">
        <v>1992</v>
      </c>
      <c r="B117" s="142" t="s">
        <v>23</v>
      </c>
      <c r="C117" s="142" t="str">
        <f>IF(AND('A-3'!B117="-",'A-3'!B165="-",'A-3'!B213="-"),"-",SUM('A-3'!B117,'A-3'!B165,'A-3'!B213))</f>
        <v>-</v>
      </c>
      <c r="D117" s="142">
        <f>IF(AND('A-3'!C117="-",'A-3'!C165="-",'A-3'!C213="-"),"-",SUM('A-3'!C117,'A-3'!C165,'A-3'!C213))</f>
        <v>51400</v>
      </c>
      <c r="E117" s="142">
        <f>IF(AND('A-3'!D117="-",'A-3'!D165="-",'A-3'!D213="-"),"-",SUM('A-3'!D117,'A-3'!D165,'A-3'!D213))</f>
        <v>18900</v>
      </c>
      <c r="F117" s="142">
        <f>IF(AND('A-3'!E117="-",'A-3'!E165="-",'A-3'!E213="-"),"-",SUM('A-3'!E117,'A-3'!E165,'A-3'!E213))</f>
        <v>20600</v>
      </c>
      <c r="G117" s="142">
        <f>IF(AND('A-3'!F117="-",'A-3'!F165="-",'A-3'!F213="-"),"-",SUM('A-3'!F117,'A-3'!F165,'A-3'!F213))</f>
        <v>41300</v>
      </c>
      <c r="H117" s="142">
        <f>IF(AND('A-3'!G117="-",'A-3'!G165="-",'A-3'!G213="-"),"-",SUM('A-3'!G117,'A-3'!G165,'A-3'!G213))</f>
        <v>28100</v>
      </c>
      <c r="I117" s="142" t="str">
        <f>IF(AND('A-3'!H117="-",'A-3'!H165="-",'A-3'!H213="-"),"-",SUM('A-3'!H117,'A-3'!H165,'A-3'!H213))</f>
        <v>-</v>
      </c>
      <c r="J117" s="142" t="s">
        <v>23</v>
      </c>
      <c r="K117" s="142" t="s">
        <v>23</v>
      </c>
      <c r="L117" s="142">
        <f>IF(AND('A-3'!I117="-",'A-3'!I165="-",'A-3'!I213="-"),"-",SUM('A-3'!I117,'A-3'!I165,'A-3'!I213))</f>
        <v>160300</v>
      </c>
      <c r="M117" s="7"/>
      <c r="N117" s="142" t="s">
        <v>23</v>
      </c>
      <c r="O117" s="142" t="s">
        <v>23</v>
      </c>
      <c r="P117" s="142" t="s">
        <v>23</v>
      </c>
      <c r="Q117" s="142">
        <f>SUM('A-3'!M117,'A-3'!M165,'A-3'!M213)</f>
        <v>1500</v>
      </c>
      <c r="R117" s="142">
        <f>SUM('A-3'!N117,'A-3'!N165,'A-3'!N213)</f>
        <v>500</v>
      </c>
      <c r="S117" s="142">
        <f>SUM('A-3'!O117,'A-3'!O165,'A-3'!O213)</f>
        <v>450</v>
      </c>
      <c r="T117" s="142" t="s">
        <v>23</v>
      </c>
      <c r="U117" s="142" t="s">
        <v>23</v>
      </c>
      <c r="V117" s="142" t="s">
        <v>23</v>
      </c>
      <c r="W117" s="142" t="s">
        <v>23</v>
      </c>
      <c r="X117" s="142">
        <f t="shared" si="2"/>
        <v>2450</v>
      </c>
    </row>
    <row r="118" spans="1:24" ht="11.25" customHeight="1">
      <c r="A118" s="99">
        <v>1993</v>
      </c>
      <c r="B118" s="142" t="s">
        <v>23</v>
      </c>
      <c r="C118" s="142" t="str">
        <f>IF(AND('A-3'!B118="-",'A-3'!B166="-",'A-3'!B214="-"),"-",SUM('A-3'!B118,'A-3'!B166,'A-3'!B214))</f>
        <v>-</v>
      </c>
      <c r="D118" s="142">
        <f>IF(AND('A-3'!C118="-",'A-3'!C166="-",'A-3'!C214="-"),"-",SUM('A-3'!C118,'A-3'!C166,'A-3'!C214))</f>
        <v>111078</v>
      </c>
      <c r="E118" s="142">
        <f>IF(AND('A-3'!D118="-",'A-3'!D166="-",'A-3'!D214="-"),"-",SUM('A-3'!D118,'A-3'!D166,'A-3'!D214))</f>
        <v>40353</v>
      </c>
      <c r="F118" s="142">
        <f>IF(AND('A-3'!E118="-",'A-3'!E166="-",'A-3'!E214="-"),"-",SUM('A-3'!E118,'A-3'!E166,'A-3'!E214))</f>
        <v>55755</v>
      </c>
      <c r="G118" s="142">
        <f>IF(AND('A-3'!F118="-",'A-3'!F166="-",'A-3'!F214="-"),"-",SUM('A-3'!F118,'A-3'!F166,'A-3'!F214))</f>
        <v>48377</v>
      </c>
      <c r="H118" s="142">
        <f>IF(AND('A-3'!G118="-",'A-3'!G166="-",'A-3'!G214="-"),"-",SUM('A-3'!G118,'A-3'!G166,'A-3'!G214))</f>
        <v>23990</v>
      </c>
      <c r="I118" s="142" t="str">
        <f>IF(AND('A-3'!H118="-",'A-3'!H166="-",'A-3'!H214="-"),"-",SUM('A-3'!H118,'A-3'!H166,'A-3'!H214))</f>
        <v>-</v>
      </c>
      <c r="J118" s="142" t="s">
        <v>23</v>
      </c>
      <c r="K118" s="142" t="s">
        <v>23</v>
      </c>
      <c r="L118" s="142">
        <f>IF(AND('A-3'!I118="-",'A-3'!I166="-",'A-3'!I214="-"),"-",SUM('A-3'!I118,'A-3'!I166,'A-3'!I214))</f>
        <v>279553</v>
      </c>
      <c r="M118" s="7"/>
      <c r="N118" s="142" t="s">
        <v>23</v>
      </c>
      <c r="O118" s="142" t="s">
        <v>23</v>
      </c>
      <c r="P118" s="142" t="s">
        <v>23</v>
      </c>
      <c r="Q118" s="142" t="s">
        <v>23</v>
      </c>
      <c r="R118" s="142" t="s">
        <v>23</v>
      </c>
      <c r="S118" s="142" t="s">
        <v>23</v>
      </c>
      <c r="T118" s="142" t="s">
        <v>23</v>
      </c>
      <c r="U118" s="142" t="s">
        <v>23</v>
      </c>
      <c r="V118" s="142" t="s">
        <v>23</v>
      </c>
      <c r="W118" s="142" t="s">
        <v>23</v>
      </c>
      <c r="X118" s="142" t="s">
        <v>23</v>
      </c>
    </row>
    <row r="119" spans="1:24" ht="11.25" customHeight="1">
      <c r="A119" s="99">
        <v>1994</v>
      </c>
      <c r="B119" s="142" t="s">
        <v>23</v>
      </c>
      <c r="C119" s="142" t="str">
        <f>IF(AND('A-3'!B119="-",'A-3'!B167="-",'A-3'!B215="-"),"-",SUM('A-3'!B119,'A-3'!B167,'A-3'!B215))</f>
        <v>-</v>
      </c>
      <c r="D119" s="142">
        <f>IF(AND('A-3'!C119="-",'A-3'!C167="-",'A-3'!C215="-"),"-",SUM('A-3'!C119,'A-3'!C167,'A-3'!C215))</f>
        <v>78829</v>
      </c>
      <c r="E119" s="142">
        <f>IF(AND('A-3'!D119="-",'A-3'!D167="-",'A-3'!D215="-"),"-",SUM('A-3'!D119,'A-3'!D167,'A-3'!D215))</f>
        <v>81119</v>
      </c>
      <c r="F119" s="142">
        <f>IF(AND('A-3'!E119="-",'A-3'!E167="-",'A-3'!E215="-"),"-",SUM('A-3'!E119,'A-3'!E167,'A-3'!E215))</f>
        <v>89175</v>
      </c>
      <c r="G119" s="142">
        <f>IF(AND('A-3'!F119="-",'A-3'!F167="-",'A-3'!F215="-"),"-",SUM('A-3'!F119,'A-3'!F167,'A-3'!F215))</f>
        <v>27379</v>
      </c>
      <c r="H119" s="142">
        <f>IF(AND('A-3'!G119="-",'A-3'!G167="-",'A-3'!G215="-"),"-",SUM('A-3'!G119,'A-3'!G167,'A-3'!G215))</f>
        <v>19072</v>
      </c>
      <c r="I119" s="142" t="str">
        <f>IF(AND('A-3'!H119="-",'A-3'!H167="-",'A-3'!H215="-"),"-",SUM('A-3'!H119,'A-3'!H167,'A-3'!H215))</f>
        <v>-</v>
      </c>
      <c r="J119" s="142" t="s">
        <v>23</v>
      </c>
      <c r="K119" s="142" t="s">
        <v>23</v>
      </c>
      <c r="L119" s="142">
        <f>IF(AND('A-3'!I119="-",'A-3'!I167="-",'A-3'!I215="-"),"-",SUM('A-3'!I119,'A-3'!I167,'A-3'!I215))</f>
        <v>295574</v>
      </c>
      <c r="M119" s="7"/>
      <c r="N119" s="142" t="s">
        <v>23</v>
      </c>
      <c r="O119" s="142" t="s">
        <v>23</v>
      </c>
      <c r="P119" s="142" t="s">
        <v>23</v>
      </c>
      <c r="Q119" s="142" t="s">
        <v>23</v>
      </c>
      <c r="R119" s="142" t="s">
        <v>23</v>
      </c>
      <c r="S119" s="142" t="s">
        <v>23</v>
      </c>
      <c r="T119" s="142" t="s">
        <v>23</v>
      </c>
      <c r="U119" s="142" t="s">
        <v>23</v>
      </c>
      <c r="V119" s="142" t="s">
        <v>23</v>
      </c>
      <c r="W119" s="142" t="s">
        <v>23</v>
      </c>
      <c r="X119" s="142" t="s">
        <v>23</v>
      </c>
    </row>
    <row r="120" spans="1:24" ht="11.25" customHeight="1">
      <c r="A120" s="99">
        <v>1995</v>
      </c>
      <c r="B120" s="142" t="s">
        <v>23</v>
      </c>
      <c r="C120" s="142" t="str">
        <f>IF(AND('A-3'!B120="-",'A-3'!B168="-",'A-3'!B216="-"),"-",SUM('A-3'!B120,'A-3'!B168,'A-3'!B216))</f>
        <v>-</v>
      </c>
      <c r="D120" s="142">
        <f>IF(AND('A-3'!C120="-",'A-3'!C168="-",'A-3'!C216="-"),"-",SUM('A-3'!C120,'A-3'!C168,'A-3'!C216))</f>
        <v>285457</v>
      </c>
      <c r="E120" s="142">
        <f>IF(AND('A-3'!D120="-",'A-3'!D168="-",'A-3'!D216="-"),"-",SUM('A-3'!D120,'A-3'!D168,'A-3'!D216))</f>
        <v>142227</v>
      </c>
      <c r="F120" s="142">
        <f>IF(AND('A-3'!E120="-",'A-3'!E168="-",'A-3'!E216="-"),"-",SUM('A-3'!E120,'A-3'!E168,'A-3'!E216))</f>
        <v>189622</v>
      </c>
      <c r="G120" s="142">
        <f>IF(AND('A-3'!F120="-",'A-3'!F168="-",'A-3'!F216="-"),"-",SUM('A-3'!F120,'A-3'!F168,'A-3'!F216))</f>
        <v>30880</v>
      </c>
      <c r="H120" s="142">
        <f>IF(AND('A-3'!G120="-",'A-3'!G168="-",'A-3'!G216="-"),"-",SUM('A-3'!G120,'A-3'!G168,'A-3'!G216))</f>
        <v>31126</v>
      </c>
      <c r="I120" s="142" t="str">
        <f>IF(AND('A-3'!H120="-",'A-3'!H168="-",'A-3'!H216="-"),"-",SUM('A-3'!H120,'A-3'!H168,'A-3'!H216))</f>
        <v>-</v>
      </c>
      <c r="J120" s="142" t="s">
        <v>23</v>
      </c>
      <c r="K120" s="142" t="s">
        <v>23</v>
      </c>
      <c r="L120" s="142">
        <f>IF(AND('A-3'!I120="-",'A-3'!I168="-",'A-3'!I216="-"),"-",SUM('A-3'!I120,'A-3'!I168,'A-3'!I216))</f>
        <v>679312</v>
      </c>
      <c r="M120" s="7"/>
      <c r="N120" s="142" t="s">
        <v>23</v>
      </c>
      <c r="O120" s="142" t="s">
        <v>23</v>
      </c>
      <c r="P120" s="142" t="s">
        <v>23</v>
      </c>
      <c r="Q120" s="142" t="s">
        <v>23</v>
      </c>
      <c r="R120" s="142" t="s">
        <v>23</v>
      </c>
      <c r="S120" s="142" t="s">
        <v>23</v>
      </c>
      <c r="T120" s="142" t="s">
        <v>23</v>
      </c>
      <c r="U120" s="142" t="s">
        <v>23</v>
      </c>
      <c r="V120" s="142" t="s">
        <v>23</v>
      </c>
      <c r="W120" s="142" t="s">
        <v>23</v>
      </c>
      <c r="X120" s="142" t="s">
        <v>23</v>
      </c>
    </row>
    <row r="121" spans="1:24" ht="11.25" customHeight="1">
      <c r="A121" s="99">
        <v>1996</v>
      </c>
      <c r="B121" s="142" t="s">
        <v>23</v>
      </c>
      <c r="C121" s="142" t="str">
        <f>IF(AND('A-3'!B121="-",'A-3'!B169="-",'A-3'!B217="-"),"-",SUM('A-3'!B121,'A-3'!B169,'A-3'!B217))</f>
        <v>-</v>
      </c>
      <c r="D121" s="142">
        <f>IF(AND('A-3'!C121="-",'A-3'!C169="-",'A-3'!C217="-"),"-",SUM('A-3'!C121,'A-3'!C169,'A-3'!C217))</f>
        <v>97075</v>
      </c>
      <c r="E121" s="142">
        <f>IF(AND('A-3'!D121="-",'A-3'!D169="-",'A-3'!D217="-"),"-",SUM('A-3'!D121,'A-3'!D169,'A-3'!D217))</f>
        <v>130284</v>
      </c>
      <c r="F121" s="142">
        <f>IF(AND('A-3'!E121="-",'A-3'!E169="-",'A-3'!E217="-"),"-",SUM('A-3'!E121,'A-3'!E169,'A-3'!E217))</f>
        <v>95417</v>
      </c>
      <c r="G121" s="142">
        <f>IF(AND('A-3'!F121="-",'A-3'!F169="-",'A-3'!F217="-"),"-",SUM('A-3'!F121,'A-3'!F169,'A-3'!F217))</f>
        <v>28581</v>
      </c>
      <c r="H121" s="142">
        <f>IF(AND('A-3'!G121="-",'A-3'!G169="-",'A-3'!G217="-"),"-",SUM('A-3'!G121,'A-3'!G169,'A-3'!G217))</f>
        <v>20419</v>
      </c>
      <c r="I121" s="142" t="str">
        <f>IF(AND('A-3'!H121="-",'A-3'!H169="-",'A-3'!H217="-"),"-",SUM('A-3'!H121,'A-3'!H169,'A-3'!H217))</f>
        <v>-</v>
      </c>
      <c r="J121" s="142" t="s">
        <v>23</v>
      </c>
      <c r="K121" s="142" t="s">
        <v>23</v>
      </c>
      <c r="L121" s="142">
        <f>IF(AND('A-3'!I121="-",'A-3'!I169="-",'A-3'!I217="-"),"-",SUM('A-3'!I121,'A-3'!I169,'A-3'!I217))</f>
        <v>371776</v>
      </c>
      <c r="M121" s="7"/>
      <c r="N121" s="142" t="s">
        <v>23</v>
      </c>
      <c r="O121" s="142" t="s">
        <v>23</v>
      </c>
      <c r="P121" s="142" t="s">
        <v>23</v>
      </c>
      <c r="Q121" s="142" t="s">
        <v>23</v>
      </c>
      <c r="R121" s="142" t="s">
        <v>23</v>
      </c>
      <c r="S121" s="142" t="s">
        <v>23</v>
      </c>
      <c r="T121" s="142" t="s">
        <v>23</v>
      </c>
      <c r="U121" s="142" t="s">
        <v>23</v>
      </c>
      <c r="V121" s="142" t="s">
        <v>23</v>
      </c>
      <c r="W121" s="142" t="s">
        <v>23</v>
      </c>
      <c r="X121" s="142" t="s">
        <v>23</v>
      </c>
    </row>
    <row r="122" spans="1:24" ht="11.25" customHeight="1">
      <c r="A122" s="99">
        <v>1997</v>
      </c>
      <c r="B122" s="142" t="s">
        <v>23</v>
      </c>
      <c r="C122" s="142">
        <f>IF(AND('A-3'!B122="-",'A-3'!B170="-",'A-3'!B218="-"),"-",SUM('A-3'!B122,'A-3'!B170,'A-3'!B218))</f>
        <v>11891</v>
      </c>
      <c r="D122" s="142">
        <f>IF(AND('A-3'!C122="-",'A-3'!C170="-",'A-3'!C218="-"),"-",SUM('A-3'!C122,'A-3'!C170,'A-3'!C218))</f>
        <v>199057</v>
      </c>
      <c r="E122" s="142">
        <f>IF(AND('A-3'!D122="-",'A-3'!D170="-",'A-3'!D218="-"),"-",SUM('A-3'!D122,'A-3'!D170,'A-3'!D218))</f>
        <v>74576</v>
      </c>
      <c r="F122" s="142">
        <f>IF(AND('A-3'!E122="-",'A-3'!E170="-",'A-3'!E218="-"),"-",SUM('A-3'!E122,'A-3'!E170,'A-3'!E218))</f>
        <v>153940</v>
      </c>
      <c r="G122" s="142">
        <f>IF(AND('A-3'!F122="-",'A-3'!F170="-",'A-3'!F218="-"),"-",SUM('A-3'!F122,'A-3'!F170,'A-3'!F218))</f>
        <v>24737</v>
      </c>
      <c r="H122" s="142">
        <f>IF(AND('A-3'!G122="-",'A-3'!G170="-",'A-3'!G218="-"),"-",SUM('A-3'!G122,'A-3'!G170,'A-3'!G218))</f>
        <v>21790</v>
      </c>
      <c r="I122" s="142" t="str">
        <f>IF(AND('A-3'!H122="-",'A-3'!H170="-",'A-3'!H218="-"),"-",SUM('A-3'!H122,'A-3'!H170,'A-3'!H218))</f>
        <v>-</v>
      </c>
      <c r="J122" s="142" t="s">
        <v>23</v>
      </c>
      <c r="K122" s="142" t="s">
        <v>23</v>
      </c>
      <c r="L122" s="142">
        <f>IF(AND('A-3'!I122="-",'A-3'!I170="-",'A-3'!I218="-"),"-",SUM('A-3'!I122,'A-3'!I170,'A-3'!I218))</f>
        <v>485991</v>
      </c>
      <c r="M122" s="7"/>
      <c r="N122" s="142" t="s">
        <v>23</v>
      </c>
      <c r="O122" s="142" t="s">
        <v>23</v>
      </c>
      <c r="P122" s="142" t="s">
        <v>23</v>
      </c>
      <c r="Q122" s="142" t="s">
        <v>23</v>
      </c>
      <c r="R122" s="142" t="s">
        <v>23</v>
      </c>
      <c r="S122" s="142" t="s">
        <v>23</v>
      </c>
      <c r="T122" s="142" t="s">
        <v>23</v>
      </c>
      <c r="U122" s="142" t="s">
        <v>23</v>
      </c>
      <c r="V122" s="142" t="s">
        <v>23</v>
      </c>
      <c r="W122" s="142" t="s">
        <v>23</v>
      </c>
      <c r="X122" s="142" t="s">
        <v>23</v>
      </c>
    </row>
    <row r="123" spans="1:24" ht="11.25" customHeight="1">
      <c r="A123" s="99">
        <v>1998</v>
      </c>
      <c r="B123" s="142" t="s">
        <v>23</v>
      </c>
      <c r="C123" s="142" t="str">
        <f>IF(AND('A-3'!B123="-",'A-3'!B171="-",'A-3'!B219="-"),"-",SUM('A-3'!B123,'A-3'!B171,'A-3'!B219))</f>
        <v>-</v>
      </c>
      <c r="D123" s="142">
        <f>IF(AND('A-3'!C123="-",'A-3'!C171="-",'A-3'!C219="-"),"-",SUM('A-3'!C123,'A-3'!C171,'A-3'!C219))</f>
        <v>76266</v>
      </c>
      <c r="E123" s="142">
        <f>IF(AND('A-3'!D123="-",'A-3'!D171="-",'A-3'!D219="-"),"-",SUM('A-3'!D123,'A-3'!D171,'A-3'!D219))</f>
        <v>39438</v>
      </c>
      <c r="F123" s="142">
        <f>IF(AND('A-3'!E123="-",'A-3'!E171="-",'A-3'!E219="-"),"-",SUM('A-3'!E123,'A-3'!E171,'A-3'!E219))</f>
        <v>74931</v>
      </c>
      <c r="G123" s="142">
        <f>IF(AND('A-3'!F123="-",'A-3'!F171="-",'A-3'!F219="-"),"-",SUM('A-3'!F123,'A-3'!F171,'A-3'!F219))</f>
        <v>15900</v>
      </c>
      <c r="H123" s="142">
        <f>IF(AND('A-3'!G123="-",'A-3'!G171="-",'A-3'!G219="-"),"-",SUM('A-3'!G123,'A-3'!G171,'A-3'!G219))</f>
        <v>17900</v>
      </c>
      <c r="I123" s="142" t="str">
        <f>IF(AND('A-3'!H123="-",'A-3'!H171="-",'A-3'!H219="-"),"-",SUM('A-3'!H123,'A-3'!H171,'A-3'!H219))</f>
        <v>-</v>
      </c>
      <c r="J123" s="142" t="s">
        <v>23</v>
      </c>
      <c r="K123" s="142" t="s">
        <v>23</v>
      </c>
      <c r="L123" s="142">
        <f>IF(AND('A-3'!I123="-",'A-3'!I171="-",'A-3'!I219="-"),"-",SUM('A-3'!I123,'A-3'!I171,'A-3'!I219))</f>
        <v>224435</v>
      </c>
      <c r="M123" s="7"/>
      <c r="N123" s="142" t="s">
        <v>23</v>
      </c>
      <c r="O123" s="142" t="s">
        <v>23</v>
      </c>
      <c r="P123" s="142" t="s">
        <v>23</v>
      </c>
      <c r="Q123" s="142" t="s">
        <v>23</v>
      </c>
      <c r="R123" s="142" t="s">
        <v>23</v>
      </c>
      <c r="S123" s="142" t="s">
        <v>23</v>
      </c>
      <c r="T123" s="142" t="s">
        <v>23</v>
      </c>
      <c r="U123" s="142" t="s">
        <v>23</v>
      </c>
      <c r="V123" s="142" t="s">
        <v>23</v>
      </c>
      <c r="W123" s="142" t="s">
        <v>23</v>
      </c>
      <c r="X123" s="142" t="s">
        <v>23</v>
      </c>
    </row>
    <row r="124" spans="1:24" ht="11.25" customHeight="1">
      <c r="A124" s="99">
        <v>1999</v>
      </c>
      <c r="B124" s="142" t="s">
        <v>23</v>
      </c>
      <c r="C124" s="142">
        <f>IF(AND('A-3'!B124="-",'A-3'!B172="-",'A-3'!B220="-"),"-",SUM('A-3'!B124,'A-3'!B172,'A-3'!B220))</f>
        <v>3268</v>
      </c>
      <c r="D124" s="142">
        <f>IF(AND('A-3'!C124="-",'A-3'!C172="-",'A-3'!C220="-"),"-",SUM('A-3'!C124,'A-3'!C172,'A-3'!C220))</f>
        <v>30554</v>
      </c>
      <c r="E124" s="142">
        <f>IF(AND('A-3'!D124="-",'A-3'!D172="-",'A-3'!D220="-"),"-",SUM('A-3'!D124,'A-3'!D172,'A-3'!D220))</f>
        <v>125629</v>
      </c>
      <c r="F124" s="142">
        <f>IF(AND('A-3'!E124="-",'A-3'!E172="-",'A-3'!E220="-"),"-",SUM('A-3'!E124,'A-3'!E172,'A-3'!E220))</f>
        <v>71469</v>
      </c>
      <c r="G124" s="142">
        <f>IF(AND('A-3'!F124="-",'A-3'!F172="-",'A-3'!F220="-"),"-",SUM('A-3'!F124,'A-3'!F172,'A-3'!F220))</f>
        <v>24035</v>
      </c>
      <c r="H124" s="142">
        <f>IF(AND('A-3'!G124="-",'A-3'!G172="-",'A-3'!G220="-"),"-",SUM('A-3'!G124,'A-3'!G172,'A-3'!G220))</f>
        <v>6997</v>
      </c>
      <c r="I124" s="142" t="str">
        <f>IF(AND('A-3'!H124="-",'A-3'!H172="-",'A-3'!H220="-"),"-",SUM('A-3'!H124,'A-3'!H172,'A-3'!H220))</f>
        <v>-</v>
      </c>
      <c r="J124" s="142" t="s">
        <v>23</v>
      </c>
      <c r="K124" s="142" t="s">
        <v>23</v>
      </c>
      <c r="L124" s="142">
        <f>IF(AND('A-3'!I124="-",'A-3'!I172="-",'A-3'!I220="-"),"-",SUM('A-3'!I124,'A-3'!I172,'A-3'!I220))</f>
        <v>261952</v>
      </c>
      <c r="M124" s="7"/>
      <c r="N124" s="142" t="s">
        <v>23</v>
      </c>
      <c r="O124" s="142" t="s">
        <v>23</v>
      </c>
      <c r="P124" s="142" t="s">
        <v>23</v>
      </c>
      <c r="Q124" s="142" t="s">
        <v>23</v>
      </c>
      <c r="R124" s="142" t="s">
        <v>23</v>
      </c>
      <c r="S124" s="142" t="s">
        <v>23</v>
      </c>
      <c r="T124" s="142" t="s">
        <v>23</v>
      </c>
      <c r="U124" s="142" t="s">
        <v>23</v>
      </c>
      <c r="V124" s="142" t="s">
        <v>23</v>
      </c>
      <c r="W124" s="142" t="s">
        <v>23</v>
      </c>
      <c r="X124" s="142" t="s">
        <v>23</v>
      </c>
    </row>
    <row r="125" spans="1:24" ht="11.25" customHeight="1">
      <c r="A125" s="99">
        <v>2000</v>
      </c>
      <c r="B125" s="142" t="s">
        <v>23</v>
      </c>
      <c r="C125" s="142" t="str">
        <f>IF(AND('A-3'!B125="-",'A-3'!B173="-",'A-3'!B221="-"),"-",SUM('A-3'!B125,'A-3'!B173,'A-3'!B221))</f>
        <v>-</v>
      </c>
      <c r="D125" s="142">
        <f>IF(AND('A-3'!C125="-",'A-3'!C173="-",'A-3'!C221="-"),"-",SUM('A-3'!C125,'A-3'!C173,'A-3'!C221))</f>
        <v>205634</v>
      </c>
      <c r="E125" s="142">
        <f>IF(AND('A-3'!D125="-",'A-3'!D173="-",'A-3'!D221="-"),"-",SUM('A-3'!D125,'A-3'!D173,'A-3'!D221))</f>
        <v>138470</v>
      </c>
      <c r="F125" s="142">
        <f>IF(AND('A-3'!E125="-",'A-3'!E173="-",'A-3'!E221="-"),"-",SUM('A-3'!E125,'A-3'!E173,'A-3'!E221))</f>
        <v>47403</v>
      </c>
      <c r="G125" s="142">
        <f>IF(AND('A-3'!F125="-",'A-3'!F173="-",'A-3'!F221="-"),"-",SUM('A-3'!F125,'A-3'!F173,'A-3'!F221))</f>
        <v>27033</v>
      </c>
      <c r="H125" s="142">
        <f>IF(AND('A-3'!G125="-",'A-3'!G173="-",'A-3'!G221="-"),"-",SUM('A-3'!G125,'A-3'!G173,'A-3'!G221))</f>
        <v>59785</v>
      </c>
      <c r="I125" s="142" t="str">
        <f>IF(AND('A-3'!H125="-",'A-3'!H173="-",'A-3'!H221="-"),"-",SUM('A-3'!H125,'A-3'!H173,'A-3'!H221))</f>
        <v>-</v>
      </c>
      <c r="J125" s="142" t="s">
        <v>23</v>
      </c>
      <c r="K125" s="142" t="s">
        <v>23</v>
      </c>
      <c r="L125" s="142">
        <f>IF(AND('A-3'!I125="-",'A-3'!I173="-",'A-3'!I221="-"),"-",SUM('A-3'!I125,'A-3'!I173,'A-3'!I221))</f>
        <v>478325</v>
      </c>
      <c r="M125" s="7"/>
      <c r="N125" s="142" t="s">
        <v>23</v>
      </c>
      <c r="O125" s="142" t="s">
        <v>23</v>
      </c>
      <c r="P125" s="142" t="s">
        <v>23</v>
      </c>
      <c r="Q125" s="142" t="s">
        <v>23</v>
      </c>
      <c r="R125" s="142" t="s">
        <v>23</v>
      </c>
      <c r="S125" s="142" t="s">
        <v>23</v>
      </c>
      <c r="T125" s="142" t="s">
        <v>23</v>
      </c>
      <c r="U125" s="142" t="s">
        <v>23</v>
      </c>
      <c r="V125" s="142" t="s">
        <v>23</v>
      </c>
      <c r="W125" s="142" t="s">
        <v>23</v>
      </c>
      <c r="X125" s="142" t="s">
        <v>23</v>
      </c>
    </row>
    <row r="126" spans="1:24" ht="11.25" customHeight="1">
      <c r="A126" s="99">
        <v>2001</v>
      </c>
      <c r="B126" s="142" t="s">
        <v>23</v>
      </c>
      <c r="C126" s="142" t="str">
        <f>IF(AND('A-3'!B126="-",'A-3'!B174="-",'A-3'!B222="-"),"-",SUM('A-3'!B126,'A-3'!B174,'A-3'!B222))</f>
        <v>-</v>
      </c>
      <c r="D126" s="142">
        <f>IF(AND('A-3'!C126="-",'A-3'!C174="-",'A-3'!C222="-"),"-",SUM('A-3'!C126,'A-3'!C174,'A-3'!C222))</f>
        <v>73044</v>
      </c>
      <c r="E126" s="142">
        <f>IF(AND('A-3'!D126="-",'A-3'!D174="-",'A-3'!D222="-"),"-",SUM('A-3'!D126,'A-3'!D174,'A-3'!D222))</f>
        <v>11497</v>
      </c>
      <c r="F126" s="142">
        <f>IF(AND('A-3'!E126="-",'A-3'!E174="-",'A-3'!E222="-"),"-",SUM('A-3'!E126,'A-3'!E174,'A-3'!E222))</f>
        <v>63084</v>
      </c>
      <c r="G126" s="142">
        <f>IF(AND('A-3'!F126="-",'A-3'!F174="-",'A-3'!F222="-"),"-",SUM('A-3'!F126,'A-3'!F174,'A-3'!F222))</f>
        <v>14172</v>
      </c>
      <c r="H126" s="142">
        <f>IF(AND('A-3'!G126="-",'A-3'!G174="-",'A-3'!G222="-"),"-",SUM('A-3'!G126,'A-3'!G174,'A-3'!G222))</f>
        <v>22111</v>
      </c>
      <c r="I126" s="142">
        <f>IF(AND('A-3'!H126="-",'A-3'!H174="-",'A-3'!H222="-"),"-",SUM('A-3'!H126,'A-3'!H174,'A-3'!H222))</f>
        <v>3655</v>
      </c>
      <c r="J126" s="142" t="s">
        <v>23</v>
      </c>
      <c r="K126" s="142" t="s">
        <v>23</v>
      </c>
      <c r="L126" s="142">
        <f>IF(AND('A-3'!I126="-",'A-3'!I174="-",'A-3'!I222="-"),"-",SUM('A-3'!I126,'A-3'!I174,'A-3'!I222))</f>
        <v>187563</v>
      </c>
      <c r="M126" s="7"/>
      <c r="N126" s="142" t="s">
        <v>23</v>
      </c>
      <c r="O126" s="142" t="s">
        <v>23</v>
      </c>
      <c r="P126" s="142" t="s">
        <v>23</v>
      </c>
      <c r="Q126" s="142" t="s">
        <v>23</v>
      </c>
      <c r="R126" s="142" t="s">
        <v>23</v>
      </c>
      <c r="S126" s="142" t="s">
        <v>23</v>
      </c>
      <c r="T126" s="142" t="s">
        <v>23</v>
      </c>
      <c r="U126" s="142" t="s">
        <v>23</v>
      </c>
      <c r="V126" s="142" t="s">
        <v>23</v>
      </c>
      <c r="W126" s="142" t="s">
        <v>23</v>
      </c>
      <c r="X126" s="142" t="s">
        <v>23</v>
      </c>
    </row>
    <row r="127" spans="1:24" ht="11.25" customHeight="1">
      <c r="A127" s="99">
        <v>2002</v>
      </c>
      <c r="B127" s="142" t="s">
        <v>23</v>
      </c>
      <c r="C127" s="142" t="str">
        <f>IF(AND('A-3'!B127="-",'A-3'!B175="-",'A-3'!B223="-"),"-",SUM('A-3'!B127,'A-3'!B175,'A-3'!B223))</f>
        <v>-</v>
      </c>
      <c r="D127" s="142">
        <f>IF(AND('A-3'!C127="-",'A-3'!C175="-",'A-3'!C223="-"),"-",SUM('A-3'!C127,'A-3'!C175,'A-3'!C223))</f>
        <v>86120</v>
      </c>
      <c r="E127" s="142">
        <f>IF(AND('A-3'!D127="-",'A-3'!D175="-",'A-3'!D223="-"),"-",SUM('A-3'!D127,'A-3'!D175,'A-3'!D223))</f>
        <v>93214</v>
      </c>
      <c r="F127" s="142">
        <f>IF(AND('A-3'!E127="-",'A-3'!E175="-",'A-3'!E223="-"),"-",SUM('A-3'!E127,'A-3'!E175,'A-3'!E223))</f>
        <v>128032</v>
      </c>
      <c r="G127" s="142">
        <f>IF(AND('A-3'!F127="-",'A-3'!F175="-",'A-3'!F223="-"),"-",SUM('A-3'!F127,'A-3'!F175,'A-3'!F223))</f>
        <v>56896</v>
      </c>
      <c r="H127" s="142">
        <f>IF(AND('A-3'!G127="-",'A-3'!G175="-",'A-3'!G223="-"),"-",SUM('A-3'!G127,'A-3'!G175,'A-3'!G223))</f>
        <v>13456</v>
      </c>
      <c r="I127" s="142">
        <f>IF(AND('A-3'!H127="-",'A-3'!H175="-",'A-3'!H223="-"),"-",SUM('A-3'!H127,'A-3'!H175,'A-3'!H223))</f>
        <v>470</v>
      </c>
      <c r="J127" s="142" t="s">
        <v>23</v>
      </c>
      <c r="K127" s="142" t="s">
        <v>23</v>
      </c>
      <c r="L127" s="142">
        <f>IF(AND('A-3'!I127="-",'A-3'!I175="-",'A-3'!I223="-"),"-",SUM('A-3'!I127,'A-3'!I175,'A-3'!I223))</f>
        <v>378188</v>
      </c>
      <c r="M127" s="7"/>
      <c r="N127" s="142" t="s">
        <v>23</v>
      </c>
      <c r="O127" s="142" t="s">
        <v>23</v>
      </c>
      <c r="P127" s="142" t="s">
        <v>23</v>
      </c>
      <c r="Q127" s="142" t="s">
        <v>23</v>
      </c>
      <c r="R127" s="142" t="s">
        <v>23</v>
      </c>
      <c r="S127" s="142" t="s">
        <v>23</v>
      </c>
      <c r="T127" s="142" t="s">
        <v>23</v>
      </c>
      <c r="U127" s="142" t="s">
        <v>23</v>
      </c>
      <c r="V127" s="142" t="s">
        <v>23</v>
      </c>
      <c r="W127" s="142" t="s">
        <v>23</v>
      </c>
      <c r="X127" s="142" t="s">
        <v>23</v>
      </c>
    </row>
    <row r="128" spans="1:24" ht="11.25" customHeight="1">
      <c r="A128" s="99">
        <v>2003</v>
      </c>
      <c r="B128" s="142" t="s">
        <v>23</v>
      </c>
      <c r="C128" s="142" t="str">
        <f>IF(AND('A-3'!B128="-",'A-3'!B176="-",'A-3'!B224="-"),"-",SUM('A-3'!B128,'A-3'!B176,'A-3'!B224))</f>
        <v>-</v>
      </c>
      <c r="D128" s="142">
        <f>IF(AND('A-3'!C128="-",'A-3'!C176="-",'A-3'!C224="-"),"-",SUM('A-3'!C128,'A-3'!C176,'A-3'!C224))</f>
        <v>73234</v>
      </c>
      <c r="E128" s="142">
        <f>IF(AND('A-3'!D128="-",'A-3'!D176="-",'A-3'!D224="-"),"-",SUM('A-3'!D128,'A-3'!D176,'A-3'!D224))</f>
        <v>104201</v>
      </c>
      <c r="F128" s="142">
        <f>IF(AND('A-3'!E128="-",'A-3'!E176="-",'A-3'!E224="-"),"-",SUM('A-3'!E128,'A-3'!E176,'A-3'!E224))</f>
        <v>123712</v>
      </c>
      <c r="G128" s="142">
        <f>IF(AND('A-3'!F128="-",'A-3'!F176="-",'A-3'!F224="-"),"-",SUM('A-3'!F128,'A-3'!F176,'A-3'!F224))</f>
        <v>111086</v>
      </c>
      <c r="H128" s="142">
        <f>IF(AND('A-3'!G128="-",'A-3'!G176="-",'A-3'!G224="-"),"-",SUM('A-3'!G128,'A-3'!G176,'A-3'!G224))</f>
        <v>73735</v>
      </c>
      <c r="I128" s="142">
        <f>IF(AND('A-3'!H128="-",'A-3'!H176="-",'A-3'!H224="-"),"-",SUM('A-3'!H128,'A-3'!H176,'A-3'!H224))</f>
        <v>1882</v>
      </c>
      <c r="J128" s="142" t="s">
        <v>23</v>
      </c>
      <c r="K128" s="142" t="s">
        <v>23</v>
      </c>
      <c r="L128" s="142">
        <f>IF(AND('A-3'!I128="-",'A-3'!I176="-",'A-3'!I224="-"),"-",SUM('A-3'!I128,'A-3'!I176,'A-3'!I224))</f>
        <v>487850</v>
      </c>
      <c r="M128" s="7"/>
      <c r="N128" s="142" t="s">
        <v>23</v>
      </c>
      <c r="O128" s="142" t="s">
        <v>23</v>
      </c>
      <c r="P128" s="142" t="s">
        <v>23</v>
      </c>
      <c r="Q128" s="142" t="s">
        <v>23</v>
      </c>
      <c r="R128" s="142" t="s">
        <v>23</v>
      </c>
      <c r="S128" s="142" t="s">
        <v>23</v>
      </c>
      <c r="T128" s="142" t="s">
        <v>23</v>
      </c>
      <c r="U128" s="142" t="s">
        <v>23</v>
      </c>
      <c r="V128" s="142" t="s">
        <v>23</v>
      </c>
      <c r="W128" s="142" t="s">
        <v>23</v>
      </c>
      <c r="X128" s="142" t="s">
        <v>23</v>
      </c>
    </row>
    <row r="129" spans="1:24" ht="11.25" customHeight="1">
      <c r="A129" s="99">
        <v>2004</v>
      </c>
      <c r="B129" s="142" t="s">
        <v>23</v>
      </c>
      <c r="C129" s="142" t="str">
        <f>IF(AND('A-3'!B129="-",'A-3'!B177="-",'A-3'!B225="-"),"-",SUM('A-3'!B129,'A-3'!B177,'A-3'!B225))</f>
        <v>-</v>
      </c>
      <c r="D129" s="142">
        <f>IF(AND('A-3'!C129="-",'A-3'!C177="-",'A-3'!C225="-"),"-",SUM('A-3'!C129,'A-3'!C177,'A-3'!C225))</f>
        <v>97596</v>
      </c>
      <c r="E129" s="142">
        <f>IF(AND('A-3'!D129="-",'A-3'!D177="-",'A-3'!D225="-"),"-",SUM('A-3'!D129,'A-3'!D177,'A-3'!D225))</f>
        <v>154175</v>
      </c>
      <c r="F129" s="142">
        <f>IF(AND('A-3'!E129="-",'A-3'!E177="-",'A-3'!E225="-"),"-",SUM('A-3'!E129,'A-3'!E177,'A-3'!E225))</f>
        <v>157237</v>
      </c>
      <c r="G129" s="142">
        <f>IF(AND('A-3'!F129="-",'A-3'!F177="-",'A-3'!F225="-"),"-",SUM('A-3'!F129,'A-3'!F177,'A-3'!F225))</f>
        <v>44525</v>
      </c>
      <c r="H129" s="142">
        <f>IF(AND('A-3'!G129="-",'A-3'!G177="-",'A-3'!G225="-"),"-",SUM('A-3'!G129,'A-3'!G177,'A-3'!G225))</f>
        <v>15451</v>
      </c>
      <c r="I129" s="142">
        <f>IF(AND('A-3'!H129="-",'A-3'!H177="-",'A-3'!H225="-"),"-",SUM('A-3'!H129,'A-3'!H177,'A-3'!H225))</f>
        <v>1211</v>
      </c>
      <c r="J129" s="142" t="s">
        <v>23</v>
      </c>
      <c r="K129" s="142" t="s">
        <v>23</v>
      </c>
      <c r="L129" s="142">
        <f>IF(AND('A-3'!I129="-",'A-3'!I177="-",'A-3'!I225="-"),"-",SUM('A-3'!I129,'A-3'!I177,'A-3'!I225))</f>
        <v>470195</v>
      </c>
      <c r="M129" s="7"/>
      <c r="N129" s="142" t="s">
        <v>23</v>
      </c>
      <c r="O129" s="142" t="s">
        <v>23</v>
      </c>
      <c r="P129" s="142" t="s">
        <v>23</v>
      </c>
      <c r="Q129" s="142" t="s">
        <v>23</v>
      </c>
      <c r="R129" s="142" t="s">
        <v>23</v>
      </c>
      <c r="S129" s="142" t="s">
        <v>23</v>
      </c>
      <c r="T129" s="142" t="s">
        <v>23</v>
      </c>
      <c r="U129" s="142" t="s">
        <v>23</v>
      </c>
      <c r="V129" s="142" t="s">
        <v>23</v>
      </c>
      <c r="W129" s="142" t="s">
        <v>23</v>
      </c>
      <c r="X129" s="142" t="s">
        <v>23</v>
      </c>
    </row>
    <row r="130" spans="1:24" ht="11.25" customHeight="1">
      <c r="A130" s="99">
        <v>2005</v>
      </c>
      <c r="B130" s="142" t="s">
        <v>23</v>
      </c>
      <c r="C130" s="142" t="str">
        <f>IF(AND('A-3'!B130="-",'A-3'!B178="-",'A-3'!B226="-"),"-",SUM('A-3'!B130,'A-3'!B178,'A-3'!B226))</f>
        <v>-</v>
      </c>
      <c r="D130" s="142">
        <f>IF(AND('A-3'!C130="-",'A-3'!C178="-",'A-3'!C226="-"),"-",SUM('A-3'!C130,'A-3'!C178,'A-3'!C226))</f>
        <v>76855</v>
      </c>
      <c r="E130" s="142">
        <f>IF(AND('A-3'!D130="-",'A-3'!D178="-",'A-3'!D226="-"),"-",SUM('A-3'!D130,'A-3'!D178,'A-3'!D226))</f>
        <v>5001</v>
      </c>
      <c r="F130" s="142">
        <f>IF(AND('A-3'!E130="-",'A-3'!E178="-",'A-3'!E226="-"),"-",SUM('A-3'!E130,'A-3'!E178,'A-3'!E226))</f>
        <v>139928</v>
      </c>
      <c r="G130" s="142">
        <f>IF(AND('A-3'!F130="-",'A-3'!F178="-",'A-3'!F226="-"),"-",SUM('A-3'!F130,'A-3'!F178,'A-3'!F226))</f>
        <v>35046</v>
      </c>
      <c r="H130" s="142">
        <f>IF(AND('A-3'!G130="-",'A-3'!G178="-",'A-3'!G226="-"),"-",SUM('A-3'!G130,'A-3'!G178,'A-3'!G226))</f>
        <v>74673</v>
      </c>
      <c r="I130" s="142">
        <f>IF(AND('A-3'!H130="-",'A-3'!H178="-",'A-3'!H226="-"),"-",SUM('A-3'!H130,'A-3'!H178,'A-3'!H226))</f>
        <v>2305</v>
      </c>
      <c r="J130" s="142" t="s">
        <v>23</v>
      </c>
      <c r="K130" s="142" t="s">
        <v>23</v>
      </c>
      <c r="L130" s="142">
        <f>IF(AND('A-3'!I130="-",'A-3'!I178="-",'A-3'!I226="-"),"-",SUM('A-3'!I130,'A-3'!I178,'A-3'!I226))</f>
        <v>333808</v>
      </c>
      <c r="M130" s="7"/>
      <c r="N130" s="142" t="s">
        <v>23</v>
      </c>
      <c r="O130" s="142" t="s">
        <v>23</v>
      </c>
      <c r="P130" s="142" t="s">
        <v>23</v>
      </c>
      <c r="Q130" s="142" t="s">
        <v>23</v>
      </c>
      <c r="R130" s="142" t="s">
        <v>23</v>
      </c>
      <c r="S130" s="142" t="s">
        <v>23</v>
      </c>
      <c r="T130" s="142" t="s">
        <v>23</v>
      </c>
      <c r="U130" s="142" t="s">
        <v>23</v>
      </c>
      <c r="V130" s="142" t="s">
        <v>23</v>
      </c>
      <c r="W130" s="142" t="s">
        <v>23</v>
      </c>
      <c r="X130" s="142" t="s">
        <v>23</v>
      </c>
    </row>
    <row r="131" spans="1:24" ht="11.25" customHeight="1">
      <c r="A131" s="99">
        <v>2006</v>
      </c>
      <c r="B131" s="142" t="s">
        <v>23</v>
      </c>
      <c r="C131" s="142" t="str">
        <f>IF(AND('A-3'!B131="-",'A-3'!B179="-",'A-3'!B227="-"),"-",SUM('A-3'!B131,'A-3'!B179,'A-3'!B227))</f>
        <v>-</v>
      </c>
      <c r="D131" s="142">
        <f>IF(AND('A-3'!C131="-",'A-3'!C179="-",'A-3'!C227="-"),"-",SUM('A-3'!C131,'A-3'!C179,'A-3'!C227))</f>
        <v>9911</v>
      </c>
      <c r="E131" s="142">
        <f>IF(AND('A-3'!D131="-",'A-3'!D179="-",'A-3'!D227="-"),"-",SUM('A-3'!D131,'A-3'!D179,'A-3'!D227))</f>
        <v>391</v>
      </c>
      <c r="F131" s="142">
        <f>IF(AND('A-3'!E131="-",'A-3'!E179="-",'A-3'!E227="-"),"-",SUM('A-3'!E131,'A-3'!E179,'A-3'!E227))</f>
        <v>16783</v>
      </c>
      <c r="G131" s="142">
        <f>IF(AND('A-3'!F131="-",'A-3'!F179="-",'A-3'!F227="-"),"-",SUM('A-3'!F131,'A-3'!F179,'A-3'!F227))</f>
        <v>18589</v>
      </c>
      <c r="H131" s="142">
        <f>IF(AND('A-3'!G131="-",'A-3'!G179="-",'A-3'!G227="-"),"-",SUM('A-3'!G131,'A-3'!G179,'A-3'!G227))</f>
        <v>22982</v>
      </c>
      <c r="I131" s="142">
        <f>IF(AND('A-3'!H131="-",'A-3'!H179="-",'A-3'!H227="-"),"-",SUM('A-3'!H131,'A-3'!H179,'A-3'!H227))</f>
        <v>1072</v>
      </c>
      <c r="J131" s="142" t="s">
        <v>23</v>
      </c>
      <c r="K131" s="142" t="s">
        <v>23</v>
      </c>
      <c r="L131" s="142">
        <f>IF(AND('A-3'!I131="-",'A-3'!I179="-",'A-3'!I227="-"),"-",SUM('A-3'!I131,'A-3'!I179,'A-3'!I227))</f>
        <v>69728</v>
      </c>
      <c r="M131" s="7"/>
      <c r="N131" s="142" t="s">
        <v>23</v>
      </c>
      <c r="O131" s="142" t="s">
        <v>23</v>
      </c>
      <c r="P131" s="142" t="s">
        <v>23</v>
      </c>
      <c r="Q131" s="142" t="s">
        <v>23</v>
      </c>
      <c r="R131" s="142" t="s">
        <v>23</v>
      </c>
      <c r="S131" s="142" t="s">
        <v>23</v>
      </c>
      <c r="T131" s="142" t="s">
        <v>23</v>
      </c>
      <c r="U131" s="142" t="s">
        <v>23</v>
      </c>
      <c r="V131" s="142" t="s">
        <v>23</v>
      </c>
      <c r="W131" s="142" t="s">
        <v>23</v>
      </c>
      <c r="X131" s="142" t="s">
        <v>23</v>
      </c>
    </row>
    <row r="132" spans="1:24" ht="11.25" customHeight="1">
      <c r="A132" s="99">
        <v>2007</v>
      </c>
      <c r="B132" s="142" t="s">
        <v>23</v>
      </c>
      <c r="C132" s="142">
        <f>IF(AND('A-3'!B132="-",'A-3'!B180="-",'A-3'!B228="-"),"-",SUM('A-3'!B132,'A-3'!B180,'A-3'!B228))</f>
        <v>748</v>
      </c>
      <c r="D132" s="142">
        <f>IF(AND('A-3'!C132="-",'A-3'!C180="-",'A-3'!C228="-"),"-",SUM('A-3'!C132,'A-3'!C180,'A-3'!C228))</f>
        <v>36598</v>
      </c>
      <c r="E132" s="142">
        <f>IF(AND('A-3'!D132="-",'A-3'!D180="-",'A-3'!D228="-"),"-",SUM('A-3'!D132,'A-3'!D180,'A-3'!D228))</f>
        <v>156</v>
      </c>
      <c r="F132" s="142">
        <f>IF(AND('A-3'!E132="-",'A-3'!E180="-",'A-3'!E228="-"),"-",SUM('A-3'!E132,'A-3'!E180,'A-3'!E228))</f>
        <v>41808</v>
      </c>
      <c r="G132" s="142">
        <f>IF(AND('A-3'!F132="-",'A-3'!F180="-",'A-3'!F228="-"),"-",SUM('A-3'!F132,'A-3'!F180,'A-3'!F228))</f>
        <v>23212</v>
      </c>
      <c r="H132" s="142">
        <f>IF(AND('A-3'!G132="-",'A-3'!G180="-",'A-3'!G228="-"),"-",SUM('A-3'!G132,'A-3'!G180,'A-3'!G228))</f>
        <v>2505</v>
      </c>
      <c r="I132" s="142">
        <f>IF(AND('A-3'!H132="-",'A-3'!H180="-",'A-3'!H228="-"),"-",SUM('A-3'!H132,'A-3'!H180,'A-3'!H228))</f>
        <v>352</v>
      </c>
      <c r="J132" s="142" t="s">
        <v>23</v>
      </c>
      <c r="K132" s="142" t="s">
        <v>23</v>
      </c>
      <c r="L132" s="142">
        <f>IF(AND('A-3'!I132="-",'A-3'!I180="-",'A-3'!I228="-"),"-",SUM('A-3'!I132,'A-3'!I180,'A-3'!I228))</f>
        <v>105379</v>
      </c>
      <c r="M132" s="7"/>
      <c r="N132" s="142" t="s">
        <v>23</v>
      </c>
      <c r="O132" s="142" t="s">
        <v>23</v>
      </c>
      <c r="P132" s="142" t="s">
        <v>23</v>
      </c>
      <c r="Q132" s="142" t="s">
        <v>23</v>
      </c>
      <c r="R132" s="142" t="s">
        <v>23</v>
      </c>
      <c r="S132" s="142" t="s">
        <v>23</v>
      </c>
      <c r="T132" s="142" t="s">
        <v>23</v>
      </c>
      <c r="U132" s="142" t="s">
        <v>23</v>
      </c>
      <c r="V132" s="142" t="s">
        <v>23</v>
      </c>
      <c r="W132" s="142" t="s">
        <v>23</v>
      </c>
      <c r="X132" s="142" t="s">
        <v>23</v>
      </c>
    </row>
    <row r="133" spans="1:24" ht="11.25" customHeight="1">
      <c r="A133" s="99">
        <v>2009</v>
      </c>
      <c r="B133" s="142" t="s">
        <v>23</v>
      </c>
      <c r="C133" s="142" t="str">
        <f>IF(AND('A-3'!B133="-",'A-3'!B181="-",'A-3'!B229="-"),"-",SUM('A-3'!B133,'A-3'!B181,'A-3'!B229))</f>
        <v>-</v>
      </c>
      <c r="D133" s="142" t="str">
        <f>IF(AND('A-3'!C133="-",'A-3'!C181="-",'A-3'!C229="-"),"-",SUM('A-3'!C133,'A-3'!C181,'A-3'!C229))</f>
        <v>-</v>
      </c>
      <c r="E133" s="142" t="str">
        <f>IF(AND('A-3'!D133="-",'A-3'!D181="-",'A-3'!D229="-"),"-",SUM('A-3'!D133,'A-3'!D181,'A-3'!D229))</f>
        <v>-</v>
      </c>
      <c r="F133" s="142" t="str">
        <f>IF(AND('A-3'!E133="-",'A-3'!E181="-",'A-3'!E229="-"),"-",SUM('A-3'!E133,'A-3'!E181,'A-3'!E229))</f>
        <v>-</v>
      </c>
      <c r="G133" s="142" t="str">
        <f>IF(AND('A-3'!F133="-",'A-3'!F181="-",'A-3'!F229="-"),"-",SUM('A-3'!F133,'A-3'!F181,'A-3'!F229))</f>
        <v>-</v>
      </c>
      <c r="H133" s="142" t="str">
        <f>IF(AND('A-3'!G133="-",'A-3'!G181="-",'A-3'!G229="-"),"-",SUM('A-3'!G133,'A-3'!G181,'A-3'!G229))</f>
        <v>-</v>
      </c>
      <c r="I133" s="142" t="str">
        <f>IF(AND('A-3'!H133="-",'A-3'!H181="-",'A-3'!H229="-"),"-",SUM('A-3'!H133,'A-3'!H181,'A-3'!H229))</f>
        <v>-</v>
      </c>
      <c r="J133" s="142" t="s">
        <v>23</v>
      </c>
      <c r="K133" s="142" t="s">
        <v>23</v>
      </c>
      <c r="L133" s="142" t="str">
        <f>IF(AND('A-3'!I133="-",'A-3'!I181="-",'A-3'!I229="-"),"-",SUM('A-3'!I133,'A-3'!I181,'A-3'!I229))</f>
        <v>-</v>
      </c>
      <c r="M133" s="7"/>
      <c r="N133" s="142" t="s">
        <v>23</v>
      </c>
      <c r="O133" s="142" t="s">
        <v>23</v>
      </c>
      <c r="P133" s="142" t="s">
        <v>23</v>
      </c>
      <c r="Q133" s="142" t="s">
        <v>23</v>
      </c>
      <c r="R133" s="142" t="s">
        <v>23</v>
      </c>
      <c r="S133" s="142" t="s">
        <v>23</v>
      </c>
      <c r="T133" s="142" t="s">
        <v>23</v>
      </c>
      <c r="U133" s="142" t="s">
        <v>23</v>
      </c>
      <c r="V133" s="142" t="s">
        <v>23</v>
      </c>
      <c r="W133" s="142" t="s">
        <v>23</v>
      </c>
      <c r="X133" s="142" t="s">
        <v>23</v>
      </c>
    </row>
    <row r="134" spans="1:24" ht="11.25" customHeight="1">
      <c r="A134" s="99">
        <v>2009</v>
      </c>
      <c r="B134" s="142" t="s">
        <v>23</v>
      </c>
      <c r="C134" s="142" t="str">
        <f>IF(AND('A-3'!B134="-",'A-3'!B182="-",'A-3'!B230="-"),"-",SUM('A-3'!B134,'A-3'!B182,'A-3'!B230))</f>
        <v>-</v>
      </c>
      <c r="D134" s="142" t="str">
        <f>IF(AND('A-3'!C134="-",'A-3'!C182="-",'A-3'!C230="-"),"-",SUM('A-3'!C134,'A-3'!C182,'A-3'!C230))</f>
        <v>-</v>
      </c>
      <c r="E134" s="142" t="str">
        <f>IF(AND('A-3'!D134="-",'A-3'!D182="-",'A-3'!D230="-"),"-",SUM('A-3'!D134,'A-3'!D182,'A-3'!D230))</f>
        <v>-</v>
      </c>
      <c r="F134" s="142" t="str">
        <f>IF(AND('A-3'!E134="-",'A-3'!E182="-",'A-3'!E230="-"),"-",SUM('A-3'!E134,'A-3'!E182,'A-3'!E230))</f>
        <v>-</v>
      </c>
      <c r="G134" s="142" t="str">
        <f>IF(AND('A-3'!F134="-",'A-3'!F182="-",'A-3'!F230="-"),"-",SUM('A-3'!F134,'A-3'!F182,'A-3'!F230))</f>
        <v>-</v>
      </c>
      <c r="H134" s="142" t="str">
        <f>IF(AND('A-3'!G134="-",'A-3'!G182="-",'A-3'!G230="-"),"-",SUM('A-3'!G134,'A-3'!G182,'A-3'!G230))</f>
        <v>-</v>
      </c>
      <c r="I134" s="142" t="str">
        <f>IF(AND('A-3'!H134="-",'A-3'!H182="-",'A-3'!H230="-"),"-",SUM('A-3'!H134,'A-3'!H182,'A-3'!H230))</f>
        <v>-</v>
      </c>
      <c r="J134" s="142" t="s">
        <v>23</v>
      </c>
      <c r="K134" s="142" t="s">
        <v>23</v>
      </c>
      <c r="L134" s="142" t="str">
        <f>IF(AND('A-3'!I134="-",'A-3'!I182="-",'A-3'!I230="-"),"-",SUM('A-3'!I134,'A-3'!I182,'A-3'!I230))</f>
        <v>-</v>
      </c>
      <c r="M134" s="7"/>
      <c r="N134" s="142" t="s">
        <v>23</v>
      </c>
      <c r="O134" s="142" t="s">
        <v>23</v>
      </c>
      <c r="P134" s="142" t="s">
        <v>23</v>
      </c>
      <c r="Q134" s="142" t="s">
        <v>23</v>
      </c>
      <c r="R134" s="142" t="s">
        <v>23</v>
      </c>
      <c r="S134" s="142" t="s">
        <v>23</v>
      </c>
      <c r="T134" s="142" t="s">
        <v>23</v>
      </c>
      <c r="U134" s="142" t="s">
        <v>23</v>
      </c>
      <c r="V134" s="142" t="s">
        <v>23</v>
      </c>
      <c r="W134" s="142" t="s">
        <v>23</v>
      </c>
      <c r="X134" s="142" t="s">
        <v>23</v>
      </c>
    </row>
    <row r="135" spans="1:24" ht="11.25" customHeight="1">
      <c r="A135" s="99">
        <v>2010</v>
      </c>
      <c r="B135" s="142" t="s">
        <v>23</v>
      </c>
      <c r="C135" s="142" t="str">
        <f>IF(AND('A-3'!B135="-",'A-3'!B183="-",'A-3'!B231="-"),"-",SUM('A-3'!B135,'A-3'!B183,'A-3'!B231))</f>
        <v>-</v>
      </c>
      <c r="D135" s="142" t="str">
        <f>IF(AND('A-3'!C135="-",'A-3'!C183="-",'A-3'!C231="-"),"-",SUM('A-3'!C135,'A-3'!C183,'A-3'!C231))</f>
        <v>-</v>
      </c>
      <c r="E135" s="142" t="str">
        <f>IF(AND('A-3'!D135="-",'A-3'!D183="-",'A-3'!D231="-"),"-",SUM('A-3'!D135,'A-3'!D183,'A-3'!D231))</f>
        <v>-</v>
      </c>
      <c r="F135" s="142">
        <f>IF(AND('A-3'!E135="-",'A-3'!E183="-",'A-3'!E231="-"),"-",SUM('A-3'!E135,'A-3'!E183,'A-3'!E231))</f>
        <v>8906</v>
      </c>
      <c r="G135" s="142">
        <f>IF(AND('A-3'!F135="-",'A-3'!F183="-",'A-3'!F231="-"),"-",SUM('A-3'!F135,'A-3'!F183,'A-3'!F231))</f>
        <v>6182</v>
      </c>
      <c r="H135" s="142" t="str">
        <f>IF(AND('A-3'!G135="-",'A-3'!G183="-",'A-3'!G231="-"),"-",SUM('A-3'!G135,'A-3'!G183,'A-3'!G231))</f>
        <v>-</v>
      </c>
      <c r="I135" s="142" t="str">
        <f>IF(AND('A-3'!H135="-",'A-3'!H183="-",'A-3'!H231="-"),"-",SUM('A-3'!H135,'A-3'!H183,'A-3'!H231))</f>
        <v>-</v>
      </c>
      <c r="J135" s="142" t="s">
        <v>23</v>
      </c>
      <c r="K135" s="142" t="s">
        <v>23</v>
      </c>
      <c r="L135" s="142">
        <f>IF(AND('A-3'!I135="-",'A-3'!I183="-",'A-3'!I231="-"),"-",SUM('A-3'!I135,'A-3'!I183,'A-3'!I231))</f>
        <v>15088</v>
      </c>
      <c r="M135" s="7"/>
      <c r="N135" s="142" t="s">
        <v>23</v>
      </c>
      <c r="O135" s="142" t="s">
        <v>23</v>
      </c>
      <c r="P135" s="142" t="s">
        <v>23</v>
      </c>
      <c r="Q135" s="142" t="s">
        <v>23</v>
      </c>
      <c r="R135" s="142" t="s">
        <v>23</v>
      </c>
      <c r="S135" s="142" t="s">
        <v>23</v>
      </c>
      <c r="T135" s="142" t="s">
        <v>23</v>
      </c>
      <c r="U135" s="142" t="s">
        <v>23</v>
      </c>
      <c r="V135" s="142" t="s">
        <v>23</v>
      </c>
      <c r="W135" s="142" t="s">
        <v>23</v>
      </c>
      <c r="X135" s="142" t="s">
        <v>23</v>
      </c>
    </row>
    <row r="136" spans="1:24" ht="11.25" customHeight="1">
      <c r="A136" s="99">
        <v>2011</v>
      </c>
      <c r="B136" s="142" t="s">
        <v>23</v>
      </c>
      <c r="C136" s="142" t="str">
        <f>IF(AND('A-3'!B136="-",'A-3'!B184="-",'A-3'!B232="-"),"-",SUM('A-3'!B136,'A-3'!B184,'A-3'!B232))</f>
        <v>-</v>
      </c>
      <c r="D136" s="142">
        <f>IF(AND('A-3'!C136="-",'A-3'!C184="-",'A-3'!C232="-"),"-",SUM('A-3'!C136,'A-3'!C184,'A-3'!C232))</f>
        <v>11732</v>
      </c>
      <c r="E136" s="142">
        <f>IF(AND('A-3'!D136="-",'A-3'!D184="-",'A-3'!D232="-"),"-",SUM('A-3'!D136,'A-3'!D184,'A-3'!D232))</f>
        <v>4189</v>
      </c>
      <c r="F136" s="142">
        <f>IF(AND('A-3'!E136="-",'A-3'!E184="-",'A-3'!E232="-"),"-",SUM('A-3'!E136,'A-3'!E184,'A-3'!E232))</f>
        <v>30085</v>
      </c>
      <c r="G136" s="142">
        <f>IF(AND('A-3'!F136="-",'A-3'!F184="-",'A-3'!F232="-"),"-",SUM('A-3'!F136,'A-3'!F184,'A-3'!F232))</f>
        <v>19494</v>
      </c>
      <c r="H136" s="142">
        <f>IF(AND('A-3'!G136="-",'A-3'!G184="-",'A-3'!G232="-"),"-",SUM('A-3'!G136,'A-3'!G184,'A-3'!G232))</f>
        <v>1820</v>
      </c>
      <c r="I136" s="142">
        <f>IF(AND('A-3'!H136="-",'A-3'!H184="-",'A-3'!H232="-"),"-",SUM('A-3'!H136,'A-3'!H184,'A-3'!H232))</f>
        <v>317</v>
      </c>
      <c r="J136" s="142" t="s">
        <v>23</v>
      </c>
      <c r="K136" s="142" t="s">
        <v>23</v>
      </c>
      <c r="L136" s="142">
        <f>IF(AND('A-3'!I136="-",'A-3'!I184="-",'A-3'!I232="-"),"-",SUM('A-3'!I136,'A-3'!I184,'A-3'!I232))</f>
        <v>67637</v>
      </c>
      <c r="M136" s="7"/>
      <c r="N136" s="142" t="s">
        <v>23</v>
      </c>
      <c r="O136" s="142" t="s">
        <v>23</v>
      </c>
      <c r="P136" s="142" t="s">
        <v>23</v>
      </c>
      <c r="Q136" s="142" t="s">
        <v>23</v>
      </c>
      <c r="R136" s="142" t="s">
        <v>23</v>
      </c>
      <c r="S136" s="142" t="s">
        <v>23</v>
      </c>
      <c r="T136" s="142" t="s">
        <v>23</v>
      </c>
      <c r="U136" s="142" t="s">
        <v>23</v>
      </c>
      <c r="V136" s="142" t="s">
        <v>23</v>
      </c>
      <c r="W136" s="142" t="s">
        <v>23</v>
      </c>
      <c r="X136" s="142" t="s">
        <v>23</v>
      </c>
    </row>
    <row r="137" spans="1:24" ht="11.25" customHeight="1">
      <c r="A137" s="99">
        <v>2012</v>
      </c>
      <c r="B137" s="142" t="s">
        <v>23</v>
      </c>
      <c r="C137" s="142" t="str">
        <f>IF(AND('A-3'!B137="-",'A-3'!B185="-",'A-3'!B233="-"),"-",SUM('A-3'!B137,'A-3'!B185,'A-3'!B233))</f>
        <v>-</v>
      </c>
      <c r="D137" s="142">
        <f>IF(AND('A-3'!C137="-",'A-3'!C185="-",'A-3'!C233="-"),"-",SUM('A-3'!C137,'A-3'!C185,'A-3'!C233))</f>
        <v>58857</v>
      </c>
      <c r="E137" s="142">
        <f>IF(AND('A-3'!D137="-",'A-3'!D185="-",'A-3'!D233="-"),"-",SUM('A-3'!D137,'A-3'!D185,'A-3'!D233))</f>
        <v>19385</v>
      </c>
      <c r="F137" s="142">
        <f>IF(AND('A-3'!E137="-",'A-3'!E185="-",'A-3'!E233="-"),"-",SUM('A-3'!E137,'A-3'!E185,'A-3'!E233))</f>
        <v>92842</v>
      </c>
      <c r="G137" s="142">
        <f>IF(AND('A-3'!F137="-",'A-3'!F185="-",'A-3'!F233="-"),"-",SUM('A-3'!F137,'A-3'!F185,'A-3'!F233))</f>
        <v>28266</v>
      </c>
      <c r="H137" s="142">
        <f>IF(AND('A-3'!G137="-",'A-3'!G185="-",'A-3'!G233="-"),"-",SUM('A-3'!G137,'A-3'!G185,'A-3'!G233))</f>
        <v>7691</v>
      </c>
      <c r="I137" s="142">
        <f>IF(AND('A-3'!H137="-",'A-3'!H185="-",'A-3'!H233="-"),"-",SUM('A-3'!H137,'A-3'!H185,'A-3'!H233))</f>
        <v>3313</v>
      </c>
      <c r="J137" s="142" t="s">
        <v>23</v>
      </c>
      <c r="K137" s="142" t="s">
        <v>23</v>
      </c>
      <c r="L137" s="142">
        <f>IF(AND('A-3'!I137="-",'A-3'!I185="-",'A-3'!I233="-"),"-",SUM('A-3'!I137,'A-3'!I185,'A-3'!I233))</f>
        <v>210354</v>
      </c>
      <c r="M137" s="7"/>
      <c r="N137" s="142" t="s">
        <v>23</v>
      </c>
      <c r="O137" s="142" t="s">
        <v>23</v>
      </c>
      <c r="P137" s="142" t="s">
        <v>23</v>
      </c>
      <c r="Q137" s="142" t="s">
        <v>23</v>
      </c>
      <c r="R137" s="142" t="s">
        <v>23</v>
      </c>
      <c r="S137" s="142" t="s">
        <v>23</v>
      </c>
      <c r="T137" s="142" t="s">
        <v>23</v>
      </c>
      <c r="U137" s="142" t="s">
        <v>23</v>
      </c>
      <c r="V137" s="142" t="s">
        <v>23</v>
      </c>
      <c r="W137" s="142" t="s">
        <v>23</v>
      </c>
      <c r="X137" s="142" t="s">
        <v>23</v>
      </c>
    </row>
    <row r="138" spans="1:24" ht="11.25" customHeight="1">
      <c r="A138" s="99">
        <v>2013</v>
      </c>
      <c r="B138" s="142" t="s">
        <v>23</v>
      </c>
      <c r="C138" s="142" t="str">
        <f>IF(AND('A-3'!B138="-",'A-3'!B186="-",'A-3'!B234="-"),"-",SUM('A-3'!B138,'A-3'!B186,'A-3'!B234))</f>
        <v>-</v>
      </c>
      <c r="D138" s="142">
        <f>IF(AND('A-3'!C138="-",'A-3'!C186="-",'A-3'!C234="-"),"-",SUM('A-3'!C138,'A-3'!C186,'A-3'!C234))</f>
        <v>74828</v>
      </c>
      <c r="E138" s="142">
        <f>IF(AND('A-3'!D138="-",'A-3'!D186="-",'A-3'!D234="-"),"-",SUM('A-3'!D138,'A-3'!D186,'A-3'!D234))</f>
        <v>81625</v>
      </c>
      <c r="F138" s="142">
        <f>IF(AND('A-3'!E138="-",'A-3'!E186="-",'A-3'!E234="-"),"-",SUM('A-3'!E138,'A-3'!E186,'A-3'!E234))</f>
        <v>95896</v>
      </c>
      <c r="G138" s="142">
        <f>IF(AND('A-3'!F138="-",'A-3'!F186="-",'A-3'!F234="-"),"-",SUM('A-3'!F138,'A-3'!F186,'A-3'!F234))</f>
        <v>23249</v>
      </c>
      <c r="H138" s="142">
        <f>IF(AND('A-3'!G138="-",'A-3'!G186="-",'A-3'!G234="-"),"-",SUM('A-3'!G138,'A-3'!G186,'A-3'!G234))</f>
        <v>10910</v>
      </c>
      <c r="I138" s="142">
        <f>IF(AND('A-3'!H138="-",'A-3'!H186="-",'A-3'!H234="-"),"-",SUM('A-3'!H138,'A-3'!H186,'A-3'!H234))</f>
        <v>941</v>
      </c>
      <c r="J138" s="142" t="s">
        <v>23</v>
      </c>
      <c r="K138" s="142" t="s">
        <v>23</v>
      </c>
      <c r="L138" s="142">
        <f>IF(AND('A-3'!I138="-",'A-3'!I186="-",'A-3'!I234="-"),"-",SUM('A-3'!I138,'A-3'!I186,'A-3'!I234))</f>
        <v>287449</v>
      </c>
      <c r="M138" s="7"/>
      <c r="N138" s="142" t="s">
        <v>23</v>
      </c>
      <c r="O138" s="142" t="s">
        <v>23</v>
      </c>
      <c r="P138" s="142" t="s">
        <v>23</v>
      </c>
      <c r="Q138" s="142" t="s">
        <v>23</v>
      </c>
      <c r="R138" s="142" t="s">
        <v>23</v>
      </c>
      <c r="S138" s="142" t="s">
        <v>23</v>
      </c>
      <c r="T138" s="142" t="s">
        <v>23</v>
      </c>
      <c r="U138" s="142" t="s">
        <v>23</v>
      </c>
      <c r="V138" s="142" t="s">
        <v>23</v>
      </c>
      <c r="W138" s="142" t="s">
        <v>23</v>
      </c>
      <c r="X138" s="142" t="s">
        <v>23</v>
      </c>
    </row>
    <row r="139" spans="1:24" ht="11.25" customHeight="1">
      <c r="A139" s="99">
        <v>2014</v>
      </c>
      <c r="B139" s="142" t="s">
        <v>23</v>
      </c>
      <c r="C139" s="142" t="str">
        <f>IF(AND('A-3'!B139="-",'A-3'!B187="-",'A-3'!B235="-"),"-",SUM('A-3'!B139,'A-3'!B187,'A-3'!B235))</f>
        <v>-</v>
      </c>
      <c r="D139" s="142">
        <f>IF(AND('A-3'!C139="-",'A-3'!C187="-",'A-3'!C235="-"),"-",SUM('A-3'!C139,'A-3'!C187,'A-3'!C235))</f>
        <v>34946</v>
      </c>
      <c r="E139" s="142">
        <f>IF(AND('A-3'!D139="-",'A-3'!D187="-",'A-3'!D235="-"),"-",SUM('A-3'!D139,'A-3'!D187,'A-3'!D235))</f>
        <v>39581</v>
      </c>
      <c r="F139" s="142">
        <f>IF(AND('A-3'!E139="-",'A-3'!E187="-",'A-3'!E235="-"),"-",SUM('A-3'!E139,'A-3'!E187,'A-3'!E235))</f>
        <v>54568</v>
      </c>
      <c r="G139" s="142">
        <f>IF(AND('A-3'!F139="-",'A-3'!F187="-",'A-3'!F235="-"),"-",SUM('A-3'!F139,'A-3'!F187,'A-3'!F235))</f>
        <v>24085</v>
      </c>
      <c r="H139" s="142">
        <f>IF(AND('A-3'!G139="-",'A-3'!G187="-",'A-3'!G235="-"),"-",SUM('A-3'!G139,'A-3'!G187,'A-3'!G235))</f>
        <v>11498</v>
      </c>
      <c r="I139" s="142">
        <f>IF(AND('A-3'!H139="-",'A-3'!H187="-",'A-3'!H235="-"),"-",SUM('A-3'!H139,'A-3'!H187,'A-3'!H235))</f>
        <v>2985</v>
      </c>
      <c r="J139" s="142" t="s">
        <v>23</v>
      </c>
      <c r="K139" s="142" t="s">
        <v>23</v>
      </c>
      <c r="L139" s="142">
        <f>IF(AND('A-3'!I139="-",'A-3'!I187="-",'A-3'!I235="-"),"-",SUM('A-3'!I139,'A-3'!I187,'A-3'!I235))</f>
        <v>167663</v>
      </c>
      <c r="M139" s="7"/>
      <c r="N139" s="142" t="s">
        <v>23</v>
      </c>
      <c r="O139" s="142" t="s">
        <v>23</v>
      </c>
      <c r="P139" s="142" t="s">
        <v>23</v>
      </c>
      <c r="Q139" s="142" t="s">
        <v>23</v>
      </c>
      <c r="R139" s="142" t="s">
        <v>23</v>
      </c>
      <c r="S139" s="142" t="s">
        <v>23</v>
      </c>
      <c r="T139" s="142" t="s">
        <v>23</v>
      </c>
      <c r="U139" s="142" t="s">
        <v>23</v>
      </c>
      <c r="V139" s="142" t="s">
        <v>23</v>
      </c>
      <c r="W139" s="142" t="s">
        <v>23</v>
      </c>
      <c r="X139" s="142" t="s">
        <v>23</v>
      </c>
    </row>
    <row r="140" spans="1:24" ht="11.25" customHeight="1">
      <c r="A140" s="99">
        <v>2015</v>
      </c>
      <c r="B140" s="142" t="s">
        <v>23</v>
      </c>
      <c r="C140" s="142" t="str">
        <f>IF(AND('A-3'!B140="-",'A-3'!B188="-",'A-3'!B236="-"),"-",SUM('A-3'!B140,'A-3'!B188,'A-3'!B236))</f>
        <v>-</v>
      </c>
      <c r="D140" s="142">
        <f>IF(AND('A-3'!C140="-",'A-3'!C188="-",'A-3'!C236="-"),"-",SUM('A-3'!C140,'A-3'!C188,'A-3'!C236))</f>
        <v>53561</v>
      </c>
      <c r="E140" s="142">
        <f>IF(AND('A-3'!D140="-",'A-3'!D188="-",'A-3'!D236="-"),"-",SUM('A-3'!D140,'A-3'!D188,'A-3'!D236))</f>
        <v>19489</v>
      </c>
      <c r="F140" s="142">
        <f>IF(AND('A-3'!E140="-",'A-3'!E188="-",'A-3'!E236="-"),"-",SUM('A-3'!E140,'A-3'!E188,'A-3'!E236))</f>
        <v>12920</v>
      </c>
      <c r="G140" s="142">
        <f>IF(AND('A-3'!F140="-",'A-3'!F188="-",'A-3'!F236="-"),"-",SUM('A-3'!F140,'A-3'!F188,'A-3'!F236))</f>
        <v>11467</v>
      </c>
      <c r="H140" s="142">
        <f>IF(AND('A-3'!G140="-",'A-3'!G188="-",'A-3'!G236="-"),"-",SUM('A-3'!G140,'A-3'!G188,'A-3'!G236))</f>
        <v>10407</v>
      </c>
      <c r="I140" s="142">
        <f>IF(AND('A-3'!H140="-",'A-3'!H188="-",'A-3'!H236="-"),"-",SUM('A-3'!H140,'A-3'!H188,'A-3'!H236))</f>
        <v>2617</v>
      </c>
      <c r="J140" s="142" t="s">
        <v>23</v>
      </c>
      <c r="K140" s="142" t="s">
        <v>23</v>
      </c>
      <c r="L140" s="142">
        <f>IF(AND('A-3'!I140="-",'A-3'!I188="-",'A-3'!I236="-"),"-",SUM('A-3'!I140,'A-3'!I188,'A-3'!I236))</f>
        <v>110461</v>
      </c>
      <c r="M140" s="7"/>
      <c r="N140" s="142" t="s">
        <v>23</v>
      </c>
      <c r="O140" s="142" t="s">
        <v>23</v>
      </c>
      <c r="P140" s="142" t="s">
        <v>23</v>
      </c>
      <c r="Q140" s="142" t="s">
        <v>23</v>
      </c>
      <c r="R140" s="142" t="s">
        <v>23</v>
      </c>
      <c r="S140" s="142" t="s">
        <v>23</v>
      </c>
      <c r="T140" s="142" t="s">
        <v>23</v>
      </c>
      <c r="U140" s="142" t="s">
        <v>23</v>
      </c>
      <c r="V140" s="142" t="s">
        <v>23</v>
      </c>
      <c r="W140" s="142" t="s">
        <v>23</v>
      </c>
      <c r="X140" s="142" t="s">
        <v>23</v>
      </c>
    </row>
    <row r="141" spans="1:24" ht="11.25" customHeight="1">
      <c r="A141" s="99">
        <v>2016</v>
      </c>
      <c r="B141" s="142" t="s">
        <v>23</v>
      </c>
      <c r="C141" s="142" t="str">
        <f>IF(AND('A-3'!B141="-",'A-3'!B189="-",'A-3'!B237="-"),"-",SUM('A-3'!B141,'A-3'!B189,'A-3'!B237))</f>
        <v>-</v>
      </c>
      <c r="D141" s="142">
        <f>IF(AND('A-3'!C141="-",'A-3'!C189="-",'A-3'!C237="-"),"-",SUM('A-3'!C141,'A-3'!C189,'A-3'!C237))</f>
        <v>13367</v>
      </c>
      <c r="E141" s="142">
        <f>IF(AND('A-3'!D141="-",'A-3'!D189="-",'A-3'!D237="-"),"-",SUM('A-3'!D141,'A-3'!D189,'A-3'!D237))</f>
        <v>13428</v>
      </c>
      <c r="F141" s="142" t="str">
        <f>IF(AND('A-3'!E141="-",'A-3'!E189="-",'A-3'!E237="-"),"-",SUM('A-3'!E141,'A-3'!E189,'A-3'!E237))</f>
        <v>-</v>
      </c>
      <c r="G141" s="142">
        <f>IF(AND('A-3'!F141="-",'A-3'!F189="-",'A-3'!F237="-"),"-",SUM('A-3'!F141,'A-3'!F189,'A-3'!F237))</f>
        <v>18334</v>
      </c>
      <c r="H141" s="142">
        <f>IF(AND('A-3'!G141="-",'A-3'!G189="-",'A-3'!G237="-"),"-",SUM('A-3'!G141,'A-3'!G189,'A-3'!G237))</f>
        <v>9271</v>
      </c>
      <c r="I141" s="142">
        <f>IF(AND('A-3'!H141="-",'A-3'!H189="-",'A-3'!H237="-"),"-",SUM('A-3'!H141,'A-3'!H189,'A-3'!H237))</f>
        <v>589</v>
      </c>
      <c r="J141" s="142" t="s">
        <v>23</v>
      </c>
      <c r="K141" s="142" t="s">
        <v>23</v>
      </c>
      <c r="L141" s="142">
        <f>IF(AND('A-3'!I141="-",'A-3'!I189="-",'A-3'!I237="-"),"-",SUM('A-3'!I141,'A-3'!I189,'A-3'!I237))</f>
        <v>54989</v>
      </c>
      <c r="M141" s="7"/>
      <c r="N141" s="142" t="s">
        <v>23</v>
      </c>
      <c r="O141" s="142" t="s">
        <v>23</v>
      </c>
      <c r="P141" s="142" t="s">
        <v>23</v>
      </c>
      <c r="Q141" s="142" t="s">
        <v>23</v>
      </c>
      <c r="R141" s="142" t="s">
        <v>23</v>
      </c>
      <c r="S141" s="142" t="s">
        <v>23</v>
      </c>
      <c r="T141" s="142" t="s">
        <v>23</v>
      </c>
      <c r="U141" s="142" t="s">
        <v>23</v>
      </c>
      <c r="V141" s="142" t="s">
        <v>23</v>
      </c>
      <c r="W141" s="142" t="s">
        <v>23</v>
      </c>
      <c r="X141" s="142" t="s">
        <v>23</v>
      </c>
    </row>
    <row r="142" spans="1:24" ht="11.25" customHeight="1">
      <c r="A142" s="99">
        <v>2017</v>
      </c>
      <c r="B142" s="142" t="s">
        <v>23</v>
      </c>
      <c r="C142" s="142" t="str">
        <f>IF(AND('A-3'!B142="-",'A-3'!B190="-",'A-3'!B238="-"),"-",SUM('A-3'!B142,'A-3'!B190,'A-3'!B238))</f>
        <v>-</v>
      </c>
      <c r="D142" s="142">
        <f>IF(AND('A-3'!C142="-",'A-3'!C190="-",'A-3'!C238="-"),"-",SUM('A-3'!C142,'A-3'!C190,'A-3'!C238))</f>
        <v>5588</v>
      </c>
      <c r="E142" s="142">
        <f>IF(AND('A-3'!D142="-",'A-3'!D190="-",'A-3'!D238="-"),"-",SUM('A-3'!D142,'A-3'!D190,'A-3'!D238))</f>
        <v>6891</v>
      </c>
      <c r="F142" s="142" t="str">
        <f>IF(AND('A-3'!E142="-",'A-3'!E190="-",'A-3'!E238="-"),"-",SUM('A-3'!E142,'A-3'!E190,'A-3'!E238))</f>
        <v>-</v>
      </c>
      <c r="G142" s="142">
        <f>IF(AND('A-3'!F142="-",'A-3'!F190="-",'A-3'!F238="-"),"-",SUM('A-3'!F142,'A-3'!F190,'A-3'!F238))</f>
        <v>18336</v>
      </c>
      <c r="H142" s="142">
        <f>IF(AND('A-3'!G142="-",'A-3'!G190="-",'A-3'!G238="-"),"-",SUM('A-3'!G142,'A-3'!G190,'A-3'!G238))</f>
        <v>10232</v>
      </c>
      <c r="I142" s="142">
        <f>IF(AND('A-3'!H142="-",'A-3'!H190="-",'A-3'!H238="-"),"-",SUM('A-3'!H142,'A-3'!H190,'A-3'!H238))</f>
        <v>1279</v>
      </c>
      <c r="J142" s="142" t="s">
        <v>23</v>
      </c>
      <c r="K142" s="142" t="s">
        <v>23</v>
      </c>
      <c r="L142" s="142">
        <f>IF(AND('A-3'!I142="-",'A-3'!I190="-",'A-3'!I238="-"),"-",SUM('A-3'!I142,'A-3'!I190,'A-3'!I238))</f>
        <v>42326</v>
      </c>
      <c r="M142" s="7"/>
      <c r="N142" s="142" t="s">
        <v>23</v>
      </c>
      <c r="O142" s="142" t="s">
        <v>23</v>
      </c>
      <c r="P142" s="142" t="s">
        <v>23</v>
      </c>
      <c r="Q142" s="142" t="s">
        <v>23</v>
      </c>
      <c r="R142" s="142" t="s">
        <v>23</v>
      </c>
      <c r="S142" s="142" t="s">
        <v>23</v>
      </c>
      <c r="T142" s="142" t="s">
        <v>23</v>
      </c>
      <c r="U142" s="142" t="s">
        <v>23</v>
      </c>
      <c r="V142" s="142" t="s">
        <v>23</v>
      </c>
      <c r="W142" s="142" t="s">
        <v>23</v>
      </c>
      <c r="X142" s="142" t="s">
        <v>23</v>
      </c>
    </row>
    <row r="143" spans="1:24" ht="11.25" customHeight="1">
      <c r="A143" s="99">
        <v>2018</v>
      </c>
      <c r="B143" s="142" t="s">
        <v>23</v>
      </c>
      <c r="C143" s="142" t="str">
        <f>IF(AND('A-3'!B143="-",'A-3'!B191="-",'A-3'!B239="-"),"-",SUM('A-3'!B143,'A-3'!B191,'A-3'!B239))</f>
        <v>-</v>
      </c>
      <c r="D143" s="142">
        <f>IF(AND('A-3'!C143="-",'A-3'!C191="-",'A-3'!C239="-"),"-",SUM('A-3'!C143,'A-3'!C191,'A-3'!C239))</f>
        <v>4566</v>
      </c>
      <c r="E143" s="142">
        <f>IF(AND('A-3'!D143="-",'A-3'!D191="-",'A-3'!D239="-"),"-",SUM('A-3'!D143,'A-3'!D191,'A-3'!D239))</f>
        <v>14859</v>
      </c>
      <c r="F143" s="142">
        <f>IF(AND('A-3'!E143="-",'A-3'!E191="-",'A-3'!E239="-"),"-",SUM('A-3'!E143,'A-3'!E191,'A-3'!E239))</f>
        <v>13096</v>
      </c>
      <c r="G143" s="142">
        <f>IF(AND('A-3'!F143="-",'A-3'!F191="-",'A-3'!F239="-"),"-",SUM('A-3'!F143,'A-3'!F191,'A-3'!F239))</f>
        <v>23927</v>
      </c>
      <c r="H143" s="142">
        <f>IF(AND('A-3'!G143="-",'A-3'!G191="-",'A-3'!G239="-"),"-",SUM('A-3'!G143,'A-3'!G191,'A-3'!G239))</f>
        <v>10926</v>
      </c>
      <c r="I143" s="142">
        <f>IF(AND('A-3'!H143="-",'A-3'!H191="-",'A-3'!H239="-"),"-",SUM('A-3'!H143,'A-3'!H191,'A-3'!H239))</f>
        <v>2031</v>
      </c>
      <c r="J143" s="142" t="s">
        <v>23</v>
      </c>
      <c r="K143" s="142" t="s">
        <v>23</v>
      </c>
      <c r="L143" s="142">
        <f>IF(AND('A-3'!I143="-",'A-3'!I191="-",'A-3'!I239="-"),"-",SUM('A-3'!I143,'A-3'!I191,'A-3'!I239))</f>
        <v>69405</v>
      </c>
      <c r="M143" s="7"/>
      <c r="N143" s="142" t="s">
        <v>23</v>
      </c>
      <c r="O143" s="142" t="s">
        <v>23</v>
      </c>
      <c r="P143" s="142" t="s">
        <v>23</v>
      </c>
      <c r="Q143" s="142" t="s">
        <v>23</v>
      </c>
      <c r="R143" s="142" t="s">
        <v>23</v>
      </c>
      <c r="S143" s="142" t="s">
        <v>23</v>
      </c>
      <c r="T143" s="142" t="s">
        <v>23</v>
      </c>
      <c r="U143" s="142" t="s">
        <v>23</v>
      </c>
      <c r="V143" s="142" t="s">
        <v>23</v>
      </c>
      <c r="W143" s="142" t="s">
        <v>23</v>
      </c>
      <c r="X143" s="142" t="s">
        <v>23</v>
      </c>
    </row>
    <row r="144" spans="1:24" ht="11.25" customHeight="1">
      <c r="A144" s="99">
        <v>2019</v>
      </c>
      <c r="B144" s="142" t="s">
        <v>23</v>
      </c>
      <c r="C144" s="142" t="str">
        <f>IF(AND('A-3'!B144="-",'A-3'!B192="-",'A-3'!B240="-"),"-",SUM('A-3'!B144,'A-3'!B192,'A-3'!B240))</f>
        <v>-</v>
      </c>
      <c r="D144" s="142">
        <f>IF(AND('A-3'!C144="-",'A-3'!C192="-",'A-3'!C240="-"),"-",SUM('A-3'!C144,'A-3'!C192,'A-3'!C240))</f>
        <v>71001</v>
      </c>
      <c r="E144" s="142">
        <f>IF(AND('A-3'!D144="-",'A-3'!D192="-",'A-3'!D240="-"),"-",SUM('A-3'!D144,'A-3'!D192,'A-3'!D240))</f>
        <v>97146</v>
      </c>
      <c r="F144" s="142">
        <f>IF(AND('A-3'!E144="-",'A-3'!E192="-",'A-3'!E240="-"),"-",SUM('A-3'!E144,'A-3'!E192,'A-3'!E240))</f>
        <v>37363</v>
      </c>
      <c r="G144" s="142">
        <f>IF(AND('A-3'!F144="-",'A-3'!F192="-",'A-3'!F240="-"),"-",SUM('A-3'!F144,'A-3'!F192,'A-3'!F240))</f>
        <v>53222</v>
      </c>
      <c r="H144" s="142">
        <f>IF(AND('A-3'!G144="-",'A-3'!G192="-",'A-3'!G240="-"),"-",SUM('A-3'!G144,'A-3'!G192,'A-3'!G240))</f>
        <v>6099</v>
      </c>
      <c r="I144" s="142">
        <f>IF(AND('A-3'!H144="-",'A-3'!H192="-",'A-3'!H240="-"),"-",SUM('A-3'!H144,'A-3'!H192,'A-3'!H240))</f>
        <v>801</v>
      </c>
      <c r="J144" s="142" t="s">
        <v>23</v>
      </c>
      <c r="K144" s="142" t="s">
        <v>23</v>
      </c>
      <c r="L144" s="142">
        <f>IF(AND('A-3'!I144="-",'A-3'!I192="-",'A-3'!I240="-"),"-",SUM('A-3'!I144,'A-3'!I192,'A-3'!I240))</f>
        <v>265632</v>
      </c>
      <c r="M144" s="7"/>
      <c r="N144" s="142" t="s">
        <v>23</v>
      </c>
      <c r="O144" s="142" t="s">
        <v>23</v>
      </c>
      <c r="P144" s="142" t="s">
        <v>23</v>
      </c>
      <c r="Q144" s="142" t="s">
        <v>23</v>
      </c>
      <c r="R144" s="142" t="s">
        <v>23</v>
      </c>
      <c r="S144" s="142" t="s">
        <v>23</v>
      </c>
      <c r="T144" s="142" t="s">
        <v>23</v>
      </c>
      <c r="U144" s="142" t="s">
        <v>23</v>
      </c>
      <c r="V144" s="142" t="s">
        <v>23</v>
      </c>
      <c r="W144" s="142" t="s">
        <v>23</v>
      </c>
      <c r="X144" s="142" t="s">
        <v>23</v>
      </c>
    </row>
    <row r="145" spans="1:24" ht="11.25" customHeight="1">
      <c r="A145" s="99" t="s">
        <v>309</v>
      </c>
      <c r="B145" s="142" t="s">
        <v>23</v>
      </c>
      <c r="C145" s="142" t="str">
        <f>IF(AND('A-3'!B145="-",'A-3'!B193="-",'A-3'!B241="-"),"-",SUM('A-3'!B145,'A-3'!B193,'A-3'!B241))</f>
        <v>-</v>
      </c>
      <c r="D145" s="142">
        <f>IF(AND('A-3'!C145="-",'A-3'!C193="-",'A-3'!C241="-"),"-",SUM('A-3'!C145,'A-3'!C193,'A-3'!C241))</f>
        <v>32516</v>
      </c>
      <c r="E145" s="142">
        <f>IF(AND('A-3'!D145="-",'A-3'!D193="-",'A-3'!D241="-"),"-",SUM('A-3'!D145,'A-3'!D193,'A-3'!D241))</f>
        <v>49257</v>
      </c>
      <c r="F145" s="142">
        <f>IF(AND('A-3'!E145="-",'A-3'!E193="-",'A-3'!E241="-"),"-",SUM('A-3'!E145,'A-3'!E193,'A-3'!E241))</f>
        <v>65505</v>
      </c>
      <c r="G145" s="142">
        <f>IF(AND('A-3'!F145="-",'A-3'!F193="-",'A-3'!F241="-"),"-",SUM('A-3'!F145,'A-3'!F193,'A-3'!F241))</f>
        <v>19615</v>
      </c>
      <c r="H145" s="142">
        <f>IF(AND('A-3'!G145="-",'A-3'!G193="-",'A-3'!G241="-"),"-",SUM('A-3'!G145,'A-3'!G193,'A-3'!G241))</f>
        <v>8472</v>
      </c>
      <c r="I145" s="142">
        <f>IF(AND('A-3'!H145="-",'A-3'!H193="-",'A-3'!H241="-"),"-",SUM('A-3'!H145,'A-3'!H193,'A-3'!H241))</f>
        <v>2435</v>
      </c>
      <c r="J145" s="142" t="s">
        <v>23</v>
      </c>
      <c r="K145" s="142" t="s">
        <v>23</v>
      </c>
      <c r="L145" s="142">
        <f>IF(AND('A-3'!I145="-",'A-3'!I193="-",'A-3'!I241="-"),"-",SUM('A-3'!I145,'A-3'!I193,'A-3'!I241))</f>
        <v>177800</v>
      </c>
      <c r="M145" s="7"/>
      <c r="N145" s="142" t="s">
        <v>23</v>
      </c>
      <c r="O145" s="142" t="s">
        <v>23</v>
      </c>
      <c r="P145" s="142" t="s">
        <v>23</v>
      </c>
      <c r="Q145" s="142" t="s">
        <v>23</v>
      </c>
      <c r="R145" s="142" t="s">
        <v>23</v>
      </c>
      <c r="S145" s="142" t="s">
        <v>23</v>
      </c>
      <c r="T145" s="142" t="s">
        <v>23</v>
      </c>
      <c r="U145" s="142" t="s">
        <v>23</v>
      </c>
      <c r="V145" s="142" t="s">
        <v>23</v>
      </c>
      <c r="W145" s="142" t="s">
        <v>23</v>
      </c>
      <c r="X145" s="142" t="s">
        <v>23</v>
      </c>
    </row>
    <row r="146" spans="1:24" ht="11.25" customHeight="1">
      <c r="A146" s="99" t="s">
        <v>317</v>
      </c>
      <c r="B146" s="142" t="s">
        <v>23</v>
      </c>
      <c r="C146" s="142" t="str">
        <f>IF(AND('A-3'!B146="-",'A-3'!B194="-",'A-3'!B242="-"),"-",SUM('A-3'!B146,'A-3'!B194,'A-3'!B242))</f>
        <v>-</v>
      </c>
      <c r="D146" s="142">
        <f>IF(AND('A-3'!C146="-",'A-3'!C194="-",'A-3'!C242="-"),"-",SUM('A-3'!C146,'A-3'!C194,'A-3'!C242))</f>
        <v>46848</v>
      </c>
      <c r="E146" s="142">
        <f>IF(AND('A-3'!D146="-",'A-3'!D194="-",'A-3'!D242="-"),"-",SUM('A-3'!D146,'A-3'!D194,'A-3'!D242))</f>
        <v>76723</v>
      </c>
      <c r="F146" s="142">
        <f>IF(AND('A-3'!E146="-",'A-3'!E194="-",'A-3'!E242="-"),"-",SUM('A-3'!E146,'A-3'!E194,'A-3'!E242))</f>
        <v>12632</v>
      </c>
      <c r="G146" s="142">
        <f>IF(AND('A-3'!F146="-",'A-3'!F194="-",'A-3'!F242="-"),"-",SUM('A-3'!F146,'A-3'!F194,'A-3'!F242))</f>
        <v>56619</v>
      </c>
      <c r="H146" s="142">
        <f>IF(AND('A-3'!G146="-",'A-3'!G194="-",'A-3'!G242="-"),"-",SUM('A-3'!G146,'A-3'!G194,'A-3'!G242))</f>
        <v>7557</v>
      </c>
      <c r="I146" s="142">
        <f>IF(AND('A-3'!H146="-",'A-3'!H194="-",'A-3'!H242="-"),"-",SUM('A-3'!H146,'A-3'!H194,'A-3'!H242))</f>
        <v>1040</v>
      </c>
      <c r="J146" s="142" t="s">
        <v>23</v>
      </c>
      <c r="K146" s="142" t="s">
        <v>23</v>
      </c>
      <c r="L146" s="142">
        <f>IF(AND('A-3'!I146="-",'A-3'!I194="-",'A-3'!I242="-"),"-",SUM('A-3'!I146,'A-3'!I194,'A-3'!I242))</f>
        <v>201419</v>
      </c>
      <c r="M146" s="7"/>
      <c r="N146" s="142" t="s">
        <v>23</v>
      </c>
      <c r="O146" s="142" t="s">
        <v>23</v>
      </c>
      <c r="P146" s="142" t="s">
        <v>23</v>
      </c>
      <c r="Q146" s="142" t="s">
        <v>23</v>
      </c>
      <c r="R146" s="142" t="s">
        <v>23</v>
      </c>
      <c r="S146" s="142" t="s">
        <v>23</v>
      </c>
      <c r="T146" s="142" t="s">
        <v>23</v>
      </c>
      <c r="U146" s="142" t="s">
        <v>23</v>
      </c>
      <c r="V146" s="142" t="s">
        <v>23</v>
      </c>
      <c r="W146" s="142" t="s">
        <v>23</v>
      </c>
      <c r="X146" s="142" t="s">
        <v>23</v>
      </c>
    </row>
    <row r="147" spans="1:24" ht="11.25" customHeight="1">
      <c r="A147" s="99"/>
      <c r="M147" s="7"/>
    </row>
    <row r="148" spans="1:24" ht="11.25" customHeight="1">
      <c r="A148" s="97" t="s">
        <v>226</v>
      </c>
      <c r="M148" s="7"/>
    </row>
    <row r="149" spans="1:24" ht="11.25" customHeight="1">
      <c r="A149" s="99">
        <v>1976</v>
      </c>
      <c r="B149" s="142" t="str">
        <f t="shared" ref="B149:L149" si="3">IF(AND(B101="-",B53="-",B5="-"),"-",SUM(B101,B53,B5))</f>
        <v>-</v>
      </c>
      <c r="C149" s="142">
        <f t="shared" si="3"/>
        <v>56694</v>
      </c>
      <c r="D149" s="142">
        <f t="shared" si="3"/>
        <v>147515</v>
      </c>
      <c r="E149" s="142">
        <f t="shared" si="3"/>
        <v>157726</v>
      </c>
      <c r="F149" s="142">
        <f t="shared" si="3"/>
        <v>192224</v>
      </c>
      <c r="G149" s="142">
        <f t="shared" si="3"/>
        <v>89128</v>
      </c>
      <c r="H149" s="142">
        <f t="shared" si="3"/>
        <v>42783</v>
      </c>
      <c r="I149" s="142">
        <f t="shared" si="3"/>
        <v>8249</v>
      </c>
      <c r="J149" s="142">
        <f t="shared" si="3"/>
        <v>1854</v>
      </c>
      <c r="K149" s="142" t="str">
        <f t="shared" si="3"/>
        <v>-</v>
      </c>
      <c r="L149" s="142">
        <f t="shared" si="3"/>
        <v>696173</v>
      </c>
      <c r="M149" s="7"/>
      <c r="N149" s="142" t="str">
        <f t="shared" ref="N149:X149" si="4">IF(AND(N101="-",N53="-",N5="-"),"-",SUM(N101,N53,N5))</f>
        <v>-</v>
      </c>
      <c r="O149" s="142">
        <f t="shared" si="4"/>
        <v>42199</v>
      </c>
      <c r="P149" s="142">
        <f t="shared" si="4"/>
        <v>193157</v>
      </c>
      <c r="Q149" s="142">
        <f t="shared" si="4"/>
        <v>730317</v>
      </c>
      <c r="R149" s="142">
        <f t="shared" si="4"/>
        <v>901653</v>
      </c>
      <c r="S149" s="142">
        <f t="shared" si="4"/>
        <v>406536</v>
      </c>
      <c r="T149" s="142">
        <f t="shared" si="4"/>
        <v>35808</v>
      </c>
      <c r="U149" s="142">
        <f t="shared" si="4"/>
        <v>4602</v>
      </c>
      <c r="V149" s="142" t="str">
        <f t="shared" si="4"/>
        <v>-</v>
      </c>
      <c r="W149" s="142" t="str">
        <f t="shared" si="4"/>
        <v>-</v>
      </c>
      <c r="X149" s="142">
        <f t="shared" si="4"/>
        <v>2314272</v>
      </c>
    </row>
    <row r="150" spans="1:24" ht="11.25" customHeight="1">
      <c r="A150" s="99">
        <v>1977</v>
      </c>
      <c r="B150" s="142" t="str">
        <f t="shared" ref="B150:L150" si="5">IF(AND(B102="-",B54="-",B6="-"),"-",SUM(B102,B54,B6))</f>
        <v>-</v>
      </c>
      <c r="C150" s="142">
        <f t="shared" si="5"/>
        <v>82641</v>
      </c>
      <c r="D150" s="142">
        <f t="shared" si="5"/>
        <v>182132</v>
      </c>
      <c r="E150" s="142">
        <f t="shared" si="5"/>
        <v>143242</v>
      </c>
      <c r="F150" s="142">
        <f t="shared" si="5"/>
        <v>243885</v>
      </c>
      <c r="G150" s="142">
        <f t="shared" si="5"/>
        <v>193278</v>
      </c>
      <c r="H150" s="142">
        <f t="shared" si="5"/>
        <v>59230</v>
      </c>
      <c r="I150" s="142">
        <f t="shared" si="5"/>
        <v>9766</v>
      </c>
      <c r="J150" s="142">
        <f t="shared" si="5"/>
        <v>4141</v>
      </c>
      <c r="K150" s="142" t="str">
        <f t="shared" si="5"/>
        <v>-</v>
      </c>
      <c r="L150" s="142">
        <f t="shared" si="5"/>
        <v>918315</v>
      </c>
      <c r="M150" s="7"/>
      <c r="N150" s="142" t="str">
        <f t="shared" ref="N150:X150" si="6">IF(AND(N102="-",N54="-",N6="-"),"-",SUM(N102,N54,N6))</f>
        <v>-</v>
      </c>
      <c r="O150" s="142">
        <f t="shared" si="6"/>
        <v>87847</v>
      </c>
      <c r="P150" s="142">
        <f t="shared" si="6"/>
        <v>11690</v>
      </c>
      <c r="Q150" s="142">
        <f t="shared" si="6"/>
        <v>74466</v>
      </c>
      <c r="R150" s="142">
        <f t="shared" si="6"/>
        <v>239927</v>
      </c>
      <c r="S150" s="142">
        <f t="shared" si="6"/>
        <v>83721</v>
      </c>
      <c r="T150" s="142">
        <f t="shared" si="6"/>
        <v>7650</v>
      </c>
      <c r="U150" s="142">
        <f t="shared" si="6"/>
        <v>592</v>
      </c>
      <c r="V150" s="142" t="str">
        <f t="shared" si="6"/>
        <v>-</v>
      </c>
      <c r="W150" s="142" t="str">
        <f t="shared" si="6"/>
        <v>-</v>
      </c>
      <c r="X150" s="142">
        <f t="shared" si="6"/>
        <v>505893</v>
      </c>
    </row>
    <row r="151" spans="1:24" ht="11.25" customHeight="1">
      <c r="A151" s="99">
        <v>1978</v>
      </c>
      <c r="B151" s="142" t="str">
        <f>IF(AND(B103="-",B55="-",B7="-"),"-",SUM(B103,B55,B7))</f>
        <v>-</v>
      </c>
      <c r="C151" s="142">
        <f>IF(AND(C103="-",C55="-",C7="-"),"-",SUM(C103,C55,C7))</f>
        <v>31539</v>
      </c>
      <c r="D151" s="142">
        <f t="shared" ref="D151:L151" si="7">IF(AND(D103="-",D55="-",D7="-"),"-",SUM(D103,D55,D7))</f>
        <v>234041</v>
      </c>
      <c r="E151" s="142">
        <f t="shared" si="7"/>
        <v>252858</v>
      </c>
      <c r="F151" s="142">
        <f t="shared" si="7"/>
        <v>159840</v>
      </c>
      <c r="G151" s="142">
        <f t="shared" si="7"/>
        <v>79769</v>
      </c>
      <c r="H151" s="142">
        <f t="shared" si="7"/>
        <v>45174</v>
      </c>
      <c r="I151" s="142">
        <f t="shared" si="7"/>
        <v>7322</v>
      </c>
      <c r="J151" s="142">
        <f t="shared" si="7"/>
        <v>3451</v>
      </c>
      <c r="K151" s="142" t="str">
        <f t="shared" si="7"/>
        <v>-</v>
      </c>
      <c r="L151" s="142">
        <f t="shared" si="7"/>
        <v>813994</v>
      </c>
      <c r="M151" s="7"/>
      <c r="N151" s="142" t="str">
        <f t="shared" ref="N151:X151" si="8">IF(AND(N103="-",N55="-",N7="-"),"-",SUM(N103,N55,N7))</f>
        <v>-</v>
      </c>
      <c r="O151" s="142">
        <f t="shared" si="8"/>
        <v>63</v>
      </c>
      <c r="P151" s="142">
        <f t="shared" si="8"/>
        <v>52488</v>
      </c>
      <c r="Q151" s="142">
        <f t="shared" si="8"/>
        <v>471440</v>
      </c>
      <c r="R151" s="142">
        <f t="shared" si="8"/>
        <v>246683</v>
      </c>
      <c r="S151" s="142">
        <f t="shared" si="8"/>
        <v>90670</v>
      </c>
      <c r="T151" s="142">
        <f t="shared" si="8"/>
        <v>9390</v>
      </c>
      <c r="U151" s="142">
        <f t="shared" si="8"/>
        <v>509</v>
      </c>
      <c r="V151" s="142" t="str">
        <f t="shared" si="8"/>
        <v>-</v>
      </c>
      <c r="W151" s="142" t="str">
        <f t="shared" si="8"/>
        <v>-</v>
      </c>
      <c r="X151" s="142">
        <f t="shared" si="8"/>
        <v>871243</v>
      </c>
    </row>
    <row r="152" spans="1:24" ht="11.25" customHeight="1">
      <c r="A152" s="99">
        <v>1979</v>
      </c>
      <c r="B152" s="142" t="str">
        <f t="shared" ref="B152:L152" si="9">IF(AND(B104="-",B56="-",B8="-"),"-",SUM(B104,B56,B8))</f>
        <v>-</v>
      </c>
      <c r="C152" s="142">
        <f t="shared" si="9"/>
        <v>38</v>
      </c>
      <c r="D152" s="142">
        <f t="shared" si="9"/>
        <v>228359</v>
      </c>
      <c r="E152" s="142">
        <f t="shared" si="9"/>
        <v>96274</v>
      </c>
      <c r="F152" s="142">
        <f t="shared" si="9"/>
        <v>303756</v>
      </c>
      <c r="G152" s="142">
        <f t="shared" si="9"/>
        <v>234985</v>
      </c>
      <c r="H152" s="142">
        <f t="shared" si="9"/>
        <v>71616</v>
      </c>
      <c r="I152" s="142">
        <f t="shared" si="9"/>
        <v>25945</v>
      </c>
      <c r="J152" s="142">
        <f t="shared" si="9"/>
        <v>1861</v>
      </c>
      <c r="K152" s="142" t="str">
        <f t="shared" si="9"/>
        <v>-</v>
      </c>
      <c r="L152" s="142">
        <f t="shared" si="9"/>
        <v>962834</v>
      </c>
      <c r="M152" s="7"/>
      <c r="N152" s="142" t="str">
        <f t="shared" ref="N152:X152" si="10">IF(AND(N104="-",N56="-",N8="-"),"-",SUM(N104,N56,N8))</f>
        <v>-</v>
      </c>
      <c r="O152" s="142">
        <f t="shared" si="10"/>
        <v>12</v>
      </c>
      <c r="P152" s="142">
        <f t="shared" si="10"/>
        <v>15804</v>
      </c>
      <c r="Q152" s="142">
        <f t="shared" si="10"/>
        <v>63431</v>
      </c>
      <c r="R152" s="142">
        <f t="shared" si="10"/>
        <v>616388</v>
      </c>
      <c r="S152" s="142">
        <f t="shared" si="10"/>
        <v>141354</v>
      </c>
      <c r="T152" s="142">
        <f t="shared" si="10"/>
        <v>1397</v>
      </c>
      <c r="U152" s="142">
        <f t="shared" si="10"/>
        <v>0</v>
      </c>
      <c r="V152" s="142" t="str">
        <f t="shared" si="10"/>
        <v>-</v>
      </c>
      <c r="W152" s="142" t="str">
        <f t="shared" si="10"/>
        <v>-</v>
      </c>
      <c r="X152" s="142">
        <f t="shared" si="10"/>
        <v>838386</v>
      </c>
    </row>
    <row r="153" spans="1:24" ht="11.25" customHeight="1">
      <c r="A153" s="99">
        <v>1980</v>
      </c>
      <c r="B153" s="142" t="str">
        <f t="shared" ref="B153:L153" si="11">IF(AND(B105="-",B57="-",B9="-"),"-",SUM(B105,B57,B9))</f>
        <v>-</v>
      </c>
      <c r="C153" s="142" t="str">
        <f t="shared" si="11"/>
        <v>-</v>
      </c>
      <c r="D153" s="142">
        <f t="shared" si="11"/>
        <v>253387</v>
      </c>
      <c r="E153" s="142">
        <f t="shared" si="11"/>
        <v>27605</v>
      </c>
      <c r="F153" s="142">
        <f t="shared" si="11"/>
        <v>306079</v>
      </c>
      <c r="G153" s="142">
        <f t="shared" si="11"/>
        <v>117532</v>
      </c>
      <c r="H153" s="142">
        <f t="shared" si="11"/>
        <v>66728</v>
      </c>
      <c r="I153" s="142">
        <f t="shared" si="11"/>
        <v>16034</v>
      </c>
      <c r="J153" s="142">
        <f t="shared" si="11"/>
        <v>984</v>
      </c>
      <c r="K153" s="142" t="str">
        <f t="shared" si="11"/>
        <v>-</v>
      </c>
      <c r="L153" s="142">
        <f t="shared" si="11"/>
        <v>788349</v>
      </c>
      <c r="M153" s="7"/>
      <c r="N153" s="142" t="str">
        <f t="shared" ref="N153:X153" si="12">IF(AND(N105="-",N57="-",N9="-"),"-",SUM(N105,N57,N9))</f>
        <v>-</v>
      </c>
      <c r="O153" s="142">
        <f t="shared" si="12"/>
        <v>0</v>
      </c>
      <c r="P153" s="142">
        <f t="shared" si="12"/>
        <v>1347</v>
      </c>
      <c r="Q153" s="142">
        <f t="shared" si="12"/>
        <v>0</v>
      </c>
      <c r="R153" s="142">
        <f t="shared" si="12"/>
        <v>117418</v>
      </c>
      <c r="S153" s="142">
        <f t="shared" si="12"/>
        <v>35062</v>
      </c>
      <c r="T153" s="142">
        <f t="shared" si="12"/>
        <v>6189</v>
      </c>
      <c r="U153" s="142">
        <f t="shared" si="12"/>
        <v>0</v>
      </c>
      <c r="V153" s="142" t="str">
        <f t="shared" si="12"/>
        <v>-</v>
      </c>
      <c r="W153" s="142" t="str">
        <f t="shared" si="12"/>
        <v>-</v>
      </c>
      <c r="X153" s="142">
        <f t="shared" si="12"/>
        <v>160016</v>
      </c>
    </row>
    <row r="154" spans="1:24" ht="11.25" customHeight="1">
      <c r="A154" s="99">
        <v>1981</v>
      </c>
      <c r="B154" s="142" t="str">
        <f t="shared" ref="B154:L154" si="13">IF(AND(B106="-",B58="-",B10="-"),"-",SUM(B106,B58,B10))</f>
        <v>-</v>
      </c>
      <c r="C154" s="142" t="str">
        <f t="shared" si="13"/>
        <v>-</v>
      </c>
      <c r="D154" s="142">
        <f t="shared" si="13"/>
        <v>223654</v>
      </c>
      <c r="E154" s="142">
        <f t="shared" si="13"/>
        <v>59062</v>
      </c>
      <c r="F154" s="142">
        <f t="shared" si="13"/>
        <v>207951</v>
      </c>
      <c r="G154" s="142">
        <f t="shared" si="13"/>
        <v>176021</v>
      </c>
      <c r="H154" s="142">
        <f t="shared" si="13"/>
        <v>54579</v>
      </c>
      <c r="I154" s="142">
        <f t="shared" si="13"/>
        <v>13003</v>
      </c>
      <c r="J154" s="142">
        <f t="shared" si="13"/>
        <v>1218</v>
      </c>
      <c r="K154" s="142" t="str">
        <f t="shared" si="13"/>
        <v>-</v>
      </c>
      <c r="L154" s="142">
        <f t="shared" si="13"/>
        <v>735488</v>
      </c>
      <c r="M154" s="7"/>
      <c r="N154" s="142" t="str">
        <f t="shared" ref="N154:X154" si="14">IF(AND(N106="-",N58="-",N10="-"),"-",SUM(N106,N58,N10))</f>
        <v>-</v>
      </c>
      <c r="O154" s="142">
        <f t="shared" si="14"/>
        <v>0</v>
      </c>
      <c r="P154" s="142">
        <f t="shared" si="14"/>
        <v>17963</v>
      </c>
      <c r="Q154" s="142">
        <f t="shared" si="14"/>
        <v>8060</v>
      </c>
      <c r="R154" s="142">
        <f t="shared" si="14"/>
        <v>330134</v>
      </c>
      <c r="S154" s="142">
        <f t="shared" si="14"/>
        <v>289214</v>
      </c>
      <c r="T154" s="142">
        <f t="shared" si="14"/>
        <v>3061</v>
      </c>
      <c r="U154" s="142">
        <f t="shared" si="14"/>
        <v>0</v>
      </c>
      <c r="V154" s="142" t="str">
        <f t="shared" si="14"/>
        <v>-</v>
      </c>
      <c r="W154" s="142" t="str">
        <f t="shared" si="14"/>
        <v>-</v>
      </c>
      <c r="X154" s="142">
        <f t="shared" si="14"/>
        <v>648432</v>
      </c>
    </row>
    <row r="155" spans="1:24" ht="11.25" customHeight="1">
      <c r="A155" s="99">
        <v>1982</v>
      </c>
      <c r="B155" s="142" t="str">
        <f t="shared" ref="B155:L155" si="15">IF(AND(B107="-",B59="-",B11="-"),"-",SUM(B107,B59,B11))</f>
        <v>-</v>
      </c>
      <c r="C155" s="142">
        <f t="shared" si="15"/>
        <v>59844</v>
      </c>
      <c r="D155" s="142">
        <f t="shared" si="15"/>
        <v>215844</v>
      </c>
      <c r="E155" s="142">
        <f t="shared" si="15"/>
        <v>96444</v>
      </c>
      <c r="F155" s="142">
        <f t="shared" si="15"/>
        <v>366362</v>
      </c>
      <c r="G155" s="142">
        <f t="shared" si="15"/>
        <v>184516</v>
      </c>
      <c r="H155" s="142">
        <f t="shared" si="15"/>
        <v>46512</v>
      </c>
      <c r="I155" s="142">
        <f t="shared" si="15"/>
        <v>7996</v>
      </c>
      <c r="J155" s="142">
        <f t="shared" si="15"/>
        <v>1400</v>
      </c>
      <c r="K155" s="142" t="str">
        <f t="shared" si="15"/>
        <v>-</v>
      </c>
      <c r="L155" s="142">
        <f t="shared" si="15"/>
        <v>978918</v>
      </c>
      <c r="M155" s="7"/>
      <c r="N155" s="142" t="str">
        <f t="shared" ref="N155:X155" si="16">IF(AND(N107="-",N59="-",N11="-"),"-",SUM(N107,N59,N11))</f>
        <v>-</v>
      </c>
      <c r="O155" s="142">
        <f t="shared" si="16"/>
        <v>115</v>
      </c>
      <c r="P155" s="142">
        <f t="shared" si="16"/>
        <v>1804</v>
      </c>
      <c r="Q155" s="142">
        <f t="shared" si="16"/>
        <v>12897</v>
      </c>
      <c r="R155" s="142">
        <f t="shared" si="16"/>
        <v>539441</v>
      </c>
      <c r="S155" s="142">
        <f t="shared" si="16"/>
        <v>15015</v>
      </c>
      <c r="T155" s="142">
        <f t="shared" si="16"/>
        <v>1800</v>
      </c>
      <c r="U155" s="142">
        <f t="shared" si="16"/>
        <v>0</v>
      </c>
      <c r="V155" s="142" t="str">
        <f t="shared" si="16"/>
        <v>-</v>
      </c>
      <c r="W155" s="142" t="str">
        <f t="shared" si="16"/>
        <v>-</v>
      </c>
      <c r="X155" s="142">
        <f t="shared" si="16"/>
        <v>571072</v>
      </c>
    </row>
    <row r="156" spans="1:24" ht="11.25" customHeight="1">
      <c r="A156" s="99">
        <v>1983</v>
      </c>
      <c r="B156" s="142" t="str">
        <f t="shared" ref="B156:L156" si="17">IF(AND(B108="-",B60="-",B12="-"),"-",SUM(B108,B60,B12))</f>
        <v>-</v>
      </c>
      <c r="C156" s="142">
        <f t="shared" si="17"/>
        <v>2187</v>
      </c>
      <c r="D156" s="142">
        <f t="shared" si="17"/>
        <v>98510</v>
      </c>
      <c r="E156" s="142">
        <f t="shared" si="17"/>
        <v>97863</v>
      </c>
      <c r="F156" s="142">
        <f t="shared" si="17"/>
        <v>117320</v>
      </c>
      <c r="G156" s="142">
        <f t="shared" si="17"/>
        <v>36407</v>
      </c>
      <c r="H156" s="142">
        <f t="shared" si="17"/>
        <v>6288</v>
      </c>
      <c r="I156" s="142">
        <f t="shared" si="17"/>
        <v>4667</v>
      </c>
      <c r="J156" s="142">
        <f t="shared" si="17"/>
        <v>869</v>
      </c>
      <c r="K156" s="142" t="str">
        <f t="shared" si="17"/>
        <v>-</v>
      </c>
      <c r="L156" s="142">
        <f t="shared" si="17"/>
        <v>364111</v>
      </c>
      <c r="M156" s="7"/>
      <c r="N156" s="142" t="str">
        <f t="shared" ref="N156:X156" si="18">IF(AND(N108="-",N60="-",N12="-"),"-",SUM(N108,N60,N12))</f>
        <v>-</v>
      </c>
      <c r="O156" s="142">
        <f t="shared" si="18"/>
        <v>68</v>
      </c>
      <c r="P156" s="142">
        <f t="shared" si="18"/>
        <v>365</v>
      </c>
      <c r="Q156" s="142">
        <f t="shared" si="18"/>
        <v>29593</v>
      </c>
      <c r="R156" s="142">
        <f t="shared" si="18"/>
        <v>295400</v>
      </c>
      <c r="S156" s="142">
        <f t="shared" si="18"/>
        <v>41873</v>
      </c>
      <c r="T156" s="142">
        <f t="shared" si="18"/>
        <v>5939</v>
      </c>
      <c r="U156" s="142">
        <f t="shared" si="18"/>
        <v>0</v>
      </c>
      <c r="V156" s="142" t="str">
        <f t="shared" si="18"/>
        <v>-</v>
      </c>
      <c r="W156" s="142" t="str">
        <f t="shared" si="18"/>
        <v>-</v>
      </c>
      <c r="X156" s="142">
        <f t="shared" si="18"/>
        <v>373238</v>
      </c>
    </row>
    <row r="157" spans="1:24" ht="11.25" customHeight="1">
      <c r="A157" s="99">
        <v>1984</v>
      </c>
      <c r="B157" s="142" t="str">
        <f t="shared" ref="B157:L157" si="19">IF(AND(B109="-",B61="-",B13="-"),"-",SUM(B109,B61,B13))</f>
        <v>-</v>
      </c>
      <c r="C157" s="142" t="str">
        <f t="shared" si="19"/>
        <v>-</v>
      </c>
      <c r="D157" s="142">
        <f t="shared" si="19"/>
        <v>34328</v>
      </c>
      <c r="E157" s="142">
        <f t="shared" si="19"/>
        <v>59972</v>
      </c>
      <c r="F157" s="142">
        <f t="shared" si="19"/>
        <v>130821</v>
      </c>
      <c r="G157" s="142">
        <f t="shared" si="19"/>
        <v>110657</v>
      </c>
      <c r="H157" s="142">
        <f t="shared" si="19"/>
        <v>22785</v>
      </c>
      <c r="I157" s="142">
        <f t="shared" si="19"/>
        <v>956</v>
      </c>
      <c r="J157" s="142">
        <f t="shared" si="19"/>
        <v>905</v>
      </c>
      <c r="K157" s="142" t="str">
        <f t="shared" si="19"/>
        <v>-</v>
      </c>
      <c r="L157" s="142">
        <f t="shared" si="19"/>
        <v>360424</v>
      </c>
      <c r="M157" s="7"/>
      <c r="N157" s="142" t="str">
        <f t="shared" ref="N157:X157" si="20">IF(AND(N109="-",N61="-",N13="-"),"-",SUM(N109,N61,N13))</f>
        <v>-</v>
      </c>
      <c r="O157" s="142">
        <f t="shared" si="20"/>
        <v>0</v>
      </c>
      <c r="P157" s="142">
        <f t="shared" si="20"/>
        <v>0</v>
      </c>
      <c r="Q157" s="142">
        <f t="shared" si="20"/>
        <v>11232</v>
      </c>
      <c r="R157" s="142">
        <f t="shared" si="20"/>
        <v>29171</v>
      </c>
      <c r="S157" s="142">
        <f t="shared" si="20"/>
        <v>6286</v>
      </c>
      <c r="T157" s="142">
        <f t="shared" si="20"/>
        <v>333</v>
      </c>
      <c r="U157" s="142">
        <f t="shared" si="20"/>
        <v>0</v>
      </c>
      <c r="V157" s="142" t="str">
        <f t="shared" si="20"/>
        <v>-</v>
      </c>
      <c r="W157" s="142" t="str">
        <f t="shared" si="20"/>
        <v>-</v>
      </c>
      <c r="X157" s="142">
        <f t="shared" si="20"/>
        <v>47022</v>
      </c>
    </row>
    <row r="158" spans="1:24" ht="11.25" customHeight="1">
      <c r="A158" s="99">
        <v>1985</v>
      </c>
      <c r="B158" s="142" t="str">
        <f t="shared" ref="B158:L158" si="21">IF(AND(B110="-",B62="-",B14="-"),"-",SUM(B110,B62,B14))</f>
        <v>-</v>
      </c>
      <c r="C158" s="142" t="str">
        <f t="shared" si="21"/>
        <v>-</v>
      </c>
      <c r="D158" s="142">
        <f t="shared" si="21"/>
        <v>126283</v>
      </c>
      <c r="E158" s="142">
        <f t="shared" si="21"/>
        <v>103693</v>
      </c>
      <c r="F158" s="142">
        <f t="shared" si="21"/>
        <v>174920</v>
      </c>
      <c r="G158" s="142">
        <f t="shared" si="21"/>
        <v>121676</v>
      </c>
      <c r="H158" s="142">
        <f t="shared" si="21"/>
        <v>41257</v>
      </c>
      <c r="I158" s="142">
        <f t="shared" si="21"/>
        <v>4872</v>
      </c>
      <c r="J158" s="142">
        <f t="shared" si="21"/>
        <v>1353</v>
      </c>
      <c r="K158" s="142" t="str">
        <f t="shared" si="21"/>
        <v>-</v>
      </c>
      <c r="L158" s="142">
        <f t="shared" si="21"/>
        <v>574054</v>
      </c>
      <c r="M158" s="7"/>
      <c r="N158" s="142" t="str">
        <f t="shared" ref="N158:X158" si="22">IF(AND(N110="-",N62="-",N14="-"),"-",SUM(N110,N62,N14))</f>
        <v>-</v>
      </c>
      <c r="O158" s="142">
        <f t="shared" si="22"/>
        <v>0</v>
      </c>
      <c r="P158" s="142">
        <f t="shared" si="22"/>
        <v>15</v>
      </c>
      <c r="Q158" s="142">
        <f t="shared" si="22"/>
        <v>2957</v>
      </c>
      <c r="R158" s="142">
        <f t="shared" si="22"/>
        <v>50500</v>
      </c>
      <c r="S158" s="142">
        <f t="shared" si="22"/>
        <v>1301</v>
      </c>
      <c r="T158" s="142">
        <f t="shared" si="22"/>
        <v>66</v>
      </c>
      <c r="U158" s="142">
        <f t="shared" si="22"/>
        <v>0</v>
      </c>
      <c r="V158" s="142" t="str">
        <f t="shared" si="22"/>
        <v>-</v>
      </c>
      <c r="W158" s="142" t="str">
        <f t="shared" si="22"/>
        <v>-</v>
      </c>
      <c r="X158" s="142">
        <f t="shared" si="22"/>
        <v>54839</v>
      </c>
    </row>
    <row r="159" spans="1:24" ht="11.25" customHeight="1">
      <c r="A159" s="99">
        <v>1986</v>
      </c>
      <c r="B159" s="142" t="str">
        <f t="shared" ref="B159:L159" si="23">IF(AND(B111="-",B63="-",B15="-"),"-",SUM(B111,B63,B15))</f>
        <v>-</v>
      </c>
      <c r="C159" s="142" t="str">
        <f t="shared" si="23"/>
        <v>-</v>
      </c>
      <c r="D159" s="142">
        <f t="shared" si="23"/>
        <v>255984</v>
      </c>
      <c r="E159" s="142">
        <f t="shared" si="23"/>
        <v>343165</v>
      </c>
      <c r="F159" s="142">
        <f t="shared" si="23"/>
        <v>353247</v>
      </c>
      <c r="G159" s="142">
        <f t="shared" si="23"/>
        <v>198563</v>
      </c>
      <c r="H159" s="142">
        <f t="shared" si="23"/>
        <v>43056</v>
      </c>
      <c r="I159" s="142">
        <f t="shared" si="23"/>
        <v>26722</v>
      </c>
      <c r="J159" s="142">
        <f t="shared" si="23"/>
        <v>624</v>
      </c>
      <c r="K159" s="142" t="str">
        <f t="shared" si="23"/>
        <v>-</v>
      </c>
      <c r="L159" s="142">
        <f t="shared" si="23"/>
        <v>1221361</v>
      </c>
      <c r="M159" s="7"/>
      <c r="N159" s="142" t="str">
        <f t="shared" ref="N159:X159" si="24">IF(AND(N111="-",N63="-",N15="-"),"-",SUM(N111,N63,N15))</f>
        <v>-</v>
      </c>
      <c r="O159" s="142" t="str">
        <f t="shared" si="24"/>
        <v>-</v>
      </c>
      <c r="P159" s="142" t="str">
        <f t="shared" si="24"/>
        <v>-</v>
      </c>
      <c r="Q159" s="142">
        <f t="shared" si="24"/>
        <v>27983</v>
      </c>
      <c r="R159" s="142">
        <f t="shared" si="24"/>
        <v>400551</v>
      </c>
      <c r="S159" s="142">
        <f t="shared" si="24"/>
        <v>2077</v>
      </c>
      <c r="T159" s="142">
        <f t="shared" si="24"/>
        <v>129</v>
      </c>
      <c r="U159" s="142">
        <f t="shared" si="24"/>
        <v>0</v>
      </c>
      <c r="V159" s="142" t="str">
        <f t="shared" si="24"/>
        <v>-</v>
      </c>
      <c r="W159" s="142" t="str">
        <f t="shared" si="24"/>
        <v>-</v>
      </c>
      <c r="X159" s="142">
        <f t="shared" si="24"/>
        <v>430740</v>
      </c>
    </row>
    <row r="160" spans="1:24" ht="11.25" customHeight="1">
      <c r="A160" s="99">
        <v>1987</v>
      </c>
      <c r="B160" s="142" t="str">
        <f t="shared" ref="B160:L160" si="25">IF(AND(B112="-",B64="-",B16="-"),"-",SUM(B112,B64,B16))</f>
        <v>-</v>
      </c>
      <c r="C160" s="142" t="str">
        <f t="shared" si="25"/>
        <v>-</v>
      </c>
      <c r="D160" s="142">
        <f t="shared" si="25"/>
        <v>303827</v>
      </c>
      <c r="E160" s="142">
        <f t="shared" si="25"/>
        <v>350213</v>
      </c>
      <c r="F160" s="142">
        <f t="shared" si="25"/>
        <v>474226</v>
      </c>
      <c r="G160" s="142">
        <f t="shared" si="25"/>
        <v>166892</v>
      </c>
      <c r="H160" s="142">
        <f t="shared" si="25"/>
        <v>81269</v>
      </c>
      <c r="I160" s="142">
        <f t="shared" si="25"/>
        <v>17255</v>
      </c>
      <c r="J160" s="142">
        <f t="shared" si="25"/>
        <v>1916</v>
      </c>
      <c r="K160" s="142" t="str">
        <f t="shared" si="25"/>
        <v>-</v>
      </c>
      <c r="L160" s="142">
        <f t="shared" si="25"/>
        <v>1395598</v>
      </c>
      <c r="M160" s="7"/>
      <c r="N160" s="142" t="str">
        <f t="shared" ref="N160:X160" si="26">IF(AND(N112="-",N64="-",N16="-"),"-",SUM(N112,N64,N16))</f>
        <v>-</v>
      </c>
      <c r="O160" s="142" t="str">
        <f t="shared" si="26"/>
        <v>-</v>
      </c>
      <c r="P160" s="142" t="str">
        <f t="shared" si="26"/>
        <v>-</v>
      </c>
      <c r="Q160" s="142">
        <f t="shared" si="26"/>
        <v>29040</v>
      </c>
      <c r="R160" s="142">
        <f t="shared" si="26"/>
        <v>272523.47343425348</v>
      </c>
      <c r="S160" s="142">
        <f t="shared" si="26"/>
        <v>58754</v>
      </c>
      <c r="T160" s="142">
        <f t="shared" si="26"/>
        <v>22218</v>
      </c>
      <c r="U160" s="142">
        <f t="shared" si="26"/>
        <v>0</v>
      </c>
      <c r="V160" s="142" t="str">
        <f t="shared" si="26"/>
        <v>-</v>
      </c>
      <c r="W160" s="142" t="str">
        <f t="shared" si="26"/>
        <v>-</v>
      </c>
      <c r="X160" s="142">
        <f t="shared" si="26"/>
        <v>382535.47343425348</v>
      </c>
    </row>
    <row r="161" spans="1:24" ht="11.25" customHeight="1">
      <c r="A161" s="99">
        <v>1988</v>
      </c>
      <c r="B161" s="142" t="str">
        <f t="shared" ref="B161:L161" si="27">IF(AND(B113="-",B65="-",B17="-"),"-",SUM(B113,B65,B17))</f>
        <v>-</v>
      </c>
      <c r="C161" s="142" t="str">
        <f t="shared" si="27"/>
        <v>-</v>
      </c>
      <c r="D161" s="142">
        <f t="shared" si="27"/>
        <v>447718</v>
      </c>
      <c r="E161" s="142">
        <f t="shared" si="27"/>
        <v>471617</v>
      </c>
      <c r="F161" s="142">
        <f t="shared" si="27"/>
        <v>481240</v>
      </c>
      <c r="G161" s="142">
        <f t="shared" si="27"/>
        <v>240841</v>
      </c>
      <c r="H161" s="142">
        <f t="shared" si="27"/>
        <v>92485</v>
      </c>
      <c r="I161" s="142">
        <f t="shared" si="27"/>
        <v>43426</v>
      </c>
      <c r="J161" s="142">
        <f t="shared" si="27"/>
        <v>1851</v>
      </c>
      <c r="K161" s="142" t="str">
        <f t="shared" si="27"/>
        <v>-</v>
      </c>
      <c r="L161" s="142">
        <f t="shared" si="27"/>
        <v>1779178</v>
      </c>
      <c r="M161" s="7"/>
      <c r="N161" s="142" t="str">
        <f t="shared" ref="N161:X161" si="28">IF(AND(N113="-",N65="-",N17="-"),"-",SUM(N113,N65,N17))</f>
        <v>-</v>
      </c>
      <c r="O161" s="142" t="str">
        <f t="shared" si="28"/>
        <v>-</v>
      </c>
      <c r="P161" s="142" t="str">
        <f t="shared" si="28"/>
        <v>-</v>
      </c>
      <c r="Q161" s="142">
        <f t="shared" si="28"/>
        <v>24698</v>
      </c>
      <c r="R161" s="142">
        <f t="shared" si="28"/>
        <v>411079</v>
      </c>
      <c r="S161" s="142">
        <f t="shared" si="28"/>
        <v>235982</v>
      </c>
      <c r="T161" s="142">
        <f t="shared" si="28"/>
        <v>1607</v>
      </c>
      <c r="U161" s="142">
        <f t="shared" si="28"/>
        <v>0</v>
      </c>
      <c r="V161" s="142" t="str">
        <f t="shared" si="28"/>
        <v>-</v>
      </c>
      <c r="W161" s="142" t="str">
        <f t="shared" si="28"/>
        <v>-</v>
      </c>
      <c r="X161" s="142">
        <f t="shared" si="28"/>
        <v>673366</v>
      </c>
    </row>
    <row r="162" spans="1:24" ht="11.25" customHeight="1">
      <c r="A162" s="99">
        <v>1989</v>
      </c>
      <c r="B162" s="142" t="str">
        <f t="shared" ref="B162:L162" si="29">IF(AND(B114="-",B66="-",B18="-"),"-",SUM(B114,B66,B18))</f>
        <v>-</v>
      </c>
      <c r="C162" s="142" t="str">
        <f t="shared" si="29"/>
        <v>-</v>
      </c>
      <c r="D162" s="142">
        <f t="shared" si="29"/>
        <v>263369</v>
      </c>
      <c r="E162" s="142">
        <f t="shared" si="29"/>
        <v>211716</v>
      </c>
      <c r="F162" s="142">
        <f t="shared" si="29"/>
        <v>182704</v>
      </c>
      <c r="G162" s="142">
        <f t="shared" si="29"/>
        <v>155963</v>
      </c>
      <c r="H162" s="142">
        <f t="shared" si="29"/>
        <v>47607</v>
      </c>
      <c r="I162" s="142">
        <f t="shared" si="29"/>
        <v>17784</v>
      </c>
      <c r="J162" s="142">
        <f t="shared" si="29"/>
        <v>2178</v>
      </c>
      <c r="K162" s="142" t="str">
        <f t="shared" si="29"/>
        <v>-</v>
      </c>
      <c r="L162" s="142">
        <f t="shared" si="29"/>
        <v>881321</v>
      </c>
      <c r="M162" s="7"/>
      <c r="N162" s="142" t="str">
        <f t="shared" ref="N162:X162" si="30">IF(AND(N114="-",N66="-",N18="-"),"-",SUM(N114,N66,N18))</f>
        <v>-</v>
      </c>
      <c r="O162" s="142" t="str">
        <f t="shared" si="30"/>
        <v>-</v>
      </c>
      <c r="P162" s="142" t="str">
        <f t="shared" si="30"/>
        <v>-</v>
      </c>
      <c r="Q162" s="142">
        <f t="shared" si="30"/>
        <v>17040</v>
      </c>
      <c r="R162" s="142">
        <f t="shared" si="30"/>
        <v>388086</v>
      </c>
      <c r="S162" s="142">
        <f t="shared" si="30"/>
        <v>70023.6571381416</v>
      </c>
      <c r="T162" s="142">
        <f t="shared" si="30"/>
        <v>458.8</v>
      </c>
      <c r="U162" s="142" t="str">
        <f t="shared" si="30"/>
        <v>-</v>
      </c>
      <c r="V162" s="142" t="str">
        <f t="shared" si="30"/>
        <v>-</v>
      </c>
      <c r="W162" s="142" t="str">
        <f t="shared" si="30"/>
        <v>-</v>
      </c>
      <c r="X162" s="142">
        <f t="shared" si="30"/>
        <v>475608.45713814162</v>
      </c>
    </row>
    <row r="163" spans="1:24" ht="11.25" customHeight="1">
      <c r="A163" s="99">
        <v>1990</v>
      </c>
      <c r="B163" s="142" t="str">
        <f t="shared" ref="B163:L163" si="31">IF(AND(B115="-",B67="-",B19="-"),"-",SUM(B115,B67,B19))</f>
        <v>-</v>
      </c>
      <c r="C163" s="142" t="str">
        <f t="shared" si="31"/>
        <v>-</v>
      </c>
      <c r="D163" s="142">
        <f t="shared" si="31"/>
        <v>160275</v>
      </c>
      <c r="E163" s="142">
        <f t="shared" si="31"/>
        <v>206551</v>
      </c>
      <c r="F163" s="142">
        <f t="shared" si="31"/>
        <v>191107</v>
      </c>
      <c r="G163" s="142">
        <f t="shared" si="31"/>
        <v>76972</v>
      </c>
      <c r="H163" s="142">
        <f t="shared" si="31"/>
        <v>14180</v>
      </c>
      <c r="I163" s="142">
        <f t="shared" si="31"/>
        <v>4218</v>
      </c>
      <c r="J163" s="142" t="str">
        <f t="shared" si="31"/>
        <v>-</v>
      </c>
      <c r="K163" s="142" t="str">
        <f t="shared" si="31"/>
        <v>-</v>
      </c>
      <c r="L163" s="142">
        <f t="shared" si="31"/>
        <v>653303</v>
      </c>
      <c r="M163" s="7"/>
      <c r="N163" s="142" t="str">
        <f t="shared" ref="N163:X163" si="32">IF(AND(N115="-",N67="-",N19="-"),"-",SUM(N115,N67,N19))</f>
        <v>-</v>
      </c>
      <c r="O163" s="142" t="str">
        <f t="shared" si="32"/>
        <v>-</v>
      </c>
      <c r="P163" s="142" t="str">
        <f t="shared" si="32"/>
        <v>-</v>
      </c>
      <c r="Q163" s="142">
        <f t="shared" si="32"/>
        <v>38687</v>
      </c>
      <c r="R163" s="142">
        <f t="shared" si="32"/>
        <v>96541</v>
      </c>
      <c r="S163" s="142">
        <f t="shared" si="32"/>
        <v>34547.1</v>
      </c>
      <c r="T163" s="142">
        <f t="shared" si="32"/>
        <v>1.2</v>
      </c>
      <c r="U163" s="142">
        <f t="shared" si="32"/>
        <v>0.1</v>
      </c>
      <c r="V163" s="142" t="str">
        <f t="shared" si="32"/>
        <v>-</v>
      </c>
      <c r="W163" s="142" t="str">
        <f t="shared" si="32"/>
        <v>-</v>
      </c>
      <c r="X163" s="142">
        <f t="shared" si="32"/>
        <v>169776.4</v>
      </c>
    </row>
    <row r="164" spans="1:24" ht="11.25" customHeight="1">
      <c r="A164" s="99">
        <v>1991</v>
      </c>
      <c r="B164" s="142" t="str">
        <f t="shared" ref="B164:L164" si="33">IF(AND(B116="-",B68="-",B20="-"),"-",SUM(B116,B68,B20))</f>
        <v>-</v>
      </c>
      <c r="C164" s="142" t="str">
        <f t="shared" si="33"/>
        <v>-</v>
      </c>
      <c r="D164" s="142">
        <f t="shared" si="33"/>
        <v>83376</v>
      </c>
      <c r="E164" s="142">
        <f t="shared" si="33"/>
        <v>99670</v>
      </c>
      <c r="F164" s="142">
        <f t="shared" si="33"/>
        <v>65028</v>
      </c>
      <c r="G164" s="142">
        <f t="shared" si="33"/>
        <v>77196</v>
      </c>
      <c r="H164" s="142">
        <f t="shared" si="33"/>
        <v>30324</v>
      </c>
      <c r="I164" s="142">
        <f t="shared" si="33"/>
        <v>12839</v>
      </c>
      <c r="J164" s="142" t="str">
        <f t="shared" si="33"/>
        <v>-</v>
      </c>
      <c r="K164" s="142" t="str">
        <f t="shared" si="33"/>
        <v>-</v>
      </c>
      <c r="L164" s="142">
        <f t="shared" si="33"/>
        <v>368433</v>
      </c>
      <c r="M164" s="7"/>
      <c r="N164" s="142" t="str">
        <f t="shared" ref="N164:X164" si="34">IF(AND(N116="-",N68="-",N20="-"),"-",SUM(N116,N68,N20))</f>
        <v>-</v>
      </c>
      <c r="O164" s="142" t="str">
        <f t="shared" si="34"/>
        <v>-</v>
      </c>
      <c r="P164" s="142" t="str">
        <f t="shared" si="34"/>
        <v>-</v>
      </c>
      <c r="Q164" s="142">
        <f t="shared" si="34"/>
        <v>141449</v>
      </c>
      <c r="R164" s="142">
        <f t="shared" si="34"/>
        <v>212757</v>
      </c>
      <c r="S164" s="142">
        <f t="shared" si="34"/>
        <v>5211</v>
      </c>
      <c r="T164" s="142">
        <f t="shared" si="34"/>
        <v>3</v>
      </c>
      <c r="U164" s="142">
        <f t="shared" si="34"/>
        <v>0.1</v>
      </c>
      <c r="V164" s="142" t="str">
        <f t="shared" si="34"/>
        <v>-</v>
      </c>
      <c r="W164" s="142" t="str">
        <f t="shared" si="34"/>
        <v>-</v>
      </c>
      <c r="X164" s="142">
        <f t="shared" si="34"/>
        <v>359420.1</v>
      </c>
    </row>
    <row r="165" spans="1:24" ht="11.25" customHeight="1">
      <c r="A165" s="99">
        <v>1992</v>
      </c>
      <c r="B165" s="142" t="str">
        <f t="shared" ref="B165:L165" si="35">IF(AND(B117="-",B69="-",B21="-"),"-",SUM(B117,B69,B21))</f>
        <v>-</v>
      </c>
      <c r="C165" s="142" t="str">
        <f t="shared" si="35"/>
        <v>-</v>
      </c>
      <c r="D165" s="142">
        <f t="shared" si="35"/>
        <v>72044</v>
      </c>
      <c r="E165" s="142">
        <f t="shared" si="35"/>
        <v>18900</v>
      </c>
      <c r="F165" s="142">
        <f t="shared" si="35"/>
        <v>52088</v>
      </c>
      <c r="G165" s="142">
        <f t="shared" si="35"/>
        <v>67386</v>
      </c>
      <c r="H165" s="142">
        <f t="shared" si="35"/>
        <v>38857</v>
      </c>
      <c r="I165" s="142">
        <f t="shared" si="35"/>
        <v>19272</v>
      </c>
      <c r="J165" s="142" t="str">
        <f t="shared" si="35"/>
        <v>-</v>
      </c>
      <c r="K165" s="142" t="str">
        <f t="shared" si="35"/>
        <v>-</v>
      </c>
      <c r="L165" s="142">
        <f t="shared" si="35"/>
        <v>268547</v>
      </c>
      <c r="M165" s="7"/>
      <c r="N165" s="142" t="str">
        <f t="shared" ref="N165:X165" si="36">IF(AND(N117="-",N69="-",N21="-"),"-",SUM(N117,N69,N21))</f>
        <v>-</v>
      </c>
      <c r="O165" s="142" t="str">
        <f t="shared" si="36"/>
        <v>-</v>
      </c>
      <c r="P165" s="142" t="str">
        <f t="shared" si="36"/>
        <v>-</v>
      </c>
      <c r="Q165" s="142">
        <f t="shared" si="36"/>
        <v>1500</v>
      </c>
      <c r="R165" s="142">
        <f t="shared" si="36"/>
        <v>23564</v>
      </c>
      <c r="S165" s="142">
        <f t="shared" si="36"/>
        <v>25583</v>
      </c>
      <c r="T165" s="142" t="str">
        <f t="shared" si="36"/>
        <v>-</v>
      </c>
      <c r="U165" s="142">
        <f t="shared" si="36"/>
        <v>12</v>
      </c>
      <c r="V165" s="142" t="str">
        <f t="shared" si="36"/>
        <v>-</v>
      </c>
      <c r="W165" s="142" t="str">
        <f t="shared" si="36"/>
        <v>-</v>
      </c>
      <c r="X165" s="142">
        <f t="shared" si="36"/>
        <v>50659</v>
      </c>
    </row>
    <row r="166" spans="1:24" ht="11.25" customHeight="1">
      <c r="A166" s="99">
        <v>1993</v>
      </c>
      <c r="B166" s="142" t="str">
        <f t="shared" ref="B166:L166" si="37">IF(AND(B118="-",B70="-",B22="-"),"-",SUM(B118,B70,B22))</f>
        <v>-</v>
      </c>
      <c r="C166" s="142" t="str">
        <f t="shared" si="37"/>
        <v>-</v>
      </c>
      <c r="D166" s="142">
        <f t="shared" si="37"/>
        <v>131389</v>
      </c>
      <c r="E166" s="142">
        <f t="shared" si="37"/>
        <v>55076</v>
      </c>
      <c r="F166" s="142">
        <f t="shared" si="37"/>
        <v>68707</v>
      </c>
      <c r="G166" s="142">
        <f t="shared" si="37"/>
        <v>58813</v>
      </c>
      <c r="H166" s="142">
        <f t="shared" si="37"/>
        <v>39568</v>
      </c>
      <c r="I166" s="142">
        <f t="shared" si="37"/>
        <v>6454</v>
      </c>
      <c r="J166" s="142">
        <f t="shared" si="37"/>
        <v>658</v>
      </c>
      <c r="K166" s="142" t="str">
        <f t="shared" si="37"/>
        <v>-</v>
      </c>
      <c r="L166" s="142">
        <f t="shared" si="37"/>
        <v>360665</v>
      </c>
      <c r="M166" s="7"/>
      <c r="N166" s="142" t="str">
        <f t="shared" ref="N166:X166" si="38">IF(AND(N118="-",N70="-",N22="-"),"-",SUM(N118,N70,N22))</f>
        <v>-</v>
      </c>
      <c r="O166" s="142" t="str">
        <f t="shared" si="38"/>
        <v>-</v>
      </c>
      <c r="P166" s="142" t="str">
        <f t="shared" si="38"/>
        <v>-</v>
      </c>
      <c r="Q166" s="142" t="str">
        <f t="shared" si="38"/>
        <v>-</v>
      </c>
      <c r="R166" s="142" t="str">
        <f t="shared" si="38"/>
        <v>-</v>
      </c>
      <c r="S166" s="142">
        <f t="shared" si="38"/>
        <v>2</v>
      </c>
      <c r="T166" s="142" t="str">
        <f t="shared" si="38"/>
        <v>-</v>
      </c>
      <c r="U166" s="142">
        <f t="shared" si="38"/>
        <v>25</v>
      </c>
      <c r="V166" s="142" t="str">
        <f t="shared" si="38"/>
        <v>-</v>
      </c>
      <c r="W166" s="142" t="str">
        <f t="shared" si="38"/>
        <v>-</v>
      </c>
      <c r="X166" s="142">
        <f t="shared" si="38"/>
        <v>27</v>
      </c>
    </row>
    <row r="167" spans="1:24" ht="11.25" customHeight="1">
      <c r="A167" s="99">
        <v>1994</v>
      </c>
      <c r="B167" s="142" t="str">
        <f t="shared" ref="B167:L167" si="39">IF(AND(B119="-",B71="-",B23="-"),"-",SUM(B119,B71,B23))</f>
        <v>-</v>
      </c>
      <c r="C167" s="142" t="str">
        <f t="shared" si="39"/>
        <v>-</v>
      </c>
      <c r="D167" s="142">
        <f t="shared" si="39"/>
        <v>86714</v>
      </c>
      <c r="E167" s="142">
        <f t="shared" si="39"/>
        <v>90025</v>
      </c>
      <c r="F167" s="142">
        <f t="shared" si="39"/>
        <v>89175</v>
      </c>
      <c r="G167" s="142">
        <f t="shared" si="39"/>
        <v>27613</v>
      </c>
      <c r="H167" s="142">
        <f t="shared" si="39"/>
        <v>20311</v>
      </c>
      <c r="I167" s="142">
        <f t="shared" si="39"/>
        <v>6588</v>
      </c>
      <c r="J167" s="142">
        <f t="shared" si="39"/>
        <v>378</v>
      </c>
      <c r="K167" s="142" t="str">
        <f t="shared" si="39"/>
        <v>-</v>
      </c>
      <c r="L167" s="142">
        <f t="shared" si="39"/>
        <v>320804</v>
      </c>
      <c r="M167" s="7"/>
      <c r="N167" s="142" t="str">
        <f t="shared" ref="N167:X167" si="40">IF(AND(N119="-",N71="-",N23="-"),"-",SUM(N119,N71,N23))</f>
        <v>-</v>
      </c>
      <c r="O167" s="142" t="str">
        <f t="shared" si="40"/>
        <v>-</v>
      </c>
      <c r="P167" s="142" t="str">
        <f t="shared" si="40"/>
        <v>-</v>
      </c>
      <c r="Q167" s="142" t="str">
        <f t="shared" si="40"/>
        <v>-</v>
      </c>
      <c r="R167" s="142" t="str">
        <f t="shared" si="40"/>
        <v>-</v>
      </c>
      <c r="S167" s="142" t="str">
        <f t="shared" si="40"/>
        <v>-</v>
      </c>
      <c r="T167" s="142" t="str">
        <f t="shared" si="40"/>
        <v>-</v>
      </c>
      <c r="U167" s="142" t="str">
        <f t="shared" si="40"/>
        <v>-</v>
      </c>
      <c r="V167" s="142" t="str">
        <f t="shared" si="40"/>
        <v>-</v>
      </c>
      <c r="W167" s="142" t="str">
        <f t="shared" si="40"/>
        <v>-</v>
      </c>
      <c r="X167" s="142" t="str">
        <f t="shared" si="40"/>
        <v>-</v>
      </c>
    </row>
    <row r="168" spans="1:24" ht="11.25" customHeight="1">
      <c r="A168" s="99">
        <v>1995</v>
      </c>
      <c r="B168" s="142" t="str">
        <f t="shared" ref="B168:L168" si="41">IF(AND(B120="-",B72="-",B24="-"),"-",SUM(B120,B72,B24))</f>
        <v>-</v>
      </c>
      <c r="C168" s="142" t="str">
        <f t="shared" si="41"/>
        <v>-</v>
      </c>
      <c r="D168" s="142">
        <f t="shared" si="41"/>
        <v>296364</v>
      </c>
      <c r="E168" s="142">
        <f t="shared" si="41"/>
        <v>178093</v>
      </c>
      <c r="F168" s="142">
        <f t="shared" si="41"/>
        <v>191304</v>
      </c>
      <c r="G168" s="142">
        <f t="shared" si="41"/>
        <v>128758</v>
      </c>
      <c r="H168" s="142">
        <f t="shared" si="41"/>
        <v>69673</v>
      </c>
      <c r="I168" s="142">
        <f t="shared" si="41"/>
        <v>28585</v>
      </c>
      <c r="J168" s="142">
        <f t="shared" si="41"/>
        <v>324</v>
      </c>
      <c r="K168" s="142" t="str">
        <f t="shared" si="41"/>
        <v>-</v>
      </c>
      <c r="L168" s="142">
        <f t="shared" si="41"/>
        <v>893101</v>
      </c>
      <c r="M168" s="7"/>
      <c r="N168" s="142" t="str">
        <f t="shared" ref="N168:X168" si="42">IF(AND(N120="-",N72="-",N24="-"),"-",SUM(N120,N72,N24))</f>
        <v>-</v>
      </c>
      <c r="O168" s="142" t="str">
        <f t="shared" si="42"/>
        <v>-</v>
      </c>
      <c r="P168" s="142" t="str">
        <f t="shared" si="42"/>
        <v>-</v>
      </c>
      <c r="Q168" s="142" t="str">
        <f t="shared" si="42"/>
        <v>-</v>
      </c>
      <c r="R168" s="142" t="str">
        <f t="shared" si="42"/>
        <v>-</v>
      </c>
      <c r="S168" s="142" t="str">
        <f t="shared" si="42"/>
        <v>-</v>
      </c>
      <c r="T168" s="142" t="str">
        <f t="shared" si="42"/>
        <v>-</v>
      </c>
      <c r="U168" s="142" t="str">
        <f t="shared" si="42"/>
        <v>-</v>
      </c>
      <c r="V168" s="142" t="str">
        <f t="shared" si="42"/>
        <v>-</v>
      </c>
      <c r="W168" s="142" t="str">
        <f t="shared" si="42"/>
        <v>-</v>
      </c>
      <c r="X168" s="142" t="str">
        <f t="shared" si="42"/>
        <v>-</v>
      </c>
    </row>
    <row r="169" spans="1:24" ht="11.25" customHeight="1">
      <c r="A169" s="99">
        <v>1996</v>
      </c>
      <c r="B169" s="142" t="str">
        <f t="shared" ref="B169:L169" si="43">IF(AND(B121="-",B73="-",B25="-"),"-",SUM(B121,B73,B25))</f>
        <v>-</v>
      </c>
      <c r="C169" s="142" t="str">
        <f t="shared" si="43"/>
        <v>-</v>
      </c>
      <c r="D169" s="142">
        <f t="shared" si="43"/>
        <v>125581</v>
      </c>
      <c r="E169" s="142">
        <f t="shared" si="43"/>
        <v>171784</v>
      </c>
      <c r="F169" s="142">
        <f t="shared" si="43"/>
        <v>95417</v>
      </c>
      <c r="G169" s="142">
        <f t="shared" si="43"/>
        <v>94742</v>
      </c>
      <c r="H169" s="142">
        <f t="shared" si="43"/>
        <v>52764</v>
      </c>
      <c r="I169" s="142">
        <f t="shared" si="43"/>
        <v>14927</v>
      </c>
      <c r="J169" s="142">
        <f t="shared" si="43"/>
        <v>845</v>
      </c>
      <c r="K169" s="142" t="str">
        <f t="shared" si="43"/>
        <v>-</v>
      </c>
      <c r="L169" s="142">
        <f t="shared" si="43"/>
        <v>556060</v>
      </c>
      <c r="M169" s="7"/>
      <c r="N169" s="142" t="str">
        <f t="shared" ref="N169:X169" si="44">IF(AND(N121="-",N73="-",N25="-"),"-",SUM(N121,N73,N25))</f>
        <v>-</v>
      </c>
      <c r="O169" s="142" t="str">
        <f t="shared" si="44"/>
        <v>-</v>
      </c>
      <c r="P169" s="142" t="str">
        <f t="shared" si="44"/>
        <v>-</v>
      </c>
      <c r="Q169" s="142">
        <f t="shared" si="44"/>
        <v>8</v>
      </c>
      <c r="R169" s="142" t="str">
        <f t="shared" si="44"/>
        <v>-</v>
      </c>
      <c r="S169" s="142" t="str">
        <f t="shared" si="44"/>
        <v>-</v>
      </c>
      <c r="T169" s="142" t="str">
        <f t="shared" si="44"/>
        <v>-</v>
      </c>
      <c r="U169" s="142" t="str">
        <f t="shared" si="44"/>
        <v>-</v>
      </c>
      <c r="V169" s="142" t="str">
        <f t="shared" si="44"/>
        <v>-</v>
      </c>
      <c r="W169" s="142" t="str">
        <f t="shared" si="44"/>
        <v>-</v>
      </c>
      <c r="X169" s="142">
        <f t="shared" si="44"/>
        <v>8</v>
      </c>
    </row>
    <row r="170" spans="1:24" ht="11.25" customHeight="1">
      <c r="A170" s="99">
        <v>1997</v>
      </c>
      <c r="B170" s="142" t="str">
        <f t="shared" ref="B170:L170" si="45">IF(AND(B122="-",B74="-",B26="-"),"-",SUM(B122,B74,B26))</f>
        <v>-</v>
      </c>
      <c r="C170" s="142">
        <f t="shared" si="45"/>
        <v>16384</v>
      </c>
      <c r="D170" s="142">
        <f t="shared" si="45"/>
        <v>232423</v>
      </c>
      <c r="E170" s="142">
        <f t="shared" si="45"/>
        <v>109957</v>
      </c>
      <c r="F170" s="142">
        <f t="shared" si="45"/>
        <v>153940</v>
      </c>
      <c r="G170" s="142">
        <f t="shared" si="45"/>
        <v>69580</v>
      </c>
      <c r="H170" s="142">
        <f t="shared" si="45"/>
        <v>49000</v>
      </c>
      <c r="I170" s="142">
        <f t="shared" si="45"/>
        <v>5370</v>
      </c>
      <c r="J170" s="142">
        <f t="shared" si="45"/>
        <v>492</v>
      </c>
      <c r="K170" s="142" t="str">
        <f t="shared" si="45"/>
        <v>-</v>
      </c>
      <c r="L170" s="142">
        <f t="shared" si="45"/>
        <v>637146</v>
      </c>
      <c r="M170" s="7"/>
      <c r="N170" s="142" t="str">
        <f t="shared" ref="N170:X170" si="46">IF(AND(N122="-",N74="-",N26="-"),"-",SUM(N122,N74,N26))</f>
        <v>-</v>
      </c>
      <c r="O170" s="142" t="str">
        <f t="shared" si="46"/>
        <v>-</v>
      </c>
      <c r="P170" s="142" t="str">
        <f t="shared" si="46"/>
        <v>-</v>
      </c>
      <c r="Q170" s="142" t="str">
        <f t="shared" si="46"/>
        <v>-</v>
      </c>
      <c r="R170" s="142" t="str">
        <f t="shared" si="46"/>
        <v>-</v>
      </c>
      <c r="S170" s="142" t="str">
        <f t="shared" si="46"/>
        <v>-</v>
      </c>
      <c r="T170" s="142" t="str">
        <f t="shared" si="46"/>
        <v>-</v>
      </c>
      <c r="U170" s="142" t="str">
        <f t="shared" si="46"/>
        <v>-</v>
      </c>
      <c r="V170" s="142" t="str">
        <f t="shared" si="46"/>
        <v>-</v>
      </c>
      <c r="W170" s="142" t="str">
        <f t="shared" si="46"/>
        <v>-</v>
      </c>
      <c r="X170" s="142" t="str">
        <f t="shared" si="46"/>
        <v>-</v>
      </c>
    </row>
    <row r="171" spans="1:24" ht="11.25" customHeight="1">
      <c r="A171" s="99">
        <v>1998</v>
      </c>
      <c r="B171" s="142" t="str">
        <f t="shared" ref="B171:L171" si="47">IF(AND(B123="-",B75="-",B27="-"),"-",SUM(B123,B75,B27))</f>
        <v>-</v>
      </c>
      <c r="C171" s="142">
        <f t="shared" si="47"/>
        <v>19953</v>
      </c>
      <c r="D171" s="142">
        <f t="shared" si="47"/>
        <v>116006</v>
      </c>
      <c r="E171" s="142">
        <f t="shared" si="47"/>
        <v>73187</v>
      </c>
      <c r="F171" s="142">
        <f t="shared" si="47"/>
        <v>74931</v>
      </c>
      <c r="G171" s="142">
        <f t="shared" si="47"/>
        <v>36850</v>
      </c>
      <c r="H171" s="142">
        <f t="shared" si="47"/>
        <v>25353</v>
      </c>
      <c r="I171" s="142">
        <f t="shared" si="47"/>
        <v>3967</v>
      </c>
      <c r="J171" s="142">
        <f t="shared" si="47"/>
        <v>900</v>
      </c>
      <c r="K171" s="142" t="str">
        <f t="shared" si="47"/>
        <v>-</v>
      </c>
      <c r="L171" s="142">
        <f t="shared" si="47"/>
        <v>351147</v>
      </c>
      <c r="M171" s="7"/>
      <c r="N171" s="142" t="str">
        <f t="shared" ref="N171:X171" si="48">IF(AND(N123="-",N75="-",N27="-"),"-",SUM(N123,N75,N27))</f>
        <v>-</v>
      </c>
      <c r="O171" s="142" t="str">
        <f t="shared" si="48"/>
        <v>-</v>
      </c>
      <c r="P171" s="142" t="str">
        <f t="shared" si="48"/>
        <v>-</v>
      </c>
      <c r="Q171" s="142" t="str">
        <f t="shared" si="48"/>
        <v>-</v>
      </c>
      <c r="R171" s="142" t="str">
        <f t="shared" si="48"/>
        <v>-</v>
      </c>
      <c r="S171" s="142" t="str">
        <f t="shared" si="48"/>
        <v>-</v>
      </c>
      <c r="T171" s="142" t="str">
        <f t="shared" si="48"/>
        <v>-</v>
      </c>
      <c r="U171" s="142" t="str">
        <f t="shared" si="48"/>
        <v>-</v>
      </c>
      <c r="V171" s="142" t="str">
        <f t="shared" si="48"/>
        <v>-</v>
      </c>
      <c r="W171" s="142" t="str">
        <f t="shared" si="48"/>
        <v>-</v>
      </c>
      <c r="X171" s="142" t="str">
        <f t="shared" si="48"/>
        <v>-</v>
      </c>
    </row>
    <row r="172" spans="1:24" ht="11.25" customHeight="1">
      <c r="A172" s="99">
        <v>1999</v>
      </c>
      <c r="B172" s="142" t="str">
        <f t="shared" ref="B172:L172" si="49">IF(AND(B124="-",B76="-",B28="-"),"-",SUM(B124,B76,B28))</f>
        <v>-</v>
      </c>
      <c r="C172" s="142">
        <f t="shared" si="49"/>
        <v>4094</v>
      </c>
      <c r="D172" s="142">
        <f t="shared" si="49"/>
        <v>36610</v>
      </c>
      <c r="E172" s="142">
        <f t="shared" si="49"/>
        <v>149076</v>
      </c>
      <c r="F172" s="142">
        <f t="shared" si="49"/>
        <v>79564</v>
      </c>
      <c r="G172" s="142">
        <f t="shared" si="49"/>
        <v>42099</v>
      </c>
      <c r="H172" s="142">
        <f t="shared" si="49"/>
        <v>11431</v>
      </c>
      <c r="I172" s="142">
        <f t="shared" si="49"/>
        <v>2816</v>
      </c>
      <c r="J172" s="142">
        <f t="shared" si="49"/>
        <v>1237</v>
      </c>
      <c r="K172" s="142">
        <f t="shared" si="49"/>
        <v>43</v>
      </c>
      <c r="L172" s="142">
        <f t="shared" si="49"/>
        <v>326970</v>
      </c>
      <c r="M172" s="7"/>
      <c r="N172" s="142" t="str">
        <f t="shared" ref="N172:X172" si="50">IF(AND(N124="-",N76="-",N28="-"),"-",SUM(N124,N76,N28))</f>
        <v>-</v>
      </c>
      <c r="O172" s="142" t="str">
        <f t="shared" si="50"/>
        <v>-</v>
      </c>
      <c r="P172" s="142" t="str">
        <f t="shared" si="50"/>
        <v>-</v>
      </c>
      <c r="Q172" s="142" t="str">
        <f t="shared" si="50"/>
        <v>-</v>
      </c>
      <c r="R172" s="142" t="str">
        <f t="shared" si="50"/>
        <v>-</v>
      </c>
      <c r="S172" s="142" t="str">
        <f t="shared" si="50"/>
        <v>-</v>
      </c>
      <c r="T172" s="142" t="str">
        <f t="shared" si="50"/>
        <v>-</v>
      </c>
      <c r="U172" s="142" t="str">
        <f t="shared" si="50"/>
        <v>-</v>
      </c>
      <c r="V172" s="142" t="str">
        <f t="shared" si="50"/>
        <v>-</v>
      </c>
      <c r="W172" s="142" t="str">
        <f t="shared" si="50"/>
        <v>-</v>
      </c>
      <c r="X172" s="142" t="str">
        <f t="shared" si="50"/>
        <v>-</v>
      </c>
    </row>
    <row r="173" spans="1:24" ht="11.25" customHeight="1">
      <c r="A173" s="99">
        <v>2000</v>
      </c>
      <c r="B173" s="142" t="str">
        <f t="shared" ref="B173:L173" si="51">IF(AND(B125="-",B77="-",B29="-"),"-",SUM(B125,B77,B29))</f>
        <v>-</v>
      </c>
      <c r="C173" s="142">
        <f t="shared" si="51"/>
        <v>1187</v>
      </c>
      <c r="D173" s="142">
        <f t="shared" si="51"/>
        <v>211719</v>
      </c>
      <c r="E173" s="142">
        <f t="shared" si="51"/>
        <v>149911</v>
      </c>
      <c r="F173" s="142">
        <f t="shared" si="51"/>
        <v>67067</v>
      </c>
      <c r="G173" s="142">
        <f t="shared" si="51"/>
        <v>75780</v>
      </c>
      <c r="H173" s="142">
        <f t="shared" si="51"/>
        <v>93346</v>
      </c>
      <c r="I173" s="142">
        <f t="shared" si="51"/>
        <v>13096</v>
      </c>
      <c r="J173" s="142">
        <f t="shared" si="51"/>
        <v>1537</v>
      </c>
      <c r="K173" s="142">
        <f t="shared" si="51"/>
        <v>367</v>
      </c>
      <c r="L173" s="142">
        <f t="shared" si="51"/>
        <v>614010</v>
      </c>
      <c r="M173" s="7"/>
      <c r="N173" s="142" t="str">
        <f t="shared" ref="N173:X173" si="52">IF(AND(N125="-",N77="-",N29="-"),"-",SUM(N125,N77,N29))</f>
        <v>-</v>
      </c>
      <c r="O173" s="142" t="str">
        <f t="shared" si="52"/>
        <v>-</v>
      </c>
      <c r="P173" s="142" t="str">
        <f t="shared" si="52"/>
        <v>-</v>
      </c>
      <c r="Q173" s="142" t="str">
        <f t="shared" si="52"/>
        <v>-</v>
      </c>
      <c r="R173" s="142" t="str">
        <f t="shared" si="52"/>
        <v>-</v>
      </c>
      <c r="S173" s="142" t="str">
        <f t="shared" si="52"/>
        <v>-</v>
      </c>
      <c r="T173" s="142" t="str">
        <f t="shared" si="52"/>
        <v>-</v>
      </c>
      <c r="U173" s="142" t="str">
        <f t="shared" si="52"/>
        <v>-</v>
      </c>
      <c r="V173" s="142" t="str">
        <f t="shared" si="52"/>
        <v>-</v>
      </c>
      <c r="W173" s="142" t="str">
        <f t="shared" si="52"/>
        <v>-</v>
      </c>
      <c r="X173" s="142" t="str">
        <f t="shared" si="52"/>
        <v>-</v>
      </c>
    </row>
    <row r="174" spans="1:24" ht="11.25" customHeight="1">
      <c r="A174" s="99">
        <v>2001</v>
      </c>
      <c r="B174" s="142" t="str">
        <f t="shared" ref="B174:L174" si="53">IF(AND(B126="-",B78="-",B30="-"),"-",SUM(B126,B78,B30))</f>
        <v>-</v>
      </c>
      <c r="C174" s="142">
        <f t="shared" si="53"/>
        <v>18536</v>
      </c>
      <c r="D174" s="142">
        <f t="shared" si="53"/>
        <v>133829</v>
      </c>
      <c r="E174" s="142">
        <f t="shared" si="53"/>
        <v>54785</v>
      </c>
      <c r="F174" s="142">
        <f t="shared" si="53"/>
        <v>100623</v>
      </c>
      <c r="G174" s="142">
        <f t="shared" si="53"/>
        <v>76169</v>
      </c>
      <c r="H174" s="142">
        <f t="shared" si="53"/>
        <v>59155</v>
      </c>
      <c r="I174" s="142">
        <f t="shared" si="53"/>
        <v>19495</v>
      </c>
      <c r="J174" s="142">
        <f t="shared" si="53"/>
        <v>1345</v>
      </c>
      <c r="K174" s="142">
        <f t="shared" si="53"/>
        <v>21</v>
      </c>
      <c r="L174" s="142">
        <f t="shared" si="53"/>
        <v>463958</v>
      </c>
      <c r="M174" s="7"/>
      <c r="N174" s="142" t="str">
        <f t="shared" ref="N174:X174" si="54">IF(AND(N126="-",N78="-",N30="-"),"-",SUM(N126,N78,N30))</f>
        <v>-</v>
      </c>
      <c r="O174" s="142" t="str">
        <f t="shared" si="54"/>
        <v>-</v>
      </c>
      <c r="P174" s="142" t="str">
        <f t="shared" si="54"/>
        <v>-</v>
      </c>
      <c r="Q174" s="142" t="str">
        <f t="shared" si="54"/>
        <v>-</v>
      </c>
      <c r="R174" s="142" t="str">
        <f t="shared" si="54"/>
        <v>-</v>
      </c>
      <c r="S174" s="142" t="str">
        <f t="shared" si="54"/>
        <v>-</v>
      </c>
      <c r="T174" s="142" t="str">
        <f t="shared" si="54"/>
        <v>-</v>
      </c>
      <c r="U174" s="142" t="str">
        <f t="shared" si="54"/>
        <v>-</v>
      </c>
      <c r="V174" s="142" t="str">
        <f t="shared" si="54"/>
        <v>-</v>
      </c>
      <c r="W174" s="142" t="str">
        <f t="shared" si="54"/>
        <v>-</v>
      </c>
      <c r="X174" s="142" t="str">
        <f t="shared" si="54"/>
        <v>-</v>
      </c>
    </row>
    <row r="175" spans="1:24" ht="11.25" customHeight="1">
      <c r="A175" s="99">
        <v>2002</v>
      </c>
      <c r="B175" s="142">
        <f t="shared" ref="B175:L175" si="55">IF(AND(B127="-",B79="-",B31="-"),"-",SUM(B127,B79,B31))</f>
        <v>6667</v>
      </c>
      <c r="C175" s="142">
        <f t="shared" si="55"/>
        <v>10689</v>
      </c>
      <c r="D175" s="142">
        <f t="shared" si="55"/>
        <v>109690</v>
      </c>
      <c r="E175" s="142">
        <f t="shared" si="55"/>
        <v>154047</v>
      </c>
      <c r="F175" s="142">
        <f t="shared" si="55"/>
        <v>141810</v>
      </c>
      <c r="G175" s="142">
        <f t="shared" si="55"/>
        <v>88596</v>
      </c>
      <c r="H175" s="142">
        <f t="shared" si="55"/>
        <v>85592</v>
      </c>
      <c r="I175" s="142">
        <f t="shared" si="55"/>
        <v>84636</v>
      </c>
      <c r="J175" s="142">
        <f t="shared" si="55"/>
        <v>1255</v>
      </c>
      <c r="K175" s="142">
        <f t="shared" si="55"/>
        <v>65</v>
      </c>
      <c r="L175" s="142">
        <f t="shared" si="55"/>
        <v>683047</v>
      </c>
      <c r="M175" s="7"/>
      <c r="N175" s="142" t="str">
        <f t="shared" ref="N175:X175" si="56">IF(AND(N127="-",N79="-",N31="-"),"-",SUM(N127,N79,N31))</f>
        <v>-</v>
      </c>
      <c r="O175" s="142" t="str">
        <f t="shared" si="56"/>
        <v>-</v>
      </c>
      <c r="P175" s="142" t="str">
        <f t="shared" si="56"/>
        <v>-</v>
      </c>
      <c r="Q175" s="142" t="str">
        <f t="shared" si="56"/>
        <v>-</v>
      </c>
      <c r="R175" s="142" t="str">
        <f t="shared" si="56"/>
        <v>-</v>
      </c>
      <c r="S175" s="142" t="str">
        <f t="shared" si="56"/>
        <v>-</v>
      </c>
      <c r="T175" s="142" t="str">
        <f t="shared" si="56"/>
        <v>-</v>
      </c>
      <c r="U175" s="142" t="str">
        <f t="shared" si="56"/>
        <v>-</v>
      </c>
      <c r="V175" s="142" t="str">
        <f t="shared" si="56"/>
        <v>-</v>
      </c>
      <c r="W175" s="142" t="str">
        <f t="shared" si="56"/>
        <v>-</v>
      </c>
      <c r="X175" s="142" t="str">
        <f t="shared" si="56"/>
        <v>-</v>
      </c>
    </row>
    <row r="176" spans="1:24" ht="11.25" customHeight="1">
      <c r="A176" s="99">
        <v>2003</v>
      </c>
      <c r="B176" s="142">
        <f t="shared" ref="B176:L176" si="57">IF(AND(B128="-",B80="-",B32="-"),"-",SUM(B128,B80,B32))</f>
        <v>3192</v>
      </c>
      <c r="C176" s="142">
        <f t="shared" si="57"/>
        <v>60663</v>
      </c>
      <c r="D176" s="142">
        <f t="shared" si="57"/>
        <v>147415</v>
      </c>
      <c r="E176" s="142">
        <f t="shared" si="57"/>
        <v>136626</v>
      </c>
      <c r="F176" s="142">
        <f t="shared" si="57"/>
        <v>144373</v>
      </c>
      <c r="G176" s="142">
        <f t="shared" si="57"/>
        <v>149515</v>
      </c>
      <c r="H176" s="142">
        <f t="shared" si="57"/>
        <v>126544</v>
      </c>
      <c r="I176" s="142">
        <f t="shared" si="57"/>
        <v>41724</v>
      </c>
      <c r="J176" s="142">
        <f t="shared" si="57"/>
        <v>999</v>
      </c>
      <c r="K176" s="142">
        <f t="shared" si="57"/>
        <v>137</v>
      </c>
      <c r="L176" s="142">
        <f t="shared" si="57"/>
        <v>811188</v>
      </c>
      <c r="M176" s="7"/>
      <c r="N176" s="142" t="str">
        <f t="shared" ref="N176:X176" si="58">IF(AND(N128="-",N80="-",N32="-"),"-",SUM(N128,N80,N32))</f>
        <v>-</v>
      </c>
      <c r="O176" s="142" t="str">
        <f t="shared" si="58"/>
        <v>-</v>
      </c>
      <c r="P176" s="142" t="str">
        <f t="shared" si="58"/>
        <v>-</v>
      </c>
      <c r="Q176" s="142" t="str">
        <f t="shared" si="58"/>
        <v>-</v>
      </c>
      <c r="R176" s="142" t="str">
        <f t="shared" si="58"/>
        <v>-</v>
      </c>
      <c r="S176" s="142" t="str">
        <f t="shared" si="58"/>
        <v>-</v>
      </c>
      <c r="T176" s="142" t="str">
        <f t="shared" si="58"/>
        <v>-</v>
      </c>
      <c r="U176" s="142" t="str">
        <f t="shared" si="58"/>
        <v>-</v>
      </c>
      <c r="V176" s="142" t="str">
        <f t="shared" si="58"/>
        <v>-</v>
      </c>
      <c r="W176" s="142" t="str">
        <f t="shared" si="58"/>
        <v>-</v>
      </c>
      <c r="X176" s="142" t="str">
        <f t="shared" si="58"/>
        <v>-</v>
      </c>
    </row>
    <row r="177" spans="1:24" ht="11.25" customHeight="1">
      <c r="A177" s="99">
        <v>2004</v>
      </c>
      <c r="B177" s="142">
        <f t="shared" ref="B177:L177" si="59">IF(AND(B129="-",B81="-",B33="-"),"-",SUM(B129,B81,B33))</f>
        <v>21049</v>
      </c>
      <c r="C177" s="142">
        <f t="shared" si="59"/>
        <v>34739</v>
      </c>
      <c r="D177" s="142">
        <f t="shared" si="59"/>
        <v>135640</v>
      </c>
      <c r="E177" s="142">
        <f t="shared" si="59"/>
        <v>179905</v>
      </c>
      <c r="F177" s="142">
        <f t="shared" si="59"/>
        <v>178855</v>
      </c>
      <c r="G177" s="142">
        <f t="shared" si="59"/>
        <v>142874</v>
      </c>
      <c r="H177" s="142">
        <f t="shared" si="59"/>
        <v>46513</v>
      </c>
      <c r="I177" s="142">
        <f t="shared" si="59"/>
        <v>9753</v>
      </c>
      <c r="J177" s="142">
        <f t="shared" si="59"/>
        <v>2191</v>
      </c>
      <c r="K177" s="142">
        <f t="shared" si="59"/>
        <v>182</v>
      </c>
      <c r="L177" s="142">
        <f t="shared" si="59"/>
        <v>751701</v>
      </c>
      <c r="M177" s="7"/>
      <c r="N177" s="142" t="str">
        <f t="shared" ref="N177:X177" si="60">IF(AND(N129="-",N81="-",N33="-"),"-",SUM(N129,N81,N33))</f>
        <v>-</v>
      </c>
      <c r="O177" s="142" t="str">
        <f t="shared" si="60"/>
        <v>-</v>
      </c>
      <c r="P177" s="142" t="str">
        <f t="shared" si="60"/>
        <v>-</v>
      </c>
      <c r="Q177" s="142" t="str">
        <f t="shared" si="60"/>
        <v>-</v>
      </c>
      <c r="R177" s="142" t="str">
        <f t="shared" si="60"/>
        <v>-</v>
      </c>
      <c r="S177" s="142" t="str">
        <f t="shared" si="60"/>
        <v>-</v>
      </c>
      <c r="T177" s="142" t="str">
        <f t="shared" si="60"/>
        <v>-</v>
      </c>
      <c r="U177" s="142" t="str">
        <f t="shared" si="60"/>
        <v>-</v>
      </c>
      <c r="V177" s="142" t="str">
        <f t="shared" si="60"/>
        <v>-</v>
      </c>
      <c r="W177" s="142" t="str">
        <f t="shared" si="60"/>
        <v>-</v>
      </c>
      <c r="X177" s="142" t="str">
        <f t="shared" si="60"/>
        <v>-</v>
      </c>
    </row>
    <row r="178" spans="1:24" ht="11.25" customHeight="1">
      <c r="A178" s="99">
        <v>2005</v>
      </c>
      <c r="B178" s="142">
        <f t="shared" ref="B178:L178" si="61">IF(AND(B130="-",B82="-",B34="-"),"-",SUM(B130,B82,B34))</f>
        <v>28384</v>
      </c>
      <c r="C178" s="142">
        <f t="shared" si="61"/>
        <v>4788</v>
      </c>
      <c r="D178" s="142">
        <f t="shared" si="61"/>
        <v>132596</v>
      </c>
      <c r="E178" s="142">
        <f t="shared" si="61"/>
        <v>54896</v>
      </c>
      <c r="F178" s="142">
        <f t="shared" si="61"/>
        <v>139928</v>
      </c>
      <c r="G178" s="142">
        <f t="shared" si="61"/>
        <v>35046</v>
      </c>
      <c r="H178" s="142">
        <f t="shared" si="61"/>
        <v>165040</v>
      </c>
      <c r="I178" s="142">
        <f t="shared" si="61"/>
        <v>20116</v>
      </c>
      <c r="J178" s="142">
        <f t="shared" si="61"/>
        <v>943</v>
      </c>
      <c r="K178" s="142">
        <f t="shared" si="61"/>
        <v>335</v>
      </c>
      <c r="L178" s="142">
        <f t="shared" si="61"/>
        <v>582072</v>
      </c>
      <c r="M178" s="7"/>
      <c r="N178" s="142" t="str">
        <f t="shared" ref="N178:X178" si="62">IF(AND(N130="-",N82="-",N34="-"),"-",SUM(N130,N82,N34))</f>
        <v>-</v>
      </c>
      <c r="O178" s="142" t="str">
        <f t="shared" si="62"/>
        <v>-</v>
      </c>
      <c r="P178" s="142" t="str">
        <f t="shared" si="62"/>
        <v>-</v>
      </c>
      <c r="Q178" s="142" t="str">
        <f t="shared" si="62"/>
        <v>-</v>
      </c>
      <c r="R178" s="142" t="str">
        <f t="shared" si="62"/>
        <v>-</v>
      </c>
      <c r="S178" s="142" t="str">
        <f t="shared" si="62"/>
        <v>-</v>
      </c>
      <c r="T178" s="142" t="str">
        <f t="shared" si="62"/>
        <v>-</v>
      </c>
      <c r="U178" s="142" t="str">
        <f t="shared" si="62"/>
        <v>-</v>
      </c>
      <c r="V178" s="142" t="str">
        <f t="shared" si="62"/>
        <v>-</v>
      </c>
      <c r="W178" s="142" t="str">
        <f t="shared" si="62"/>
        <v>-</v>
      </c>
      <c r="X178" s="142" t="str">
        <f t="shared" si="62"/>
        <v>-</v>
      </c>
    </row>
    <row r="179" spans="1:24" ht="11.25" customHeight="1">
      <c r="A179" s="99">
        <v>2006</v>
      </c>
      <c r="B179" s="142" t="str">
        <f t="shared" ref="B179:L179" si="63">IF(AND(B131="-",B83="-",B35="-"),"-",SUM(B131,B83,B35))</f>
        <v>-</v>
      </c>
      <c r="C179" s="142" t="str">
        <f t="shared" si="63"/>
        <v>-</v>
      </c>
      <c r="D179" s="142">
        <f t="shared" si="63"/>
        <v>9911</v>
      </c>
      <c r="E179" s="142">
        <f t="shared" si="63"/>
        <v>9941</v>
      </c>
      <c r="F179" s="142">
        <f t="shared" si="63"/>
        <v>20399</v>
      </c>
      <c r="G179" s="142">
        <f t="shared" si="63"/>
        <v>19551</v>
      </c>
      <c r="H179" s="142">
        <f t="shared" si="63"/>
        <v>27361</v>
      </c>
      <c r="I179" s="142">
        <f t="shared" si="63"/>
        <v>5111</v>
      </c>
      <c r="J179" s="142">
        <f t="shared" si="63"/>
        <v>1691</v>
      </c>
      <c r="K179" s="142">
        <f t="shared" si="63"/>
        <v>131</v>
      </c>
      <c r="L179" s="142">
        <f t="shared" si="63"/>
        <v>94096</v>
      </c>
      <c r="M179" s="7"/>
      <c r="N179" s="142" t="str">
        <f t="shared" ref="N179:X179" si="64">IF(AND(N131="-",N83="-",N35="-"),"-",SUM(N131,N83,N35))</f>
        <v>-</v>
      </c>
      <c r="O179" s="142" t="str">
        <f t="shared" si="64"/>
        <v>-</v>
      </c>
      <c r="P179" s="142" t="str">
        <f t="shared" si="64"/>
        <v>-</v>
      </c>
      <c r="Q179" s="142" t="str">
        <f t="shared" si="64"/>
        <v>-</v>
      </c>
      <c r="R179" s="142" t="str">
        <f t="shared" si="64"/>
        <v>-</v>
      </c>
      <c r="S179" s="142" t="str">
        <f t="shared" si="64"/>
        <v>-</v>
      </c>
      <c r="T179" s="142" t="str">
        <f t="shared" si="64"/>
        <v>-</v>
      </c>
      <c r="U179" s="142" t="str">
        <f t="shared" si="64"/>
        <v>-</v>
      </c>
      <c r="V179" s="142" t="str">
        <f t="shared" si="64"/>
        <v>-</v>
      </c>
      <c r="W179" s="142" t="str">
        <f t="shared" si="64"/>
        <v>-</v>
      </c>
      <c r="X179" s="142" t="str">
        <f t="shared" si="64"/>
        <v>-</v>
      </c>
    </row>
    <row r="180" spans="1:24" ht="11.25" customHeight="1">
      <c r="A180" s="99">
        <v>2007</v>
      </c>
      <c r="B180" s="142" t="str">
        <f t="shared" ref="B180:L180" si="65">IF(AND(B132="-",B84="-",B36="-"),"-",SUM(B132,B84,B36))</f>
        <v>-</v>
      </c>
      <c r="C180" s="142">
        <f t="shared" si="65"/>
        <v>2619</v>
      </c>
      <c r="D180" s="142">
        <f t="shared" si="65"/>
        <v>43951</v>
      </c>
      <c r="E180" s="142">
        <f t="shared" si="65"/>
        <v>5346</v>
      </c>
      <c r="F180" s="142">
        <f t="shared" si="65"/>
        <v>44717</v>
      </c>
      <c r="G180" s="142">
        <f t="shared" si="65"/>
        <v>37096</v>
      </c>
      <c r="H180" s="142">
        <f t="shared" si="65"/>
        <v>12380</v>
      </c>
      <c r="I180" s="142">
        <f t="shared" si="65"/>
        <v>1356</v>
      </c>
      <c r="J180" s="142">
        <f t="shared" si="65"/>
        <v>717</v>
      </c>
      <c r="K180" s="142">
        <f t="shared" si="65"/>
        <v>3</v>
      </c>
      <c r="L180" s="142">
        <f t="shared" si="65"/>
        <v>148185</v>
      </c>
      <c r="M180" s="7"/>
      <c r="N180" s="142" t="str">
        <f t="shared" ref="N180:X180" si="66">IF(AND(N132="-",N84="-",N36="-"),"-",SUM(N132,N84,N36))</f>
        <v>-</v>
      </c>
      <c r="O180" s="142" t="str">
        <f t="shared" si="66"/>
        <v>-</v>
      </c>
      <c r="P180" s="142" t="str">
        <f t="shared" si="66"/>
        <v>-</v>
      </c>
      <c r="Q180" s="142" t="str">
        <f t="shared" si="66"/>
        <v>-</v>
      </c>
      <c r="R180" s="142" t="str">
        <f t="shared" si="66"/>
        <v>-</v>
      </c>
      <c r="S180" s="142">
        <f t="shared" si="66"/>
        <v>5036</v>
      </c>
      <c r="T180" s="142">
        <f t="shared" si="66"/>
        <v>519</v>
      </c>
      <c r="U180" s="142" t="str">
        <f t="shared" si="66"/>
        <v>-</v>
      </c>
      <c r="V180" s="142" t="str">
        <f t="shared" si="66"/>
        <v>-</v>
      </c>
      <c r="W180" s="142" t="str">
        <f t="shared" si="66"/>
        <v>-</v>
      </c>
      <c r="X180" s="142">
        <f t="shared" si="66"/>
        <v>5555</v>
      </c>
    </row>
    <row r="181" spans="1:24" ht="11.25" customHeight="1">
      <c r="A181" s="99">
        <v>2008</v>
      </c>
      <c r="B181" s="142" t="str">
        <f t="shared" ref="B181:L181" si="67">IF(AND(B133="-",B85="-",B37="-"),"-",SUM(B133,B85,B37))</f>
        <v>-</v>
      </c>
      <c r="C181" s="142" t="str">
        <f t="shared" si="67"/>
        <v>-</v>
      </c>
      <c r="D181" s="142" t="str">
        <f t="shared" si="67"/>
        <v>-</v>
      </c>
      <c r="E181" s="142" t="str">
        <f t="shared" si="67"/>
        <v>-</v>
      </c>
      <c r="F181" s="142" t="str">
        <f t="shared" si="67"/>
        <v>-</v>
      </c>
      <c r="G181" s="142" t="str">
        <f t="shared" si="67"/>
        <v>-</v>
      </c>
      <c r="H181" s="142">
        <f t="shared" si="67"/>
        <v>64</v>
      </c>
      <c r="I181" s="142">
        <f t="shared" si="67"/>
        <v>248</v>
      </c>
      <c r="J181" s="142">
        <f t="shared" si="67"/>
        <v>208</v>
      </c>
      <c r="K181" s="142" t="str">
        <f t="shared" si="67"/>
        <v>-</v>
      </c>
      <c r="L181" s="142">
        <f t="shared" si="67"/>
        <v>520</v>
      </c>
      <c r="M181" s="7"/>
      <c r="N181" s="142" t="str">
        <f t="shared" ref="N181:X181" si="68">IF(AND(N133="-",N85="-",N37="-"),"-",SUM(N133,N85,N37))</f>
        <v>-</v>
      </c>
      <c r="O181" s="142" t="str">
        <f t="shared" si="68"/>
        <v>-</v>
      </c>
      <c r="P181" s="142" t="str">
        <f t="shared" si="68"/>
        <v>-</v>
      </c>
      <c r="Q181" s="142" t="str">
        <f t="shared" si="68"/>
        <v>-</v>
      </c>
      <c r="R181" s="142" t="str">
        <f t="shared" si="68"/>
        <v>-</v>
      </c>
      <c r="S181" s="142" t="str">
        <f t="shared" si="68"/>
        <v>-</v>
      </c>
      <c r="T181" s="142" t="str">
        <f t="shared" si="68"/>
        <v>-</v>
      </c>
      <c r="U181" s="142" t="str">
        <f t="shared" si="68"/>
        <v>-</v>
      </c>
      <c r="V181" s="142" t="str">
        <f t="shared" si="68"/>
        <v>-</v>
      </c>
      <c r="W181" s="142" t="str">
        <f t="shared" si="68"/>
        <v>-</v>
      </c>
      <c r="X181" s="142" t="str">
        <f t="shared" si="68"/>
        <v>-</v>
      </c>
    </row>
    <row r="182" spans="1:24" ht="11.25" customHeight="1">
      <c r="A182" s="99">
        <v>2009</v>
      </c>
      <c r="B182" s="142" t="str">
        <f t="shared" ref="B182:L182" si="69">IF(AND(B134="-",B86="-",B38="-"),"-",SUM(B134,B86,B38))</f>
        <v>-</v>
      </c>
      <c r="C182" s="142" t="str">
        <f t="shared" si="69"/>
        <v>-</v>
      </c>
      <c r="D182" s="142" t="str">
        <f t="shared" si="69"/>
        <v>-</v>
      </c>
      <c r="E182" s="142" t="str">
        <f t="shared" si="69"/>
        <v>-</v>
      </c>
      <c r="F182" s="142" t="str">
        <f t="shared" si="69"/>
        <v>-</v>
      </c>
      <c r="G182" s="142" t="str">
        <f t="shared" si="69"/>
        <v>-</v>
      </c>
      <c r="H182" s="142">
        <f t="shared" si="69"/>
        <v>105</v>
      </c>
      <c r="I182" s="142">
        <f t="shared" si="69"/>
        <v>332</v>
      </c>
      <c r="J182" s="142" t="str">
        <f t="shared" si="69"/>
        <v>-</v>
      </c>
      <c r="K182" s="142" t="str">
        <f t="shared" si="69"/>
        <v>-</v>
      </c>
      <c r="L182" s="142">
        <f t="shared" si="69"/>
        <v>437</v>
      </c>
      <c r="M182" s="7"/>
      <c r="N182" s="142" t="str">
        <f t="shared" ref="N182:X182" si="70">IF(AND(N134="-",N86="-",N38="-"),"-",SUM(N134,N86,N38))</f>
        <v>-</v>
      </c>
      <c r="O182" s="142" t="str">
        <f t="shared" si="70"/>
        <v>-</v>
      </c>
      <c r="P182" s="142" t="str">
        <f t="shared" si="70"/>
        <v>-</v>
      </c>
      <c r="Q182" s="142" t="str">
        <f t="shared" si="70"/>
        <v>-</v>
      </c>
      <c r="R182" s="142" t="str">
        <f t="shared" si="70"/>
        <v>-</v>
      </c>
      <c r="S182" s="142" t="str">
        <f t="shared" si="70"/>
        <v>-</v>
      </c>
      <c r="T182" s="142">
        <f t="shared" si="70"/>
        <v>9278</v>
      </c>
      <c r="U182" s="142" t="str">
        <f t="shared" si="70"/>
        <v>-</v>
      </c>
      <c r="V182" s="142" t="str">
        <f t="shared" si="70"/>
        <v>-</v>
      </c>
      <c r="W182" s="142" t="str">
        <f t="shared" si="70"/>
        <v>-</v>
      </c>
      <c r="X182" s="142">
        <f t="shared" si="70"/>
        <v>9278</v>
      </c>
    </row>
    <row r="183" spans="1:24" ht="11.25" customHeight="1">
      <c r="A183" s="99">
        <v>2010</v>
      </c>
      <c r="B183" s="142" t="str">
        <f t="shared" ref="B183:L183" si="71">IF(AND(B135="-",B87="-",B39="-"),"-",SUM(B135,B87,B39))</f>
        <v>-</v>
      </c>
      <c r="C183" s="142" t="str">
        <f t="shared" si="71"/>
        <v>-</v>
      </c>
      <c r="D183" s="142">
        <f t="shared" si="71"/>
        <v>9183</v>
      </c>
      <c r="E183" s="142">
        <f t="shared" si="71"/>
        <v>8966</v>
      </c>
      <c r="F183" s="142">
        <f t="shared" si="71"/>
        <v>13233</v>
      </c>
      <c r="G183" s="142">
        <f t="shared" si="71"/>
        <v>10104</v>
      </c>
      <c r="H183" s="142">
        <f t="shared" si="71"/>
        <v>56</v>
      </c>
      <c r="I183" s="142">
        <f t="shared" si="71"/>
        <v>1859</v>
      </c>
      <c r="J183" s="142" t="str">
        <f t="shared" si="71"/>
        <v>-</v>
      </c>
      <c r="K183" s="142" t="str">
        <f t="shared" si="71"/>
        <v>-</v>
      </c>
      <c r="L183" s="142">
        <f t="shared" si="71"/>
        <v>43401</v>
      </c>
      <c r="M183" s="7"/>
      <c r="N183" s="142" t="str">
        <f t="shared" ref="N183:X183" si="72">IF(AND(N135="-",N87="-",N39="-"),"-",SUM(N135,N87,N39))</f>
        <v>-</v>
      </c>
      <c r="O183" s="142" t="str">
        <f t="shared" si="72"/>
        <v>-</v>
      </c>
      <c r="P183" s="142" t="str">
        <f t="shared" si="72"/>
        <v>-</v>
      </c>
      <c r="Q183" s="142" t="str">
        <f t="shared" si="72"/>
        <v>-</v>
      </c>
      <c r="R183" s="142" t="str">
        <f t="shared" si="72"/>
        <v>-</v>
      </c>
      <c r="S183" s="142" t="str">
        <f t="shared" si="72"/>
        <v>-</v>
      </c>
      <c r="T183" s="142" t="str">
        <f t="shared" si="72"/>
        <v>-</v>
      </c>
      <c r="U183" s="142" t="str">
        <f t="shared" si="72"/>
        <v>-</v>
      </c>
      <c r="V183" s="142" t="str">
        <f t="shared" si="72"/>
        <v>-</v>
      </c>
      <c r="W183" s="142" t="str">
        <f t="shared" si="72"/>
        <v>-</v>
      </c>
      <c r="X183" s="142" t="str">
        <f t="shared" si="72"/>
        <v>-</v>
      </c>
    </row>
    <row r="184" spans="1:24" ht="11.25" customHeight="1">
      <c r="A184" s="99">
        <v>2011</v>
      </c>
      <c r="B184" s="142" t="str">
        <f t="shared" ref="B184:L184" si="73">IF(AND(B136="-",B88="-",B40="-"),"-",SUM(B136,B88,B40))</f>
        <v>-</v>
      </c>
      <c r="C184" s="142">
        <f t="shared" si="73"/>
        <v>4481</v>
      </c>
      <c r="D184" s="142">
        <f t="shared" si="73"/>
        <v>20234</v>
      </c>
      <c r="E184" s="142">
        <f t="shared" si="73"/>
        <v>14844</v>
      </c>
      <c r="F184" s="142">
        <f t="shared" si="73"/>
        <v>32395</v>
      </c>
      <c r="G184" s="142">
        <f t="shared" si="73"/>
        <v>21650</v>
      </c>
      <c r="H184" s="142">
        <f t="shared" si="73"/>
        <v>2157</v>
      </c>
      <c r="I184" s="142">
        <f t="shared" si="73"/>
        <v>1517</v>
      </c>
      <c r="J184" s="142">
        <f t="shared" si="73"/>
        <v>1995</v>
      </c>
      <c r="K184" s="142" t="str">
        <f t="shared" si="73"/>
        <v>-</v>
      </c>
      <c r="L184" s="142">
        <f t="shared" si="73"/>
        <v>99273</v>
      </c>
      <c r="M184" s="7"/>
      <c r="N184" s="142" t="str">
        <f t="shared" ref="N184:X184" si="74">IF(AND(N136="-",N88="-",N40="-"),"-",SUM(N136,N88,N40))</f>
        <v>-</v>
      </c>
      <c r="O184" s="142" t="str">
        <f t="shared" si="74"/>
        <v>-</v>
      </c>
      <c r="P184" s="142" t="str">
        <f t="shared" si="74"/>
        <v>-</v>
      </c>
      <c r="Q184" s="142" t="str">
        <f t="shared" si="74"/>
        <v>-</v>
      </c>
      <c r="R184" s="142" t="str">
        <f t="shared" si="74"/>
        <v>-</v>
      </c>
      <c r="S184" s="142" t="str">
        <f t="shared" si="74"/>
        <v>-</v>
      </c>
      <c r="T184" s="142" t="str">
        <f t="shared" si="74"/>
        <v>-</v>
      </c>
      <c r="U184" s="142" t="str">
        <f t="shared" si="74"/>
        <v>-</v>
      </c>
      <c r="V184" s="142" t="str">
        <f t="shared" si="74"/>
        <v>-</v>
      </c>
      <c r="W184" s="142" t="str">
        <f t="shared" si="74"/>
        <v>-</v>
      </c>
      <c r="X184" s="142" t="str">
        <f t="shared" si="74"/>
        <v>-</v>
      </c>
    </row>
    <row r="185" spans="1:24" ht="11.25" customHeight="1">
      <c r="A185" s="99">
        <v>2012</v>
      </c>
      <c r="B185" s="142" t="str">
        <f t="shared" ref="B185:L185" si="75">IF(AND(B137="-",B89="-",B41="-"),"-",SUM(B137,B89,B41))</f>
        <v>-</v>
      </c>
      <c r="C185" s="142">
        <f t="shared" si="75"/>
        <v>3633</v>
      </c>
      <c r="D185" s="142">
        <f t="shared" si="75"/>
        <v>73761</v>
      </c>
      <c r="E185" s="142">
        <f t="shared" si="75"/>
        <v>28029</v>
      </c>
      <c r="F185" s="142">
        <f t="shared" si="75"/>
        <v>96083</v>
      </c>
      <c r="G185" s="142">
        <f t="shared" si="75"/>
        <v>38365</v>
      </c>
      <c r="H185" s="142">
        <f t="shared" si="75"/>
        <v>27483</v>
      </c>
      <c r="I185" s="142">
        <f t="shared" si="75"/>
        <v>12187</v>
      </c>
      <c r="J185" s="142">
        <f t="shared" si="75"/>
        <v>701</v>
      </c>
      <c r="K185" s="142" t="str">
        <f t="shared" si="75"/>
        <v>-</v>
      </c>
      <c r="L185" s="142">
        <f t="shared" si="75"/>
        <v>280242</v>
      </c>
      <c r="M185" s="7"/>
      <c r="N185" s="142" t="str">
        <f t="shared" ref="N185:X185" si="76">IF(AND(N137="-",N89="-",N41="-"),"-",SUM(N137,N89,N41))</f>
        <v>-</v>
      </c>
      <c r="O185" s="142" t="str">
        <f t="shared" si="76"/>
        <v>-</v>
      </c>
      <c r="P185" s="142" t="str">
        <f t="shared" si="76"/>
        <v>-</v>
      </c>
      <c r="Q185" s="142" t="str">
        <f t="shared" si="76"/>
        <v>-</v>
      </c>
      <c r="R185" s="142" t="str">
        <f t="shared" si="76"/>
        <v>-</v>
      </c>
      <c r="S185" s="142" t="str">
        <f t="shared" si="76"/>
        <v>-</v>
      </c>
      <c r="T185" s="142" t="str">
        <f t="shared" si="76"/>
        <v>-</v>
      </c>
      <c r="U185" s="142" t="str">
        <f t="shared" si="76"/>
        <v>-</v>
      </c>
      <c r="V185" s="142" t="str">
        <f t="shared" si="76"/>
        <v>-</v>
      </c>
      <c r="W185" s="142" t="str">
        <f t="shared" si="76"/>
        <v>-</v>
      </c>
      <c r="X185" s="142" t="str">
        <f t="shared" si="76"/>
        <v>-</v>
      </c>
    </row>
    <row r="186" spans="1:24" ht="11.25" customHeight="1">
      <c r="A186" s="99">
        <v>2013</v>
      </c>
      <c r="B186" s="142" t="str">
        <f t="shared" ref="B186:L186" si="77">IF(AND(B138="-",B90="-",B42="-"),"-",SUM(B138,B90,B42))</f>
        <v>-</v>
      </c>
      <c r="C186" s="142">
        <f t="shared" si="77"/>
        <v>7423</v>
      </c>
      <c r="D186" s="142">
        <f t="shared" si="77"/>
        <v>86616</v>
      </c>
      <c r="E186" s="142">
        <f t="shared" si="77"/>
        <v>91986</v>
      </c>
      <c r="F186" s="142">
        <f t="shared" si="77"/>
        <v>106772</v>
      </c>
      <c r="G186" s="142">
        <f t="shared" si="77"/>
        <v>65640</v>
      </c>
      <c r="H186" s="142">
        <f t="shared" si="77"/>
        <v>39480</v>
      </c>
      <c r="I186" s="142">
        <f t="shared" si="77"/>
        <v>9520</v>
      </c>
      <c r="J186" s="142">
        <f t="shared" si="77"/>
        <v>1002</v>
      </c>
      <c r="K186" s="142" t="str">
        <f t="shared" si="77"/>
        <v>-</v>
      </c>
      <c r="L186" s="142">
        <f t="shared" si="77"/>
        <v>408439</v>
      </c>
      <c r="M186" s="7"/>
      <c r="N186" s="142" t="str">
        <f t="shared" ref="N186:X186" si="78">IF(AND(N138="-",N90="-",N42="-"),"-",SUM(N138,N90,N42))</f>
        <v>-</v>
      </c>
      <c r="O186" s="142" t="str">
        <f t="shared" si="78"/>
        <v>-</v>
      </c>
      <c r="P186" s="142" t="str">
        <f t="shared" si="78"/>
        <v>-</v>
      </c>
      <c r="Q186" s="142" t="str">
        <f t="shared" si="78"/>
        <v>-</v>
      </c>
      <c r="R186" s="142" t="str">
        <f t="shared" si="78"/>
        <v>-</v>
      </c>
      <c r="S186" s="142" t="str">
        <f t="shared" si="78"/>
        <v>-</v>
      </c>
      <c r="T186" s="142" t="str">
        <f t="shared" si="78"/>
        <v>-</v>
      </c>
      <c r="U186" s="142" t="str">
        <f t="shared" si="78"/>
        <v>-</v>
      </c>
      <c r="V186" s="142" t="str">
        <f t="shared" si="78"/>
        <v>-</v>
      </c>
      <c r="W186" s="142" t="str">
        <f t="shared" si="78"/>
        <v>-</v>
      </c>
      <c r="X186" s="142" t="str">
        <f t="shared" si="78"/>
        <v>-</v>
      </c>
    </row>
    <row r="187" spans="1:24" ht="11.25" customHeight="1">
      <c r="A187" s="99">
        <v>2014</v>
      </c>
      <c r="B187" s="142" t="str">
        <f t="shared" ref="B187:L187" si="79">IF(AND(B139="-",B91="-",B43="-"),"-",SUM(B139,B91,B43))</f>
        <v>-</v>
      </c>
      <c r="C187" s="142">
        <f t="shared" si="79"/>
        <v>15554</v>
      </c>
      <c r="D187" s="142">
        <f t="shared" si="79"/>
        <v>83687</v>
      </c>
      <c r="E187" s="142">
        <f t="shared" si="79"/>
        <v>69490</v>
      </c>
      <c r="F187" s="142">
        <f t="shared" si="79"/>
        <v>73386</v>
      </c>
      <c r="G187" s="142">
        <f t="shared" si="79"/>
        <v>91088</v>
      </c>
      <c r="H187" s="142">
        <f t="shared" si="79"/>
        <v>21023</v>
      </c>
      <c r="I187" s="142">
        <f t="shared" si="79"/>
        <v>5500</v>
      </c>
      <c r="J187" s="142">
        <f t="shared" si="79"/>
        <v>469</v>
      </c>
      <c r="K187" s="142" t="str">
        <f t="shared" si="79"/>
        <v>-</v>
      </c>
      <c r="L187" s="142">
        <f t="shared" si="79"/>
        <v>360197</v>
      </c>
      <c r="M187" s="7"/>
      <c r="N187" s="142" t="str">
        <f t="shared" ref="N187:X187" si="80">IF(AND(N139="-",N91="-",N43="-"),"-",SUM(N139,N91,N43))</f>
        <v>-</v>
      </c>
      <c r="O187" s="142" t="str">
        <f t="shared" si="80"/>
        <v>-</v>
      </c>
      <c r="P187" s="142" t="str">
        <f t="shared" si="80"/>
        <v>-</v>
      </c>
      <c r="Q187" s="142" t="str">
        <f t="shared" si="80"/>
        <v>-</v>
      </c>
      <c r="R187" s="142" t="str">
        <f t="shared" si="80"/>
        <v>-</v>
      </c>
      <c r="S187" s="142" t="str">
        <f t="shared" si="80"/>
        <v>-</v>
      </c>
      <c r="T187" s="142">
        <f t="shared" si="80"/>
        <v>3296</v>
      </c>
      <c r="U187" s="142" t="str">
        <f t="shared" si="80"/>
        <v>-</v>
      </c>
      <c r="V187" s="142" t="str">
        <f t="shared" si="80"/>
        <v>-</v>
      </c>
      <c r="W187" s="142" t="str">
        <f t="shared" si="80"/>
        <v>-</v>
      </c>
      <c r="X187" s="142">
        <f t="shared" si="80"/>
        <v>3296</v>
      </c>
    </row>
    <row r="188" spans="1:24" ht="11.25" customHeight="1">
      <c r="A188" s="99">
        <v>2015</v>
      </c>
      <c r="B188" s="142" t="str">
        <f t="shared" ref="B188:L188" si="81">IF(AND(B140="-",B92="-",B44="-"),"-",SUM(B140,B92,B44))</f>
        <v>-</v>
      </c>
      <c r="C188" s="142">
        <f t="shared" si="81"/>
        <v>16420</v>
      </c>
      <c r="D188" s="142">
        <f t="shared" si="81"/>
        <v>67847</v>
      </c>
      <c r="E188" s="142">
        <f t="shared" si="81"/>
        <v>40820</v>
      </c>
      <c r="F188" s="142">
        <f t="shared" si="81"/>
        <v>40949</v>
      </c>
      <c r="G188" s="142">
        <f t="shared" si="81"/>
        <v>19016</v>
      </c>
      <c r="H188" s="142">
        <f t="shared" si="81"/>
        <v>12459</v>
      </c>
      <c r="I188" s="142">
        <f t="shared" si="81"/>
        <v>5210</v>
      </c>
      <c r="J188" s="142">
        <f t="shared" si="81"/>
        <v>1163</v>
      </c>
      <c r="K188" s="142" t="str">
        <f t="shared" si="81"/>
        <v>-</v>
      </c>
      <c r="L188" s="142">
        <f t="shared" si="81"/>
        <v>203884</v>
      </c>
      <c r="M188" s="7"/>
      <c r="N188" s="142" t="str">
        <f t="shared" ref="N188:X188" si="82">IF(AND(N140="-",N92="-",N44="-"),"-",SUM(N140,N92,N44))</f>
        <v>-</v>
      </c>
      <c r="O188" s="142" t="str">
        <f t="shared" si="82"/>
        <v>-</v>
      </c>
      <c r="P188" s="142" t="str">
        <f t="shared" si="82"/>
        <v>-</v>
      </c>
      <c r="Q188" s="142" t="str">
        <f t="shared" si="82"/>
        <v>-</v>
      </c>
      <c r="R188" s="142" t="str">
        <f t="shared" si="82"/>
        <v>-</v>
      </c>
      <c r="S188" s="142" t="str">
        <f t="shared" si="82"/>
        <v>-</v>
      </c>
      <c r="T188" s="142" t="str">
        <f t="shared" si="82"/>
        <v>-</v>
      </c>
      <c r="U188" s="142" t="str">
        <f t="shared" si="82"/>
        <v>-</v>
      </c>
      <c r="V188" s="142" t="str">
        <f t="shared" si="82"/>
        <v>-</v>
      </c>
      <c r="W188" s="142" t="str">
        <f t="shared" si="82"/>
        <v>-</v>
      </c>
      <c r="X188" s="142" t="str">
        <f t="shared" si="82"/>
        <v>-</v>
      </c>
    </row>
    <row r="189" spans="1:24" ht="11.25" customHeight="1">
      <c r="A189" s="99">
        <v>2016</v>
      </c>
      <c r="B189" s="142" t="str">
        <f t="shared" ref="B189:L189" si="83">IF(AND(B141="-",B93="-",B45="-"),"-",SUM(B141,B93,B45))</f>
        <v>-</v>
      </c>
      <c r="C189" s="142">
        <f t="shared" si="83"/>
        <v>6597</v>
      </c>
      <c r="D189" s="142">
        <f t="shared" si="83"/>
        <v>19390</v>
      </c>
      <c r="E189" s="142">
        <f t="shared" si="83"/>
        <v>18343</v>
      </c>
      <c r="F189" s="142">
        <f t="shared" si="83"/>
        <v>11264</v>
      </c>
      <c r="G189" s="142">
        <f t="shared" si="83"/>
        <v>26961</v>
      </c>
      <c r="H189" s="142">
        <f t="shared" si="83"/>
        <v>11279</v>
      </c>
      <c r="I189" s="142">
        <f t="shared" si="83"/>
        <v>1458</v>
      </c>
      <c r="J189" s="142">
        <f t="shared" si="83"/>
        <v>182</v>
      </c>
      <c r="K189" s="142" t="str">
        <f t="shared" si="83"/>
        <v>-</v>
      </c>
      <c r="L189" s="142">
        <f t="shared" si="83"/>
        <v>95474</v>
      </c>
      <c r="M189" s="7"/>
      <c r="N189" s="142" t="str">
        <f t="shared" ref="N189:X189" si="84">IF(AND(N141="-",N93="-",N45="-"),"-",SUM(N141,N93,N45))</f>
        <v>-</v>
      </c>
      <c r="O189" s="142" t="str">
        <f t="shared" si="84"/>
        <v>-</v>
      </c>
      <c r="P189" s="142" t="str">
        <f t="shared" si="84"/>
        <v>-</v>
      </c>
      <c r="Q189" s="142" t="str">
        <f t="shared" si="84"/>
        <v>-</v>
      </c>
      <c r="R189" s="142" t="str">
        <f t="shared" si="84"/>
        <v>-</v>
      </c>
      <c r="S189" s="142" t="str">
        <f t="shared" si="84"/>
        <v>-</v>
      </c>
      <c r="T189" s="142" t="str">
        <f t="shared" si="84"/>
        <v>-</v>
      </c>
      <c r="U189" s="142" t="str">
        <f t="shared" si="84"/>
        <v>-</v>
      </c>
      <c r="V189" s="142" t="str">
        <f t="shared" si="84"/>
        <v>-</v>
      </c>
      <c r="W189" s="142" t="str">
        <f t="shared" si="84"/>
        <v>-</v>
      </c>
      <c r="X189" s="142" t="str">
        <f t="shared" si="84"/>
        <v>-</v>
      </c>
    </row>
    <row r="190" spans="1:24" ht="11.25" customHeight="1">
      <c r="A190" s="99">
        <v>2017</v>
      </c>
      <c r="B190" s="142" t="str">
        <f t="shared" ref="B190:L190" si="85">IF(AND(B142="-",B94="-",B46="-"),"-",SUM(B142,B94,B46))</f>
        <v>-</v>
      </c>
      <c r="C190" s="142">
        <f t="shared" si="85"/>
        <v>553</v>
      </c>
      <c r="D190" s="142">
        <f t="shared" si="85"/>
        <v>6817</v>
      </c>
      <c r="E190" s="142">
        <f t="shared" si="85"/>
        <v>10065</v>
      </c>
      <c r="F190" s="142">
        <f t="shared" si="85"/>
        <v>13019</v>
      </c>
      <c r="G190" s="142">
        <f t="shared" si="85"/>
        <v>18336</v>
      </c>
      <c r="H190" s="142">
        <f t="shared" si="85"/>
        <v>10369</v>
      </c>
      <c r="I190" s="142">
        <f t="shared" si="85"/>
        <v>2289</v>
      </c>
      <c r="J190" s="142">
        <f t="shared" si="85"/>
        <v>96</v>
      </c>
      <c r="K190" s="142" t="str">
        <f t="shared" si="85"/>
        <v>-</v>
      </c>
      <c r="L190" s="142">
        <f t="shared" si="85"/>
        <v>61544</v>
      </c>
      <c r="M190" s="7"/>
      <c r="N190" s="142" t="str">
        <f t="shared" ref="N190:X190" si="86">IF(AND(N142="-",N94="-",N46="-"),"-",SUM(N142,N94,N46))</f>
        <v>-</v>
      </c>
      <c r="O190" s="142" t="str">
        <f t="shared" si="86"/>
        <v>-</v>
      </c>
      <c r="P190" s="142" t="str">
        <f t="shared" si="86"/>
        <v>-</v>
      </c>
      <c r="Q190" s="142" t="str">
        <f t="shared" si="86"/>
        <v>-</v>
      </c>
      <c r="R190" s="142" t="str">
        <f t="shared" si="86"/>
        <v>-</v>
      </c>
      <c r="S190" s="142" t="str">
        <f t="shared" si="86"/>
        <v>-</v>
      </c>
      <c r="T190" s="142" t="str">
        <f t="shared" si="86"/>
        <v>-</v>
      </c>
      <c r="U190" s="142" t="str">
        <f t="shared" si="86"/>
        <v>-</v>
      </c>
      <c r="V190" s="142" t="str">
        <f t="shared" si="86"/>
        <v>-</v>
      </c>
      <c r="W190" s="142" t="str">
        <f t="shared" si="86"/>
        <v>-</v>
      </c>
      <c r="X190" s="142" t="str">
        <f t="shared" si="86"/>
        <v>-</v>
      </c>
    </row>
    <row r="191" spans="1:24" ht="11.25" customHeight="1">
      <c r="A191" s="99">
        <v>2018</v>
      </c>
      <c r="B191" s="142" t="str">
        <f t="shared" ref="B191:L191" si="87">IF(AND(B143="-",B95="-",B47="-"),"-",SUM(B143,B95,B47))</f>
        <v>-</v>
      </c>
      <c r="C191" s="142" t="str">
        <f t="shared" si="87"/>
        <v>-</v>
      </c>
      <c r="D191" s="142">
        <f t="shared" si="87"/>
        <v>6746</v>
      </c>
      <c r="E191" s="142">
        <f t="shared" si="87"/>
        <v>21743</v>
      </c>
      <c r="F191" s="142">
        <f t="shared" si="87"/>
        <v>19014</v>
      </c>
      <c r="G191" s="142">
        <f t="shared" si="87"/>
        <v>40622</v>
      </c>
      <c r="H191" s="142">
        <f t="shared" si="87"/>
        <v>11151</v>
      </c>
      <c r="I191" s="142">
        <f t="shared" si="87"/>
        <v>2837</v>
      </c>
      <c r="J191" s="142">
        <f t="shared" si="87"/>
        <v>431</v>
      </c>
      <c r="K191" s="142" t="str">
        <f t="shared" si="87"/>
        <v>-</v>
      </c>
      <c r="L191" s="142">
        <f t="shared" si="87"/>
        <v>102544</v>
      </c>
      <c r="M191" s="7"/>
      <c r="N191" s="142" t="str">
        <f t="shared" ref="N191:X191" si="88">IF(AND(N143="-",N95="-",N47="-"),"-",SUM(N143,N95,N47))</f>
        <v>-</v>
      </c>
      <c r="O191" s="142" t="str">
        <f t="shared" si="88"/>
        <v>-</v>
      </c>
      <c r="P191" s="142" t="str">
        <f t="shared" si="88"/>
        <v>-</v>
      </c>
      <c r="Q191" s="142" t="str">
        <f t="shared" si="88"/>
        <v>-</v>
      </c>
      <c r="R191" s="142" t="str">
        <f t="shared" si="88"/>
        <v>-</v>
      </c>
      <c r="S191" s="142" t="str">
        <f t="shared" si="88"/>
        <v>-</v>
      </c>
      <c r="T191" s="142" t="str">
        <f t="shared" si="88"/>
        <v>-</v>
      </c>
      <c r="U191" s="142" t="str">
        <f t="shared" si="88"/>
        <v>-</v>
      </c>
      <c r="V191" s="142" t="str">
        <f t="shared" si="88"/>
        <v>-</v>
      </c>
      <c r="W191" s="142" t="str">
        <f t="shared" si="88"/>
        <v>-</v>
      </c>
      <c r="X191" s="142" t="str">
        <f t="shared" si="88"/>
        <v>-</v>
      </c>
    </row>
    <row r="192" spans="1:24" ht="11.25" customHeight="1">
      <c r="A192" s="99">
        <v>2019</v>
      </c>
      <c r="B192" s="142" t="str">
        <f t="shared" ref="B192:L192" si="89">IF(AND(B144="-",B96="-",B48="-"),"-",SUM(B144,B96,B48))</f>
        <v>-</v>
      </c>
      <c r="C192" s="142">
        <f t="shared" si="89"/>
        <v>162</v>
      </c>
      <c r="D192" s="142">
        <f t="shared" si="89"/>
        <v>71682</v>
      </c>
      <c r="E192" s="142">
        <f t="shared" si="89"/>
        <v>101247</v>
      </c>
      <c r="F192" s="142">
        <f t="shared" si="89"/>
        <v>55550</v>
      </c>
      <c r="G192" s="142">
        <f t="shared" si="89"/>
        <v>62827</v>
      </c>
      <c r="H192" s="142">
        <f t="shared" si="89"/>
        <v>6731</v>
      </c>
      <c r="I192" s="142">
        <f t="shared" si="89"/>
        <v>1671</v>
      </c>
      <c r="J192" s="142" t="str">
        <f t="shared" si="89"/>
        <v>-</v>
      </c>
      <c r="K192" s="142" t="str">
        <f t="shared" si="89"/>
        <v>-</v>
      </c>
      <c r="L192" s="142">
        <f t="shared" si="89"/>
        <v>299870</v>
      </c>
      <c r="M192" s="7"/>
      <c r="N192" s="142" t="str">
        <f t="shared" ref="N192:X192" si="90">IF(AND(N144="-",N96="-",N48="-"),"-",SUM(N144,N96,N48))</f>
        <v>-</v>
      </c>
      <c r="O192" s="142" t="str">
        <f t="shared" si="90"/>
        <v>-</v>
      </c>
      <c r="P192" s="142" t="str">
        <f t="shared" si="90"/>
        <v>-</v>
      </c>
      <c r="Q192" s="142" t="str">
        <f t="shared" si="90"/>
        <v>-</v>
      </c>
      <c r="R192" s="142" t="str">
        <f t="shared" si="90"/>
        <v>-</v>
      </c>
      <c r="S192" s="142" t="str">
        <f t="shared" si="90"/>
        <v>-</v>
      </c>
      <c r="T192" s="142" t="str">
        <f t="shared" si="90"/>
        <v>-</v>
      </c>
      <c r="U192" s="142" t="str">
        <f t="shared" si="90"/>
        <v>-</v>
      </c>
      <c r="V192" s="142" t="str">
        <f t="shared" si="90"/>
        <v>-</v>
      </c>
      <c r="W192" s="142" t="str">
        <f t="shared" si="90"/>
        <v>-</v>
      </c>
      <c r="X192" s="142" t="str">
        <f t="shared" si="90"/>
        <v>-</v>
      </c>
    </row>
    <row r="193" spans="1:24" ht="11.25" customHeight="1">
      <c r="A193" s="99" t="s">
        <v>309</v>
      </c>
      <c r="B193" s="142" t="str">
        <f t="shared" ref="B193:K194" si="91">IF(AND(B145="-",B97="-",B49="-"),"-",SUM(B145,B97,B49))</f>
        <v>-</v>
      </c>
      <c r="C193" s="142">
        <f t="shared" si="91"/>
        <v>800</v>
      </c>
      <c r="D193" s="142">
        <f t="shared" si="91"/>
        <v>33294</v>
      </c>
      <c r="E193" s="142">
        <f t="shared" si="91"/>
        <v>51839</v>
      </c>
      <c r="F193" s="142">
        <f t="shared" si="91"/>
        <v>70541</v>
      </c>
      <c r="G193" s="142">
        <f t="shared" si="91"/>
        <v>21476</v>
      </c>
      <c r="H193" s="142">
        <f t="shared" si="91"/>
        <v>9032</v>
      </c>
      <c r="I193" s="142">
        <f t="shared" si="91"/>
        <v>3438</v>
      </c>
      <c r="J193" s="142" t="str">
        <f t="shared" si="91"/>
        <v>-</v>
      </c>
      <c r="K193" s="142" t="str">
        <f t="shared" si="91"/>
        <v>-</v>
      </c>
      <c r="L193" s="142">
        <f>IF(AND(L145="-",L97="-",L49="-"),"-",SUM(L145,L97,L49))</f>
        <v>190420</v>
      </c>
      <c r="M193" s="7"/>
      <c r="N193" s="142" t="str">
        <f t="shared" ref="N193:X194" si="92">IF(AND(N145="-",N97="-",N49="-"),"-",SUM(N145,N97,N49))</f>
        <v>-</v>
      </c>
      <c r="O193" s="142" t="str">
        <f t="shared" si="92"/>
        <v>-</v>
      </c>
      <c r="P193" s="142" t="str">
        <f t="shared" si="92"/>
        <v>-</v>
      </c>
      <c r="Q193" s="142" t="str">
        <f t="shared" si="92"/>
        <v>-</v>
      </c>
      <c r="R193" s="142" t="str">
        <f t="shared" si="92"/>
        <v>-</v>
      </c>
      <c r="S193" s="142" t="str">
        <f t="shared" si="92"/>
        <v>-</v>
      </c>
      <c r="T193" s="142" t="str">
        <f t="shared" si="92"/>
        <v>-</v>
      </c>
      <c r="U193" s="142" t="str">
        <f t="shared" si="92"/>
        <v>-</v>
      </c>
      <c r="V193" s="142" t="str">
        <f t="shared" si="92"/>
        <v>-</v>
      </c>
      <c r="W193" s="142" t="str">
        <f t="shared" si="92"/>
        <v>-</v>
      </c>
      <c r="X193" s="142" t="str">
        <f t="shared" si="92"/>
        <v>-</v>
      </c>
    </row>
    <row r="194" spans="1:24" ht="11.25" customHeight="1">
      <c r="A194" s="99" t="s">
        <v>317</v>
      </c>
      <c r="B194" s="142">
        <f t="shared" si="91"/>
        <v>231</v>
      </c>
      <c r="C194" s="142">
        <f t="shared" si="91"/>
        <v>2385</v>
      </c>
      <c r="D194" s="142">
        <f t="shared" si="91"/>
        <v>48966</v>
      </c>
      <c r="E194" s="142">
        <f t="shared" si="91"/>
        <v>77839</v>
      </c>
      <c r="F194" s="142">
        <f t="shared" si="91"/>
        <v>17420</v>
      </c>
      <c r="G194" s="142">
        <f t="shared" si="91"/>
        <v>61730</v>
      </c>
      <c r="H194" s="142">
        <f t="shared" si="91"/>
        <v>7924</v>
      </c>
      <c r="I194" s="142">
        <f t="shared" si="91"/>
        <v>2283</v>
      </c>
      <c r="J194" s="142" t="str">
        <f t="shared" si="91"/>
        <v>-</v>
      </c>
      <c r="K194" s="142" t="str">
        <f t="shared" si="91"/>
        <v>-</v>
      </c>
      <c r="L194" s="142">
        <f>IF(AND(L146="-",L98="-",L50="-"),"-",SUM(L146,L98,L50))</f>
        <v>218778</v>
      </c>
      <c r="M194" s="7"/>
      <c r="N194" s="142" t="str">
        <f t="shared" si="92"/>
        <v>-</v>
      </c>
      <c r="O194" s="142" t="str">
        <f t="shared" si="92"/>
        <v>-</v>
      </c>
      <c r="P194" s="142" t="str">
        <f t="shared" si="92"/>
        <v>-</v>
      </c>
      <c r="Q194" s="142" t="str">
        <f t="shared" si="92"/>
        <v>-</v>
      </c>
      <c r="R194" s="142">
        <f t="shared" si="92"/>
        <v>934</v>
      </c>
      <c r="S194" s="142">
        <f t="shared" si="92"/>
        <v>1154</v>
      </c>
      <c r="T194" s="142" t="str">
        <f t="shared" si="92"/>
        <v>-</v>
      </c>
      <c r="U194" s="142" t="str">
        <f t="shared" si="92"/>
        <v>-</v>
      </c>
      <c r="V194" s="142" t="str">
        <f t="shared" si="92"/>
        <v>-</v>
      </c>
      <c r="W194" s="142" t="str">
        <f t="shared" si="92"/>
        <v>-</v>
      </c>
      <c r="X194" s="142" t="str">
        <f t="shared" si="92"/>
        <v>-</v>
      </c>
    </row>
    <row r="195" spans="1:24" ht="11.25" customHeight="1">
      <c r="A195" s="358" t="s">
        <v>148</v>
      </c>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row>
    <row r="196" spans="1:24" ht="11.25" customHeight="1">
      <c r="A196" s="359" t="s">
        <v>42</v>
      </c>
      <c r="B196" s="359"/>
      <c r="C196" s="359"/>
      <c r="D196" s="359"/>
      <c r="E196" s="359"/>
      <c r="F196" s="359"/>
      <c r="G196" s="359"/>
      <c r="H196" s="359"/>
      <c r="I196" s="359"/>
      <c r="J196" s="359"/>
      <c r="K196" s="359"/>
      <c r="L196" s="359"/>
      <c r="M196" s="359"/>
      <c r="N196" s="359"/>
      <c r="O196" s="359"/>
      <c r="P196" s="359"/>
      <c r="Q196" s="359"/>
      <c r="R196" s="359"/>
      <c r="S196" s="359"/>
      <c r="T196" s="359"/>
      <c r="U196" s="359"/>
      <c r="V196" s="359"/>
      <c r="W196" s="359"/>
      <c r="X196" s="359"/>
    </row>
    <row r="197" spans="1:24" ht="24.75" customHeight="1">
      <c r="A197" s="359" t="s">
        <v>354</v>
      </c>
      <c r="B197" s="359"/>
      <c r="C197" s="359"/>
      <c r="D197" s="359"/>
      <c r="E197" s="359"/>
      <c r="F197" s="359"/>
      <c r="G197" s="359"/>
      <c r="H197" s="359"/>
      <c r="I197" s="359"/>
      <c r="J197" s="359"/>
      <c r="K197" s="359"/>
      <c r="L197" s="359"/>
      <c r="M197" s="359"/>
      <c r="N197" s="359"/>
      <c r="O197" s="359"/>
      <c r="P197" s="359"/>
      <c r="Q197" s="359"/>
      <c r="R197" s="359"/>
      <c r="S197" s="359"/>
      <c r="T197" s="359"/>
      <c r="U197" s="359"/>
      <c r="V197" s="359"/>
      <c r="W197" s="359"/>
      <c r="X197" s="359"/>
    </row>
    <row r="198" spans="1:24" ht="11.25" customHeight="1">
      <c r="A198" s="99"/>
      <c r="B198" s="142"/>
      <c r="C198" s="142"/>
      <c r="D198" s="142"/>
      <c r="E198" s="142"/>
      <c r="F198" s="142"/>
      <c r="G198" s="142"/>
      <c r="H198" s="142"/>
      <c r="I198" s="142"/>
      <c r="J198" s="142"/>
      <c r="K198" s="142"/>
      <c r="L198" s="142"/>
      <c r="M198" s="1"/>
      <c r="N198" s="142"/>
      <c r="O198" s="142"/>
      <c r="P198" s="142"/>
      <c r="Q198" s="142"/>
      <c r="R198" s="142"/>
      <c r="S198" s="142"/>
      <c r="T198" s="142"/>
      <c r="U198" s="142"/>
      <c r="V198" s="142"/>
      <c r="W198" s="142"/>
      <c r="X198" s="142"/>
    </row>
    <row r="199" spans="1:24" ht="11.25" customHeight="1">
      <c r="A199" s="198"/>
      <c r="B199" s="198"/>
      <c r="C199" s="198"/>
      <c r="D199" s="198"/>
      <c r="E199" s="198"/>
      <c r="F199" s="198"/>
      <c r="G199" s="198"/>
      <c r="H199" s="198"/>
      <c r="I199" s="198"/>
      <c r="J199" s="198"/>
      <c r="K199" s="198"/>
      <c r="L199" s="198"/>
      <c r="M199" s="198"/>
      <c r="N199" s="198"/>
      <c r="O199" s="198"/>
      <c r="P199" s="198"/>
      <c r="Q199" s="198"/>
      <c r="R199" s="198"/>
      <c r="S199" s="198"/>
      <c r="T199" s="198"/>
      <c r="U199" s="198"/>
      <c r="V199" s="198"/>
      <c r="W199" s="198"/>
      <c r="X199" s="198"/>
    </row>
    <row r="200" spans="1:24" ht="11.25" customHeight="1"/>
    <row r="201" spans="1:24" ht="11.25" customHeight="1">
      <c r="A201" s="1" t="s">
        <v>140</v>
      </c>
      <c r="B201" s="1"/>
      <c r="C201" s="1"/>
      <c r="D201" s="1"/>
      <c r="E201" s="1"/>
      <c r="F201" s="1"/>
      <c r="G201" s="1"/>
      <c r="H201" s="1"/>
      <c r="I201" s="1"/>
      <c r="J201" s="1"/>
      <c r="K201" s="1"/>
      <c r="L201" s="1"/>
      <c r="M201" s="1"/>
      <c r="N201" s="1"/>
      <c r="O201" s="1"/>
      <c r="P201" s="1"/>
      <c r="Q201" s="1"/>
      <c r="R201" s="1"/>
      <c r="S201" s="1"/>
      <c r="T201" s="1"/>
      <c r="U201" s="1"/>
      <c r="V201" s="1"/>
      <c r="W201" s="1"/>
      <c r="X201" s="1"/>
    </row>
    <row r="202" spans="1:24" ht="11.25" customHeight="1">
      <c r="A202" s="231" t="s">
        <v>27</v>
      </c>
      <c r="B202" s="46" t="s">
        <v>37</v>
      </c>
      <c r="C202" s="46" t="s">
        <v>28</v>
      </c>
      <c r="D202" s="46" t="s">
        <v>29</v>
      </c>
      <c r="E202" s="46" t="s">
        <v>30</v>
      </c>
      <c r="F202" s="46" t="s">
        <v>31</v>
      </c>
      <c r="G202" s="46" t="s">
        <v>32</v>
      </c>
      <c r="H202" s="46" t="s">
        <v>33</v>
      </c>
      <c r="I202" s="46" t="s">
        <v>34</v>
      </c>
      <c r="J202" s="46" t="s">
        <v>38</v>
      </c>
      <c r="K202" s="46" t="s">
        <v>75</v>
      </c>
      <c r="L202" s="46" t="s">
        <v>22</v>
      </c>
      <c r="M202" s="47"/>
      <c r="N202" s="46" t="s">
        <v>37</v>
      </c>
      <c r="O202" s="46" t="s">
        <v>28</v>
      </c>
      <c r="P202" s="46" t="s">
        <v>29</v>
      </c>
      <c r="Q202" s="46" t="s">
        <v>30</v>
      </c>
      <c r="R202" s="46" t="s">
        <v>31</v>
      </c>
      <c r="S202" s="46" t="s">
        <v>32</v>
      </c>
      <c r="T202" s="46" t="s">
        <v>33</v>
      </c>
      <c r="U202" s="46" t="s">
        <v>34</v>
      </c>
      <c r="V202" s="46" t="s">
        <v>38</v>
      </c>
      <c r="W202" s="46" t="s">
        <v>75</v>
      </c>
      <c r="X202" s="46" t="s">
        <v>22</v>
      </c>
    </row>
    <row r="203" spans="1:24" ht="11.25" customHeight="1">
      <c r="A203" s="99"/>
      <c r="B203" s="334" t="s">
        <v>61</v>
      </c>
      <c r="C203" s="334"/>
      <c r="D203" s="334"/>
      <c r="E203" s="334"/>
      <c r="F203" s="334"/>
      <c r="G203" s="334"/>
      <c r="H203" s="334"/>
      <c r="I203" s="334"/>
      <c r="J203" s="334"/>
      <c r="K203" s="334"/>
      <c r="L203" s="334"/>
      <c r="M203" s="6"/>
      <c r="N203" s="334" t="s">
        <v>62</v>
      </c>
      <c r="O203" s="334"/>
      <c r="P203" s="334"/>
      <c r="Q203" s="334"/>
      <c r="R203" s="334"/>
      <c r="S203" s="334"/>
      <c r="T203" s="334"/>
      <c r="U203" s="334"/>
      <c r="V203" s="334"/>
      <c r="W203" s="334"/>
      <c r="X203" s="334"/>
    </row>
    <row r="204" spans="1:24" ht="12" customHeight="1">
      <c r="A204" s="102" t="s">
        <v>225</v>
      </c>
      <c r="B204" s="142"/>
      <c r="C204" s="142"/>
      <c r="D204" s="142"/>
      <c r="E204" s="142"/>
      <c r="F204" s="142"/>
      <c r="G204" s="142"/>
      <c r="H204" s="142"/>
      <c r="I204" s="142"/>
      <c r="J204" s="142"/>
      <c r="K204" s="142"/>
      <c r="L204" s="142"/>
      <c r="M204" s="31"/>
      <c r="N204" s="142"/>
      <c r="O204" s="142"/>
      <c r="P204" s="142"/>
      <c r="Q204" s="142"/>
      <c r="R204" s="142"/>
      <c r="S204" s="142"/>
      <c r="T204" s="142"/>
      <c r="U204" s="142"/>
      <c r="V204" s="142"/>
      <c r="W204" s="142"/>
      <c r="X204" s="142"/>
    </row>
    <row r="205" spans="1:24" ht="11.25" customHeight="1">
      <c r="A205" s="99" t="s">
        <v>24</v>
      </c>
      <c r="B205" s="142" t="s">
        <v>23</v>
      </c>
      <c r="C205" s="142" t="s">
        <v>23</v>
      </c>
      <c r="D205" s="142">
        <f t="shared" ref="D205:J205" si="93">AVERAGE(D10:D14)</f>
        <v>13353.2</v>
      </c>
      <c r="E205" s="142">
        <f t="shared" si="93"/>
        <v>6839.4</v>
      </c>
      <c r="F205" s="142">
        <f t="shared" si="93"/>
        <v>43988.2</v>
      </c>
      <c r="G205" s="142">
        <f t="shared" si="93"/>
        <v>23644.2</v>
      </c>
      <c r="H205" s="142">
        <f t="shared" si="93"/>
        <v>6659.6</v>
      </c>
      <c r="I205" s="142">
        <f t="shared" si="93"/>
        <v>2804.2</v>
      </c>
      <c r="J205" s="142">
        <f t="shared" si="93"/>
        <v>35.799999999999997</v>
      </c>
      <c r="K205" s="142" t="s">
        <v>23</v>
      </c>
      <c r="L205" s="142">
        <f>SUM(C205:K205)</f>
        <v>97324.6</v>
      </c>
      <c r="M205" s="31"/>
      <c r="N205" s="142" t="s">
        <v>23</v>
      </c>
      <c r="O205" s="142" t="s">
        <v>23</v>
      </c>
      <c r="P205" s="142" t="s">
        <v>23</v>
      </c>
      <c r="Q205" s="142" t="s">
        <v>23</v>
      </c>
      <c r="R205" s="142">
        <f>AVERAGE(R10:R14)</f>
        <v>260126.75</v>
      </c>
      <c r="S205" s="142">
        <f>AVERAGE(S10:S14)</f>
        <v>85249.333333333328</v>
      </c>
      <c r="T205" s="142">
        <f>AVERAGE(T10:T14)</f>
        <v>5803</v>
      </c>
      <c r="U205" s="142" t="s">
        <v>23</v>
      </c>
      <c r="V205" s="142" t="s">
        <v>23</v>
      </c>
      <c r="W205" s="142" t="s">
        <v>23</v>
      </c>
      <c r="X205" s="142">
        <f>SUM(Q205:W205)</f>
        <v>351179.08333333331</v>
      </c>
    </row>
    <row r="206" spans="1:24" ht="11.25" customHeight="1">
      <c r="A206" s="99" t="s">
        <v>78</v>
      </c>
      <c r="B206" s="142" t="s">
        <v>23</v>
      </c>
      <c r="C206" s="142" t="s">
        <v>23</v>
      </c>
      <c r="D206" s="142">
        <f t="shared" ref="D206:J206" si="94">AVERAGE(D15:D19)</f>
        <v>41012.199999999997</v>
      </c>
      <c r="E206" s="142">
        <f t="shared" si="94"/>
        <v>45376.4</v>
      </c>
      <c r="F206" s="142">
        <f t="shared" si="94"/>
        <v>139454.6</v>
      </c>
      <c r="G206" s="142">
        <f t="shared" si="94"/>
        <v>85331.6</v>
      </c>
      <c r="H206" s="142">
        <f t="shared" si="94"/>
        <v>29900.799999999999</v>
      </c>
      <c r="I206" s="142">
        <f t="shared" si="94"/>
        <v>21111.4</v>
      </c>
      <c r="J206" s="142">
        <f t="shared" si="94"/>
        <v>1094.5</v>
      </c>
      <c r="K206" s="142" t="s">
        <v>23</v>
      </c>
      <c r="L206" s="142">
        <f>SUM(C206:K206)</f>
        <v>363281.50000000006</v>
      </c>
      <c r="M206" s="31"/>
      <c r="N206" s="142" t="s">
        <v>23</v>
      </c>
      <c r="O206" s="142" t="s">
        <v>23</v>
      </c>
      <c r="P206" s="142" t="s">
        <v>23</v>
      </c>
      <c r="Q206" s="142">
        <f>AVERAGE(Q15:Q19)</f>
        <v>40.333333333333336</v>
      </c>
      <c r="R206" s="142">
        <f>AVERAGE(R15:R19)</f>
        <v>294074.40000000002</v>
      </c>
      <c r="S206" s="142">
        <f>AVERAGE(S15:S19)</f>
        <v>95998.5</v>
      </c>
      <c r="T206" s="142">
        <f>AVERAGE(T15:T19)</f>
        <v>20776</v>
      </c>
      <c r="U206" s="142" t="s">
        <v>23</v>
      </c>
      <c r="V206" s="142" t="s">
        <v>23</v>
      </c>
      <c r="W206" s="142" t="s">
        <v>23</v>
      </c>
      <c r="X206" s="142">
        <f>SUM(Q206:W206)</f>
        <v>410889.23333333334</v>
      </c>
    </row>
    <row r="207" spans="1:24" ht="11.25" customHeight="1">
      <c r="A207" s="99" t="s">
        <v>10</v>
      </c>
      <c r="B207" s="142" t="s">
        <v>23</v>
      </c>
      <c r="C207" s="142" t="s">
        <v>23</v>
      </c>
      <c r="D207" s="142">
        <f>AVERAGE(D20:D24)</f>
        <v>12498.8</v>
      </c>
      <c r="E207" s="142">
        <f t="shared" ref="E207:U207" si="95">AVERAGE(E20:E24)</f>
        <v>18016.25</v>
      </c>
      <c r="F207" s="142">
        <f t="shared" si="95"/>
        <v>19956</v>
      </c>
      <c r="G207" s="142">
        <f t="shared" si="95"/>
        <v>36499</v>
      </c>
      <c r="H207" s="142">
        <f t="shared" si="95"/>
        <v>16827</v>
      </c>
      <c r="I207" s="142">
        <f t="shared" si="95"/>
        <v>14191.4</v>
      </c>
      <c r="J207" s="142">
        <f t="shared" si="95"/>
        <v>453.33333333333331</v>
      </c>
      <c r="K207" s="142" t="s">
        <v>23</v>
      </c>
      <c r="L207" s="142">
        <f>SUM(C207:K207)</f>
        <v>118441.78333333333</v>
      </c>
      <c r="M207" s="31"/>
      <c r="N207" s="142" t="s">
        <v>23</v>
      </c>
      <c r="O207" s="142" t="s">
        <v>23</v>
      </c>
      <c r="P207" s="142" t="s">
        <v>23</v>
      </c>
      <c r="Q207" s="142">
        <f t="shared" si="95"/>
        <v>91249</v>
      </c>
      <c r="R207" s="142">
        <f t="shared" si="95"/>
        <v>105910.5</v>
      </c>
      <c r="S207" s="142">
        <f t="shared" si="95"/>
        <v>8382</v>
      </c>
      <c r="T207" s="142" t="s">
        <v>23</v>
      </c>
      <c r="U207" s="142">
        <f t="shared" si="95"/>
        <v>18.5</v>
      </c>
      <c r="V207" s="142" t="s">
        <v>23</v>
      </c>
      <c r="W207" s="142" t="s">
        <v>23</v>
      </c>
      <c r="X207" s="142">
        <f>SUM(Q207:W207)</f>
        <v>205560</v>
      </c>
    </row>
    <row r="208" spans="1:24" ht="11.25" customHeight="1">
      <c r="A208" s="99" t="s">
        <v>144</v>
      </c>
      <c r="B208" s="142" t="s">
        <v>23</v>
      </c>
      <c r="C208" s="142" t="s">
        <v>23</v>
      </c>
      <c r="D208" s="142">
        <f>AVERAGE(D25:D29)</f>
        <v>21687</v>
      </c>
      <c r="E208" s="142">
        <f t="shared" ref="E208:Q208" si="96">AVERAGE(E25:E29)</f>
        <v>28657</v>
      </c>
      <c r="F208" s="142">
        <f t="shared" si="96"/>
        <v>13879.5</v>
      </c>
      <c r="G208" s="142">
        <f t="shared" si="96"/>
        <v>38164.400000000001</v>
      </c>
      <c r="H208" s="142">
        <f t="shared" si="96"/>
        <v>17768.8</v>
      </c>
      <c r="I208" s="142">
        <f t="shared" si="96"/>
        <v>7339</v>
      </c>
      <c r="J208" s="142">
        <f t="shared" si="96"/>
        <v>1002.2</v>
      </c>
      <c r="K208" s="142" t="s">
        <v>23</v>
      </c>
      <c r="L208" s="142">
        <f>SUM(C208:K208)</f>
        <v>128497.9</v>
      </c>
      <c r="M208" s="31"/>
      <c r="N208" s="142" t="s">
        <v>23</v>
      </c>
      <c r="O208" s="142" t="s">
        <v>23</v>
      </c>
      <c r="P208" s="142" t="s">
        <v>23</v>
      </c>
      <c r="Q208" s="142">
        <f t="shared" si="96"/>
        <v>8</v>
      </c>
      <c r="R208" s="142" t="s">
        <v>23</v>
      </c>
      <c r="S208" s="142" t="s">
        <v>23</v>
      </c>
      <c r="T208" s="142" t="s">
        <v>23</v>
      </c>
      <c r="U208" s="142" t="s">
        <v>23</v>
      </c>
      <c r="V208" s="142" t="s">
        <v>23</v>
      </c>
      <c r="W208" s="142" t="s">
        <v>23</v>
      </c>
      <c r="X208" s="142">
        <f>SUM(Q208:W208)</f>
        <v>8</v>
      </c>
    </row>
    <row r="209" spans="1:24" ht="11.25" customHeight="1">
      <c r="A209" s="99" t="s">
        <v>166</v>
      </c>
      <c r="B209" s="142">
        <f>AVERAGE(B30:B34)</f>
        <v>14798.5</v>
      </c>
      <c r="C209" s="142">
        <f>AVERAGE(C30:C34)</f>
        <v>25358.400000000001</v>
      </c>
      <c r="D209" s="142">
        <f>AVERAGE(D30:D34)</f>
        <v>50107.4</v>
      </c>
      <c r="E209" s="142">
        <f t="shared" ref="E209:L209" si="97">AVERAGE(E30:E34)</f>
        <v>41488.400000000001</v>
      </c>
      <c r="F209" s="142">
        <f t="shared" si="97"/>
        <v>20876.75</v>
      </c>
      <c r="G209" s="142">
        <f t="shared" si="97"/>
        <v>50745.25</v>
      </c>
      <c r="H209" s="142">
        <f t="shared" si="97"/>
        <v>49102</v>
      </c>
      <c r="I209" s="142">
        <f t="shared" si="97"/>
        <v>32579.599999999999</v>
      </c>
      <c r="J209" s="142">
        <f t="shared" si="97"/>
        <v>1306.8</v>
      </c>
      <c r="K209" s="142">
        <f t="shared" si="97"/>
        <v>148</v>
      </c>
      <c r="L209" s="142">
        <f t="shared" si="97"/>
        <v>269227</v>
      </c>
      <c r="M209" s="31"/>
      <c r="N209" s="142" t="str">
        <f t="shared" ref="N209:X209" si="98">N30</f>
        <v>-</v>
      </c>
      <c r="O209" s="142" t="str">
        <f t="shared" si="98"/>
        <v>-</v>
      </c>
      <c r="P209" s="142" t="str">
        <f t="shared" si="98"/>
        <v>-</v>
      </c>
      <c r="Q209" s="142" t="str">
        <f t="shared" si="98"/>
        <v>-</v>
      </c>
      <c r="R209" s="142" t="str">
        <f t="shared" si="98"/>
        <v>-</v>
      </c>
      <c r="S209" s="142" t="str">
        <f t="shared" si="98"/>
        <v>-</v>
      </c>
      <c r="T209" s="142" t="str">
        <f t="shared" si="98"/>
        <v>-</v>
      </c>
      <c r="U209" s="142" t="str">
        <f t="shared" si="98"/>
        <v>-</v>
      </c>
      <c r="V209" s="142" t="str">
        <f t="shared" si="98"/>
        <v>-</v>
      </c>
      <c r="W209" s="142" t="str">
        <f t="shared" si="98"/>
        <v>-</v>
      </c>
      <c r="X209" s="142" t="str">
        <f t="shared" si="98"/>
        <v>-</v>
      </c>
    </row>
    <row r="210" spans="1:24" ht="11.25" customHeight="1">
      <c r="A210" s="99" t="s">
        <v>315</v>
      </c>
      <c r="B210" s="142" t="str">
        <f>B35</f>
        <v>-</v>
      </c>
      <c r="C210" s="142">
        <f t="shared" ref="C210:X210" si="99">AVERAGE(C35:C39)</f>
        <v>1856</v>
      </c>
      <c r="D210" s="142">
        <f t="shared" si="99"/>
        <v>8173.5</v>
      </c>
      <c r="E210" s="142">
        <f t="shared" si="99"/>
        <v>7659.666666666667</v>
      </c>
      <c r="F210" s="142">
        <f t="shared" si="99"/>
        <v>3217</v>
      </c>
      <c r="G210" s="142">
        <f t="shared" si="99"/>
        <v>5706.333333333333</v>
      </c>
      <c r="H210" s="142">
        <f t="shared" si="99"/>
        <v>1061</v>
      </c>
      <c r="I210" s="142">
        <f t="shared" si="99"/>
        <v>1183.5999999999999</v>
      </c>
      <c r="J210" s="142">
        <f t="shared" si="99"/>
        <v>811</v>
      </c>
      <c r="K210" s="142">
        <f t="shared" si="99"/>
        <v>67</v>
      </c>
      <c r="L210" s="142">
        <f t="shared" si="99"/>
        <v>16348.4</v>
      </c>
      <c r="M210" s="142"/>
      <c r="N210" s="142" t="str">
        <f>N35</f>
        <v>-</v>
      </c>
      <c r="O210" s="142" t="str">
        <f t="shared" ref="O210:R210" si="100">O35</f>
        <v>-</v>
      </c>
      <c r="P210" s="142" t="str">
        <f t="shared" si="100"/>
        <v>-</v>
      </c>
      <c r="Q210" s="142" t="str">
        <f t="shared" si="100"/>
        <v>-</v>
      </c>
      <c r="R210" s="142" t="str">
        <f t="shared" si="100"/>
        <v>-</v>
      </c>
      <c r="S210" s="142">
        <f t="shared" si="99"/>
        <v>5036</v>
      </c>
      <c r="T210" s="142">
        <f t="shared" si="99"/>
        <v>4898.5</v>
      </c>
      <c r="U210" s="142" t="str">
        <f t="shared" ref="U210:W210" si="101">U35</f>
        <v>-</v>
      </c>
      <c r="V210" s="142" t="str">
        <f t="shared" si="101"/>
        <v>-</v>
      </c>
      <c r="W210" s="142" t="str">
        <f t="shared" si="101"/>
        <v>-</v>
      </c>
      <c r="X210" s="142">
        <f t="shared" si="99"/>
        <v>7416.5</v>
      </c>
    </row>
    <row r="211" spans="1:24" ht="11.25" customHeight="1">
      <c r="A211" s="99">
        <v>2011</v>
      </c>
      <c r="B211" s="142" t="str">
        <f t="shared" ref="B211:L211" si="102">B40</f>
        <v>-</v>
      </c>
      <c r="C211" s="142">
        <f t="shared" si="102"/>
        <v>4481</v>
      </c>
      <c r="D211" s="142">
        <f t="shared" si="102"/>
        <v>7901</v>
      </c>
      <c r="E211" s="142">
        <f t="shared" si="102"/>
        <v>10401</v>
      </c>
      <c r="F211" s="142">
        <f t="shared" si="102"/>
        <v>699</v>
      </c>
      <c r="G211" s="142">
        <f t="shared" si="102"/>
        <v>1012</v>
      </c>
      <c r="H211" s="142">
        <f t="shared" si="102"/>
        <v>337</v>
      </c>
      <c r="I211" s="142">
        <f t="shared" si="102"/>
        <v>1093</v>
      </c>
      <c r="J211" s="142">
        <f t="shared" si="102"/>
        <v>1995</v>
      </c>
      <c r="K211" s="142" t="str">
        <f t="shared" si="102"/>
        <v>-</v>
      </c>
      <c r="L211" s="142">
        <f t="shared" si="102"/>
        <v>27919</v>
      </c>
      <c r="M211" s="31"/>
      <c r="N211" s="142" t="str">
        <f t="shared" ref="N211:X211" si="103">N40</f>
        <v>-</v>
      </c>
      <c r="O211" s="142" t="str">
        <f t="shared" si="103"/>
        <v>-</v>
      </c>
      <c r="P211" s="142" t="str">
        <f t="shared" si="103"/>
        <v>-</v>
      </c>
      <c r="Q211" s="142" t="str">
        <f t="shared" si="103"/>
        <v>-</v>
      </c>
      <c r="R211" s="142" t="str">
        <f t="shared" si="103"/>
        <v>-</v>
      </c>
      <c r="S211" s="142" t="str">
        <f t="shared" si="103"/>
        <v>-</v>
      </c>
      <c r="T211" s="142" t="str">
        <f t="shared" si="103"/>
        <v>-</v>
      </c>
      <c r="U211" s="142" t="str">
        <f t="shared" si="103"/>
        <v>-</v>
      </c>
      <c r="V211" s="142" t="str">
        <f t="shared" si="103"/>
        <v>-</v>
      </c>
      <c r="W211" s="142" t="str">
        <f t="shared" si="103"/>
        <v>-</v>
      </c>
      <c r="X211" s="142" t="str">
        <f t="shared" si="103"/>
        <v>-</v>
      </c>
    </row>
    <row r="212" spans="1:24" ht="11.25" customHeight="1">
      <c r="A212" s="99">
        <v>2012</v>
      </c>
      <c r="B212" s="142" t="str">
        <f t="shared" ref="B212:L212" si="104">B41</f>
        <v>-</v>
      </c>
      <c r="C212" s="142">
        <f t="shared" si="104"/>
        <v>3633</v>
      </c>
      <c r="D212" s="142">
        <f t="shared" si="104"/>
        <v>14533</v>
      </c>
      <c r="E212" s="142">
        <f t="shared" si="104"/>
        <v>7357</v>
      </c>
      <c r="F212" s="142">
        <f t="shared" si="104"/>
        <v>1785</v>
      </c>
      <c r="G212" s="142">
        <f t="shared" si="104"/>
        <v>8771</v>
      </c>
      <c r="H212" s="142">
        <f t="shared" si="104"/>
        <v>13677</v>
      </c>
      <c r="I212" s="142">
        <f t="shared" si="104"/>
        <v>8756</v>
      </c>
      <c r="J212" s="142">
        <f t="shared" si="104"/>
        <v>701</v>
      </c>
      <c r="K212" s="142" t="str">
        <f t="shared" si="104"/>
        <v>-</v>
      </c>
      <c r="L212" s="142">
        <f t="shared" si="104"/>
        <v>59213</v>
      </c>
      <c r="M212" s="31"/>
      <c r="N212" s="142" t="str">
        <f t="shared" ref="N212:X212" si="105">N41</f>
        <v>-</v>
      </c>
      <c r="O212" s="142" t="str">
        <f t="shared" si="105"/>
        <v>-</v>
      </c>
      <c r="P212" s="142" t="str">
        <f t="shared" si="105"/>
        <v>-</v>
      </c>
      <c r="Q212" s="142" t="str">
        <f t="shared" si="105"/>
        <v>-</v>
      </c>
      <c r="R212" s="142" t="str">
        <f t="shared" si="105"/>
        <v>-</v>
      </c>
      <c r="S212" s="142" t="str">
        <f t="shared" si="105"/>
        <v>-</v>
      </c>
      <c r="T212" s="142" t="str">
        <f t="shared" si="105"/>
        <v>-</v>
      </c>
      <c r="U212" s="142" t="str">
        <f t="shared" si="105"/>
        <v>-</v>
      </c>
      <c r="V212" s="142" t="str">
        <f t="shared" si="105"/>
        <v>-</v>
      </c>
      <c r="W212" s="142" t="str">
        <f t="shared" si="105"/>
        <v>-</v>
      </c>
      <c r="X212" s="142" t="str">
        <f t="shared" si="105"/>
        <v>-</v>
      </c>
    </row>
    <row r="213" spans="1:24" ht="11.25" customHeight="1">
      <c r="A213" s="99">
        <v>2013</v>
      </c>
      <c r="B213" s="142" t="str">
        <f t="shared" ref="B213:L213" si="106">B42</f>
        <v>-</v>
      </c>
      <c r="C213" s="142">
        <f t="shared" si="106"/>
        <v>7373</v>
      </c>
      <c r="D213" s="142">
        <f t="shared" si="106"/>
        <v>9093</v>
      </c>
      <c r="E213" s="142">
        <f t="shared" si="106"/>
        <v>5987</v>
      </c>
      <c r="F213" s="142">
        <f t="shared" si="106"/>
        <v>5331</v>
      </c>
      <c r="G213" s="142">
        <f t="shared" si="106"/>
        <v>38535</v>
      </c>
      <c r="H213" s="142">
        <f t="shared" si="106"/>
        <v>28251</v>
      </c>
      <c r="I213" s="142">
        <f t="shared" si="106"/>
        <v>8424</v>
      </c>
      <c r="J213" s="142">
        <f t="shared" si="106"/>
        <v>1002</v>
      </c>
      <c r="K213" s="142" t="str">
        <f t="shared" si="106"/>
        <v>-</v>
      </c>
      <c r="L213" s="142">
        <f t="shared" si="106"/>
        <v>103996</v>
      </c>
      <c r="M213" s="31"/>
      <c r="N213" s="142" t="str">
        <f t="shared" ref="N213:X213" si="107">N42</f>
        <v>-</v>
      </c>
      <c r="O213" s="142" t="str">
        <f t="shared" si="107"/>
        <v>-</v>
      </c>
      <c r="P213" s="142" t="str">
        <f t="shared" si="107"/>
        <v>-</v>
      </c>
      <c r="Q213" s="142" t="str">
        <f t="shared" si="107"/>
        <v>-</v>
      </c>
      <c r="R213" s="142" t="str">
        <f t="shared" si="107"/>
        <v>-</v>
      </c>
      <c r="S213" s="142" t="str">
        <f t="shared" si="107"/>
        <v>-</v>
      </c>
      <c r="T213" s="142" t="str">
        <f t="shared" si="107"/>
        <v>-</v>
      </c>
      <c r="U213" s="142" t="str">
        <f t="shared" si="107"/>
        <v>-</v>
      </c>
      <c r="V213" s="142" t="str">
        <f t="shared" si="107"/>
        <v>-</v>
      </c>
      <c r="W213" s="142" t="str">
        <f t="shared" si="107"/>
        <v>-</v>
      </c>
      <c r="X213" s="142" t="str">
        <f t="shared" si="107"/>
        <v>-</v>
      </c>
    </row>
    <row r="214" spans="1:24" ht="11.25" customHeight="1">
      <c r="A214" s="99">
        <v>2014</v>
      </c>
      <c r="B214" s="142" t="str">
        <f t="shared" ref="B214:L214" si="108">B43</f>
        <v>-</v>
      </c>
      <c r="C214" s="142">
        <f t="shared" si="108"/>
        <v>15501</v>
      </c>
      <c r="D214" s="142">
        <f t="shared" si="108"/>
        <v>35389</v>
      </c>
      <c r="E214" s="142">
        <f t="shared" si="108"/>
        <v>28560</v>
      </c>
      <c r="F214" s="142">
        <f t="shared" si="108"/>
        <v>18326</v>
      </c>
      <c r="G214" s="142">
        <f t="shared" si="108"/>
        <v>66600</v>
      </c>
      <c r="H214" s="142">
        <f t="shared" si="108"/>
        <v>8851</v>
      </c>
      <c r="I214" s="142">
        <f t="shared" si="108"/>
        <v>2072</v>
      </c>
      <c r="J214" s="142">
        <f t="shared" si="108"/>
        <v>469</v>
      </c>
      <c r="K214" s="142" t="str">
        <f t="shared" si="108"/>
        <v>-</v>
      </c>
      <c r="L214" s="142">
        <f t="shared" si="108"/>
        <v>175768</v>
      </c>
      <c r="M214" s="31"/>
      <c r="N214" s="142" t="str">
        <f t="shared" ref="N214:X214" si="109">N43</f>
        <v>-</v>
      </c>
      <c r="O214" s="142" t="str">
        <f t="shared" si="109"/>
        <v>-</v>
      </c>
      <c r="P214" s="142" t="str">
        <f t="shared" si="109"/>
        <v>-</v>
      </c>
      <c r="Q214" s="142" t="str">
        <f t="shared" si="109"/>
        <v>-</v>
      </c>
      <c r="R214" s="142" t="str">
        <f t="shared" si="109"/>
        <v>-</v>
      </c>
      <c r="S214" s="142" t="str">
        <f t="shared" si="109"/>
        <v>-</v>
      </c>
      <c r="T214" s="142">
        <f t="shared" si="109"/>
        <v>3296</v>
      </c>
      <c r="U214" s="142" t="str">
        <f t="shared" si="109"/>
        <v>-</v>
      </c>
      <c r="V214" s="142" t="str">
        <f t="shared" si="109"/>
        <v>-</v>
      </c>
      <c r="W214" s="142" t="str">
        <f t="shared" si="109"/>
        <v>-</v>
      </c>
      <c r="X214" s="142">
        <f t="shared" si="109"/>
        <v>3296</v>
      </c>
    </row>
    <row r="215" spans="1:24" ht="11.25" customHeight="1">
      <c r="A215" s="99">
        <v>2015</v>
      </c>
      <c r="B215" s="142" t="str">
        <f t="shared" ref="B215:L215" si="110">B44</f>
        <v>-</v>
      </c>
      <c r="C215" s="142">
        <f t="shared" si="110"/>
        <v>16381</v>
      </c>
      <c r="D215" s="142">
        <f t="shared" si="110"/>
        <v>13140</v>
      </c>
      <c r="E215" s="142">
        <f t="shared" si="110"/>
        <v>19803</v>
      </c>
      <c r="F215" s="142">
        <f t="shared" si="110"/>
        <v>27250</v>
      </c>
      <c r="G215" s="142">
        <f t="shared" si="110"/>
        <v>7457</v>
      </c>
      <c r="H215" s="142">
        <f t="shared" si="110"/>
        <v>2006</v>
      </c>
      <c r="I215" s="142">
        <f t="shared" si="110"/>
        <v>1954</v>
      </c>
      <c r="J215" s="142">
        <f t="shared" si="110"/>
        <v>1163</v>
      </c>
      <c r="K215" s="142" t="str">
        <f t="shared" si="110"/>
        <v>-</v>
      </c>
      <c r="L215" s="142">
        <f t="shared" si="110"/>
        <v>89154</v>
      </c>
      <c r="M215" s="31"/>
      <c r="N215" s="142" t="str">
        <f t="shared" ref="N215:X215" si="111">N44</f>
        <v>-</v>
      </c>
      <c r="O215" s="142" t="str">
        <f t="shared" si="111"/>
        <v>-</v>
      </c>
      <c r="P215" s="142" t="str">
        <f t="shared" si="111"/>
        <v>-</v>
      </c>
      <c r="Q215" s="142" t="str">
        <f t="shared" si="111"/>
        <v>-</v>
      </c>
      <c r="R215" s="142" t="str">
        <f t="shared" si="111"/>
        <v>-</v>
      </c>
      <c r="S215" s="142" t="str">
        <f t="shared" si="111"/>
        <v>-</v>
      </c>
      <c r="T215" s="142" t="str">
        <f t="shared" si="111"/>
        <v>-</v>
      </c>
      <c r="U215" s="142" t="str">
        <f t="shared" si="111"/>
        <v>-</v>
      </c>
      <c r="V215" s="142" t="str">
        <f t="shared" si="111"/>
        <v>-</v>
      </c>
      <c r="W215" s="142" t="str">
        <f t="shared" si="111"/>
        <v>-</v>
      </c>
      <c r="X215" s="142" t="str">
        <f t="shared" si="111"/>
        <v>-</v>
      </c>
    </row>
    <row r="216" spans="1:24" ht="11.25" customHeight="1">
      <c r="A216" s="99">
        <v>2016</v>
      </c>
      <c r="B216" s="142" t="str">
        <f t="shared" ref="B216:L216" si="112">B45</f>
        <v>-</v>
      </c>
      <c r="C216" s="142">
        <f t="shared" si="112"/>
        <v>6585</v>
      </c>
      <c r="D216" s="142">
        <f t="shared" si="112"/>
        <v>5989</v>
      </c>
      <c r="E216" s="142">
        <f t="shared" si="112"/>
        <v>4736</v>
      </c>
      <c r="F216" s="142">
        <f t="shared" si="112"/>
        <v>11243</v>
      </c>
      <c r="G216" s="142">
        <f t="shared" si="112"/>
        <v>8627</v>
      </c>
      <c r="H216" s="142">
        <f t="shared" si="112"/>
        <v>1812</v>
      </c>
      <c r="I216" s="142">
        <f t="shared" si="112"/>
        <v>717</v>
      </c>
      <c r="J216" s="142">
        <f t="shared" si="112"/>
        <v>182</v>
      </c>
      <c r="K216" s="142" t="str">
        <f t="shared" si="112"/>
        <v>-</v>
      </c>
      <c r="L216" s="142">
        <f t="shared" si="112"/>
        <v>39891</v>
      </c>
      <c r="M216" s="31"/>
      <c r="N216" s="142" t="str">
        <f t="shared" ref="N216:X216" si="113">N45</f>
        <v>-</v>
      </c>
      <c r="O216" s="142" t="str">
        <f t="shared" si="113"/>
        <v>-</v>
      </c>
      <c r="P216" s="142" t="str">
        <f t="shared" si="113"/>
        <v>-</v>
      </c>
      <c r="Q216" s="142" t="str">
        <f t="shared" si="113"/>
        <v>-</v>
      </c>
      <c r="R216" s="142" t="str">
        <f t="shared" si="113"/>
        <v>-</v>
      </c>
      <c r="S216" s="142" t="str">
        <f t="shared" si="113"/>
        <v>-</v>
      </c>
      <c r="T216" s="142" t="str">
        <f t="shared" si="113"/>
        <v>-</v>
      </c>
      <c r="U216" s="142" t="str">
        <f t="shared" si="113"/>
        <v>-</v>
      </c>
      <c r="V216" s="142" t="str">
        <f t="shared" si="113"/>
        <v>-</v>
      </c>
      <c r="W216" s="142" t="str">
        <f t="shared" si="113"/>
        <v>-</v>
      </c>
      <c r="X216" s="142" t="str">
        <f t="shared" si="113"/>
        <v>-</v>
      </c>
    </row>
    <row r="217" spans="1:24" ht="11.25" customHeight="1">
      <c r="A217" s="99">
        <v>2017</v>
      </c>
      <c r="B217" s="142" t="str">
        <f t="shared" ref="B217:L217" si="114">B46</f>
        <v>-</v>
      </c>
      <c r="C217" s="142">
        <f t="shared" si="114"/>
        <v>553</v>
      </c>
      <c r="D217" s="142">
        <f t="shared" si="114"/>
        <v>1229</v>
      </c>
      <c r="E217" s="142">
        <f t="shared" si="114"/>
        <v>3174</v>
      </c>
      <c r="F217" s="142">
        <f t="shared" si="114"/>
        <v>13019</v>
      </c>
      <c r="G217" s="142" t="str">
        <f t="shared" si="114"/>
        <v>-</v>
      </c>
      <c r="H217" s="142">
        <f t="shared" si="114"/>
        <v>137</v>
      </c>
      <c r="I217" s="142">
        <f t="shared" si="114"/>
        <v>681</v>
      </c>
      <c r="J217" s="142">
        <f t="shared" si="114"/>
        <v>96</v>
      </c>
      <c r="K217" s="142" t="str">
        <f t="shared" si="114"/>
        <v>-</v>
      </c>
      <c r="L217" s="142">
        <f t="shared" si="114"/>
        <v>18889</v>
      </c>
      <c r="M217" s="31"/>
      <c r="N217" s="142" t="str">
        <f t="shared" ref="N217:X217" si="115">N46</f>
        <v>-</v>
      </c>
      <c r="O217" s="142" t="str">
        <f t="shared" si="115"/>
        <v>-</v>
      </c>
      <c r="P217" s="142" t="str">
        <f t="shared" si="115"/>
        <v>-</v>
      </c>
      <c r="Q217" s="142" t="str">
        <f t="shared" si="115"/>
        <v>-</v>
      </c>
      <c r="R217" s="142" t="str">
        <f t="shared" si="115"/>
        <v>-</v>
      </c>
      <c r="S217" s="142" t="str">
        <f t="shared" si="115"/>
        <v>-</v>
      </c>
      <c r="T217" s="142" t="str">
        <f t="shared" si="115"/>
        <v>-</v>
      </c>
      <c r="U217" s="142" t="str">
        <f t="shared" si="115"/>
        <v>-</v>
      </c>
      <c r="V217" s="142" t="str">
        <f t="shared" si="115"/>
        <v>-</v>
      </c>
      <c r="W217" s="142" t="str">
        <f t="shared" si="115"/>
        <v>-</v>
      </c>
      <c r="X217" s="142" t="str">
        <f t="shared" si="115"/>
        <v>-</v>
      </c>
    </row>
    <row r="218" spans="1:24" ht="11.25" customHeight="1">
      <c r="A218" s="99">
        <v>2018</v>
      </c>
      <c r="B218" s="142" t="str">
        <f t="shared" ref="B218:L218" si="116">B47</f>
        <v>-</v>
      </c>
      <c r="C218" s="142" t="str">
        <f t="shared" si="116"/>
        <v>-</v>
      </c>
      <c r="D218" s="142">
        <f t="shared" si="116"/>
        <v>971</v>
      </c>
      <c r="E218" s="142">
        <f t="shared" si="116"/>
        <v>2878</v>
      </c>
      <c r="F218" s="142">
        <f t="shared" si="116"/>
        <v>2930</v>
      </c>
      <c r="G218" s="142">
        <f t="shared" si="116"/>
        <v>12304</v>
      </c>
      <c r="H218" s="142">
        <f t="shared" si="116"/>
        <v>225</v>
      </c>
      <c r="I218" s="142">
        <f t="shared" si="116"/>
        <v>490</v>
      </c>
      <c r="J218" s="142">
        <f t="shared" si="116"/>
        <v>431</v>
      </c>
      <c r="K218" s="142" t="str">
        <f t="shared" si="116"/>
        <v>-</v>
      </c>
      <c r="L218" s="142">
        <f t="shared" si="116"/>
        <v>20229</v>
      </c>
      <c r="M218" s="31"/>
      <c r="N218" s="142" t="str">
        <f t="shared" ref="N218:X218" si="117">N47</f>
        <v>-</v>
      </c>
      <c r="O218" s="142" t="str">
        <f t="shared" si="117"/>
        <v>-</v>
      </c>
      <c r="P218" s="142" t="str">
        <f t="shared" si="117"/>
        <v>-</v>
      </c>
      <c r="Q218" s="142" t="str">
        <f t="shared" si="117"/>
        <v>-</v>
      </c>
      <c r="R218" s="142" t="str">
        <f t="shared" si="117"/>
        <v>-</v>
      </c>
      <c r="S218" s="142" t="str">
        <f t="shared" si="117"/>
        <v>-</v>
      </c>
      <c r="T218" s="142" t="str">
        <f t="shared" si="117"/>
        <v>-</v>
      </c>
      <c r="U218" s="142" t="str">
        <f t="shared" si="117"/>
        <v>-</v>
      </c>
      <c r="V218" s="142" t="str">
        <f t="shared" si="117"/>
        <v>-</v>
      </c>
      <c r="W218" s="142" t="str">
        <f t="shared" si="117"/>
        <v>-</v>
      </c>
      <c r="X218" s="142" t="str">
        <f t="shared" si="117"/>
        <v>-</v>
      </c>
    </row>
    <row r="219" spans="1:24" ht="11.25" customHeight="1">
      <c r="A219" s="99">
        <v>2019</v>
      </c>
      <c r="B219" s="142" t="str">
        <f t="shared" ref="B219:L219" si="118">B48</f>
        <v>-</v>
      </c>
      <c r="C219" s="142">
        <f t="shared" si="118"/>
        <v>150</v>
      </c>
      <c r="D219" s="142">
        <f t="shared" si="118"/>
        <v>665</v>
      </c>
      <c r="E219" s="142">
        <f t="shared" si="118"/>
        <v>3302</v>
      </c>
      <c r="F219" s="142">
        <f t="shared" si="118"/>
        <v>16242</v>
      </c>
      <c r="G219" s="142">
        <f t="shared" si="118"/>
        <v>4648</v>
      </c>
      <c r="H219" s="142">
        <f t="shared" si="118"/>
        <v>632</v>
      </c>
      <c r="I219" s="142">
        <f t="shared" si="118"/>
        <v>870</v>
      </c>
      <c r="J219" s="142" t="str">
        <f t="shared" si="118"/>
        <v>-</v>
      </c>
      <c r="K219" s="142" t="str">
        <f t="shared" si="118"/>
        <v>-</v>
      </c>
      <c r="L219" s="142">
        <f t="shared" si="118"/>
        <v>26509</v>
      </c>
      <c r="M219" s="31"/>
      <c r="N219" s="142" t="str">
        <f t="shared" ref="N219:X219" si="119">N48</f>
        <v>-</v>
      </c>
      <c r="O219" s="142" t="str">
        <f t="shared" si="119"/>
        <v>-</v>
      </c>
      <c r="P219" s="142" t="str">
        <f t="shared" si="119"/>
        <v>-</v>
      </c>
      <c r="Q219" s="142" t="str">
        <f t="shared" si="119"/>
        <v>-</v>
      </c>
      <c r="R219" s="142" t="str">
        <f t="shared" si="119"/>
        <v>-</v>
      </c>
      <c r="S219" s="142" t="str">
        <f t="shared" si="119"/>
        <v>-</v>
      </c>
      <c r="T219" s="142" t="str">
        <f t="shared" si="119"/>
        <v>-</v>
      </c>
      <c r="U219" s="142" t="str">
        <f t="shared" si="119"/>
        <v>-</v>
      </c>
      <c r="V219" s="142" t="str">
        <f t="shared" si="119"/>
        <v>-</v>
      </c>
      <c r="W219" s="142" t="str">
        <f t="shared" si="119"/>
        <v>-</v>
      </c>
      <c r="X219" s="142" t="str">
        <f t="shared" si="119"/>
        <v>-</v>
      </c>
    </row>
    <row r="220" spans="1:24" ht="11.25" customHeight="1">
      <c r="A220" s="99">
        <v>2020</v>
      </c>
      <c r="B220" s="142" t="str">
        <f>B49</f>
        <v>-</v>
      </c>
      <c r="C220" s="142">
        <f t="shared" ref="C220:L221" si="120">C49</f>
        <v>799</v>
      </c>
      <c r="D220" s="142">
        <f t="shared" si="120"/>
        <v>773</v>
      </c>
      <c r="E220" s="142">
        <f t="shared" si="120"/>
        <v>2414</v>
      </c>
      <c r="F220" s="142">
        <f t="shared" si="120"/>
        <v>4385</v>
      </c>
      <c r="G220" s="142">
        <f t="shared" si="120"/>
        <v>1861</v>
      </c>
      <c r="H220" s="142">
        <f t="shared" si="120"/>
        <v>560</v>
      </c>
      <c r="I220" s="142">
        <f t="shared" si="120"/>
        <v>1003</v>
      </c>
      <c r="J220" s="142" t="str">
        <f t="shared" si="120"/>
        <v>-</v>
      </c>
      <c r="K220" s="142" t="str">
        <f t="shared" si="120"/>
        <v>-</v>
      </c>
      <c r="L220" s="142">
        <f t="shared" si="120"/>
        <v>11795</v>
      </c>
      <c r="M220" s="31"/>
      <c r="N220" s="142" t="str">
        <f t="shared" ref="N220:X221" si="121">N49</f>
        <v>-</v>
      </c>
      <c r="O220" s="142" t="str">
        <f t="shared" si="121"/>
        <v>-</v>
      </c>
      <c r="P220" s="142" t="str">
        <f t="shared" si="121"/>
        <v>-</v>
      </c>
      <c r="Q220" s="142" t="str">
        <f t="shared" si="121"/>
        <v>-</v>
      </c>
      <c r="R220" s="142" t="str">
        <f t="shared" si="121"/>
        <v>-</v>
      </c>
      <c r="S220" s="142" t="str">
        <f t="shared" si="121"/>
        <v>-</v>
      </c>
      <c r="T220" s="142" t="str">
        <f t="shared" si="121"/>
        <v>-</v>
      </c>
      <c r="U220" s="142" t="str">
        <f t="shared" si="121"/>
        <v>-</v>
      </c>
      <c r="V220" s="142" t="str">
        <f t="shared" si="121"/>
        <v>-</v>
      </c>
      <c r="W220" s="142" t="str">
        <f t="shared" si="121"/>
        <v>-</v>
      </c>
      <c r="X220" s="142" t="str">
        <f t="shared" si="121"/>
        <v>-</v>
      </c>
    </row>
    <row r="221" spans="1:24" ht="11.25" customHeight="1">
      <c r="A221" s="99" t="s">
        <v>317</v>
      </c>
      <c r="B221" s="142">
        <f>B50</f>
        <v>229</v>
      </c>
      <c r="C221" s="142">
        <f t="shared" si="120"/>
        <v>2383</v>
      </c>
      <c r="D221" s="142">
        <f t="shared" si="120"/>
        <v>2105</v>
      </c>
      <c r="E221" s="142">
        <f t="shared" si="120"/>
        <v>841</v>
      </c>
      <c r="F221" s="142">
        <f t="shared" si="120"/>
        <v>4656</v>
      </c>
      <c r="G221" s="142">
        <f t="shared" si="120"/>
        <v>5111</v>
      </c>
      <c r="H221" s="142">
        <f t="shared" si="120"/>
        <v>367</v>
      </c>
      <c r="I221" s="142">
        <f t="shared" si="120"/>
        <v>1243</v>
      </c>
      <c r="J221" s="142" t="str">
        <f t="shared" si="120"/>
        <v>-</v>
      </c>
      <c r="K221" s="142" t="str">
        <f t="shared" si="120"/>
        <v>-</v>
      </c>
      <c r="L221" s="142">
        <f t="shared" si="120"/>
        <v>16935</v>
      </c>
      <c r="M221" s="31"/>
      <c r="N221" s="142" t="str">
        <f t="shared" si="121"/>
        <v>-</v>
      </c>
      <c r="O221" s="142" t="str">
        <f t="shared" si="121"/>
        <v>-</v>
      </c>
      <c r="P221" s="142" t="str">
        <f t="shared" si="121"/>
        <v>-</v>
      </c>
      <c r="Q221" s="142" t="str">
        <f t="shared" si="121"/>
        <v>-</v>
      </c>
      <c r="R221" s="142">
        <f t="shared" si="121"/>
        <v>934</v>
      </c>
      <c r="S221" s="142">
        <f t="shared" si="121"/>
        <v>1154</v>
      </c>
      <c r="T221" s="142" t="str">
        <f t="shared" si="121"/>
        <v>-</v>
      </c>
      <c r="U221" s="142" t="str">
        <f t="shared" si="121"/>
        <v>-</v>
      </c>
      <c r="V221" s="142" t="str">
        <f t="shared" si="121"/>
        <v>-</v>
      </c>
      <c r="W221" s="142" t="str">
        <f t="shared" si="121"/>
        <v>-</v>
      </c>
      <c r="X221" s="142" t="str">
        <f t="shared" si="121"/>
        <v>-</v>
      </c>
    </row>
    <row r="222" spans="1:24" ht="11.25" customHeight="1">
      <c r="A222" s="99"/>
      <c r="B222" s="142"/>
      <c r="C222" s="142"/>
      <c r="D222" s="142"/>
      <c r="E222" s="142"/>
      <c r="F222" s="142"/>
      <c r="G222" s="142"/>
      <c r="H222" s="142"/>
      <c r="I222" s="142"/>
      <c r="J222" s="142"/>
      <c r="K222" s="142"/>
      <c r="L222" s="142"/>
      <c r="M222" s="31"/>
      <c r="N222" s="142"/>
      <c r="O222" s="142"/>
      <c r="P222" s="142"/>
      <c r="Q222" s="142"/>
      <c r="R222" s="142"/>
      <c r="S222" s="142"/>
      <c r="T222" s="142"/>
      <c r="U222" s="142"/>
      <c r="V222" s="142"/>
      <c r="W222" s="142"/>
      <c r="X222" s="142"/>
    </row>
    <row r="223" spans="1:24" ht="11.25" customHeight="1">
      <c r="A223" s="123" t="s">
        <v>346</v>
      </c>
      <c r="B223" s="142"/>
      <c r="C223" s="142"/>
      <c r="D223" s="142"/>
      <c r="E223" s="142"/>
      <c r="F223" s="142"/>
      <c r="G223" s="142"/>
      <c r="H223" s="142"/>
      <c r="I223" s="142"/>
      <c r="J223" s="142"/>
      <c r="K223" s="142"/>
      <c r="L223" s="142"/>
      <c r="M223" s="31"/>
      <c r="N223" s="142"/>
      <c r="O223" s="142"/>
      <c r="P223" s="142"/>
      <c r="Q223" s="142"/>
      <c r="R223" s="142"/>
      <c r="S223" s="142"/>
      <c r="T223" s="142"/>
      <c r="U223" s="142"/>
      <c r="V223" s="142"/>
      <c r="W223" s="142"/>
      <c r="X223" s="142"/>
    </row>
    <row r="224" spans="1:24" ht="11.25" customHeight="1">
      <c r="A224" s="99" t="s">
        <v>24</v>
      </c>
      <c r="B224" s="142" t="s">
        <v>23</v>
      </c>
      <c r="C224" s="142" t="s">
        <v>23</v>
      </c>
      <c r="D224" s="142">
        <f t="shared" ref="D224:J224" si="122">AVERAGE(D58:D62)</f>
        <v>31260.6</v>
      </c>
      <c r="E224" s="142">
        <f t="shared" si="122"/>
        <v>13370.2</v>
      </c>
      <c r="F224" s="142">
        <f t="shared" si="122"/>
        <v>26577.200000000001</v>
      </c>
      <c r="G224" s="142">
        <f t="shared" si="122"/>
        <v>44460.4</v>
      </c>
      <c r="H224" s="142">
        <f t="shared" si="122"/>
        <v>10088.799999999999</v>
      </c>
      <c r="I224" s="142">
        <f t="shared" si="122"/>
        <v>3494.6</v>
      </c>
      <c r="J224" s="142">
        <f t="shared" si="122"/>
        <v>1113.2</v>
      </c>
      <c r="K224" s="142" t="s">
        <v>23</v>
      </c>
      <c r="L224" s="142">
        <f>SUM(C224:K224)</f>
        <v>130365</v>
      </c>
      <c r="M224" s="31"/>
      <c r="N224" s="142" t="s">
        <v>23</v>
      </c>
      <c r="O224" s="142" t="s">
        <v>23</v>
      </c>
      <c r="P224" s="142">
        <f t="shared" ref="P224:U224" si="123">AVERAGE(P58:P62)</f>
        <v>3526.6</v>
      </c>
      <c r="Q224" s="142">
        <f t="shared" si="123"/>
        <v>7182.8</v>
      </c>
      <c r="R224" s="142">
        <f t="shared" si="123"/>
        <v>25915.200000000001</v>
      </c>
      <c r="S224" s="142">
        <f t="shared" si="123"/>
        <v>17369.599999999999</v>
      </c>
      <c r="T224" s="142">
        <f t="shared" si="123"/>
        <v>802.8</v>
      </c>
      <c r="U224" s="142">
        <f t="shared" si="123"/>
        <v>0</v>
      </c>
      <c r="V224" s="142" t="s">
        <v>23</v>
      </c>
      <c r="W224" s="142" t="s">
        <v>23</v>
      </c>
      <c r="X224" s="142">
        <f>SUM(Q224:W224)</f>
        <v>51270.400000000001</v>
      </c>
    </row>
    <row r="225" spans="1:24" ht="11.25" customHeight="1">
      <c r="A225" s="99" t="s">
        <v>78</v>
      </c>
      <c r="B225" s="142" t="s">
        <v>23</v>
      </c>
      <c r="C225" s="142" t="s">
        <v>23</v>
      </c>
      <c r="D225" s="142">
        <f t="shared" ref="D225:J225" si="124">AVERAGE(D63:D67)</f>
        <v>5508.6</v>
      </c>
      <c r="E225" s="142">
        <f t="shared" si="124"/>
        <v>55976.08</v>
      </c>
      <c r="F225" s="142">
        <f t="shared" si="124"/>
        <v>9956.02</v>
      </c>
      <c r="G225" s="142">
        <f t="shared" si="124"/>
        <v>17966.420000000002</v>
      </c>
      <c r="H225" s="142">
        <f t="shared" si="124"/>
        <v>8453.4</v>
      </c>
      <c r="I225" s="142">
        <f t="shared" si="124"/>
        <v>769.6</v>
      </c>
      <c r="J225" s="142">
        <f t="shared" si="124"/>
        <v>1460</v>
      </c>
      <c r="K225" s="142" t="s">
        <v>23</v>
      </c>
      <c r="L225" s="142">
        <f>SUM(C225:K225)</f>
        <v>100090.12</v>
      </c>
      <c r="M225" s="31"/>
      <c r="N225" s="142" t="s">
        <v>23</v>
      </c>
      <c r="O225" s="142" t="s">
        <v>23</v>
      </c>
      <c r="P225" s="142" t="s">
        <v>23</v>
      </c>
      <c r="Q225" s="142">
        <f>AVERAGE(Q63:Q67)</f>
        <v>11960.272420299563</v>
      </c>
      <c r="R225" s="142">
        <f>AVERAGE(R63:R67)</f>
        <v>2349.8880377595974</v>
      </c>
      <c r="S225" s="142">
        <f>AVERAGE(S63:S67)</f>
        <v>50.524510894567356</v>
      </c>
      <c r="T225" s="142">
        <f>AVERAGE(T63:T67)</f>
        <v>564.84431154219521</v>
      </c>
      <c r="U225" s="142">
        <f>AVERAGE(U63:U67)</f>
        <v>2.5000000000000001E-2</v>
      </c>
      <c r="V225" s="142" t="s">
        <v>23</v>
      </c>
      <c r="W225" s="142" t="s">
        <v>23</v>
      </c>
      <c r="X225" s="142">
        <f>SUM(Q225:W225)</f>
        <v>14925.554280495924</v>
      </c>
    </row>
    <row r="226" spans="1:24" ht="11.25" customHeight="1">
      <c r="A226" s="99" t="s">
        <v>10</v>
      </c>
      <c r="B226" s="142" t="s">
        <v>23</v>
      </c>
      <c r="C226" s="142" t="s">
        <v>23</v>
      </c>
      <c r="D226" s="142">
        <f>AVERAGE(D68:D72)</f>
        <v>264.5</v>
      </c>
      <c r="E226" s="142" t="s">
        <v>23</v>
      </c>
      <c r="F226" s="142">
        <f>AVERAGE(F68:F72)</f>
        <v>1682</v>
      </c>
      <c r="G226" s="142">
        <f>AVERAGE(G68:G72)</f>
        <v>234</v>
      </c>
      <c r="H226" s="142">
        <f>AVERAGE(H68:H72)</f>
        <v>4510</v>
      </c>
      <c r="I226" s="142">
        <f>AVERAGE(I68:I72)</f>
        <v>927</v>
      </c>
      <c r="J226" s="142" t="s">
        <v>23</v>
      </c>
      <c r="K226" s="142" t="s">
        <v>23</v>
      </c>
      <c r="L226" s="142">
        <f>SUM(C226:K226)</f>
        <v>7617.5</v>
      </c>
      <c r="M226" s="31"/>
      <c r="N226" s="142" t="s">
        <v>23</v>
      </c>
      <c r="O226" s="142" t="s">
        <v>23</v>
      </c>
      <c r="P226" s="142" t="s">
        <v>23</v>
      </c>
      <c r="Q226" s="142" t="s">
        <v>23</v>
      </c>
      <c r="R226" s="142" t="s">
        <v>23</v>
      </c>
      <c r="S226" s="142" t="s">
        <v>23</v>
      </c>
      <c r="T226" s="142">
        <f>AVERAGE(T68:T72)</f>
        <v>3</v>
      </c>
      <c r="U226" s="142">
        <f>AVERAGE(U68:U72)</f>
        <v>0.1</v>
      </c>
      <c r="V226" s="142" t="s">
        <v>23</v>
      </c>
      <c r="W226" s="142" t="s">
        <v>23</v>
      </c>
      <c r="X226" s="142">
        <f>SUM(Q226:W226)</f>
        <v>3.1</v>
      </c>
    </row>
    <row r="227" spans="1:24" ht="11.25" customHeight="1">
      <c r="A227" s="99" t="s">
        <v>144</v>
      </c>
      <c r="B227" s="142" t="s">
        <v>23</v>
      </c>
      <c r="C227" s="142" t="s">
        <v>23</v>
      </c>
      <c r="D227" s="142">
        <f>AVERAGE(D73:D77)</f>
        <v>1063.5999999999999</v>
      </c>
      <c r="E227" s="142" t="s">
        <v>23</v>
      </c>
      <c r="F227" s="142" t="s">
        <v>23</v>
      </c>
      <c r="G227" s="142">
        <f>AVERAGE(G73:G77)</f>
        <v>1588.6</v>
      </c>
      <c r="H227" s="142">
        <f>AVERAGE(H73:H77)</f>
        <v>3231.8</v>
      </c>
      <c r="I227" s="142">
        <f>AVERAGE(I73:I77)</f>
        <v>696.2</v>
      </c>
      <c r="J227" s="142" t="s">
        <v>23</v>
      </c>
      <c r="K227" s="142" t="s">
        <v>23</v>
      </c>
      <c r="L227" s="142">
        <f>SUM(C227:K227)</f>
        <v>6580.2</v>
      </c>
      <c r="M227" s="31"/>
      <c r="N227" s="142" t="s">
        <v>23</v>
      </c>
      <c r="O227" s="142" t="s">
        <v>23</v>
      </c>
      <c r="P227" s="142" t="s">
        <v>23</v>
      </c>
      <c r="Q227" s="142" t="s">
        <v>23</v>
      </c>
      <c r="R227" s="142" t="s">
        <v>23</v>
      </c>
      <c r="S227" s="142" t="s">
        <v>23</v>
      </c>
      <c r="T227" s="142" t="s">
        <v>23</v>
      </c>
      <c r="U227" s="142" t="s">
        <v>23</v>
      </c>
      <c r="V227" s="142" t="s">
        <v>23</v>
      </c>
      <c r="W227" s="142" t="s">
        <v>23</v>
      </c>
      <c r="X227" s="142" t="str">
        <f>X77</f>
        <v>-</v>
      </c>
    </row>
    <row r="228" spans="1:24" ht="11.25" customHeight="1">
      <c r="A228" s="99" t="s">
        <v>166</v>
      </c>
      <c r="B228" s="142">
        <f>AVERAGE(B78:B82)</f>
        <v>24.5</v>
      </c>
      <c r="C228" s="142">
        <f>AVERAGE(C78:C82)</f>
        <v>655.75</v>
      </c>
      <c r="D228" s="142">
        <f>AVERAGE(D78:D82)</f>
        <v>446</v>
      </c>
      <c r="E228" s="142">
        <f t="shared" ref="E228:L228" si="125">AVERAGE(E78:E82)</f>
        <v>1182.25</v>
      </c>
      <c r="F228" s="142">
        <f t="shared" si="125"/>
        <v>3363</v>
      </c>
      <c r="G228" s="142">
        <f t="shared" si="125"/>
        <v>6873.5</v>
      </c>
      <c r="H228" s="142">
        <f t="shared" si="125"/>
        <v>7581.6</v>
      </c>
      <c r="I228" s="142">
        <f t="shared" si="125"/>
        <v>660.6</v>
      </c>
      <c r="J228" s="142">
        <f t="shared" si="125"/>
        <v>66.333333333333329</v>
      </c>
      <c r="K228" s="142" t="str">
        <f>K78</f>
        <v>-</v>
      </c>
      <c r="L228" s="142">
        <f t="shared" si="125"/>
        <v>17645.400000000001</v>
      </c>
      <c r="M228" s="31"/>
      <c r="N228" s="142" t="str">
        <f t="shared" ref="N228:W228" si="126">N78</f>
        <v>-</v>
      </c>
      <c r="O228" s="142" t="str">
        <f t="shared" si="126"/>
        <v>-</v>
      </c>
      <c r="P228" s="142" t="str">
        <f t="shared" si="126"/>
        <v>-</v>
      </c>
      <c r="Q228" s="142" t="str">
        <f t="shared" si="126"/>
        <v>-</v>
      </c>
      <c r="R228" s="142" t="str">
        <f t="shared" si="126"/>
        <v>-</v>
      </c>
      <c r="S228" s="142" t="str">
        <f t="shared" si="126"/>
        <v>-</v>
      </c>
      <c r="T228" s="142" t="str">
        <f t="shared" si="126"/>
        <v>-</v>
      </c>
      <c r="U228" s="142" t="str">
        <f t="shared" si="126"/>
        <v>-</v>
      </c>
      <c r="V228" s="142" t="str">
        <f t="shared" si="126"/>
        <v>-</v>
      </c>
      <c r="W228" s="142" t="str">
        <f t="shared" si="126"/>
        <v>-</v>
      </c>
      <c r="X228" s="142" t="str">
        <f>X78</f>
        <v>-</v>
      </c>
    </row>
    <row r="229" spans="1:24" ht="11.25" customHeight="1">
      <c r="A229" s="99" t="s">
        <v>315</v>
      </c>
      <c r="B229" s="142" t="str">
        <f>B83</f>
        <v>-</v>
      </c>
      <c r="C229" s="142">
        <f t="shared" ref="C229:L229" si="127">AVERAGE(C83:C87)</f>
        <v>15</v>
      </c>
      <c r="D229" s="142">
        <f t="shared" si="127"/>
        <v>94.5</v>
      </c>
      <c r="E229" s="142">
        <f t="shared" si="127"/>
        <v>727</v>
      </c>
      <c r="F229" s="142">
        <f t="shared" si="127"/>
        <v>600.5</v>
      </c>
      <c r="G229" s="142">
        <f t="shared" si="127"/>
        <v>824.5</v>
      </c>
      <c r="H229" s="142">
        <f t="shared" si="127"/>
        <v>4587</v>
      </c>
      <c r="I229" s="142">
        <f t="shared" si="127"/>
        <v>391</v>
      </c>
      <c r="J229" s="142">
        <f t="shared" si="127"/>
        <v>91.5</v>
      </c>
      <c r="K229" s="142" t="str">
        <f>K83</f>
        <v>-</v>
      </c>
      <c r="L229" s="142">
        <f t="shared" si="127"/>
        <v>3675.5</v>
      </c>
      <c r="M229" s="31"/>
      <c r="N229" s="142" t="str">
        <f>N83</f>
        <v>-</v>
      </c>
      <c r="O229" s="142" t="str">
        <f t="shared" ref="O229:X229" si="128">O83</f>
        <v>-</v>
      </c>
      <c r="P229" s="142" t="str">
        <f t="shared" si="128"/>
        <v>-</v>
      </c>
      <c r="Q229" s="142" t="str">
        <f t="shared" si="128"/>
        <v>-</v>
      </c>
      <c r="R229" s="142" t="str">
        <f t="shared" si="128"/>
        <v>-</v>
      </c>
      <c r="S229" s="142" t="str">
        <f t="shared" si="128"/>
        <v>-</v>
      </c>
      <c r="T229" s="142" t="str">
        <f t="shared" si="128"/>
        <v>-</v>
      </c>
      <c r="U229" s="142" t="str">
        <f t="shared" si="128"/>
        <v>-</v>
      </c>
      <c r="V229" s="142" t="str">
        <f t="shared" si="128"/>
        <v>-</v>
      </c>
      <c r="W229" s="142" t="str">
        <f t="shared" si="128"/>
        <v>-</v>
      </c>
      <c r="X229" s="142" t="str">
        <f t="shared" si="128"/>
        <v>-</v>
      </c>
    </row>
    <row r="230" spans="1:24" ht="11.25" customHeight="1">
      <c r="A230" s="99">
        <v>2011</v>
      </c>
      <c r="B230" s="142" t="str">
        <f t="shared" ref="B230:L230" si="129">B88</f>
        <v>-</v>
      </c>
      <c r="C230" s="142" t="str">
        <f t="shared" si="129"/>
        <v>-</v>
      </c>
      <c r="D230" s="142">
        <f t="shared" si="129"/>
        <v>601</v>
      </c>
      <c r="E230" s="142">
        <f t="shared" si="129"/>
        <v>254</v>
      </c>
      <c r="F230" s="142">
        <f t="shared" si="129"/>
        <v>1611</v>
      </c>
      <c r="G230" s="142">
        <f t="shared" si="129"/>
        <v>1144</v>
      </c>
      <c r="H230" s="142" t="str">
        <f t="shared" si="129"/>
        <v>-</v>
      </c>
      <c r="I230" s="142">
        <f t="shared" si="129"/>
        <v>107</v>
      </c>
      <c r="J230" s="142" t="str">
        <f t="shared" si="129"/>
        <v>-</v>
      </c>
      <c r="K230" s="142" t="str">
        <f t="shared" si="129"/>
        <v>-</v>
      </c>
      <c r="L230" s="142">
        <f t="shared" si="129"/>
        <v>3717</v>
      </c>
      <c r="M230" s="31"/>
      <c r="N230" s="142" t="str">
        <f t="shared" ref="N230:X230" si="130">N88</f>
        <v>-</v>
      </c>
      <c r="O230" s="142" t="str">
        <f t="shared" si="130"/>
        <v>-</v>
      </c>
      <c r="P230" s="142" t="str">
        <f t="shared" si="130"/>
        <v>-</v>
      </c>
      <c r="Q230" s="142" t="str">
        <f t="shared" si="130"/>
        <v>-</v>
      </c>
      <c r="R230" s="142" t="str">
        <f t="shared" si="130"/>
        <v>-</v>
      </c>
      <c r="S230" s="142" t="str">
        <f t="shared" si="130"/>
        <v>-</v>
      </c>
      <c r="T230" s="142" t="str">
        <f t="shared" si="130"/>
        <v>-</v>
      </c>
      <c r="U230" s="142" t="str">
        <f t="shared" si="130"/>
        <v>-</v>
      </c>
      <c r="V230" s="142" t="str">
        <f t="shared" si="130"/>
        <v>-</v>
      </c>
      <c r="W230" s="142" t="str">
        <f t="shared" si="130"/>
        <v>-</v>
      </c>
      <c r="X230" s="142" t="str">
        <f t="shared" si="130"/>
        <v>-</v>
      </c>
    </row>
    <row r="231" spans="1:24" ht="11.25" customHeight="1">
      <c r="A231" s="99">
        <v>2012</v>
      </c>
      <c r="B231" s="142" t="str">
        <f t="shared" ref="B231:L231" si="131">B89</f>
        <v>-</v>
      </c>
      <c r="C231" s="142">
        <f t="shared" si="131"/>
        <v>0</v>
      </c>
      <c r="D231" s="142">
        <f t="shared" si="131"/>
        <v>371</v>
      </c>
      <c r="E231" s="142">
        <f t="shared" si="131"/>
        <v>1287</v>
      </c>
      <c r="F231" s="142">
        <f t="shared" si="131"/>
        <v>1456</v>
      </c>
      <c r="G231" s="142">
        <f t="shared" si="131"/>
        <v>1328</v>
      </c>
      <c r="H231" s="142">
        <f t="shared" si="131"/>
        <v>6115</v>
      </c>
      <c r="I231" s="142">
        <f t="shared" si="131"/>
        <v>118</v>
      </c>
      <c r="J231" s="142" t="str">
        <f t="shared" si="131"/>
        <v>-</v>
      </c>
      <c r="K231" s="142" t="str">
        <f t="shared" si="131"/>
        <v>-</v>
      </c>
      <c r="L231" s="142">
        <f t="shared" si="131"/>
        <v>10675</v>
      </c>
      <c r="M231" s="31"/>
      <c r="N231" s="142" t="str">
        <f t="shared" ref="N231:X231" si="132">N89</f>
        <v>-</v>
      </c>
      <c r="O231" s="142" t="str">
        <f t="shared" si="132"/>
        <v>-</v>
      </c>
      <c r="P231" s="142" t="str">
        <f t="shared" si="132"/>
        <v>-</v>
      </c>
      <c r="Q231" s="142" t="str">
        <f t="shared" si="132"/>
        <v>-</v>
      </c>
      <c r="R231" s="142" t="str">
        <f t="shared" si="132"/>
        <v>-</v>
      </c>
      <c r="S231" s="142" t="str">
        <f t="shared" si="132"/>
        <v>-</v>
      </c>
      <c r="T231" s="142" t="str">
        <f t="shared" si="132"/>
        <v>-</v>
      </c>
      <c r="U231" s="142" t="str">
        <f t="shared" si="132"/>
        <v>-</v>
      </c>
      <c r="V231" s="142" t="str">
        <f t="shared" si="132"/>
        <v>-</v>
      </c>
      <c r="W231" s="142" t="str">
        <f t="shared" si="132"/>
        <v>-</v>
      </c>
      <c r="X231" s="142" t="str">
        <f t="shared" si="132"/>
        <v>-</v>
      </c>
    </row>
    <row r="232" spans="1:24" ht="11.25" customHeight="1">
      <c r="A232" s="99">
        <v>2013</v>
      </c>
      <c r="B232" s="142" t="str">
        <f t="shared" ref="B232:L232" si="133">B90</f>
        <v>-</v>
      </c>
      <c r="C232" s="142">
        <f t="shared" si="133"/>
        <v>50</v>
      </c>
      <c r="D232" s="142">
        <f t="shared" si="133"/>
        <v>2695</v>
      </c>
      <c r="E232" s="142">
        <f t="shared" si="133"/>
        <v>4374</v>
      </c>
      <c r="F232" s="142">
        <f t="shared" si="133"/>
        <v>5545</v>
      </c>
      <c r="G232" s="142">
        <f t="shared" si="133"/>
        <v>3856</v>
      </c>
      <c r="H232" s="142">
        <f t="shared" si="133"/>
        <v>319</v>
      </c>
      <c r="I232" s="142">
        <f t="shared" si="133"/>
        <v>155</v>
      </c>
      <c r="J232" s="142" t="str">
        <f t="shared" si="133"/>
        <v>-</v>
      </c>
      <c r="K232" s="142" t="str">
        <f t="shared" si="133"/>
        <v>-</v>
      </c>
      <c r="L232" s="142">
        <f t="shared" si="133"/>
        <v>16994</v>
      </c>
      <c r="M232" s="31"/>
      <c r="N232" s="142" t="str">
        <f t="shared" ref="N232:X232" si="134">N90</f>
        <v>-</v>
      </c>
      <c r="O232" s="142" t="str">
        <f t="shared" si="134"/>
        <v>-</v>
      </c>
      <c r="P232" s="142" t="str">
        <f t="shared" si="134"/>
        <v>-</v>
      </c>
      <c r="Q232" s="142" t="str">
        <f t="shared" si="134"/>
        <v>-</v>
      </c>
      <c r="R232" s="142" t="str">
        <f t="shared" si="134"/>
        <v>-</v>
      </c>
      <c r="S232" s="142" t="str">
        <f t="shared" si="134"/>
        <v>-</v>
      </c>
      <c r="T232" s="142" t="str">
        <f t="shared" si="134"/>
        <v>-</v>
      </c>
      <c r="U232" s="142" t="str">
        <f t="shared" si="134"/>
        <v>-</v>
      </c>
      <c r="V232" s="142" t="str">
        <f t="shared" si="134"/>
        <v>-</v>
      </c>
      <c r="W232" s="142" t="str">
        <f t="shared" si="134"/>
        <v>-</v>
      </c>
      <c r="X232" s="142" t="str">
        <f t="shared" si="134"/>
        <v>-</v>
      </c>
    </row>
    <row r="233" spans="1:24" ht="11.25" customHeight="1">
      <c r="A233" s="99">
        <v>2014</v>
      </c>
      <c r="B233" s="142" t="str">
        <f t="shared" ref="B233:L233" si="135">B91</f>
        <v>-</v>
      </c>
      <c r="C233" s="142">
        <f t="shared" si="135"/>
        <v>53</v>
      </c>
      <c r="D233" s="142">
        <f t="shared" si="135"/>
        <v>13352</v>
      </c>
      <c r="E233" s="142">
        <f t="shared" si="135"/>
        <v>1349</v>
      </c>
      <c r="F233" s="142">
        <f t="shared" si="135"/>
        <v>492</v>
      </c>
      <c r="G233" s="142">
        <f t="shared" si="135"/>
        <v>403</v>
      </c>
      <c r="H233" s="142">
        <f t="shared" si="135"/>
        <v>674</v>
      </c>
      <c r="I233" s="142">
        <f t="shared" si="135"/>
        <v>443</v>
      </c>
      <c r="J233" s="142" t="str">
        <f t="shared" si="135"/>
        <v>-</v>
      </c>
      <c r="K233" s="142" t="str">
        <f t="shared" si="135"/>
        <v>-</v>
      </c>
      <c r="L233" s="142">
        <f t="shared" si="135"/>
        <v>16766</v>
      </c>
      <c r="M233" s="31"/>
      <c r="N233" s="142" t="str">
        <f t="shared" ref="N233:X233" si="136">N91</f>
        <v>-</v>
      </c>
      <c r="O233" s="142" t="str">
        <f t="shared" si="136"/>
        <v>-</v>
      </c>
      <c r="P233" s="142" t="str">
        <f t="shared" si="136"/>
        <v>-</v>
      </c>
      <c r="Q233" s="142" t="str">
        <f t="shared" si="136"/>
        <v>-</v>
      </c>
      <c r="R233" s="142" t="str">
        <f t="shared" si="136"/>
        <v>-</v>
      </c>
      <c r="S233" s="142" t="str">
        <f t="shared" si="136"/>
        <v>-</v>
      </c>
      <c r="T233" s="142" t="str">
        <f t="shared" si="136"/>
        <v>-</v>
      </c>
      <c r="U233" s="142" t="str">
        <f t="shared" si="136"/>
        <v>-</v>
      </c>
      <c r="V233" s="142" t="str">
        <f t="shared" si="136"/>
        <v>-</v>
      </c>
      <c r="W233" s="142" t="str">
        <f t="shared" si="136"/>
        <v>-</v>
      </c>
      <c r="X233" s="142" t="str">
        <f t="shared" si="136"/>
        <v>-</v>
      </c>
    </row>
    <row r="234" spans="1:24" ht="11.25" customHeight="1">
      <c r="A234" s="99">
        <v>2015</v>
      </c>
      <c r="B234" s="142" t="str">
        <f t="shared" ref="B234:L234" si="137">B92</f>
        <v>-</v>
      </c>
      <c r="C234" s="142">
        <f t="shared" si="137"/>
        <v>39</v>
      </c>
      <c r="D234" s="142">
        <f t="shared" si="137"/>
        <v>1146</v>
      </c>
      <c r="E234" s="142">
        <f t="shared" si="137"/>
        <v>1528</v>
      </c>
      <c r="F234" s="142">
        <f t="shared" si="137"/>
        <v>779</v>
      </c>
      <c r="G234" s="142">
        <f t="shared" si="137"/>
        <v>92</v>
      </c>
      <c r="H234" s="142">
        <f t="shared" si="137"/>
        <v>46</v>
      </c>
      <c r="I234" s="142">
        <f t="shared" si="137"/>
        <v>639</v>
      </c>
      <c r="J234" s="142" t="str">
        <f t="shared" si="137"/>
        <v>-</v>
      </c>
      <c r="K234" s="142" t="str">
        <f t="shared" si="137"/>
        <v>-</v>
      </c>
      <c r="L234" s="142">
        <f t="shared" si="137"/>
        <v>4269</v>
      </c>
      <c r="M234" s="31"/>
      <c r="N234" s="142" t="str">
        <f t="shared" ref="N234:X234" si="138">N92</f>
        <v>-</v>
      </c>
      <c r="O234" s="142" t="str">
        <f t="shared" si="138"/>
        <v>-</v>
      </c>
      <c r="P234" s="142" t="str">
        <f t="shared" si="138"/>
        <v>-</v>
      </c>
      <c r="Q234" s="142" t="str">
        <f t="shared" si="138"/>
        <v>-</v>
      </c>
      <c r="R234" s="142" t="str">
        <f t="shared" si="138"/>
        <v>-</v>
      </c>
      <c r="S234" s="142" t="str">
        <f t="shared" si="138"/>
        <v>-</v>
      </c>
      <c r="T234" s="142" t="str">
        <f t="shared" si="138"/>
        <v>-</v>
      </c>
      <c r="U234" s="142" t="str">
        <f t="shared" si="138"/>
        <v>-</v>
      </c>
      <c r="V234" s="142" t="str">
        <f t="shared" si="138"/>
        <v>-</v>
      </c>
      <c r="W234" s="142" t="str">
        <f t="shared" si="138"/>
        <v>-</v>
      </c>
      <c r="X234" s="142" t="str">
        <f t="shared" si="138"/>
        <v>-</v>
      </c>
    </row>
    <row r="235" spans="1:24" ht="11.25" customHeight="1">
      <c r="A235" s="99">
        <v>2016</v>
      </c>
      <c r="B235" s="142" t="str">
        <f t="shared" ref="B235:L235" si="139">B93</f>
        <v>-</v>
      </c>
      <c r="C235" s="142">
        <f t="shared" si="139"/>
        <v>12</v>
      </c>
      <c r="D235" s="142">
        <f t="shared" si="139"/>
        <v>34</v>
      </c>
      <c r="E235" s="142">
        <f t="shared" si="139"/>
        <v>179</v>
      </c>
      <c r="F235" s="142">
        <f t="shared" si="139"/>
        <v>21</v>
      </c>
      <c r="G235" s="142" t="str">
        <f t="shared" si="139"/>
        <v>-</v>
      </c>
      <c r="H235" s="142">
        <f t="shared" si="139"/>
        <v>196</v>
      </c>
      <c r="I235" s="142">
        <f t="shared" si="139"/>
        <v>152</v>
      </c>
      <c r="J235" s="142" t="str">
        <f t="shared" si="139"/>
        <v>-</v>
      </c>
      <c r="K235" s="142" t="str">
        <f t="shared" si="139"/>
        <v>-</v>
      </c>
      <c r="L235" s="142">
        <f t="shared" si="139"/>
        <v>594</v>
      </c>
      <c r="M235" s="31"/>
      <c r="N235" s="142" t="str">
        <f t="shared" ref="N235:X235" si="140">N93</f>
        <v>-</v>
      </c>
      <c r="O235" s="142" t="str">
        <f t="shared" si="140"/>
        <v>-</v>
      </c>
      <c r="P235" s="142" t="str">
        <f t="shared" si="140"/>
        <v>-</v>
      </c>
      <c r="Q235" s="142" t="str">
        <f t="shared" si="140"/>
        <v>-</v>
      </c>
      <c r="R235" s="142" t="str">
        <f t="shared" si="140"/>
        <v>-</v>
      </c>
      <c r="S235" s="142" t="str">
        <f t="shared" si="140"/>
        <v>-</v>
      </c>
      <c r="T235" s="142" t="str">
        <f t="shared" si="140"/>
        <v>-</v>
      </c>
      <c r="U235" s="142" t="str">
        <f t="shared" si="140"/>
        <v>-</v>
      </c>
      <c r="V235" s="142" t="str">
        <f t="shared" si="140"/>
        <v>-</v>
      </c>
      <c r="W235" s="142" t="str">
        <f t="shared" si="140"/>
        <v>-</v>
      </c>
      <c r="X235" s="142" t="str">
        <f t="shared" si="140"/>
        <v>-</v>
      </c>
    </row>
    <row r="236" spans="1:24" ht="11.25" customHeight="1">
      <c r="A236" s="99">
        <v>2017</v>
      </c>
      <c r="B236" s="142" t="str">
        <f t="shared" ref="B236:L236" si="141">B94</f>
        <v>-</v>
      </c>
      <c r="C236" s="142" t="str">
        <f t="shared" si="141"/>
        <v>-</v>
      </c>
      <c r="D236" s="142" t="str">
        <f t="shared" si="141"/>
        <v>-</v>
      </c>
      <c r="E236" s="142" t="str">
        <f t="shared" si="141"/>
        <v>-</v>
      </c>
      <c r="F236" s="142" t="str">
        <f t="shared" si="141"/>
        <v>-</v>
      </c>
      <c r="G236" s="142" t="str">
        <f t="shared" si="141"/>
        <v>-</v>
      </c>
      <c r="H236" s="142" t="str">
        <f t="shared" si="141"/>
        <v>-</v>
      </c>
      <c r="I236" s="142">
        <f t="shared" si="141"/>
        <v>329</v>
      </c>
      <c r="J236" s="142" t="str">
        <f t="shared" si="141"/>
        <v>-</v>
      </c>
      <c r="K236" s="142" t="str">
        <f t="shared" si="141"/>
        <v>-</v>
      </c>
      <c r="L236" s="142">
        <f t="shared" si="141"/>
        <v>329</v>
      </c>
      <c r="M236" s="31"/>
      <c r="N236" s="142" t="str">
        <f t="shared" ref="N236:X236" si="142">N94</f>
        <v>-</v>
      </c>
      <c r="O236" s="142" t="str">
        <f t="shared" si="142"/>
        <v>-</v>
      </c>
      <c r="P236" s="142" t="str">
        <f t="shared" si="142"/>
        <v>-</v>
      </c>
      <c r="Q236" s="142" t="str">
        <f t="shared" si="142"/>
        <v>-</v>
      </c>
      <c r="R236" s="142" t="str">
        <f t="shared" si="142"/>
        <v>-</v>
      </c>
      <c r="S236" s="142" t="str">
        <f t="shared" si="142"/>
        <v>-</v>
      </c>
      <c r="T236" s="142" t="str">
        <f t="shared" si="142"/>
        <v>-</v>
      </c>
      <c r="U236" s="142" t="str">
        <f t="shared" si="142"/>
        <v>-</v>
      </c>
      <c r="V236" s="142" t="str">
        <f t="shared" si="142"/>
        <v>-</v>
      </c>
      <c r="W236" s="142" t="str">
        <f t="shared" si="142"/>
        <v>-</v>
      </c>
      <c r="X236" s="142" t="str">
        <f t="shared" si="142"/>
        <v>-</v>
      </c>
    </row>
    <row r="237" spans="1:24" ht="11.25" customHeight="1">
      <c r="A237" s="99">
        <v>2018</v>
      </c>
      <c r="B237" s="142" t="str">
        <f t="shared" ref="B237:L237" si="143">B95</f>
        <v>-</v>
      </c>
      <c r="C237" s="142" t="str">
        <f t="shared" si="143"/>
        <v>-</v>
      </c>
      <c r="D237" s="142">
        <f t="shared" si="143"/>
        <v>1209</v>
      </c>
      <c r="E237" s="142">
        <f t="shared" si="143"/>
        <v>4006</v>
      </c>
      <c r="F237" s="142">
        <f t="shared" si="143"/>
        <v>2988</v>
      </c>
      <c r="G237" s="142">
        <f t="shared" si="143"/>
        <v>4391</v>
      </c>
      <c r="H237" s="142" t="str">
        <f t="shared" si="143"/>
        <v>-</v>
      </c>
      <c r="I237" s="142">
        <f t="shared" si="143"/>
        <v>316</v>
      </c>
      <c r="J237" s="142" t="str">
        <f t="shared" si="143"/>
        <v>-</v>
      </c>
      <c r="K237" s="142" t="str">
        <f t="shared" si="143"/>
        <v>-</v>
      </c>
      <c r="L237" s="142">
        <f t="shared" si="143"/>
        <v>12910</v>
      </c>
      <c r="M237" s="31"/>
      <c r="N237" s="142" t="str">
        <f t="shared" ref="N237:X237" si="144">N95</f>
        <v>-</v>
      </c>
      <c r="O237" s="142" t="str">
        <f t="shared" si="144"/>
        <v>-</v>
      </c>
      <c r="P237" s="142" t="str">
        <f t="shared" si="144"/>
        <v>-</v>
      </c>
      <c r="Q237" s="142" t="str">
        <f t="shared" si="144"/>
        <v>-</v>
      </c>
      <c r="R237" s="142" t="str">
        <f t="shared" si="144"/>
        <v>-</v>
      </c>
      <c r="S237" s="142" t="str">
        <f t="shared" si="144"/>
        <v>-</v>
      </c>
      <c r="T237" s="142" t="str">
        <f t="shared" si="144"/>
        <v>-</v>
      </c>
      <c r="U237" s="142" t="str">
        <f t="shared" si="144"/>
        <v>-</v>
      </c>
      <c r="V237" s="142" t="str">
        <f t="shared" si="144"/>
        <v>-</v>
      </c>
      <c r="W237" s="142" t="str">
        <f t="shared" si="144"/>
        <v>-</v>
      </c>
      <c r="X237" s="142" t="str">
        <f t="shared" si="144"/>
        <v>-</v>
      </c>
    </row>
    <row r="238" spans="1:24" ht="11.25" customHeight="1">
      <c r="A238" s="99">
        <v>2019</v>
      </c>
      <c r="B238" s="142" t="str">
        <f t="shared" ref="B238:L238" si="145">B96</f>
        <v>-</v>
      </c>
      <c r="C238" s="142">
        <f t="shared" si="145"/>
        <v>12</v>
      </c>
      <c r="D238" s="142">
        <f t="shared" si="145"/>
        <v>16</v>
      </c>
      <c r="E238" s="142">
        <f t="shared" si="145"/>
        <v>799</v>
      </c>
      <c r="F238" s="142">
        <f t="shared" si="145"/>
        <v>1945</v>
      </c>
      <c r="G238" s="142">
        <f t="shared" si="145"/>
        <v>4957</v>
      </c>
      <c r="H238" s="142" t="str">
        <f t="shared" si="145"/>
        <v>-</v>
      </c>
      <c r="I238" s="142" t="str">
        <f t="shared" si="145"/>
        <v>-</v>
      </c>
      <c r="J238" s="142" t="str">
        <f t="shared" si="145"/>
        <v>-</v>
      </c>
      <c r="K238" s="142" t="str">
        <f t="shared" si="145"/>
        <v>-</v>
      </c>
      <c r="L238" s="142">
        <f t="shared" si="145"/>
        <v>7729</v>
      </c>
      <c r="M238" s="31"/>
      <c r="N238" s="142" t="str">
        <f t="shared" ref="N238:X238" si="146">N96</f>
        <v>-</v>
      </c>
      <c r="O238" s="142" t="str">
        <f t="shared" si="146"/>
        <v>-</v>
      </c>
      <c r="P238" s="142" t="str">
        <f t="shared" si="146"/>
        <v>-</v>
      </c>
      <c r="Q238" s="142" t="str">
        <f t="shared" si="146"/>
        <v>-</v>
      </c>
      <c r="R238" s="142" t="str">
        <f t="shared" si="146"/>
        <v>-</v>
      </c>
      <c r="S238" s="142" t="str">
        <f t="shared" si="146"/>
        <v>-</v>
      </c>
      <c r="T238" s="142" t="str">
        <f t="shared" si="146"/>
        <v>-</v>
      </c>
      <c r="U238" s="142" t="str">
        <f t="shared" si="146"/>
        <v>-</v>
      </c>
      <c r="V238" s="142" t="str">
        <f t="shared" si="146"/>
        <v>-</v>
      </c>
      <c r="W238" s="142" t="str">
        <f t="shared" si="146"/>
        <v>-</v>
      </c>
      <c r="X238" s="142" t="str">
        <f t="shared" si="146"/>
        <v>-</v>
      </c>
    </row>
    <row r="239" spans="1:24" ht="11.25" customHeight="1">
      <c r="A239" s="99" t="s">
        <v>309</v>
      </c>
      <c r="B239" s="142" t="str">
        <f>B97</f>
        <v>-</v>
      </c>
      <c r="C239" s="142">
        <f t="shared" ref="C239:L240" si="147">C97</f>
        <v>1</v>
      </c>
      <c r="D239" s="142">
        <f t="shared" si="147"/>
        <v>5</v>
      </c>
      <c r="E239" s="142">
        <f t="shared" si="147"/>
        <v>168</v>
      </c>
      <c r="F239" s="142">
        <f t="shared" si="147"/>
        <v>651</v>
      </c>
      <c r="G239" s="142" t="str">
        <f t="shared" si="147"/>
        <v>-</v>
      </c>
      <c r="H239" s="142" t="str">
        <f t="shared" si="147"/>
        <v>-</v>
      </c>
      <c r="I239" s="142" t="str">
        <f t="shared" si="147"/>
        <v>-</v>
      </c>
      <c r="J239" s="142" t="str">
        <f t="shared" si="147"/>
        <v>-</v>
      </c>
      <c r="K239" s="142" t="str">
        <f t="shared" si="147"/>
        <v>-</v>
      </c>
      <c r="L239" s="142">
        <f t="shared" si="147"/>
        <v>825</v>
      </c>
      <c r="M239" s="31"/>
      <c r="N239" s="142" t="str">
        <f t="shared" ref="N239:X240" si="148">N97</f>
        <v>-</v>
      </c>
      <c r="O239" s="142" t="str">
        <f t="shared" si="148"/>
        <v>-</v>
      </c>
      <c r="P239" s="142" t="str">
        <f t="shared" si="148"/>
        <v>-</v>
      </c>
      <c r="Q239" s="142" t="str">
        <f t="shared" si="148"/>
        <v>-</v>
      </c>
      <c r="R239" s="142" t="str">
        <f t="shared" si="148"/>
        <v>-</v>
      </c>
      <c r="S239" s="142" t="str">
        <f t="shared" si="148"/>
        <v>-</v>
      </c>
      <c r="T239" s="142" t="str">
        <f t="shared" si="148"/>
        <v>-</v>
      </c>
      <c r="U239" s="142" t="str">
        <f t="shared" si="148"/>
        <v>-</v>
      </c>
      <c r="V239" s="142" t="str">
        <f t="shared" si="148"/>
        <v>-</v>
      </c>
      <c r="W239" s="142" t="str">
        <f t="shared" si="148"/>
        <v>-</v>
      </c>
      <c r="X239" s="142" t="str">
        <f t="shared" si="148"/>
        <v>-</v>
      </c>
    </row>
    <row r="240" spans="1:24" ht="11.25" customHeight="1">
      <c r="A240" s="99" t="s">
        <v>317</v>
      </c>
      <c r="B240" s="142">
        <f>B98</f>
        <v>2</v>
      </c>
      <c r="C240" s="142">
        <f t="shared" si="147"/>
        <v>2</v>
      </c>
      <c r="D240" s="142">
        <f t="shared" si="147"/>
        <v>13</v>
      </c>
      <c r="E240" s="142">
        <f t="shared" si="147"/>
        <v>275</v>
      </c>
      <c r="F240" s="142">
        <f t="shared" si="147"/>
        <v>132</v>
      </c>
      <c r="G240" s="142" t="str">
        <f t="shared" si="147"/>
        <v>-</v>
      </c>
      <c r="H240" s="142" t="str">
        <f t="shared" si="147"/>
        <v>-</v>
      </c>
      <c r="I240" s="142" t="str">
        <f t="shared" si="147"/>
        <v>-</v>
      </c>
      <c r="J240" s="142" t="str">
        <f t="shared" si="147"/>
        <v>-</v>
      </c>
      <c r="K240" s="142" t="str">
        <f t="shared" si="147"/>
        <v>-</v>
      </c>
      <c r="L240" s="142">
        <f t="shared" si="147"/>
        <v>424</v>
      </c>
      <c r="M240" s="31"/>
      <c r="N240" s="142" t="str">
        <f t="shared" si="148"/>
        <v>-</v>
      </c>
      <c r="O240" s="142" t="str">
        <f t="shared" si="148"/>
        <v>-</v>
      </c>
      <c r="P240" s="142" t="str">
        <f t="shared" si="148"/>
        <v>-</v>
      </c>
      <c r="Q240" s="142" t="str">
        <f t="shared" si="148"/>
        <v>-</v>
      </c>
      <c r="R240" s="142" t="str">
        <f t="shared" si="148"/>
        <v>-</v>
      </c>
      <c r="S240" s="142" t="str">
        <f t="shared" si="148"/>
        <v>-</v>
      </c>
      <c r="T240" s="142" t="str">
        <f t="shared" si="148"/>
        <v>-</v>
      </c>
      <c r="U240" s="142" t="str">
        <f t="shared" si="148"/>
        <v>-</v>
      </c>
      <c r="V240" s="142" t="str">
        <f t="shared" si="148"/>
        <v>-</v>
      </c>
      <c r="W240" s="142" t="str">
        <f t="shared" si="148"/>
        <v>-</v>
      </c>
      <c r="X240" s="142" t="str">
        <f t="shared" si="148"/>
        <v>-</v>
      </c>
    </row>
    <row r="241" spans="1:24" ht="11.25" customHeight="1">
      <c r="A241" s="99"/>
      <c r="B241" s="142"/>
      <c r="C241" s="142"/>
      <c r="D241" s="142"/>
      <c r="E241" s="142"/>
      <c r="F241" s="142"/>
      <c r="G241" s="142"/>
      <c r="H241" s="142"/>
      <c r="I241" s="142"/>
      <c r="J241" s="142"/>
      <c r="K241" s="142"/>
      <c r="L241" s="142"/>
      <c r="M241" s="31"/>
      <c r="N241" s="142"/>
      <c r="O241" s="142"/>
      <c r="P241" s="142"/>
      <c r="Q241" s="142"/>
      <c r="R241" s="142"/>
      <c r="S241" s="142"/>
      <c r="T241" s="142"/>
      <c r="U241" s="142"/>
      <c r="V241" s="142"/>
      <c r="W241" s="142"/>
      <c r="X241" s="142"/>
    </row>
    <row r="242" spans="1:24" ht="11.25" customHeight="1">
      <c r="A242" s="1" t="s">
        <v>141</v>
      </c>
      <c r="B242" s="1"/>
      <c r="C242" s="1"/>
      <c r="D242" s="1"/>
      <c r="E242" s="1"/>
      <c r="F242" s="1"/>
      <c r="G242" s="1"/>
      <c r="H242" s="1"/>
      <c r="I242" s="1"/>
      <c r="J242" s="1"/>
      <c r="K242" s="1"/>
      <c r="L242" s="1"/>
      <c r="M242" s="1"/>
      <c r="N242" s="1"/>
      <c r="O242" s="1"/>
      <c r="P242" s="1"/>
      <c r="Q242" s="1"/>
      <c r="R242" s="1"/>
      <c r="S242" s="1"/>
      <c r="T242" s="1"/>
      <c r="U242" s="1"/>
      <c r="V242" s="1"/>
      <c r="W242" s="1"/>
      <c r="X242" s="1"/>
    </row>
    <row r="243" spans="1:24" ht="11.25" customHeight="1">
      <c r="A243" s="231" t="s">
        <v>27</v>
      </c>
      <c r="B243" s="46" t="s">
        <v>37</v>
      </c>
      <c r="C243" s="46" t="s">
        <v>28</v>
      </c>
      <c r="D243" s="46" t="s">
        <v>29</v>
      </c>
      <c r="E243" s="46" t="s">
        <v>30</v>
      </c>
      <c r="F243" s="46" t="s">
        <v>31</v>
      </c>
      <c r="G243" s="46" t="s">
        <v>32</v>
      </c>
      <c r="H243" s="46" t="s">
        <v>33</v>
      </c>
      <c r="I243" s="46" t="s">
        <v>34</v>
      </c>
      <c r="J243" s="46" t="s">
        <v>38</v>
      </c>
      <c r="K243" s="46" t="s">
        <v>75</v>
      </c>
      <c r="L243" s="46" t="s">
        <v>22</v>
      </c>
      <c r="M243" s="47"/>
      <c r="N243" s="46" t="s">
        <v>37</v>
      </c>
      <c r="O243" s="46" t="s">
        <v>28</v>
      </c>
      <c r="P243" s="46" t="s">
        <v>29</v>
      </c>
      <c r="Q243" s="46" t="s">
        <v>30</v>
      </c>
      <c r="R243" s="46" t="s">
        <v>31</v>
      </c>
      <c r="S243" s="46" t="s">
        <v>32</v>
      </c>
      <c r="T243" s="46" t="s">
        <v>33</v>
      </c>
      <c r="U243" s="46" t="s">
        <v>34</v>
      </c>
      <c r="V243" s="46" t="s">
        <v>38</v>
      </c>
      <c r="W243" s="46" t="s">
        <v>75</v>
      </c>
      <c r="X243" s="46" t="s">
        <v>22</v>
      </c>
    </row>
    <row r="244" spans="1:24" ht="11.25" customHeight="1">
      <c r="A244" s="334" t="s">
        <v>61</v>
      </c>
      <c r="B244" s="334"/>
      <c r="C244" s="334"/>
      <c r="D244" s="334"/>
      <c r="E244" s="334"/>
      <c r="F244" s="334"/>
      <c r="G244" s="334"/>
      <c r="H244" s="334"/>
      <c r="I244" s="334"/>
      <c r="J244" s="334"/>
      <c r="K244" s="334"/>
      <c r="L244" s="334"/>
      <c r="M244" s="6"/>
      <c r="N244" s="334" t="s">
        <v>62</v>
      </c>
      <c r="O244" s="334"/>
      <c r="P244" s="334"/>
      <c r="Q244" s="334"/>
      <c r="R244" s="334"/>
      <c r="S244" s="334"/>
      <c r="T244" s="334"/>
      <c r="U244" s="334"/>
      <c r="V244" s="334"/>
      <c r="W244" s="334"/>
      <c r="X244" s="334"/>
    </row>
    <row r="245" spans="1:24" ht="11.25" customHeight="1">
      <c r="A245" s="94" t="s">
        <v>348</v>
      </c>
      <c r="B245" s="142"/>
      <c r="C245" s="142"/>
      <c r="D245" s="142"/>
      <c r="E245" s="142"/>
      <c r="F245" s="142"/>
      <c r="G245" s="142"/>
      <c r="H245" s="142"/>
      <c r="I245" s="142"/>
      <c r="J245" s="142"/>
      <c r="K245" s="142"/>
      <c r="L245" s="142"/>
      <c r="M245" s="31"/>
      <c r="N245" s="142"/>
      <c r="O245" s="142"/>
      <c r="P245" s="142"/>
      <c r="Q245" s="142"/>
      <c r="R245" s="142"/>
      <c r="S245" s="142"/>
      <c r="T245" s="142"/>
      <c r="U245" s="142"/>
      <c r="V245" s="142"/>
      <c r="W245" s="142"/>
      <c r="X245" s="142"/>
    </row>
    <row r="246" spans="1:24" ht="11.25" customHeight="1">
      <c r="A246" s="99" t="s">
        <v>24</v>
      </c>
      <c r="B246" s="142" t="s">
        <v>23</v>
      </c>
      <c r="C246" s="142">
        <f t="shared" ref="C246:H246" si="149">AVERAGE(C106:C110)</f>
        <v>31015.5</v>
      </c>
      <c r="D246" s="142">
        <f t="shared" si="149"/>
        <v>95110</v>
      </c>
      <c r="E246" s="142">
        <f t="shared" si="149"/>
        <v>63197.2</v>
      </c>
      <c r="F246" s="142">
        <f t="shared" si="149"/>
        <v>128909.4</v>
      </c>
      <c r="G246" s="142">
        <f t="shared" si="149"/>
        <v>57750.8</v>
      </c>
      <c r="H246" s="142">
        <f t="shared" si="149"/>
        <v>17535.8</v>
      </c>
      <c r="I246" s="142" t="s">
        <v>23</v>
      </c>
      <c r="J246" s="142" t="s">
        <v>23</v>
      </c>
      <c r="K246" s="142" t="s">
        <v>23</v>
      </c>
      <c r="L246" s="142">
        <f>SUM(C246:K246)</f>
        <v>393518.69999999995</v>
      </c>
      <c r="M246" s="31"/>
      <c r="N246" s="142" t="s">
        <v>23</v>
      </c>
      <c r="O246" s="142">
        <f t="shared" ref="O246:U246" si="150">AVERAGE(O106:O110)</f>
        <v>36.6</v>
      </c>
      <c r="P246" s="142">
        <f t="shared" si="150"/>
        <v>502.8</v>
      </c>
      <c r="Q246" s="142">
        <f t="shared" si="150"/>
        <v>5765</v>
      </c>
      <c r="R246" s="142">
        <f t="shared" si="150"/>
        <v>14912.6</v>
      </c>
      <c r="S246" s="142">
        <f t="shared" si="150"/>
        <v>2218.6</v>
      </c>
      <c r="T246" s="142">
        <f t="shared" si="150"/>
        <v>276.39999999999998</v>
      </c>
      <c r="U246" s="142">
        <f t="shared" si="150"/>
        <v>0</v>
      </c>
      <c r="V246" s="142" t="s">
        <v>23</v>
      </c>
      <c r="W246" s="142" t="s">
        <v>23</v>
      </c>
      <c r="X246" s="142">
        <f>SUM(Q246:W246)</f>
        <v>23172.6</v>
      </c>
    </row>
    <row r="247" spans="1:24" ht="11.25" customHeight="1">
      <c r="A247" s="99" t="s">
        <v>78</v>
      </c>
      <c r="B247" s="142" t="s">
        <v>23</v>
      </c>
      <c r="C247" s="142" t="s">
        <v>23</v>
      </c>
      <c r="D247" s="142">
        <f>AVERAGE(D111:D115)</f>
        <v>239713.8</v>
      </c>
      <c r="E247" s="142">
        <f>AVERAGE(E111:E115)</f>
        <v>226495.136</v>
      </c>
      <c r="F247" s="142">
        <f>AVERAGE(F111:F115)</f>
        <v>193067.79199999999</v>
      </c>
      <c r="G247" s="142">
        <f>AVERAGE(G111:G115)</f>
        <v>71734.747999999992</v>
      </c>
      <c r="H247" s="142">
        <f>AVERAGE(H111:H115)</f>
        <v>17365.2</v>
      </c>
      <c r="I247" s="142" t="s">
        <v>23</v>
      </c>
      <c r="J247" s="142" t="s">
        <v>23</v>
      </c>
      <c r="K247" s="142" t="s">
        <v>23</v>
      </c>
      <c r="L247" s="142">
        <f>SUM(C247:K247)</f>
        <v>748376.67599999998</v>
      </c>
      <c r="M247" s="31"/>
      <c r="N247" s="142" t="s">
        <v>23</v>
      </c>
      <c r="O247" s="142" t="s">
        <v>23</v>
      </c>
      <c r="P247" s="142" t="s">
        <v>23</v>
      </c>
      <c r="Q247" s="142">
        <f>AVERAGE(Q111:Q115)</f>
        <v>15505.127579700438</v>
      </c>
      <c r="R247" s="142">
        <f>AVERAGE(R111:R115)</f>
        <v>17801.784256643019</v>
      </c>
      <c r="S247" s="142">
        <f>AVERAGE(S111:S115)</f>
        <v>3427.4269167337538</v>
      </c>
      <c r="T247" s="142">
        <f>AVERAGE(T111:T115)</f>
        <v>162.75568845780481</v>
      </c>
      <c r="U247" s="142">
        <f>AVERAGE(U111:U115)</f>
        <v>0</v>
      </c>
      <c r="V247" s="142" t="s">
        <v>23</v>
      </c>
      <c r="W247" s="142" t="s">
        <v>23</v>
      </c>
      <c r="X247" s="142">
        <f>SUM(Q247:W247)</f>
        <v>36897.094441535017</v>
      </c>
    </row>
    <row r="248" spans="1:24" ht="11.25" customHeight="1">
      <c r="A248" s="99" t="s">
        <v>10</v>
      </c>
      <c r="B248" s="142" t="s">
        <v>23</v>
      </c>
      <c r="C248" s="142" t="s">
        <v>23</v>
      </c>
      <c r="D248" s="142">
        <f>AVERAGE(D116:D120)</f>
        <v>121372.8</v>
      </c>
      <c r="E248" s="142">
        <f>AVERAGE(E116:E120)</f>
        <v>73939.8</v>
      </c>
      <c r="F248" s="142">
        <f>AVERAGE(F116:F120)</f>
        <v>80950.399999999994</v>
      </c>
      <c r="G248" s="142">
        <f>AVERAGE(G116:G120)</f>
        <v>42707.199999999997</v>
      </c>
      <c r="H248" s="142">
        <f>AVERAGE(H116:H120)</f>
        <v>22017.599999999999</v>
      </c>
      <c r="I248" s="142" t="s">
        <v>23</v>
      </c>
      <c r="J248" s="142" t="s">
        <v>23</v>
      </c>
      <c r="K248" s="142" t="s">
        <v>23</v>
      </c>
      <c r="L248" s="142">
        <f>SUM(C248:K248)</f>
        <v>340987.8</v>
      </c>
      <c r="M248" s="31"/>
      <c r="N248" s="142" t="s">
        <v>23</v>
      </c>
      <c r="O248" s="142" t="s">
        <v>23</v>
      </c>
      <c r="P248" s="142" t="s">
        <v>23</v>
      </c>
      <c r="Q248" s="142">
        <f>AVERAGE(Q116:Q120)</f>
        <v>25850</v>
      </c>
      <c r="R248" s="142">
        <f>AVERAGE(R116:R120)</f>
        <v>12250</v>
      </c>
      <c r="S248" s="142">
        <f>AVERAGE(S116:S120)</f>
        <v>2825</v>
      </c>
      <c r="T248" s="142" t="s">
        <v>23</v>
      </c>
      <c r="U248" s="142" t="s">
        <v>23</v>
      </c>
      <c r="V248" s="142" t="s">
        <v>23</v>
      </c>
      <c r="W248" s="142" t="s">
        <v>23</v>
      </c>
      <c r="X248" s="142">
        <f>SUM(Q248:W248)</f>
        <v>40925</v>
      </c>
    </row>
    <row r="249" spans="1:24" ht="11.25" customHeight="1">
      <c r="A249" s="99" t="s">
        <v>144</v>
      </c>
      <c r="B249" s="142" t="s">
        <v>23</v>
      </c>
      <c r="C249" s="142" t="s">
        <v>23</v>
      </c>
      <c r="D249" s="142">
        <f>AVERAGE(D121:D125)</f>
        <v>121717.2</v>
      </c>
      <c r="E249" s="142">
        <f>AVERAGE(E121:E125)</f>
        <v>101679.4</v>
      </c>
      <c r="F249" s="142">
        <f>AVERAGE(F121:F125)</f>
        <v>88632</v>
      </c>
      <c r="G249" s="142">
        <f>AVERAGE(G121:G125)</f>
        <v>24057.200000000001</v>
      </c>
      <c r="H249" s="142">
        <f>AVERAGE(H121:H125)</f>
        <v>25378.2</v>
      </c>
      <c r="I249" s="142" t="s">
        <v>23</v>
      </c>
      <c r="J249" s="142" t="s">
        <v>23</v>
      </c>
      <c r="K249" s="142" t="s">
        <v>23</v>
      </c>
      <c r="L249" s="142">
        <f>SUM(C249:K249)</f>
        <v>361464</v>
      </c>
      <c r="M249" s="31"/>
      <c r="N249" s="142" t="s">
        <v>23</v>
      </c>
      <c r="O249" s="142" t="s">
        <v>23</v>
      </c>
      <c r="P249" s="142" t="s">
        <v>23</v>
      </c>
      <c r="Q249" s="142" t="s">
        <v>23</v>
      </c>
      <c r="R249" s="142" t="s">
        <v>23</v>
      </c>
      <c r="S249" s="142" t="s">
        <v>23</v>
      </c>
      <c r="T249" s="142" t="s">
        <v>23</v>
      </c>
      <c r="U249" s="142" t="s">
        <v>23</v>
      </c>
      <c r="V249" s="142" t="s">
        <v>23</v>
      </c>
      <c r="W249" s="142" t="s">
        <v>23</v>
      </c>
      <c r="X249" s="142" t="s">
        <v>23</v>
      </c>
    </row>
    <row r="250" spans="1:24" ht="11.25" customHeight="1">
      <c r="A250" s="99" t="s">
        <v>166</v>
      </c>
      <c r="B250" s="142" t="str">
        <f>B126</f>
        <v>-</v>
      </c>
      <c r="C250" s="142" t="str">
        <f>C126</f>
        <v>-</v>
      </c>
      <c r="D250" s="142">
        <f t="shared" ref="D250:I250" si="151">AVERAGE(D126:D130)</f>
        <v>81369.8</v>
      </c>
      <c r="E250" s="142">
        <f t="shared" si="151"/>
        <v>73617.600000000006</v>
      </c>
      <c r="F250" s="142">
        <f t="shared" si="151"/>
        <v>122398.6</v>
      </c>
      <c r="G250" s="142">
        <f t="shared" si="151"/>
        <v>52345</v>
      </c>
      <c r="H250" s="142">
        <f t="shared" si="151"/>
        <v>39885.199999999997</v>
      </c>
      <c r="I250" s="142">
        <f t="shared" si="151"/>
        <v>1904.6</v>
      </c>
      <c r="J250" s="142" t="str">
        <f>J126</f>
        <v>-</v>
      </c>
      <c r="K250" s="142" t="str">
        <f>K126</f>
        <v>-</v>
      </c>
      <c r="L250" s="142">
        <f>AVERAGE(L126:L130)</f>
        <v>371520.8</v>
      </c>
      <c r="M250" s="31"/>
      <c r="N250" s="142" t="str">
        <f t="shared" ref="N250:X250" si="152">N126</f>
        <v>-</v>
      </c>
      <c r="O250" s="142" t="str">
        <f t="shared" si="152"/>
        <v>-</v>
      </c>
      <c r="P250" s="142" t="str">
        <f t="shared" si="152"/>
        <v>-</v>
      </c>
      <c r="Q250" s="142" t="str">
        <f t="shared" si="152"/>
        <v>-</v>
      </c>
      <c r="R250" s="142" t="str">
        <f t="shared" si="152"/>
        <v>-</v>
      </c>
      <c r="S250" s="142" t="str">
        <f t="shared" si="152"/>
        <v>-</v>
      </c>
      <c r="T250" s="142" t="str">
        <f t="shared" si="152"/>
        <v>-</v>
      </c>
      <c r="U250" s="142" t="str">
        <f t="shared" si="152"/>
        <v>-</v>
      </c>
      <c r="V250" s="142" t="str">
        <f t="shared" si="152"/>
        <v>-</v>
      </c>
      <c r="W250" s="142" t="str">
        <f t="shared" si="152"/>
        <v>-</v>
      </c>
      <c r="X250" s="142" t="str">
        <f t="shared" si="152"/>
        <v>-</v>
      </c>
    </row>
    <row r="251" spans="1:24" ht="11.25" customHeight="1">
      <c r="A251" s="99" t="s">
        <v>315</v>
      </c>
      <c r="B251" s="142" t="str">
        <f>B131</f>
        <v>-</v>
      </c>
      <c r="C251" s="142">
        <f>AVERAGE(C131:C135)</f>
        <v>748</v>
      </c>
      <c r="D251" s="142">
        <f>AVERAGE(D131:D135)</f>
        <v>23254.5</v>
      </c>
      <c r="E251" s="142">
        <f t="shared" ref="E251:L251" si="153">AVERAGE(E131:E135)</f>
        <v>273.5</v>
      </c>
      <c r="F251" s="142">
        <f t="shared" si="153"/>
        <v>22499</v>
      </c>
      <c r="G251" s="142">
        <f t="shared" si="153"/>
        <v>15994.333333333334</v>
      </c>
      <c r="H251" s="142">
        <f t="shared" si="153"/>
        <v>12743.5</v>
      </c>
      <c r="I251" s="142">
        <f t="shared" si="153"/>
        <v>712</v>
      </c>
      <c r="J251" s="142" t="str">
        <f t="shared" ref="J251:K251" si="154">J131</f>
        <v>-</v>
      </c>
      <c r="K251" s="142" t="str">
        <f t="shared" si="154"/>
        <v>-</v>
      </c>
      <c r="L251" s="142">
        <f t="shared" si="153"/>
        <v>63398.333333333336</v>
      </c>
      <c r="M251" s="31"/>
      <c r="N251" s="142" t="str">
        <f t="shared" ref="N251:X251" si="155">N131</f>
        <v>-</v>
      </c>
      <c r="O251" s="142" t="str">
        <f t="shared" si="155"/>
        <v>-</v>
      </c>
      <c r="P251" s="142" t="str">
        <f t="shared" si="155"/>
        <v>-</v>
      </c>
      <c r="Q251" s="142" t="str">
        <f t="shared" si="155"/>
        <v>-</v>
      </c>
      <c r="R251" s="142" t="str">
        <f t="shared" si="155"/>
        <v>-</v>
      </c>
      <c r="S251" s="142" t="str">
        <f t="shared" si="155"/>
        <v>-</v>
      </c>
      <c r="T251" s="142" t="str">
        <f t="shared" si="155"/>
        <v>-</v>
      </c>
      <c r="U251" s="142" t="str">
        <f t="shared" si="155"/>
        <v>-</v>
      </c>
      <c r="V251" s="142" t="str">
        <f t="shared" si="155"/>
        <v>-</v>
      </c>
      <c r="W251" s="142" t="str">
        <f t="shared" si="155"/>
        <v>-</v>
      </c>
      <c r="X251" s="142" t="str">
        <f t="shared" si="155"/>
        <v>-</v>
      </c>
    </row>
    <row r="252" spans="1:24" ht="11.25" customHeight="1">
      <c r="A252" s="99">
        <v>2011</v>
      </c>
      <c r="B252" s="142" t="str">
        <f t="shared" ref="B252:L252" si="156">B136</f>
        <v>-</v>
      </c>
      <c r="C252" s="142" t="str">
        <f t="shared" si="156"/>
        <v>-</v>
      </c>
      <c r="D252" s="142">
        <f t="shared" si="156"/>
        <v>11732</v>
      </c>
      <c r="E252" s="142">
        <f t="shared" si="156"/>
        <v>4189</v>
      </c>
      <c r="F252" s="142">
        <f t="shared" si="156"/>
        <v>30085</v>
      </c>
      <c r="G252" s="142">
        <f t="shared" si="156"/>
        <v>19494</v>
      </c>
      <c r="H252" s="142">
        <f t="shared" si="156"/>
        <v>1820</v>
      </c>
      <c r="I252" s="142">
        <f t="shared" si="156"/>
        <v>317</v>
      </c>
      <c r="J252" s="142" t="str">
        <f t="shared" si="156"/>
        <v>-</v>
      </c>
      <c r="K252" s="142" t="str">
        <f t="shared" si="156"/>
        <v>-</v>
      </c>
      <c r="L252" s="142">
        <f t="shared" si="156"/>
        <v>67637</v>
      </c>
      <c r="M252" s="31"/>
      <c r="N252" s="142" t="str">
        <f t="shared" ref="N252:X252" si="157">N136</f>
        <v>-</v>
      </c>
      <c r="O252" s="142" t="str">
        <f t="shared" si="157"/>
        <v>-</v>
      </c>
      <c r="P252" s="142" t="str">
        <f t="shared" si="157"/>
        <v>-</v>
      </c>
      <c r="Q252" s="142" t="str">
        <f t="shared" si="157"/>
        <v>-</v>
      </c>
      <c r="R252" s="142" t="str">
        <f t="shared" si="157"/>
        <v>-</v>
      </c>
      <c r="S252" s="142" t="str">
        <f t="shared" si="157"/>
        <v>-</v>
      </c>
      <c r="T252" s="142" t="str">
        <f t="shared" si="157"/>
        <v>-</v>
      </c>
      <c r="U252" s="142" t="str">
        <f t="shared" si="157"/>
        <v>-</v>
      </c>
      <c r="V252" s="142" t="str">
        <f t="shared" si="157"/>
        <v>-</v>
      </c>
      <c r="W252" s="142" t="str">
        <f t="shared" si="157"/>
        <v>-</v>
      </c>
      <c r="X252" s="142" t="str">
        <f t="shared" si="157"/>
        <v>-</v>
      </c>
    </row>
    <row r="253" spans="1:24" ht="11.25" customHeight="1">
      <c r="A253" s="99">
        <v>2012</v>
      </c>
      <c r="B253" s="142" t="str">
        <f t="shared" ref="B253:L253" si="158">B137</f>
        <v>-</v>
      </c>
      <c r="C253" s="142" t="str">
        <f t="shared" si="158"/>
        <v>-</v>
      </c>
      <c r="D253" s="142">
        <f t="shared" si="158"/>
        <v>58857</v>
      </c>
      <c r="E253" s="142">
        <f t="shared" si="158"/>
        <v>19385</v>
      </c>
      <c r="F253" s="142">
        <f t="shared" si="158"/>
        <v>92842</v>
      </c>
      <c r="G253" s="142">
        <f t="shared" si="158"/>
        <v>28266</v>
      </c>
      <c r="H253" s="142">
        <f t="shared" si="158"/>
        <v>7691</v>
      </c>
      <c r="I253" s="142">
        <f t="shared" si="158"/>
        <v>3313</v>
      </c>
      <c r="J253" s="142" t="str">
        <f t="shared" si="158"/>
        <v>-</v>
      </c>
      <c r="K253" s="142" t="str">
        <f t="shared" si="158"/>
        <v>-</v>
      </c>
      <c r="L253" s="142">
        <f t="shared" si="158"/>
        <v>210354</v>
      </c>
      <c r="M253" s="31"/>
      <c r="N253" s="142" t="str">
        <f t="shared" ref="N253:X253" si="159">N137</f>
        <v>-</v>
      </c>
      <c r="O253" s="142" t="str">
        <f t="shared" si="159"/>
        <v>-</v>
      </c>
      <c r="P253" s="142" t="str">
        <f t="shared" si="159"/>
        <v>-</v>
      </c>
      <c r="Q253" s="142" t="str">
        <f t="shared" si="159"/>
        <v>-</v>
      </c>
      <c r="R253" s="142" t="str">
        <f t="shared" si="159"/>
        <v>-</v>
      </c>
      <c r="S253" s="142" t="str">
        <f t="shared" si="159"/>
        <v>-</v>
      </c>
      <c r="T253" s="142" t="str">
        <f t="shared" si="159"/>
        <v>-</v>
      </c>
      <c r="U253" s="142" t="str">
        <f t="shared" si="159"/>
        <v>-</v>
      </c>
      <c r="V253" s="142" t="str">
        <f t="shared" si="159"/>
        <v>-</v>
      </c>
      <c r="W253" s="142" t="str">
        <f t="shared" si="159"/>
        <v>-</v>
      </c>
      <c r="X253" s="142" t="str">
        <f t="shared" si="159"/>
        <v>-</v>
      </c>
    </row>
    <row r="254" spans="1:24" ht="11.25" customHeight="1">
      <c r="A254" s="99">
        <v>2013</v>
      </c>
      <c r="B254" s="142" t="str">
        <f t="shared" ref="B254:L254" si="160">B138</f>
        <v>-</v>
      </c>
      <c r="C254" s="142" t="str">
        <f t="shared" si="160"/>
        <v>-</v>
      </c>
      <c r="D254" s="142">
        <f t="shared" si="160"/>
        <v>74828</v>
      </c>
      <c r="E254" s="142">
        <f t="shared" si="160"/>
        <v>81625</v>
      </c>
      <c r="F254" s="142">
        <f t="shared" si="160"/>
        <v>95896</v>
      </c>
      <c r="G254" s="142">
        <f t="shared" si="160"/>
        <v>23249</v>
      </c>
      <c r="H254" s="142">
        <f t="shared" si="160"/>
        <v>10910</v>
      </c>
      <c r="I254" s="142">
        <f t="shared" si="160"/>
        <v>941</v>
      </c>
      <c r="J254" s="142" t="str">
        <f t="shared" si="160"/>
        <v>-</v>
      </c>
      <c r="K254" s="142" t="str">
        <f t="shared" si="160"/>
        <v>-</v>
      </c>
      <c r="L254" s="142">
        <f t="shared" si="160"/>
        <v>287449</v>
      </c>
      <c r="M254" s="31"/>
      <c r="N254" s="142" t="str">
        <f t="shared" ref="N254:X254" si="161">N138</f>
        <v>-</v>
      </c>
      <c r="O254" s="142" t="str">
        <f t="shared" si="161"/>
        <v>-</v>
      </c>
      <c r="P254" s="142" t="str">
        <f t="shared" si="161"/>
        <v>-</v>
      </c>
      <c r="Q254" s="142" t="str">
        <f t="shared" si="161"/>
        <v>-</v>
      </c>
      <c r="R254" s="142" t="str">
        <f t="shared" si="161"/>
        <v>-</v>
      </c>
      <c r="S254" s="142" t="str">
        <f t="shared" si="161"/>
        <v>-</v>
      </c>
      <c r="T254" s="142" t="str">
        <f t="shared" si="161"/>
        <v>-</v>
      </c>
      <c r="U254" s="142" t="str">
        <f t="shared" si="161"/>
        <v>-</v>
      </c>
      <c r="V254" s="142" t="str">
        <f t="shared" si="161"/>
        <v>-</v>
      </c>
      <c r="W254" s="142" t="str">
        <f t="shared" si="161"/>
        <v>-</v>
      </c>
      <c r="X254" s="142" t="str">
        <f t="shared" si="161"/>
        <v>-</v>
      </c>
    </row>
    <row r="255" spans="1:24" ht="11.25" customHeight="1">
      <c r="A255" s="99">
        <v>2014</v>
      </c>
      <c r="B255" s="142" t="str">
        <f t="shared" ref="B255:L255" si="162">B139</f>
        <v>-</v>
      </c>
      <c r="C255" s="142" t="str">
        <f t="shared" si="162"/>
        <v>-</v>
      </c>
      <c r="D255" s="142">
        <f t="shared" si="162"/>
        <v>34946</v>
      </c>
      <c r="E255" s="142">
        <f t="shared" si="162"/>
        <v>39581</v>
      </c>
      <c r="F255" s="142">
        <f t="shared" si="162"/>
        <v>54568</v>
      </c>
      <c r="G255" s="142">
        <f t="shared" si="162"/>
        <v>24085</v>
      </c>
      <c r="H255" s="142">
        <f t="shared" si="162"/>
        <v>11498</v>
      </c>
      <c r="I255" s="142">
        <f t="shared" si="162"/>
        <v>2985</v>
      </c>
      <c r="J255" s="142" t="str">
        <f t="shared" si="162"/>
        <v>-</v>
      </c>
      <c r="K255" s="142" t="str">
        <f t="shared" si="162"/>
        <v>-</v>
      </c>
      <c r="L255" s="142">
        <f t="shared" si="162"/>
        <v>167663</v>
      </c>
      <c r="M255" s="31"/>
      <c r="N255" s="142" t="str">
        <f t="shared" ref="N255:X255" si="163">N139</f>
        <v>-</v>
      </c>
      <c r="O255" s="142" t="str">
        <f t="shared" si="163"/>
        <v>-</v>
      </c>
      <c r="P255" s="142" t="str">
        <f t="shared" si="163"/>
        <v>-</v>
      </c>
      <c r="Q255" s="142" t="str">
        <f t="shared" si="163"/>
        <v>-</v>
      </c>
      <c r="R255" s="142" t="str">
        <f t="shared" si="163"/>
        <v>-</v>
      </c>
      <c r="S255" s="142" t="str">
        <f t="shared" si="163"/>
        <v>-</v>
      </c>
      <c r="T255" s="142" t="str">
        <f t="shared" si="163"/>
        <v>-</v>
      </c>
      <c r="U255" s="142" t="str">
        <f t="shared" si="163"/>
        <v>-</v>
      </c>
      <c r="V255" s="142" t="str">
        <f t="shared" si="163"/>
        <v>-</v>
      </c>
      <c r="W255" s="142" t="str">
        <f t="shared" si="163"/>
        <v>-</v>
      </c>
      <c r="X255" s="142" t="str">
        <f t="shared" si="163"/>
        <v>-</v>
      </c>
    </row>
    <row r="256" spans="1:24" ht="11.25" customHeight="1">
      <c r="A256" s="99">
        <v>2015</v>
      </c>
      <c r="B256" s="142" t="str">
        <f t="shared" ref="B256:L256" si="164">B140</f>
        <v>-</v>
      </c>
      <c r="C256" s="142" t="str">
        <f t="shared" si="164"/>
        <v>-</v>
      </c>
      <c r="D256" s="142">
        <f t="shared" si="164"/>
        <v>53561</v>
      </c>
      <c r="E256" s="142">
        <f t="shared" si="164"/>
        <v>19489</v>
      </c>
      <c r="F256" s="142">
        <f t="shared" si="164"/>
        <v>12920</v>
      </c>
      <c r="G256" s="142">
        <f t="shared" si="164"/>
        <v>11467</v>
      </c>
      <c r="H256" s="142">
        <f t="shared" si="164"/>
        <v>10407</v>
      </c>
      <c r="I256" s="142">
        <f t="shared" si="164"/>
        <v>2617</v>
      </c>
      <c r="J256" s="142" t="str">
        <f t="shared" si="164"/>
        <v>-</v>
      </c>
      <c r="K256" s="142" t="str">
        <f t="shared" si="164"/>
        <v>-</v>
      </c>
      <c r="L256" s="142">
        <f t="shared" si="164"/>
        <v>110461</v>
      </c>
      <c r="M256" s="31"/>
      <c r="N256" s="142" t="str">
        <f t="shared" ref="N256:X256" si="165">N140</f>
        <v>-</v>
      </c>
      <c r="O256" s="142" t="str">
        <f t="shared" si="165"/>
        <v>-</v>
      </c>
      <c r="P256" s="142" t="str">
        <f t="shared" si="165"/>
        <v>-</v>
      </c>
      <c r="Q256" s="142" t="str">
        <f t="shared" si="165"/>
        <v>-</v>
      </c>
      <c r="R256" s="142" t="str">
        <f t="shared" si="165"/>
        <v>-</v>
      </c>
      <c r="S256" s="142" t="str">
        <f t="shared" si="165"/>
        <v>-</v>
      </c>
      <c r="T256" s="142" t="str">
        <f t="shared" si="165"/>
        <v>-</v>
      </c>
      <c r="U256" s="142" t="str">
        <f t="shared" si="165"/>
        <v>-</v>
      </c>
      <c r="V256" s="142" t="str">
        <f t="shared" si="165"/>
        <v>-</v>
      </c>
      <c r="W256" s="142" t="str">
        <f t="shared" si="165"/>
        <v>-</v>
      </c>
      <c r="X256" s="142" t="str">
        <f t="shared" si="165"/>
        <v>-</v>
      </c>
    </row>
    <row r="257" spans="1:24" ht="11.25" customHeight="1">
      <c r="A257" s="99">
        <v>2016</v>
      </c>
      <c r="B257" s="142" t="str">
        <f t="shared" ref="B257:L257" si="166">B141</f>
        <v>-</v>
      </c>
      <c r="C257" s="142" t="str">
        <f t="shared" si="166"/>
        <v>-</v>
      </c>
      <c r="D257" s="142">
        <f t="shared" si="166"/>
        <v>13367</v>
      </c>
      <c r="E257" s="142">
        <f t="shared" si="166"/>
        <v>13428</v>
      </c>
      <c r="F257" s="142" t="str">
        <f t="shared" si="166"/>
        <v>-</v>
      </c>
      <c r="G257" s="142">
        <f t="shared" si="166"/>
        <v>18334</v>
      </c>
      <c r="H257" s="142">
        <f t="shared" si="166"/>
        <v>9271</v>
      </c>
      <c r="I257" s="142">
        <f t="shared" si="166"/>
        <v>589</v>
      </c>
      <c r="J257" s="142" t="str">
        <f t="shared" si="166"/>
        <v>-</v>
      </c>
      <c r="K257" s="142" t="str">
        <f t="shared" si="166"/>
        <v>-</v>
      </c>
      <c r="L257" s="142">
        <f t="shared" si="166"/>
        <v>54989</v>
      </c>
      <c r="M257" s="31"/>
      <c r="N257" s="142" t="str">
        <f t="shared" ref="N257:X257" si="167">N141</f>
        <v>-</v>
      </c>
      <c r="O257" s="142" t="str">
        <f t="shared" si="167"/>
        <v>-</v>
      </c>
      <c r="P257" s="142" t="str">
        <f t="shared" si="167"/>
        <v>-</v>
      </c>
      <c r="Q257" s="142" t="str">
        <f t="shared" si="167"/>
        <v>-</v>
      </c>
      <c r="R257" s="142" t="str">
        <f t="shared" si="167"/>
        <v>-</v>
      </c>
      <c r="S257" s="142" t="str">
        <f t="shared" si="167"/>
        <v>-</v>
      </c>
      <c r="T257" s="142" t="str">
        <f t="shared" si="167"/>
        <v>-</v>
      </c>
      <c r="U257" s="142" t="str">
        <f t="shared" si="167"/>
        <v>-</v>
      </c>
      <c r="V257" s="142" t="str">
        <f t="shared" si="167"/>
        <v>-</v>
      </c>
      <c r="W257" s="142" t="str">
        <f t="shared" si="167"/>
        <v>-</v>
      </c>
      <c r="X257" s="142" t="str">
        <f t="shared" si="167"/>
        <v>-</v>
      </c>
    </row>
    <row r="258" spans="1:24" ht="11.25" customHeight="1">
      <c r="A258" s="99">
        <v>2017</v>
      </c>
      <c r="B258" s="142" t="str">
        <f t="shared" ref="B258:L258" si="168">B142</f>
        <v>-</v>
      </c>
      <c r="C258" s="142" t="str">
        <f t="shared" si="168"/>
        <v>-</v>
      </c>
      <c r="D258" s="142">
        <f t="shared" si="168"/>
        <v>5588</v>
      </c>
      <c r="E258" s="142">
        <f t="shared" si="168"/>
        <v>6891</v>
      </c>
      <c r="F258" s="142" t="str">
        <f t="shared" si="168"/>
        <v>-</v>
      </c>
      <c r="G258" s="142">
        <f t="shared" si="168"/>
        <v>18336</v>
      </c>
      <c r="H258" s="142">
        <f t="shared" si="168"/>
        <v>10232</v>
      </c>
      <c r="I258" s="142">
        <f t="shared" si="168"/>
        <v>1279</v>
      </c>
      <c r="J258" s="142" t="str">
        <f t="shared" si="168"/>
        <v>-</v>
      </c>
      <c r="K258" s="142" t="str">
        <f t="shared" si="168"/>
        <v>-</v>
      </c>
      <c r="L258" s="142">
        <f t="shared" si="168"/>
        <v>42326</v>
      </c>
      <c r="M258" s="31"/>
      <c r="N258" s="142" t="str">
        <f t="shared" ref="N258:X258" si="169">N142</f>
        <v>-</v>
      </c>
      <c r="O258" s="142" t="str">
        <f t="shared" si="169"/>
        <v>-</v>
      </c>
      <c r="P258" s="142" t="str">
        <f t="shared" si="169"/>
        <v>-</v>
      </c>
      <c r="Q258" s="142" t="str">
        <f t="shared" si="169"/>
        <v>-</v>
      </c>
      <c r="R258" s="142" t="str">
        <f t="shared" si="169"/>
        <v>-</v>
      </c>
      <c r="S258" s="142" t="str">
        <f t="shared" si="169"/>
        <v>-</v>
      </c>
      <c r="T258" s="142" t="str">
        <f t="shared" si="169"/>
        <v>-</v>
      </c>
      <c r="U258" s="142" t="str">
        <f t="shared" si="169"/>
        <v>-</v>
      </c>
      <c r="V258" s="142" t="str">
        <f t="shared" si="169"/>
        <v>-</v>
      </c>
      <c r="W258" s="142" t="str">
        <f t="shared" si="169"/>
        <v>-</v>
      </c>
      <c r="X258" s="142" t="str">
        <f t="shared" si="169"/>
        <v>-</v>
      </c>
    </row>
    <row r="259" spans="1:24" ht="10.5" customHeight="1">
      <c r="A259" s="99">
        <v>2018</v>
      </c>
      <c r="B259" s="142" t="str">
        <f t="shared" ref="B259:L259" si="170">B143</f>
        <v>-</v>
      </c>
      <c r="C259" s="142" t="str">
        <f t="shared" si="170"/>
        <v>-</v>
      </c>
      <c r="D259" s="142">
        <f t="shared" si="170"/>
        <v>4566</v>
      </c>
      <c r="E259" s="142">
        <f t="shared" si="170"/>
        <v>14859</v>
      </c>
      <c r="F259" s="142">
        <f t="shared" si="170"/>
        <v>13096</v>
      </c>
      <c r="G259" s="142">
        <f t="shared" si="170"/>
        <v>23927</v>
      </c>
      <c r="H259" s="142">
        <f t="shared" si="170"/>
        <v>10926</v>
      </c>
      <c r="I259" s="142">
        <f t="shared" si="170"/>
        <v>2031</v>
      </c>
      <c r="J259" s="142" t="str">
        <f t="shared" si="170"/>
        <v>-</v>
      </c>
      <c r="K259" s="142" t="str">
        <f t="shared" si="170"/>
        <v>-</v>
      </c>
      <c r="L259" s="142">
        <f t="shared" si="170"/>
        <v>69405</v>
      </c>
      <c r="M259" s="31"/>
      <c r="N259" s="142" t="str">
        <f t="shared" ref="N259:X259" si="171">N143</f>
        <v>-</v>
      </c>
      <c r="O259" s="142" t="str">
        <f t="shared" si="171"/>
        <v>-</v>
      </c>
      <c r="P259" s="142" t="str">
        <f t="shared" si="171"/>
        <v>-</v>
      </c>
      <c r="Q259" s="142" t="str">
        <f t="shared" si="171"/>
        <v>-</v>
      </c>
      <c r="R259" s="142" t="str">
        <f t="shared" si="171"/>
        <v>-</v>
      </c>
      <c r="S259" s="142" t="str">
        <f t="shared" si="171"/>
        <v>-</v>
      </c>
      <c r="T259" s="142" t="str">
        <f t="shared" si="171"/>
        <v>-</v>
      </c>
      <c r="U259" s="142" t="str">
        <f t="shared" si="171"/>
        <v>-</v>
      </c>
      <c r="V259" s="142" t="str">
        <f t="shared" si="171"/>
        <v>-</v>
      </c>
      <c r="W259" s="142" t="str">
        <f t="shared" si="171"/>
        <v>-</v>
      </c>
      <c r="X259" s="142" t="str">
        <f t="shared" si="171"/>
        <v>-</v>
      </c>
    </row>
    <row r="260" spans="1:24" ht="11.25" customHeight="1">
      <c r="A260" s="99">
        <v>2019</v>
      </c>
      <c r="B260" s="142" t="str">
        <f t="shared" ref="B260:L260" si="172">B144</f>
        <v>-</v>
      </c>
      <c r="C260" s="142" t="str">
        <f t="shared" si="172"/>
        <v>-</v>
      </c>
      <c r="D260" s="142">
        <f t="shared" si="172"/>
        <v>71001</v>
      </c>
      <c r="E260" s="142">
        <f t="shared" si="172"/>
        <v>97146</v>
      </c>
      <c r="F260" s="142">
        <f t="shared" si="172"/>
        <v>37363</v>
      </c>
      <c r="G260" s="142">
        <f t="shared" si="172"/>
        <v>53222</v>
      </c>
      <c r="H260" s="142">
        <f t="shared" si="172"/>
        <v>6099</v>
      </c>
      <c r="I260" s="142">
        <f t="shared" si="172"/>
        <v>801</v>
      </c>
      <c r="J260" s="142" t="str">
        <f t="shared" si="172"/>
        <v>-</v>
      </c>
      <c r="K260" s="142" t="str">
        <f t="shared" si="172"/>
        <v>-</v>
      </c>
      <c r="L260" s="142">
        <f t="shared" si="172"/>
        <v>265632</v>
      </c>
      <c r="M260" s="31"/>
      <c r="N260" s="142" t="str">
        <f t="shared" ref="N260:X260" si="173">N144</f>
        <v>-</v>
      </c>
      <c r="O260" s="142" t="str">
        <f t="shared" si="173"/>
        <v>-</v>
      </c>
      <c r="P260" s="142" t="str">
        <f t="shared" si="173"/>
        <v>-</v>
      </c>
      <c r="Q260" s="142" t="str">
        <f t="shared" si="173"/>
        <v>-</v>
      </c>
      <c r="R260" s="142" t="str">
        <f t="shared" si="173"/>
        <v>-</v>
      </c>
      <c r="S260" s="142" t="str">
        <f t="shared" si="173"/>
        <v>-</v>
      </c>
      <c r="T260" s="142" t="str">
        <f t="shared" si="173"/>
        <v>-</v>
      </c>
      <c r="U260" s="142" t="str">
        <f t="shared" si="173"/>
        <v>-</v>
      </c>
      <c r="V260" s="142" t="str">
        <f t="shared" si="173"/>
        <v>-</v>
      </c>
      <c r="W260" s="142" t="str">
        <f t="shared" si="173"/>
        <v>-</v>
      </c>
      <c r="X260" s="142" t="str">
        <f t="shared" si="173"/>
        <v>-</v>
      </c>
    </row>
    <row r="261" spans="1:24" ht="11.25" customHeight="1">
      <c r="A261" s="99" t="s">
        <v>309</v>
      </c>
      <c r="B261" s="142" t="str">
        <f>B145</f>
        <v>-</v>
      </c>
      <c r="C261" s="142" t="str">
        <f t="shared" ref="C261:L262" si="174">C145</f>
        <v>-</v>
      </c>
      <c r="D261" s="142">
        <f t="shared" si="174"/>
        <v>32516</v>
      </c>
      <c r="E261" s="142">
        <f t="shared" si="174"/>
        <v>49257</v>
      </c>
      <c r="F261" s="142">
        <f t="shared" si="174"/>
        <v>65505</v>
      </c>
      <c r="G261" s="142">
        <f t="shared" si="174"/>
        <v>19615</v>
      </c>
      <c r="H261" s="142">
        <f t="shared" si="174"/>
        <v>8472</v>
      </c>
      <c r="I261" s="142">
        <f t="shared" si="174"/>
        <v>2435</v>
      </c>
      <c r="J261" s="142" t="str">
        <f t="shared" si="174"/>
        <v>-</v>
      </c>
      <c r="K261" s="142" t="str">
        <f t="shared" si="174"/>
        <v>-</v>
      </c>
      <c r="L261" s="142">
        <f t="shared" si="174"/>
        <v>177800</v>
      </c>
      <c r="M261" s="31"/>
      <c r="N261" s="142" t="str">
        <f t="shared" ref="N261:X262" si="175">N145</f>
        <v>-</v>
      </c>
      <c r="O261" s="142" t="str">
        <f t="shared" si="175"/>
        <v>-</v>
      </c>
      <c r="P261" s="142" t="str">
        <f t="shared" si="175"/>
        <v>-</v>
      </c>
      <c r="Q261" s="142" t="str">
        <f t="shared" si="175"/>
        <v>-</v>
      </c>
      <c r="R261" s="142" t="str">
        <f t="shared" si="175"/>
        <v>-</v>
      </c>
      <c r="S261" s="142" t="str">
        <f t="shared" si="175"/>
        <v>-</v>
      </c>
      <c r="T261" s="142" t="str">
        <f t="shared" si="175"/>
        <v>-</v>
      </c>
      <c r="U261" s="142" t="str">
        <f t="shared" si="175"/>
        <v>-</v>
      </c>
      <c r="V261" s="142" t="str">
        <f t="shared" si="175"/>
        <v>-</v>
      </c>
      <c r="W261" s="142" t="str">
        <f t="shared" si="175"/>
        <v>-</v>
      </c>
      <c r="X261" s="142" t="str">
        <f t="shared" si="175"/>
        <v>-</v>
      </c>
    </row>
    <row r="262" spans="1:24" ht="11.25" customHeight="1">
      <c r="A262" s="99" t="s">
        <v>317</v>
      </c>
      <c r="B262" s="142" t="str">
        <f>B146</f>
        <v>-</v>
      </c>
      <c r="C262" s="142" t="str">
        <f t="shared" si="174"/>
        <v>-</v>
      </c>
      <c r="D262" s="142">
        <f t="shared" si="174"/>
        <v>46848</v>
      </c>
      <c r="E262" s="142">
        <f t="shared" si="174"/>
        <v>76723</v>
      </c>
      <c r="F262" s="142">
        <f t="shared" si="174"/>
        <v>12632</v>
      </c>
      <c r="G262" s="142">
        <f t="shared" si="174"/>
        <v>56619</v>
      </c>
      <c r="H262" s="142">
        <f t="shared" si="174"/>
        <v>7557</v>
      </c>
      <c r="I262" s="142">
        <f t="shared" si="174"/>
        <v>1040</v>
      </c>
      <c r="J262" s="142" t="str">
        <f t="shared" si="174"/>
        <v>-</v>
      </c>
      <c r="K262" s="142" t="str">
        <f t="shared" si="174"/>
        <v>-</v>
      </c>
      <c r="L262" s="142">
        <f t="shared" si="174"/>
        <v>201419</v>
      </c>
      <c r="M262" s="31"/>
      <c r="N262" s="142" t="str">
        <f t="shared" si="175"/>
        <v>-</v>
      </c>
      <c r="O262" s="142" t="str">
        <f t="shared" si="175"/>
        <v>-</v>
      </c>
      <c r="P262" s="142" t="str">
        <f t="shared" si="175"/>
        <v>-</v>
      </c>
      <c r="Q262" s="142" t="str">
        <f t="shared" si="175"/>
        <v>-</v>
      </c>
      <c r="R262" s="142" t="str">
        <f t="shared" si="175"/>
        <v>-</v>
      </c>
      <c r="S262" s="142" t="str">
        <f t="shared" si="175"/>
        <v>-</v>
      </c>
      <c r="T262" s="142" t="str">
        <f t="shared" si="175"/>
        <v>-</v>
      </c>
      <c r="U262" s="142" t="str">
        <f t="shared" si="175"/>
        <v>-</v>
      </c>
      <c r="V262" s="142" t="str">
        <f t="shared" si="175"/>
        <v>-</v>
      </c>
      <c r="W262" s="142" t="str">
        <f t="shared" si="175"/>
        <v>-</v>
      </c>
      <c r="X262" s="142" t="str">
        <f t="shared" si="175"/>
        <v>-</v>
      </c>
    </row>
    <row r="263" spans="1:24" ht="11.25" customHeight="1">
      <c r="A263" s="99"/>
      <c r="B263" s="142"/>
      <c r="C263" s="142"/>
      <c r="D263" s="142"/>
      <c r="E263" s="142"/>
      <c r="F263" s="142"/>
      <c r="G263" s="142"/>
      <c r="H263" s="142"/>
      <c r="I263" s="142"/>
      <c r="J263" s="142"/>
      <c r="K263" s="142"/>
      <c r="L263" s="142"/>
      <c r="M263" s="31"/>
      <c r="N263" s="142"/>
      <c r="O263" s="142"/>
      <c r="P263" s="142"/>
      <c r="Q263" s="142"/>
      <c r="R263" s="142"/>
      <c r="S263" s="142"/>
      <c r="T263" s="142"/>
      <c r="U263" s="142"/>
      <c r="V263" s="142"/>
      <c r="W263" s="142"/>
      <c r="X263" s="142"/>
    </row>
    <row r="264" spans="1:24" ht="11.25" customHeight="1">
      <c r="A264" s="97" t="s">
        <v>290</v>
      </c>
      <c r="B264" s="142"/>
      <c r="C264" s="142"/>
      <c r="D264" s="142"/>
      <c r="E264" s="142"/>
      <c r="F264" s="142"/>
      <c r="G264" s="142"/>
      <c r="H264" s="142"/>
      <c r="I264" s="142"/>
      <c r="J264" s="142"/>
      <c r="K264" s="142"/>
      <c r="L264" s="142"/>
      <c r="M264" s="31"/>
      <c r="N264" s="142"/>
      <c r="O264" s="142"/>
      <c r="P264" s="142"/>
      <c r="Q264" s="142"/>
      <c r="R264" s="142"/>
      <c r="S264" s="142"/>
      <c r="T264" s="142"/>
      <c r="U264" s="142"/>
      <c r="V264" s="142"/>
      <c r="W264" s="142"/>
      <c r="X264" s="142"/>
    </row>
    <row r="265" spans="1:24" ht="11.25" customHeight="1">
      <c r="A265" s="99" t="s">
        <v>24</v>
      </c>
      <c r="B265" s="142" t="s">
        <v>23</v>
      </c>
      <c r="C265" s="142">
        <f t="shared" ref="C265:J265" si="176">AVERAGE(C154:C158)</f>
        <v>31015.5</v>
      </c>
      <c r="D265" s="142">
        <f t="shared" si="176"/>
        <v>139723.79999999999</v>
      </c>
      <c r="E265" s="142">
        <f t="shared" si="176"/>
        <v>83406.8</v>
      </c>
      <c r="F265" s="142">
        <f t="shared" si="176"/>
        <v>199474.8</v>
      </c>
      <c r="G265" s="142">
        <f t="shared" si="176"/>
        <v>125855.4</v>
      </c>
      <c r="H265" s="142">
        <f t="shared" si="176"/>
        <v>34284.199999999997</v>
      </c>
      <c r="I265" s="142">
        <f t="shared" si="176"/>
        <v>6298.8</v>
      </c>
      <c r="J265" s="142">
        <f t="shared" si="176"/>
        <v>1149</v>
      </c>
      <c r="K265" s="142" t="s">
        <v>23</v>
      </c>
      <c r="L265" s="142">
        <f>SUM(C265:K265)</f>
        <v>621208.29999999993</v>
      </c>
      <c r="M265" s="31"/>
      <c r="N265" s="142" t="s">
        <v>23</v>
      </c>
      <c r="O265" s="142">
        <f t="shared" ref="O265:U265" si="177">AVERAGE(O154:O158)</f>
        <v>36.6</v>
      </c>
      <c r="P265" s="142">
        <f t="shared" si="177"/>
        <v>4029.4</v>
      </c>
      <c r="Q265" s="142">
        <f t="shared" si="177"/>
        <v>12947.8</v>
      </c>
      <c r="R265" s="142">
        <f t="shared" si="177"/>
        <v>248929.2</v>
      </c>
      <c r="S265" s="142">
        <f t="shared" si="177"/>
        <v>70737.8</v>
      </c>
      <c r="T265" s="142">
        <f t="shared" si="177"/>
        <v>2239.8000000000002</v>
      </c>
      <c r="U265" s="142">
        <f t="shared" si="177"/>
        <v>0</v>
      </c>
      <c r="V265" s="142" t="s">
        <v>23</v>
      </c>
      <c r="W265" s="142" t="s">
        <v>23</v>
      </c>
      <c r="X265" s="142">
        <f>SUM(Q265:W265)</f>
        <v>334854.59999999998</v>
      </c>
    </row>
    <row r="266" spans="1:24" ht="11.25" customHeight="1">
      <c r="A266" s="99" t="s">
        <v>78</v>
      </c>
      <c r="B266" s="142" t="s">
        <v>23</v>
      </c>
      <c r="C266" s="142" t="s">
        <v>23</v>
      </c>
      <c r="D266" s="142">
        <f t="shared" ref="D266:J266" si="178">AVERAGE(D159:D163)</f>
        <v>286234.59999999998</v>
      </c>
      <c r="E266" s="142">
        <f t="shared" si="178"/>
        <v>316652.40000000002</v>
      </c>
      <c r="F266" s="142">
        <f t="shared" si="178"/>
        <v>336504.8</v>
      </c>
      <c r="G266" s="142">
        <f t="shared" si="178"/>
        <v>167846.2</v>
      </c>
      <c r="H266" s="142">
        <f t="shared" si="178"/>
        <v>55719.4</v>
      </c>
      <c r="I266" s="142">
        <f t="shared" si="178"/>
        <v>21881</v>
      </c>
      <c r="J266" s="142">
        <f t="shared" si="178"/>
        <v>1642.25</v>
      </c>
      <c r="K266" s="142" t="s">
        <v>23</v>
      </c>
      <c r="L266" s="142">
        <f>SUM(C266:K266)</f>
        <v>1186480.6499999999</v>
      </c>
      <c r="M266" s="31"/>
      <c r="N266" s="142" t="s">
        <v>23</v>
      </c>
      <c r="O266" s="142" t="s">
        <v>23</v>
      </c>
      <c r="P266" s="142" t="s">
        <v>23</v>
      </c>
      <c r="Q266" s="142">
        <f>AVERAGE(Q159:Q163)</f>
        <v>27489.599999999999</v>
      </c>
      <c r="R266" s="142">
        <f>AVERAGE(R159:R163)</f>
        <v>313756.09468685073</v>
      </c>
      <c r="S266" s="142">
        <f>AVERAGE(S159:S163)</f>
        <v>80276.751427628304</v>
      </c>
      <c r="T266" s="142">
        <f>AVERAGE(T159:T163)</f>
        <v>4882.8</v>
      </c>
      <c r="U266" s="142">
        <f>AVERAGE(U159:U163)</f>
        <v>2.5000000000000001E-2</v>
      </c>
      <c r="V266" s="142" t="s">
        <v>23</v>
      </c>
      <c r="W266" s="142" t="s">
        <v>23</v>
      </c>
      <c r="X266" s="142">
        <f>SUM(Q266:W266)</f>
        <v>426405.27111447899</v>
      </c>
    </row>
    <row r="267" spans="1:24" ht="11.25" customHeight="1">
      <c r="A267" s="99" t="s">
        <v>10</v>
      </c>
      <c r="B267" s="142" t="s">
        <v>23</v>
      </c>
      <c r="C267" s="142" t="s">
        <v>23</v>
      </c>
      <c r="D267" s="142">
        <f>AVERAGE(D164:D168)</f>
        <v>133977.4</v>
      </c>
      <c r="E267" s="142">
        <f t="shared" ref="E267:U267" si="179">AVERAGE(E164:E168)</f>
        <v>88352.8</v>
      </c>
      <c r="F267" s="142">
        <f t="shared" si="179"/>
        <v>93260.4</v>
      </c>
      <c r="G267" s="142">
        <f t="shared" si="179"/>
        <v>71953.2</v>
      </c>
      <c r="H267" s="142">
        <f t="shared" si="179"/>
        <v>39746.6</v>
      </c>
      <c r="I267" s="142">
        <f t="shared" si="179"/>
        <v>14747.6</v>
      </c>
      <c r="J267" s="142">
        <f t="shared" si="179"/>
        <v>453.33333333333331</v>
      </c>
      <c r="K267" s="142" t="s">
        <v>23</v>
      </c>
      <c r="L267" s="142">
        <f>SUM(C267:K267)</f>
        <v>442491.33333333326</v>
      </c>
      <c r="M267" s="31"/>
      <c r="N267" s="142" t="s">
        <v>23</v>
      </c>
      <c r="O267" s="142" t="s">
        <v>23</v>
      </c>
      <c r="P267" s="142" t="s">
        <v>23</v>
      </c>
      <c r="Q267" s="142">
        <f t="shared" si="179"/>
        <v>71474.5</v>
      </c>
      <c r="R267" s="142">
        <f t="shared" si="179"/>
        <v>118160.5</v>
      </c>
      <c r="S267" s="142">
        <f t="shared" si="179"/>
        <v>10265.333333333334</v>
      </c>
      <c r="T267" s="142">
        <f t="shared" si="179"/>
        <v>3</v>
      </c>
      <c r="U267" s="142">
        <f t="shared" si="179"/>
        <v>12.366666666666667</v>
      </c>
      <c r="V267" s="142" t="s">
        <v>23</v>
      </c>
      <c r="W267" s="142" t="s">
        <v>23</v>
      </c>
      <c r="X267" s="142">
        <f>SUM(Q267:W267)</f>
        <v>199915.7</v>
      </c>
    </row>
    <row r="268" spans="1:24" ht="11.25" customHeight="1">
      <c r="A268" s="99" t="s">
        <v>144</v>
      </c>
      <c r="B268" s="142" t="s">
        <v>23</v>
      </c>
      <c r="C268" s="142" t="s">
        <v>23</v>
      </c>
      <c r="D268" s="142">
        <f>AVERAGE(D169:D173)</f>
        <v>144467.79999999999</v>
      </c>
      <c r="E268" s="142">
        <f t="shared" ref="E268:Q268" si="180">AVERAGE(E169:E173)</f>
        <v>130783</v>
      </c>
      <c r="F268" s="142">
        <f t="shared" si="180"/>
        <v>94183.8</v>
      </c>
      <c r="G268" s="142">
        <f t="shared" si="180"/>
        <v>63810.2</v>
      </c>
      <c r="H268" s="142">
        <f t="shared" si="180"/>
        <v>46378.8</v>
      </c>
      <c r="I268" s="142">
        <f t="shared" si="180"/>
        <v>8035.2</v>
      </c>
      <c r="J268" s="142">
        <f t="shared" si="180"/>
        <v>1002.2</v>
      </c>
      <c r="K268" s="142" t="s">
        <v>23</v>
      </c>
      <c r="L268" s="142">
        <f>SUM(C268:K268)</f>
        <v>488661</v>
      </c>
      <c r="M268" s="31"/>
      <c r="N268" s="142" t="s">
        <v>23</v>
      </c>
      <c r="O268" s="142" t="s">
        <v>23</v>
      </c>
      <c r="P268" s="142" t="s">
        <v>23</v>
      </c>
      <c r="Q268" s="142">
        <f t="shared" si="180"/>
        <v>8</v>
      </c>
      <c r="R268" s="142" t="s">
        <v>23</v>
      </c>
      <c r="S268" s="142" t="s">
        <v>23</v>
      </c>
      <c r="T268" s="142" t="s">
        <v>23</v>
      </c>
      <c r="U268" s="142" t="s">
        <v>23</v>
      </c>
      <c r="V268" s="142" t="s">
        <v>23</v>
      </c>
      <c r="W268" s="142" t="s">
        <v>23</v>
      </c>
      <c r="X268" s="142">
        <f>SUM(Q268:W268)</f>
        <v>8</v>
      </c>
    </row>
    <row r="269" spans="1:24" ht="11.25" customHeight="1">
      <c r="A269" s="99" t="s">
        <v>166</v>
      </c>
      <c r="B269" s="142">
        <f>AVERAGE(B174:B178)</f>
        <v>14823</v>
      </c>
      <c r="C269" s="142">
        <f>AVERAGE(C174:C178)</f>
        <v>25883</v>
      </c>
      <c r="D269" s="142">
        <f>AVERAGE(D174:D178)</f>
        <v>131834</v>
      </c>
      <c r="E269" s="142">
        <f t="shared" ref="E269:L269" si="181">AVERAGE(E174:E178)</f>
        <v>116051.8</v>
      </c>
      <c r="F269" s="142">
        <f t="shared" si="181"/>
        <v>141117.79999999999</v>
      </c>
      <c r="G269" s="142">
        <f t="shared" si="181"/>
        <v>98440</v>
      </c>
      <c r="H269" s="142">
        <f t="shared" si="181"/>
        <v>96568.8</v>
      </c>
      <c r="I269" s="142">
        <f t="shared" si="181"/>
        <v>35144.800000000003</v>
      </c>
      <c r="J269" s="142">
        <f t="shared" si="181"/>
        <v>1346.6</v>
      </c>
      <c r="K269" s="142">
        <f t="shared" si="181"/>
        <v>148</v>
      </c>
      <c r="L269" s="142">
        <f t="shared" si="181"/>
        <v>658393.19999999995</v>
      </c>
      <c r="M269" s="31"/>
      <c r="N269" s="142" t="str">
        <f t="shared" ref="N269:X269" si="182">N174</f>
        <v>-</v>
      </c>
      <c r="O269" s="142" t="str">
        <f t="shared" si="182"/>
        <v>-</v>
      </c>
      <c r="P269" s="142" t="str">
        <f t="shared" si="182"/>
        <v>-</v>
      </c>
      <c r="Q269" s="142" t="str">
        <f t="shared" si="182"/>
        <v>-</v>
      </c>
      <c r="R269" s="142" t="str">
        <f t="shared" si="182"/>
        <v>-</v>
      </c>
      <c r="S269" s="142" t="str">
        <f t="shared" si="182"/>
        <v>-</v>
      </c>
      <c r="T269" s="142" t="str">
        <f t="shared" si="182"/>
        <v>-</v>
      </c>
      <c r="U269" s="142" t="str">
        <f t="shared" si="182"/>
        <v>-</v>
      </c>
      <c r="V269" s="142" t="str">
        <f t="shared" si="182"/>
        <v>-</v>
      </c>
      <c r="W269" s="142" t="str">
        <f t="shared" si="182"/>
        <v>-</v>
      </c>
      <c r="X269" s="142" t="str">
        <f t="shared" si="182"/>
        <v>-</v>
      </c>
    </row>
    <row r="270" spans="1:24" ht="11.25" customHeight="1">
      <c r="A270" s="99" t="s">
        <v>315</v>
      </c>
      <c r="B270" s="142" t="str">
        <f>B179</f>
        <v>-</v>
      </c>
      <c r="C270" s="142">
        <f>AVERAGE(C179:C183)</f>
        <v>2619</v>
      </c>
      <c r="D270" s="142">
        <f t="shared" ref="D270:L270" si="183">AVERAGE(D179:D183)</f>
        <v>21015</v>
      </c>
      <c r="E270" s="142">
        <f t="shared" si="183"/>
        <v>8084.333333333333</v>
      </c>
      <c r="F270" s="142">
        <f t="shared" si="183"/>
        <v>26116.333333333332</v>
      </c>
      <c r="G270" s="142">
        <f t="shared" si="183"/>
        <v>22250.333333333332</v>
      </c>
      <c r="H270" s="142">
        <f t="shared" si="183"/>
        <v>7993.2</v>
      </c>
      <c r="I270" s="142">
        <f t="shared" si="183"/>
        <v>1781.2</v>
      </c>
      <c r="J270" s="142">
        <f t="shared" si="183"/>
        <v>872</v>
      </c>
      <c r="K270" s="142">
        <f t="shared" si="183"/>
        <v>67</v>
      </c>
      <c r="L270" s="142">
        <f t="shared" si="183"/>
        <v>57327.8</v>
      </c>
      <c r="M270" s="31"/>
      <c r="N270" s="142" t="str">
        <f t="shared" ref="N270:R270" si="184">N179</f>
        <v>-</v>
      </c>
      <c r="O270" s="142" t="str">
        <f t="shared" si="184"/>
        <v>-</v>
      </c>
      <c r="P270" s="142" t="str">
        <f t="shared" si="184"/>
        <v>-</v>
      </c>
      <c r="Q270" s="142" t="str">
        <f t="shared" si="184"/>
        <v>-</v>
      </c>
      <c r="R270" s="142" t="str">
        <f t="shared" si="184"/>
        <v>-</v>
      </c>
      <c r="S270" s="142">
        <f t="shared" ref="S270:T270" si="185">AVERAGE(S179:S183)</f>
        <v>5036</v>
      </c>
      <c r="T270" s="142">
        <f t="shared" si="185"/>
        <v>4898.5</v>
      </c>
      <c r="U270" s="142" t="str">
        <f t="shared" ref="U270:W270" si="186">U179</f>
        <v>-</v>
      </c>
      <c r="V270" s="142" t="str">
        <f t="shared" si="186"/>
        <v>-</v>
      </c>
      <c r="W270" s="142" t="str">
        <f t="shared" si="186"/>
        <v>-</v>
      </c>
      <c r="X270" s="142">
        <f t="shared" ref="X270" si="187">AVERAGE(X179:X183)</f>
        <v>7416.5</v>
      </c>
    </row>
    <row r="271" spans="1:24" ht="11.25" customHeight="1">
      <c r="A271" s="99">
        <v>2011</v>
      </c>
      <c r="B271" s="142" t="str">
        <f t="shared" ref="B271:L271" si="188">B184</f>
        <v>-</v>
      </c>
      <c r="C271" s="142">
        <f t="shared" si="188"/>
        <v>4481</v>
      </c>
      <c r="D271" s="142">
        <f t="shared" si="188"/>
        <v>20234</v>
      </c>
      <c r="E271" s="142">
        <f t="shared" si="188"/>
        <v>14844</v>
      </c>
      <c r="F271" s="142">
        <f t="shared" si="188"/>
        <v>32395</v>
      </c>
      <c r="G271" s="142">
        <f t="shared" si="188"/>
        <v>21650</v>
      </c>
      <c r="H271" s="142">
        <f t="shared" si="188"/>
        <v>2157</v>
      </c>
      <c r="I271" s="142">
        <f t="shared" si="188"/>
        <v>1517</v>
      </c>
      <c r="J271" s="142">
        <f t="shared" si="188"/>
        <v>1995</v>
      </c>
      <c r="K271" s="142" t="str">
        <f t="shared" si="188"/>
        <v>-</v>
      </c>
      <c r="L271" s="142">
        <f t="shared" si="188"/>
        <v>99273</v>
      </c>
      <c r="M271" s="31"/>
      <c r="N271" s="142" t="str">
        <f t="shared" ref="N271:X271" si="189">N184</f>
        <v>-</v>
      </c>
      <c r="O271" s="142" t="str">
        <f t="shared" si="189"/>
        <v>-</v>
      </c>
      <c r="P271" s="142" t="str">
        <f t="shared" si="189"/>
        <v>-</v>
      </c>
      <c r="Q271" s="142" t="str">
        <f t="shared" si="189"/>
        <v>-</v>
      </c>
      <c r="R271" s="142" t="str">
        <f t="shared" si="189"/>
        <v>-</v>
      </c>
      <c r="S271" s="142" t="str">
        <f t="shared" si="189"/>
        <v>-</v>
      </c>
      <c r="T271" s="142" t="str">
        <f t="shared" si="189"/>
        <v>-</v>
      </c>
      <c r="U271" s="142" t="str">
        <f t="shared" si="189"/>
        <v>-</v>
      </c>
      <c r="V271" s="142" t="str">
        <f t="shared" si="189"/>
        <v>-</v>
      </c>
      <c r="W271" s="142" t="str">
        <f t="shared" si="189"/>
        <v>-</v>
      </c>
      <c r="X271" s="142" t="str">
        <f t="shared" si="189"/>
        <v>-</v>
      </c>
    </row>
    <row r="272" spans="1:24" ht="11.25" customHeight="1">
      <c r="A272" s="99">
        <v>2012</v>
      </c>
      <c r="B272" s="142" t="str">
        <f t="shared" ref="B272:L272" si="190">B185</f>
        <v>-</v>
      </c>
      <c r="C272" s="142">
        <f t="shared" si="190"/>
        <v>3633</v>
      </c>
      <c r="D272" s="142">
        <f t="shared" si="190"/>
        <v>73761</v>
      </c>
      <c r="E272" s="142">
        <f t="shared" si="190"/>
        <v>28029</v>
      </c>
      <c r="F272" s="142">
        <f t="shared" si="190"/>
        <v>96083</v>
      </c>
      <c r="G272" s="142">
        <f t="shared" si="190"/>
        <v>38365</v>
      </c>
      <c r="H272" s="142">
        <f t="shared" si="190"/>
        <v>27483</v>
      </c>
      <c r="I272" s="142">
        <f t="shared" si="190"/>
        <v>12187</v>
      </c>
      <c r="J272" s="142">
        <f t="shared" si="190"/>
        <v>701</v>
      </c>
      <c r="K272" s="142" t="str">
        <f t="shared" si="190"/>
        <v>-</v>
      </c>
      <c r="L272" s="142">
        <f t="shared" si="190"/>
        <v>280242</v>
      </c>
      <c r="M272" s="31"/>
      <c r="N272" s="142" t="str">
        <f t="shared" ref="N272:X272" si="191">N185</f>
        <v>-</v>
      </c>
      <c r="O272" s="142" t="str">
        <f t="shared" si="191"/>
        <v>-</v>
      </c>
      <c r="P272" s="142" t="str">
        <f t="shared" si="191"/>
        <v>-</v>
      </c>
      <c r="Q272" s="142" t="str">
        <f t="shared" si="191"/>
        <v>-</v>
      </c>
      <c r="R272" s="142" t="str">
        <f t="shared" si="191"/>
        <v>-</v>
      </c>
      <c r="S272" s="142" t="str">
        <f t="shared" si="191"/>
        <v>-</v>
      </c>
      <c r="T272" s="142" t="str">
        <f t="shared" si="191"/>
        <v>-</v>
      </c>
      <c r="U272" s="142" t="str">
        <f t="shared" si="191"/>
        <v>-</v>
      </c>
      <c r="V272" s="142" t="str">
        <f t="shared" si="191"/>
        <v>-</v>
      </c>
      <c r="W272" s="142" t="str">
        <f t="shared" si="191"/>
        <v>-</v>
      </c>
      <c r="X272" s="142" t="str">
        <f t="shared" si="191"/>
        <v>-</v>
      </c>
    </row>
    <row r="273" spans="1:24" ht="11.25" customHeight="1">
      <c r="A273" s="99">
        <v>2013</v>
      </c>
      <c r="B273" s="142" t="str">
        <f t="shared" ref="B273:L273" si="192">B186</f>
        <v>-</v>
      </c>
      <c r="C273" s="142">
        <f t="shared" si="192"/>
        <v>7423</v>
      </c>
      <c r="D273" s="142">
        <f t="shared" si="192"/>
        <v>86616</v>
      </c>
      <c r="E273" s="142">
        <f t="shared" si="192"/>
        <v>91986</v>
      </c>
      <c r="F273" s="142">
        <f t="shared" si="192"/>
        <v>106772</v>
      </c>
      <c r="G273" s="142">
        <f t="shared" si="192"/>
        <v>65640</v>
      </c>
      <c r="H273" s="142">
        <f t="shared" si="192"/>
        <v>39480</v>
      </c>
      <c r="I273" s="142">
        <f t="shared" si="192"/>
        <v>9520</v>
      </c>
      <c r="J273" s="142">
        <f t="shared" si="192"/>
        <v>1002</v>
      </c>
      <c r="K273" s="142" t="str">
        <f t="shared" si="192"/>
        <v>-</v>
      </c>
      <c r="L273" s="142">
        <f t="shared" si="192"/>
        <v>408439</v>
      </c>
      <c r="M273" s="31"/>
      <c r="N273" s="142" t="str">
        <f t="shared" ref="N273:X273" si="193">N186</f>
        <v>-</v>
      </c>
      <c r="O273" s="142" t="str">
        <f t="shared" si="193"/>
        <v>-</v>
      </c>
      <c r="P273" s="142" t="str">
        <f t="shared" si="193"/>
        <v>-</v>
      </c>
      <c r="Q273" s="142" t="str">
        <f t="shared" si="193"/>
        <v>-</v>
      </c>
      <c r="R273" s="142" t="str">
        <f t="shared" si="193"/>
        <v>-</v>
      </c>
      <c r="S273" s="142" t="str">
        <f t="shared" si="193"/>
        <v>-</v>
      </c>
      <c r="T273" s="142" t="str">
        <f t="shared" si="193"/>
        <v>-</v>
      </c>
      <c r="U273" s="142" t="str">
        <f t="shared" si="193"/>
        <v>-</v>
      </c>
      <c r="V273" s="142" t="str">
        <f t="shared" si="193"/>
        <v>-</v>
      </c>
      <c r="W273" s="142" t="str">
        <f t="shared" si="193"/>
        <v>-</v>
      </c>
      <c r="X273" s="142" t="str">
        <f t="shared" si="193"/>
        <v>-</v>
      </c>
    </row>
    <row r="274" spans="1:24" ht="11.25" customHeight="1">
      <c r="A274" s="99">
        <v>2014</v>
      </c>
      <c r="B274" s="142" t="str">
        <f t="shared" ref="B274:L274" si="194">B187</f>
        <v>-</v>
      </c>
      <c r="C274" s="142">
        <f t="shared" si="194"/>
        <v>15554</v>
      </c>
      <c r="D274" s="142">
        <f t="shared" si="194"/>
        <v>83687</v>
      </c>
      <c r="E274" s="142">
        <f t="shared" si="194"/>
        <v>69490</v>
      </c>
      <c r="F274" s="142">
        <f t="shared" si="194"/>
        <v>73386</v>
      </c>
      <c r="G274" s="142">
        <f t="shared" si="194"/>
        <v>91088</v>
      </c>
      <c r="H274" s="142">
        <f t="shared" si="194"/>
        <v>21023</v>
      </c>
      <c r="I274" s="142">
        <f t="shared" si="194"/>
        <v>5500</v>
      </c>
      <c r="J274" s="142">
        <f t="shared" si="194"/>
        <v>469</v>
      </c>
      <c r="K274" s="142" t="str">
        <f t="shared" si="194"/>
        <v>-</v>
      </c>
      <c r="L274" s="142">
        <f t="shared" si="194"/>
        <v>360197</v>
      </c>
      <c r="M274" s="31"/>
      <c r="N274" s="142" t="str">
        <f t="shared" ref="N274:X274" si="195">N187</f>
        <v>-</v>
      </c>
      <c r="O274" s="142" t="str">
        <f t="shared" si="195"/>
        <v>-</v>
      </c>
      <c r="P274" s="142" t="str">
        <f t="shared" si="195"/>
        <v>-</v>
      </c>
      <c r="Q274" s="142" t="str">
        <f t="shared" si="195"/>
        <v>-</v>
      </c>
      <c r="R274" s="142" t="str">
        <f t="shared" si="195"/>
        <v>-</v>
      </c>
      <c r="S274" s="142" t="str">
        <f t="shared" si="195"/>
        <v>-</v>
      </c>
      <c r="T274" s="142">
        <f t="shared" si="195"/>
        <v>3296</v>
      </c>
      <c r="U274" s="142" t="str">
        <f t="shared" si="195"/>
        <v>-</v>
      </c>
      <c r="V274" s="142" t="str">
        <f t="shared" si="195"/>
        <v>-</v>
      </c>
      <c r="W274" s="142" t="str">
        <f t="shared" si="195"/>
        <v>-</v>
      </c>
      <c r="X274" s="142">
        <f t="shared" si="195"/>
        <v>3296</v>
      </c>
    </row>
    <row r="275" spans="1:24" ht="11.25" customHeight="1">
      <c r="A275" s="99">
        <v>2015</v>
      </c>
      <c r="B275" s="142" t="str">
        <f t="shared" ref="B275:L275" si="196">B188</f>
        <v>-</v>
      </c>
      <c r="C275" s="142">
        <f t="shared" si="196"/>
        <v>16420</v>
      </c>
      <c r="D275" s="142">
        <f t="shared" si="196"/>
        <v>67847</v>
      </c>
      <c r="E275" s="142">
        <f t="shared" si="196"/>
        <v>40820</v>
      </c>
      <c r="F275" s="142">
        <f t="shared" si="196"/>
        <v>40949</v>
      </c>
      <c r="G275" s="142">
        <f t="shared" si="196"/>
        <v>19016</v>
      </c>
      <c r="H275" s="142">
        <f t="shared" si="196"/>
        <v>12459</v>
      </c>
      <c r="I275" s="142">
        <f t="shared" si="196"/>
        <v>5210</v>
      </c>
      <c r="J275" s="142">
        <f t="shared" si="196"/>
        <v>1163</v>
      </c>
      <c r="K275" s="142" t="str">
        <f t="shared" si="196"/>
        <v>-</v>
      </c>
      <c r="L275" s="142">
        <f t="shared" si="196"/>
        <v>203884</v>
      </c>
      <c r="M275" s="31"/>
      <c r="N275" s="142" t="str">
        <f t="shared" ref="N275:W275" si="197">N188</f>
        <v>-</v>
      </c>
      <c r="O275" s="142" t="str">
        <f t="shared" si="197"/>
        <v>-</v>
      </c>
      <c r="P275" s="142" t="str">
        <f t="shared" si="197"/>
        <v>-</v>
      </c>
      <c r="Q275" s="142" t="str">
        <f t="shared" si="197"/>
        <v>-</v>
      </c>
      <c r="R275" s="142" t="str">
        <f t="shared" si="197"/>
        <v>-</v>
      </c>
      <c r="S275" s="142" t="str">
        <f t="shared" si="197"/>
        <v>-</v>
      </c>
      <c r="T275" s="142" t="str">
        <f t="shared" si="197"/>
        <v>-</v>
      </c>
      <c r="U275" s="142" t="str">
        <f t="shared" si="197"/>
        <v>-</v>
      </c>
      <c r="V275" s="142" t="str">
        <f t="shared" si="197"/>
        <v>-</v>
      </c>
      <c r="W275" s="142" t="str">
        <f t="shared" si="197"/>
        <v>-</v>
      </c>
      <c r="X275" s="142" t="s">
        <v>23</v>
      </c>
    </row>
    <row r="276" spans="1:24" ht="11.25" customHeight="1">
      <c r="A276" s="99">
        <v>2016</v>
      </c>
      <c r="B276" s="142" t="str">
        <f t="shared" ref="B276:L276" si="198">B189</f>
        <v>-</v>
      </c>
      <c r="C276" s="142">
        <f t="shared" si="198"/>
        <v>6597</v>
      </c>
      <c r="D276" s="142">
        <f t="shared" si="198"/>
        <v>19390</v>
      </c>
      <c r="E276" s="142">
        <f t="shared" si="198"/>
        <v>18343</v>
      </c>
      <c r="F276" s="142">
        <f t="shared" si="198"/>
        <v>11264</v>
      </c>
      <c r="G276" s="142">
        <f t="shared" si="198"/>
        <v>26961</v>
      </c>
      <c r="H276" s="142">
        <f t="shared" si="198"/>
        <v>11279</v>
      </c>
      <c r="I276" s="142">
        <f t="shared" si="198"/>
        <v>1458</v>
      </c>
      <c r="J276" s="142">
        <f t="shared" si="198"/>
        <v>182</v>
      </c>
      <c r="K276" s="142" t="str">
        <f t="shared" si="198"/>
        <v>-</v>
      </c>
      <c r="L276" s="142">
        <f t="shared" si="198"/>
        <v>95474</v>
      </c>
      <c r="M276" s="31"/>
      <c r="N276" s="142" t="str">
        <f t="shared" ref="N276:W276" si="199">N189</f>
        <v>-</v>
      </c>
      <c r="O276" s="142" t="str">
        <f t="shared" si="199"/>
        <v>-</v>
      </c>
      <c r="P276" s="142" t="str">
        <f t="shared" si="199"/>
        <v>-</v>
      </c>
      <c r="Q276" s="142" t="str">
        <f t="shared" si="199"/>
        <v>-</v>
      </c>
      <c r="R276" s="142" t="str">
        <f t="shared" si="199"/>
        <v>-</v>
      </c>
      <c r="S276" s="142" t="str">
        <f t="shared" si="199"/>
        <v>-</v>
      </c>
      <c r="T276" s="142" t="str">
        <f t="shared" si="199"/>
        <v>-</v>
      </c>
      <c r="U276" s="142" t="str">
        <f t="shared" si="199"/>
        <v>-</v>
      </c>
      <c r="V276" s="142" t="str">
        <f t="shared" si="199"/>
        <v>-</v>
      </c>
      <c r="W276" s="142" t="str">
        <f t="shared" si="199"/>
        <v>-</v>
      </c>
      <c r="X276" s="142" t="s">
        <v>23</v>
      </c>
    </row>
    <row r="277" spans="1:24" ht="11.25" customHeight="1">
      <c r="A277" s="99">
        <v>2017</v>
      </c>
      <c r="B277" s="142" t="str">
        <f t="shared" ref="B277:L277" si="200">B190</f>
        <v>-</v>
      </c>
      <c r="C277" s="142">
        <f t="shared" si="200"/>
        <v>553</v>
      </c>
      <c r="D277" s="142">
        <f t="shared" si="200"/>
        <v>6817</v>
      </c>
      <c r="E277" s="142">
        <f t="shared" si="200"/>
        <v>10065</v>
      </c>
      <c r="F277" s="142">
        <f t="shared" si="200"/>
        <v>13019</v>
      </c>
      <c r="G277" s="142">
        <f t="shared" si="200"/>
        <v>18336</v>
      </c>
      <c r="H277" s="142">
        <f t="shared" si="200"/>
        <v>10369</v>
      </c>
      <c r="I277" s="142">
        <f t="shared" si="200"/>
        <v>2289</v>
      </c>
      <c r="J277" s="142">
        <f t="shared" si="200"/>
        <v>96</v>
      </c>
      <c r="K277" s="142" t="str">
        <f t="shared" si="200"/>
        <v>-</v>
      </c>
      <c r="L277" s="142">
        <f t="shared" si="200"/>
        <v>61544</v>
      </c>
      <c r="M277" s="31"/>
      <c r="N277" s="142" t="str">
        <f t="shared" ref="N277:W277" si="201">N190</f>
        <v>-</v>
      </c>
      <c r="O277" s="142" t="str">
        <f t="shared" si="201"/>
        <v>-</v>
      </c>
      <c r="P277" s="142" t="str">
        <f t="shared" si="201"/>
        <v>-</v>
      </c>
      <c r="Q277" s="142" t="str">
        <f t="shared" si="201"/>
        <v>-</v>
      </c>
      <c r="R277" s="142" t="str">
        <f t="shared" si="201"/>
        <v>-</v>
      </c>
      <c r="S277" s="142" t="str">
        <f t="shared" si="201"/>
        <v>-</v>
      </c>
      <c r="T277" s="142" t="str">
        <f t="shared" si="201"/>
        <v>-</v>
      </c>
      <c r="U277" s="142" t="str">
        <f t="shared" si="201"/>
        <v>-</v>
      </c>
      <c r="V277" s="142" t="str">
        <f t="shared" si="201"/>
        <v>-</v>
      </c>
      <c r="W277" s="142" t="str">
        <f t="shared" si="201"/>
        <v>-</v>
      </c>
      <c r="X277" s="142" t="s">
        <v>23</v>
      </c>
    </row>
    <row r="278" spans="1:24" ht="11.25" customHeight="1">
      <c r="A278" s="99">
        <v>2018</v>
      </c>
      <c r="B278" s="142" t="str">
        <f t="shared" ref="B278:L278" si="202">B191</f>
        <v>-</v>
      </c>
      <c r="C278" s="142" t="str">
        <f t="shared" si="202"/>
        <v>-</v>
      </c>
      <c r="D278" s="142">
        <f t="shared" si="202"/>
        <v>6746</v>
      </c>
      <c r="E278" s="142">
        <f t="shared" si="202"/>
        <v>21743</v>
      </c>
      <c r="F278" s="142">
        <f t="shared" si="202"/>
        <v>19014</v>
      </c>
      <c r="G278" s="142">
        <f t="shared" si="202"/>
        <v>40622</v>
      </c>
      <c r="H278" s="142">
        <f t="shared" si="202"/>
        <v>11151</v>
      </c>
      <c r="I278" s="142">
        <f t="shared" si="202"/>
        <v>2837</v>
      </c>
      <c r="J278" s="142">
        <f t="shared" si="202"/>
        <v>431</v>
      </c>
      <c r="K278" s="142" t="str">
        <f t="shared" si="202"/>
        <v>-</v>
      </c>
      <c r="L278" s="142">
        <f t="shared" si="202"/>
        <v>102544</v>
      </c>
      <c r="M278" s="31"/>
      <c r="N278" s="142" t="str">
        <f t="shared" ref="N278:W278" si="203">N191</f>
        <v>-</v>
      </c>
      <c r="O278" s="142" t="str">
        <f t="shared" si="203"/>
        <v>-</v>
      </c>
      <c r="P278" s="142" t="str">
        <f t="shared" si="203"/>
        <v>-</v>
      </c>
      <c r="Q278" s="142" t="str">
        <f t="shared" si="203"/>
        <v>-</v>
      </c>
      <c r="R278" s="142" t="str">
        <f t="shared" si="203"/>
        <v>-</v>
      </c>
      <c r="S278" s="142" t="str">
        <f t="shared" si="203"/>
        <v>-</v>
      </c>
      <c r="T278" s="142" t="str">
        <f t="shared" si="203"/>
        <v>-</v>
      </c>
      <c r="U278" s="142" t="str">
        <f t="shared" si="203"/>
        <v>-</v>
      </c>
      <c r="V278" s="142" t="str">
        <f t="shared" si="203"/>
        <v>-</v>
      </c>
      <c r="W278" s="142" t="str">
        <f t="shared" si="203"/>
        <v>-</v>
      </c>
      <c r="X278" s="142" t="s">
        <v>23</v>
      </c>
    </row>
    <row r="279" spans="1:24" ht="11.25" customHeight="1">
      <c r="A279" s="99">
        <v>2019</v>
      </c>
      <c r="B279" s="142" t="str">
        <f t="shared" ref="B279:L279" si="204">B192</f>
        <v>-</v>
      </c>
      <c r="C279" s="142">
        <f t="shared" si="204"/>
        <v>162</v>
      </c>
      <c r="D279" s="142">
        <f t="shared" si="204"/>
        <v>71682</v>
      </c>
      <c r="E279" s="142">
        <f t="shared" si="204"/>
        <v>101247</v>
      </c>
      <c r="F279" s="142">
        <f t="shared" si="204"/>
        <v>55550</v>
      </c>
      <c r="G279" s="142">
        <f t="shared" si="204"/>
        <v>62827</v>
      </c>
      <c r="H279" s="142">
        <f t="shared" si="204"/>
        <v>6731</v>
      </c>
      <c r="I279" s="142">
        <f t="shared" si="204"/>
        <v>1671</v>
      </c>
      <c r="J279" s="142" t="str">
        <f t="shared" si="204"/>
        <v>-</v>
      </c>
      <c r="K279" s="142" t="str">
        <f t="shared" si="204"/>
        <v>-</v>
      </c>
      <c r="L279" s="142">
        <f t="shared" si="204"/>
        <v>299870</v>
      </c>
      <c r="M279" s="31"/>
      <c r="N279" s="142" t="str">
        <f t="shared" ref="N279:W279" si="205">N192</f>
        <v>-</v>
      </c>
      <c r="O279" s="142" t="str">
        <f t="shared" si="205"/>
        <v>-</v>
      </c>
      <c r="P279" s="142" t="str">
        <f t="shared" si="205"/>
        <v>-</v>
      </c>
      <c r="Q279" s="142" t="str">
        <f t="shared" si="205"/>
        <v>-</v>
      </c>
      <c r="R279" s="142" t="str">
        <f t="shared" si="205"/>
        <v>-</v>
      </c>
      <c r="S279" s="142" t="str">
        <f t="shared" si="205"/>
        <v>-</v>
      </c>
      <c r="T279" s="142" t="str">
        <f t="shared" si="205"/>
        <v>-</v>
      </c>
      <c r="U279" s="142" t="str">
        <f t="shared" si="205"/>
        <v>-</v>
      </c>
      <c r="V279" s="142" t="str">
        <f t="shared" si="205"/>
        <v>-</v>
      </c>
      <c r="W279" s="142" t="str">
        <f t="shared" si="205"/>
        <v>-</v>
      </c>
      <c r="X279" s="142" t="s">
        <v>23</v>
      </c>
    </row>
    <row r="280" spans="1:24" ht="11.25" customHeight="1">
      <c r="A280" s="99" t="s">
        <v>309</v>
      </c>
      <c r="B280" s="142" t="str">
        <f t="shared" ref="B280:L281" si="206">B193</f>
        <v>-</v>
      </c>
      <c r="C280" s="142">
        <f t="shared" si="206"/>
        <v>800</v>
      </c>
      <c r="D280" s="142">
        <f t="shared" si="206"/>
        <v>33294</v>
      </c>
      <c r="E280" s="142">
        <f t="shared" si="206"/>
        <v>51839</v>
      </c>
      <c r="F280" s="142">
        <f t="shared" si="206"/>
        <v>70541</v>
      </c>
      <c r="G280" s="142">
        <f t="shared" si="206"/>
        <v>21476</v>
      </c>
      <c r="H280" s="142">
        <f t="shared" si="206"/>
        <v>9032</v>
      </c>
      <c r="I280" s="142">
        <f t="shared" si="206"/>
        <v>3438</v>
      </c>
      <c r="J280" s="142" t="str">
        <f t="shared" si="206"/>
        <v>-</v>
      </c>
      <c r="K280" s="142" t="str">
        <f t="shared" si="206"/>
        <v>-</v>
      </c>
      <c r="L280" s="142">
        <f t="shared" si="206"/>
        <v>190420</v>
      </c>
      <c r="M280" s="31"/>
      <c r="N280" s="142" t="str">
        <f t="shared" ref="N280:W281" si="207">N193</f>
        <v>-</v>
      </c>
      <c r="O280" s="142" t="str">
        <f t="shared" si="207"/>
        <v>-</v>
      </c>
      <c r="P280" s="142" t="str">
        <f t="shared" si="207"/>
        <v>-</v>
      </c>
      <c r="Q280" s="142" t="str">
        <f t="shared" si="207"/>
        <v>-</v>
      </c>
      <c r="R280" s="142" t="str">
        <f t="shared" si="207"/>
        <v>-</v>
      </c>
      <c r="S280" s="142" t="str">
        <f t="shared" si="207"/>
        <v>-</v>
      </c>
      <c r="T280" s="142" t="str">
        <f t="shared" si="207"/>
        <v>-</v>
      </c>
      <c r="U280" s="142" t="str">
        <f t="shared" si="207"/>
        <v>-</v>
      </c>
      <c r="V280" s="142" t="str">
        <f t="shared" si="207"/>
        <v>-</v>
      </c>
      <c r="W280" s="142" t="str">
        <f t="shared" si="207"/>
        <v>-</v>
      </c>
      <c r="X280" s="142" t="s">
        <v>23</v>
      </c>
    </row>
    <row r="281" spans="1:24" ht="11.25" customHeight="1">
      <c r="A281" s="99" t="s">
        <v>317</v>
      </c>
      <c r="B281" s="142">
        <f t="shared" si="206"/>
        <v>231</v>
      </c>
      <c r="C281" s="142">
        <f t="shared" si="206"/>
        <v>2385</v>
      </c>
      <c r="D281" s="142">
        <f t="shared" si="206"/>
        <v>48966</v>
      </c>
      <c r="E281" s="142">
        <f t="shared" si="206"/>
        <v>77839</v>
      </c>
      <c r="F281" s="142">
        <f t="shared" si="206"/>
        <v>17420</v>
      </c>
      <c r="G281" s="142">
        <f t="shared" si="206"/>
        <v>61730</v>
      </c>
      <c r="H281" s="142">
        <f t="shared" si="206"/>
        <v>7924</v>
      </c>
      <c r="I281" s="142">
        <f t="shared" si="206"/>
        <v>2283</v>
      </c>
      <c r="J281" s="142" t="str">
        <f t="shared" si="206"/>
        <v>-</v>
      </c>
      <c r="K281" s="142" t="str">
        <f t="shared" si="206"/>
        <v>-</v>
      </c>
      <c r="L281" s="142">
        <f t="shared" si="206"/>
        <v>218778</v>
      </c>
      <c r="M281" s="263"/>
      <c r="N281" s="142" t="str">
        <f t="shared" si="207"/>
        <v>-</v>
      </c>
      <c r="O281" s="142" t="str">
        <f t="shared" si="207"/>
        <v>-</v>
      </c>
      <c r="P281" s="142" t="str">
        <f t="shared" si="207"/>
        <v>-</v>
      </c>
      <c r="Q281" s="142" t="str">
        <f t="shared" si="207"/>
        <v>-</v>
      </c>
      <c r="R281" s="142">
        <f t="shared" si="207"/>
        <v>934</v>
      </c>
      <c r="S281" s="142">
        <f t="shared" si="207"/>
        <v>1154</v>
      </c>
      <c r="T281" s="142" t="str">
        <f t="shared" si="207"/>
        <v>-</v>
      </c>
      <c r="U281" s="142" t="str">
        <f t="shared" si="207"/>
        <v>-</v>
      </c>
      <c r="V281" s="142" t="str">
        <f t="shared" si="207"/>
        <v>-</v>
      </c>
      <c r="W281" s="142" t="str">
        <f t="shared" si="207"/>
        <v>-</v>
      </c>
      <c r="X281" s="142" t="s">
        <v>23</v>
      </c>
    </row>
    <row r="282" spans="1:24" ht="11.25" customHeight="1">
      <c r="A282" s="344" t="str">
        <f>A195</f>
        <v>a/  Monthly totals for Oregon data are the sum of statistical weeks with closest fit to the calendar month.</v>
      </c>
      <c r="B282" s="344"/>
      <c r="C282" s="344"/>
      <c r="D282" s="344"/>
      <c r="E282" s="344"/>
      <c r="F282" s="344"/>
      <c r="G282" s="344"/>
      <c r="H282" s="344"/>
      <c r="I282" s="344"/>
      <c r="J282" s="344"/>
      <c r="K282" s="344"/>
      <c r="L282" s="344"/>
      <c r="M282" s="344"/>
      <c r="N282" s="344"/>
      <c r="O282" s="344"/>
      <c r="P282" s="344"/>
      <c r="Q282" s="344"/>
      <c r="R282" s="344"/>
      <c r="S282" s="344"/>
      <c r="T282" s="344"/>
      <c r="U282" s="344"/>
      <c r="V282" s="344"/>
      <c r="W282" s="344"/>
      <c r="X282" s="344"/>
    </row>
    <row r="283" spans="1:24" ht="11.25" customHeight="1">
      <c r="A283" s="280" t="str">
        <f>A196</f>
        <v>b/  Preliminary.</v>
      </c>
      <c r="B283" s="280"/>
      <c r="C283" s="280"/>
      <c r="D283" s="280"/>
      <c r="E283" s="280"/>
      <c r="F283" s="280"/>
      <c r="G283" s="280"/>
      <c r="H283" s="280"/>
      <c r="I283" s="280"/>
      <c r="J283" s="280"/>
      <c r="K283" s="280"/>
      <c r="L283" s="280"/>
      <c r="M283" s="280"/>
      <c r="N283" s="280"/>
      <c r="O283" s="280"/>
      <c r="P283" s="280"/>
      <c r="Q283" s="280"/>
      <c r="R283" s="280"/>
      <c r="S283" s="280"/>
      <c r="T283" s="280"/>
      <c r="U283" s="280"/>
      <c r="V283" s="280"/>
      <c r="W283" s="280"/>
      <c r="X283" s="280"/>
    </row>
    <row r="284" spans="1:24" ht="11.25" customHeight="1">
      <c r="A284" s="280" t="str">
        <f>A197</f>
        <v>c/  In 2021, the southern boundary of the KMZ was officially moved five nautical miles north from Horse Mountain to latitude 40°10′ N.</v>
      </c>
      <c r="B284" s="280"/>
      <c r="C284" s="280"/>
      <c r="D284" s="280"/>
      <c r="E284" s="280"/>
      <c r="F284" s="280"/>
      <c r="G284" s="280"/>
      <c r="H284" s="280"/>
      <c r="I284" s="280"/>
      <c r="J284" s="280"/>
      <c r="K284" s="280"/>
      <c r="L284" s="280"/>
      <c r="M284" s="280"/>
      <c r="N284" s="280"/>
      <c r="O284" s="280"/>
      <c r="P284" s="280"/>
      <c r="Q284" s="280"/>
      <c r="R284" s="280"/>
      <c r="S284" s="280"/>
      <c r="T284" s="280"/>
      <c r="U284" s="280"/>
      <c r="V284" s="280"/>
      <c r="W284" s="280"/>
      <c r="X284" s="280"/>
    </row>
    <row r="285" spans="1:24" ht="11.25" customHeight="1"/>
    <row r="286" spans="1:24" ht="11.25" customHeight="1"/>
    <row r="287" spans="1:24" ht="11.25" customHeight="1"/>
    <row r="288" spans="1:24" ht="11.25" customHeight="1"/>
    <row r="289" ht="11.25" customHeight="1"/>
    <row r="290" ht="11.25" customHeight="1"/>
    <row r="291" ht="11.25" customHeight="1"/>
    <row r="292" ht="11.25" customHeight="1"/>
    <row r="293" ht="11.25" customHeight="1"/>
    <row r="294" ht="11.25" customHeight="1"/>
    <row r="295" ht="11.25" customHeight="1"/>
    <row r="296" ht="11.25" customHeight="1"/>
    <row r="297" ht="11.25" customHeight="1"/>
  </sheetData>
  <mergeCells count="10">
    <mergeCell ref="A282:X282"/>
    <mergeCell ref="A283:X283"/>
    <mergeCell ref="A284:X284"/>
    <mergeCell ref="A195:X195"/>
    <mergeCell ref="A196:X196"/>
    <mergeCell ref="A197:X197"/>
    <mergeCell ref="A244:L244"/>
    <mergeCell ref="N244:X244"/>
    <mergeCell ref="N203:X203"/>
    <mergeCell ref="B203:L203"/>
  </mergeCells>
  <pageMargins left="0.7" right="0.7" top="0.75" bottom="0.75" header="0.3" footer="0.3"/>
  <pageSetup scale="90" orientation="landscape" r:id="rId1"/>
  <rowBreaks count="1" manualBreakCount="1">
    <brk id="241" max="2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55"/>
  <dimension ref="A1:L289"/>
  <sheetViews>
    <sheetView showGridLines="0" topLeftCell="A265" zoomScaleNormal="100" zoomScaleSheetLayoutView="90" workbookViewId="0">
      <selection activeCell="N421" sqref="N421"/>
    </sheetView>
  </sheetViews>
  <sheetFormatPr baseColWidth="10" defaultColWidth="9" defaultRowHeight="16"/>
  <cols>
    <col min="1" max="1" width="8.6640625" style="218" customWidth="1"/>
    <col min="2" max="11" width="6.33203125" style="218" customWidth="1"/>
    <col min="12" max="12" width="9.1640625" style="218" customWidth="1"/>
    <col min="13" max="16384" width="9" style="218"/>
  </cols>
  <sheetData>
    <row r="1" spans="1:12" ht="11.25" customHeight="1">
      <c r="A1" s="1" t="s">
        <v>171</v>
      </c>
      <c r="B1" s="1"/>
      <c r="C1" s="1"/>
      <c r="D1" s="1"/>
      <c r="E1" s="1"/>
      <c r="F1" s="1"/>
      <c r="G1" s="1"/>
      <c r="H1" s="1"/>
      <c r="I1" s="1"/>
      <c r="J1" s="1"/>
      <c r="K1" s="1"/>
      <c r="L1" s="1"/>
    </row>
    <row r="2" spans="1:12" ht="11.25" customHeight="1">
      <c r="A2" s="2" t="s">
        <v>27</v>
      </c>
      <c r="B2" s="46" t="s">
        <v>36</v>
      </c>
      <c r="C2" s="46" t="s">
        <v>37</v>
      </c>
      <c r="D2" s="46" t="s">
        <v>28</v>
      </c>
      <c r="E2" s="46" t="s">
        <v>29</v>
      </c>
      <c r="F2" s="46" t="s">
        <v>30</v>
      </c>
      <c r="G2" s="46" t="s">
        <v>31</v>
      </c>
      <c r="H2" s="46" t="s">
        <v>32</v>
      </c>
      <c r="I2" s="46" t="s">
        <v>33</v>
      </c>
      <c r="J2" s="46" t="s">
        <v>34</v>
      </c>
      <c r="K2" s="46" t="s">
        <v>38</v>
      </c>
      <c r="L2" s="46" t="s">
        <v>22</v>
      </c>
    </row>
    <row r="3" spans="1:12" ht="11.25" customHeight="1">
      <c r="A3" s="94" t="s">
        <v>225</v>
      </c>
    </row>
    <row r="4" spans="1:12" ht="11.25" customHeight="1">
      <c r="A4" s="99">
        <v>1976</v>
      </c>
      <c r="B4" s="142" t="s">
        <v>23</v>
      </c>
      <c r="C4" s="142" t="str">
        <f>IF(AND('A-9'!B54="-",'A-9'!B102="-",'A-9'!B150="-"),"-",SUM('A-9'!B54,'A-9'!B102,'A-9'!B150))</f>
        <v>-</v>
      </c>
      <c r="D4" s="142">
        <f>IF(AND('A-9'!C54="-",'A-9'!C102="-",'A-9'!C150="-"),"-",SUM('A-9'!C54,'A-9'!C102,'A-9'!C150))</f>
        <v>0</v>
      </c>
      <c r="E4" s="142">
        <f>IF(AND('A-9'!D54="-",'A-9'!D102="-",'A-9'!D150="-"),"-",SUM('A-9'!D54,'A-9'!D102,'A-9'!D150))</f>
        <v>10200</v>
      </c>
      <c r="F4" s="142">
        <f>IF(AND('A-9'!E54="-",'A-9'!E102="-",'A-9'!E150="-"),"-",SUM('A-9'!E54,'A-9'!E102,'A-9'!E150))</f>
        <v>53128</v>
      </c>
      <c r="G4" s="142">
        <f>IF(AND('A-9'!F54="-",'A-9'!F102="-",'A-9'!F150="-"),"-",SUM('A-9'!F54,'A-9'!F102,'A-9'!F150))</f>
        <v>104387</v>
      </c>
      <c r="H4" s="142">
        <f>IF(AND('A-9'!G54="-",'A-9'!G102="-",'A-9'!G150="-"),"-",SUM('A-9'!G54,'A-9'!G102,'A-9'!G150))</f>
        <v>136967</v>
      </c>
      <c r="I4" s="142">
        <f>IF(AND('A-9'!H54="-",'A-9'!H102="-",'A-9'!H150="-"),"-",SUM('A-9'!H54,'A-9'!H102,'A-9'!H150))</f>
        <v>35595</v>
      </c>
      <c r="J4" s="142">
        <f>IF(AND('A-9'!I54="-",'A-9'!I102="-",'A-9'!I150="-"),"-",SUM('A-9'!I54,'A-9'!I102,'A-9'!I150))</f>
        <v>1687</v>
      </c>
      <c r="K4" s="142">
        <f>IF(AND('A-9'!J54="-",'A-9'!J102="-",'A-9'!J150="-"),"-",SUM('A-9'!J54,'A-9'!J102,'A-9'!J150))</f>
        <v>170</v>
      </c>
      <c r="L4" s="142">
        <f>IF(AND('A-9'!K54="-",'A-9'!K102="-",'A-9'!K150="-"),"-",SUM('A-9'!K54,'A-9'!K102,'A-9'!K150))</f>
        <v>342134</v>
      </c>
    </row>
    <row r="5" spans="1:12" ht="11.25" customHeight="1">
      <c r="A5" s="99">
        <v>1977</v>
      </c>
      <c r="B5" s="142" t="s">
        <v>23</v>
      </c>
      <c r="C5" s="142" t="str">
        <f>IF(AND('A-9'!B55="-",'A-9'!B103="-",'A-9'!B151="-"),"-",SUM('A-9'!B55,'A-9'!B103,'A-9'!B151))</f>
        <v>-</v>
      </c>
      <c r="D5" s="142">
        <f>IF(AND('A-9'!C55="-",'A-9'!C103="-",'A-9'!C151="-"),"-",SUM('A-9'!C55,'A-9'!C103,'A-9'!C151))</f>
        <v>0</v>
      </c>
      <c r="E5" s="142">
        <f>IF(AND('A-9'!D55="-",'A-9'!D103="-",'A-9'!D151="-"),"-",SUM('A-9'!D55,'A-9'!D103,'A-9'!D151))</f>
        <v>13374</v>
      </c>
      <c r="F5" s="142">
        <f>IF(AND('A-9'!E55="-",'A-9'!E103="-",'A-9'!E151="-"),"-",SUM('A-9'!E55,'A-9'!E103,'A-9'!E151))</f>
        <v>31937</v>
      </c>
      <c r="G5" s="142">
        <f>IF(AND('A-9'!F55="-",'A-9'!F103="-",'A-9'!F151="-"),"-",SUM('A-9'!F55,'A-9'!F103,'A-9'!F151))</f>
        <v>94028</v>
      </c>
      <c r="H5" s="142">
        <f>IF(AND('A-9'!G55="-",'A-9'!G103="-",'A-9'!G151="-"),"-",SUM('A-9'!G55,'A-9'!G103,'A-9'!G151))</f>
        <v>79358</v>
      </c>
      <c r="I5" s="142">
        <f>IF(AND('A-9'!H55="-",'A-9'!H103="-",'A-9'!H151="-"),"-",SUM('A-9'!H55,'A-9'!H103,'A-9'!H151))</f>
        <v>22164</v>
      </c>
      <c r="J5" s="142">
        <f>IF(AND('A-9'!I55="-",'A-9'!I103="-",'A-9'!I151="-"),"-",SUM('A-9'!I55,'A-9'!I103,'A-9'!I151))</f>
        <v>772</v>
      </c>
      <c r="K5" s="142">
        <f>IF(AND('A-9'!J55="-",'A-9'!J103="-",'A-9'!J151="-"),"-",SUM('A-9'!J55,'A-9'!J103,'A-9'!J151))</f>
        <v>132</v>
      </c>
      <c r="L5" s="142">
        <f>IF(AND('A-9'!K55="-",'A-9'!K103="-",'A-9'!K151="-"),"-",SUM('A-9'!K55,'A-9'!K103,'A-9'!K151))</f>
        <v>241765</v>
      </c>
    </row>
    <row r="6" spans="1:12" ht="11.25" customHeight="1">
      <c r="A6" s="99">
        <v>1978</v>
      </c>
      <c r="B6" s="142" t="s">
        <v>23</v>
      </c>
      <c r="C6" s="142" t="str">
        <f>IF(AND('A-9'!B56="-",'A-9'!B104="-",'A-9'!B152="-"),"-",SUM('A-9'!B56,'A-9'!B104,'A-9'!B152))</f>
        <v>-</v>
      </c>
      <c r="D6" s="142">
        <f>IF(AND('A-9'!C56="-",'A-9'!C104="-",'A-9'!C152="-"),"-",SUM('A-9'!C56,'A-9'!C104,'A-9'!C152))</f>
        <v>0</v>
      </c>
      <c r="E6" s="142">
        <f>IF(AND('A-9'!D56="-",'A-9'!D104="-",'A-9'!D152="-"),"-",SUM('A-9'!D56,'A-9'!D104,'A-9'!D152))</f>
        <v>9437</v>
      </c>
      <c r="F6" s="142">
        <f>IF(AND('A-9'!E56="-",'A-9'!E104="-",'A-9'!E152="-"),"-",SUM('A-9'!E56,'A-9'!E104,'A-9'!E152))</f>
        <v>46509</v>
      </c>
      <c r="G6" s="142">
        <f>IF(AND('A-9'!F56="-",'A-9'!F104="-",'A-9'!F152="-"),"-",SUM('A-9'!F56,'A-9'!F104,'A-9'!F152))</f>
        <v>97360</v>
      </c>
      <c r="H6" s="142">
        <f>IF(AND('A-9'!G56="-",'A-9'!G104="-",'A-9'!G152="-"),"-",SUM('A-9'!G56,'A-9'!G104,'A-9'!G152))</f>
        <v>75326</v>
      </c>
      <c r="I6" s="142">
        <f>IF(AND('A-9'!H56="-",'A-9'!H104="-",'A-9'!H152="-"),"-",SUM('A-9'!H56,'A-9'!H104,'A-9'!H152))</f>
        <v>19096</v>
      </c>
      <c r="J6" s="142">
        <f>IF(AND('A-9'!I56="-",'A-9'!I104="-",'A-9'!I152="-"),"-",SUM('A-9'!I56,'A-9'!I104,'A-9'!I152))</f>
        <v>4291</v>
      </c>
      <c r="K6" s="48" t="s">
        <v>106</v>
      </c>
      <c r="L6" s="142">
        <f>IF(AND('A-9'!K56="-",'A-9'!K104="-",'A-9'!K152="-"),"-",SUM('A-9'!K56,'A-9'!K104,'A-9'!K152))</f>
        <v>252019</v>
      </c>
    </row>
    <row r="7" spans="1:12" ht="11.25" customHeight="1">
      <c r="A7" s="99">
        <v>1979</v>
      </c>
      <c r="B7" s="142" t="s">
        <v>23</v>
      </c>
      <c r="C7" s="142" t="str">
        <f>IF(AND('A-9'!B57="-",'A-9'!B105="-",'A-9'!B153="-"),"-",SUM('A-9'!B57,'A-9'!B105,'A-9'!B153))</f>
        <v>-</v>
      </c>
      <c r="D7" s="142" t="str">
        <f>IF(AND('A-9'!C57="-",'A-9'!C105="-",'A-9'!C153="-"),"-",SUM('A-9'!C57,'A-9'!C105,'A-9'!C153))</f>
        <v>-</v>
      </c>
      <c r="E7" s="142">
        <f>IF(AND('A-9'!D57="-",'A-9'!D105="-",'A-9'!D153="-"),"-",SUM('A-9'!D57,'A-9'!D105,'A-9'!D153))</f>
        <v>7755</v>
      </c>
      <c r="F7" s="142">
        <f>IF(AND('A-9'!E57="-",'A-9'!E105="-",'A-9'!E153="-"),"-",SUM('A-9'!E57,'A-9'!E105,'A-9'!E153))</f>
        <v>32881</v>
      </c>
      <c r="G7" s="142">
        <f>IF(AND('A-9'!F57="-",'A-9'!F105="-",'A-9'!F153="-"),"-",SUM('A-9'!F57,'A-9'!F105,'A-9'!F153))</f>
        <v>87940</v>
      </c>
      <c r="H7" s="142">
        <f>IF(AND('A-9'!G57="-",'A-9'!G105="-",'A-9'!G153="-"),"-",SUM('A-9'!G57,'A-9'!G105,'A-9'!G153))</f>
        <v>68447</v>
      </c>
      <c r="I7" s="142">
        <f>IF(AND('A-9'!H57="-",'A-9'!H105="-",'A-9'!H153="-"),"-",SUM('A-9'!H57,'A-9'!H105,'A-9'!H153))</f>
        <v>1096</v>
      </c>
      <c r="J7" s="142" t="str">
        <f>IF(AND('A-9'!I57="-",'A-9'!I105="-",'A-9'!I153="-"),"-",SUM('A-9'!I57,'A-9'!I105,'A-9'!I153))</f>
        <v>-</v>
      </c>
      <c r="K7" s="48" t="s">
        <v>106</v>
      </c>
      <c r="L7" s="142">
        <f>IF(AND('A-9'!K57="-",'A-9'!K105="-",'A-9'!K153="-"),"-",SUM('A-9'!K57,'A-9'!K105,'A-9'!K153))</f>
        <v>198119</v>
      </c>
    </row>
    <row r="8" spans="1:12" ht="11.25" customHeight="1">
      <c r="A8" s="99">
        <v>1980</v>
      </c>
      <c r="B8" s="142" t="s">
        <v>23</v>
      </c>
      <c r="C8" s="142" t="str">
        <f>IF(AND('A-9'!B58="-",'A-9'!B106="-",'A-9'!B154="-"),"-",SUM('A-9'!B58,'A-9'!B106,'A-9'!B154))</f>
        <v>-</v>
      </c>
      <c r="D8" s="142" t="str">
        <f>IF(AND('A-9'!C58="-",'A-9'!C106="-",'A-9'!C154="-"),"-",SUM('A-9'!C58,'A-9'!C106,'A-9'!C154))</f>
        <v>-</v>
      </c>
      <c r="E8" s="142">
        <f>IF(AND('A-9'!D58="-",'A-9'!D106="-",'A-9'!D154="-"),"-",SUM('A-9'!D58,'A-9'!D106,'A-9'!D154))</f>
        <v>4358</v>
      </c>
      <c r="F8" s="142">
        <f>IF(AND('A-9'!E58="-",'A-9'!E106="-",'A-9'!E154="-"),"-",SUM('A-9'!E58,'A-9'!E106,'A-9'!E154))</f>
        <v>57335</v>
      </c>
      <c r="G8" s="142">
        <f>IF(AND('A-9'!F58="-",'A-9'!F106="-",'A-9'!F154="-"),"-",SUM('A-9'!F58,'A-9'!F106,'A-9'!F154))</f>
        <v>102423</v>
      </c>
      <c r="H8" s="142">
        <f>IF(AND('A-9'!G58="-",'A-9'!G106="-",'A-9'!G154="-"),"-",SUM('A-9'!G58,'A-9'!G106,'A-9'!G154))</f>
        <v>55044</v>
      </c>
      <c r="I8" s="142">
        <f>IF(AND('A-9'!H58="-",'A-9'!H106="-",'A-9'!H154="-"),"-",SUM('A-9'!H58,'A-9'!H106,'A-9'!H154))</f>
        <v>9947</v>
      </c>
      <c r="J8" s="48" t="s">
        <v>106</v>
      </c>
      <c r="K8" s="48" t="s">
        <v>106</v>
      </c>
      <c r="L8" s="142">
        <f>IF(AND('A-9'!K58="-",'A-9'!K106="-",'A-9'!K154="-"),"-",SUM('A-9'!K58,'A-9'!K106,'A-9'!K154))</f>
        <v>229107</v>
      </c>
    </row>
    <row r="9" spans="1:12" ht="11.25" customHeight="1">
      <c r="A9" s="99">
        <v>1981</v>
      </c>
      <c r="B9" s="142" t="s">
        <v>23</v>
      </c>
      <c r="C9" s="142" t="str">
        <f>IF(AND('A-9'!B59="-",'A-9'!B107="-",'A-9'!B155="-"),"-",SUM('A-9'!B59,'A-9'!B107,'A-9'!B155))</f>
        <v>-</v>
      </c>
      <c r="D9" s="142" t="str">
        <f>IF(AND('A-9'!C59="-",'A-9'!C107="-",'A-9'!C155="-"),"-",SUM('A-9'!C59,'A-9'!C107,'A-9'!C155))</f>
        <v>-</v>
      </c>
      <c r="E9" s="142">
        <f>IF(AND('A-9'!D59="-",'A-9'!D107="-",'A-9'!D155="-"),"-",SUM('A-9'!D59,'A-9'!D107,'A-9'!D155))</f>
        <v>10195</v>
      </c>
      <c r="F9" s="142">
        <f>IF(AND('A-9'!E59="-",'A-9'!E107="-",'A-9'!E155="-"),"-",SUM('A-9'!E59,'A-9'!E107,'A-9'!E155))</f>
        <v>24327</v>
      </c>
      <c r="G9" s="142">
        <f>IF(AND('A-9'!F59="-",'A-9'!F107="-",'A-9'!F155="-"),"-",SUM('A-9'!F59,'A-9'!F107,'A-9'!F155))</f>
        <v>74344</v>
      </c>
      <c r="H9" s="142">
        <f>IF(AND('A-9'!G59="-",'A-9'!G107="-",'A-9'!G155="-"),"-",SUM('A-9'!G59,'A-9'!G107,'A-9'!G155))</f>
        <v>70900</v>
      </c>
      <c r="I9" s="142">
        <f>IF(AND('A-9'!H59="-",'A-9'!H107="-",'A-9'!H155="-"),"-",SUM('A-9'!H59,'A-9'!H107,'A-9'!H155))</f>
        <v>19487</v>
      </c>
      <c r="J9" s="48" t="s">
        <v>106</v>
      </c>
      <c r="K9" s="48" t="s">
        <v>106</v>
      </c>
      <c r="L9" s="142">
        <f>IF(AND('A-9'!K59="-",'A-9'!K107="-",'A-9'!K155="-"),"-",SUM('A-9'!K59,'A-9'!K107,'A-9'!K155))</f>
        <v>199253</v>
      </c>
    </row>
    <row r="10" spans="1:12" ht="11.25" customHeight="1">
      <c r="A10" s="99">
        <v>1982</v>
      </c>
      <c r="B10" s="142" t="s">
        <v>23</v>
      </c>
      <c r="C10" s="142" t="str">
        <f>IF(AND('A-9'!B60="-",'A-9'!B108="-",'A-9'!B156="-"),"-",SUM('A-9'!B60,'A-9'!B108,'A-9'!B156))</f>
        <v>-</v>
      </c>
      <c r="D10" s="142" t="str">
        <f>IF(AND('A-9'!C60="-",'A-9'!C108="-",'A-9'!C156="-"),"-",SUM('A-9'!C60,'A-9'!C108,'A-9'!C156))</f>
        <v>-</v>
      </c>
      <c r="E10" s="142">
        <f>IF(AND('A-9'!D60="-",'A-9'!D108="-",'A-9'!D156="-"),"-",SUM('A-9'!D60,'A-9'!D108,'A-9'!D156))</f>
        <v>363</v>
      </c>
      <c r="F10" s="142">
        <f>IF(AND('A-9'!E60="-",'A-9'!E108="-",'A-9'!E156="-"),"-",SUM('A-9'!E60,'A-9'!E108,'A-9'!E156))</f>
        <v>22037</v>
      </c>
      <c r="G10" s="142">
        <f>IF(AND('A-9'!F60="-",'A-9'!F108="-",'A-9'!F156="-"),"-",SUM('A-9'!F60,'A-9'!F108,'A-9'!F156))</f>
        <v>115039</v>
      </c>
      <c r="H10" s="142" t="str">
        <f>IF(AND('A-9'!G60="-",'A-9'!G108="-",'A-9'!G156="-"),"-",SUM('A-9'!G60,'A-9'!G108,'A-9'!G156))</f>
        <v>-</v>
      </c>
      <c r="I10" s="142" t="str">
        <f>IF(AND('A-9'!H60="-",'A-9'!H108="-",'A-9'!H156="-"),"-",SUM('A-9'!H60,'A-9'!H108,'A-9'!H156))</f>
        <v>-</v>
      </c>
      <c r="J10" s="48" t="s">
        <v>106</v>
      </c>
      <c r="K10" s="48" t="s">
        <v>106</v>
      </c>
      <c r="L10" s="142">
        <f>IF(AND('A-9'!K60="-",'A-9'!K108="-",'A-9'!K156="-"),"-",SUM('A-9'!K60,'A-9'!K108,'A-9'!K156))</f>
        <v>137439</v>
      </c>
    </row>
    <row r="11" spans="1:12" ht="11.25" customHeight="1">
      <c r="A11" s="99">
        <v>1983</v>
      </c>
      <c r="B11" s="142" t="s">
        <v>23</v>
      </c>
      <c r="C11" s="142" t="str">
        <f>IF(AND('A-9'!B61="-",'A-9'!B109="-",'A-9'!B157="-"),"-",SUM('A-9'!B61,'A-9'!B109,'A-9'!B157))</f>
        <v>-</v>
      </c>
      <c r="D11" s="142" t="str">
        <f>IF(AND('A-9'!C61="-",'A-9'!C109="-",'A-9'!C157="-"),"-",SUM('A-9'!C61,'A-9'!C109,'A-9'!C157))</f>
        <v>-</v>
      </c>
      <c r="E11" s="142" t="str">
        <f>IF(AND('A-9'!D61="-",'A-9'!D109="-",'A-9'!D157="-"),"-",SUM('A-9'!D61,'A-9'!D109,'A-9'!D157))</f>
        <v>-</v>
      </c>
      <c r="F11" s="142">
        <f>IF(AND('A-9'!E61="-",'A-9'!E109="-",'A-9'!E157="-"),"-",SUM('A-9'!E61,'A-9'!E109,'A-9'!E157))</f>
        <v>19005</v>
      </c>
      <c r="G11" s="142">
        <f>IF(AND('A-9'!F61="-",'A-9'!F109="-",'A-9'!F157="-"),"-",SUM('A-9'!F61,'A-9'!F109,'A-9'!F157))</f>
        <v>72414</v>
      </c>
      <c r="H11" s="142">
        <f>IF(AND('A-9'!G61="-",'A-9'!G109="-",'A-9'!G157="-"),"-",SUM('A-9'!G61,'A-9'!G109,'A-9'!G157))</f>
        <v>32378</v>
      </c>
      <c r="I11" s="142">
        <f>IF(AND('A-9'!H61="-",'A-9'!H109="-",'A-9'!H157="-"),"-",SUM('A-9'!H61,'A-9'!H109,'A-9'!H157))</f>
        <v>15697</v>
      </c>
      <c r="J11" s="48" t="s">
        <v>106</v>
      </c>
      <c r="K11" s="48" t="s">
        <v>106</v>
      </c>
      <c r="L11" s="142">
        <f>IF(AND('A-9'!K61="-",'A-9'!K109="-",'A-9'!K157="-"),"-",SUM('A-9'!K61,'A-9'!K109,'A-9'!K157))</f>
        <v>139494</v>
      </c>
    </row>
    <row r="12" spans="1:12" ht="11.25" customHeight="1">
      <c r="A12" s="99">
        <v>1984</v>
      </c>
      <c r="B12" s="142" t="s">
        <v>23</v>
      </c>
      <c r="C12" s="142" t="str">
        <f>IF(AND('A-9'!B62="-",'A-9'!B110="-",'A-9'!B158="-"),"-",SUM('A-9'!B62,'A-9'!B110,'A-9'!B158))</f>
        <v>-</v>
      </c>
      <c r="D12" s="142" t="str">
        <f>IF(AND('A-9'!C62="-",'A-9'!C110="-",'A-9'!C158="-"),"-",SUM('A-9'!C62,'A-9'!C110,'A-9'!C158))</f>
        <v>-</v>
      </c>
      <c r="E12" s="142" t="str">
        <f>IF(AND('A-9'!D62="-",'A-9'!D110="-",'A-9'!D158="-"),"-",SUM('A-9'!D62,'A-9'!D110,'A-9'!D158))</f>
        <v>-</v>
      </c>
      <c r="F12" s="142" t="str">
        <f>IF(AND('A-9'!E62="-",'A-9'!E110="-",'A-9'!E158="-"),"-",SUM('A-9'!E62,'A-9'!E110,'A-9'!E158))</f>
        <v>-</v>
      </c>
      <c r="G12" s="142">
        <f>IF(AND('A-9'!F62="-",'A-9'!F110="-",'A-9'!F158="-"),"-",SUM('A-9'!F62,'A-9'!F110,'A-9'!F158))</f>
        <v>57824</v>
      </c>
      <c r="H12" s="142">
        <f>IF(AND('A-9'!G62="-",'A-9'!G110="-",'A-9'!G158="-"),"-",SUM('A-9'!G62,'A-9'!G110,'A-9'!G158))</f>
        <v>46640</v>
      </c>
      <c r="I12" s="142">
        <f>IF(AND('A-9'!H62="-",'A-9'!H110="-",'A-9'!H158="-"),"-",SUM('A-9'!H62,'A-9'!H110,'A-9'!H158))</f>
        <v>2318</v>
      </c>
      <c r="J12" s="48" t="s">
        <v>106</v>
      </c>
      <c r="K12" s="48" t="s">
        <v>106</v>
      </c>
      <c r="L12" s="142">
        <f>IF(AND('A-9'!K62="-",'A-9'!K110="-",'A-9'!K158="-"),"-",SUM('A-9'!K62,'A-9'!K110,'A-9'!K158))</f>
        <v>106782</v>
      </c>
    </row>
    <row r="13" spans="1:12" ht="11.25" customHeight="1">
      <c r="A13" s="99">
        <v>1985</v>
      </c>
      <c r="B13" s="142" t="s">
        <v>23</v>
      </c>
      <c r="C13" s="142" t="str">
        <f>IF(AND('A-9'!B63="-",'A-9'!B111="-",'A-9'!B159="-"),"-",SUM('A-9'!B63,'A-9'!B111,'A-9'!B159))</f>
        <v>-</v>
      </c>
      <c r="D13" s="142" t="str">
        <f>IF(AND('A-9'!C63="-",'A-9'!C111="-",'A-9'!C159="-"),"-",SUM('A-9'!C63,'A-9'!C111,'A-9'!C159))</f>
        <v>-</v>
      </c>
      <c r="E13" s="142" t="str">
        <f>IF(AND('A-9'!D63="-",'A-9'!D111="-",'A-9'!D159="-"),"-",SUM('A-9'!D63,'A-9'!D111,'A-9'!D159))</f>
        <v>-</v>
      </c>
      <c r="F13" s="142" t="str">
        <f>IF(AND('A-9'!E63="-",'A-9'!E111="-",'A-9'!E159="-"),"-",SUM('A-9'!E63,'A-9'!E111,'A-9'!E159))</f>
        <v>-</v>
      </c>
      <c r="G13" s="142">
        <f>IF(AND('A-9'!F63="-",'A-9'!F111="-",'A-9'!F159="-"),"-",SUM('A-9'!F63,'A-9'!F111,'A-9'!F159))</f>
        <v>70473</v>
      </c>
      <c r="H13" s="142">
        <f>IF(AND('A-9'!G63="-",'A-9'!G111="-",'A-9'!G159="-"),"-",SUM('A-9'!G63,'A-9'!G111,'A-9'!G159))</f>
        <v>95329</v>
      </c>
      <c r="I13" s="142">
        <f>IF(AND('A-9'!H63="-",'A-9'!H111="-",'A-9'!H159="-"),"-",SUM('A-9'!H63,'A-9'!H111,'A-9'!H159))</f>
        <v>5206</v>
      </c>
      <c r="J13" s="142">
        <f>IF(AND('A-9'!I63="-",'A-9'!I111="-",'A-9'!I159="-"),"-",SUM('A-9'!I63,'A-9'!I111,'A-9'!I159))</f>
        <v>1603</v>
      </c>
      <c r="K13" s="48" t="s">
        <v>106</v>
      </c>
      <c r="L13" s="142">
        <f>IF(AND('A-9'!K63="-",'A-9'!K111="-",'A-9'!K159="-"),"-",SUM('A-9'!K63,'A-9'!K111,'A-9'!K159))</f>
        <v>172611</v>
      </c>
    </row>
    <row r="14" spans="1:12" ht="11.25" customHeight="1">
      <c r="A14" s="99">
        <v>1986</v>
      </c>
      <c r="B14" s="142" t="s">
        <v>23</v>
      </c>
      <c r="C14" s="142" t="str">
        <f>IF(AND('A-9'!B64="-",'A-9'!B112="-",'A-9'!B160="-"),"-",SUM('A-9'!B64,'A-9'!B112,'A-9'!B160))</f>
        <v>-</v>
      </c>
      <c r="D14" s="142" t="str">
        <f>IF(AND('A-9'!C64="-",'A-9'!C112="-",'A-9'!C160="-"),"-",SUM('A-9'!C64,'A-9'!C112,'A-9'!C160))</f>
        <v>-</v>
      </c>
      <c r="E14" s="142">
        <f>IF(AND('A-9'!D64="-",'A-9'!D112="-",'A-9'!D160="-"),"-",SUM('A-9'!D64,'A-9'!D112,'A-9'!D160))</f>
        <v>2168</v>
      </c>
      <c r="F14" s="142">
        <f>IF(AND('A-9'!E64="-",'A-9'!E112="-",'A-9'!E160="-"),"-",SUM('A-9'!E64,'A-9'!E112,'A-9'!E160))</f>
        <v>10741</v>
      </c>
      <c r="G14" s="142">
        <f>IF(AND('A-9'!F64="-",'A-9'!F112="-",'A-9'!F160="-"),"-",SUM('A-9'!F64,'A-9'!F112,'A-9'!F160))</f>
        <v>85444</v>
      </c>
      <c r="H14" s="142">
        <f>IF(AND('A-9'!G64="-",'A-9'!G112="-",'A-9'!G160="-"),"-",SUM('A-9'!G64,'A-9'!G112,'A-9'!G160))</f>
        <v>15333</v>
      </c>
      <c r="I14" s="142">
        <f>IF(AND('A-9'!H64="-",'A-9'!H112="-",'A-9'!H160="-"),"-",SUM('A-9'!H64,'A-9'!H112,'A-9'!H160))</f>
        <v>0</v>
      </c>
      <c r="J14" s="48" t="s">
        <v>106</v>
      </c>
      <c r="K14" s="48" t="s">
        <v>106</v>
      </c>
      <c r="L14" s="142">
        <f>IF(AND('A-9'!K64="-",'A-9'!K112="-",'A-9'!K160="-"),"-",SUM('A-9'!K64,'A-9'!K112,'A-9'!K160))</f>
        <v>113686</v>
      </c>
    </row>
    <row r="15" spans="1:12" ht="11.25" customHeight="1">
      <c r="A15" s="99">
        <v>1987</v>
      </c>
      <c r="B15" s="142" t="s">
        <v>23</v>
      </c>
      <c r="C15" s="142" t="str">
        <f>IF(AND('A-9'!B65="-",'A-9'!B113="-",'A-9'!B161="-"),"-",SUM('A-9'!B65,'A-9'!B113,'A-9'!B161))</f>
        <v>-</v>
      </c>
      <c r="D15" s="142" t="str">
        <f>IF(AND('A-9'!C65="-",'A-9'!C113="-",'A-9'!C161="-"),"-",SUM('A-9'!C65,'A-9'!C113,'A-9'!C161))</f>
        <v>-</v>
      </c>
      <c r="E15" s="142" t="str">
        <f>IF(AND('A-9'!D65="-",'A-9'!D113="-",'A-9'!D161="-"),"-",SUM('A-9'!D65,'A-9'!D113,'A-9'!D161))</f>
        <v>-</v>
      </c>
      <c r="F15" s="142">
        <f>IF(AND('A-9'!E65="-",'A-9'!E113="-",'A-9'!E161="-"),"-",SUM('A-9'!E65,'A-9'!E113,'A-9'!E161))</f>
        <v>10925</v>
      </c>
      <c r="G15" s="142">
        <f>IF(AND('A-9'!F65="-",'A-9'!F113="-",'A-9'!F161="-"),"-",SUM('A-9'!F65,'A-9'!F113,'A-9'!F161))</f>
        <v>93007</v>
      </c>
      <c r="H15" s="142">
        <f>IF(AND('A-9'!G65="-",'A-9'!G113="-",'A-9'!G161="-"),"-",SUM('A-9'!G65,'A-9'!G113,'A-9'!G161))</f>
        <v>46977</v>
      </c>
      <c r="I15" s="142">
        <f>IF(AND('A-9'!H65="-",'A-9'!H113="-",'A-9'!H161="-"),"-",SUM('A-9'!H65,'A-9'!H113,'A-9'!H161))</f>
        <v>17621</v>
      </c>
      <c r="J15" s="48" t="s">
        <v>106</v>
      </c>
      <c r="K15" s="48" t="s">
        <v>106</v>
      </c>
      <c r="L15" s="142">
        <f>IF(AND('A-9'!K65="-",'A-9'!K113="-",'A-9'!K161="-"),"-",SUM('A-9'!K65,'A-9'!K113,'A-9'!K161))</f>
        <v>168530</v>
      </c>
    </row>
    <row r="16" spans="1:12" ht="11.25" customHeight="1">
      <c r="A16" s="99">
        <v>1988</v>
      </c>
      <c r="B16" s="142" t="s">
        <v>23</v>
      </c>
      <c r="C16" s="142" t="str">
        <f>IF(AND('A-9'!B66="-",'A-9'!B114="-",'A-9'!B162="-"),"-",SUM('A-9'!B66,'A-9'!B114,'A-9'!B162))</f>
        <v>-</v>
      </c>
      <c r="D16" s="142" t="str">
        <f>IF(AND('A-9'!C66="-",'A-9'!C114="-",'A-9'!C162="-"),"-",SUM('A-9'!C66,'A-9'!C114,'A-9'!C162))</f>
        <v>-</v>
      </c>
      <c r="E16" s="142">
        <f>IF(AND('A-9'!D66="-",'A-9'!D114="-",'A-9'!D162="-"),"-",SUM('A-9'!D66,'A-9'!D114,'A-9'!D162))</f>
        <v>2640</v>
      </c>
      <c r="F16" s="142">
        <f>IF(AND('A-9'!E66="-",'A-9'!E114="-",'A-9'!E162="-"),"-",SUM('A-9'!E66,'A-9'!E114,'A-9'!E162))</f>
        <v>19033</v>
      </c>
      <c r="G16" s="142">
        <f>IF(AND('A-9'!F66="-",'A-9'!F114="-",'A-9'!F162="-"),"-",SUM('A-9'!F66,'A-9'!F114,'A-9'!F162))</f>
        <v>80627</v>
      </c>
      <c r="H16" s="142">
        <f>IF(AND('A-9'!G66="-",'A-9'!G114="-",'A-9'!G162="-"),"-",SUM('A-9'!G66,'A-9'!G114,'A-9'!G162))</f>
        <v>69040</v>
      </c>
      <c r="I16" s="142">
        <f>IF(AND('A-9'!H66="-",'A-9'!H114="-",'A-9'!H162="-"),"-",SUM('A-9'!H66,'A-9'!H114,'A-9'!H162))</f>
        <v>20492</v>
      </c>
      <c r="J16" s="48" t="s">
        <v>106</v>
      </c>
      <c r="K16" s="48" t="s">
        <v>106</v>
      </c>
      <c r="L16" s="142">
        <f>IF(AND('A-9'!K66="-",'A-9'!K114="-",'A-9'!K162="-"),"-",SUM('A-9'!K66,'A-9'!K114,'A-9'!K162))</f>
        <v>191832</v>
      </c>
    </row>
    <row r="17" spans="1:12" ht="11.25" customHeight="1">
      <c r="A17" s="99">
        <v>1989</v>
      </c>
      <c r="B17" s="142" t="s">
        <v>23</v>
      </c>
      <c r="C17" s="142" t="str">
        <f>IF(AND('A-9'!B67="-",'A-9'!B115="-",'A-9'!B163="-"),"-",SUM('A-9'!B67,'A-9'!B115,'A-9'!B163))</f>
        <v>-</v>
      </c>
      <c r="D17" s="142" t="str">
        <f>IF(AND('A-9'!C67="-",'A-9'!C115="-",'A-9'!C163="-"),"-",SUM('A-9'!C67,'A-9'!C115,'A-9'!C163))</f>
        <v>-</v>
      </c>
      <c r="E17" s="142">
        <f>IF(AND('A-9'!D67="-",'A-9'!D115="-",'A-9'!D163="-"),"-",SUM('A-9'!D67,'A-9'!D115,'A-9'!D163))</f>
        <v>2047</v>
      </c>
      <c r="F17" s="142">
        <f>IF(AND('A-9'!E67="-",'A-9'!E115="-",'A-9'!E163="-"),"-",SUM('A-9'!E67,'A-9'!E115,'A-9'!E163))</f>
        <v>36499</v>
      </c>
      <c r="G17" s="142">
        <f>IF(AND('A-9'!F67="-",'A-9'!F115="-",'A-9'!F163="-"),"-",SUM('A-9'!F67,'A-9'!F115,'A-9'!F163))</f>
        <v>86757</v>
      </c>
      <c r="H17" s="142">
        <f>IF(AND('A-9'!G67="-",'A-9'!G115="-",'A-9'!G163="-"),"-",SUM('A-9'!G67,'A-9'!G115,'A-9'!G163))</f>
        <v>54164</v>
      </c>
      <c r="I17" s="142">
        <f>IF(AND('A-9'!H67="-",'A-9'!H115="-",'A-9'!H163="-"),"-",SUM('A-9'!H67,'A-9'!H115,'A-9'!H163))</f>
        <v>1211</v>
      </c>
      <c r="J17" s="48" t="s">
        <v>106</v>
      </c>
      <c r="K17" s="48" t="s">
        <v>106</v>
      </c>
      <c r="L17" s="142">
        <f>IF(AND('A-9'!K67="-",'A-9'!K115="-",'A-9'!K163="-"),"-",SUM('A-9'!K67,'A-9'!K115,'A-9'!K163))</f>
        <v>180678</v>
      </c>
    </row>
    <row r="18" spans="1:12" ht="11.25" customHeight="1">
      <c r="A18" s="99">
        <v>1990</v>
      </c>
      <c r="B18" s="142" t="s">
        <v>23</v>
      </c>
      <c r="C18" s="142" t="str">
        <f>IF(AND('A-9'!B68="-",'A-9'!B116="-",'A-9'!B164="-"),"-",SUM('A-9'!B68,'A-9'!B116,'A-9'!B164))</f>
        <v>-</v>
      </c>
      <c r="D18" s="142" t="str">
        <f>IF(AND('A-9'!C68="-",'A-9'!C116="-",'A-9'!C164="-"),"-",SUM('A-9'!C68,'A-9'!C116,'A-9'!C164))</f>
        <v>-</v>
      </c>
      <c r="E18" s="142">
        <f>IF(AND('A-9'!D68="-",'A-9'!D116="-",'A-9'!D164="-"),"-",SUM('A-9'!D68,'A-9'!D116,'A-9'!D164))</f>
        <v>1362</v>
      </c>
      <c r="F18" s="142">
        <f>IF(AND('A-9'!E68="-",'A-9'!E116="-",'A-9'!E164="-"),"-",SUM('A-9'!E68,'A-9'!E116,'A-9'!E164))</f>
        <v>15493</v>
      </c>
      <c r="G18" s="142">
        <f>IF(AND('A-9'!F68="-",'A-9'!F116="-",'A-9'!F164="-"),"-",SUM('A-9'!F68,'A-9'!F116,'A-9'!F164))</f>
        <v>66986</v>
      </c>
      <c r="H18" s="142">
        <f>IF(AND('A-9'!G68="-",'A-9'!G116="-",'A-9'!G164="-"),"-",SUM('A-9'!G68,'A-9'!G116,'A-9'!G164))</f>
        <v>69548</v>
      </c>
      <c r="I18" s="142">
        <f>IF(AND('A-9'!H68="-",'A-9'!H116="-",'A-9'!H164="-"),"-",SUM('A-9'!H68,'A-9'!H116,'A-9'!H164))</f>
        <v>16533</v>
      </c>
      <c r="J18" s="48" t="s">
        <v>106</v>
      </c>
      <c r="K18" s="142" t="str">
        <f>IF(AND('A-9'!J68="-",'A-9'!J116="-",'A-9'!J164="-"),"-",SUM('A-9'!J68,'A-9'!J116,'A-9'!J164))</f>
        <v>-</v>
      </c>
      <c r="L18" s="142">
        <f>IF(AND('A-9'!K68="-",'A-9'!K116="-",'A-9'!K164="-"),"-",SUM('A-9'!K68,'A-9'!K116,'A-9'!K164))</f>
        <v>169922</v>
      </c>
    </row>
    <row r="19" spans="1:12" ht="11.25" customHeight="1">
      <c r="A19" s="99">
        <v>1991</v>
      </c>
      <c r="B19" s="142" t="s">
        <v>23</v>
      </c>
      <c r="C19" s="142" t="str">
        <f>IF(AND('A-9'!B69="-",'A-9'!B117="-",'A-9'!B165="-"),"-",SUM('A-9'!B69,'A-9'!B117,'A-9'!B165))</f>
        <v>-</v>
      </c>
      <c r="D19" s="142" t="str">
        <f>IF(AND('A-9'!C69="-",'A-9'!C117="-",'A-9'!C165="-"),"-",SUM('A-9'!C69,'A-9'!C117,'A-9'!C165))</f>
        <v>-</v>
      </c>
      <c r="E19" s="142">
        <f>IF(AND('A-9'!D69="-",'A-9'!D117="-",'A-9'!D165="-"),"-",SUM('A-9'!D69,'A-9'!D117,'A-9'!D165))</f>
        <v>2288</v>
      </c>
      <c r="F19" s="142">
        <f>IF(AND('A-9'!E69="-",'A-9'!E117="-",'A-9'!E165="-"),"-",SUM('A-9'!E69,'A-9'!E117,'A-9'!E165))</f>
        <v>33107</v>
      </c>
      <c r="G19" s="142">
        <f>IF(AND('A-9'!F69="-",'A-9'!F117="-",'A-9'!F165="-"),"-",SUM('A-9'!F69,'A-9'!F117,'A-9'!F165))</f>
        <v>96562</v>
      </c>
      <c r="H19" s="142" t="str">
        <f>IF(AND('A-9'!G69="-",'A-9'!G117="-",'A-9'!G165="-"),"-",SUM('A-9'!G69,'A-9'!G117,'A-9'!G165))</f>
        <v>-</v>
      </c>
      <c r="I19" s="142" t="str">
        <f>IF(AND('A-9'!H69="-",'A-9'!H117="-",'A-9'!H165="-"),"-",SUM('A-9'!H69,'A-9'!H117,'A-9'!H165))</f>
        <v>-</v>
      </c>
      <c r="J19" s="48" t="s">
        <v>106</v>
      </c>
      <c r="K19" s="142" t="str">
        <f>IF(AND('A-9'!J69="-",'A-9'!J117="-",'A-9'!J165="-"),"-",SUM('A-9'!J69,'A-9'!J117,'A-9'!J165))</f>
        <v>-</v>
      </c>
      <c r="L19" s="142">
        <f>IF(AND('A-9'!K69="-",'A-9'!K117="-",'A-9'!K165="-"),"-",SUM('A-9'!K69,'A-9'!K117,'A-9'!K165))</f>
        <v>131957</v>
      </c>
    </row>
    <row r="20" spans="1:12" ht="11.25" customHeight="1">
      <c r="A20" s="99">
        <v>1992</v>
      </c>
      <c r="B20" s="142" t="s">
        <v>23</v>
      </c>
      <c r="C20" s="142" t="str">
        <f>IF(AND('A-9'!B70="-",'A-9'!B118="-",'A-9'!B166="-"),"-",SUM('A-9'!B70,'A-9'!B118,'A-9'!B166))</f>
        <v>-</v>
      </c>
      <c r="D20" s="142" t="str">
        <f>IF(AND('A-9'!C70="-",'A-9'!C118="-",'A-9'!C166="-"),"-",SUM('A-9'!C70,'A-9'!C118,'A-9'!C166))</f>
        <v>-</v>
      </c>
      <c r="E20" s="142">
        <f>IF(AND('A-9'!D70="-",'A-9'!D118="-",'A-9'!D166="-"),"-",SUM('A-9'!D70,'A-9'!D118,'A-9'!D166))</f>
        <v>3692</v>
      </c>
      <c r="F20" s="142">
        <f>IF(AND('A-9'!E70="-",'A-9'!E118="-",'A-9'!E166="-"),"-",SUM('A-9'!E70,'A-9'!E118,'A-9'!E166))</f>
        <v>19921</v>
      </c>
      <c r="G20" s="142">
        <f>IF(AND('A-9'!F70="-",'A-9'!F118="-",'A-9'!F166="-"),"-",SUM('A-9'!F70,'A-9'!F118,'A-9'!F166))</f>
        <v>68180</v>
      </c>
      <c r="H20" s="142">
        <f>IF(AND('A-9'!G70="-",'A-9'!G118="-",'A-9'!G166="-"),"-",SUM('A-9'!G70,'A-9'!G118,'A-9'!G166))</f>
        <v>34446</v>
      </c>
      <c r="I20" s="142">
        <f>IF(AND('A-9'!H70="-",'A-9'!H118="-",'A-9'!H166="-"),"-",SUM('A-9'!H70,'A-9'!H118,'A-9'!H166))</f>
        <v>8503</v>
      </c>
      <c r="J20" s="48" t="s">
        <v>106</v>
      </c>
      <c r="K20" s="142" t="str">
        <f>IF(AND('A-9'!J70="-",'A-9'!J118="-",'A-9'!J166="-"),"-",SUM('A-9'!J70,'A-9'!J118,'A-9'!J166))</f>
        <v>-</v>
      </c>
      <c r="L20" s="142">
        <f>IF(AND('A-9'!K70="-",'A-9'!K118="-",'A-9'!K166="-"),"-",SUM('A-9'!K70,'A-9'!K118,'A-9'!K166))</f>
        <v>134742</v>
      </c>
    </row>
    <row r="21" spans="1:12" ht="11.25" customHeight="1">
      <c r="A21" s="99">
        <v>1993</v>
      </c>
      <c r="B21" s="142" t="s">
        <v>23</v>
      </c>
      <c r="C21" s="142" t="str">
        <f>IF(AND('A-9'!B71="-",'A-9'!B119="-",'A-9'!B167="-"),"-",SUM('A-9'!B71,'A-9'!B119,'A-9'!B167))</f>
        <v>-</v>
      </c>
      <c r="D21" s="142" t="str">
        <f>IF(AND('A-9'!C71="-",'A-9'!C119="-",'A-9'!C167="-"),"-",SUM('A-9'!C71,'A-9'!C119,'A-9'!C167))</f>
        <v>-</v>
      </c>
      <c r="E21" s="142">
        <f>IF(AND('A-9'!D71="-",'A-9'!D119="-",'A-9'!D167="-"),"-",SUM('A-9'!D71,'A-9'!D119,'A-9'!D167))</f>
        <v>1369</v>
      </c>
      <c r="F21" s="142">
        <f>IF(AND('A-9'!E71="-",'A-9'!E119="-",'A-9'!E167="-"),"-",SUM('A-9'!E71,'A-9'!E119,'A-9'!E167))</f>
        <v>1291</v>
      </c>
      <c r="G21" s="142">
        <f>IF(AND('A-9'!F71="-",'A-9'!F119="-",'A-9'!F167="-"),"-",SUM('A-9'!F71,'A-9'!F119,'A-9'!F167))</f>
        <v>24745</v>
      </c>
      <c r="H21" s="142">
        <f>IF(AND('A-9'!G71="-",'A-9'!G119="-",'A-9'!G167="-"),"-",SUM('A-9'!G71,'A-9'!G119,'A-9'!G167))</f>
        <v>10600</v>
      </c>
      <c r="I21" s="48" t="s">
        <v>106</v>
      </c>
      <c r="J21" s="48" t="s">
        <v>106</v>
      </c>
      <c r="K21" s="48" t="s">
        <v>106</v>
      </c>
      <c r="L21" s="142">
        <f>IF(AND('A-9'!K71="-",'A-9'!K119="-",'A-9'!K167="-"),"-",SUM('A-9'!K71,'A-9'!K119,'A-9'!K167))</f>
        <v>38005</v>
      </c>
    </row>
    <row r="22" spans="1:12" ht="11.25" customHeight="1">
      <c r="A22" s="99">
        <v>1994</v>
      </c>
      <c r="B22" s="142" t="s">
        <v>23</v>
      </c>
      <c r="C22" s="142" t="str">
        <f>IF(AND('A-9'!B72="-",'A-9'!B120="-",'A-9'!B168="-"),"-",SUM('A-9'!B72,'A-9'!B120,'A-9'!B168))</f>
        <v>-</v>
      </c>
      <c r="D22" s="142" t="str">
        <f>IF(AND('A-9'!C72="-",'A-9'!C120="-",'A-9'!C168="-"),"-",SUM('A-9'!C72,'A-9'!C120,'A-9'!C168))</f>
        <v>-</v>
      </c>
      <c r="E22" s="142">
        <f>IF(AND('A-9'!D72="-",'A-9'!D120="-",'A-9'!D168="-"),"-",SUM('A-9'!D72,'A-9'!D120,'A-9'!D168))</f>
        <v>891</v>
      </c>
      <c r="F22" s="142">
        <f>IF(AND('A-9'!E72="-",'A-9'!E120="-",'A-9'!E168="-"),"-",SUM('A-9'!E72,'A-9'!E120,'A-9'!E168))</f>
        <v>1096</v>
      </c>
      <c r="G22" s="142" t="str">
        <f>IF(AND('A-9'!F72="-",'A-9'!F120="-",'A-9'!F168="-"),"-",SUM('A-9'!F72,'A-9'!F120,'A-9'!F168))</f>
        <v>-</v>
      </c>
      <c r="H22" s="142" t="str">
        <f>IF(AND('A-9'!G72="-",'A-9'!G120="-",'A-9'!G168="-"),"-",SUM('A-9'!G72,'A-9'!G120,'A-9'!G168))</f>
        <v>-</v>
      </c>
      <c r="I22" s="142" t="str">
        <f>IF(AND('A-9'!H72="-",'A-9'!H120="-",'A-9'!H168="-"),"-",SUM('A-9'!H72,'A-9'!H120,'A-9'!H168))</f>
        <v>-</v>
      </c>
      <c r="J22" s="142">
        <f>IF(AND('A-9'!I72="-",'A-9'!I120="-",'A-9'!I168="-"),"-",SUM('A-9'!I72,'A-9'!I120,'A-9'!I168))</f>
        <v>8749</v>
      </c>
      <c r="K22" s="142">
        <f>IF(AND('A-9'!J72="-",'A-9'!J120="-",'A-9'!J168="-"),"-",SUM('A-9'!J72,'A-9'!J120,'A-9'!J168))</f>
        <v>3</v>
      </c>
      <c r="L22" s="142">
        <f>IF(AND('A-9'!K72="-",'A-9'!K120="-",'A-9'!K168="-"),"-",SUM('A-9'!K72,'A-9'!K120,'A-9'!K168))</f>
        <v>10739</v>
      </c>
    </row>
    <row r="23" spans="1:12" ht="11.25" customHeight="1">
      <c r="A23" s="99">
        <v>1995</v>
      </c>
      <c r="B23" s="142" t="s">
        <v>23</v>
      </c>
      <c r="C23" s="142" t="str">
        <f>IF(AND('A-9'!B73="-",'A-9'!B121="-",'A-9'!B169="-"),"-",SUM('A-9'!B73,'A-9'!B121,'A-9'!B169))</f>
        <v>-</v>
      </c>
      <c r="D23" s="142" t="str">
        <f>IF(AND('A-9'!C73="-",'A-9'!C121="-",'A-9'!C169="-"),"-",SUM('A-9'!C73,'A-9'!C121,'A-9'!C169))</f>
        <v>-</v>
      </c>
      <c r="E23" s="142">
        <f>IF(AND('A-9'!D73="-",'A-9'!D121="-",'A-9'!D169="-"),"-",SUM('A-9'!D73,'A-9'!D121,'A-9'!D169))</f>
        <v>847</v>
      </c>
      <c r="F23" s="142">
        <f>IF(AND('A-9'!E73="-",'A-9'!E121="-",'A-9'!E169="-"),"-",SUM('A-9'!E73,'A-9'!E121,'A-9'!E169))</f>
        <v>830</v>
      </c>
      <c r="G23" s="142" t="str">
        <f>IF(AND('A-9'!F73="-",'A-9'!F121="-",'A-9'!F169="-"),"-",SUM('A-9'!F73,'A-9'!F121,'A-9'!F169))</f>
        <v>-</v>
      </c>
      <c r="H23" s="142" t="str">
        <f>IF(AND('A-9'!G73="-",'A-9'!G121="-",'A-9'!G169="-"),"-",SUM('A-9'!G73,'A-9'!G121,'A-9'!G169))</f>
        <v>-</v>
      </c>
      <c r="I23" s="142">
        <f>IF(AND('A-9'!H73="-",'A-9'!H121="-",'A-9'!H169="-"),"-",SUM('A-9'!H73,'A-9'!H121,'A-9'!H169))</f>
        <v>1879</v>
      </c>
      <c r="J23" s="142">
        <f>IF(AND('A-9'!I73="-",'A-9'!I121="-",'A-9'!I169="-"),"-",SUM('A-9'!I73,'A-9'!I121,'A-9'!I169))</f>
        <v>1146</v>
      </c>
      <c r="K23" s="142">
        <f>IF(AND('A-9'!J73="-",'A-9'!J121="-",'A-9'!J169="-"),"-",SUM('A-9'!J73,'A-9'!J121,'A-9'!J169))</f>
        <v>788</v>
      </c>
      <c r="L23" s="142">
        <f>IF(AND('A-9'!K73="-",'A-9'!K121="-",'A-9'!K169="-"),"-",SUM('A-9'!K73,'A-9'!K121,'A-9'!K169))</f>
        <v>5490</v>
      </c>
    </row>
    <row r="24" spans="1:12" ht="11.25" customHeight="1">
      <c r="A24" s="99">
        <v>1996</v>
      </c>
      <c r="B24" s="142" t="s">
        <v>23</v>
      </c>
      <c r="C24" s="142" t="str">
        <f>IF(AND('A-9'!B74="-",'A-9'!B122="-",'A-9'!B170="-"),"-",SUM('A-9'!B74,'A-9'!B122,'A-9'!B170))</f>
        <v>-</v>
      </c>
      <c r="D24" s="142" t="str">
        <f>IF(AND('A-9'!C74="-",'A-9'!C122="-",'A-9'!C170="-"),"-",SUM('A-9'!C74,'A-9'!C122,'A-9'!C170))</f>
        <v>-</v>
      </c>
      <c r="E24" s="142">
        <f>IF(AND('A-9'!D74="-",'A-9'!D122="-",'A-9'!D170="-"),"-",SUM('A-9'!D74,'A-9'!D122,'A-9'!D170))</f>
        <v>1271</v>
      </c>
      <c r="F24" s="142">
        <f>IF(AND('A-9'!E74="-",'A-9'!E122="-",'A-9'!E170="-"),"-",SUM('A-9'!E74,'A-9'!E122,'A-9'!E170))</f>
        <v>917</v>
      </c>
      <c r="G24" s="142">
        <f>IF(AND('A-9'!F74="-",'A-9'!F122="-",'A-9'!F170="-"),"-",SUM('A-9'!F74,'A-9'!F122,'A-9'!F170))</f>
        <v>643</v>
      </c>
      <c r="H24" s="142">
        <f>IF(AND('A-9'!G74="-",'A-9'!G122="-",'A-9'!G170="-"),"-",SUM('A-9'!G74,'A-9'!G122,'A-9'!G170))</f>
        <v>4134</v>
      </c>
      <c r="I24" s="142">
        <f>IF(AND('A-9'!H74="-",'A-9'!H122="-",'A-9'!H170="-"),"-",SUM('A-9'!H74,'A-9'!H122,'A-9'!H170))</f>
        <v>4766</v>
      </c>
      <c r="J24" s="142">
        <f>IF(AND('A-9'!I74="-",'A-9'!I122="-",'A-9'!I170="-"),"-",SUM('A-9'!I74,'A-9'!I122,'A-9'!I170))</f>
        <v>3255</v>
      </c>
      <c r="K24" s="48" t="s">
        <v>106</v>
      </c>
      <c r="L24" s="142">
        <f>IF(AND('A-9'!K74="-",'A-9'!K122="-",'A-9'!K170="-"),"-",SUM('A-9'!K74,'A-9'!K122,'A-9'!K170))</f>
        <v>14986</v>
      </c>
    </row>
    <row r="25" spans="1:12" ht="11.25" customHeight="1">
      <c r="A25" s="99">
        <v>1997</v>
      </c>
      <c r="B25" s="142" t="s">
        <v>23</v>
      </c>
      <c r="C25" s="142" t="str">
        <f>IF(AND('A-9'!B75="-",'A-9'!B123="-",'A-9'!B171="-"),"-",SUM('A-9'!B75,'A-9'!B123,'A-9'!B171))</f>
        <v>-</v>
      </c>
      <c r="D25" s="142">
        <f>IF(AND('A-9'!C75="-",'A-9'!C123="-",'A-9'!C171="-"),"-",SUM('A-9'!C75,'A-9'!C123,'A-9'!C171))</f>
        <v>29</v>
      </c>
      <c r="E25" s="142">
        <f>IF(AND('A-9'!D75="-",'A-9'!D123="-",'A-9'!D171="-"),"-",SUM('A-9'!D75,'A-9'!D123,'A-9'!D171))</f>
        <v>439</v>
      </c>
      <c r="F25" s="142">
        <f>IF(AND('A-9'!E75="-",'A-9'!E123="-",'A-9'!E171="-"),"-",SUM('A-9'!E75,'A-9'!E123,'A-9'!E171))</f>
        <v>762</v>
      </c>
      <c r="G25" s="142">
        <f>IF(AND('A-9'!F75="-",'A-9'!F123="-",'A-9'!F171="-"),"-",SUM('A-9'!F75,'A-9'!F123,'A-9'!F171))</f>
        <v>873</v>
      </c>
      <c r="H25" s="142">
        <f>IF(AND('A-9'!G75="-",'A-9'!G123="-",'A-9'!G171="-"),"-",SUM('A-9'!G75,'A-9'!G123,'A-9'!G171))</f>
        <v>4044</v>
      </c>
      <c r="I25" s="142">
        <f>IF(AND('A-9'!H75="-",'A-9'!H123="-",'A-9'!H171="-"),"-",SUM('A-9'!H75,'A-9'!H123,'A-9'!H171))</f>
        <v>2142</v>
      </c>
      <c r="J25" s="142">
        <f>IF(AND('A-9'!I75="-",'A-9'!I123="-",'A-9'!I171="-"),"-",SUM('A-9'!I75,'A-9'!I123,'A-9'!I171))</f>
        <v>1673</v>
      </c>
      <c r="K25" s="48" t="s">
        <v>106</v>
      </c>
      <c r="L25" s="142">
        <f>IF(AND('A-9'!K75="-",'A-9'!K123="-",'A-9'!K171="-"),"-",SUM('A-9'!K75,'A-9'!K123,'A-9'!K171))</f>
        <v>9962</v>
      </c>
    </row>
    <row r="26" spans="1:12" ht="11.25" customHeight="1">
      <c r="A26" s="99">
        <v>1998</v>
      </c>
      <c r="B26" s="142" t="s">
        <v>23</v>
      </c>
      <c r="C26" s="142" t="str">
        <f>IF(AND('A-9'!B76="-",'A-9'!B124="-",'A-9'!B172="-"),"-",SUM('A-9'!B76,'A-9'!B124,'A-9'!B172))</f>
        <v>-</v>
      </c>
      <c r="D26" s="142">
        <f>IF(AND('A-9'!C76="-",'A-9'!C124="-",'A-9'!C172="-"),"-",SUM('A-9'!C76,'A-9'!C124,'A-9'!C172))</f>
        <v>0</v>
      </c>
      <c r="E26" s="142">
        <f>IF(AND('A-9'!D76="-",'A-9'!D124="-",'A-9'!D172="-"),"-",SUM('A-9'!D76,'A-9'!D124,'A-9'!D172))</f>
        <v>677</v>
      </c>
      <c r="F26" s="142">
        <f>IF(AND('A-9'!E76="-",'A-9'!E124="-",'A-9'!E172="-"),"-",SUM('A-9'!E76,'A-9'!E124,'A-9'!E172))</f>
        <v>166</v>
      </c>
      <c r="G26" s="142">
        <f>IF(AND('A-9'!F76="-",'A-9'!F124="-",'A-9'!F172="-"),"-",SUM('A-9'!F76,'A-9'!F124,'A-9'!F172))</f>
        <v>375</v>
      </c>
      <c r="H26" s="142">
        <f>IF(AND('A-9'!G76="-",'A-9'!G124="-",'A-9'!G172="-"),"-",SUM('A-9'!G76,'A-9'!G124,'A-9'!G172))</f>
        <v>3082</v>
      </c>
      <c r="I26" s="142">
        <f>IF(AND('A-9'!H76="-",'A-9'!H124="-",'A-9'!H172="-"),"-",SUM('A-9'!H76,'A-9'!H124,'A-9'!H172))</f>
        <v>2531</v>
      </c>
      <c r="J26" s="142">
        <f>IF(AND('A-9'!I76="-",'A-9'!I124="-",'A-9'!I172="-"),"-",SUM('A-9'!I76,'A-9'!I124,'A-9'!I172))</f>
        <v>2912</v>
      </c>
      <c r="K26" s="48" t="s">
        <v>106</v>
      </c>
      <c r="L26" s="142">
        <f>IF(AND('A-9'!K76="-",'A-9'!K124="-",'A-9'!K172="-"),"-",SUM('A-9'!K76,'A-9'!K124,'A-9'!K172))</f>
        <v>9743</v>
      </c>
    </row>
    <row r="27" spans="1:12" ht="11.25" customHeight="1">
      <c r="A27" s="99">
        <v>1999</v>
      </c>
      <c r="B27" s="142" t="s">
        <v>23</v>
      </c>
      <c r="C27" s="142" t="str">
        <f>IF(AND('A-9'!B77="-",'A-9'!B125="-",'A-9'!B173="-"),"-",SUM('A-9'!B77,'A-9'!B125,'A-9'!B173))</f>
        <v>-</v>
      </c>
      <c r="D27" s="142">
        <f>IF(AND('A-9'!C77="-",'A-9'!C125="-",'A-9'!C173="-"),"-",SUM('A-9'!C77,'A-9'!C125,'A-9'!C173))</f>
        <v>12</v>
      </c>
      <c r="E27" s="142">
        <f>IF(AND('A-9'!D77="-",'A-9'!D125="-",'A-9'!D173="-"),"-",SUM('A-9'!D77,'A-9'!D125,'A-9'!D173))</f>
        <v>663</v>
      </c>
      <c r="F27" s="142">
        <f>IF(AND('A-9'!E77="-",'A-9'!E125="-",'A-9'!E173="-"),"-",SUM('A-9'!E77,'A-9'!E125,'A-9'!E173))</f>
        <v>808</v>
      </c>
      <c r="G27" s="142">
        <f>IF(AND('A-9'!F77="-",'A-9'!F125="-",'A-9'!F173="-"),"-",SUM('A-9'!F77,'A-9'!F125,'A-9'!F173))</f>
        <v>15588</v>
      </c>
      <c r="H27" s="142">
        <f>IF(AND('A-9'!G77="-",'A-9'!G125="-",'A-9'!G173="-"),"-",SUM('A-9'!G77,'A-9'!G125,'A-9'!G173))</f>
        <v>2167</v>
      </c>
      <c r="I27" s="142">
        <f>IF(AND('A-9'!H77="-",'A-9'!H125="-",'A-9'!H173="-"),"-",SUM('A-9'!H77,'A-9'!H125,'A-9'!H173))</f>
        <v>3380</v>
      </c>
      <c r="J27" s="142">
        <f>IF(AND('A-9'!I77="-",'A-9'!I125="-",'A-9'!I173="-"),"-",SUM('A-9'!I77,'A-9'!I125,'A-9'!I173))</f>
        <v>3495</v>
      </c>
      <c r="K27" s="142">
        <f>IF(AND('A-9'!J77="-",'A-9'!J125="-",'A-9'!J173="-"),"-",SUM('A-9'!J77,'A-9'!J125,'A-9'!J173))</f>
        <v>104</v>
      </c>
      <c r="L27" s="142">
        <f>IF(AND('A-9'!K77="-",'A-9'!K125="-",'A-9'!K173="-"),"-",SUM('A-9'!K77,'A-9'!K125,'A-9'!K173))</f>
        <v>26217</v>
      </c>
    </row>
    <row r="28" spans="1:12" ht="11.25" customHeight="1">
      <c r="A28" s="99">
        <v>2000</v>
      </c>
      <c r="B28" s="142" t="s">
        <v>23</v>
      </c>
      <c r="C28" s="142" t="str">
        <f>IF(AND('A-9'!B78="-",'A-9'!B126="-",'A-9'!B174="-"),"-",SUM('A-9'!B78,'A-9'!B126,'A-9'!B174))</f>
        <v>-</v>
      </c>
      <c r="D28" s="142">
        <f>IF(AND('A-9'!C78="-",'A-9'!C126="-",'A-9'!C174="-"),"-",SUM('A-9'!C78,'A-9'!C126,'A-9'!C174))</f>
        <v>26</v>
      </c>
      <c r="E28" s="142">
        <f>IF(AND('A-9'!D78="-",'A-9'!D126="-",'A-9'!D174="-"),"-",SUM('A-9'!D78,'A-9'!D126,'A-9'!D174))</f>
        <v>490</v>
      </c>
      <c r="F28" s="142">
        <f>IF(AND('A-9'!E78="-",'A-9'!E126="-",'A-9'!E174="-"),"-",SUM('A-9'!E78,'A-9'!E126,'A-9'!E174))</f>
        <v>328</v>
      </c>
      <c r="G28" s="142">
        <f>IF(AND('A-9'!F78="-",'A-9'!F126="-",'A-9'!F174="-"),"-",SUM('A-9'!F78,'A-9'!F126,'A-9'!F174))</f>
        <v>30371</v>
      </c>
      <c r="H28" s="142">
        <f>IF(AND('A-9'!G78="-",'A-9'!G126="-",'A-9'!G174="-"),"-",SUM('A-9'!G78,'A-9'!G126,'A-9'!G174))</f>
        <v>8514</v>
      </c>
      <c r="I28" s="142">
        <f>IF(AND('A-9'!H78="-",'A-9'!H126="-",'A-9'!H174="-"),"-",SUM('A-9'!H78,'A-9'!H126,'A-9'!H174))</f>
        <v>4817</v>
      </c>
      <c r="J28" s="142">
        <f>IF(AND('A-9'!I78="-",'A-9'!I126="-",'A-9'!I174="-"),"-",SUM('A-9'!I78,'A-9'!I126,'A-9'!I174))</f>
        <v>3332</v>
      </c>
      <c r="K28" s="142">
        <f>IF(AND('A-9'!J78="-",'A-9'!J126="-",'A-9'!J174="-"),"-",SUM('A-9'!J78,'A-9'!J126,'A-9'!J174))</f>
        <v>235</v>
      </c>
      <c r="L28" s="142">
        <f>IF(AND('A-9'!K78="-",'A-9'!K126="-",'A-9'!K174="-"),"-",SUM('A-9'!K78,'A-9'!K126,'A-9'!K174))</f>
        <v>48113</v>
      </c>
    </row>
    <row r="29" spans="1:12" ht="11.25" customHeight="1">
      <c r="A29" s="99">
        <v>2001</v>
      </c>
      <c r="B29" s="142" t="s">
        <v>23</v>
      </c>
      <c r="C29" s="142" t="str">
        <f>IF(AND('A-9'!B79="-",'A-9'!B127="-",'A-9'!B175="-"),"-",SUM('A-9'!B79,'A-9'!B127,'A-9'!B175))</f>
        <v>-</v>
      </c>
      <c r="D29" s="142">
        <f>IF(AND('A-9'!C79="-",'A-9'!C127="-",'A-9'!C175="-"),"-",SUM('A-9'!C79,'A-9'!C127,'A-9'!C175))</f>
        <v>0</v>
      </c>
      <c r="E29" s="142">
        <f>IF(AND('A-9'!D79="-",'A-9'!D127="-",'A-9'!D175="-"),"-",SUM('A-9'!D79,'A-9'!D127,'A-9'!D175))</f>
        <v>1349</v>
      </c>
      <c r="F29" s="142">
        <f>IF(AND('A-9'!E79="-",'A-9'!E127="-",'A-9'!E175="-"),"-",SUM('A-9'!E79,'A-9'!E127,'A-9'!E175))</f>
        <v>17548</v>
      </c>
      <c r="G29" s="142">
        <f>IF(AND('A-9'!F79="-",'A-9'!F127="-",'A-9'!F175="-"),"-",SUM('A-9'!F79,'A-9'!F127,'A-9'!F175))</f>
        <v>35973</v>
      </c>
      <c r="H29" s="142">
        <f>IF(AND('A-9'!G79="-",'A-9'!G127="-",'A-9'!G175="-"),"-",SUM('A-9'!G79,'A-9'!G127,'A-9'!G175))</f>
        <v>9449</v>
      </c>
      <c r="I29" s="142">
        <f>IF(AND('A-9'!H79="-",'A-9'!H127="-",'A-9'!H175="-"),"-",SUM('A-9'!H79,'A-9'!H127,'A-9'!H175))</f>
        <v>4384</v>
      </c>
      <c r="J29" s="142">
        <f>IF(AND('A-9'!I79="-",'A-9'!I127="-",'A-9'!I175="-"),"-",SUM('A-9'!I79,'A-9'!I127,'A-9'!I175))</f>
        <v>2254</v>
      </c>
      <c r="K29" s="142">
        <f>IF(AND('A-9'!J79="-",'A-9'!J127="-",'A-9'!J175="-"),"-",SUM('A-9'!J79,'A-9'!J127,'A-9'!J175))</f>
        <v>162</v>
      </c>
      <c r="L29" s="142">
        <f>IF(AND('A-9'!K79="-",'A-9'!K127="-",'A-9'!K175="-"),"-",SUM('A-9'!K79,'A-9'!K127,'A-9'!K175))</f>
        <v>71119</v>
      </c>
    </row>
    <row r="30" spans="1:12" ht="11.25" customHeight="1">
      <c r="A30" s="99">
        <v>2002</v>
      </c>
      <c r="B30" s="142" t="s">
        <v>23</v>
      </c>
      <c r="C30" s="142" t="str">
        <f>IF(AND('A-9'!B80="-",'A-9'!B128="-",'A-9'!B176="-"),"-",SUM('A-9'!B80,'A-9'!B128,'A-9'!B176))</f>
        <v>-</v>
      </c>
      <c r="D30" s="142">
        <f>IF(AND('A-9'!C80="-",'A-9'!C128="-",'A-9'!C176="-"),"-",SUM('A-9'!C80,'A-9'!C128,'A-9'!C176))</f>
        <v>275</v>
      </c>
      <c r="E30" s="142">
        <f>IF(AND('A-9'!D80="-",'A-9'!D128="-",'A-9'!D176="-"),"-",SUM('A-9'!D80,'A-9'!D128,'A-9'!D176))</f>
        <v>1295</v>
      </c>
      <c r="F30" s="142">
        <f>IF(AND('A-9'!E80="-",'A-9'!E128="-",'A-9'!E176="-"),"-",SUM('A-9'!E80,'A-9'!E128,'A-9'!E176))</f>
        <v>6181</v>
      </c>
      <c r="G30" s="142">
        <f>IF(AND('A-9'!F80="-",'A-9'!F128="-",'A-9'!F176="-"),"-",SUM('A-9'!F80,'A-9'!F128,'A-9'!F176))</f>
        <v>36658</v>
      </c>
      <c r="H30" s="142">
        <f>IF(AND('A-9'!G80="-",'A-9'!G128="-",'A-9'!G176="-"),"-",SUM('A-9'!G80,'A-9'!G128,'A-9'!G176))</f>
        <v>14194</v>
      </c>
      <c r="I30" s="142">
        <f>IF(AND('A-9'!H80="-",'A-9'!H128="-",'A-9'!H176="-"),"-",SUM('A-9'!H80,'A-9'!H128,'A-9'!H176))</f>
        <v>9322</v>
      </c>
      <c r="J30" s="142">
        <f>IF(AND('A-9'!I80="-",'A-9'!I128="-",'A-9'!I176="-"),"-",SUM('A-9'!I80,'A-9'!I128,'A-9'!I176))</f>
        <v>7893</v>
      </c>
      <c r="K30" s="142">
        <f>IF(AND('A-9'!J80="-",'A-9'!J128="-",'A-9'!J176="-"),"-",SUM('A-9'!J80,'A-9'!J128,'A-9'!J176))</f>
        <v>50</v>
      </c>
      <c r="L30" s="142">
        <f>IF(AND('A-9'!K80="-",'A-9'!K128="-",'A-9'!K176="-"),"-",SUM('A-9'!K80,'A-9'!K128,'A-9'!K176))</f>
        <v>75868</v>
      </c>
    </row>
    <row r="31" spans="1:12" ht="11.25" customHeight="1">
      <c r="A31" s="99">
        <v>2003</v>
      </c>
      <c r="B31" s="142" t="s">
        <v>23</v>
      </c>
      <c r="C31" s="142">
        <f>IF(AND('A-9'!B81="-",'A-9'!B129="-",'A-9'!B177="-"),"-",SUM('A-9'!B81,'A-9'!B129,'A-9'!B177))</f>
        <v>81</v>
      </c>
      <c r="D31" s="142">
        <f>IF(AND('A-9'!C81="-",'A-9'!C129="-",'A-9'!C177="-"),"-",SUM('A-9'!C81,'A-9'!C129,'A-9'!C177))</f>
        <v>139</v>
      </c>
      <c r="E31" s="142">
        <f>IF(AND('A-9'!D81="-",'A-9'!D129="-",'A-9'!D177="-"),"-",SUM('A-9'!D81,'A-9'!D129,'A-9'!D177))</f>
        <v>1695</v>
      </c>
      <c r="F31" s="142">
        <f>IF(AND('A-9'!E81="-",'A-9'!E129="-",'A-9'!E177="-"),"-",SUM('A-9'!E81,'A-9'!E129,'A-9'!E177))</f>
        <v>10884</v>
      </c>
      <c r="G31" s="142">
        <f>IF(AND('A-9'!F81="-",'A-9'!F129="-",'A-9'!F177="-"),"-",SUM('A-9'!F81,'A-9'!F129,'A-9'!F177))</f>
        <v>54115</v>
      </c>
      <c r="H31" s="142">
        <f>IF(AND('A-9'!G81="-",'A-9'!G129="-",'A-9'!G177="-"),"-",SUM('A-9'!G81,'A-9'!G129,'A-9'!G177))</f>
        <v>31069</v>
      </c>
      <c r="I31" s="142">
        <f>IF(AND('A-9'!H81="-",'A-9'!H129="-",'A-9'!H177="-"),"-",SUM('A-9'!H81,'A-9'!H129,'A-9'!H177))</f>
        <v>8437</v>
      </c>
      <c r="J31" s="142">
        <f>IF(AND('A-9'!I81="-",'A-9'!I129="-",'A-9'!I177="-"),"-",SUM('A-9'!I81,'A-9'!I129,'A-9'!I177))</f>
        <v>3635</v>
      </c>
      <c r="K31" s="142">
        <f>IF(AND('A-9'!J81="-",'A-9'!J129="-",'A-9'!J177="-"),"-",SUM('A-9'!J81,'A-9'!J129,'A-9'!J177))</f>
        <v>395</v>
      </c>
      <c r="L31" s="142">
        <f>IF(AND('A-9'!K81="-",'A-9'!K129="-",'A-9'!K177="-"),"-",SUM('A-9'!K81,'A-9'!K129,'A-9'!K177))</f>
        <v>110450</v>
      </c>
    </row>
    <row r="32" spans="1:12" ht="11.25" customHeight="1">
      <c r="A32" s="99">
        <v>2004</v>
      </c>
      <c r="B32" s="142" t="s">
        <v>23</v>
      </c>
      <c r="C32" s="142">
        <f>IF(AND('A-9'!B82="-",'A-9'!B130="-",'A-9'!B178="-"),"-",SUM('A-9'!B82,'A-9'!B130,'A-9'!B178))</f>
        <v>78</v>
      </c>
      <c r="D32" s="142">
        <f>IF(AND('A-9'!C82="-",'A-9'!C130="-",'A-9'!C178="-"),"-",SUM('A-9'!C82,'A-9'!C130,'A-9'!C178))</f>
        <v>238</v>
      </c>
      <c r="E32" s="142">
        <f>IF(AND('A-9'!D82="-",'A-9'!D130="-",'A-9'!D178="-"),"-",SUM('A-9'!D82,'A-9'!D130,'A-9'!D178))</f>
        <v>1490</v>
      </c>
      <c r="F32" s="142">
        <f>IF(AND('A-9'!E82="-",'A-9'!E130="-",'A-9'!E178="-"),"-",SUM('A-9'!E82,'A-9'!E130,'A-9'!E178))</f>
        <v>14867</v>
      </c>
      <c r="G32" s="142">
        <f>IF(AND('A-9'!F82="-",'A-9'!F130="-",'A-9'!F178="-"),"-",SUM('A-9'!F82,'A-9'!F130,'A-9'!F178))</f>
        <v>49370</v>
      </c>
      <c r="H32" s="142">
        <f>IF(AND('A-9'!G82="-",'A-9'!G130="-",'A-9'!G178="-"),"-",SUM('A-9'!G82,'A-9'!G130,'A-9'!G178))</f>
        <v>28773</v>
      </c>
      <c r="I32" s="142">
        <f>IF(AND('A-9'!H82="-",'A-9'!H130="-",'A-9'!H178="-"),"-",SUM('A-9'!H82,'A-9'!H130,'A-9'!H178))</f>
        <v>10599</v>
      </c>
      <c r="J32" s="142">
        <f>IF(AND('A-9'!I82="-",'A-9'!I130="-",'A-9'!I178="-"),"-",SUM('A-9'!I82,'A-9'!I130,'A-9'!I178))</f>
        <v>3094</v>
      </c>
      <c r="K32" s="142">
        <f>IF(AND('A-9'!J82="-",'A-9'!J130="-",'A-9'!J178="-"),"-",SUM('A-9'!J82,'A-9'!J130,'A-9'!J178))</f>
        <v>291</v>
      </c>
      <c r="L32" s="142">
        <f>IF(AND('A-9'!K82="-",'A-9'!K130="-",'A-9'!K178="-"),"-",SUM('A-9'!K82,'A-9'!K130,'A-9'!K178))</f>
        <v>108800</v>
      </c>
    </row>
    <row r="33" spans="1:12" ht="11.25" customHeight="1">
      <c r="A33" s="99">
        <v>2005</v>
      </c>
      <c r="B33" s="142" t="s">
        <v>23</v>
      </c>
      <c r="C33" s="142">
        <f>IF(AND('A-9'!B83="-",'A-9'!B131="-",'A-9'!B179="-"),"-",SUM('A-9'!B83,'A-9'!B131,'A-9'!B179))</f>
        <v>30</v>
      </c>
      <c r="D33" s="142">
        <f>IF(AND('A-9'!C83="-",'A-9'!C131="-",'A-9'!C179="-"),"-",SUM('A-9'!C83,'A-9'!C131,'A-9'!C179))</f>
        <v>406</v>
      </c>
      <c r="E33" s="142">
        <f>IF(AND('A-9'!D83="-",'A-9'!D131="-",'A-9'!D179="-"),"-",SUM('A-9'!D83,'A-9'!D131,'A-9'!D179))</f>
        <v>1470</v>
      </c>
      <c r="F33" s="142">
        <f>IF(AND('A-9'!E83="-",'A-9'!E131="-",'A-9'!E179="-"),"-",SUM('A-9'!E83,'A-9'!E131,'A-9'!E179))</f>
        <v>12598</v>
      </c>
      <c r="G33" s="142">
        <f>IF(AND('A-9'!F83="-",'A-9'!F131="-",'A-9'!F179="-"),"-",SUM('A-9'!F83,'A-9'!F131,'A-9'!F179))</f>
        <v>13820</v>
      </c>
      <c r="H33" s="142">
        <f>IF(AND('A-9'!G83="-",'A-9'!G131="-",'A-9'!G179="-"),"-",SUM('A-9'!G83,'A-9'!G131,'A-9'!G179))</f>
        <v>9797</v>
      </c>
      <c r="I33" s="142">
        <f>IF(AND('A-9'!H83="-",'A-9'!H131="-",'A-9'!H179="-"),"-",SUM('A-9'!H83,'A-9'!H131,'A-9'!H179))</f>
        <v>11248</v>
      </c>
      <c r="J33" s="142">
        <f>IF(AND('A-9'!I83="-",'A-9'!I131="-",'A-9'!I179="-"),"-",SUM('A-9'!I83,'A-9'!I131,'A-9'!I179))</f>
        <v>778</v>
      </c>
      <c r="K33" s="142">
        <f>IF(AND('A-9'!J83="-",'A-9'!J131="-",'A-9'!J179="-"),"-",SUM('A-9'!J83,'A-9'!J131,'A-9'!J179))</f>
        <v>12</v>
      </c>
      <c r="L33" s="142">
        <f>IF(AND('A-9'!K83="-",'A-9'!K131="-",'A-9'!K179="-"),"-",SUM('A-9'!K83,'A-9'!K131,'A-9'!K179))</f>
        <v>50159</v>
      </c>
    </row>
    <row r="34" spans="1:12" ht="11.25" customHeight="1">
      <c r="A34" s="99">
        <v>2006</v>
      </c>
      <c r="B34" s="142" t="s">
        <v>23</v>
      </c>
      <c r="C34" s="142">
        <f>IF(AND('A-9'!B84="-",'A-9'!B132="-",'A-9'!B180="-"),"-",SUM('A-9'!B84,'A-9'!B132,'A-9'!B180))</f>
        <v>24</v>
      </c>
      <c r="D34" s="142">
        <f>IF(AND('A-9'!C84="-",'A-9'!C132="-",'A-9'!C180="-"),"-",SUM('A-9'!C84,'A-9'!C132,'A-9'!C180))</f>
        <v>92</v>
      </c>
      <c r="E34" s="142">
        <f>IF(AND('A-9'!D84="-",'A-9'!D132="-",'A-9'!D180="-"),"-",SUM('A-9'!D84,'A-9'!D132,'A-9'!D180))</f>
        <v>803</v>
      </c>
      <c r="F34" s="142">
        <f>IF(AND('A-9'!E84="-",'A-9'!E132="-",'A-9'!E180="-"),"-",SUM('A-9'!E84,'A-9'!E132,'A-9'!E180))</f>
        <v>4918</v>
      </c>
      <c r="G34" s="142">
        <f>IF(AND('A-9'!F84="-",'A-9'!F132="-",'A-9'!F180="-"),"-",SUM('A-9'!F84,'A-9'!F132,'A-9'!F180))</f>
        <v>18334</v>
      </c>
      <c r="H34" s="142">
        <f>IF(AND('A-9'!G84="-",'A-9'!G132="-",'A-9'!G180="-"),"-",SUM('A-9'!G84,'A-9'!G132,'A-9'!G180))</f>
        <v>3817</v>
      </c>
      <c r="I34" s="142">
        <f>IF(AND('A-9'!H84="-",'A-9'!H132="-",'A-9'!H180="-"),"-",SUM('A-9'!H84,'A-9'!H132,'A-9'!H180))</f>
        <v>9995</v>
      </c>
      <c r="J34" s="142">
        <f>IF(AND('A-9'!I84="-",'A-9'!I132="-",'A-9'!I180="-"),"-",SUM('A-9'!I84,'A-9'!I132,'A-9'!I180))</f>
        <v>5368</v>
      </c>
      <c r="K34" s="142">
        <f>IF(AND('A-9'!J84="-",'A-9'!J132="-",'A-9'!J180="-"),"-",SUM('A-9'!J84,'A-9'!J132,'A-9'!J180))</f>
        <v>98</v>
      </c>
      <c r="L34" s="142">
        <f>IF(AND('A-9'!K84="-",'A-9'!K132="-",'A-9'!K180="-"),"-",SUM('A-9'!K84,'A-9'!K132,'A-9'!K180))</f>
        <v>43449</v>
      </c>
    </row>
    <row r="35" spans="1:12" ht="11.25" customHeight="1">
      <c r="A35" s="99">
        <v>2007</v>
      </c>
      <c r="B35" s="142" t="s">
        <v>23</v>
      </c>
      <c r="C35" s="142">
        <f>IF(AND('A-9'!B85="-",'A-9'!B133="-",'A-9'!B181="-"),"-",SUM('A-9'!B85,'A-9'!B133,'A-9'!B181))</f>
        <v>36</v>
      </c>
      <c r="D35" s="142">
        <f>IF(AND('A-9'!C85="-",'A-9'!C133="-",'A-9'!C181="-"),"-",SUM('A-9'!C85,'A-9'!C133,'A-9'!C181))</f>
        <v>75</v>
      </c>
      <c r="E35" s="142">
        <f>IF(AND('A-9'!D85="-",'A-9'!D133="-",'A-9'!D181="-"),"-",SUM('A-9'!D85,'A-9'!D133,'A-9'!D181))</f>
        <v>1244</v>
      </c>
      <c r="F35" s="142">
        <f>IF(AND('A-9'!E85="-",'A-9'!E133="-",'A-9'!E181="-"),"-",SUM('A-9'!E85,'A-9'!E133,'A-9'!E181))</f>
        <v>7828</v>
      </c>
      <c r="G35" s="142">
        <f>IF(AND('A-9'!F85="-",'A-9'!F133="-",'A-9'!F181="-"),"-",SUM('A-9'!F85,'A-9'!F133,'A-9'!F181))</f>
        <v>22067</v>
      </c>
      <c r="H35" s="142">
        <f>IF(AND('A-9'!G85="-",'A-9'!G133="-",'A-9'!G181="-"),"-",SUM('A-9'!G85,'A-9'!G133,'A-9'!G181))</f>
        <v>25908</v>
      </c>
      <c r="I35" s="142">
        <f>IF(AND('A-9'!H85="-",'A-9'!H133="-",'A-9'!H181="-"),"-",SUM('A-9'!H85,'A-9'!H133,'A-9'!H181))</f>
        <v>5227</v>
      </c>
      <c r="J35" s="142">
        <f>IF(AND('A-9'!I85="-",'A-9'!I133="-",'A-9'!I181="-"),"-",SUM('A-9'!I85,'A-9'!I133,'A-9'!I181))</f>
        <v>2341</v>
      </c>
      <c r="K35" s="142">
        <f>IF(AND('A-9'!J85="-",'A-9'!J133="-",'A-9'!J181="-"),"-",SUM('A-9'!J85,'A-9'!J133,'A-9'!J181))</f>
        <v>40</v>
      </c>
      <c r="L35" s="142">
        <f>IF(AND('A-9'!K85="-",'A-9'!K133="-",'A-9'!K181="-"),"-",SUM('A-9'!K85,'A-9'!K133,'A-9'!K181))</f>
        <v>64766</v>
      </c>
    </row>
    <row r="36" spans="1:12" ht="11.25" customHeight="1">
      <c r="A36" s="99">
        <v>2008</v>
      </c>
      <c r="B36" s="142" t="s">
        <v>23</v>
      </c>
      <c r="C36" s="142" t="str">
        <f>IF(AND('A-9'!B86="-",'A-9'!B134="-",'A-9'!B182="-"),"-",SUM('A-9'!B86,'A-9'!B134,'A-9'!B182))</f>
        <v>-</v>
      </c>
      <c r="D36" s="142" t="str">
        <f>IF(AND('A-9'!C86="-",'A-9'!C134="-",'A-9'!C182="-"),"-",SUM('A-9'!C86,'A-9'!C134,'A-9'!C182))</f>
        <v>-</v>
      </c>
      <c r="E36" s="142" t="str">
        <f>IF(AND('A-9'!D86="-",'A-9'!D134="-",'A-9'!D182="-"),"-",SUM('A-9'!D86,'A-9'!D134,'A-9'!D182))</f>
        <v>-</v>
      </c>
      <c r="F36" s="142">
        <f>IF(AND('A-9'!E86="-",'A-9'!E134="-",'A-9'!E182="-"),"-",SUM('A-9'!E86,'A-9'!E134,'A-9'!E182))</f>
        <v>3253</v>
      </c>
      <c r="G36" s="142">
        <f>IF(AND('A-9'!F86="-",'A-9'!F134="-",'A-9'!F182="-"),"-",SUM('A-9'!F86,'A-9'!F134,'A-9'!F182))</f>
        <v>7681</v>
      </c>
      <c r="H36" s="142">
        <f>IF(AND('A-9'!G86="-",'A-9'!G134="-",'A-9'!G182="-"),"-",SUM('A-9'!G86,'A-9'!G134,'A-9'!G182))</f>
        <v>5052</v>
      </c>
      <c r="I36" s="142">
        <f>IF(AND('A-9'!H86="-",'A-9'!H134="-",'A-9'!H182="-"),"-",SUM('A-9'!H86,'A-9'!H134,'A-9'!H182))</f>
        <v>3635</v>
      </c>
      <c r="J36" s="142">
        <f>IF(AND('A-9'!I86="-",'A-9'!I134="-",'A-9'!I182="-"),"-",SUM('A-9'!I86,'A-9'!I134,'A-9'!I182))</f>
        <v>2348</v>
      </c>
      <c r="K36" s="48" t="s">
        <v>106</v>
      </c>
      <c r="L36" s="142">
        <f>IF(AND('A-9'!K86="-",'A-9'!K134="-",'A-9'!K182="-"),"-",SUM('A-9'!K86,'A-9'!K134,'A-9'!K182))</f>
        <v>21969</v>
      </c>
    </row>
    <row r="37" spans="1:12" ht="11.25" customHeight="1">
      <c r="A37" s="99">
        <v>2009</v>
      </c>
      <c r="B37" s="142" t="s">
        <v>23</v>
      </c>
      <c r="C37" s="142" t="str">
        <f>IF(AND('A-9'!B87="-",'A-9'!B135="-",'A-9'!B183="-"),"-",SUM('A-9'!B87,'A-9'!B135,'A-9'!B183))</f>
        <v>-</v>
      </c>
      <c r="D37" s="142" t="str">
        <f>IF(AND('A-9'!C87="-",'A-9'!C135="-",'A-9'!C183="-"),"-",SUM('A-9'!C87,'A-9'!C135,'A-9'!C183))</f>
        <v>-</v>
      </c>
      <c r="E37" s="142" t="str">
        <f>IF(AND('A-9'!D87="-",'A-9'!D135="-",'A-9'!D183="-"),"-",SUM('A-9'!D87,'A-9'!D135,'A-9'!D183))</f>
        <v>-</v>
      </c>
      <c r="F37" s="142">
        <f>IF(AND('A-9'!E87="-",'A-9'!E135="-",'A-9'!E183="-"),"-",SUM('A-9'!E87,'A-9'!E135,'A-9'!E183))</f>
        <v>4144</v>
      </c>
      <c r="G37" s="142">
        <f>IF(AND('A-9'!F87="-",'A-9'!F135="-",'A-9'!F183="-"),"-",SUM('A-9'!F87,'A-9'!F135,'A-9'!F183))</f>
        <v>33012</v>
      </c>
      <c r="H37" s="142">
        <f>IF(AND('A-9'!G87="-",'A-9'!G135="-",'A-9'!G183="-"),"-",SUM('A-9'!G87,'A-9'!G135,'A-9'!G183))</f>
        <v>23429</v>
      </c>
      <c r="I37" s="142">
        <f>IF(AND('A-9'!H87="-",'A-9'!H135="-",'A-9'!H183="-"),"-",SUM('A-9'!H87,'A-9'!H135,'A-9'!H183))</f>
        <v>3743</v>
      </c>
      <c r="J37" s="142">
        <f>IF(AND('A-9'!I87="-",'A-9'!I135="-",'A-9'!I183="-"),"-",SUM('A-9'!I87,'A-9'!I135,'A-9'!I183))</f>
        <v>2009</v>
      </c>
      <c r="K37" s="48" t="s">
        <v>106</v>
      </c>
      <c r="L37" s="142">
        <f>IF(AND('A-9'!K87="-",'A-9'!K135="-",'A-9'!K183="-"),"-",SUM('A-9'!K87,'A-9'!K135,'A-9'!K183))</f>
        <v>66337</v>
      </c>
    </row>
    <row r="38" spans="1:12" ht="11.25" customHeight="1">
      <c r="A38" s="99">
        <v>2010</v>
      </c>
      <c r="B38" s="142" t="s">
        <v>23</v>
      </c>
      <c r="C38" s="142" t="str">
        <f>IF(AND('A-9'!B88="-",'A-9'!B136="-",'A-9'!B184="-"),"-",SUM('A-9'!B88,'A-9'!B136,'A-9'!B184))</f>
        <v>-</v>
      </c>
      <c r="D38" s="142" t="str">
        <f>IF(AND('A-9'!C88="-",'A-9'!C136="-",'A-9'!C184="-"),"-",SUM('A-9'!C88,'A-9'!C136,'A-9'!C184))</f>
        <v>-</v>
      </c>
      <c r="E38" s="142">
        <f>IF(AND('A-9'!D88="-",'A-9'!D136="-",'A-9'!D184="-"),"-",SUM('A-9'!D88,'A-9'!D136,'A-9'!D184))</f>
        <v>863</v>
      </c>
      <c r="F38" s="142">
        <f>IF(AND('A-9'!E88="-",'A-9'!E136="-",'A-9'!E184="-"),"-",SUM('A-9'!E88,'A-9'!E136,'A-9'!E184))</f>
        <v>2960</v>
      </c>
      <c r="G38" s="142">
        <f>IF(AND('A-9'!F88="-",'A-9'!F136="-",'A-9'!F184="-"),"-",SUM('A-9'!F88,'A-9'!F136,'A-9'!F184))</f>
        <v>9116</v>
      </c>
      <c r="H38" s="142">
        <f>IF(AND('A-9'!G88="-",'A-9'!G136="-",'A-9'!G184="-"),"-",SUM('A-9'!G88,'A-9'!G136,'A-9'!G184))</f>
        <v>16794</v>
      </c>
      <c r="I38" s="142">
        <f>IF(AND('A-9'!H88="-",'A-9'!H136="-",'A-9'!H184="-"),"-",SUM('A-9'!H88,'A-9'!H136,'A-9'!H184))</f>
        <v>6334</v>
      </c>
      <c r="J38" s="142">
        <f>IF(AND('A-9'!I88="-",'A-9'!I136="-",'A-9'!I184="-"),"-",SUM('A-9'!I88,'A-9'!I136,'A-9'!I184))</f>
        <v>1048</v>
      </c>
      <c r="K38" s="48" t="s">
        <v>106</v>
      </c>
      <c r="L38" s="142">
        <f>IF(AND('A-9'!K88="-",'A-9'!K136="-",'A-9'!K184="-"),"-",SUM('A-9'!K88,'A-9'!K136,'A-9'!K184))</f>
        <v>37115</v>
      </c>
    </row>
    <row r="39" spans="1:12" ht="11.25" customHeight="1">
      <c r="A39" s="99">
        <v>2011</v>
      </c>
      <c r="B39" s="142" t="s">
        <v>23</v>
      </c>
      <c r="C39" s="142">
        <f>IF(AND('A-9'!B89="-",'A-9'!B137="-",'A-9'!B185="-"),"-",SUM('A-9'!B89,'A-9'!B137,'A-9'!B185))</f>
        <v>22</v>
      </c>
      <c r="D39" s="142">
        <f>IF(AND('A-9'!C89="-",'A-9'!C137="-",'A-9'!C185="-"),"-",SUM('A-9'!C89,'A-9'!C137,'A-9'!C185))</f>
        <v>75</v>
      </c>
      <c r="E39" s="142">
        <f>IF(AND('A-9'!D89="-",'A-9'!D137="-",'A-9'!D185="-"),"-",SUM('A-9'!D89,'A-9'!D137,'A-9'!D185))</f>
        <v>433</v>
      </c>
      <c r="F39" s="142">
        <f>IF(AND('A-9'!E89="-",'A-9'!E137="-",'A-9'!E185="-"),"-",SUM('A-9'!E89,'A-9'!E137,'A-9'!E185))</f>
        <v>2965</v>
      </c>
      <c r="G39" s="142">
        <f>IF(AND('A-9'!F89="-",'A-9'!F137="-",'A-9'!F185="-"),"-",SUM('A-9'!F89,'A-9'!F137,'A-9'!F185))</f>
        <v>10835</v>
      </c>
      <c r="H39" s="142">
        <f>IF(AND('A-9'!G89="-",'A-9'!G137="-",'A-9'!G185="-"),"-",SUM('A-9'!G89,'A-9'!G137,'A-9'!G185))</f>
        <v>10173</v>
      </c>
      <c r="I39" s="142">
        <f>IF(AND('A-9'!H89="-",'A-9'!H137="-",'A-9'!H185="-"),"-",SUM('A-9'!H89,'A-9'!H137,'A-9'!H185))</f>
        <v>9354</v>
      </c>
      <c r="J39" s="142">
        <f>IF(AND('A-9'!I89="-",'A-9'!I137="-",'A-9'!I185="-"),"-",SUM('A-9'!I89,'A-9'!I137,'A-9'!I185))</f>
        <v>1240</v>
      </c>
      <c r="K39" s="142">
        <f>IF(AND('A-9'!J89="-",'A-9'!J137="-",'A-9'!J185="-"),"-",SUM('A-9'!J89,'A-9'!J137,'A-9'!J185))</f>
        <v>16</v>
      </c>
      <c r="L39" s="142">
        <f>IF(AND('A-9'!K89="-",'A-9'!K137="-",'A-9'!K185="-"),"-",SUM('A-9'!K89,'A-9'!K137,'A-9'!K185))</f>
        <v>35113</v>
      </c>
    </row>
    <row r="40" spans="1:12" ht="11.25" customHeight="1">
      <c r="A40" s="99">
        <v>2012</v>
      </c>
      <c r="B40" s="142" t="s">
        <v>23</v>
      </c>
      <c r="C40" s="142">
        <f>IF(AND('A-9'!B90="-",'A-9'!B138="-",'A-9'!B186="-"),"-",SUM('A-9'!B90,'A-9'!B138,'A-9'!B186))</f>
        <v>23</v>
      </c>
      <c r="D40" s="142">
        <f>IF(AND('A-9'!C90="-",'A-9'!C138="-",'A-9'!C186="-"),"-",SUM('A-9'!C90,'A-9'!C138,'A-9'!C186))</f>
        <v>380</v>
      </c>
      <c r="E40" s="142">
        <f>IF(AND('A-9'!D90="-",'A-9'!D138="-",'A-9'!D186="-"),"-",SUM('A-9'!D90,'A-9'!D138,'A-9'!D186))</f>
        <v>1622</v>
      </c>
      <c r="F40" s="142">
        <f>IF(AND('A-9'!E90="-",'A-9'!E138="-",'A-9'!E186="-"),"-",SUM('A-9'!E90,'A-9'!E138,'A-9'!E186))</f>
        <v>3778</v>
      </c>
      <c r="G40" s="142">
        <f>IF(AND('A-9'!F90="-",'A-9'!F138="-",'A-9'!F186="-"),"-",SUM('A-9'!F90,'A-9'!F138,'A-9'!F186))</f>
        <v>9872</v>
      </c>
      <c r="H40" s="142">
        <f>IF(AND('A-9'!G90="-",'A-9'!G138="-",'A-9'!G186="-"),"-",SUM('A-9'!G90,'A-9'!G138,'A-9'!G186))</f>
        <v>12531</v>
      </c>
      <c r="I40" s="142">
        <f>IF(AND('A-9'!H90="-",'A-9'!H138="-",'A-9'!H186="-"),"-",SUM('A-9'!H90,'A-9'!H138,'A-9'!H186))</f>
        <v>13720</v>
      </c>
      <c r="J40" s="142">
        <f>IF(AND('A-9'!I90="-",'A-9'!I138="-",'A-9'!I186="-"),"-",SUM('A-9'!I90,'A-9'!I138,'A-9'!I186))</f>
        <v>1705</v>
      </c>
      <c r="K40" s="142">
        <f>IF(AND('A-9'!J90="-",'A-9'!J138="-",'A-9'!J186="-"),"-",SUM('A-9'!J90,'A-9'!J138,'A-9'!J186))</f>
        <v>18</v>
      </c>
      <c r="L40" s="142">
        <f>IF(AND('A-9'!K90="-",'A-9'!K138="-",'A-9'!K186="-"),"-",SUM('A-9'!K90,'A-9'!K138,'A-9'!K186))</f>
        <v>43649</v>
      </c>
    </row>
    <row r="41" spans="1:12" ht="11.25" customHeight="1">
      <c r="A41" s="99">
        <v>2013</v>
      </c>
      <c r="B41" s="142" t="s">
        <v>23</v>
      </c>
      <c r="C41" s="142">
        <f>IF(AND('A-9'!B91="-",'A-9'!B139="-",'A-9'!B187="-"),"-",SUM('A-9'!B91,'A-9'!B139,'A-9'!B187))</f>
        <v>479</v>
      </c>
      <c r="D41" s="142">
        <f>IF(AND('A-9'!C91="-",'A-9'!C139="-",'A-9'!C187="-"),"-",SUM('A-9'!C91,'A-9'!C139,'A-9'!C187))</f>
        <v>693</v>
      </c>
      <c r="E41" s="142">
        <f>IF(AND('A-9'!D91="-",'A-9'!D139="-",'A-9'!D187="-"),"-",SUM('A-9'!D91,'A-9'!D139,'A-9'!D187))</f>
        <v>911</v>
      </c>
      <c r="F41" s="142">
        <f>IF(AND('A-9'!E91="-",'A-9'!E139="-",'A-9'!E187="-"),"-",SUM('A-9'!E91,'A-9'!E139,'A-9'!E187))</f>
        <v>3970</v>
      </c>
      <c r="G41" s="142">
        <f>IF(AND('A-9'!F91="-",'A-9'!F139="-",'A-9'!F187="-"),"-",SUM('A-9'!F91,'A-9'!F139,'A-9'!F187))</f>
        <v>11214</v>
      </c>
      <c r="H41" s="142">
        <f>IF(AND('A-9'!G91="-",'A-9'!G139="-",'A-9'!G187="-"),"-",SUM('A-9'!G91,'A-9'!G139,'A-9'!G187))</f>
        <v>25977</v>
      </c>
      <c r="I41" s="142">
        <f>IF(AND('A-9'!H91="-",'A-9'!H139="-",'A-9'!H187="-"),"-",SUM('A-9'!H91,'A-9'!H139,'A-9'!H187))</f>
        <v>11833</v>
      </c>
      <c r="J41" s="142">
        <f>IF(AND('A-9'!I91="-",'A-9'!I139="-",'A-9'!I187="-"),"-",SUM('A-9'!I91,'A-9'!I139,'A-9'!I187))</f>
        <v>4214</v>
      </c>
      <c r="K41" s="48" t="s">
        <v>106</v>
      </c>
      <c r="L41" s="142">
        <f>IF(AND('A-9'!K91="-",'A-9'!K139="-",'A-9'!K187="-"),"-",SUM('A-9'!K91,'A-9'!K139,'A-9'!K187))</f>
        <v>59291</v>
      </c>
    </row>
    <row r="42" spans="1:12" ht="11.25" customHeight="1">
      <c r="A42" s="99">
        <v>2014</v>
      </c>
      <c r="B42" s="142" t="s">
        <v>23</v>
      </c>
      <c r="C42" s="142">
        <f>IF(AND('A-9'!B92="-",'A-9'!B140="-",'A-9'!B188="-"),"-",SUM('A-9'!B92,'A-9'!B140,'A-9'!B188))</f>
        <v>87</v>
      </c>
      <c r="D42" s="142">
        <f>IF(AND('A-9'!C92="-",'A-9'!C140="-",'A-9'!C188="-"),"-",SUM('A-9'!C92,'A-9'!C140,'A-9'!C188))</f>
        <v>136</v>
      </c>
      <c r="E42" s="142">
        <f>IF(AND('A-9'!D92="-",'A-9'!D140="-",'A-9'!D188="-"),"-",SUM('A-9'!D92,'A-9'!D140,'A-9'!D188))</f>
        <v>2235</v>
      </c>
      <c r="F42" s="142">
        <f>IF(AND('A-9'!E92="-",'A-9'!E140="-",'A-9'!E188="-"),"-",SUM('A-9'!E92,'A-9'!E140,'A-9'!E188))</f>
        <v>5251</v>
      </c>
      <c r="G42" s="142">
        <f>IF(AND('A-9'!F92="-",'A-9'!F140="-",'A-9'!F188="-"),"-",SUM('A-9'!F92,'A-9'!F140,'A-9'!F188))</f>
        <v>32802</v>
      </c>
      <c r="H42" s="142">
        <f>IF(AND('A-9'!G92="-",'A-9'!G140="-",'A-9'!G188="-"),"-",SUM('A-9'!G92,'A-9'!G140,'A-9'!G188))</f>
        <v>25863</v>
      </c>
      <c r="I42" s="142">
        <f>IF(AND('A-9'!H92="-",'A-9'!H140="-",'A-9'!H188="-"),"-",SUM('A-9'!H92,'A-9'!H140,'A-9'!H188))</f>
        <v>24388</v>
      </c>
      <c r="J42" s="142">
        <f>IF(AND('A-9'!I92="-",'A-9'!I140="-",'A-9'!I188="-"),"-",SUM('A-9'!I92,'A-9'!I140,'A-9'!I188))</f>
        <v>1421</v>
      </c>
      <c r="K42" s="48" t="s">
        <v>106</v>
      </c>
      <c r="L42" s="142">
        <f>IF(AND('A-9'!K92="-",'A-9'!K140="-",'A-9'!K188="-"),"-",SUM('A-9'!K92,'A-9'!K140,'A-9'!K188))</f>
        <v>92183</v>
      </c>
    </row>
    <row r="43" spans="1:12" ht="11.25" customHeight="1">
      <c r="A43" s="99">
        <v>2015</v>
      </c>
      <c r="B43" s="142" t="s">
        <v>23</v>
      </c>
      <c r="C43" s="142">
        <f>IF(AND('A-9'!B93="-",'A-9'!B141="-",'A-9'!B189="-"),"-",SUM('A-9'!B93,'A-9'!B141,'A-9'!B189))</f>
        <v>60</v>
      </c>
      <c r="D43" s="142">
        <f>IF(AND('A-9'!C93="-",'A-9'!C141="-",'A-9'!C189="-"),"-",SUM('A-9'!C93,'A-9'!C141,'A-9'!C189))</f>
        <v>152</v>
      </c>
      <c r="E43" s="142">
        <f>IF(AND('A-9'!D93="-",'A-9'!D141="-",'A-9'!D189="-"),"-",SUM('A-9'!D93,'A-9'!D141,'A-9'!D189))</f>
        <v>1382</v>
      </c>
      <c r="F43" s="142">
        <f>IF(AND('A-9'!E93="-",'A-9'!E141="-",'A-9'!E189="-"),"-",SUM('A-9'!E93,'A-9'!E141,'A-9'!E189))</f>
        <v>2350</v>
      </c>
      <c r="G43" s="142">
        <f>IF(AND('A-9'!F93="-",'A-9'!F141="-",'A-9'!F189="-"),"-",SUM('A-9'!F93,'A-9'!F141,'A-9'!F189))</f>
        <v>18025</v>
      </c>
      <c r="H43" s="142">
        <f>IF(AND('A-9'!G93="-",'A-9'!G141="-",'A-9'!G189="-"),"-",SUM('A-9'!G93,'A-9'!G141,'A-9'!G189))</f>
        <v>7526</v>
      </c>
      <c r="I43" s="142">
        <f>IF(AND('A-9'!H93="-",'A-9'!H141="-",'A-9'!H189="-"),"-",SUM('A-9'!H93,'A-9'!H141,'A-9'!H189))</f>
        <v>16586</v>
      </c>
      <c r="J43" s="142">
        <f>IF(AND('A-9'!I93="-",'A-9'!I141="-",'A-9'!I189="-"),"-",SUM('A-9'!I93,'A-9'!I141,'A-9'!I189))</f>
        <v>2374</v>
      </c>
      <c r="K43" s="48" t="s">
        <v>106</v>
      </c>
      <c r="L43" s="142">
        <f>IF(AND('A-9'!K93="-",'A-9'!K141="-",'A-9'!K189="-"),"-",SUM('A-9'!K93,'A-9'!K141,'A-9'!K189))</f>
        <v>48455</v>
      </c>
    </row>
    <row r="44" spans="1:12" ht="11.25" customHeight="1">
      <c r="A44" s="99">
        <v>2016</v>
      </c>
      <c r="B44" s="142" t="s">
        <v>23</v>
      </c>
      <c r="C44" s="142">
        <f>IF(AND('A-9'!B94="-",'A-9'!B142="-",'A-9'!B190="-"),"-",SUM('A-9'!B94,'A-9'!B142,'A-9'!B190))</f>
        <v>82</v>
      </c>
      <c r="D44" s="142">
        <f>IF(AND('A-9'!C94="-",'A-9'!C142="-",'A-9'!C190="-"),"-",SUM('A-9'!C94,'A-9'!C142,'A-9'!C190))</f>
        <v>18</v>
      </c>
      <c r="E44" s="142">
        <f>IF(AND('A-9'!D94="-",'A-9'!D142="-",'A-9'!D190="-"),"-",SUM('A-9'!D94,'A-9'!D142,'A-9'!D190))</f>
        <v>1037</v>
      </c>
      <c r="F44" s="142">
        <f>IF(AND('A-9'!E94="-",'A-9'!E142="-",'A-9'!E190="-"),"-",SUM('A-9'!E94,'A-9'!E142,'A-9'!E190))</f>
        <v>2799</v>
      </c>
      <c r="G44" s="142">
        <f>IF(AND('A-9'!F94="-",'A-9'!F142="-",'A-9'!F190="-"),"-",SUM('A-9'!F94,'A-9'!F142,'A-9'!F190))</f>
        <v>6382</v>
      </c>
      <c r="H44" s="142">
        <f>IF(AND('A-9'!G94="-",'A-9'!G142="-",'A-9'!G190="-"),"-",SUM('A-9'!G94,'A-9'!G142,'A-9'!G190))</f>
        <v>4835</v>
      </c>
      <c r="I44" s="142">
        <f>IF(AND('A-9'!H94="-",'A-9'!H142="-",'A-9'!H190="-"),"-",SUM('A-9'!H94,'A-9'!H142,'A-9'!H190))</f>
        <v>14579</v>
      </c>
      <c r="J44" s="142">
        <f>IF(AND('A-9'!I94="-",'A-9'!I142="-",'A-9'!I190="-"),"-",SUM('A-9'!I94,'A-9'!I142,'A-9'!I190))</f>
        <v>612</v>
      </c>
      <c r="K44" s="48" t="s">
        <v>106</v>
      </c>
      <c r="L44" s="142">
        <f>IF(AND('A-9'!K94="-",'A-9'!K142="-",'A-9'!K190="-"),"-",SUM('A-9'!K94,'A-9'!K142,'A-9'!K190))</f>
        <v>30344</v>
      </c>
    </row>
    <row r="45" spans="1:12" ht="11.25" customHeight="1">
      <c r="A45" s="99">
        <v>2017</v>
      </c>
      <c r="B45" s="142" t="s">
        <v>23</v>
      </c>
      <c r="C45" s="142">
        <f>IF(AND('A-9'!B95="-",'A-9'!B143="-",'A-9'!B191="-"),"-",SUM('A-9'!B95,'A-9'!B143,'A-9'!B191))</f>
        <v>17</v>
      </c>
      <c r="D45" s="142">
        <f>IF(AND('A-9'!C95="-",'A-9'!C143="-",'A-9'!C191="-"),"-",SUM('A-9'!C95,'A-9'!C143,'A-9'!C191))</f>
        <v>60</v>
      </c>
      <c r="E45" s="142">
        <f>IF(AND('A-9'!D95="-",'A-9'!D143="-",'A-9'!D191="-"),"-",SUM('A-9'!D95,'A-9'!D143,'A-9'!D191))</f>
        <v>500</v>
      </c>
      <c r="F45" s="142">
        <f>IF(AND('A-9'!E95="-",'A-9'!E143="-",'A-9'!E191="-"),"-",SUM('A-9'!E95,'A-9'!E143,'A-9'!E191))</f>
        <v>1916</v>
      </c>
      <c r="G45" s="142">
        <f>IF(AND('A-9'!F95="-",'A-9'!F143="-",'A-9'!F191="-"),"-",SUM('A-9'!F95,'A-9'!F143,'A-9'!F191))</f>
        <v>10057</v>
      </c>
      <c r="H45" s="142">
        <f>IF(AND('A-9'!G95="-",'A-9'!G143="-",'A-9'!G191="-"),"-",SUM('A-9'!G95,'A-9'!G143,'A-9'!G191))</f>
        <v>9383</v>
      </c>
      <c r="I45" s="142">
        <f>IF(AND('A-9'!H95="-",'A-9'!H143="-",'A-9'!H191="-"),"-",SUM('A-9'!H95,'A-9'!H143,'A-9'!H191))</f>
        <v>9343</v>
      </c>
      <c r="J45" s="142">
        <f>IF(AND('A-9'!I95="-",'A-9'!I143="-",'A-9'!I191="-"),"-",SUM('A-9'!I95,'A-9'!I143,'A-9'!I191))</f>
        <v>453</v>
      </c>
      <c r="K45" s="48" t="s">
        <v>106</v>
      </c>
      <c r="L45" s="142">
        <f>IF(AND('A-9'!K95="-",'A-9'!K143="-",'A-9'!K191="-"),"-",SUM('A-9'!K95,'A-9'!K143,'A-9'!K191))</f>
        <v>31729</v>
      </c>
    </row>
    <row r="46" spans="1:12" ht="11.25" customHeight="1">
      <c r="A46" s="99">
        <v>2018</v>
      </c>
      <c r="B46" s="142" t="s">
        <v>23</v>
      </c>
      <c r="C46" s="142">
        <f>IF(AND('A-9'!B96="-",'A-9'!B144="-",'A-9'!B192="-"),"-",SUM('A-9'!B96,'A-9'!B144,'A-9'!B192))</f>
        <v>54</v>
      </c>
      <c r="D46" s="142">
        <f>IF(AND('A-9'!C96="-",'A-9'!C144="-",'A-9'!C192="-"),"-",SUM('A-9'!C96,'A-9'!C144,'A-9'!C192))</f>
        <v>19</v>
      </c>
      <c r="E46" s="142">
        <f>IF(AND('A-9'!D96="-",'A-9'!D144="-",'A-9'!D192="-"),"-",SUM('A-9'!D96,'A-9'!D144,'A-9'!D192))</f>
        <v>657</v>
      </c>
      <c r="F46" s="142">
        <f>IF(AND('A-9'!E96="-",'A-9'!E144="-",'A-9'!E192="-"),"-",SUM('A-9'!E96,'A-9'!E144,'A-9'!E192))</f>
        <v>1122</v>
      </c>
      <c r="G46" s="142">
        <f>IF(AND('A-9'!F96="-",'A-9'!F144="-",'A-9'!F192="-"),"-",SUM('A-9'!F96,'A-9'!F144,'A-9'!F192))</f>
        <v>9566</v>
      </c>
      <c r="H46" s="142">
        <f>IF(AND('A-9'!G96="-",'A-9'!G144="-",'A-9'!G192="-"),"-",SUM('A-9'!G96,'A-9'!G144,'A-9'!G192))</f>
        <v>22219</v>
      </c>
      <c r="I46" s="142">
        <f>IF(AND('A-9'!H96="-",'A-9'!H144="-",'A-9'!H192="-"),"-",SUM('A-9'!H96,'A-9'!H144,'A-9'!H192))</f>
        <v>14596</v>
      </c>
      <c r="J46" s="142">
        <f>IF(AND('A-9'!I96="-",'A-9'!I144="-",'A-9'!I192="-"),"-",SUM('A-9'!I96,'A-9'!I144,'A-9'!I192))</f>
        <v>899</v>
      </c>
      <c r="K46" s="48" t="s">
        <v>106</v>
      </c>
      <c r="L46" s="142">
        <f>IF(AND('A-9'!K96="-",'A-9'!K144="-",'A-9'!K192="-"),"-",SUM('A-9'!K96,'A-9'!K144,'A-9'!K192))</f>
        <v>49132</v>
      </c>
    </row>
    <row r="47" spans="1:12" ht="11.25" customHeight="1">
      <c r="A47" s="99">
        <v>2019</v>
      </c>
      <c r="B47" s="142" t="s">
        <v>23</v>
      </c>
      <c r="C47" s="142">
        <f>IF(AND('A-9'!B97="-",'A-9'!B145="-",'A-9'!B193="-"),"-",SUM('A-9'!B97,'A-9'!B145,'A-9'!B193))</f>
        <v>43</v>
      </c>
      <c r="D47" s="142">
        <f>IF(AND('A-9'!C97="-",'A-9'!C145="-",'A-9'!C193="-"),"-",SUM('A-9'!C97,'A-9'!C145,'A-9'!C193))</f>
        <v>8</v>
      </c>
      <c r="E47" s="142">
        <f>IF(AND('A-9'!D97="-",'A-9'!D145="-",'A-9'!D193="-"),"-",SUM('A-9'!D97,'A-9'!D145,'A-9'!D193))</f>
        <v>410</v>
      </c>
      <c r="F47" s="142">
        <f>IF(AND('A-9'!E97="-",'A-9'!E145="-",'A-9'!E193="-"),"-",SUM('A-9'!E97,'A-9'!E145,'A-9'!E193))</f>
        <v>6273</v>
      </c>
      <c r="G47" s="142">
        <f>IF(AND('A-9'!F97="-",'A-9'!F145="-",'A-9'!F193="-"),"-",SUM('A-9'!F97,'A-9'!F145,'A-9'!F193))</f>
        <v>32385</v>
      </c>
      <c r="H47" s="142">
        <f>IF(AND('A-9'!G97="-",'A-9'!G145="-",'A-9'!G193="-"),"-",SUM('A-9'!G97,'A-9'!G145,'A-9'!G193))</f>
        <v>24824</v>
      </c>
      <c r="I47" s="142">
        <f>IF(AND('A-9'!H97="-",'A-9'!H145="-",'A-9'!H193="-"),"-",SUM('A-9'!H97,'A-9'!H145,'A-9'!H193))</f>
        <v>9660</v>
      </c>
      <c r="J47" s="142">
        <f>IF(AND('A-9'!I97="-",'A-9'!I145="-",'A-9'!I193="-"),"-",SUM('A-9'!I97,'A-9'!I145,'A-9'!I193))</f>
        <v>1581</v>
      </c>
      <c r="K47" s="142" t="str">
        <f>IF(AND('A-9'!J97="-",'A-9'!J145="-",'A-9'!J193="-"),"-",SUM('A-9'!J97,'A-9'!J145,'A-9'!J193))</f>
        <v>-</v>
      </c>
      <c r="L47" s="142">
        <f>IF(AND('A-9'!K97="-",'A-9'!K145="-",'A-9'!K193="-"),"-",SUM('A-9'!K97,'A-9'!K145,'A-9'!K193))</f>
        <v>75184</v>
      </c>
    </row>
    <row r="48" spans="1:12" ht="11.25" customHeight="1">
      <c r="A48" s="99">
        <v>2020</v>
      </c>
      <c r="B48" s="142" t="s">
        <v>23</v>
      </c>
      <c r="C48" s="142">
        <f>IF(AND('A-9'!B98="-",'A-9'!B146="-",'A-9'!B194="-"),"-",SUM('A-9'!B98,'A-9'!B146,'A-9'!B194))</f>
        <v>11</v>
      </c>
      <c r="D48" s="142">
        <f>IF(AND('A-9'!C98="-",'A-9'!C146="-",'A-9'!C194="-"),"-",SUM('A-9'!C98,'A-9'!C146,'A-9'!C194))</f>
        <v>112</v>
      </c>
      <c r="E48" s="142">
        <f>IF(AND('A-9'!D98="-",'A-9'!D146="-",'A-9'!D194="-"),"-",SUM('A-9'!D98,'A-9'!D146,'A-9'!D194))</f>
        <v>292</v>
      </c>
      <c r="F48" s="142">
        <f>IF(AND('A-9'!E98="-",'A-9'!E146="-",'A-9'!E194="-"),"-",SUM('A-9'!E98,'A-9'!E146,'A-9'!E194))</f>
        <v>649</v>
      </c>
      <c r="G48" s="142">
        <f>IF(AND('A-9'!F98="-",'A-9'!F146="-",'A-9'!F194="-"),"-",SUM('A-9'!F98,'A-9'!F146,'A-9'!F194))</f>
        <v>21207</v>
      </c>
      <c r="H48" s="142">
        <f>IF(AND('A-9'!G98="-",'A-9'!G146="-",'A-9'!G194="-"),"-",SUM('A-9'!G98,'A-9'!G146,'A-9'!G194))</f>
        <v>11969</v>
      </c>
      <c r="I48" s="142">
        <f>IF(AND('A-9'!H98="-",'A-9'!H146="-",'A-9'!H194="-"),"-",SUM('A-9'!H98,'A-9'!H146,'A-9'!H194))</f>
        <v>11346</v>
      </c>
      <c r="J48" s="142">
        <f>IF(AND('A-9'!I98="-",'A-9'!I146="-",'A-9'!I194="-"),"-",SUM('A-9'!I98,'A-9'!I146,'A-9'!I194))</f>
        <v>1714</v>
      </c>
      <c r="K48" s="142" t="str">
        <f>IF(AND('A-9'!J98="-",'A-9'!J146="-",'A-9'!J194="-"),"-",SUM('A-9'!J98,'A-9'!J146,'A-9'!J194))</f>
        <v>-</v>
      </c>
      <c r="L48" s="142">
        <f>IF(AND('A-9'!K98="-",'A-9'!K146="-",'A-9'!K194="-"),"-",SUM('A-9'!K98,'A-9'!K146,'A-9'!K194))</f>
        <v>47300</v>
      </c>
    </row>
    <row r="49" spans="1:12" ht="11.25" customHeight="1">
      <c r="A49" s="99" t="s">
        <v>317</v>
      </c>
      <c r="B49" s="142" t="s">
        <v>23</v>
      </c>
      <c r="C49" s="142">
        <f>IF(AND('A-9'!B99="-",'A-9'!B147="-",'A-9'!B195="-"),"-",SUM('A-9'!B99,'A-9'!B147,'A-9'!B195))</f>
        <v>23</v>
      </c>
      <c r="D49" s="142">
        <f>IF(AND('A-9'!C99="-",'A-9'!C147="-",'A-9'!C195="-"),"-",SUM('A-9'!C99,'A-9'!C147,'A-9'!C195))</f>
        <v>571</v>
      </c>
      <c r="E49" s="142">
        <f>IF(AND('A-9'!D99="-",'A-9'!D147="-",'A-9'!D195="-"),"-",SUM('A-9'!D99,'A-9'!D147,'A-9'!D195))</f>
        <v>845</v>
      </c>
      <c r="F49" s="142">
        <f>IF(AND('A-9'!E99="-",'A-9'!E147="-",'A-9'!E195="-"),"-",SUM('A-9'!E99,'A-9'!E147,'A-9'!E195))</f>
        <v>4697</v>
      </c>
      <c r="G49" s="142">
        <f>IF(AND('A-9'!F99="-",'A-9'!F147="-",'A-9'!F195="-"),"-",SUM('A-9'!F99,'A-9'!F147,'A-9'!F195))</f>
        <v>34163</v>
      </c>
      <c r="H49" s="142">
        <f>IF(AND('A-9'!G99="-",'A-9'!G147="-",'A-9'!G195="-"),"-",SUM('A-9'!G99,'A-9'!G147,'A-9'!G195))</f>
        <v>25957</v>
      </c>
      <c r="I49" s="142">
        <f>IF(AND('A-9'!H99="-",'A-9'!H147="-",'A-9'!H195="-"),"-",SUM('A-9'!H99,'A-9'!H147,'A-9'!H195))</f>
        <v>13474</v>
      </c>
      <c r="J49" s="142">
        <f>IF(AND('A-9'!I99="-",'A-9'!I147="-",'A-9'!I195="-"),"-",SUM('A-9'!I99,'A-9'!I147,'A-9'!I195))</f>
        <v>202</v>
      </c>
      <c r="K49" s="142" t="str">
        <f>IF(AND('A-9'!J99="-",'A-9'!J147="-",'A-9'!J195="-"),"-",SUM('A-9'!J99,'A-9'!J147,'A-9'!J195))</f>
        <v>-</v>
      </c>
      <c r="L49" s="142">
        <f>IF(AND('A-9'!K99="-",'A-9'!K147="-",'A-9'!K195="-"),"-",SUM('A-9'!K99,'A-9'!K147,'A-9'!K195))</f>
        <v>79932</v>
      </c>
    </row>
    <row r="50" spans="1:12" ht="11.25" customHeight="1"/>
    <row r="51" spans="1:12" ht="11.25" customHeight="1">
      <c r="A51" s="94" t="s">
        <v>346</v>
      </c>
    </row>
    <row r="52" spans="1:12" ht="11.25" customHeight="1">
      <c r="A52" s="99">
        <v>1976</v>
      </c>
      <c r="B52" s="142">
        <f>IF(AND('A-4'!B5="-",'A-4'!B53="-"),"-",SUM('A-4'!B5,'A-4'!B53))</f>
        <v>0</v>
      </c>
      <c r="C52" s="142">
        <f>IF(AND('A-9'!B198="-",'A-4'!C5="-",'A-4'!C53="-"),"-",SUM('A-9'!B198,'A-4'!C5,'A-4'!C53))</f>
        <v>0</v>
      </c>
      <c r="D52" s="142">
        <f>IF(AND('A-9'!C198="-",'A-4'!D5="-",'A-4'!D53="-"),"-",SUM('A-9'!C198,'A-4'!D5,'A-4'!D53))</f>
        <v>0</v>
      </c>
      <c r="E52" s="142">
        <f>IF(AND('A-9'!D198="-",'A-4'!E5="-",'A-4'!E53="-"),"-",SUM('A-9'!D198,'A-4'!E5,'A-4'!E53))</f>
        <v>2186</v>
      </c>
      <c r="F52" s="142">
        <f>IF(AND('A-9'!E198="-",'A-4'!F5="-",'A-4'!F53="-"),"-",SUM('A-9'!E198,'A-4'!F5,'A-4'!F53))</f>
        <v>27110</v>
      </c>
      <c r="G52" s="142">
        <f>IF(AND('A-9'!F198="-",'A-4'!G5="-",'A-4'!G53="-"),"-",SUM('A-9'!F198,'A-4'!G5,'A-4'!G53))</f>
        <v>61976</v>
      </c>
      <c r="H52" s="142">
        <f>IF(AND('A-9'!G198="-",'A-4'!H5="-",'A-4'!H53="-"),"-",SUM('A-9'!G198,'A-4'!H5,'A-4'!H53))</f>
        <v>46504</v>
      </c>
      <c r="I52" s="142">
        <f>IF(AND('A-9'!H198="-",'A-4'!I5="-",'A-4'!I53="-"),"-",SUM('A-9'!H198,'A-4'!I5,'A-4'!I53))</f>
        <v>11113</v>
      </c>
      <c r="J52" s="142">
        <f>IF(AND('A-9'!I198="-",'A-4'!J5="-",'A-4'!J53="-"),"-",SUM('A-9'!I198,'A-4'!J5,'A-4'!J53))</f>
        <v>3519</v>
      </c>
      <c r="K52" s="142">
        <f>IF(AND('A-9'!J198="-",'A-4'!K5="-",'A-4'!K53="-"),"-",SUM('A-9'!J198,'A-4'!K5,'A-4'!K53))</f>
        <v>694</v>
      </c>
      <c r="L52" s="142">
        <f>SUM(B52:K52)</f>
        <v>153102</v>
      </c>
    </row>
    <row r="53" spans="1:12" ht="11.25" customHeight="1">
      <c r="A53" s="99">
        <v>1977</v>
      </c>
      <c r="B53" s="142">
        <f>IF(AND('A-4'!B6="-",'A-4'!B54="-"),"-",SUM('A-4'!B6,'A-4'!B54))</f>
        <v>0</v>
      </c>
      <c r="C53" s="142">
        <f>IF(AND('A-9'!B199="-",'A-4'!C6="-",'A-4'!C54="-"),"-",SUM('A-9'!B199,'A-4'!C6,'A-4'!C54))</f>
        <v>0</v>
      </c>
      <c r="D53" s="142">
        <f>IF(AND('A-9'!C199="-",'A-4'!D6="-",'A-4'!D54="-"),"-",SUM('A-9'!C199,'A-4'!D6,'A-4'!D54))</f>
        <v>0</v>
      </c>
      <c r="E53" s="142">
        <f>IF(AND('A-9'!D199="-",'A-4'!E6="-",'A-4'!E54="-"),"-",SUM('A-9'!D199,'A-4'!E6,'A-4'!E54))</f>
        <v>3084</v>
      </c>
      <c r="F53" s="142">
        <f>IF(AND('A-9'!E199="-",'A-4'!F6="-",'A-4'!F54="-"),"-",SUM('A-9'!E199,'A-4'!F6,'A-4'!F54))</f>
        <v>14785</v>
      </c>
      <c r="G53" s="142">
        <f>IF(AND('A-9'!F199="-",'A-4'!G6="-",'A-4'!G54="-"),"-",SUM('A-9'!F199,'A-4'!G6,'A-4'!G54))</f>
        <v>49030</v>
      </c>
      <c r="H53" s="142">
        <f>IF(AND('A-9'!G199="-",'A-4'!H6="-",'A-4'!H54="-"),"-",SUM('A-9'!G199,'A-4'!H6,'A-4'!H54))</f>
        <v>36784</v>
      </c>
      <c r="I53" s="142">
        <f>IF(AND('A-9'!H199="-",'A-4'!I6="-",'A-4'!I54="-"),"-",SUM('A-9'!H199,'A-4'!I6,'A-4'!I54))</f>
        <v>10549</v>
      </c>
      <c r="J53" s="142">
        <f>IF(AND('A-9'!I199="-",'A-4'!J6="-",'A-4'!J54="-"),"-",SUM('A-9'!I199,'A-4'!J6,'A-4'!J54))</f>
        <v>7966</v>
      </c>
      <c r="K53" s="142">
        <f>IF(AND('A-9'!J199="-",'A-4'!K6="-",'A-4'!K54="-"),"-",SUM('A-9'!J199,'A-4'!K6,'A-4'!K54))</f>
        <v>997</v>
      </c>
      <c r="L53" s="142">
        <f t="shared" ref="L53:L80" si="0">SUM(B53:K53)</f>
        <v>123195</v>
      </c>
    </row>
    <row r="54" spans="1:12" ht="11.25" customHeight="1">
      <c r="A54" s="99">
        <v>1978</v>
      </c>
      <c r="B54" s="142">
        <f>IF(AND('A-4'!B7="-",'A-4'!B55="-"),"-",SUM('A-4'!B7,'A-4'!B55))</f>
        <v>0</v>
      </c>
      <c r="C54" s="142">
        <f>IF(AND('A-9'!B200="-",'A-4'!C7="-",'A-4'!C55="-"),"-",SUM('A-9'!B200,'A-4'!C7,'A-4'!C55))</f>
        <v>0</v>
      </c>
      <c r="D54" s="142">
        <f>IF(AND('A-9'!C200="-",'A-4'!D7="-",'A-4'!D55="-"),"-",SUM('A-9'!C200,'A-4'!D7,'A-4'!D55))</f>
        <v>3</v>
      </c>
      <c r="E54" s="142">
        <f>IF(AND('A-9'!D200="-",'A-4'!E7="-",'A-4'!E55="-"),"-",SUM('A-9'!D200,'A-4'!E7,'A-4'!E55))</f>
        <v>1997</v>
      </c>
      <c r="F54" s="142">
        <f>IF(AND('A-9'!E200="-",'A-4'!F7="-",'A-4'!F55="-"),"-",SUM('A-9'!E200,'A-4'!F7,'A-4'!F55))</f>
        <v>30108</v>
      </c>
      <c r="G54" s="142">
        <f>IF(AND('A-9'!F200="-",'A-4'!G7="-",'A-4'!G55="-"),"-",SUM('A-9'!F200,'A-4'!G7,'A-4'!G55))</f>
        <v>48808</v>
      </c>
      <c r="H54" s="142">
        <f>IF(AND('A-9'!G200="-",'A-4'!H7="-",'A-4'!H55="-"),"-",SUM('A-9'!G200,'A-4'!H7,'A-4'!H55))</f>
        <v>27172</v>
      </c>
      <c r="I54" s="142">
        <f>IF(AND('A-9'!H200="-",'A-4'!I7="-",'A-4'!I55="-"),"-",SUM('A-9'!H200,'A-4'!I7,'A-4'!I55))</f>
        <v>8647</v>
      </c>
      <c r="J54" s="142">
        <f>IF(AND('A-9'!I200="-",'A-4'!J7="-",'A-4'!J55="-"),"-",SUM('A-9'!I200,'A-4'!J7,'A-4'!J55))</f>
        <v>8613</v>
      </c>
      <c r="K54" s="142">
        <f>IF(AND('A-9'!J200="-",'A-4'!K7="-",'A-4'!K55="-"),"-",SUM('A-9'!J200,'A-4'!K7,'A-4'!K55))</f>
        <v>1528</v>
      </c>
      <c r="L54" s="142">
        <f t="shared" si="0"/>
        <v>126876</v>
      </c>
    </row>
    <row r="55" spans="1:12" ht="11.25" customHeight="1">
      <c r="A55" s="99">
        <v>1979</v>
      </c>
      <c r="B55" s="142">
        <f>IF(AND('A-4'!B8="-",'A-4'!B56="-"),"-",SUM('A-4'!B8,'A-4'!B56))</f>
        <v>0</v>
      </c>
      <c r="C55" s="142">
        <f>IF(AND('A-9'!B201="-",'A-4'!C8="-",'A-4'!C56="-"),"-",SUM('A-9'!B201,'A-4'!C8,'A-4'!C56))</f>
        <v>0</v>
      </c>
      <c r="D55" s="142">
        <f>IF(AND('A-9'!C201="-",'A-4'!D8="-",'A-4'!D56="-"),"-",SUM('A-9'!C201,'A-4'!D8,'A-4'!D56))</f>
        <v>15</v>
      </c>
      <c r="E55" s="142">
        <f>IF(AND('A-9'!D201="-",'A-4'!E8="-",'A-4'!E56="-"),"-",SUM('A-9'!D201,'A-4'!E8,'A-4'!E56))</f>
        <v>531</v>
      </c>
      <c r="F55" s="142">
        <f>IF(AND('A-9'!E201="-",'A-4'!F8="-",'A-4'!F56="-"),"-",SUM('A-9'!E201,'A-4'!F8,'A-4'!F56))</f>
        <v>11548</v>
      </c>
      <c r="G55" s="142">
        <f>IF(AND('A-9'!F201="-",'A-4'!G8="-",'A-4'!G56="-"),"-",SUM('A-9'!F201,'A-4'!G8,'A-4'!G56))</f>
        <v>41382</v>
      </c>
      <c r="H55" s="142">
        <f>IF(AND('A-9'!G201="-",'A-4'!H8="-",'A-4'!H56="-"),"-",SUM('A-9'!G201,'A-4'!H8,'A-4'!H56))</f>
        <v>26156</v>
      </c>
      <c r="I55" s="142">
        <f>IF(AND('A-9'!H201="-",'A-4'!I8="-",'A-4'!I56="-"),"-",SUM('A-9'!H201,'A-4'!I8,'A-4'!I56))</f>
        <v>4038</v>
      </c>
      <c r="J55" s="142">
        <f>IF(AND('A-9'!I201="-",'A-4'!J8="-",'A-4'!J56="-"),"-",SUM('A-9'!I201,'A-4'!J8,'A-4'!J56))</f>
        <v>5085</v>
      </c>
      <c r="K55" s="142">
        <f>IF(AND('A-9'!J201="-",'A-4'!K8="-",'A-4'!K56="-"),"-",SUM('A-9'!J201,'A-4'!K8,'A-4'!K56))</f>
        <v>935</v>
      </c>
      <c r="L55" s="142">
        <f t="shared" si="0"/>
        <v>89690</v>
      </c>
    </row>
    <row r="56" spans="1:12" ht="11.25" customHeight="1">
      <c r="A56" s="99">
        <v>1980</v>
      </c>
      <c r="B56" s="142">
        <f>IF(AND('A-4'!B9="-",'A-4'!B57="-"),"-",SUM('A-4'!B9,'A-4'!B57))</f>
        <v>0</v>
      </c>
      <c r="C56" s="142">
        <f>IF(AND('A-9'!B202="-",'A-4'!C9="-",'A-4'!C57="-"),"-",SUM('A-9'!B202,'A-4'!C9,'A-4'!C57))</f>
        <v>0</v>
      </c>
      <c r="D56" s="142">
        <f>IF(AND('A-9'!C202="-",'A-4'!D9="-",'A-4'!D57="-"),"-",SUM('A-9'!C202,'A-4'!D9,'A-4'!D57))</f>
        <v>0</v>
      </c>
      <c r="E56" s="142">
        <f>IF(AND('A-9'!D202="-",'A-4'!E9="-",'A-4'!E57="-"),"-",SUM('A-9'!D202,'A-4'!E9,'A-4'!E57))</f>
        <v>237</v>
      </c>
      <c r="F56" s="142">
        <f>IF(AND('A-9'!E202="-",'A-4'!F9="-",'A-4'!F57="-"),"-",SUM('A-9'!E202,'A-4'!F9,'A-4'!F57))</f>
        <v>20507</v>
      </c>
      <c r="G56" s="142">
        <f>IF(AND('A-9'!F202="-",'A-4'!G9="-",'A-4'!G57="-"),"-",SUM('A-9'!F202,'A-4'!G9,'A-4'!G57))</f>
        <v>49101</v>
      </c>
      <c r="H56" s="142">
        <f>IF(AND('A-9'!G202="-",'A-4'!H9="-",'A-4'!H57="-"),"-",SUM('A-9'!G202,'A-4'!H9,'A-4'!H57))</f>
        <v>17846</v>
      </c>
      <c r="I56" s="142">
        <f>IF(AND('A-9'!H202="-",'A-4'!I9="-",'A-4'!I57="-"),"-",SUM('A-9'!H202,'A-4'!I9,'A-4'!I57))</f>
        <v>7300</v>
      </c>
      <c r="J56" s="142">
        <f>IF(AND('A-9'!I202="-",'A-4'!J9="-",'A-4'!J57="-"),"-",SUM('A-9'!I202,'A-4'!J9,'A-4'!J57))</f>
        <v>2900</v>
      </c>
      <c r="K56" s="142">
        <f>IF(AND('A-9'!J202="-",'A-4'!K9="-",'A-4'!K57="-"),"-",SUM('A-9'!J202,'A-4'!K9,'A-4'!K57))</f>
        <v>412</v>
      </c>
      <c r="L56" s="142">
        <f t="shared" si="0"/>
        <v>98303</v>
      </c>
    </row>
    <row r="57" spans="1:12" ht="11.25" customHeight="1">
      <c r="A57" s="99">
        <v>1981</v>
      </c>
      <c r="B57" s="142">
        <f>IF(AND('A-4'!B10="-",'A-4'!B58="-"),"-",SUM('A-4'!B10,'A-4'!B58))</f>
        <v>0</v>
      </c>
      <c r="C57" s="142">
        <f>IF(AND('A-9'!B203="-",'A-4'!C10="-",'A-4'!C58="-"),"-",SUM('A-9'!B203,'A-4'!C10,'A-4'!C58))</f>
        <v>0</v>
      </c>
      <c r="D57" s="142">
        <f>IF(AND('A-9'!C203="-",'A-4'!D10="-",'A-4'!D58="-"),"-",SUM('A-9'!C203,'A-4'!D10,'A-4'!D58))</f>
        <v>0</v>
      </c>
      <c r="E57" s="142">
        <f>IF(AND('A-9'!D203="-",'A-4'!E10="-",'A-4'!E58="-"),"-",SUM('A-9'!D203,'A-4'!E10,'A-4'!E58))</f>
        <v>2703</v>
      </c>
      <c r="F57" s="142">
        <f>IF(AND('A-9'!E203="-",'A-4'!F10="-",'A-4'!F58="-"),"-",SUM('A-9'!E203,'A-4'!F10,'A-4'!F58))</f>
        <v>22502</v>
      </c>
      <c r="G57" s="142">
        <f>IF(AND('A-9'!F203="-",'A-4'!G10="-",'A-4'!G58="-"),"-",SUM('A-9'!F203,'A-4'!G10,'A-4'!G58))</f>
        <v>38317</v>
      </c>
      <c r="H57" s="142">
        <f>IF(AND('A-9'!G203="-",'A-4'!H10="-",'A-4'!H58="-"),"-",SUM('A-9'!G203,'A-4'!H10,'A-4'!H58))</f>
        <v>28929</v>
      </c>
      <c r="I57" s="142">
        <f>IF(AND('A-9'!H203="-",'A-4'!I10="-",'A-4'!I58="-"),"-",SUM('A-9'!H203,'A-4'!I10,'A-4'!I58))</f>
        <v>2330</v>
      </c>
      <c r="J57" s="142">
        <f>IF(AND('A-9'!I203="-",'A-4'!J10="-",'A-4'!J58="-"),"-",SUM('A-9'!I203,'A-4'!J10,'A-4'!J58))</f>
        <v>2324</v>
      </c>
      <c r="K57" s="142">
        <f>IF(AND('A-9'!J203="-",'A-4'!K10="-",'A-4'!K58="-"),"-",SUM('A-9'!J203,'A-4'!K10,'A-4'!K58))</f>
        <v>313</v>
      </c>
      <c r="L57" s="142">
        <f t="shared" si="0"/>
        <v>97418</v>
      </c>
    </row>
    <row r="58" spans="1:12" ht="11.25" customHeight="1">
      <c r="A58" s="99">
        <v>1982</v>
      </c>
      <c r="B58" s="142">
        <f>IF(AND('A-4'!B11="-",'A-4'!B59="-"),"-",SUM('A-4'!B11,'A-4'!B59))</f>
        <v>0</v>
      </c>
      <c r="C58" s="142">
        <f>IF(AND('A-9'!B204="-",'A-4'!C11="-",'A-4'!C59="-"),"-",SUM('A-9'!B204,'A-4'!C11,'A-4'!C59))</f>
        <v>0</v>
      </c>
      <c r="D58" s="142">
        <f>IF(AND('A-9'!C204="-",'A-4'!D11="-",'A-4'!D59="-"),"-",SUM('A-9'!C204,'A-4'!D11,'A-4'!D59))</f>
        <v>0</v>
      </c>
      <c r="E58" s="142">
        <f>IF(AND('A-9'!D204="-",'A-4'!E11="-",'A-4'!E59="-"),"-",SUM('A-9'!D204,'A-4'!E11,'A-4'!E59))</f>
        <v>388</v>
      </c>
      <c r="F58" s="142">
        <f>IF(AND('A-9'!E204="-",'A-4'!F11="-",'A-4'!F59="-"),"-",SUM('A-9'!E204,'A-4'!F11,'A-4'!F59))</f>
        <v>15728</v>
      </c>
      <c r="G58" s="142">
        <f>IF(AND('A-9'!F204="-",'A-4'!G11="-",'A-4'!G59="-"),"-",SUM('A-9'!F204,'A-4'!G11,'A-4'!G59))</f>
        <v>62743</v>
      </c>
      <c r="H58" s="142">
        <f>IF(AND('A-9'!G204="-",'A-4'!H11="-",'A-4'!H59="-"),"-",SUM('A-9'!G204,'A-4'!H11,'A-4'!H59))</f>
        <v>23610</v>
      </c>
      <c r="I58" s="142">
        <f>IF(AND('A-9'!H204="-",'A-4'!I11="-",'A-4'!I59="-"),"-",SUM('A-9'!H204,'A-4'!I11,'A-4'!I59))</f>
        <v>3855</v>
      </c>
      <c r="J58" s="142">
        <f>IF(AND('A-9'!I204="-",'A-4'!J11="-",'A-4'!J59="-"),"-",SUM('A-9'!I204,'A-4'!J11,'A-4'!J59))</f>
        <v>2606</v>
      </c>
      <c r="K58" s="142">
        <f>IF(AND('A-9'!J204="-",'A-4'!K11="-",'A-4'!K59="-"),"-",SUM('A-9'!J204,'A-4'!K11,'A-4'!K59))</f>
        <v>278</v>
      </c>
      <c r="L58" s="142">
        <f t="shared" si="0"/>
        <v>109208</v>
      </c>
    </row>
    <row r="59" spans="1:12" ht="11.25" customHeight="1">
      <c r="A59" s="99">
        <v>1983</v>
      </c>
      <c r="B59" s="142">
        <f>IF(AND('A-4'!B12="-",'A-4'!B60="-"),"-",SUM('A-4'!B12,'A-4'!B60))</f>
        <v>0</v>
      </c>
      <c r="C59" s="142">
        <f>IF(AND('A-9'!B205="-",'A-4'!C12="-",'A-4'!C60="-"),"-",SUM('A-9'!B205,'A-4'!C12,'A-4'!C60))</f>
        <v>0</v>
      </c>
      <c r="D59" s="142">
        <f>IF(AND('A-9'!C205="-",'A-4'!D12="-",'A-4'!D60="-"),"-",SUM('A-9'!C205,'A-4'!D12,'A-4'!D60))</f>
        <v>0</v>
      </c>
      <c r="E59" s="142">
        <f>IF(AND('A-9'!D205="-",'A-4'!E12="-",'A-4'!E60="-"),"-",SUM('A-9'!D205,'A-4'!E12,'A-4'!E60))</f>
        <v>848</v>
      </c>
      <c r="F59" s="142">
        <f>IF(AND('A-9'!E205="-",'A-4'!F12="-",'A-4'!F60="-"),"-",SUM('A-9'!E205,'A-4'!F12,'A-4'!F60))</f>
        <v>20858</v>
      </c>
      <c r="G59" s="142">
        <f>IF(AND('A-9'!F205="-",'A-4'!G12="-",'A-4'!G60="-"),"-",SUM('A-9'!F205,'A-4'!G12,'A-4'!G60))</f>
        <v>44618</v>
      </c>
      <c r="H59" s="142">
        <f>IF(AND('A-9'!G205="-",'A-4'!H12="-",'A-4'!H60="-"),"-",SUM('A-9'!G205,'A-4'!H12,'A-4'!H60))</f>
        <v>20944</v>
      </c>
      <c r="I59" s="142">
        <f>IF(AND('A-9'!H205="-",'A-4'!I12="-",'A-4'!I60="-"),"-",SUM('A-9'!H205,'A-4'!I12,'A-4'!I60))</f>
        <v>7751</v>
      </c>
      <c r="J59" s="142">
        <f>IF(AND('A-9'!I205="-",'A-4'!J12="-",'A-4'!J60="-"),"-",SUM('A-9'!I205,'A-4'!J12,'A-4'!J60))</f>
        <v>5083</v>
      </c>
      <c r="K59" s="142">
        <f>IF(AND('A-9'!J205="-",'A-4'!K12="-",'A-4'!K60="-"),"-",SUM('A-9'!J205,'A-4'!K12,'A-4'!K60))</f>
        <v>98</v>
      </c>
      <c r="L59" s="142">
        <f t="shared" si="0"/>
        <v>100200</v>
      </c>
    </row>
    <row r="60" spans="1:12" ht="11.25" customHeight="1">
      <c r="A60" s="99">
        <v>1984</v>
      </c>
      <c r="B60" s="142">
        <f>IF(AND('A-4'!B13="-",'A-4'!B61="-"),"-",SUM('A-4'!B13,'A-4'!B61))</f>
        <v>0</v>
      </c>
      <c r="C60" s="142">
        <f>IF(AND('A-9'!B206="-",'A-4'!C13="-",'A-4'!C61="-"),"-",SUM('A-9'!B206,'A-4'!C13,'A-4'!C61))</f>
        <v>0</v>
      </c>
      <c r="D60" s="142">
        <f>IF(AND('A-9'!C206="-",'A-4'!D13="-",'A-4'!D61="-"),"-",SUM('A-9'!C206,'A-4'!D13,'A-4'!D61))</f>
        <v>0</v>
      </c>
      <c r="E60" s="142">
        <f>IF(AND('A-9'!D206="-",'A-4'!E13="-",'A-4'!E61="-"),"-",SUM('A-9'!D206,'A-4'!E13,'A-4'!E61))</f>
        <v>16</v>
      </c>
      <c r="F60" s="142">
        <f>IF(AND('A-9'!E206="-",'A-4'!F13="-",'A-4'!F61="-"),"-",SUM('A-9'!E206,'A-4'!F13,'A-4'!F61))</f>
        <v>1574</v>
      </c>
      <c r="G60" s="142">
        <f>IF(AND('A-9'!F206="-",'A-4'!G13="-",'A-4'!G61="-"),"-",SUM('A-9'!F206,'A-4'!G13,'A-4'!G61))</f>
        <v>43476</v>
      </c>
      <c r="H60" s="142">
        <f>IF(AND('A-9'!G206="-",'A-4'!H13="-",'A-4'!H61="-"),"-",SUM('A-9'!G206,'A-4'!H13,'A-4'!H61))</f>
        <v>28750</v>
      </c>
      <c r="I60" s="142">
        <f>IF(AND('A-9'!H206="-",'A-4'!I13="-",'A-4'!I61="-"),"-",SUM('A-9'!H206,'A-4'!I13,'A-4'!I61))</f>
        <v>3669</v>
      </c>
      <c r="J60" s="142">
        <f>IF(AND('A-9'!I206="-",'A-4'!J13="-",'A-4'!J61="-"),"-",SUM('A-9'!I206,'A-4'!J13,'A-4'!J61))</f>
        <v>3099</v>
      </c>
      <c r="K60" s="142">
        <f>IF(AND('A-9'!J206="-",'A-4'!K13="-",'A-4'!K61="-"),"-",SUM('A-9'!J206,'A-4'!K13,'A-4'!K61))</f>
        <v>0</v>
      </c>
      <c r="L60" s="142">
        <f t="shared" si="0"/>
        <v>80584</v>
      </c>
    </row>
    <row r="61" spans="1:12" ht="11.25" customHeight="1">
      <c r="A61" s="99">
        <v>1985</v>
      </c>
      <c r="B61" s="142">
        <f>IF(AND('A-4'!B14="-",'A-4'!B62="-"),"-",SUM('A-4'!B14,'A-4'!B62))</f>
        <v>0</v>
      </c>
      <c r="C61" s="142">
        <f>IF(AND('A-9'!B207="-",'A-4'!C14="-",'A-4'!C62="-"),"-",SUM('A-9'!B207,'A-4'!C14,'A-4'!C62))</f>
        <v>0</v>
      </c>
      <c r="D61" s="142">
        <f>IF(AND('A-9'!C207="-",'A-4'!D14="-",'A-4'!D62="-"),"-",SUM('A-9'!C207,'A-4'!D14,'A-4'!D62))</f>
        <v>3</v>
      </c>
      <c r="E61" s="142">
        <f>IF(AND('A-9'!D207="-",'A-4'!E14="-",'A-4'!E62="-"),"-",SUM('A-9'!D207,'A-4'!E14,'A-4'!E62))</f>
        <v>13450</v>
      </c>
      <c r="F61" s="142">
        <f>IF(AND('A-9'!E207="-",'A-4'!F14="-",'A-4'!F62="-"),"-",SUM('A-9'!E207,'A-4'!F14,'A-4'!F62))</f>
        <v>14030</v>
      </c>
      <c r="G61" s="142">
        <f>IF(AND('A-9'!F207="-",'A-4'!G14="-",'A-4'!G62="-"),"-",SUM('A-9'!F207,'A-4'!G14,'A-4'!G62))</f>
        <v>56838</v>
      </c>
      <c r="H61" s="142">
        <f>IF(AND('A-9'!G207="-",'A-4'!H14="-",'A-4'!H62="-"),"-",SUM('A-9'!G207,'A-4'!H14,'A-4'!H62))</f>
        <v>32375</v>
      </c>
      <c r="I61" s="142">
        <f>IF(AND('A-9'!H207="-",'A-4'!I14="-",'A-4'!I62="-"),"-",SUM('A-9'!H207,'A-4'!I14,'A-4'!I62))</f>
        <v>4167</v>
      </c>
      <c r="J61" s="142">
        <f>IF(AND('A-9'!I207="-",'A-4'!J14="-",'A-4'!J62="-"),"-",SUM('A-9'!I207,'A-4'!J14,'A-4'!J62))</f>
        <v>3967</v>
      </c>
      <c r="K61" s="142">
        <f>IF(AND('A-9'!J207="-",'A-4'!K14="-",'A-4'!K62="-"),"-",SUM('A-9'!J207,'A-4'!K14,'A-4'!K62))</f>
        <v>0</v>
      </c>
      <c r="L61" s="142">
        <f t="shared" si="0"/>
        <v>124830</v>
      </c>
    </row>
    <row r="62" spans="1:12" ht="11.25" customHeight="1">
      <c r="A62" s="99">
        <v>1986</v>
      </c>
      <c r="B62" s="142">
        <f>IF(AND('A-4'!B15="-",'A-4'!B63="-"),"-",SUM('A-4'!B15,'A-4'!B63))</f>
        <v>0</v>
      </c>
      <c r="C62" s="142">
        <f>IF(AND('A-9'!B208="-",'A-4'!C15="-",'A-4'!C63="-"),"-",SUM('A-9'!B208,'A-4'!C15,'A-4'!C63))</f>
        <v>0</v>
      </c>
      <c r="D62" s="142" t="str">
        <f>IF(AND('A-9'!C208="-",'A-4'!D15="-",'A-4'!D63="-"),"-",SUM('A-9'!C208,'A-4'!D15,'A-4'!D63))</f>
        <v>-</v>
      </c>
      <c r="E62" s="142">
        <f>IF(AND('A-9'!D208="-",'A-4'!E15="-",'A-4'!E63="-"),"-",SUM('A-9'!D208,'A-4'!E15,'A-4'!E63))</f>
        <v>5775</v>
      </c>
      <c r="F62" s="142">
        <f>IF(AND('A-9'!E208="-",'A-4'!F15="-",'A-4'!F63="-"),"-",SUM('A-9'!E208,'A-4'!F15,'A-4'!F63))</f>
        <v>25226</v>
      </c>
      <c r="G62" s="142">
        <f>IF(AND('A-9'!F208="-",'A-4'!G15="-",'A-4'!G63="-"),"-",SUM('A-9'!F208,'A-4'!G15,'A-4'!G63))</f>
        <v>43463</v>
      </c>
      <c r="H62" s="142">
        <f>IF(AND('A-9'!G208="-",'A-4'!H15="-",'A-4'!H63="-"),"-",SUM('A-9'!G208,'A-4'!H15,'A-4'!H63))</f>
        <v>26600</v>
      </c>
      <c r="I62" s="142">
        <f>IF(AND('A-9'!H208="-",'A-4'!I15="-",'A-4'!I63="-"),"-",SUM('A-9'!H208,'A-4'!I15,'A-4'!I63))</f>
        <v>1111</v>
      </c>
      <c r="J62" s="142">
        <f>IF(AND('A-9'!I208="-",'A-4'!J15="-",'A-4'!J63="-"),"-",SUM('A-9'!I208,'A-4'!J15,'A-4'!J63))</f>
        <v>5020</v>
      </c>
      <c r="K62" s="142" t="str">
        <f>IF(AND('A-9'!J208="-",'A-4'!K15="-",'A-4'!K63="-"),"-",SUM('A-9'!J208,'A-4'!K15,'A-4'!K63))</f>
        <v>-</v>
      </c>
      <c r="L62" s="142">
        <f t="shared" si="0"/>
        <v>107195</v>
      </c>
    </row>
    <row r="63" spans="1:12" ht="11.25" customHeight="1">
      <c r="A63" s="99">
        <v>1987</v>
      </c>
      <c r="B63" s="142" t="str">
        <f>IF(AND('A-4'!B16="-",'A-4'!B64="-"),"-",SUM('A-4'!B16,'A-4'!B64))</f>
        <v>-</v>
      </c>
      <c r="C63" s="142" t="str">
        <f>IF(AND('A-9'!B209="-",'A-4'!C16="-",'A-4'!C64="-"),"-",SUM('A-9'!B209,'A-4'!C16,'A-4'!C64))</f>
        <v>-</v>
      </c>
      <c r="D63" s="142" t="str">
        <f>IF(AND('A-9'!C209="-",'A-4'!D16="-",'A-4'!D64="-"),"-",SUM('A-9'!C209,'A-4'!D16,'A-4'!D64))</f>
        <v>-</v>
      </c>
      <c r="E63" s="142">
        <f>IF(AND('A-9'!D209="-",'A-4'!E16="-",'A-4'!E64="-"),"-",SUM('A-9'!D209,'A-4'!E16,'A-4'!E64))</f>
        <v>5964</v>
      </c>
      <c r="F63" s="142">
        <f>IF(AND('A-9'!E209="-",'A-4'!F16="-",'A-4'!F64="-"),"-",SUM('A-9'!E209,'A-4'!F16,'A-4'!F64))</f>
        <v>33258</v>
      </c>
      <c r="G63" s="142">
        <f>IF(AND('A-9'!F209="-",'A-4'!G16="-",'A-4'!G64="-"),"-",SUM('A-9'!F209,'A-4'!G16,'A-4'!G64))</f>
        <v>74798</v>
      </c>
      <c r="H63" s="142">
        <f>IF(AND('A-9'!G209="-",'A-4'!H16="-",'A-4'!H64="-"),"-",SUM('A-9'!G209,'A-4'!H16,'A-4'!H64))</f>
        <v>35724</v>
      </c>
      <c r="I63" s="142">
        <f>IF(AND('A-9'!H209="-",'A-4'!I16="-",'A-4'!I64="-"),"-",SUM('A-9'!H209,'A-4'!I16,'A-4'!I64))</f>
        <v>12841</v>
      </c>
      <c r="J63" s="142">
        <f>IF(AND('A-9'!I209="-",'A-4'!J16="-",'A-4'!J64="-"),"-",SUM('A-9'!I209,'A-4'!J16,'A-4'!J64))</f>
        <v>5040</v>
      </c>
      <c r="K63" s="142" t="str">
        <f>IF(AND('A-9'!J209="-",'A-4'!K16="-",'A-4'!K64="-"),"-",SUM('A-9'!J209,'A-4'!K16,'A-4'!K64))</f>
        <v>-</v>
      </c>
      <c r="L63" s="142">
        <f t="shared" si="0"/>
        <v>167625</v>
      </c>
    </row>
    <row r="64" spans="1:12" ht="11.25" customHeight="1">
      <c r="A64" s="99">
        <v>1988</v>
      </c>
      <c r="B64" s="142" t="str">
        <f>IF(AND('A-4'!B17="-",'A-4'!B65="-"),"-",SUM('A-4'!B17,'A-4'!B65))</f>
        <v>-</v>
      </c>
      <c r="C64" s="142" t="str">
        <f>IF(AND('A-9'!B210="-",'A-4'!C17="-",'A-4'!C65="-"),"-",SUM('A-9'!B210,'A-4'!C17,'A-4'!C65))</f>
        <v>-</v>
      </c>
      <c r="D64" s="142" t="str">
        <f>IF(AND('A-9'!C210="-",'A-4'!D17="-",'A-4'!D65="-"),"-",SUM('A-9'!C210,'A-4'!D17,'A-4'!D65))</f>
        <v>-</v>
      </c>
      <c r="E64" s="142">
        <f>IF(AND('A-9'!D210="-",'A-4'!E17="-",'A-4'!E65="-"),"-",SUM('A-9'!D210,'A-4'!E17,'A-4'!E65))</f>
        <v>4658</v>
      </c>
      <c r="F64" s="142">
        <f>IF(AND('A-9'!E210="-",'A-4'!F17="-",'A-4'!F65="-"),"-",SUM('A-9'!E210,'A-4'!F17,'A-4'!F65))</f>
        <v>34202</v>
      </c>
      <c r="G64" s="142">
        <f>IF(AND('A-9'!F210="-",'A-4'!G17="-",'A-4'!G65="-"),"-",SUM('A-9'!F210,'A-4'!G17,'A-4'!G65))</f>
        <v>62899</v>
      </c>
      <c r="H64" s="142">
        <f>IF(AND('A-9'!G210="-",'A-4'!H17="-",'A-4'!H65="-"),"-",SUM('A-9'!G210,'A-4'!H17,'A-4'!H65))</f>
        <v>24046</v>
      </c>
      <c r="I64" s="142">
        <f>IF(AND('A-9'!H210="-",'A-4'!I17="-",'A-4'!I65="-"),"-",SUM('A-9'!H210,'A-4'!I17,'A-4'!I65))</f>
        <v>3924</v>
      </c>
      <c r="J64" s="142" t="str">
        <f>IF(AND('A-9'!I210="-",'A-4'!J17="-",'A-4'!J65="-"),"-",SUM('A-9'!I210,'A-4'!J17,'A-4'!J65))</f>
        <v>-</v>
      </c>
      <c r="K64" s="142" t="str">
        <f>IF(AND('A-9'!J210="-",'A-4'!K17="-",'A-4'!K65="-"),"-",SUM('A-9'!J210,'A-4'!K17,'A-4'!K65))</f>
        <v>-</v>
      </c>
      <c r="L64" s="142">
        <f t="shared" si="0"/>
        <v>129729</v>
      </c>
    </row>
    <row r="65" spans="1:12" ht="11.25" customHeight="1">
      <c r="A65" s="99">
        <v>1989</v>
      </c>
      <c r="B65" s="142" t="str">
        <f>IF(AND('A-4'!B18="-",'A-4'!B66="-"),"-",SUM('A-4'!B18,'A-4'!B66))</f>
        <v>-</v>
      </c>
      <c r="C65" s="142" t="str">
        <f>IF(AND('A-9'!B211="-",'A-4'!C18="-",'A-4'!C66="-"),"-",SUM('A-9'!B211,'A-4'!C18,'A-4'!C66))</f>
        <v>-</v>
      </c>
      <c r="D65" s="142" t="str">
        <f>IF(AND('A-9'!C211="-",'A-4'!D18="-",'A-4'!D66="-"),"-",SUM('A-9'!C211,'A-4'!D18,'A-4'!D66))</f>
        <v>-</v>
      </c>
      <c r="E65" s="142">
        <f>IF(AND('A-9'!D211="-",'A-4'!E18="-",'A-4'!E66="-"),"-",SUM('A-9'!D211,'A-4'!E18,'A-4'!E66))</f>
        <v>6543</v>
      </c>
      <c r="F65" s="142">
        <f>IF(AND('A-9'!E211="-",'A-4'!F18="-",'A-4'!F66="-"),"-",SUM('A-9'!E211,'A-4'!F18,'A-4'!F66))</f>
        <v>34208</v>
      </c>
      <c r="G65" s="142">
        <f>IF(AND('A-9'!F211="-",'A-4'!G18="-",'A-4'!G66="-"),"-",SUM('A-9'!F211,'A-4'!G18,'A-4'!G66))</f>
        <v>66635</v>
      </c>
      <c r="H65" s="142">
        <f>IF(AND('A-9'!G211="-",'A-4'!H18="-",'A-4'!H66="-"),"-",SUM('A-9'!G211,'A-4'!H18,'A-4'!H66))</f>
        <v>30287</v>
      </c>
      <c r="I65" s="142">
        <f>IF(AND('A-9'!H211="-",'A-4'!I18="-",'A-4'!I66="-"),"-",SUM('A-9'!H211,'A-4'!I18,'A-4'!I66))</f>
        <v>5063</v>
      </c>
      <c r="J65" s="142" t="str">
        <f>IF(AND('A-9'!I211="-",'A-4'!J18="-",'A-4'!J66="-"),"-",SUM('A-9'!I211,'A-4'!J18,'A-4'!J66))</f>
        <v>-</v>
      </c>
      <c r="K65" s="142" t="str">
        <f>IF(AND('A-9'!J211="-",'A-4'!K18="-",'A-4'!K66="-"),"-",SUM('A-9'!J211,'A-4'!K18,'A-4'!K66))</f>
        <v>-</v>
      </c>
      <c r="L65" s="142">
        <f t="shared" si="0"/>
        <v>142736</v>
      </c>
    </row>
    <row r="66" spans="1:12" ht="11.25" customHeight="1">
      <c r="A66" s="99">
        <v>1990</v>
      </c>
      <c r="B66" s="142" t="str">
        <f>IF(AND('A-4'!B19="-",'A-4'!B67="-"),"-",SUM('A-4'!B19,'A-4'!B67))</f>
        <v>-</v>
      </c>
      <c r="C66" s="142" t="str">
        <f>IF(AND('A-9'!B212="-",'A-4'!C19="-",'A-4'!C67="-"),"-",SUM('A-9'!B212,'A-4'!C19,'A-4'!C67))</f>
        <v>-</v>
      </c>
      <c r="D66" s="142" t="str">
        <f>IF(AND('A-9'!C212="-",'A-4'!D19="-",'A-4'!D67="-"),"-",SUM('A-9'!C212,'A-4'!D19,'A-4'!D67))</f>
        <v>-</v>
      </c>
      <c r="E66" s="142">
        <f>IF(AND('A-9'!D212="-",'A-4'!E19="-",'A-4'!E67="-"),"-",SUM('A-9'!D212,'A-4'!E19,'A-4'!E67))</f>
        <v>3514</v>
      </c>
      <c r="F66" s="142">
        <f>IF(AND('A-9'!E212="-",'A-4'!F19="-",'A-4'!F67="-"),"-",SUM('A-9'!E212,'A-4'!F19,'A-4'!F67))</f>
        <v>40801</v>
      </c>
      <c r="G66" s="142">
        <f>IF(AND('A-9'!F212="-",'A-4'!G19="-",'A-4'!G67="-"),"-",SUM('A-9'!F212,'A-4'!G19,'A-4'!G67))</f>
        <v>65795</v>
      </c>
      <c r="H66" s="142">
        <f>IF(AND('A-9'!G212="-",'A-4'!H19="-",'A-4'!H67="-"),"-",SUM('A-9'!G212,'A-4'!H19,'A-4'!H67))</f>
        <v>20078</v>
      </c>
      <c r="I66" s="142">
        <f>IF(AND('A-9'!H212="-",'A-4'!I19="-",'A-4'!I67="-"),"-",SUM('A-9'!H212,'A-4'!I19,'A-4'!I67))</f>
        <v>2273</v>
      </c>
      <c r="J66" s="142">
        <f>IF(AND('A-9'!I212="-",'A-4'!J19="-",'A-4'!J67="-"),"-",SUM('A-9'!I212,'A-4'!J19,'A-4'!J67))</f>
        <v>0</v>
      </c>
      <c r="K66" s="142" t="str">
        <f>IF(AND('A-9'!J212="-",'A-4'!K19="-",'A-4'!K67="-"),"-",SUM('A-9'!J212,'A-4'!K19,'A-4'!K67))</f>
        <v>-</v>
      </c>
      <c r="L66" s="142">
        <f t="shared" si="0"/>
        <v>132461</v>
      </c>
    </row>
    <row r="67" spans="1:12" ht="11.25" customHeight="1">
      <c r="A67" s="99">
        <v>1991</v>
      </c>
      <c r="B67" s="142" t="str">
        <f>IF(AND('A-4'!B20="-",'A-4'!B68="-"),"-",SUM('A-4'!B20,'A-4'!B68))</f>
        <v>-</v>
      </c>
      <c r="C67" s="142" t="str">
        <f>IF(AND('A-9'!B213="-",'A-4'!C20="-",'A-4'!C68="-"),"-",SUM('A-9'!B213,'A-4'!C20,'A-4'!C68))</f>
        <v>-</v>
      </c>
      <c r="D67" s="142" t="str">
        <f>IF(AND('A-9'!C213="-",'A-4'!D20="-",'A-4'!D68="-"),"-",SUM('A-9'!C213,'A-4'!D20,'A-4'!D68))</f>
        <v>-</v>
      </c>
      <c r="E67" s="142">
        <f>IF(AND('A-9'!D213="-",'A-4'!E20="-",'A-4'!E68="-"),"-",SUM('A-9'!D213,'A-4'!E20,'A-4'!E68))</f>
        <v>2080</v>
      </c>
      <c r="F67" s="142">
        <f>IF(AND('A-9'!E213="-",'A-4'!F20="-",'A-4'!F68="-"),"-",SUM('A-9'!E213,'A-4'!F20,'A-4'!F68))</f>
        <v>33291</v>
      </c>
      <c r="G67" s="142">
        <f>IF(AND('A-9'!F213="-",'A-4'!G20="-",'A-4'!G68="-"),"-",SUM('A-9'!F213,'A-4'!G20,'A-4'!G68))</f>
        <v>44855</v>
      </c>
      <c r="H67" s="142">
        <f>IF(AND('A-9'!G213="-",'A-4'!H20="-",'A-4'!H68="-"),"-",SUM('A-9'!G213,'A-4'!H20,'A-4'!H68))</f>
        <v>2928</v>
      </c>
      <c r="I67" s="142">
        <f>IF(AND('A-9'!H213="-",'A-4'!I20="-",'A-4'!I68="-"),"-",SUM('A-9'!H213,'A-4'!I20,'A-4'!I68))</f>
        <v>6290</v>
      </c>
      <c r="J67" s="142">
        <f>IF(AND('A-9'!I213="-",'A-4'!J20="-",'A-4'!J68="-"),"-",SUM('A-9'!I213,'A-4'!J20,'A-4'!J68))</f>
        <v>21</v>
      </c>
      <c r="K67" s="142" t="str">
        <f>IF(AND('A-9'!J213="-",'A-4'!K20="-",'A-4'!K68="-"),"-",SUM('A-9'!J213,'A-4'!K20,'A-4'!K68))</f>
        <v>-</v>
      </c>
      <c r="L67" s="142">
        <f t="shared" si="0"/>
        <v>89465</v>
      </c>
    </row>
    <row r="68" spans="1:12" ht="11.25" customHeight="1">
      <c r="A68" s="99">
        <v>1992</v>
      </c>
      <c r="B68" s="142" t="str">
        <f>IF(AND('A-4'!B21="-",'A-4'!B69="-"),"-",SUM('A-4'!B21,'A-4'!B69))</f>
        <v>-</v>
      </c>
      <c r="C68" s="142" t="str">
        <f>IF(AND('A-9'!B214="-",'A-4'!C21="-",'A-4'!C69="-"),"-",SUM('A-9'!B214,'A-4'!C21,'A-4'!C69))</f>
        <v>-</v>
      </c>
      <c r="D68" s="142" t="str">
        <f>IF(AND('A-9'!C214="-",'A-4'!D21="-",'A-4'!D69="-"),"-",SUM('A-9'!C214,'A-4'!D21,'A-4'!D69))</f>
        <v>-</v>
      </c>
      <c r="E68" s="142" t="str">
        <f>IF(AND('A-9'!D214="-",'A-4'!E21="-",'A-4'!E69="-"),"-",SUM('A-9'!D214,'A-4'!E21,'A-4'!E69))</f>
        <v>-</v>
      </c>
      <c r="F68" s="142" t="str">
        <f>IF(AND('A-9'!E214="-",'A-4'!F21="-",'A-4'!F69="-"),"-",SUM('A-9'!E214,'A-4'!F21,'A-4'!F69))</f>
        <v>-</v>
      </c>
      <c r="G68" s="142">
        <f>IF(AND('A-9'!F214="-",'A-4'!G21="-",'A-4'!G69="-"),"-",SUM('A-9'!F214,'A-4'!G21,'A-4'!G69))</f>
        <v>21902</v>
      </c>
      <c r="H68" s="142" t="str">
        <f>IF(AND('A-9'!G214="-",'A-4'!H21="-",'A-4'!H69="-"),"-",SUM('A-9'!G214,'A-4'!H21,'A-4'!H69))</f>
        <v>-</v>
      </c>
      <c r="I68" s="142">
        <f>IF(AND('A-9'!H214="-",'A-4'!I21="-",'A-4'!I69="-"),"-",SUM('A-9'!H214,'A-4'!I21,'A-4'!I69))</f>
        <v>10052</v>
      </c>
      <c r="J68" s="142">
        <f>IF(AND('A-9'!I214="-",'A-4'!J21="-",'A-4'!J69="-"),"-",SUM('A-9'!I214,'A-4'!J21,'A-4'!J69))</f>
        <v>3862</v>
      </c>
      <c r="K68" s="142" t="str">
        <f>IF(AND('A-9'!J214="-",'A-4'!K21="-",'A-4'!K69="-"),"-",SUM('A-9'!J214,'A-4'!K21,'A-4'!K69))</f>
        <v>-</v>
      </c>
      <c r="L68" s="142">
        <f t="shared" si="0"/>
        <v>35816</v>
      </c>
    </row>
    <row r="69" spans="1:12" ht="11.25" customHeight="1">
      <c r="A69" s="99">
        <v>1993</v>
      </c>
      <c r="B69" s="142" t="str">
        <f>IF(AND('A-4'!B22="-",'A-4'!B70="-"),"-",SUM('A-4'!B22,'A-4'!B70))</f>
        <v>-</v>
      </c>
      <c r="C69" s="142" t="str">
        <f>IF(AND('A-9'!B215="-",'A-4'!C22="-",'A-4'!C70="-"),"-",SUM('A-9'!B215,'A-4'!C22,'A-4'!C70))</f>
        <v>-</v>
      </c>
      <c r="D69" s="142" t="str">
        <f>IF(AND('A-9'!C215="-",'A-4'!D22="-",'A-4'!D70="-"),"-",SUM('A-9'!C215,'A-4'!D22,'A-4'!D70))</f>
        <v>-</v>
      </c>
      <c r="E69" s="142">
        <f>IF(AND('A-9'!D215="-",'A-4'!E22="-",'A-4'!E70="-"),"-",SUM('A-9'!D215,'A-4'!E22,'A-4'!E70))</f>
        <v>4332</v>
      </c>
      <c r="F69" s="142">
        <f>IF(AND('A-9'!E215="-",'A-4'!F22="-",'A-4'!F70="-"),"-",SUM('A-9'!E215,'A-4'!F22,'A-4'!F70))</f>
        <v>7919</v>
      </c>
      <c r="G69" s="142">
        <f>IF(AND('A-9'!F215="-",'A-4'!G22="-",'A-4'!G70="-"),"-",SUM('A-9'!F215,'A-4'!G22,'A-4'!G70))</f>
        <v>19176</v>
      </c>
      <c r="H69" s="142">
        <f>IF(AND('A-9'!G215="-",'A-4'!H22="-",'A-4'!H70="-"),"-",SUM('A-9'!G215,'A-4'!H22,'A-4'!H70))</f>
        <v>19889</v>
      </c>
      <c r="I69" s="142">
        <f>IF(AND('A-9'!H215="-",'A-4'!I22="-",'A-4'!I70="-"),"-",SUM('A-9'!H215,'A-4'!I22,'A-4'!I70))</f>
        <v>6144</v>
      </c>
      <c r="J69" s="142" t="str">
        <f>IF(AND('A-9'!I215="-",'A-4'!J22="-",'A-4'!J70="-"),"-",SUM('A-9'!I215,'A-4'!J22,'A-4'!J70))</f>
        <v>-</v>
      </c>
      <c r="K69" s="142" t="str">
        <f>IF(AND('A-9'!J215="-",'A-4'!K22="-",'A-4'!K70="-"),"-",SUM('A-9'!J215,'A-4'!K22,'A-4'!K70))</f>
        <v>-</v>
      </c>
      <c r="L69" s="142">
        <f t="shared" si="0"/>
        <v>57460</v>
      </c>
    </row>
    <row r="70" spans="1:12" ht="11.25" customHeight="1">
      <c r="A70" s="99">
        <v>1994</v>
      </c>
      <c r="B70" s="142" t="str">
        <f>IF(AND('A-4'!B23="-",'A-4'!B71="-"),"-",SUM('A-4'!B23,'A-4'!B71))</f>
        <v>-</v>
      </c>
      <c r="C70" s="142" t="str">
        <f>IF(AND('A-9'!B216="-",'A-4'!C23="-",'A-4'!C71="-"),"-",SUM('A-9'!B216,'A-4'!C23,'A-4'!C71))</f>
        <v>-</v>
      </c>
      <c r="D70" s="142" t="str">
        <f>IF(AND('A-9'!C216="-",'A-4'!D23="-",'A-4'!D71="-"),"-",SUM('A-9'!C216,'A-4'!D23,'A-4'!D71))</f>
        <v>-</v>
      </c>
      <c r="E70" s="142">
        <f>IF(AND('A-9'!D216="-",'A-4'!E23="-",'A-4'!E71="-"),"-",SUM('A-9'!D216,'A-4'!E23,'A-4'!E71))</f>
        <v>13948</v>
      </c>
      <c r="F70" s="142">
        <f>IF(AND('A-9'!E216="-",'A-4'!F23="-",'A-4'!F71="-"),"-",SUM('A-9'!E216,'A-4'!F23,'A-4'!F71))</f>
        <v>5250</v>
      </c>
      <c r="G70" s="142" t="str">
        <f>IF(AND('A-9'!F216="-",'A-4'!G23="-",'A-4'!G71="-"),"-",SUM('A-9'!F216,'A-4'!G23,'A-4'!G71))</f>
        <v>-</v>
      </c>
      <c r="H70" s="142">
        <f>IF(AND('A-9'!G216="-",'A-4'!H23="-",'A-4'!H71="-"),"-",SUM('A-9'!G216,'A-4'!H23,'A-4'!H71))</f>
        <v>4233</v>
      </c>
      <c r="I70" s="142">
        <f>IF(AND('A-9'!H216="-",'A-4'!I23="-",'A-4'!I71="-"),"-",SUM('A-9'!H216,'A-4'!I23,'A-4'!I71))</f>
        <v>4572</v>
      </c>
      <c r="J70" s="142">
        <f>IF(AND('A-9'!I216="-",'A-4'!J23="-",'A-4'!J71="-"),"-",SUM('A-9'!I216,'A-4'!J23,'A-4'!J71))</f>
        <v>4222</v>
      </c>
      <c r="K70" s="142" t="str">
        <f>IF(AND('A-9'!J216="-",'A-4'!K23="-",'A-4'!K71="-"),"-",SUM('A-9'!J216,'A-4'!K23,'A-4'!K71))</f>
        <v>-</v>
      </c>
      <c r="L70" s="142">
        <f t="shared" si="0"/>
        <v>32225</v>
      </c>
    </row>
    <row r="71" spans="1:12" ht="11.25" customHeight="1">
      <c r="A71" s="99">
        <v>1995</v>
      </c>
      <c r="B71" s="142" t="str">
        <f>IF(AND('A-4'!B24="-",'A-4'!B72="-"),"-",SUM('A-4'!B24,'A-4'!B72))</f>
        <v>-</v>
      </c>
      <c r="C71" s="142" t="str">
        <f>IF(AND('A-9'!B217="-",'A-4'!C24="-",'A-4'!C72="-"),"-",SUM('A-9'!B217,'A-4'!C24,'A-4'!C72))</f>
        <v>-</v>
      </c>
      <c r="D71" s="142" t="str">
        <f>IF(AND('A-9'!C217="-",'A-4'!D24="-",'A-4'!D72="-"),"-",SUM('A-9'!C217,'A-4'!D24,'A-4'!D72))</f>
        <v>-</v>
      </c>
      <c r="E71" s="142">
        <f>IF(AND('A-9'!D217="-",'A-4'!E24="-",'A-4'!E72="-"),"-",SUM('A-9'!D217,'A-4'!E24,'A-4'!E72))</f>
        <v>6526</v>
      </c>
      <c r="F71" s="142">
        <f>IF(AND('A-9'!E217="-",'A-4'!F24="-",'A-4'!F72="-"),"-",SUM('A-9'!E217,'A-4'!F24,'A-4'!F72))</f>
        <v>18047</v>
      </c>
      <c r="G71" s="142" t="str">
        <f>IF(AND('A-9'!F217="-",'A-4'!G24="-",'A-4'!G72="-"),"-",SUM('A-9'!F217,'A-4'!G24,'A-4'!G72))</f>
        <v>-</v>
      </c>
      <c r="H71" s="142">
        <f>IF(AND('A-9'!G217="-",'A-4'!H24="-",'A-4'!H72="-"),"-",SUM('A-9'!G217,'A-4'!H24,'A-4'!H72))</f>
        <v>4553</v>
      </c>
      <c r="I71" s="142">
        <f>IF(AND('A-9'!H217="-",'A-4'!I24="-",'A-4'!I72="-"),"-",SUM('A-9'!H217,'A-4'!I24,'A-4'!I72))</f>
        <v>11579</v>
      </c>
      <c r="J71" s="142">
        <f>IF(AND('A-9'!I217="-",'A-4'!J24="-",'A-4'!J72="-"),"-",SUM('A-9'!I217,'A-4'!J24,'A-4'!J72))</f>
        <v>3410</v>
      </c>
      <c r="K71" s="142" t="str">
        <f>IF(AND('A-9'!J217="-",'A-4'!K24="-",'A-4'!K72="-"),"-",SUM('A-9'!J217,'A-4'!K24,'A-4'!K72))</f>
        <v>-</v>
      </c>
      <c r="L71" s="142">
        <f t="shared" si="0"/>
        <v>44115</v>
      </c>
    </row>
    <row r="72" spans="1:12" ht="11.25" customHeight="1">
      <c r="A72" s="99">
        <v>1996</v>
      </c>
      <c r="B72" s="142" t="str">
        <f>IF(AND('A-4'!B25="-",'A-4'!B73="-"),"-",SUM('A-4'!B25,'A-4'!B73))</f>
        <v>-</v>
      </c>
      <c r="C72" s="142" t="str">
        <f>IF(AND('A-9'!B218="-",'A-4'!C25="-",'A-4'!C73="-"),"-",SUM('A-9'!B218,'A-4'!C25,'A-4'!C73))</f>
        <v>-</v>
      </c>
      <c r="D72" s="142" t="str">
        <f>IF(AND('A-9'!C218="-",'A-4'!D25="-",'A-4'!D73="-"),"-",SUM('A-9'!C218,'A-4'!D25,'A-4'!D73))</f>
        <v>-</v>
      </c>
      <c r="E72" s="142">
        <f>IF(AND('A-9'!D218="-",'A-4'!E25="-",'A-4'!E73="-"),"-",SUM('A-9'!D218,'A-4'!E25,'A-4'!E73))</f>
        <v>5095</v>
      </c>
      <c r="F72" s="142">
        <f>IF(AND('A-9'!E218="-",'A-4'!F25="-",'A-4'!F73="-"),"-",SUM('A-9'!E218,'A-4'!F25,'A-4'!F73))</f>
        <v>17467</v>
      </c>
      <c r="G72" s="142">
        <f>IF(AND('A-9'!F218="-",'A-4'!G25="-",'A-4'!G73="-"),"-",SUM('A-9'!F218,'A-4'!G25,'A-4'!G73))</f>
        <v>5583</v>
      </c>
      <c r="H72" s="142">
        <f>IF(AND('A-9'!G218="-",'A-4'!H25="-",'A-4'!H73="-"),"-",SUM('A-9'!G218,'A-4'!H25,'A-4'!H73))</f>
        <v>10650</v>
      </c>
      <c r="I72" s="142">
        <f>IF(AND('A-9'!H218="-",'A-4'!I25="-",'A-4'!I73="-"),"-",SUM('A-9'!H218,'A-4'!I25,'A-4'!I73))</f>
        <v>5590</v>
      </c>
      <c r="J72" s="142">
        <f>IF(AND('A-9'!I218="-",'A-4'!J25="-",'A-4'!J73="-"),"-",SUM('A-9'!I218,'A-4'!J25,'A-4'!J73))</f>
        <v>4282</v>
      </c>
      <c r="K72" s="142" t="str">
        <f>IF(AND('A-9'!J218="-",'A-4'!K25="-",'A-4'!K73="-"),"-",SUM('A-9'!J218,'A-4'!K25,'A-4'!K73))</f>
        <v>-</v>
      </c>
      <c r="L72" s="142">
        <f t="shared" si="0"/>
        <v>48667</v>
      </c>
    </row>
    <row r="73" spans="1:12" ht="11.25" customHeight="1">
      <c r="A73" s="99">
        <v>1997</v>
      </c>
      <c r="B73" s="142" t="str">
        <f>IF(AND('A-4'!B26="-",'A-4'!B74="-"),"-",SUM('A-4'!B26,'A-4'!B74))</f>
        <v>-</v>
      </c>
      <c r="C73" s="142" t="str">
        <f>IF(AND('A-9'!B219="-",'A-4'!C26="-",'A-4'!C74="-"),"-",SUM('A-9'!B219,'A-4'!C26,'A-4'!C74))</f>
        <v>-</v>
      </c>
      <c r="D73" s="142" t="str">
        <f>IF(AND('A-9'!C219="-",'A-4'!D26="-",'A-4'!D74="-"),"-",SUM('A-9'!C219,'A-4'!D26,'A-4'!D74))</f>
        <v>-</v>
      </c>
      <c r="E73" s="142">
        <f>IF(AND('A-9'!D219="-",'A-4'!E26="-",'A-4'!E74="-"),"-",SUM('A-9'!D219,'A-4'!E26,'A-4'!E74))</f>
        <v>5849</v>
      </c>
      <c r="F73" s="142">
        <f>IF(AND('A-9'!E219="-",'A-4'!F26="-",'A-4'!F74="-"),"-",SUM('A-9'!E219,'A-4'!F26,'A-4'!F74))</f>
        <v>8635</v>
      </c>
      <c r="G73" s="142">
        <f>IF(AND('A-9'!F219="-",'A-4'!G26="-",'A-4'!G74="-"),"-",SUM('A-9'!F219,'A-4'!G26,'A-4'!G74))</f>
        <v>6538</v>
      </c>
      <c r="H73" s="142">
        <f>IF(AND('A-9'!G219="-",'A-4'!H26="-",'A-4'!H74="-"),"-",SUM('A-9'!G219,'A-4'!H26,'A-4'!H74))</f>
        <v>11693</v>
      </c>
      <c r="I73" s="142">
        <f>IF(AND('A-9'!H219="-",'A-4'!I26="-",'A-4'!I74="-"),"-",SUM('A-9'!H219,'A-4'!I26,'A-4'!I74))</f>
        <v>1551</v>
      </c>
      <c r="J73" s="142">
        <f>IF(AND('A-9'!I219="-",'A-4'!J26="-",'A-4'!J74="-"),"-",SUM('A-9'!I219,'A-4'!J26,'A-4'!J74))</f>
        <v>1269</v>
      </c>
      <c r="K73" s="142" t="str">
        <f>IF(AND('A-9'!J219="-",'A-4'!K26="-",'A-4'!K74="-"),"-",SUM('A-9'!J219,'A-4'!K26,'A-4'!K74))</f>
        <v>-</v>
      </c>
      <c r="L73" s="142">
        <f t="shared" si="0"/>
        <v>35535</v>
      </c>
    </row>
    <row r="74" spans="1:12" ht="11.25" customHeight="1">
      <c r="A74" s="99">
        <v>1998</v>
      </c>
      <c r="B74" s="142" t="str">
        <f>IF(AND('A-4'!B27="-",'A-4'!B75="-"),"-",SUM('A-4'!B27,'A-4'!B75))</f>
        <v>-</v>
      </c>
      <c r="C74" s="142" t="str">
        <f>IF(AND('A-9'!B220="-",'A-4'!C27="-",'A-4'!C75="-"),"-",SUM('A-9'!B220,'A-4'!C27,'A-4'!C75))</f>
        <v>-</v>
      </c>
      <c r="D74" s="142" t="str">
        <f>IF(AND('A-9'!C220="-",'A-4'!D27="-",'A-4'!D75="-"),"-",SUM('A-9'!C220,'A-4'!D27,'A-4'!D75))</f>
        <v>-</v>
      </c>
      <c r="E74" s="142">
        <f>IF(AND('A-9'!D220="-",'A-4'!E27="-",'A-4'!E75="-"),"-",SUM('A-9'!D220,'A-4'!E27,'A-4'!E75))</f>
        <v>3974</v>
      </c>
      <c r="F74" s="142">
        <f>IF(AND('A-9'!E220="-",'A-4'!F27="-",'A-4'!F75="-"),"-",SUM('A-9'!E220,'A-4'!F27,'A-4'!F75))</f>
        <v>5537</v>
      </c>
      <c r="G74" s="142">
        <f>IF(AND('A-9'!F220="-",'A-4'!G27="-",'A-4'!G75="-"),"-",SUM('A-9'!F220,'A-4'!G27,'A-4'!G75))</f>
        <v>2571</v>
      </c>
      <c r="H74" s="142">
        <f>IF(AND('A-9'!G220="-",'A-4'!H27="-",'A-4'!H75="-"),"-",SUM('A-9'!G220,'A-4'!H27,'A-4'!H75))</f>
        <v>6784</v>
      </c>
      <c r="I74" s="142">
        <f>IF(AND('A-9'!H220="-",'A-4'!I27="-",'A-4'!I75="-"),"-",SUM('A-9'!H220,'A-4'!I27,'A-4'!I75))</f>
        <v>2508</v>
      </c>
      <c r="J74" s="142">
        <f>IF(AND('A-9'!I220="-",'A-4'!J27="-",'A-4'!J75="-"),"-",SUM('A-9'!I220,'A-4'!J27,'A-4'!J75))</f>
        <v>2755</v>
      </c>
      <c r="K74" s="142" t="str">
        <f>IF(AND('A-9'!J220="-",'A-4'!K27="-",'A-4'!K75="-"),"-",SUM('A-9'!J220,'A-4'!K27,'A-4'!K75))</f>
        <v>-</v>
      </c>
      <c r="L74" s="142">
        <f t="shared" si="0"/>
        <v>24129</v>
      </c>
    </row>
    <row r="75" spans="1:12" ht="11.25" customHeight="1">
      <c r="A75" s="99">
        <v>1999</v>
      </c>
      <c r="B75" s="142" t="str">
        <f>IF(AND('A-4'!B28="-",'A-4'!B76="-"),"-",SUM('A-4'!B28,'A-4'!B76))</f>
        <v>-</v>
      </c>
      <c r="C75" s="142" t="str">
        <f>IF(AND('A-9'!B221="-",'A-4'!C28="-",'A-4'!C76="-"),"-",SUM('A-9'!B221,'A-4'!C28,'A-4'!C76))</f>
        <v>-</v>
      </c>
      <c r="D75" s="142" t="str">
        <f>IF(AND('A-9'!C221="-",'A-4'!D28="-",'A-4'!D76="-"),"-",SUM('A-9'!C221,'A-4'!D28,'A-4'!D76))</f>
        <v>-</v>
      </c>
      <c r="E75" s="142">
        <f>IF(AND('A-9'!D221="-",'A-4'!E28="-",'A-4'!E76="-"),"-",SUM('A-9'!D221,'A-4'!E28,'A-4'!E76))</f>
        <v>268</v>
      </c>
      <c r="F75" s="142">
        <f>IF(AND('A-9'!E221="-",'A-4'!F28="-",'A-4'!F76="-"),"-",SUM('A-9'!E221,'A-4'!F28,'A-4'!F76))</f>
        <v>6579</v>
      </c>
      <c r="G75" s="142">
        <f>IF(AND('A-9'!F221="-",'A-4'!G28="-",'A-4'!G76="-"),"-",SUM('A-9'!F221,'A-4'!G28,'A-4'!G76))</f>
        <v>5413</v>
      </c>
      <c r="H75" s="142">
        <f>IF(AND('A-9'!G221="-",'A-4'!H28="-",'A-4'!H76="-"),"-",SUM('A-9'!G221,'A-4'!H28,'A-4'!H76))</f>
        <v>14905</v>
      </c>
      <c r="I75" s="142">
        <f>IF(AND('A-9'!H221="-",'A-4'!I28="-",'A-4'!I76="-"),"-",SUM('A-9'!H221,'A-4'!I28,'A-4'!I76))</f>
        <v>4129</v>
      </c>
      <c r="J75" s="142">
        <f>IF(AND('A-9'!I221="-",'A-4'!J28="-",'A-4'!J76="-"),"-",SUM('A-9'!I221,'A-4'!J28,'A-4'!J76))</f>
        <v>2318</v>
      </c>
      <c r="K75" s="142" t="str">
        <f>IF(AND('A-9'!J221="-",'A-4'!K28="-",'A-4'!K76="-"),"-",SUM('A-9'!J221,'A-4'!K28,'A-4'!K76))</f>
        <v>-</v>
      </c>
      <c r="L75" s="142">
        <f t="shared" si="0"/>
        <v>33612</v>
      </c>
    </row>
    <row r="76" spans="1:12" ht="11.25" customHeight="1">
      <c r="A76" s="99">
        <v>2000</v>
      </c>
      <c r="B76" s="142" t="str">
        <f>IF(AND('A-4'!B29="-",'A-4'!B77="-"),"-",SUM('A-4'!B29,'A-4'!B77))</f>
        <v>-</v>
      </c>
      <c r="C76" s="142" t="str">
        <f>IF(AND('A-9'!B222="-",'A-4'!C29="-",'A-4'!C77="-"),"-",SUM('A-9'!B222,'A-4'!C29,'A-4'!C77))</f>
        <v>-</v>
      </c>
      <c r="D76" s="142" t="str">
        <f>IF(AND('A-9'!C222="-",'A-4'!D29="-",'A-4'!D77="-"),"-",SUM('A-9'!C222,'A-4'!D29,'A-4'!D77))</f>
        <v>-</v>
      </c>
      <c r="E76" s="142">
        <f>IF(AND('A-9'!D222="-",'A-4'!E29="-",'A-4'!E77="-"),"-",SUM('A-9'!D222,'A-4'!E29,'A-4'!E77))</f>
        <v>1170</v>
      </c>
      <c r="F76" s="142">
        <f>IF(AND('A-9'!E222="-",'A-4'!F29="-",'A-4'!F77="-"),"-",SUM('A-9'!E222,'A-4'!F29,'A-4'!F77))</f>
        <v>7530</v>
      </c>
      <c r="G76" s="142">
        <f>IF(AND('A-9'!F222="-",'A-4'!G29="-",'A-4'!G77="-"),"-",SUM('A-9'!F222,'A-4'!G29,'A-4'!G77))</f>
        <v>7747</v>
      </c>
      <c r="H76" s="142">
        <f>IF(AND('A-9'!G222="-",'A-4'!H29="-",'A-4'!H77="-"),"-",SUM('A-9'!G222,'A-4'!H29,'A-4'!H77))</f>
        <v>20126</v>
      </c>
      <c r="I76" s="142">
        <f>IF(AND('A-9'!H222="-",'A-4'!I29="-",'A-4'!I77="-"),"-",SUM('A-9'!H222,'A-4'!I29,'A-4'!I77))</f>
        <v>2551</v>
      </c>
      <c r="J76" s="142">
        <f>IF(AND('A-9'!I222="-",'A-4'!J29="-",'A-4'!J77="-"),"-",SUM('A-9'!I222,'A-4'!J29,'A-4'!J77))</f>
        <v>3205</v>
      </c>
      <c r="K76" s="142" t="str">
        <f>IF(AND('A-9'!J222="-",'A-4'!K29="-",'A-4'!K77="-"),"-",SUM('A-9'!J222,'A-4'!K29,'A-4'!K77))</f>
        <v>-</v>
      </c>
      <c r="L76" s="142">
        <f t="shared" si="0"/>
        <v>42329</v>
      </c>
    </row>
    <row r="77" spans="1:12" ht="11.25" customHeight="1">
      <c r="A77" s="99">
        <v>2001</v>
      </c>
      <c r="B77" s="142" t="str">
        <f>IF(AND('A-4'!B30="-",'A-4'!B78="-"),"-",SUM('A-4'!B30,'A-4'!B78))</f>
        <v>-</v>
      </c>
      <c r="C77" s="142" t="str">
        <f>IF(AND('A-9'!B223="-",'A-4'!C30="-",'A-4'!C78="-"),"-",SUM('A-9'!B223,'A-4'!C30,'A-4'!C78))</f>
        <v>-</v>
      </c>
      <c r="D77" s="142" t="str">
        <f>IF(AND('A-9'!C223="-",'A-4'!D30="-",'A-4'!D78="-"),"-",SUM('A-9'!C223,'A-4'!D30,'A-4'!D78))</f>
        <v>-</v>
      </c>
      <c r="E77" s="142">
        <f>IF(AND('A-9'!D223="-",'A-4'!E30="-",'A-4'!E78="-"),"-",SUM('A-9'!D223,'A-4'!E30,'A-4'!E78))</f>
        <v>6542</v>
      </c>
      <c r="F77" s="142">
        <f>IF(AND('A-9'!E223="-",'A-4'!F30="-",'A-4'!F78="-"),"-",SUM('A-9'!E223,'A-4'!F30,'A-4'!F78))</f>
        <v>11561</v>
      </c>
      <c r="G77" s="142">
        <f>IF(AND('A-9'!F223="-",'A-4'!G30="-",'A-4'!G78="-"),"-",SUM('A-9'!F223,'A-4'!G30,'A-4'!G78))</f>
        <v>11274</v>
      </c>
      <c r="H77" s="142">
        <f>IF(AND('A-9'!G223="-",'A-4'!H30="-",'A-4'!H78="-"),"-",SUM('A-9'!G223,'A-4'!H30,'A-4'!H78))</f>
        <v>15394</v>
      </c>
      <c r="I77" s="142">
        <f>IF(AND('A-9'!H223="-",'A-4'!I30="-",'A-4'!I78="-"),"-",SUM('A-9'!H223,'A-4'!I30,'A-4'!I78))</f>
        <v>1683</v>
      </c>
      <c r="J77" s="142">
        <f>IF(AND('A-9'!I223="-",'A-4'!J30="-",'A-4'!J78="-"),"-",SUM('A-9'!I223,'A-4'!J30,'A-4'!J78))</f>
        <v>4340</v>
      </c>
      <c r="K77" s="142" t="str">
        <f>IF(AND('A-9'!J223="-",'A-4'!K30="-",'A-4'!K78="-"),"-",SUM('A-9'!J223,'A-4'!K30,'A-4'!K78))</f>
        <v>-</v>
      </c>
      <c r="L77" s="142">
        <f t="shared" si="0"/>
        <v>50794</v>
      </c>
    </row>
    <row r="78" spans="1:12" ht="11.25" customHeight="1">
      <c r="A78" s="99">
        <v>2002</v>
      </c>
      <c r="B78" s="142" t="str">
        <f>IF(AND('A-4'!B31="-",'A-4'!B79="-"),"-",SUM('A-4'!B31,'A-4'!B79))</f>
        <v>-</v>
      </c>
      <c r="C78" s="142" t="str">
        <f>IF(AND('A-9'!B224="-",'A-4'!C31="-",'A-4'!C79="-"),"-",SUM('A-9'!B224,'A-4'!C31,'A-4'!C79))</f>
        <v>-</v>
      </c>
      <c r="D78" s="142" t="str">
        <f>IF(AND('A-9'!C224="-",'A-4'!D31="-",'A-4'!D79="-"),"-",SUM('A-9'!C224,'A-4'!D31,'A-4'!D79))</f>
        <v>-</v>
      </c>
      <c r="E78" s="142">
        <f>IF(AND('A-9'!D224="-",'A-4'!E31="-",'A-4'!E79="-"),"-",SUM('A-9'!D224,'A-4'!E31,'A-4'!E79))</f>
        <v>4989</v>
      </c>
      <c r="F78" s="142">
        <f>IF(AND('A-9'!E224="-",'A-4'!F31="-",'A-4'!F79="-"),"-",SUM('A-9'!E224,'A-4'!F31,'A-4'!F79))</f>
        <v>10558</v>
      </c>
      <c r="G78" s="142">
        <f>IF(AND('A-9'!F224="-",'A-4'!G31="-",'A-4'!G79="-"),"-",SUM('A-9'!F224,'A-4'!G31,'A-4'!G79))</f>
        <v>1259</v>
      </c>
      <c r="H78" s="142">
        <f>IF(AND('A-9'!G224="-",'A-4'!H31="-",'A-4'!H79="-"),"-",SUM('A-9'!G224,'A-4'!H31,'A-4'!H79))</f>
        <v>14412</v>
      </c>
      <c r="I78" s="142">
        <f>IF(AND('A-9'!H224="-",'A-4'!I31="-",'A-4'!I79="-"),"-",SUM('A-9'!H224,'A-4'!I31,'A-4'!I79))</f>
        <v>6074</v>
      </c>
      <c r="J78" s="142">
        <f>IF(AND('A-9'!I224="-",'A-4'!J31="-",'A-4'!J79="-"),"-",SUM('A-9'!I224,'A-4'!J31,'A-4'!J79))</f>
        <v>3973</v>
      </c>
      <c r="K78" s="142" t="str">
        <f>IF(AND('A-9'!J224="-",'A-4'!K31="-",'A-4'!K79="-"),"-",SUM('A-9'!J224,'A-4'!K31,'A-4'!K79))</f>
        <v>-</v>
      </c>
      <c r="L78" s="142">
        <f t="shared" si="0"/>
        <v>41265</v>
      </c>
    </row>
    <row r="79" spans="1:12" ht="11.25" customHeight="1">
      <c r="A79" s="99">
        <v>2003</v>
      </c>
      <c r="B79" s="142" t="str">
        <f>IF(AND('A-4'!B32="-",'A-4'!B80="-"),"-",SUM('A-4'!B32,'A-4'!B80))</f>
        <v>-</v>
      </c>
      <c r="C79" s="142" t="str">
        <f>IF(AND('A-9'!B225="-",'A-4'!C32="-",'A-4'!C80="-"),"-",SUM('A-9'!B225,'A-4'!C32,'A-4'!C80))</f>
        <v>-</v>
      </c>
      <c r="D79" s="142" t="str">
        <f>IF(AND('A-9'!C225="-",'A-4'!D32="-",'A-4'!D80="-"),"-",SUM('A-9'!C225,'A-4'!D32,'A-4'!D80))</f>
        <v>-</v>
      </c>
      <c r="E79" s="142">
        <f>IF(AND('A-9'!D225="-",'A-4'!E32="-",'A-4'!E80="-"),"-",SUM('A-9'!D225,'A-4'!E32,'A-4'!E80))</f>
        <v>3669</v>
      </c>
      <c r="F79" s="142">
        <f>IF(AND('A-9'!E225="-",'A-4'!F32="-",'A-4'!F80="-"),"-",SUM('A-9'!E225,'A-4'!F32,'A-4'!F80))</f>
        <v>5103</v>
      </c>
      <c r="G79" s="142">
        <f>IF(AND('A-9'!F225="-",'A-4'!G32="-",'A-4'!G80="-"),"-",SUM('A-9'!F225,'A-4'!G32,'A-4'!G80))</f>
        <v>7346</v>
      </c>
      <c r="H79" s="142">
        <f>IF(AND('A-9'!G225="-",'A-4'!H32="-",'A-4'!H80="-"),"-",SUM('A-9'!G225,'A-4'!H32,'A-4'!H80))</f>
        <v>8750</v>
      </c>
      <c r="I79" s="142">
        <f>IF(AND('A-9'!H225="-",'A-4'!I32="-",'A-4'!I80="-"),"-",SUM('A-9'!H225,'A-4'!I32,'A-4'!I80))</f>
        <v>3026</v>
      </c>
      <c r="J79" s="142">
        <f>IF(AND('A-9'!I225="-",'A-4'!J32="-",'A-4'!J80="-"),"-",SUM('A-9'!I225,'A-4'!J32,'A-4'!J80))</f>
        <v>2630</v>
      </c>
      <c r="K79" s="142" t="str">
        <f>IF(AND('A-9'!J225="-",'A-4'!K32="-",'A-4'!K80="-"),"-",SUM('A-9'!J225,'A-4'!K32,'A-4'!K80))</f>
        <v>-</v>
      </c>
      <c r="L79" s="142">
        <f t="shared" si="0"/>
        <v>30524</v>
      </c>
    </row>
    <row r="80" spans="1:12" ht="11.25" customHeight="1">
      <c r="A80" s="99">
        <v>2004</v>
      </c>
      <c r="B80" s="142" t="str">
        <f>IF(AND('A-4'!B33="-",'A-4'!B81="-"),"-",SUM('A-4'!B33,'A-4'!B81))</f>
        <v>-</v>
      </c>
      <c r="C80" s="142" t="str">
        <f>IF(AND('A-9'!B226="-",'A-4'!C33="-",'A-4'!C81="-"),"-",SUM('A-9'!B226,'A-4'!C33,'A-4'!C81))</f>
        <v>-</v>
      </c>
      <c r="D80" s="142" t="str">
        <f>IF(AND('A-9'!C226="-",'A-4'!D33="-",'A-4'!D81="-"),"-",SUM('A-9'!C226,'A-4'!D33,'A-4'!D81))</f>
        <v>-</v>
      </c>
      <c r="E80" s="142">
        <f>IF(AND('A-9'!D226="-",'A-4'!E33="-",'A-4'!E81="-"),"-",SUM('A-9'!D226,'A-4'!E33,'A-4'!E81))</f>
        <v>5830</v>
      </c>
      <c r="F80" s="142">
        <f>IF(AND('A-9'!E226="-",'A-4'!F33="-",'A-4'!F81="-"),"-",SUM('A-9'!E226,'A-4'!F33,'A-4'!F81))</f>
        <v>7419</v>
      </c>
      <c r="G80" s="142">
        <f>IF(AND('A-9'!F226="-",'A-4'!G33="-",'A-4'!G81="-"),"-",SUM('A-9'!F226,'A-4'!G33,'A-4'!G81))</f>
        <v>9227</v>
      </c>
      <c r="H80" s="142">
        <f>IF(AND('A-9'!G226="-",'A-4'!H33="-",'A-4'!H81="-"),"-",SUM('A-9'!G226,'A-4'!H33,'A-4'!H81))</f>
        <v>13450</v>
      </c>
      <c r="I80" s="142">
        <f>IF(AND('A-9'!H226="-",'A-4'!I33="-",'A-4'!I81="-"),"-",SUM('A-9'!H226,'A-4'!I33,'A-4'!I81))</f>
        <v>6405</v>
      </c>
      <c r="J80" s="142">
        <f>IF(AND('A-9'!I226="-",'A-4'!J33="-",'A-4'!J81="-"),"-",SUM('A-9'!I226,'A-4'!J33,'A-4'!J81))</f>
        <v>1575</v>
      </c>
      <c r="K80" s="142" t="str">
        <f>IF(AND('A-9'!J226="-",'A-4'!K33="-",'A-4'!K81="-"),"-",SUM('A-9'!J226,'A-4'!K33,'A-4'!K81))</f>
        <v>-</v>
      </c>
      <c r="L80" s="142">
        <f t="shared" si="0"/>
        <v>43906</v>
      </c>
    </row>
    <row r="81" spans="1:12" ht="11.25" customHeight="1">
      <c r="A81" s="99">
        <v>2005</v>
      </c>
      <c r="B81" s="142" t="str">
        <f>IF(AND('A-4'!B34="-",'A-4'!B82="-"),"-",SUM('A-4'!B34,'A-4'!B82))</f>
        <v>-</v>
      </c>
      <c r="C81" s="142" t="str">
        <f>IF(AND('A-9'!B227="-",'A-4'!C34="-",'A-4'!C82="-"),"-",SUM('A-9'!B227,'A-4'!C34,'A-4'!C82))</f>
        <v>-</v>
      </c>
      <c r="D81" s="142" t="str">
        <f>IF(AND('A-9'!C227="-",'A-4'!D34="-",'A-4'!D82="-"),"-",SUM('A-9'!C227,'A-4'!D34,'A-4'!D82))</f>
        <v>-</v>
      </c>
      <c r="E81" s="142">
        <f>IF(AND('A-9'!D227="-",'A-4'!E34="-",'A-4'!E82="-"),"-",SUM('A-9'!D227,'A-4'!E34,'A-4'!E82))</f>
        <v>1799</v>
      </c>
      <c r="F81" s="142">
        <f>IF(AND('A-9'!E227="-",'A-4'!F34="-",'A-4'!F82="-"),"-",SUM('A-9'!E227,'A-4'!F34,'A-4'!F82))</f>
        <v>9099</v>
      </c>
      <c r="G81" s="142">
        <f>IF(AND('A-9'!F227="-",'A-4'!G34="-",'A-4'!G82="-"),"-",SUM('A-9'!F227,'A-4'!G34,'A-4'!G82))</f>
        <v>1932</v>
      </c>
      <c r="H81" s="142">
        <f>IF(AND('A-9'!G227="-",'A-4'!H34="-",'A-4'!H82="-"),"-",SUM('A-9'!G227,'A-4'!H34,'A-4'!H82))</f>
        <v>8781</v>
      </c>
      <c r="I81" s="142">
        <f>IF(AND('A-9'!H227="-",'A-4'!I34="-",'A-4'!I82="-"),"-",SUM('A-9'!H227,'A-4'!I34,'A-4'!I82))</f>
        <v>5898</v>
      </c>
      <c r="J81" s="142">
        <f>IF(AND('A-9'!I227="-",'A-4'!J34="-",'A-4'!J82="-"),"-",SUM('A-9'!I227,'A-4'!J34,'A-4'!J82))</f>
        <v>2398</v>
      </c>
      <c r="K81" s="142" t="str">
        <f>IF(AND('A-9'!J227="-",'A-4'!K34="-",'A-4'!K82="-"),"-",SUM('A-9'!J227,'A-4'!K34,'A-4'!K82))</f>
        <v>-</v>
      </c>
      <c r="L81" s="142">
        <f>SUM(B81:K81)</f>
        <v>29907</v>
      </c>
    </row>
    <row r="82" spans="1:12" ht="11.25" customHeight="1">
      <c r="A82" s="99">
        <v>2006</v>
      </c>
      <c r="B82" s="142" t="str">
        <f>IF(AND('A-4'!B35="-",'A-4'!B83="-"),"-",SUM('A-4'!B35,'A-4'!B83))</f>
        <v>-</v>
      </c>
      <c r="C82" s="142" t="str">
        <f>IF(AND('A-9'!B228="-",'A-4'!C35="-",'A-4'!C83="-"),"-",SUM('A-9'!B228,'A-4'!C35,'A-4'!C83))</f>
        <v>-</v>
      </c>
      <c r="D82" s="142" t="str">
        <f>IF(AND('A-9'!C228="-",'A-4'!D35="-",'A-4'!D83="-"),"-",SUM('A-9'!C228,'A-4'!D35,'A-4'!D83))</f>
        <v>-</v>
      </c>
      <c r="E82" s="142">
        <f>IF(AND('A-9'!D228="-",'A-4'!E35="-",'A-4'!E83="-"),"-",SUM('A-9'!D228,'A-4'!E35,'A-4'!E83))</f>
        <v>4887</v>
      </c>
      <c r="F82" s="142">
        <f>IF(AND('A-9'!E228="-",'A-4'!F35="-",'A-4'!F83="-"),"-",SUM('A-9'!E228,'A-4'!F35,'A-4'!F83))</f>
        <v>8619</v>
      </c>
      <c r="G82" s="142">
        <f>IF(AND('A-9'!F228="-",'A-4'!G35="-",'A-4'!G83="-"),"-",SUM('A-9'!F228,'A-4'!G35,'A-4'!G83))</f>
        <v>3174</v>
      </c>
      <c r="H82" s="142" t="str">
        <f>IF(AND('A-9'!G228="-",'A-4'!H35="-",'A-4'!H83="-"),"-",SUM('A-9'!G228,'A-4'!H35,'A-4'!H83))</f>
        <v>-</v>
      </c>
      <c r="I82" s="142">
        <f>IF(AND('A-9'!H228="-",'A-4'!I35="-",'A-4'!I83="-"),"-",SUM('A-9'!H228,'A-4'!I35,'A-4'!I83))</f>
        <v>7320</v>
      </c>
      <c r="J82" s="142">
        <f>IF(AND('A-9'!I228="-",'A-4'!J35="-",'A-4'!J83="-"),"-",SUM('A-9'!I228,'A-4'!J35,'A-4'!J83))</f>
        <v>3081</v>
      </c>
      <c r="K82" s="142" t="str">
        <f>IF(AND('A-9'!J228="-",'A-4'!K35="-",'A-4'!K83="-"),"-",SUM('A-9'!J228,'A-4'!K35,'A-4'!K83))</f>
        <v>-</v>
      </c>
      <c r="L82" s="142">
        <f>SUM(B82:K82)</f>
        <v>27081</v>
      </c>
    </row>
    <row r="83" spans="1:12" ht="11.25" customHeight="1">
      <c r="A83" s="99">
        <v>2007</v>
      </c>
      <c r="B83" s="142" t="str">
        <f>IF(AND('A-4'!B36="-",'A-4'!B84="-"),"-",SUM('A-4'!B36,'A-4'!B84))</f>
        <v>-</v>
      </c>
      <c r="C83" s="142" t="str">
        <f>IF(AND('A-9'!B229="-",'A-4'!C36="-",'A-4'!C84="-"),"-",SUM('A-9'!B229,'A-4'!C36,'A-4'!C84))</f>
        <v>-</v>
      </c>
      <c r="D83" s="142" t="str">
        <f>IF(AND('A-9'!C229="-",'A-4'!D36="-",'A-4'!D84="-"),"-",SUM('A-9'!C229,'A-4'!D36,'A-4'!D84))</f>
        <v>-</v>
      </c>
      <c r="E83" s="142">
        <f>IF(AND('A-9'!D229="-",'A-4'!E36="-",'A-4'!E84="-"),"-",SUM('A-9'!D229,'A-4'!E36,'A-4'!E84))</f>
        <v>2346</v>
      </c>
      <c r="F83" s="142">
        <f>IF(AND('A-9'!E229="-",'A-4'!F36="-",'A-4'!F84="-"),"-",SUM('A-9'!E229,'A-4'!F36,'A-4'!F84))</f>
        <v>6223</v>
      </c>
      <c r="G83" s="142">
        <f>IF(AND('A-9'!F229="-",'A-4'!G36="-",'A-4'!G84="-"),"-",SUM('A-9'!F229,'A-4'!G36,'A-4'!G84))</f>
        <v>7541</v>
      </c>
      <c r="H83" s="142">
        <f>IF(AND('A-9'!G229="-",'A-4'!H36="-",'A-4'!H84="-"),"-",SUM('A-9'!G229,'A-4'!H36,'A-4'!H84))</f>
        <v>10178</v>
      </c>
      <c r="I83" s="142">
        <f>IF(AND('A-9'!H229="-",'A-4'!I36="-",'A-4'!I84="-"),"-",SUM('A-9'!H229,'A-4'!I36,'A-4'!I84))</f>
        <v>2004</v>
      </c>
      <c r="J83" s="142">
        <f>IF(AND('A-9'!I229="-",'A-4'!J36="-",'A-4'!J84="-"),"-",SUM('A-9'!I229,'A-4'!J36,'A-4'!J84))</f>
        <v>3263</v>
      </c>
      <c r="K83" s="142" t="str">
        <f>IF(AND('A-9'!J229="-",'A-4'!K36="-",'A-4'!K84="-"),"-",SUM('A-9'!J229,'A-4'!K36,'A-4'!K84))</f>
        <v>-</v>
      </c>
      <c r="L83" s="142">
        <f>SUM(B83:K83)</f>
        <v>31555</v>
      </c>
    </row>
    <row r="84" spans="1:12" ht="11.25" customHeight="1">
      <c r="A84" s="99">
        <v>2008</v>
      </c>
      <c r="B84" s="142" t="str">
        <f>IF(AND('A-4'!B37="-",'A-4'!B85="-"),"-",SUM('A-4'!B37,'A-4'!B85))</f>
        <v>-</v>
      </c>
      <c r="C84" s="142" t="str">
        <f>IF(AND('A-9'!B230="-",'A-4'!C37="-",'A-4'!C85="-"),"-",SUM('A-9'!B230,'A-4'!C37,'A-4'!C85))</f>
        <v>-</v>
      </c>
      <c r="D84" s="142" t="str">
        <f>IF(AND('A-9'!C230="-",'A-4'!D37="-",'A-4'!D85="-"),"-",SUM('A-9'!C230,'A-4'!D37,'A-4'!D85))</f>
        <v>-</v>
      </c>
      <c r="E84" s="142" t="str">
        <f>IF(AND('A-9'!D230="-",'A-4'!E37="-",'A-4'!E85="-"),"-",SUM('A-9'!D230,'A-4'!E37,'A-4'!E85))</f>
        <v>-</v>
      </c>
      <c r="F84" s="142">
        <f>IF(AND('A-9'!E230="-",'A-4'!F37="-",'A-4'!F85="-"),"-",SUM('A-9'!E230,'A-4'!F37,'A-4'!F85))</f>
        <v>712</v>
      </c>
      <c r="G84" s="142">
        <f>IF(AND('A-9'!F230="-",'A-4'!G37="-",'A-4'!G85="-"),"-",SUM('A-9'!F230,'A-4'!G37,'A-4'!G85))</f>
        <v>2317</v>
      </c>
      <c r="H84" s="142">
        <f>IF(AND('A-9'!G230="-",'A-4'!H37="-",'A-4'!H85="-"),"-",SUM('A-9'!G230,'A-4'!H37,'A-4'!H85))</f>
        <v>701</v>
      </c>
      <c r="I84" s="142" t="str">
        <f>IF(AND('A-9'!H230="-",'A-4'!I37="-",'A-4'!I85="-"),"-",SUM('A-9'!H230,'A-4'!I37,'A-4'!I85))</f>
        <v>-</v>
      </c>
      <c r="J84" s="142">
        <f>IF(AND('A-9'!I230="-",'A-4'!J37="-",'A-4'!J85="-"),"-",SUM('A-9'!I230,'A-4'!J37,'A-4'!J85))</f>
        <v>1065</v>
      </c>
      <c r="K84" s="142" t="str">
        <f>IF(AND('A-9'!J230="-",'A-4'!K37="-",'A-4'!K85="-"),"-",SUM('A-9'!J230,'A-4'!K37,'A-4'!K85))</f>
        <v>-</v>
      </c>
      <c r="L84" s="142">
        <f>SUM(B84:K84)</f>
        <v>4795</v>
      </c>
    </row>
    <row r="85" spans="1:12" ht="11.25" customHeight="1">
      <c r="A85" s="99">
        <v>2009</v>
      </c>
      <c r="B85" s="142" t="str">
        <f>IF(AND('A-4'!B38="-",'A-4'!B86="-"),"-",SUM('A-4'!B38,'A-4'!B86))</f>
        <v>-</v>
      </c>
      <c r="C85" s="142" t="str">
        <f>IF(AND('A-9'!B231="-",'A-4'!C38="-",'A-4'!C86="-"),"-",SUM('A-9'!B231,'A-4'!C38,'A-4'!C86))</f>
        <v>-</v>
      </c>
      <c r="D85" s="142" t="str">
        <f>IF(AND('A-9'!C231="-",'A-4'!D38="-",'A-4'!D86="-"),"-",SUM('A-9'!C231,'A-4'!D38,'A-4'!D86))</f>
        <v>-</v>
      </c>
      <c r="E85" s="142" t="str">
        <f>IF(AND('A-9'!D231="-",'A-4'!E38="-",'A-4'!E86="-"),"-",SUM('A-9'!D231,'A-4'!E38,'A-4'!E86))</f>
        <v>-</v>
      </c>
      <c r="F85" s="142">
        <f>IF(AND('A-9'!E231="-",'A-4'!F38="-",'A-4'!F86="-"),"-",SUM('A-9'!E231,'A-4'!F38,'A-4'!F86))</f>
        <v>268</v>
      </c>
      <c r="G85" s="142">
        <f>IF(AND('A-9'!F231="-",'A-4'!G38="-",'A-4'!G86="-"),"-",SUM('A-9'!F231,'A-4'!G38,'A-4'!G86))</f>
        <v>2329</v>
      </c>
      <c r="H85" s="142">
        <f>IF(AND('A-9'!G231="-",'A-4'!H38="-",'A-4'!H86="-"),"-",SUM('A-9'!G231,'A-4'!H38,'A-4'!H86))</f>
        <v>3269</v>
      </c>
      <c r="I85" s="142">
        <f>IF(AND('A-9'!H231="-",'A-4'!I38="-",'A-4'!I86="-"),"-",SUM('A-9'!H231,'A-4'!I38,'A-4'!I86))</f>
        <v>5424</v>
      </c>
      <c r="J85" s="142" t="str">
        <f>IF(AND('A-9'!I231="-",'A-4'!J38="-",'A-4'!J86="-"),"-",SUM('A-9'!I231,'A-4'!J38,'A-4'!J86))</f>
        <v>-</v>
      </c>
      <c r="K85" s="142" t="str">
        <f>IF(AND('A-9'!J231="-",'A-4'!K38="-",'A-4'!K86="-"),"-",SUM('A-9'!J231,'A-4'!K38,'A-4'!K86))</f>
        <v>-</v>
      </c>
      <c r="L85" s="142">
        <f>SUM(B85:K85)</f>
        <v>11290</v>
      </c>
    </row>
    <row r="86" spans="1:12" ht="11.25" customHeight="1">
      <c r="A86" s="99">
        <v>2010</v>
      </c>
      <c r="B86" s="142" t="str">
        <f>IF(AND('A-4'!B39="-",'A-4'!B87="-"),"-",SUM('A-4'!B39,'A-4'!B87))</f>
        <v>-</v>
      </c>
      <c r="C86" s="142" t="str">
        <f>IF(AND('A-9'!B232="-",'A-4'!C39="-",'A-4'!C87="-"),"-",SUM('A-9'!B232,'A-4'!C39,'A-4'!C87))</f>
        <v>-</v>
      </c>
      <c r="D86" s="142" t="str">
        <f>IF(AND('A-9'!C232="-",'A-4'!D39="-",'A-4'!D87="-"),"-",SUM('A-9'!C232,'A-4'!D39,'A-4'!D87))</f>
        <v>-</v>
      </c>
      <c r="E86" s="142">
        <f>IF(AND('A-9'!D232="-",'A-4'!E39="-",'A-4'!E87="-"),"-",SUM('A-9'!D232,'A-4'!E39,'A-4'!E87))</f>
        <v>665</v>
      </c>
      <c r="F86" s="142">
        <f>IF(AND('A-9'!E232="-",'A-4'!F39="-",'A-4'!F87="-"),"-",SUM('A-9'!E232,'A-4'!F39,'A-4'!F87))</f>
        <v>771</v>
      </c>
      <c r="G86" s="142">
        <f>IF(AND('A-9'!F232="-",'A-4'!G39="-",'A-4'!G87="-"),"-",SUM('A-9'!F232,'A-4'!G39,'A-4'!G87))</f>
        <v>1280</v>
      </c>
      <c r="H86" s="142">
        <f>IF(AND('A-9'!G232="-",'A-4'!H39="-",'A-4'!H87="-"),"-",SUM('A-9'!G232,'A-4'!H39,'A-4'!H87))</f>
        <v>2493</v>
      </c>
      <c r="I86" s="142">
        <f>IF(AND('A-9'!H232="-",'A-4'!I39="-",'A-4'!I87="-"),"-",SUM('A-9'!H232,'A-4'!I39,'A-4'!I87))</f>
        <v>2700</v>
      </c>
      <c r="J86" s="142">
        <f>IF(AND('A-9'!I232="-",'A-4'!J39="-",'A-4'!J87="-"),"-",SUM('A-9'!I232,'A-4'!J39,'A-4'!J87))</f>
        <v>2270</v>
      </c>
      <c r="K86" s="142" t="str">
        <f>IF(AND('A-9'!J232="-",'A-4'!K39="-",'A-4'!K87="-"),"-",SUM('A-9'!J232,'A-4'!K39,'A-4'!K87))</f>
        <v>-</v>
      </c>
      <c r="L86" s="142">
        <f t="shared" ref="L86:L91" si="1">SUM(B86:K86)</f>
        <v>10179</v>
      </c>
    </row>
    <row r="87" spans="1:12" ht="11.25" customHeight="1">
      <c r="A87" s="99">
        <v>2011</v>
      </c>
      <c r="B87" s="142" t="str">
        <f>IF(AND('A-4'!B40="-",'A-4'!B88="-"),"-",SUM('A-4'!B40,'A-4'!B88))</f>
        <v>-</v>
      </c>
      <c r="C87" s="142" t="str">
        <f>IF(AND('A-9'!B233="-",'A-4'!C40="-",'A-4'!C88="-"),"-",SUM('A-9'!B233,'A-4'!C40,'A-4'!C88))</f>
        <v>-</v>
      </c>
      <c r="D87" s="142" t="str">
        <f>IF(AND('A-9'!C233="-",'A-4'!D40="-",'A-4'!D88="-"),"-",SUM('A-9'!C233,'A-4'!D40,'A-4'!D88))</f>
        <v>-</v>
      </c>
      <c r="E87" s="142">
        <f>IF(AND('A-9'!D233="-",'A-4'!E40="-",'A-4'!E88="-"),"-",SUM('A-9'!D233,'A-4'!E40,'A-4'!E88))</f>
        <v>2244</v>
      </c>
      <c r="F87" s="142">
        <f>IF(AND('A-9'!E233="-",'A-4'!F40="-",'A-4'!F88="-"),"-",SUM('A-9'!E233,'A-4'!F40,'A-4'!F88))</f>
        <v>2974</v>
      </c>
      <c r="G87" s="142">
        <f>IF(AND('A-9'!F233="-",'A-4'!G40="-",'A-4'!G88="-"),"-",SUM('A-9'!F233,'A-4'!G40,'A-4'!G88))</f>
        <v>5059</v>
      </c>
      <c r="H87" s="142">
        <f>IF(AND('A-9'!G233="-",'A-4'!H40="-",'A-4'!H88="-"),"-",SUM('A-9'!G233,'A-4'!H40,'A-4'!H88))</f>
        <v>6554</v>
      </c>
      <c r="I87" s="142">
        <f>IF(AND('A-9'!H233="-",'A-4'!I40="-",'A-4'!I88="-"),"-",SUM('A-9'!H233,'A-4'!I40,'A-4'!I88))</f>
        <v>2621</v>
      </c>
      <c r="J87" s="142">
        <f>IF(AND('A-9'!I233="-",'A-4'!J40="-",'A-4'!J88="-"),"-",SUM('A-9'!I233,'A-4'!J40,'A-4'!J88))</f>
        <v>1757</v>
      </c>
      <c r="K87" s="142" t="str">
        <f>IF(AND('A-9'!J233="-",'A-4'!K40="-",'A-4'!K88="-"),"-",SUM('A-9'!J233,'A-4'!K40,'A-4'!K88))</f>
        <v>-</v>
      </c>
      <c r="L87" s="142">
        <f t="shared" si="1"/>
        <v>21209</v>
      </c>
    </row>
    <row r="88" spans="1:12" ht="11.25" customHeight="1">
      <c r="A88" s="99">
        <v>2012</v>
      </c>
      <c r="B88" s="142" t="str">
        <f>IF(AND('A-4'!B41="-",'A-4'!B89="-"),"-",SUM('A-4'!B41,'A-4'!B89))</f>
        <v>-</v>
      </c>
      <c r="C88" s="142" t="str">
        <f>IF(AND('A-9'!B234="-",'A-4'!C41="-",'A-4'!C89="-"),"-",SUM('A-9'!B234,'A-4'!C41,'A-4'!C89))</f>
        <v>-</v>
      </c>
      <c r="D88" s="142" t="str">
        <f>IF(AND('A-9'!C234="-",'A-4'!D41="-",'A-4'!D89="-"),"-",SUM('A-9'!C234,'A-4'!D41,'A-4'!D89))</f>
        <v>-</v>
      </c>
      <c r="E88" s="142">
        <f>IF(AND('A-9'!D234="-",'A-4'!E41="-",'A-4'!E89="-"),"-",SUM('A-9'!D234,'A-4'!E41,'A-4'!E89))</f>
        <v>3619</v>
      </c>
      <c r="F88" s="142">
        <f>IF(AND('A-9'!E234="-",'A-4'!F41="-",'A-4'!F89="-"),"-",SUM('A-9'!E234,'A-4'!F41,'A-4'!F89))</f>
        <v>9514</v>
      </c>
      <c r="G88" s="142">
        <f>IF(AND('A-9'!F234="-",'A-4'!G41="-",'A-4'!G89="-"),"-",SUM('A-9'!F234,'A-4'!G41,'A-4'!G89))</f>
        <v>14645</v>
      </c>
      <c r="H88" s="142">
        <f>IF(AND('A-9'!G234="-",'A-4'!H41="-",'A-4'!H89="-"),"-",SUM('A-9'!G234,'A-4'!H41,'A-4'!H89))</f>
        <v>15183</v>
      </c>
      <c r="I88" s="142">
        <f>IF(AND('A-9'!H234="-",'A-4'!I41="-",'A-4'!I89="-"),"-",SUM('A-9'!H234,'A-4'!I41,'A-4'!I89))</f>
        <v>3576</v>
      </c>
      <c r="J88" s="142">
        <f>IF(AND('A-9'!I234="-",'A-4'!J41="-",'A-4'!J89="-"),"-",SUM('A-9'!I234,'A-4'!J41,'A-4'!J89))</f>
        <v>3666</v>
      </c>
      <c r="K88" s="142" t="str">
        <f>IF(AND('A-9'!J234="-",'A-4'!K41="-",'A-4'!K89="-"),"-",SUM('A-9'!J234,'A-4'!K41,'A-4'!K89))</f>
        <v>-</v>
      </c>
      <c r="L88" s="142">
        <f t="shared" si="1"/>
        <v>50203</v>
      </c>
    </row>
    <row r="89" spans="1:12" ht="11.25" customHeight="1">
      <c r="A89" s="99">
        <v>2013</v>
      </c>
      <c r="B89" s="142" t="str">
        <f>IF(AND('A-4'!B42="-",'A-4'!B90="-"),"-",SUM('A-4'!B42,'A-4'!B90))</f>
        <v>-</v>
      </c>
      <c r="C89" s="142" t="str">
        <f>IF(AND('A-9'!B235="-",'A-4'!C42="-",'A-4'!C90="-"),"-",SUM('A-9'!B235,'A-4'!C42,'A-4'!C90))</f>
        <v>-</v>
      </c>
      <c r="D89" s="142" t="str">
        <f>IF(AND('A-9'!C235="-",'A-4'!D42="-",'A-4'!D90="-"),"-",SUM('A-9'!C235,'A-4'!D42,'A-4'!D90))</f>
        <v>-</v>
      </c>
      <c r="E89" s="142">
        <f>IF(AND('A-9'!D235="-",'A-4'!E42="-",'A-4'!E90="-"),"-",SUM('A-9'!D235,'A-4'!E42,'A-4'!E90))</f>
        <v>3501</v>
      </c>
      <c r="F89" s="142">
        <f>IF(AND('A-9'!E235="-",'A-4'!F42="-",'A-4'!F90="-"),"-",SUM('A-9'!E235,'A-4'!F42,'A-4'!F90))</f>
        <v>10773</v>
      </c>
      <c r="G89" s="142">
        <f>IF(AND('A-9'!F235="-",'A-4'!G42="-",'A-4'!G90="-"),"-",SUM('A-9'!F235,'A-4'!G42,'A-4'!G90))</f>
        <v>15914</v>
      </c>
      <c r="H89" s="142">
        <f>IF(AND('A-9'!G235="-",'A-4'!H42="-",'A-4'!H90="-"),"-",SUM('A-9'!G235,'A-4'!H42,'A-4'!H90))</f>
        <v>15379</v>
      </c>
      <c r="I89" s="142">
        <f>IF(AND('A-9'!H235="-",'A-4'!I42="-",'A-4'!I90="-"),"-",SUM('A-9'!H235,'A-4'!I42,'A-4'!I90))</f>
        <v>822</v>
      </c>
      <c r="J89" s="142">
        <f>IF(AND('A-9'!I235="-",'A-4'!J42="-",'A-4'!J90="-"),"-",SUM('A-9'!I235,'A-4'!J42,'A-4'!J90))</f>
        <v>3547</v>
      </c>
      <c r="K89" s="142" t="str">
        <f>IF(AND('A-9'!J235="-",'A-4'!K42="-",'A-4'!K90="-"),"-",SUM('A-9'!J235,'A-4'!K42,'A-4'!K90))</f>
        <v>-</v>
      </c>
      <c r="L89" s="142">
        <f t="shared" si="1"/>
        <v>49936</v>
      </c>
    </row>
    <row r="90" spans="1:12" ht="11.25" customHeight="1">
      <c r="A90" s="99">
        <v>2014</v>
      </c>
      <c r="B90" s="142" t="str">
        <f>IF(AND('A-4'!B43="-",'A-4'!B91="-"),"-",SUM('A-4'!B43,'A-4'!B91))</f>
        <v>-</v>
      </c>
      <c r="C90" s="142" t="str">
        <f>IF(AND('A-9'!B236="-",'A-4'!C43="-",'A-4'!C91="-"),"-",SUM('A-9'!B236,'A-4'!C43,'A-4'!C91))</f>
        <v>-</v>
      </c>
      <c r="D90" s="142" t="str">
        <f>IF(AND('A-9'!C236="-",'A-4'!D43="-",'A-4'!D91="-"),"-",SUM('A-9'!C236,'A-4'!D43,'A-4'!D91))</f>
        <v>-</v>
      </c>
      <c r="E90" s="142">
        <f>IF(AND('A-9'!D236="-",'A-4'!E43="-",'A-4'!E91="-"),"-",SUM('A-9'!D236,'A-4'!E43,'A-4'!E91))</f>
        <v>5588</v>
      </c>
      <c r="F90" s="142">
        <f>IF(AND('A-9'!E236="-",'A-4'!F43="-",'A-4'!F91="-"),"-",SUM('A-9'!E236,'A-4'!F43,'A-4'!F91))</f>
        <v>6409</v>
      </c>
      <c r="G90" s="142">
        <f>IF(AND('A-9'!F236="-",'A-4'!G43="-",'A-4'!G91="-"),"-",SUM('A-9'!F236,'A-4'!G43,'A-4'!G91))</f>
        <v>12723</v>
      </c>
      <c r="H90" s="142">
        <f>IF(AND('A-9'!G236="-",'A-4'!H43="-",'A-4'!H91="-"),"-",SUM('A-9'!G236,'A-4'!H43,'A-4'!H91))</f>
        <v>7475</v>
      </c>
      <c r="I90" s="142">
        <f>IF(AND('A-9'!H236="-",'A-4'!I43="-",'A-4'!I91="-"),"-",SUM('A-9'!H236,'A-4'!I43,'A-4'!I91))</f>
        <v>868</v>
      </c>
      <c r="J90" s="142">
        <f>IF(AND('A-9'!I236="-",'A-4'!J43="-",'A-4'!J91="-"),"-",SUM('A-9'!I236,'A-4'!J43,'A-4'!J91))</f>
        <v>4639</v>
      </c>
      <c r="K90" s="142" t="str">
        <f>IF(AND('A-9'!J236="-",'A-4'!K43="-",'A-4'!K91="-"),"-",SUM('A-9'!J236,'A-4'!K43,'A-4'!K91))</f>
        <v>-</v>
      </c>
      <c r="L90" s="142">
        <f t="shared" si="1"/>
        <v>37702</v>
      </c>
    </row>
    <row r="91" spans="1:12" ht="11.25" customHeight="1">
      <c r="A91" s="99" t="s">
        <v>227</v>
      </c>
      <c r="B91" s="142" t="str">
        <f>IF(AND('A-4'!B44="-",'A-4'!B92="-"),"-",SUM('A-4'!B44,'A-4'!B92))</f>
        <v>-</v>
      </c>
      <c r="C91" s="142" t="str">
        <f>IF(AND('A-9'!B237="-",'A-4'!C44="-",'A-4'!C92="-"),"-",SUM('A-9'!B237,'A-4'!C44,'A-4'!C92))</f>
        <v>-</v>
      </c>
      <c r="D91" s="142" t="str">
        <f>IF(AND('A-9'!C237="-",'A-4'!D44="-",'A-4'!D92="-"),"-",SUM('A-9'!C237,'A-4'!D44,'A-4'!D92))</f>
        <v>-</v>
      </c>
      <c r="E91" s="142">
        <f>IF(AND('A-9'!D237="-",'A-4'!E44="-",'A-4'!E92="-"),"-",SUM('A-9'!D237,'A-4'!E44,'A-4'!E92))</f>
        <v>2946</v>
      </c>
      <c r="F91" s="142">
        <f>IF(AND('A-9'!E237="-",'A-4'!F44="-",'A-4'!F92="-"),"-",SUM('A-9'!E237,'A-4'!F44,'A-4'!F92))</f>
        <v>1679</v>
      </c>
      <c r="G91" s="142">
        <f>IF(AND('A-9'!F237="-",'A-4'!G44="-",'A-4'!G92="-"),"-",SUM('A-9'!F237,'A-4'!G44,'A-4'!G92))</f>
        <v>3974</v>
      </c>
      <c r="H91" s="142">
        <f>IF(AND('A-9'!G237="-",'A-4'!H44="-",'A-4'!H92="-"),"-",SUM('A-9'!G237,'A-4'!H44,'A-4'!H92))</f>
        <v>2927</v>
      </c>
      <c r="I91" s="142">
        <f>IF(AND('A-9'!H237="-",'A-4'!I44="-",'A-4'!I92="-"),"-",SUM('A-9'!H237,'A-4'!I44,'A-4'!I92))</f>
        <v>1328</v>
      </c>
      <c r="J91" s="142">
        <f>IF(AND('A-9'!I237="-",'A-4'!J44="-",'A-4'!J92="-"),"-",SUM('A-9'!I237,'A-4'!J44,'A-4'!J92))</f>
        <v>5040</v>
      </c>
      <c r="K91" s="142" t="str">
        <f>IF(AND('A-9'!J237="-",'A-4'!K44="-",'A-4'!K92="-"),"-",SUM('A-9'!J237,'A-4'!K44,'A-4'!K92))</f>
        <v>-</v>
      </c>
      <c r="L91" s="142">
        <f t="shared" si="1"/>
        <v>17894</v>
      </c>
    </row>
    <row r="92" spans="1:12" ht="11.25" customHeight="1">
      <c r="A92" s="99">
        <v>2016</v>
      </c>
      <c r="B92" s="142" t="str">
        <f>IF(AND('A-4'!B45="-",'A-4'!B93="-"),"-",SUM('A-4'!B45,'A-4'!B93))</f>
        <v>-</v>
      </c>
      <c r="C92" s="142" t="str">
        <f>IF(AND('A-9'!B238="-",'A-4'!C45="-",'A-4'!C93="-"),"-",SUM('A-9'!B238,'A-4'!C45,'A-4'!C93))</f>
        <v>-</v>
      </c>
      <c r="D92" s="142" t="str">
        <f>IF(AND('A-9'!C238="-",'A-4'!D45="-",'A-4'!D93="-"),"-",SUM('A-9'!C238,'A-4'!D45,'A-4'!D93))</f>
        <v>-</v>
      </c>
      <c r="E92" s="142">
        <f>IF(AND('A-9'!D238="-",'A-4'!E45="-",'A-4'!E93="-"),"-",SUM('A-9'!D238,'A-4'!E45,'A-4'!E93))</f>
        <v>1682</v>
      </c>
      <c r="F92" s="142">
        <f>IF(AND('A-9'!E238="-",'A-4'!F45="-",'A-4'!F93="-"),"-",SUM('A-9'!E238,'A-4'!F45,'A-4'!F93))</f>
        <v>2622</v>
      </c>
      <c r="G92" s="142">
        <f>IF(AND('A-9'!F238="-",'A-4'!G45="-",'A-4'!G93="-"),"-",SUM('A-9'!F238,'A-4'!G45,'A-4'!G93))</f>
        <v>3273</v>
      </c>
      <c r="H92" s="142">
        <f>IF(AND('A-9'!G238="-",'A-4'!H45="-",'A-4'!H93="-"),"-",SUM('A-9'!G238,'A-4'!H45,'A-4'!H93))</f>
        <v>2134</v>
      </c>
      <c r="I92" s="142">
        <f>IF(AND('A-9'!H238="-",'A-4'!I45="-",'A-4'!I93="-"),"-",SUM('A-9'!H238,'A-4'!I45,'A-4'!I93))</f>
        <v>1558</v>
      </c>
      <c r="J92" s="142">
        <f>IF(AND('A-9'!I238="-",'A-4'!J45="-",'A-4'!J93="-"),"-",SUM('A-9'!I238,'A-4'!J45,'A-4'!J93))</f>
        <v>1872</v>
      </c>
      <c r="K92" s="142" t="str">
        <f>IF(AND('A-9'!J238="-",'A-4'!K45="-",'A-4'!K93="-"),"-",SUM('A-9'!J238,'A-4'!K45,'A-4'!K93))</f>
        <v>-</v>
      </c>
      <c r="L92" s="142">
        <f t="shared" ref="L92:L97" si="2">SUM(B92:K92)</f>
        <v>13141</v>
      </c>
    </row>
    <row r="93" spans="1:12" ht="11.25" customHeight="1">
      <c r="A93" s="99">
        <v>2017</v>
      </c>
      <c r="B93" s="142" t="str">
        <f>IF(AND('A-4'!B46="-",'A-4'!B94="-"),"-",SUM('A-4'!B46,'A-4'!B94))</f>
        <v>-</v>
      </c>
      <c r="C93" s="142" t="str">
        <f>IF(AND('A-9'!B239="-",'A-4'!C46="-",'A-4'!C94="-"),"-",SUM('A-9'!B239,'A-4'!C46,'A-4'!C94))</f>
        <v>-</v>
      </c>
      <c r="D93" s="142" t="str">
        <f>IF(AND('A-9'!C239="-",'A-4'!D46="-",'A-4'!D94="-"),"-",SUM('A-9'!C239,'A-4'!D46,'A-4'!D94))</f>
        <v>-</v>
      </c>
      <c r="E93" s="142" t="str">
        <f>IF(AND('A-9'!D239="-",'A-4'!E46="-",'A-4'!E94="-"),"-",SUM('A-9'!D239,'A-4'!E46,'A-4'!E94))</f>
        <v>-</v>
      </c>
      <c r="F93" s="142" t="str">
        <f>IF(AND('A-9'!E239="-",'A-4'!F46="-",'A-4'!F94="-"),"-",SUM('A-9'!E239,'A-4'!F46,'A-4'!F94))</f>
        <v>-</v>
      </c>
      <c r="G93" s="142" t="str">
        <f>IF(AND('A-9'!F239="-",'A-4'!G46="-",'A-4'!G94="-"),"-",SUM('A-9'!F239,'A-4'!G46,'A-4'!G94))</f>
        <v>-</v>
      </c>
      <c r="H93" s="142" t="str">
        <f>IF(AND('A-9'!G239="-",'A-4'!H46="-",'A-4'!H94="-"),"-",SUM('A-9'!G239,'A-4'!H46,'A-4'!H94))</f>
        <v>-</v>
      </c>
      <c r="I93" s="142" t="str">
        <f>IF(AND('A-9'!H239="-",'A-4'!I46="-",'A-4'!I94="-"),"-",SUM('A-9'!H239,'A-4'!I46,'A-4'!I94))</f>
        <v>-</v>
      </c>
      <c r="J93" s="142">
        <f>IF(AND('A-9'!I239="-",'A-4'!J46="-",'A-4'!J94="-"),"-",SUM('A-9'!I239,'A-4'!J46,'A-4'!J94))</f>
        <v>2012</v>
      </c>
      <c r="K93" s="142" t="str">
        <f>IF(AND('A-9'!J239="-",'A-4'!K46="-",'A-4'!K94="-"),"-",SUM('A-9'!J239,'A-4'!K46,'A-4'!K94))</f>
        <v>-</v>
      </c>
      <c r="L93" s="142">
        <f t="shared" si="2"/>
        <v>2012</v>
      </c>
    </row>
    <row r="94" spans="1:12" ht="11.25" customHeight="1">
      <c r="A94" s="99">
        <v>2018</v>
      </c>
      <c r="B94" s="142" t="str">
        <f>IF(AND('A-4'!B47="-",'A-4'!B95="-"),"-",SUM('A-4'!B47,'A-4'!B95))</f>
        <v>-</v>
      </c>
      <c r="C94" s="142" t="str">
        <f>IF(AND('A-9'!B240="-",'A-4'!C47="-",'A-4'!C95="-"),"-",SUM('A-9'!B240,'A-4'!C47,'A-4'!C95))</f>
        <v>-</v>
      </c>
      <c r="D94" s="142" t="str">
        <f>IF(AND('A-9'!C240="-",'A-4'!D47="-",'A-4'!D95="-"),"-",SUM('A-9'!C240,'A-4'!D47,'A-4'!D95))</f>
        <v>-</v>
      </c>
      <c r="E94" s="142">
        <f>IF(AND('A-9'!D240="-",'A-4'!E47="-",'A-4'!E95="-"),"-",SUM('A-9'!D240,'A-4'!E47,'A-4'!E95))</f>
        <v>508</v>
      </c>
      <c r="F94" s="142">
        <f>IF(AND('A-9'!E240="-",'A-4'!F47="-",'A-4'!F95="-"),"-",SUM('A-9'!E240,'A-4'!F47,'A-4'!F95))</f>
        <v>3715</v>
      </c>
      <c r="G94" s="142">
        <f>IF(AND('A-9'!F240="-",'A-4'!G47="-",'A-4'!G95="-"),"-",SUM('A-9'!F240,'A-4'!G47,'A-4'!G95))</f>
        <v>4138</v>
      </c>
      <c r="H94" s="142">
        <f>IF(AND('A-9'!G240="-",'A-4'!H47="-",'A-4'!H95="-"),"-",SUM('A-9'!G240,'A-4'!H47,'A-4'!H95))</f>
        <v>3855</v>
      </c>
      <c r="I94" s="142">
        <f>IF(AND('A-9'!H240="-",'A-4'!I47="-",'A-4'!I95="-"),"-",SUM('A-9'!H240,'A-4'!I47,'A-4'!I95))</f>
        <v>51</v>
      </c>
      <c r="J94" s="142">
        <f>IF(AND('A-9'!I240="-",'A-4'!J47="-",'A-4'!J95="-"),"-",SUM('A-9'!I240,'A-4'!J47,'A-4'!J95))</f>
        <v>2102</v>
      </c>
      <c r="K94" s="142" t="str">
        <f>IF(AND('A-9'!J240="-",'A-4'!K47="-",'A-4'!K95="-"),"-",SUM('A-9'!J240,'A-4'!K47,'A-4'!K95))</f>
        <v>-</v>
      </c>
      <c r="L94" s="142">
        <f t="shared" si="2"/>
        <v>14369</v>
      </c>
    </row>
    <row r="95" spans="1:12" ht="11.25" customHeight="1">
      <c r="A95" s="99">
        <v>2019</v>
      </c>
      <c r="B95" s="142" t="str">
        <f>IF(AND('A-4'!B48="-",'A-4'!B96="-"),"-",SUM('A-4'!B48,'A-4'!B96))</f>
        <v>-</v>
      </c>
      <c r="C95" s="142" t="str">
        <f>IF(AND('A-9'!B241="-",'A-4'!C48="-",'A-4'!C96="-"),"-",SUM('A-9'!B241,'A-4'!C48,'A-4'!C96))</f>
        <v>-</v>
      </c>
      <c r="D95" s="142" t="str">
        <f>IF(AND('A-9'!C241="-",'A-4'!D48="-",'A-4'!D96="-"),"-",SUM('A-9'!C241,'A-4'!D48,'A-4'!D96))</f>
        <v>-</v>
      </c>
      <c r="E95" s="142">
        <f>IF(AND('A-9'!D241="-",'A-4'!E48="-",'A-4'!E96="-"),"-",SUM('A-9'!D241,'A-4'!E48,'A-4'!E96))</f>
        <v>496</v>
      </c>
      <c r="F95" s="142">
        <f>IF(AND('A-9'!E241="-",'A-4'!F48="-",'A-4'!F96="-"),"-",SUM('A-9'!E241,'A-4'!F48,'A-4'!F96))</f>
        <v>3507</v>
      </c>
      <c r="G95" s="142">
        <f>IF(AND('A-9'!F241="-",'A-4'!G48="-",'A-4'!G96="-"),"-",SUM('A-9'!F241,'A-4'!G48,'A-4'!G96))</f>
        <v>4611</v>
      </c>
      <c r="H95" s="142">
        <f>IF(AND('A-9'!G241="-",'A-4'!H48="-",'A-4'!H96="-"),"-",SUM('A-9'!G241,'A-4'!H48,'A-4'!H96))</f>
        <v>3308</v>
      </c>
      <c r="I95" s="142">
        <f>IF(AND('A-9'!H241="-",'A-4'!I48="-",'A-4'!I96="-"),"-",SUM('A-9'!H241,'A-4'!I48,'A-4'!I96))</f>
        <v>147</v>
      </c>
      <c r="J95" s="142" t="str">
        <f>IF(AND('A-9'!I241="-",'A-4'!J48="-",'A-4'!J96="-"),"-",SUM('A-9'!I241,'A-4'!J48,'A-4'!J96))</f>
        <v>-</v>
      </c>
      <c r="K95" s="142" t="str">
        <f>IF(AND('A-9'!J241="-",'A-4'!K48="-",'A-4'!K96="-"),"-",SUM('A-9'!J241,'A-4'!K48,'A-4'!K96))</f>
        <v>-</v>
      </c>
      <c r="L95" s="142">
        <f t="shared" si="2"/>
        <v>12069</v>
      </c>
    </row>
    <row r="96" spans="1:12" ht="11.25" customHeight="1">
      <c r="A96" s="99" t="s">
        <v>311</v>
      </c>
      <c r="B96" s="142" t="str">
        <f>IF(AND('A-4'!B49="-",'A-4'!B97="-"),"-",SUM('A-4'!B49,'A-4'!B97))</f>
        <v>-</v>
      </c>
      <c r="C96" s="142" t="str">
        <f>IF(AND('A-9'!B242="-",'A-4'!C49="-",'A-4'!C97="-"),"-",SUM('A-9'!B242,'A-4'!C49,'A-4'!C97))</f>
        <v>-</v>
      </c>
      <c r="D96" s="142" t="str">
        <f>IF(AND('A-9'!C242="-",'A-4'!D49="-",'A-4'!D97="-"),"-",SUM('A-9'!C242,'A-4'!D49,'A-4'!D97))</f>
        <v>-</v>
      </c>
      <c r="E96" s="142" t="str">
        <f>IF(AND('A-9'!D242="-",'A-4'!E49="-",'A-4'!E97="-"),"-",SUM('A-9'!D242,'A-4'!E49,'A-4'!E97))</f>
        <v>-</v>
      </c>
      <c r="F96" s="142">
        <f>IF(AND('A-9'!E242="-",'A-4'!F49="-",'A-4'!F97="-"),"-",SUM('A-9'!E242,'A-4'!F49,'A-4'!F97))</f>
        <v>1624</v>
      </c>
      <c r="G96" s="142">
        <f>IF(AND('A-9'!F242="-",'A-4'!G49="-",'A-4'!G97="-"),"-",SUM('A-9'!F242,'A-4'!G49,'A-4'!G97))</f>
        <v>7786</v>
      </c>
      <c r="H96" s="142">
        <f>IF(AND('A-9'!G242="-",'A-4'!H49="-",'A-4'!H97="-"),"-",SUM('A-9'!G242,'A-4'!H49,'A-4'!H97))</f>
        <v>1820</v>
      </c>
      <c r="I96" s="142" t="str">
        <f>IF(AND('A-9'!H242="-",'A-4'!I49="-",'A-4'!I97="-"),"-",SUM('A-9'!H242,'A-4'!I49,'A-4'!I97))</f>
        <v>-</v>
      </c>
      <c r="J96" s="142" t="str">
        <f>IF(AND('A-9'!I242="-",'A-4'!J49="-",'A-4'!J97="-"),"-",SUM('A-9'!I242,'A-4'!J49,'A-4'!J97))</f>
        <v>-</v>
      </c>
      <c r="K96" s="142" t="str">
        <f>IF(AND('A-9'!J242="-",'A-4'!K49="-",'A-4'!K97="-"),"-",SUM('A-9'!J242,'A-4'!K49,'A-4'!K97))</f>
        <v>-</v>
      </c>
      <c r="L96" s="142">
        <f t="shared" si="2"/>
        <v>11230</v>
      </c>
    </row>
    <row r="97" spans="1:12" ht="11.25" customHeight="1">
      <c r="A97" s="99" t="s">
        <v>317</v>
      </c>
      <c r="B97" s="142" t="str">
        <f>IF(AND('A-4'!B50="-",'A-4'!B98="-"),"-",SUM('A-4'!B50,'A-4'!B98))</f>
        <v>-</v>
      </c>
      <c r="C97" s="142" t="str">
        <f>IF(AND('A-9'!B243="-",'A-4'!C50="-",'A-4'!C98="-"),"-",SUM('A-9'!B243,'A-4'!C50,'A-4'!C98))</f>
        <v>-</v>
      </c>
      <c r="D97" s="142" t="str">
        <f>IF(AND('A-9'!C243="-",'A-4'!D50="-",'A-4'!D98="-"),"-",SUM('A-9'!C243,'A-4'!D50,'A-4'!D98))</f>
        <v>-</v>
      </c>
      <c r="E97" s="142" t="str">
        <f>IF(AND('A-9'!D243="-",'A-4'!E50="-",'A-4'!E98="-"),"-",SUM('A-9'!D243,'A-4'!E50,'A-4'!E98))</f>
        <v>-</v>
      </c>
      <c r="F97" s="142">
        <f>IF(AND('A-9'!E243="-",'A-4'!F50="-",'A-4'!F98="-"),"-",SUM('A-9'!E243,'A-4'!F50,'A-4'!F98))</f>
        <v>2336</v>
      </c>
      <c r="G97" s="142">
        <f>IF(AND('A-9'!F243="-",'A-4'!G50="-",'A-4'!G98="-"),"-",SUM('A-9'!F243,'A-4'!G50,'A-4'!G98))</f>
        <v>4562</v>
      </c>
      <c r="H97" s="142">
        <f>IF(AND('A-9'!G243="-",'A-4'!H50="-",'A-4'!H98="-"),"-",SUM('A-9'!G243,'A-4'!H50,'A-4'!H98))</f>
        <v>1216</v>
      </c>
      <c r="I97" s="142" t="str">
        <f>IF(AND('A-9'!H243="-",'A-4'!I50="-",'A-4'!I98="-"),"-",SUM('A-9'!H243,'A-4'!I50,'A-4'!I98))</f>
        <v>-</v>
      </c>
      <c r="J97" s="142" t="str">
        <f>IF(AND('A-9'!I243="-",'A-4'!J50="-",'A-4'!J98="-"),"-",SUM('A-9'!I243,'A-4'!J50,'A-4'!J98))</f>
        <v>-</v>
      </c>
      <c r="K97" s="142" t="str">
        <f>IF(AND('A-9'!J243="-",'A-4'!K50="-",'A-4'!K98="-"),"-",SUM('A-9'!J243,'A-4'!K50,'A-4'!K98))</f>
        <v>-</v>
      </c>
      <c r="L97" s="142">
        <f t="shared" si="2"/>
        <v>8114</v>
      </c>
    </row>
    <row r="98" spans="1:12" ht="11.25" customHeight="1"/>
    <row r="99" spans="1:12" ht="11.25" customHeight="1">
      <c r="A99" s="94" t="s">
        <v>349</v>
      </c>
    </row>
    <row r="100" spans="1:12" ht="11.25" customHeight="1">
      <c r="A100" s="99">
        <v>1976</v>
      </c>
      <c r="B100" s="142">
        <f>IF(AND('A-4'!B101="-",'A-4'!B149="-",'A-4'!B197="-"),"-",SUM('A-4'!B101,'A-4'!B149,'A-4'!B197))</f>
        <v>8194</v>
      </c>
      <c r="C100" s="142">
        <f>IF(AND('A-4'!C101="-",'A-4'!C149="-",'A-4'!C197="-"),"-",SUM('A-4'!C101,'A-4'!C149,'A-4'!C197))</f>
        <v>7412</v>
      </c>
      <c r="D100" s="142">
        <f>IF(AND('A-4'!D101="-",'A-4'!D149="-",'A-4'!D197="-"),"-",SUM('A-4'!D101,'A-4'!D149,'A-4'!D197))</f>
        <v>7916</v>
      </c>
      <c r="E100" s="142">
        <f>IF(AND('A-4'!E101="-",'A-4'!E149="-",'A-4'!E197="-"),"-",SUM('A-4'!E101,'A-4'!E149,'A-4'!E197))</f>
        <v>17015</v>
      </c>
      <c r="F100" s="142">
        <f>IF(AND('A-4'!F101="-",'A-4'!F149="-",'A-4'!F197="-"),"-",SUM('A-4'!F101,'A-4'!F149,'A-4'!F197))</f>
        <v>14516</v>
      </c>
      <c r="G100" s="142">
        <f>IF(AND('A-4'!G101="-",'A-4'!G149="-",'A-4'!G197="-"),"-",SUM('A-4'!G101,'A-4'!G149,'A-4'!G197))</f>
        <v>24919</v>
      </c>
      <c r="H100" s="142">
        <f>IF(AND('A-4'!H101="-",'A-4'!H149="-",'A-4'!H197="-"),"-",SUM('A-4'!H101,'A-4'!H149,'A-4'!H197))</f>
        <v>21945</v>
      </c>
      <c r="I100" s="142">
        <f>IF(AND('A-4'!I101="-",'A-4'!I149="-",'A-4'!I197="-"),"-",SUM('A-4'!I101,'A-4'!I149,'A-4'!I197))</f>
        <v>10057</v>
      </c>
      <c r="J100" s="142">
        <f>IF(AND('A-4'!J101="-",'A-4'!J149="-",'A-4'!J197="-"),"-",SUM('A-4'!J101,'A-4'!J149,'A-4'!J197))</f>
        <v>12608</v>
      </c>
      <c r="K100" s="142">
        <f>IF(AND('A-4'!K101="-",'A-4'!K149="-",'A-4'!K197="-"),"-",SUM('A-4'!K101,'A-4'!K149,'A-4'!K197))</f>
        <v>3382</v>
      </c>
      <c r="L100" s="142">
        <f>IF(AND('A-4'!L101="-",'A-4'!L149="-",'A-4'!L197="-"),"-",SUM('A-4'!L101,'A-4'!L149,'A-4'!L197))</f>
        <v>127964</v>
      </c>
    </row>
    <row r="101" spans="1:12" ht="11.25" customHeight="1">
      <c r="A101" s="99">
        <v>1977</v>
      </c>
      <c r="B101" s="142">
        <f>IF(AND('A-4'!B102="-",'A-4'!B150="-",'A-4'!B198="-"),"-",SUM('A-4'!B102,'A-4'!B150,'A-4'!B198))</f>
        <v>9832</v>
      </c>
      <c r="C101" s="142">
        <f>IF(AND('A-4'!C102="-",'A-4'!C150="-",'A-4'!C198="-"),"-",SUM('A-4'!C102,'A-4'!C150,'A-4'!C198))</f>
        <v>9729</v>
      </c>
      <c r="D101" s="142">
        <f>IF(AND('A-4'!D102="-",'A-4'!D150="-",'A-4'!D198="-"),"-",SUM('A-4'!D102,'A-4'!D150,'A-4'!D198))</f>
        <v>13632</v>
      </c>
      <c r="E101" s="142">
        <f>IF(AND('A-4'!E102="-",'A-4'!E150="-",'A-4'!E198="-"),"-",SUM('A-4'!E102,'A-4'!E150,'A-4'!E198))</f>
        <v>11947</v>
      </c>
      <c r="F101" s="142">
        <f>IF(AND('A-4'!F102="-",'A-4'!F150="-",'A-4'!F198="-"),"-",SUM('A-4'!F102,'A-4'!F150,'A-4'!F198))</f>
        <v>10446</v>
      </c>
      <c r="G101" s="142">
        <f>IF(AND('A-4'!G102="-",'A-4'!G150="-",'A-4'!G198="-"),"-",SUM('A-4'!G102,'A-4'!G150,'A-4'!G198))</f>
        <v>23341</v>
      </c>
      <c r="H101" s="142">
        <f>IF(AND('A-4'!H102="-",'A-4'!H150="-",'A-4'!H198="-"),"-",SUM('A-4'!H102,'A-4'!H150,'A-4'!H198))</f>
        <v>23357</v>
      </c>
      <c r="I101" s="142">
        <f>IF(AND('A-4'!I102="-",'A-4'!I150="-",'A-4'!I198="-"),"-",SUM('A-4'!I102,'A-4'!I150,'A-4'!I198))</f>
        <v>16103</v>
      </c>
      <c r="J101" s="142">
        <f>IF(AND('A-4'!J102="-",'A-4'!J150="-",'A-4'!J198="-"),"-",SUM('A-4'!J102,'A-4'!J150,'A-4'!J198))</f>
        <v>10415</v>
      </c>
      <c r="K101" s="142">
        <f>IF(AND('A-4'!K102="-",'A-4'!K150="-",'A-4'!K198="-"),"-",SUM('A-4'!K102,'A-4'!K150,'A-4'!K198))</f>
        <v>3025</v>
      </c>
      <c r="L101" s="142">
        <f>IF(AND('A-4'!L102="-",'A-4'!L150="-",'A-4'!L198="-"),"-",SUM('A-4'!L102,'A-4'!L150,'A-4'!L198))</f>
        <v>131827</v>
      </c>
    </row>
    <row r="102" spans="1:12" ht="11.25" customHeight="1">
      <c r="A102" s="99">
        <v>1978</v>
      </c>
      <c r="B102" s="142">
        <f>IF(AND('A-4'!B103="-",'A-4'!B151="-",'A-4'!B199="-"),"-",SUM('A-4'!B103,'A-4'!B151,'A-4'!B199))</f>
        <v>19152</v>
      </c>
      <c r="C102" s="142">
        <f>IF(AND('A-4'!C103="-",'A-4'!C151="-",'A-4'!C199="-"),"-",SUM('A-4'!C103,'A-4'!C151,'A-4'!C199))</f>
        <v>13387</v>
      </c>
      <c r="D102" s="142">
        <f>IF(AND('A-4'!D103="-",'A-4'!D151="-",'A-4'!D199="-"),"-",SUM('A-4'!D103,'A-4'!D151,'A-4'!D199))</f>
        <v>2911</v>
      </c>
      <c r="E102" s="142">
        <f>IF(AND('A-4'!E103="-",'A-4'!E151="-",'A-4'!E199="-"),"-",SUM('A-4'!E103,'A-4'!E151,'A-4'!E199))</f>
        <v>2249</v>
      </c>
      <c r="F102" s="142">
        <f>IF(AND('A-4'!F103="-",'A-4'!F151="-",'A-4'!F199="-"),"-",SUM('A-4'!F103,'A-4'!F151,'A-4'!F199))</f>
        <v>7628</v>
      </c>
      <c r="G102" s="142">
        <f>IF(AND('A-4'!G103="-",'A-4'!G151="-",'A-4'!G199="-"),"-",SUM('A-4'!G103,'A-4'!G151,'A-4'!G199))</f>
        <v>20990</v>
      </c>
      <c r="H102" s="142">
        <f>IF(AND('A-4'!H103="-",'A-4'!H151="-",'A-4'!H199="-"),"-",SUM('A-4'!H103,'A-4'!H151,'A-4'!H199))</f>
        <v>15416</v>
      </c>
      <c r="I102" s="142">
        <f>IF(AND('A-4'!I103="-",'A-4'!I151="-",'A-4'!I199="-"),"-",SUM('A-4'!I103,'A-4'!I151,'A-4'!I199))</f>
        <v>16290</v>
      </c>
      <c r="J102" s="142">
        <f>IF(AND('A-4'!J103="-",'A-4'!J151="-",'A-4'!J199="-"),"-",SUM('A-4'!J103,'A-4'!J151,'A-4'!J199))</f>
        <v>8314</v>
      </c>
      <c r="K102" s="142">
        <f>IF(AND('A-4'!K103="-",'A-4'!K151="-",'A-4'!K199="-"),"-",SUM('A-4'!K103,'A-4'!K151,'A-4'!K199))</f>
        <v>5827</v>
      </c>
      <c r="L102" s="142">
        <f>IF(AND('A-4'!L103="-",'A-4'!L151="-",'A-4'!L199="-"),"-",SUM('A-4'!L103,'A-4'!L151,'A-4'!L199))</f>
        <v>112164</v>
      </c>
    </row>
    <row r="103" spans="1:12" ht="11.25" customHeight="1">
      <c r="A103" s="99">
        <v>1979</v>
      </c>
      <c r="B103" s="142">
        <f>IF(AND('A-4'!B104="-",'A-4'!B152="-",'A-4'!B200="-"),"-",SUM('A-4'!B104,'A-4'!B152,'A-4'!B200))</f>
        <v>8685</v>
      </c>
      <c r="C103" s="142">
        <f>IF(AND('A-4'!C104="-",'A-4'!C152="-",'A-4'!C200="-"),"-",SUM('A-4'!C104,'A-4'!C152,'A-4'!C200))</f>
        <v>14396</v>
      </c>
      <c r="D103" s="142">
        <f>IF(AND('A-4'!D104="-",'A-4'!D152="-",'A-4'!D200="-"),"-",SUM('A-4'!D104,'A-4'!D152,'A-4'!D200))</f>
        <v>11641</v>
      </c>
      <c r="E103" s="142">
        <f>IF(AND('A-4'!E104="-",'A-4'!E152="-",'A-4'!E200="-"),"-",SUM('A-4'!E104,'A-4'!E152,'A-4'!E200))</f>
        <v>8574</v>
      </c>
      <c r="F103" s="142">
        <f>IF(AND('A-4'!F104="-",'A-4'!F152="-",'A-4'!F200="-"),"-",SUM('A-4'!F104,'A-4'!F152,'A-4'!F200))</f>
        <v>16894</v>
      </c>
      <c r="G103" s="142">
        <f>IF(AND('A-4'!G104="-",'A-4'!G152="-",'A-4'!G200="-"),"-",SUM('A-4'!G104,'A-4'!G152,'A-4'!G200))</f>
        <v>21343</v>
      </c>
      <c r="H103" s="142">
        <f>IF(AND('A-4'!H104="-",'A-4'!H152="-",'A-4'!H200="-"),"-",SUM('A-4'!H104,'A-4'!H152,'A-4'!H200))</f>
        <v>22587</v>
      </c>
      <c r="I103" s="142">
        <f>IF(AND('A-4'!I104="-",'A-4'!I152="-",'A-4'!I200="-"),"-",SUM('A-4'!I104,'A-4'!I152,'A-4'!I200))</f>
        <v>14397</v>
      </c>
      <c r="J103" s="142">
        <f>IF(AND('A-4'!J104="-",'A-4'!J152="-",'A-4'!J200="-"),"-",SUM('A-4'!J104,'A-4'!J152,'A-4'!J200))</f>
        <v>5470</v>
      </c>
      <c r="K103" s="142" t="str">
        <f>IF(AND('A-4'!K104="-",'A-4'!K152="-",'A-4'!K200="-"),"-",SUM('A-4'!K104,'A-4'!K152,'A-4'!K200))</f>
        <v>-</v>
      </c>
      <c r="L103" s="142">
        <f>IF(AND('A-4'!L104="-",'A-4'!L152="-",'A-4'!L200="-"),"-",SUM('A-4'!L104,'A-4'!L152,'A-4'!L200))</f>
        <v>123987</v>
      </c>
    </row>
    <row r="104" spans="1:12" ht="11.25" customHeight="1">
      <c r="A104" s="99">
        <v>1980</v>
      </c>
      <c r="B104" s="142">
        <f>IF(AND('A-4'!B105="-",'A-4'!B153="-",'A-4'!B201="-"),"-",SUM('A-4'!B105,'A-4'!B153,'A-4'!B201))</f>
        <v>3464</v>
      </c>
      <c r="C104" s="142">
        <f>IF(AND('A-4'!C105="-",'A-4'!C153="-",'A-4'!C201="-"),"-",SUM('A-4'!C105,'A-4'!C153,'A-4'!C201))</f>
        <v>17417</v>
      </c>
      <c r="D104" s="142">
        <f>IF(AND('A-4'!D105="-",'A-4'!D153="-",'A-4'!D201="-"),"-",SUM('A-4'!D105,'A-4'!D153,'A-4'!D201))</f>
        <v>10048</v>
      </c>
      <c r="E104" s="142">
        <f>IF(AND('A-4'!E105="-",'A-4'!E153="-",'A-4'!E201="-"),"-",SUM('A-4'!E105,'A-4'!E153,'A-4'!E201))</f>
        <v>9859</v>
      </c>
      <c r="F104" s="142">
        <f>IF(AND('A-4'!F105="-",'A-4'!F153="-",'A-4'!F201="-"),"-",SUM('A-4'!F105,'A-4'!F153,'A-4'!F201))</f>
        <v>15504</v>
      </c>
      <c r="G104" s="142">
        <f>IF(AND('A-4'!G105="-",'A-4'!G153="-",'A-4'!G201="-"),"-",SUM('A-4'!G105,'A-4'!G153,'A-4'!G201))</f>
        <v>19676</v>
      </c>
      <c r="H104" s="142">
        <f>IF(AND('A-4'!H105="-",'A-4'!H153="-",'A-4'!H201="-"),"-",SUM('A-4'!H105,'A-4'!H153,'A-4'!H201))</f>
        <v>13694</v>
      </c>
      <c r="I104" s="142">
        <f>IF(AND('A-4'!I105="-",'A-4'!I153="-",'A-4'!I201="-"),"-",SUM('A-4'!I105,'A-4'!I153,'A-4'!I201))</f>
        <v>9378</v>
      </c>
      <c r="J104" s="142">
        <f>IF(AND('A-4'!J105="-",'A-4'!J153="-",'A-4'!J201="-"),"-",SUM('A-4'!J105,'A-4'!J153,'A-4'!J201))</f>
        <v>3035</v>
      </c>
      <c r="K104" s="142" t="str">
        <f>IF(AND('A-4'!K105="-",'A-4'!K153="-",'A-4'!K201="-"),"-",SUM('A-4'!K105,'A-4'!K153,'A-4'!K201))</f>
        <v>-</v>
      </c>
      <c r="L104" s="142">
        <f>IF(AND('A-4'!L105="-",'A-4'!L153="-",'A-4'!L201="-"),"-",SUM('A-4'!L105,'A-4'!L153,'A-4'!L201))</f>
        <v>102075</v>
      </c>
    </row>
    <row r="105" spans="1:12" ht="11.25" customHeight="1">
      <c r="A105" s="99">
        <v>1981</v>
      </c>
      <c r="B105" s="142">
        <f>IF(AND('A-4'!B106="-",'A-4'!B154="-",'A-4'!B202="-"),"-",SUM('A-4'!B106,'A-4'!B154,'A-4'!B202))</f>
        <v>5159</v>
      </c>
      <c r="C105" s="142">
        <f>IF(AND('A-4'!C106="-",'A-4'!C154="-",'A-4'!C202="-"),"-",SUM('A-4'!C106,'A-4'!C154,'A-4'!C202))</f>
        <v>5954</v>
      </c>
      <c r="D105" s="142">
        <f>IF(AND('A-4'!D106="-",'A-4'!D154="-",'A-4'!D202="-"),"-",SUM('A-4'!D106,'A-4'!D154,'A-4'!D202))</f>
        <v>10609</v>
      </c>
      <c r="E105" s="142">
        <f>IF(AND('A-4'!E106="-",'A-4'!E154="-",'A-4'!E202="-"),"-",SUM('A-4'!E106,'A-4'!E154,'A-4'!E202))</f>
        <v>5270</v>
      </c>
      <c r="F105" s="142">
        <f>IF(AND('A-4'!F106="-",'A-4'!F154="-",'A-4'!F202="-"),"-",SUM('A-4'!F106,'A-4'!F154,'A-4'!F202))</f>
        <v>12409</v>
      </c>
      <c r="G105" s="142">
        <f>IF(AND('A-4'!G106="-",'A-4'!G154="-",'A-4'!G202="-"),"-",SUM('A-4'!G106,'A-4'!G154,'A-4'!G202))</f>
        <v>20169</v>
      </c>
      <c r="H105" s="142">
        <f>IF(AND('A-4'!H106="-",'A-4'!H154="-",'A-4'!H202="-"),"-",SUM('A-4'!H106,'A-4'!H154,'A-4'!H202))</f>
        <v>16115</v>
      </c>
      <c r="I105" s="142">
        <f>IF(AND('A-4'!I106="-",'A-4'!I154="-",'A-4'!I202="-"),"-",SUM('A-4'!I106,'A-4'!I154,'A-4'!I202))</f>
        <v>8592</v>
      </c>
      <c r="J105" s="142">
        <f>IF(AND('A-4'!J106="-",'A-4'!J154="-",'A-4'!J202="-"),"-",SUM('A-4'!J106,'A-4'!J154,'A-4'!J202))</f>
        <v>5677</v>
      </c>
      <c r="K105" s="142">
        <f>IF(AND('A-4'!K106="-",'A-4'!K154="-",'A-4'!K202="-"),"-",SUM('A-4'!K106,'A-4'!K154,'A-4'!K202))</f>
        <v>1660</v>
      </c>
      <c r="L105" s="142">
        <f>IF(AND('A-4'!L106="-",'A-4'!L154="-",'A-4'!L202="-"),"-",SUM('A-4'!L106,'A-4'!L154,'A-4'!L202))</f>
        <v>91614</v>
      </c>
    </row>
    <row r="106" spans="1:12" ht="11.25" customHeight="1">
      <c r="A106" s="99">
        <v>1982</v>
      </c>
      <c r="B106" s="142">
        <f>IF(AND('A-4'!B107="-",'A-4'!B155="-",'A-4'!B203="-"),"-",SUM('A-4'!B107,'A-4'!B155,'A-4'!B203))</f>
        <v>7355</v>
      </c>
      <c r="C106" s="142">
        <f>IF(AND('A-4'!C107="-",'A-4'!C155="-",'A-4'!C203="-"),"-",SUM('A-4'!C107,'A-4'!C155,'A-4'!C203))</f>
        <v>12371</v>
      </c>
      <c r="D106" s="142">
        <f>IF(AND('A-4'!D107="-",'A-4'!D155="-",'A-4'!D203="-"),"-",SUM('A-4'!D107,'A-4'!D155,'A-4'!D203))</f>
        <v>8257</v>
      </c>
      <c r="E106" s="142">
        <f>IF(AND('A-4'!E107="-",'A-4'!E155="-",'A-4'!E203="-"),"-",SUM('A-4'!E107,'A-4'!E155,'A-4'!E203))</f>
        <v>9849</v>
      </c>
      <c r="F106" s="142">
        <f>IF(AND('A-4'!F107="-",'A-4'!F155="-",'A-4'!F203="-"),"-",SUM('A-4'!F107,'A-4'!F155,'A-4'!F203))</f>
        <v>13786</v>
      </c>
      <c r="G106" s="142">
        <f>IF(AND('A-4'!G107="-",'A-4'!G155="-",'A-4'!G203="-"),"-",SUM('A-4'!G107,'A-4'!G155,'A-4'!G203))</f>
        <v>23887</v>
      </c>
      <c r="H106" s="142">
        <f>IF(AND('A-4'!H107="-",'A-4'!H155="-",'A-4'!H203="-"),"-",SUM('A-4'!H107,'A-4'!H155,'A-4'!H203))</f>
        <v>22612</v>
      </c>
      <c r="I106" s="142">
        <f>IF(AND('A-4'!I107="-",'A-4'!I155="-",'A-4'!I203="-"),"-",SUM('A-4'!I107,'A-4'!I155,'A-4'!I203))</f>
        <v>13071</v>
      </c>
      <c r="J106" s="142">
        <f>IF(AND('A-4'!J107="-",'A-4'!J155="-",'A-4'!J203="-"),"-",SUM('A-4'!J107,'A-4'!J155,'A-4'!J203))</f>
        <v>9544</v>
      </c>
      <c r="K106" s="142">
        <f>IF(AND('A-4'!K107="-",'A-4'!K155="-",'A-4'!K203="-"),"-",SUM('A-4'!K107,'A-4'!K155,'A-4'!K203))</f>
        <v>2675</v>
      </c>
      <c r="L106" s="142">
        <f>IF(AND('A-4'!L107="-",'A-4'!L155="-",'A-4'!L203="-"),"-",SUM('A-4'!L107,'A-4'!L155,'A-4'!L203))</f>
        <v>123407</v>
      </c>
    </row>
    <row r="107" spans="1:12" ht="11.25" customHeight="1">
      <c r="A107" s="99">
        <v>1983</v>
      </c>
      <c r="B107" s="142">
        <f>IF(AND('A-4'!B108="-",'A-4'!B156="-",'A-4'!B204="-"),"-",SUM('A-4'!B108,'A-4'!B156,'A-4'!B204))</f>
        <v>2091</v>
      </c>
      <c r="C107" s="142">
        <f>IF(AND('A-4'!C108="-",'A-4'!C156="-",'A-4'!C204="-"),"-",SUM('A-4'!C108,'A-4'!C156,'A-4'!C204))</f>
        <v>2354</v>
      </c>
      <c r="D107" s="142">
        <f>IF(AND('A-4'!D108="-",'A-4'!D156="-",'A-4'!D204="-"),"-",SUM('A-4'!D108,'A-4'!D156,'A-4'!D204))</f>
        <v>6579</v>
      </c>
      <c r="E107" s="142">
        <f>IF(AND('A-4'!E108="-",'A-4'!E156="-",'A-4'!E204="-"),"-",SUM('A-4'!E108,'A-4'!E156,'A-4'!E204))</f>
        <v>10387</v>
      </c>
      <c r="F107" s="142">
        <f>IF(AND('A-4'!F108="-",'A-4'!F156="-",'A-4'!F204="-"),"-",SUM('A-4'!F108,'A-4'!F156,'A-4'!F204))</f>
        <v>12143</v>
      </c>
      <c r="G107" s="142">
        <f>IF(AND('A-4'!G108="-",'A-4'!G156="-",'A-4'!G204="-"),"-",SUM('A-4'!G108,'A-4'!G156,'A-4'!G204))</f>
        <v>20591</v>
      </c>
      <c r="H107" s="142">
        <f>IF(AND('A-4'!H108="-",'A-4'!H156="-",'A-4'!H204="-"),"-",SUM('A-4'!H108,'A-4'!H156,'A-4'!H204))</f>
        <v>11405</v>
      </c>
      <c r="I107" s="142">
        <f>IF(AND('A-4'!I108="-",'A-4'!I156="-",'A-4'!I204="-"),"-",SUM('A-4'!I108,'A-4'!I156,'A-4'!I204))</f>
        <v>7171</v>
      </c>
      <c r="J107" s="142">
        <f>IF(AND('A-4'!J108="-",'A-4'!J156="-",'A-4'!J204="-"),"-",SUM('A-4'!J108,'A-4'!J156,'A-4'!J204))</f>
        <v>5330</v>
      </c>
      <c r="K107" s="142">
        <f>IF(AND('A-4'!K108="-",'A-4'!K156="-",'A-4'!K204="-"),"-",SUM('A-4'!K108,'A-4'!K156,'A-4'!K204))</f>
        <v>101</v>
      </c>
      <c r="L107" s="142">
        <f>IF(AND('A-4'!L108="-",'A-4'!L156="-",'A-4'!L204="-"),"-",SUM('A-4'!L108,'A-4'!L156,'A-4'!L204))</f>
        <v>78152</v>
      </c>
    </row>
    <row r="108" spans="1:12" ht="11.25" customHeight="1">
      <c r="A108" s="99">
        <v>1984</v>
      </c>
      <c r="B108" s="142">
        <f>IF(AND('A-4'!B109="-",'A-4'!B157="-",'A-4'!B205="-"),"-",SUM('A-4'!B109,'A-4'!B157,'A-4'!B205))</f>
        <v>1916</v>
      </c>
      <c r="C108" s="142">
        <f>IF(AND('A-4'!C109="-",'A-4'!C157="-",'A-4'!C205="-"),"-",SUM('A-4'!C109,'A-4'!C157,'A-4'!C205))</f>
        <v>2166</v>
      </c>
      <c r="D108" s="142">
        <f>IF(AND('A-4'!D109="-",'A-4'!D157="-",'A-4'!D205="-"),"-",SUM('A-4'!D109,'A-4'!D157,'A-4'!D205))</f>
        <v>6475</v>
      </c>
      <c r="E108" s="142">
        <f>IF(AND('A-4'!E109="-",'A-4'!E157="-",'A-4'!E205="-"),"-",SUM('A-4'!E109,'A-4'!E157,'A-4'!E205))</f>
        <v>9369</v>
      </c>
      <c r="F108" s="142">
        <f>IF(AND('A-4'!F109="-",'A-4'!F157="-",'A-4'!F205="-"),"-",SUM('A-4'!F109,'A-4'!F157,'A-4'!F205))</f>
        <v>13845</v>
      </c>
      <c r="G108" s="142">
        <f>IF(AND('A-4'!G109="-",'A-4'!G157="-",'A-4'!G205="-"),"-",SUM('A-4'!G109,'A-4'!G157,'A-4'!G205))</f>
        <v>21292</v>
      </c>
      <c r="H108" s="142">
        <f>IF(AND('A-4'!H109="-",'A-4'!H157="-",'A-4'!H205="-"),"-",SUM('A-4'!H109,'A-4'!H157,'A-4'!H205))</f>
        <v>16078</v>
      </c>
      <c r="I108" s="142">
        <f>IF(AND('A-4'!I109="-",'A-4'!I157="-",'A-4'!I205="-"),"-",SUM('A-4'!I109,'A-4'!I157,'A-4'!I205))</f>
        <v>8978</v>
      </c>
      <c r="J108" s="142">
        <f>IF(AND('A-4'!J109="-",'A-4'!J157="-",'A-4'!J205="-"),"-",SUM('A-4'!J109,'A-4'!J157,'A-4'!J205))</f>
        <v>3461</v>
      </c>
      <c r="K108" s="142">
        <f>IF(AND('A-4'!K109="-",'A-4'!K157="-",'A-4'!K205="-"),"-",SUM('A-4'!K109,'A-4'!K157,'A-4'!K205))</f>
        <v>772</v>
      </c>
      <c r="L108" s="142">
        <f>IF(AND('A-4'!L109="-",'A-4'!L157="-",'A-4'!L205="-"),"-",SUM('A-4'!L109,'A-4'!L157,'A-4'!L205))</f>
        <v>84352</v>
      </c>
    </row>
    <row r="109" spans="1:12" ht="11.25" customHeight="1">
      <c r="A109" s="99">
        <v>1985</v>
      </c>
      <c r="B109" s="142">
        <f>IF(AND('A-4'!B110="-",'A-4'!B158="-",'A-4'!B206="-"),"-",SUM('A-4'!B110,'A-4'!B158,'A-4'!B206))</f>
        <v>9012</v>
      </c>
      <c r="C109" s="142">
        <f>IF(AND('A-4'!C110="-",'A-4'!C158="-",'A-4'!C206="-"),"-",SUM('A-4'!C110,'A-4'!C158,'A-4'!C206))</f>
        <v>16882</v>
      </c>
      <c r="D109" s="142">
        <f>IF(AND('A-4'!D110="-",'A-4'!D158="-",'A-4'!D206="-"),"-",SUM('A-4'!D110,'A-4'!D158,'A-4'!D206))</f>
        <v>11936</v>
      </c>
      <c r="E109" s="142">
        <f>IF(AND('A-4'!E110="-",'A-4'!E158="-",'A-4'!E206="-"),"-",SUM('A-4'!E110,'A-4'!E158,'A-4'!E206))</f>
        <v>9615</v>
      </c>
      <c r="F109" s="142">
        <f>IF(AND('A-4'!F110="-",'A-4'!F158="-",'A-4'!F206="-"),"-",SUM('A-4'!F110,'A-4'!F158,'A-4'!F206))</f>
        <v>19523</v>
      </c>
      <c r="G109" s="142">
        <f>IF(AND('A-4'!G110="-",'A-4'!G158="-",'A-4'!G206="-"),"-",SUM('A-4'!G110,'A-4'!G158,'A-4'!G206))</f>
        <v>24250</v>
      </c>
      <c r="H109" s="142">
        <f>IF(AND('A-4'!H110="-",'A-4'!H158="-",'A-4'!H206="-"),"-",SUM('A-4'!H110,'A-4'!H158,'A-4'!H206))</f>
        <v>18493</v>
      </c>
      <c r="I109" s="142">
        <f>IF(AND('A-4'!I110="-",'A-4'!I158="-",'A-4'!I206="-"),"-",SUM('A-4'!I110,'A-4'!I158,'A-4'!I206))</f>
        <v>10153</v>
      </c>
      <c r="J109" s="142">
        <f>IF(AND('A-4'!J110="-",'A-4'!J158="-",'A-4'!J206="-"),"-",SUM('A-4'!J110,'A-4'!J158,'A-4'!J206))</f>
        <v>4230</v>
      </c>
      <c r="K109" s="142">
        <f>IF(AND('A-4'!K110="-",'A-4'!K158="-",'A-4'!K206="-"),"-",SUM('A-4'!K110,'A-4'!K158,'A-4'!K206))</f>
        <v>1924</v>
      </c>
      <c r="L109" s="142">
        <f>IF(AND('A-4'!L110="-",'A-4'!L158="-",'A-4'!L206="-"),"-",SUM('A-4'!L110,'A-4'!L158,'A-4'!L206))</f>
        <v>126018</v>
      </c>
    </row>
    <row r="110" spans="1:12" ht="11.25" customHeight="1">
      <c r="A110" s="99">
        <v>1986</v>
      </c>
      <c r="B110" s="142">
        <f>IF(AND('A-4'!B111="-",'A-4'!B159="-",'A-4'!B207="-"),"-",SUM('A-4'!B111,'A-4'!B159,'A-4'!B207))</f>
        <v>2129</v>
      </c>
      <c r="C110" s="142">
        <f>IF(AND('A-4'!C111="-",'A-4'!C159="-",'A-4'!C207="-"),"-",SUM('A-4'!C111,'A-4'!C159,'A-4'!C207))</f>
        <v>13939</v>
      </c>
      <c r="D110" s="142">
        <f>IF(AND('A-4'!D111="-",'A-4'!D159="-",'A-4'!D207="-"),"-",SUM('A-4'!D111,'A-4'!D159,'A-4'!D207))</f>
        <v>18354</v>
      </c>
      <c r="E110" s="142">
        <f>IF(AND('A-4'!E111="-",'A-4'!E159="-",'A-4'!E207="-"),"-",SUM('A-4'!E111,'A-4'!E159,'A-4'!E207))</f>
        <v>12764</v>
      </c>
      <c r="F110" s="142">
        <f>IF(AND('A-4'!F111="-",'A-4'!F159="-",'A-4'!F207="-"),"-",SUM('A-4'!F111,'A-4'!F159,'A-4'!F207))</f>
        <v>22498</v>
      </c>
      <c r="G110" s="142">
        <f>IF(AND('A-4'!G111="-",'A-4'!G159="-",'A-4'!G207="-"),"-",SUM('A-4'!G111,'A-4'!G159,'A-4'!G207))</f>
        <v>34860</v>
      </c>
      <c r="H110" s="142">
        <f>IF(AND('A-4'!H111="-",'A-4'!H159="-",'A-4'!H207="-"),"-",SUM('A-4'!H111,'A-4'!H159,'A-4'!H207))</f>
        <v>23236</v>
      </c>
      <c r="I110" s="142">
        <f>IF(AND('A-4'!I111="-",'A-4'!I159="-",'A-4'!I207="-"),"-",SUM('A-4'!I111,'A-4'!I159,'A-4'!I207))</f>
        <v>7674</v>
      </c>
      <c r="J110" s="142">
        <f>IF(AND('A-4'!J111="-",'A-4'!J159="-",'A-4'!J207="-"),"-",SUM('A-4'!J111,'A-4'!J159,'A-4'!J207))</f>
        <v>4807</v>
      </c>
      <c r="K110" s="142">
        <f>IF(AND('A-4'!K111="-",'A-4'!K159="-",'A-4'!K207="-"),"-",SUM('A-4'!K111,'A-4'!K159,'A-4'!K207))</f>
        <v>885</v>
      </c>
      <c r="L110" s="142">
        <f>IF(AND('A-4'!L111="-",'A-4'!L159="-",'A-4'!L207="-"),"-",SUM('A-4'!L111,'A-4'!L159,'A-4'!L207))</f>
        <v>141146</v>
      </c>
    </row>
    <row r="111" spans="1:12" ht="11.25" customHeight="1">
      <c r="A111" s="99">
        <v>1987</v>
      </c>
      <c r="B111" s="142">
        <f>IF(AND('A-4'!B112="-",'A-4'!B160="-",'A-4'!B208="-"),"-",SUM('A-4'!B112,'A-4'!B160,'A-4'!B208))</f>
        <v>8638</v>
      </c>
      <c r="C111" s="142">
        <f>IF(AND('A-4'!C112="-",'A-4'!C160="-",'A-4'!C208="-"),"-",SUM('A-4'!C112,'A-4'!C160,'A-4'!C208))</f>
        <v>18933</v>
      </c>
      <c r="D111" s="142">
        <f>IF(AND('A-4'!D112="-",'A-4'!D160="-",'A-4'!D208="-"),"-",SUM('A-4'!D112,'A-4'!D160,'A-4'!D208))</f>
        <v>17577</v>
      </c>
      <c r="E111" s="142">
        <f>IF(AND('A-4'!E112="-",'A-4'!E160="-",'A-4'!E208="-"),"-",SUM('A-4'!E112,'A-4'!E160,'A-4'!E208))</f>
        <v>13597</v>
      </c>
      <c r="F111" s="142">
        <f>IF(AND('A-4'!F112="-",'A-4'!F160="-",'A-4'!F208="-"),"-",SUM('A-4'!F112,'A-4'!F160,'A-4'!F208))</f>
        <v>17782</v>
      </c>
      <c r="G111" s="142">
        <f>IF(AND('A-4'!G112="-",'A-4'!G160="-",'A-4'!G208="-"),"-",SUM('A-4'!G112,'A-4'!G160,'A-4'!G208))</f>
        <v>38125</v>
      </c>
      <c r="H111" s="142">
        <f>IF(AND('A-4'!H112="-",'A-4'!H160="-",'A-4'!H208="-"),"-",SUM('A-4'!H112,'A-4'!H160,'A-4'!H208))</f>
        <v>31688</v>
      </c>
      <c r="I111" s="142">
        <f>IF(AND('A-4'!I112="-",'A-4'!I160="-",'A-4'!I208="-"),"-",SUM('A-4'!I112,'A-4'!I160,'A-4'!I208))</f>
        <v>14718</v>
      </c>
      <c r="J111" s="142">
        <f>IF(AND('A-4'!J112="-",'A-4'!J160="-",'A-4'!J208="-"),"-",SUM('A-4'!J112,'A-4'!J160,'A-4'!J208))</f>
        <v>7342</v>
      </c>
      <c r="K111" s="142">
        <f>IF(AND('A-4'!K112="-",'A-4'!K160="-",'A-4'!K208="-"),"-",SUM('A-4'!K112,'A-4'!K160,'A-4'!K208))</f>
        <v>1662</v>
      </c>
      <c r="L111" s="142">
        <f>IF(AND('A-4'!L112="-",'A-4'!L160="-",'A-4'!L208="-"),"-",SUM('A-4'!L112,'A-4'!L160,'A-4'!L208))</f>
        <v>170062</v>
      </c>
    </row>
    <row r="112" spans="1:12" ht="11.25" customHeight="1">
      <c r="A112" s="99">
        <v>1988</v>
      </c>
      <c r="B112" s="142">
        <f>IF(AND('A-4'!B113="-",'A-4'!B161="-",'A-4'!B209="-"),"-",SUM('A-4'!B113,'A-4'!B161,'A-4'!B209))</f>
        <v>10596</v>
      </c>
      <c r="C112" s="142">
        <f>IF(AND('A-4'!C113="-",'A-4'!C161="-",'A-4'!C209="-"),"-",SUM('A-4'!C113,'A-4'!C161,'A-4'!C209))</f>
        <v>16108</v>
      </c>
      <c r="D112" s="142">
        <f>IF(AND('A-4'!D113="-",'A-4'!D161="-",'A-4'!D209="-"),"-",SUM('A-4'!D113,'A-4'!D161,'A-4'!D209))</f>
        <v>18934</v>
      </c>
      <c r="E112" s="142">
        <f>IF(AND('A-4'!E113="-",'A-4'!E161="-",'A-4'!E209="-"),"-",SUM('A-4'!E113,'A-4'!E161,'A-4'!E209))</f>
        <v>19947</v>
      </c>
      <c r="F112" s="142">
        <f>IF(AND('A-4'!F113="-",'A-4'!F161="-",'A-4'!F209="-"),"-",SUM('A-4'!F113,'A-4'!F161,'A-4'!F209))</f>
        <v>27525</v>
      </c>
      <c r="G112" s="142">
        <f>IF(AND('A-4'!G113="-",'A-4'!G161="-",'A-4'!G209="-"),"-",SUM('A-4'!G113,'A-4'!G161,'A-4'!G209))</f>
        <v>38347</v>
      </c>
      <c r="H112" s="142">
        <f>IF(AND('A-4'!H113="-",'A-4'!H161="-",'A-4'!H209="-"),"-",SUM('A-4'!H113,'A-4'!H161,'A-4'!H209))</f>
        <v>20667</v>
      </c>
      <c r="I112" s="142">
        <f>IF(AND('A-4'!I113="-",'A-4'!I161="-",'A-4'!I209="-"),"-",SUM('A-4'!I113,'A-4'!I161,'A-4'!I209))</f>
        <v>9751</v>
      </c>
      <c r="J112" s="142">
        <f>IF(AND('A-4'!J113="-",'A-4'!J161="-",'A-4'!J209="-"),"-",SUM('A-4'!J113,'A-4'!J161,'A-4'!J209))</f>
        <v>3826</v>
      </c>
      <c r="K112" s="142">
        <f>IF(AND('A-4'!K113="-",'A-4'!K161="-",'A-4'!K209="-"),"-",SUM('A-4'!K113,'A-4'!K161,'A-4'!K209))</f>
        <v>42</v>
      </c>
      <c r="L112" s="142">
        <f>IF(AND('A-4'!L113="-",'A-4'!L161="-",'A-4'!L209="-"),"-",SUM('A-4'!L113,'A-4'!L161,'A-4'!L209))</f>
        <v>165743</v>
      </c>
    </row>
    <row r="113" spans="1:12" ht="11.25" customHeight="1">
      <c r="A113" s="99">
        <v>1989</v>
      </c>
      <c r="B113" s="142">
        <f>IF(AND('A-4'!B114="-",'A-4'!B162="-",'A-4'!B210="-"),"-",SUM('A-4'!B114,'A-4'!B162,'A-4'!B210))</f>
        <v>9830</v>
      </c>
      <c r="C113" s="142">
        <f>IF(AND('A-4'!C114="-",'A-4'!C162="-",'A-4'!C210="-"),"-",SUM('A-4'!C114,'A-4'!C162,'A-4'!C210))</f>
        <v>15912</v>
      </c>
      <c r="D113" s="142">
        <f>IF(AND('A-4'!D114="-",'A-4'!D162="-",'A-4'!D210="-"),"-",SUM('A-4'!D114,'A-4'!D162,'A-4'!D210))</f>
        <v>35010</v>
      </c>
      <c r="E113" s="142">
        <f>IF(AND('A-4'!E114="-",'A-4'!E162="-",'A-4'!E210="-"),"-",SUM('A-4'!E114,'A-4'!E162,'A-4'!E210))</f>
        <v>14205</v>
      </c>
      <c r="F113" s="142">
        <f>IF(AND('A-4'!F114="-",'A-4'!F162="-",'A-4'!F210="-"),"-",SUM('A-4'!F114,'A-4'!F162,'A-4'!F210))</f>
        <v>22909</v>
      </c>
      <c r="G113" s="142">
        <f>IF(AND('A-4'!G114="-",'A-4'!G162="-",'A-4'!G210="-"),"-",SUM('A-4'!G114,'A-4'!G162,'A-4'!G210))</f>
        <v>30363</v>
      </c>
      <c r="H113" s="142">
        <f>IF(AND('A-4'!H114="-",'A-4'!H162="-",'A-4'!H210="-"),"-",SUM('A-4'!H114,'A-4'!H162,'A-4'!H210))</f>
        <v>22221</v>
      </c>
      <c r="I113" s="142">
        <f>IF(AND('A-4'!I114="-",'A-4'!I162="-",'A-4'!I210="-"),"-",SUM('A-4'!I114,'A-4'!I162,'A-4'!I210))</f>
        <v>11945</v>
      </c>
      <c r="J113" s="142">
        <f>IF(AND('A-4'!J114="-",'A-4'!J162="-",'A-4'!J210="-"),"-",SUM('A-4'!J114,'A-4'!J162,'A-4'!J210))</f>
        <v>4046</v>
      </c>
      <c r="K113" s="142">
        <f>IF(AND('A-4'!K114="-",'A-4'!K162="-",'A-4'!K210="-"),"-",SUM('A-4'!K114,'A-4'!K162,'A-4'!K210))</f>
        <v>1870</v>
      </c>
      <c r="L113" s="142">
        <f>IF(AND('A-4'!L114="-",'A-4'!L162="-",'A-4'!L210="-"),"-",SUM('A-4'!L114,'A-4'!L162,'A-4'!L210))</f>
        <v>168311</v>
      </c>
    </row>
    <row r="114" spans="1:12" ht="11.25" customHeight="1">
      <c r="A114" s="99">
        <v>1990</v>
      </c>
      <c r="B114" s="142">
        <f>IF(AND('A-4'!B115="-",'A-4'!B163="-",'A-4'!B211="-"),"-",SUM('A-4'!B115,'A-4'!B163,'A-4'!B211))</f>
        <v>10169</v>
      </c>
      <c r="C114" s="142">
        <f>IF(AND('A-4'!C115="-",'A-4'!C163="-",'A-4'!C211="-"),"-",SUM('A-4'!C115,'A-4'!C163,'A-4'!C211))</f>
        <v>20580</v>
      </c>
      <c r="D114" s="142">
        <f>IF(AND('A-4'!D115="-",'A-4'!D163="-",'A-4'!D211="-"),"-",SUM('A-4'!D115,'A-4'!D163,'A-4'!D211))</f>
        <v>30293</v>
      </c>
      <c r="E114" s="142">
        <f>IF(AND('A-4'!E115="-",'A-4'!E163="-",'A-4'!E211="-"),"-",SUM('A-4'!E115,'A-4'!E163,'A-4'!E211))</f>
        <v>8643</v>
      </c>
      <c r="F114" s="142">
        <f>IF(AND('A-4'!F115="-",'A-4'!F163="-",'A-4'!F211="-"),"-",SUM('A-4'!F115,'A-4'!F163,'A-4'!F211))</f>
        <v>27749</v>
      </c>
      <c r="G114" s="142">
        <f>IF(AND('A-4'!G115="-",'A-4'!G163="-",'A-4'!G211="-"),"-",SUM('A-4'!G115,'A-4'!G163,'A-4'!G211))</f>
        <v>39153</v>
      </c>
      <c r="H114" s="142">
        <f>IF(AND('A-4'!H115="-",'A-4'!H163="-",'A-4'!H211="-"),"-",SUM('A-4'!H115,'A-4'!H163,'A-4'!H211))</f>
        <v>15341</v>
      </c>
      <c r="I114" s="142">
        <f>IF(AND('A-4'!I115="-",'A-4'!I163="-",'A-4'!I211="-"),"-",SUM('A-4'!I115,'A-4'!I163,'A-4'!I211))</f>
        <v>10377</v>
      </c>
      <c r="J114" s="142">
        <f>IF(AND('A-4'!J115="-",'A-4'!J163="-",'A-4'!J211="-"),"-",SUM('A-4'!J115,'A-4'!J163,'A-4'!J211))</f>
        <v>5123</v>
      </c>
      <c r="K114" s="142">
        <f>IF(AND('A-4'!K115="-",'A-4'!K163="-",'A-4'!K211="-"),"-",SUM('A-4'!K115,'A-4'!K163,'A-4'!K211))</f>
        <v>3355</v>
      </c>
      <c r="L114" s="142">
        <f>IF(AND('A-4'!L115="-",'A-4'!L163="-",'A-4'!L211="-"),"-",SUM('A-4'!L115,'A-4'!L163,'A-4'!L211))</f>
        <v>170783</v>
      </c>
    </row>
    <row r="115" spans="1:12" ht="11.25" customHeight="1">
      <c r="A115" s="99">
        <v>1991</v>
      </c>
      <c r="B115" s="142">
        <f>IF(AND('A-4'!B116="-",'A-4'!B164="-",'A-4'!B212="-"),"-",SUM('A-4'!B116,'A-4'!B164,'A-4'!B212))</f>
        <v>55</v>
      </c>
      <c r="C115" s="142">
        <f>IF(AND('A-4'!C116="-",'A-4'!C164="-",'A-4'!C212="-"),"-",SUM('A-4'!C116,'A-4'!C164,'A-4'!C212))</f>
        <v>12216</v>
      </c>
      <c r="D115" s="142">
        <f>IF(AND('A-4'!D116="-",'A-4'!D164="-",'A-4'!D212="-"),"-",SUM('A-4'!D116,'A-4'!D164,'A-4'!D212))</f>
        <v>18217</v>
      </c>
      <c r="E115" s="142">
        <f>IF(AND('A-4'!E116="-",'A-4'!E164="-",'A-4'!E212="-"),"-",SUM('A-4'!E116,'A-4'!E164,'A-4'!E212))</f>
        <v>11031</v>
      </c>
      <c r="F115" s="142">
        <f>IF(AND('A-4'!F116="-",'A-4'!F164="-",'A-4'!F212="-"),"-",SUM('A-4'!F116,'A-4'!F164,'A-4'!F212))</f>
        <v>27892</v>
      </c>
      <c r="G115" s="142">
        <f>IF(AND('A-4'!G116="-",'A-4'!G164="-",'A-4'!G212="-"),"-",SUM('A-4'!G116,'A-4'!G164,'A-4'!G212))</f>
        <v>44228</v>
      </c>
      <c r="H115" s="142">
        <f>IF(AND('A-4'!H116="-",'A-4'!H164="-",'A-4'!H212="-"),"-",SUM('A-4'!H116,'A-4'!H164,'A-4'!H212))</f>
        <v>19673</v>
      </c>
      <c r="I115" s="142">
        <f>IF(AND('A-4'!I116="-",'A-4'!I164="-",'A-4'!I212="-"),"-",SUM('A-4'!I116,'A-4'!I164,'A-4'!I212))</f>
        <v>5809</v>
      </c>
      <c r="J115" s="142">
        <f>IF(AND('A-4'!J116="-",'A-4'!J164="-",'A-4'!J212="-"),"-",SUM('A-4'!J116,'A-4'!J164,'A-4'!J212))</f>
        <v>4433</v>
      </c>
      <c r="K115" s="142">
        <f>IF(AND('A-4'!K116="-",'A-4'!K164="-",'A-4'!K212="-"),"-",SUM('A-4'!K116,'A-4'!K164,'A-4'!K212))</f>
        <v>58</v>
      </c>
      <c r="L115" s="142">
        <f>IF(AND('A-4'!L116="-",'A-4'!L164="-",'A-4'!L212="-"),"-",SUM('A-4'!L116,'A-4'!L164,'A-4'!L212))</f>
        <v>143612</v>
      </c>
    </row>
    <row r="116" spans="1:12" ht="11.25" customHeight="1">
      <c r="A116" s="99">
        <v>1992</v>
      </c>
      <c r="B116" s="142">
        <f>IF(AND('A-4'!B117="-",'A-4'!B165="-",'A-4'!B213="-"),"-",SUM('A-4'!B117,'A-4'!B165,'A-4'!B213))</f>
        <v>2006</v>
      </c>
      <c r="C116" s="142">
        <f>IF(AND('A-4'!C117="-",'A-4'!C165="-",'A-4'!C213="-"),"-",SUM('A-4'!C117,'A-4'!C165,'A-4'!C213))</f>
        <v>9713</v>
      </c>
      <c r="D116" s="142">
        <f>IF(AND('A-4'!D117="-",'A-4'!D165="-",'A-4'!D213="-"),"-",SUM('A-4'!D117,'A-4'!D165,'A-4'!D213))</f>
        <v>9877</v>
      </c>
      <c r="E116" s="142">
        <f>IF(AND('A-4'!E117="-",'A-4'!E165="-",'A-4'!E213="-"),"-",SUM('A-4'!E117,'A-4'!E165,'A-4'!E213))</f>
        <v>11543</v>
      </c>
      <c r="F116" s="142">
        <f>IF(AND('A-4'!F117="-",'A-4'!F165="-",'A-4'!F213="-"),"-",SUM('A-4'!F117,'A-4'!F165,'A-4'!F213))</f>
        <v>13636</v>
      </c>
      <c r="G116" s="142">
        <f>IF(AND('A-4'!G117="-",'A-4'!G165="-",'A-4'!G213="-"),"-",SUM('A-4'!G117,'A-4'!G165,'A-4'!G213))</f>
        <v>28930</v>
      </c>
      <c r="H116" s="142">
        <f>IF(AND('A-4'!H117="-",'A-4'!H165="-",'A-4'!H213="-"),"-",SUM('A-4'!H117,'A-4'!H165,'A-4'!H213))</f>
        <v>15063</v>
      </c>
      <c r="I116" s="142">
        <f>IF(AND('A-4'!I117="-",'A-4'!I165="-",'A-4'!I213="-"),"-",SUM('A-4'!I117,'A-4'!I165,'A-4'!I213))</f>
        <v>12325</v>
      </c>
      <c r="J116" s="142">
        <f>IF(AND('A-4'!J117="-",'A-4'!J165="-",'A-4'!J213="-"),"-",SUM('A-4'!J117,'A-4'!J165,'A-4'!J213))</f>
        <v>5759</v>
      </c>
      <c r="K116" s="142">
        <f>IF(AND('A-4'!K117="-",'A-4'!K165="-",'A-4'!K213="-"),"-",SUM('A-4'!K117,'A-4'!K165,'A-4'!K213))</f>
        <v>849</v>
      </c>
      <c r="L116" s="142">
        <f>IF(AND('A-4'!L117="-",'A-4'!L165="-",'A-4'!L213="-"),"-",SUM('A-4'!L117,'A-4'!L165,'A-4'!L213))</f>
        <v>109701</v>
      </c>
    </row>
    <row r="117" spans="1:12" ht="11.25" customHeight="1">
      <c r="A117" s="99">
        <v>1993</v>
      </c>
      <c r="B117" s="142">
        <f>IF(AND('A-4'!B118="-",'A-4'!B166="-",'A-4'!B214="-"),"-",SUM('A-4'!B118,'A-4'!B166,'A-4'!B214))</f>
        <v>879</v>
      </c>
      <c r="C117" s="142">
        <f>IF(AND('A-4'!C118="-",'A-4'!C166="-",'A-4'!C214="-"),"-",SUM('A-4'!C118,'A-4'!C166,'A-4'!C214))</f>
        <v>15036</v>
      </c>
      <c r="D117" s="142">
        <f>IF(AND('A-4'!D118="-",'A-4'!D166="-",'A-4'!D214="-"),"-",SUM('A-4'!D118,'A-4'!D166,'A-4'!D214))</f>
        <v>17597</v>
      </c>
      <c r="E117" s="142">
        <f>IF(AND('A-4'!E118="-",'A-4'!E166="-",'A-4'!E214="-"),"-",SUM('A-4'!E118,'A-4'!E166,'A-4'!E214))</f>
        <v>15209</v>
      </c>
      <c r="F117" s="142">
        <f>IF(AND('A-4'!F118="-",'A-4'!F166="-",'A-4'!F214="-"),"-",SUM('A-4'!F118,'A-4'!F166,'A-4'!F214))</f>
        <v>12272</v>
      </c>
      <c r="G117" s="142">
        <f>IF(AND('A-4'!G118="-",'A-4'!G166="-",'A-4'!G214="-"),"-",SUM('A-4'!G118,'A-4'!G166,'A-4'!G214))</f>
        <v>42303</v>
      </c>
      <c r="H117" s="142">
        <f>IF(AND('A-4'!H118="-",'A-4'!H166="-",'A-4'!H214="-"),"-",SUM('A-4'!H118,'A-4'!H166,'A-4'!H214))</f>
        <v>25119</v>
      </c>
      <c r="I117" s="142">
        <f>IF(AND('A-4'!I118="-",'A-4'!I166="-",'A-4'!I214="-"),"-",SUM('A-4'!I118,'A-4'!I166,'A-4'!I214))</f>
        <v>8059</v>
      </c>
      <c r="J117" s="142">
        <f>IF(AND('A-4'!J118="-",'A-4'!J166="-",'A-4'!J214="-"),"-",SUM('A-4'!J118,'A-4'!J166,'A-4'!J214))</f>
        <v>4744</v>
      </c>
      <c r="K117" s="142">
        <f>IF(AND('A-4'!K118="-",'A-4'!K166="-",'A-4'!K214="-"),"-",SUM('A-4'!K118,'A-4'!K166,'A-4'!K214))</f>
        <v>0</v>
      </c>
      <c r="L117" s="142">
        <f>IF(AND('A-4'!L118="-",'A-4'!L166="-",'A-4'!L214="-"),"-",SUM('A-4'!L118,'A-4'!L166,'A-4'!L214))</f>
        <v>141218</v>
      </c>
    </row>
    <row r="118" spans="1:12" ht="11.25" customHeight="1">
      <c r="A118" s="99">
        <v>1994</v>
      </c>
      <c r="B118" s="142">
        <f>IF(AND('A-4'!B119="-",'A-4'!B167="-",'A-4'!B215="-"),"-",SUM('A-4'!B119,'A-4'!B167,'A-4'!B215))</f>
        <v>3013</v>
      </c>
      <c r="C118" s="142">
        <f>IF(AND('A-4'!C119="-",'A-4'!C167="-",'A-4'!C215="-"),"-",SUM('A-4'!C119,'A-4'!C167,'A-4'!C215))</f>
        <v>15387</v>
      </c>
      <c r="D118" s="142">
        <f>IF(AND('A-4'!D119="-",'A-4'!D167="-",'A-4'!D215="-"),"-",SUM('A-4'!D119,'A-4'!D167,'A-4'!D215))</f>
        <v>19540</v>
      </c>
      <c r="E118" s="142">
        <f>IF(AND('A-4'!E119="-",'A-4'!E167="-",'A-4'!E215="-"),"-",SUM('A-4'!E119,'A-4'!E167,'A-4'!E215))</f>
        <v>17766</v>
      </c>
      <c r="F118" s="142">
        <f>IF(AND('A-4'!F119="-",'A-4'!F167="-",'A-4'!F215="-"),"-",SUM('A-4'!F119,'A-4'!F167,'A-4'!F215))</f>
        <v>34020</v>
      </c>
      <c r="G118" s="142">
        <f>IF(AND('A-4'!G119="-",'A-4'!G167="-",'A-4'!G215="-"),"-",SUM('A-4'!G119,'A-4'!G167,'A-4'!G215))</f>
        <v>44976</v>
      </c>
      <c r="H118" s="142">
        <f>IF(AND('A-4'!H119="-",'A-4'!H167="-",'A-4'!H215="-"),"-",SUM('A-4'!H119,'A-4'!H167,'A-4'!H215))</f>
        <v>28148</v>
      </c>
      <c r="I118" s="142">
        <f>IF(AND('A-4'!I119="-",'A-4'!I167="-",'A-4'!I215="-"),"-",SUM('A-4'!I119,'A-4'!I167,'A-4'!I215))</f>
        <v>13326</v>
      </c>
      <c r="J118" s="142">
        <f>IF(AND('A-4'!J119="-",'A-4'!J167="-",'A-4'!J215="-"),"-",SUM('A-4'!J119,'A-4'!J167,'A-4'!J215))</f>
        <v>9848</v>
      </c>
      <c r="K118" s="48" t="s">
        <v>106</v>
      </c>
      <c r="L118" s="142">
        <f>IF(AND('A-4'!L119="-",'A-4'!L167="-",'A-4'!L215="-"),"-",SUM('A-4'!L119,'A-4'!L167,'A-4'!L215))</f>
        <v>186024</v>
      </c>
    </row>
    <row r="119" spans="1:12" ht="11.25" customHeight="1">
      <c r="A119" s="99">
        <v>1995</v>
      </c>
      <c r="B119" s="142">
        <f>IF(AND('A-4'!B120="-",'A-4'!B168="-",'A-4'!B216="-"),"-",SUM('A-4'!B120,'A-4'!B168,'A-4'!B216))</f>
        <v>360</v>
      </c>
      <c r="C119" s="142">
        <f>IF(AND('A-4'!C120="-",'A-4'!C168="-",'A-4'!C216="-"),"-",SUM('A-4'!C120,'A-4'!C168,'A-4'!C216))</f>
        <v>22917</v>
      </c>
      <c r="D119" s="142">
        <f>IF(AND('A-4'!D120="-",'A-4'!D168="-",'A-4'!D216="-"),"-",SUM('A-4'!D120,'A-4'!D168,'A-4'!D216))</f>
        <v>50164</v>
      </c>
      <c r="E119" s="142">
        <f>IF(AND('A-4'!E120="-",'A-4'!E168="-",'A-4'!E216="-"),"-",SUM('A-4'!E120,'A-4'!E168,'A-4'!E216))</f>
        <v>55349</v>
      </c>
      <c r="F119" s="142">
        <f>IF(AND('A-4'!F120="-",'A-4'!F168="-",'A-4'!F216="-"),"-",SUM('A-4'!F120,'A-4'!F168,'A-4'!F216))</f>
        <v>62214</v>
      </c>
      <c r="G119" s="142">
        <f>IF(AND('A-4'!G120="-",'A-4'!G168="-",'A-4'!G216="-"),"-",SUM('A-4'!G120,'A-4'!G168,'A-4'!G216))</f>
        <v>97536</v>
      </c>
      <c r="H119" s="142">
        <f>IF(AND('A-4'!H120="-",'A-4'!H168="-",'A-4'!H216="-"),"-",SUM('A-4'!H120,'A-4'!H168,'A-4'!H216))</f>
        <v>44412</v>
      </c>
      <c r="I119" s="142">
        <f>IF(AND('A-4'!I120="-",'A-4'!I168="-",'A-4'!I216="-"),"-",SUM('A-4'!I120,'A-4'!I168,'A-4'!I216))</f>
        <v>15948</v>
      </c>
      <c r="J119" s="142">
        <f>IF(AND('A-4'!J120="-",'A-4'!J168="-",'A-4'!J216="-"),"-",SUM('A-4'!J120,'A-4'!J168,'A-4'!J216))</f>
        <v>4911</v>
      </c>
      <c r="K119" s="48" t="s">
        <v>106</v>
      </c>
      <c r="L119" s="142">
        <f>IF(AND('A-4'!L120="-",'A-4'!L168="-",'A-4'!L216="-"),"-",SUM('A-4'!L120,'A-4'!L168,'A-4'!L216))</f>
        <v>353811</v>
      </c>
    </row>
    <row r="120" spans="1:12" ht="11.25" customHeight="1">
      <c r="A120" s="99">
        <v>1996</v>
      </c>
      <c r="B120" s="142">
        <f>IF(AND('A-4'!B121="-",'A-4'!B169="-",'A-4'!B217="-"),"-",SUM('A-4'!B121,'A-4'!B169,'A-4'!B217))</f>
        <v>49</v>
      </c>
      <c r="C120" s="142">
        <f>IF(AND('A-4'!C121="-",'A-4'!C169="-",'A-4'!C217="-"),"-",SUM('A-4'!C121,'A-4'!C169,'A-4'!C217))</f>
        <v>35215</v>
      </c>
      <c r="D120" s="142">
        <f>IF(AND('A-4'!D121="-",'A-4'!D169="-",'A-4'!D217="-"),"-",SUM('A-4'!D121,'A-4'!D169,'A-4'!D217))</f>
        <v>30349</v>
      </c>
      <c r="E120" s="142">
        <f>IF(AND('A-4'!E121="-",'A-4'!E169="-",'A-4'!E217="-"),"-",SUM('A-4'!E121,'A-4'!E169,'A-4'!E217))</f>
        <v>21778</v>
      </c>
      <c r="F120" s="142">
        <f>IF(AND('A-4'!F121="-",'A-4'!F169="-",'A-4'!F217="-"),"-",SUM('A-4'!F121,'A-4'!F169,'A-4'!F217))</f>
        <v>31697</v>
      </c>
      <c r="G120" s="142">
        <f>IF(AND('A-4'!G121="-",'A-4'!G169="-",'A-4'!G217="-"),"-",SUM('A-4'!G121,'A-4'!G169,'A-4'!G217))</f>
        <v>43378</v>
      </c>
      <c r="H120" s="142">
        <f>IF(AND('A-4'!H121="-",'A-4'!H169="-",'A-4'!H217="-"),"-",SUM('A-4'!H121,'A-4'!H169,'A-4'!H217))</f>
        <v>26313</v>
      </c>
      <c r="I120" s="142">
        <f>IF(AND('A-4'!I121="-",'A-4'!I169="-",'A-4'!I217="-"),"-",SUM('A-4'!I121,'A-4'!I169,'A-4'!I217))</f>
        <v>8060</v>
      </c>
      <c r="J120" s="142">
        <f>IF(AND('A-4'!J121="-",'A-4'!J169="-",'A-4'!J217="-"),"-",SUM('A-4'!J121,'A-4'!J169,'A-4'!J217))</f>
        <v>3141</v>
      </c>
      <c r="K120" s="142">
        <f>IF(AND('A-4'!K121="-",'A-4'!K169="-",'A-4'!K217="-"),"-",SUM('A-4'!K121,'A-4'!K169,'A-4'!K217))</f>
        <v>0</v>
      </c>
      <c r="L120" s="142">
        <f>IF(AND('A-4'!L121="-",'A-4'!L169="-",'A-4'!L217="-"),"-",SUM('A-4'!L121,'A-4'!L169,'A-4'!L217))</f>
        <v>199980</v>
      </c>
    </row>
    <row r="121" spans="1:12" ht="11.25" customHeight="1">
      <c r="A121" s="99">
        <v>1997</v>
      </c>
      <c r="B121" s="48" t="s">
        <v>106</v>
      </c>
      <c r="C121" s="142">
        <f>IF(AND('A-4'!C122="-",'A-4'!C170="-",'A-4'!C218="-"),"-",SUM('A-4'!C122,'A-4'!C170,'A-4'!C218))</f>
        <v>21546</v>
      </c>
      <c r="D121" s="142">
        <f>IF(AND('A-4'!D122="-",'A-4'!D170="-",'A-4'!D218="-"),"-",SUM('A-4'!D122,'A-4'!D170,'A-4'!D218))</f>
        <v>29711</v>
      </c>
      <c r="E121" s="142">
        <f>IF(AND('A-4'!E122="-",'A-4'!E170="-",'A-4'!E218="-"),"-",SUM('A-4'!E122,'A-4'!E170,'A-4'!E218))</f>
        <v>29897</v>
      </c>
      <c r="F121" s="142">
        <f>IF(AND('A-4'!F122="-",'A-4'!F170="-",'A-4'!F218="-"),"-",SUM('A-4'!F122,'A-4'!F170,'A-4'!F218))</f>
        <v>39076</v>
      </c>
      <c r="G121" s="142">
        <f>IF(AND('A-4'!G122="-",'A-4'!G170="-",'A-4'!G218="-"),"-",SUM('A-4'!G122,'A-4'!G170,'A-4'!G218))</f>
        <v>56577</v>
      </c>
      <c r="H121" s="142">
        <f>IF(AND('A-4'!H122="-",'A-4'!H170="-",'A-4'!H218="-"),"-",SUM('A-4'!H122,'A-4'!H170,'A-4'!H218))</f>
        <v>29058</v>
      </c>
      <c r="I121" s="142">
        <f>IF(AND('A-4'!I122="-",'A-4'!I170="-",'A-4'!I218="-"),"-",SUM('A-4'!I122,'A-4'!I170,'A-4'!I218))</f>
        <v>5961</v>
      </c>
      <c r="J121" s="142">
        <f>IF(AND('A-4'!J122="-",'A-4'!J170="-",'A-4'!J218="-"),"-",SUM('A-4'!J122,'A-4'!J170,'A-4'!J218))</f>
        <v>3212</v>
      </c>
      <c r="K121" s="142">
        <f>IF(AND('A-4'!K122="-",'A-4'!K170="-",'A-4'!K218="-"),"-",SUM('A-4'!K122,'A-4'!K170,'A-4'!K218))</f>
        <v>380</v>
      </c>
      <c r="L121" s="142">
        <f>IF(AND('A-4'!L122="-",'A-4'!L170="-",'A-4'!L218="-"),"-",SUM('A-4'!L122,'A-4'!L170,'A-4'!L218))</f>
        <v>215418</v>
      </c>
    </row>
    <row r="122" spans="1:12" ht="11.25" customHeight="1">
      <c r="A122" s="99">
        <v>1998</v>
      </c>
      <c r="B122" s="48" t="s">
        <v>106</v>
      </c>
      <c r="C122" s="142">
        <f>IF(AND('A-4'!C123="-",'A-4'!C171="-",'A-4'!C219="-"),"-",SUM('A-4'!C123,'A-4'!C171,'A-4'!C219))</f>
        <v>6225</v>
      </c>
      <c r="D122" s="142">
        <f>IF(AND('A-4'!D123="-",'A-4'!D171="-",'A-4'!D219="-"),"-",SUM('A-4'!D123,'A-4'!D171,'A-4'!D219))</f>
        <v>17692</v>
      </c>
      <c r="E122" s="142">
        <f>IF(AND('A-4'!E123="-",'A-4'!E171="-",'A-4'!E219="-"),"-",SUM('A-4'!E123,'A-4'!E171,'A-4'!E219))</f>
        <v>18052</v>
      </c>
      <c r="F122" s="142">
        <f>IF(AND('A-4'!F123="-",'A-4'!F171="-",'A-4'!F219="-"),"-",SUM('A-4'!F123,'A-4'!F171,'A-4'!F219))</f>
        <v>28228</v>
      </c>
      <c r="G122" s="142">
        <f>IF(AND('A-4'!G123="-",'A-4'!G171="-",'A-4'!G219="-"),"-",SUM('A-4'!G123,'A-4'!G171,'A-4'!G219))</f>
        <v>33732</v>
      </c>
      <c r="H122" s="142">
        <f>IF(AND('A-4'!H123="-",'A-4'!H171="-",'A-4'!H219="-"),"-",SUM('A-4'!H123,'A-4'!H171,'A-4'!H219))</f>
        <v>25998</v>
      </c>
      <c r="I122" s="142">
        <f>IF(AND('A-4'!I123="-",'A-4'!I171="-",'A-4'!I219="-"),"-",SUM('A-4'!I123,'A-4'!I171,'A-4'!I219))</f>
        <v>8385</v>
      </c>
      <c r="J122" s="142">
        <f>IF(AND('A-4'!J123="-",'A-4'!J171="-",'A-4'!J219="-"),"-",SUM('A-4'!J123,'A-4'!J171,'A-4'!J219))</f>
        <v>3480</v>
      </c>
      <c r="K122" s="48" t="s">
        <v>106</v>
      </c>
      <c r="L122" s="142">
        <f>IF(AND('A-4'!L123="-",'A-4'!L171="-",'A-4'!L219="-"),"-",SUM('A-4'!L123,'A-4'!L171,'A-4'!L219))</f>
        <v>141792</v>
      </c>
    </row>
    <row r="123" spans="1:12" ht="11.25" customHeight="1">
      <c r="A123" s="99">
        <v>1999</v>
      </c>
      <c r="B123" s="142">
        <f>IF(AND('A-4'!B124="-",'A-4'!B172="-",'A-4'!B220="-"),"-",SUM('A-4'!B124,'A-4'!B172,'A-4'!B220))</f>
        <v>14</v>
      </c>
      <c r="C123" s="142">
        <f>IF(AND('A-4'!C124="-",'A-4'!C172="-",'A-4'!C220="-"),"-",SUM('A-4'!C124,'A-4'!C172,'A-4'!C220))</f>
        <v>8721</v>
      </c>
      <c r="D123" s="142">
        <f>IF(AND('A-4'!D124="-",'A-4'!D172="-",'A-4'!D220="-"),"-",SUM('A-4'!D124,'A-4'!D172,'A-4'!D220))</f>
        <v>11785</v>
      </c>
      <c r="E123" s="142">
        <f>IF(AND('A-4'!E124="-",'A-4'!E172="-",'A-4'!E220="-"),"-",SUM('A-4'!E124,'A-4'!E172,'A-4'!E220))</f>
        <v>6475</v>
      </c>
      <c r="F123" s="142">
        <f>IF(AND('A-4'!F124="-",'A-4'!F172="-",'A-4'!F220="-"),"-",SUM('A-4'!F124,'A-4'!F172,'A-4'!F220))</f>
        <v>22087</v>
      </c>
      <c r="G123" s="142">
        <f>IF(AND('A-4'!G124="-",'A-4'!G172="-",'A-4'!G220="-"),"-",SUM('A-4'!G124,'A-4'!G172,'A-4'!G220))</f>
        <v>41263</v>
      </c>
      <c r="H123" s="142">
        <f>IF(AND('A-4'!H124="-",'A-4'!H172="-",'A-4'!H220="-"),"-",SUM('A-4'!H124,'A-4'!H172,'A-4'!H220))</f>
        <v>23824</v>
      </c>
      <c r="I123" s="142">
        <f>IF(AND('A-4'!I124="-",'A-4'!I172="-",'A-4'!I220="-"),"-",SUM('A-4'!I124,'A-4'!I172,'A-4'!I220))</f>
        <v>9638</v>
      </c>
      <c r="J123" s="142">
        <f>IF(AND('A-4'!J124="-",'A-4'!J172="-",'A-4'!J220="-"),"-",SUM('A-4'!J124,'A-4'!J172,'A-4'!J220))</f>
        <v>5421</v>
      </c>
      <c r="K123" s="48" t="s">
        <v>106</v>
      </c>
      <c r="L123" s="142">
        <f>IF(AND('A-4'!L124="-",'A-4'!L172="-",'A-4'!L220="-"),"-",SUM('A-4'!L124,'A-4'!L172,'A-4'!L220))</f>
        <v>129228</v>
      </c>
    </row>
    <row r="124" spans="1:12" ht="11.25" customHeight="1">
      <c r="A124" s="99">
        <v>2000</v>
      </c>
      <c r="B124" s="48" t="s">
        <v>106</v>
      </c>
      <c r="C124" s="142">
        <f>IF(AND('A-4'!C125="-",'A-4'!C173="-",'A-4'!C221="-"),"-",SUM('A-4'!C125,'A-4'!C173,'A-4'!C221))</f>
        <v>0</v>
      </c>
      <c r="D124" s="142">
        <f>IF(AND('A-4'!D125="-",'A-4'!D173="-",'A-4'!D221="-"),"-",SUM('A-4'!D125,'A-4'!D173,'A-4'!D221))</f>
        <v>36688</v>
      </c>
      <c r="E124" s="142">
        <f>IF(AND('A-4'!E125="-",'A-4'!E173="-",'A-4'!E221="-"),"-",SUM('A-4'!E125,'A-4'!E173,'A-4'!E221))</f>
        <v>32716</v>
      </c>
      <c r="F124" s="142">
        <f>IF(AND('A-4'!F125="-",'A-4'!F173="-",'A-4'!F221="-"),"-",SUM('A-4'!F125,'A-4'!F173,'A-4'!F221))</f>
        <v>38284</v>
      </c>
      <c r="G124" s="142">
        <f>IF(AND('A-4'!G125="-",'A-4'!G173="-",'A-4'!G221="-"),"-",SUM('A-4'!G125,'A-4'!G173,'A-4'!G221))</f>
        <v>39383</v>
      </c>
      <c r="H124" s="142">
        <f>IF(AND('A-4'!H125="-",'A-4'!H173="-",'A-4'!H221="-"),"-",SUM('A-4'!H125,'A-4'!H173,'A-4'!H221))</f>
        <v>24792</v>
      </c>
      <c r="I124" s="142">
        <f>IF(AND('A-4'!I125="-",'A-4'!I173="-",'A-4'!I221="-"),"-",SUM('A-4'!I125,'A-4'!I173,'A-4'!I221))</f>
        <v>15273</v>
      </c>
      <c r="J124" s="142">
        <f>IF(AND('A-4'!J125="-",'A-4'!J173="-",'A-4'!J221="-"),"-",SUM('A-4'!J125,'A-4'!J173,'A-4'!J221))</f>
        <v>5466</v>
      </c>
      <c r="K124" s="142">
        <f>IF(AND('A-4'!K125="-",'A-4'!K173="-",'A-4'!K221="-"),"-",SUM('A-4'!K125,'A-4'!K173,'A-4'!K221))</f>
        <v>1451</v>
      </c>
      <c r="L124" s="142">
        <f>IF(AND('A-4'!L125="-",'A-4'!L173="-",'A-4'!L221="-"),"-",SUM('A-4'!L125,'A-4'!L173,'A-4'!L221))</f>
        <v>194053</v>
      </c>
    </row>
    <row r="125" spans="1:12" ht="11.25" customHeight="1">
      <c r="A125" s="99">
        <v>2001</v>
      </c>
      <c r="B125" s="142">
        <f>IF(AND('A-4'!B126="-",'A-4'!B174="-",'A-4'!B222="-"),"-",SUM('A-4'!B126,'A-4'!B174,'A-4'!B222))</f>
        <v>0</v>
      </c>
      <c r="C125" s="142">
        <f>IF(AND('A-4'!C126="-",'A-4'!C174="-",'A-4'!C222="-"),"-",SUM('A-4'!C126,'A-4'!C174,'A-4'!C222))</f>
        <v>1573</v>
      </c>
      <c r="D125" s="142">
        <f>IF(AND('A-4'!D126="-",'A-4'!D174="-",'A-4'!D222="-"),"-",SUM('A-4'!D126,'A-4'!D174,'A-4'!D222))</f>
        <v>26353</v>
      </c>
      <c r="E125" s="142">
        <f>IF(AND('A-4'!E126="-",'A-4'!E174="-",'A-4'!E222="-"),"-",SUM('A-4'!E126,'A-4'!E174,'A-4'!E222))</f>
        <v>23014</v>
      </c>
      <c r="F125" s="142">
        <f>IF(AND('A-4'!F126="-",'A-4'!F174="-",'A-4'!F222="-"),"-",SUM('A-4'!F126,'A-4'!F174,'A-4'!F222))</f>
        <v>14267</v>
      </c>
      <c r="G125" s="142">
        <f>IF(AND('A-4'!G126="-",'A-4'!G174="-",'A-4'!G222="-"),"-",SUM('A-4'!G126,'A-4'!G174,'A-4'!G222))</f>
        <v>30775</v>
      </c>
      <c r="H125" s="142">
        <f>IF(AND('A-4'!H126="-",'A-4'!H174="-",'A-4'!H222="-"),"-",SUM('A-4'!H126,'A-4'!H174,'A-4'!H222))</f>
        <v>23004</v>
      </c>
      <c r="I125" s="142">
        <f>IF(AND('A-4'!I126="-",'A-4'!I174="-",'A-4'!I222="-"),"-",SUM('A-4'!I126,'A-4'!I174,'A-4'!I222))</f>
        <v>12782</v>
      </c>
      <c r="J125" s="142">
        <f>IF(AND('A-4'!J126="-",'A-4'!J174="-",'A-4'!J222="-"),"-",SUM('A-4'!J126,'A-4'!J174,'A-4'!J222))</f>
        <v>6081</v>
      </c>
      <c r="K125" s="142">
        <f>IF(AND('A-4'!K126="-",'A-4'!K174="-",'A-4'!K222="-"),"-",SUM('A-4'!K126,'A-4'!K174,'A-4'!K222))</f>
        <v>2593</v>
      </c>
      <c r="L125" s="142">
        <f>IF(AND('A-4'!L126="-",'A-4'!L174="-",'A-4'!L222="-"),"-",SUM('A-4'!L126,'A-4'!L174,'A-4'!L222))</f>
        <v>140442</v>
      </c>
    </row>
    <row r="126" spans="1:12" ht="11.25" customHeight="1">
      <c r="A126" s="99">
        <v>2002</v>
      </c>
      <c r="B126" s="142">
        <f>IF(AND('A-4'!B127="-",'A-4'!B175="-",'A-4'!B223="-"),"-",SUM('A-4'!B127,'A-4'!B175,'A-4'!B223))</f>
        <v>194</v>
      </c>
      <c r="C126" s="142">
        <f>IF(AND('A-4'!C127="-",'A-4'!C175="-",'A-4'!C223="-"),"-",SUM('A-4'!C127,'A-4'!C175,'A-4'!C223))</f>
        <v>3760</v>
      </c>
      <c r="D126" s="142">
        <f>IF(AND('A-4'!D127="-",'A-4'!D175="-",'A-4'!D223="-"),"-",SUM('A-4'!D127,'A-4'!D175,'A-4'!D223))</f>
        <v>40477</v>
      </c>
      <c r="E126" s="142">
        <f>IF(AND('A-4'!E127="-",'A-4'!E175="-",'A-4'!E223="-"),"-",SUM('A-4'!E127,'A-4'!E175,'A-4'!E223))</f>
        <v>27539</v>
      </c>
      <c r="F126" s="142">
        <f>IF(AND('A-4'!F127="-",'A-4'!F175="-",'A-4'!F223="-"),"-",SUM('A-4'!F127,'A-4'!F175,'A-4'!F223))</f>
        <v>30025</v>
      </c>
      <c r="G126" s="142">
        <f>IF(AND('A-4'!G127="-",'A-4'!G175="-",'A-4'!G223="-"),"-",SUM('A-4'!G127,'A-4'!G175,'A-4'!G223))</f>
        <v>45831</v>
      </c>
      <c r="H126" s="142">
        <f>IF(AND('A-4'!H127="-",'A-4'!H175="-",'A-4'!H223="-"),"-",SUM('A-4'!H127,'A-4'!H175,'A-4'!H223))</f>
        <v>30791</v>
      </c>
      <c r="I126" s="142">
        <f>IF(AND('A-4'!I127="-",'A-4'!I175="-",'A-4'!I223="-"),"-",SUM('A-4'!I127,'A-4'!I175,'A-4'!I223))</f>
        <v>7688</v>
      </c>
      <c r="J126" s="142">
        <f>IF(AND('A-4'!J127="-",'A-4'!J175="-",'A-4'!J223="-"),"-",SUM('A-4'!J127,'A-4'!J175,'A-4'!J223))</f>
        <v>1823</v>
      </c>
      <c r="K126" s="142">
        <f>IF(AND('A-4'!K127="-",'A-4'!K175="-",'A-4'!K223="-"),"-",SUM('A-4'!K127,'A-4'!K175,'A-4'!K223))</f>
        <v>381</v>
      </c>
      <c r="L126" s="142">
        <f>IF(AND('A-4'!L127="-",'A-4'!L175="-",'A-4'!L223="-"),"-",SUM('A-4'!L127,'A-4'!L175,'A-4'!L223))</f>
        <v>188509</v>
      </c>
    </row>
    <row r="127" spans="1:12" ht="11.25" customHeight="1">
      <c r="A127" s="99">
        <v>2003</v>
      </c>
      <c r="B127" s="142">
        <f>IF(AND('A-4'!B128="-",'A-4'!B176="-",'A-4'!B224="-"),"-",SUM('A-4'!B128,'A-4'!B176,'A-4'!B224))</f>
        <v>607</v>
      </c>
      <c r="C127" s="142">
        <f>IF(AND('A-4'!C128="-",'A-4'!C176="-",'A-4'!C224="-"),"-",SUM('A-4'!C128,'A-4'!C176,'A-4'!C224))</f>
        <v>6374</v>
      </c>
      <c r="D127" s="142">
        <f>IF(AND('A-4'!D128="-",'A-4'!D176="-",'A-4'!D224="-"),"-",SUM('A-4'!D128,'A-4'!D176,'A-4'!D224))</f>
        <v>15069</v>
      </c>
      <c r="E127" s="142">
        <f>IF(AND('A-4'!E128="-",'A-4'!E176="-",'A-4'!E224="-"),"-",SUM('A-4'!E128,'A-4'!E176,'A-4'!E224))</f>
        <v>17055</v>
      </c>
      <c r="F127" s="142">
        <f>IF(AND('A-4'!F128="-",'A-4'!F176="-",'A-4'!F224="-"),"-",SUM('A-4'!F128,'A-4'!F176,'A-4'!F224))</f>
        <v>20779</v>
      </c>
      <c r="G127" s="142">
        <f>IF(AND('A-4'!G128="-",'A-4'!G176="-",'A-4'!G224="-"),"-",SUM('A-4'!G128,'A-4'!G176,'A-4'!G224))</f>
        <v>34536</v>
      </c>
      <c r="H127" s="142">
        <f>IF(AND('A-4'!H128="-",'A-4'!H176="-",'A-4'!H224="-"),"-",SUM('A-4'!H128,'A-4'!H176,'A-4'!H224))</f>
        <v>14786</v>
      </c>
      <c r="I127" s="142">
        <f>IF(AND('A-4'!I128="-",'A-4'!I176="-",'A-4'!I224="-"),"-",SUM('A-4'!I128,'A-4'!I176,'A-4'!I224))</f>
        <v>6713</v>
      </c>
      <c r="J127" s="142">
        <f>IF(AND('A-4'!J128="-",'A-4'!J176="-",'A-4'!J224="-"),"-",SUM('A-4'!J128,'A-4'!J176,'A-4'!J224))</f>
        <v>2667</v>
      </c>
      <c r="K127" s="142">
        <f>IF(AND('A-4'!K128="-",'A-4'!K176="-",'A-4'!K224="-"),"-",SUM('A-4'!K128,'A-4'!K176,'A-4'!K224))</f>
        <v>264</v>
      </c>
      <c r="L127" s="142">
        <f>IF(AND('A-4'!L128="-",'A-4'!L176="-",'A-4'!L224="-"),"-",SUM('A-4'!L128,'A-4'!L176,'A-4'!L224))</f>
        <v>118850</v>
      </c>
    </row>
    <row r="128" spans="1:12" ht="11.25" customHeight="1">
      <c r="A128" s="99">
        <v>2004</v>
      </c>
      <c r="B128" s="142">
        <f>IF(AND('A-4'!B129="-",'A-4'!B177="-",'A-4'!B225="-"),"-",SUM('A-4'!B129,'A-4'!B177,'A-4'!B225))</f>
        <v>183</v>
      </c>
      <c r="C128" s="142">
        <f>IF(AND('A-4'!C129="-",'A-4'!C177="-",'A-4'!C225="-"),"-",SUM('A-4'!C129,'A-4'!C177,'A-4'!C225))</f>
        <v>999</v>
      </c>
      <c r="D128" s="142">
        <f>IF(AND('A-4'!D129="-",'A-4'!D177="-",'A-4'!D225="-"),"-",SUM('A-4'!D129,'A-4'!D177,'A-4'!D225))</f>
        <v>32865</v>
      </c>
      <c r="E128" s="142">
        <f>IF(AND('A-4'!E129="-",'A-4'!E177="-",'A-4'!E225="-"),"-",SUM('A-4'!E129,'A-4'!E177,'A-4'!E225))</f>
        <v>28873</v>
      </c>
      <c r="F128" s="142">
        <f>IF(AND('A-4'!F129="-",'A-4'!F177="-",'A-4'!F225="-"),"-",SUM('A-4'!F129,'A-4'!F177,'A-4'!F225))</f>
        <v>29067</v>
      </c>
      <c r="G128" s="142">
        <f>IF(AND('A-4'!G129="-",'A-4'!G177="-",'A-4'!G225="-"),"-",SUM('A-4'!G129,'A-4'!G177,'A-4'!G225))</f>
        <v>57641</v>
      </c>
      <c r="H128" s="142">
        <f>IF(AND('A-4'!H129="-",'A-4'!H177="-",'A-4'!H225="-"),"-",SUM('A-4'!H129,'A-4'!H177,'A-4'!H225))</f>
        <v>27768</v>
      </c>
      <c r="I128" s="142">
        <f>IF(AND('A-4'!I129="-",'A-4'!I177="-",'A-4'!I225="-"),"-",SUM('A-4'!I129,'A-4'!I177,'A-4'!I225))</f>
        <v>9908</v>
      </c>
      <c r="J128" s="142">
        <f>IF(AND('A-4'!J129="-",'A-4'!J177="-",'A-4'!J225="-"),"-",SUM('A-4'!J129,'A-4'!J177,'A-4'!J225))</f>
        <v>4303</v>
      </c>
      <c r="K128" s="142">
        <f>IF(AND('A-4'!K129="-",'A-4'!K177="-",'A-4'!K225="-"),"-",SUM('A-4'!K129,'A-4'!K177,'A-4'!K225))</f>
        <v>1539</v>
      </c>
      <c r="L128" s="142">
        <f>IF(AND('A-4'!L129="-",'A-4'!L177="-",'A-4'!L225="-"),"-",SUM('A-4'!L129,'A-4'!L177,'A-4'!L225))</f>
        <v>193146</v>
      </c>
    </row>
    <row r="129" spans="1:12" ht="11.25" customHeight="1">
      <c r="A129" s="99">
        <v>2005</v>
      </c>
      <c r="B129" s="142">
        <f>IF(AND('A-4'!B130="-",'A-4'!B178="-",'A-4'!B226="-"),"-",SUM('A-4'!B130,'A-4'!B178,'A-4'!B226))</f>
        <v>869</v>
      </c>
      <c r="C129" s="142">
        <f>IF(AND('A-4'!C130="-",'A-4'!C178="-",'A-4'!C226="-"),"-",SUM('A-4'!C130,'A-4'!C178,'A-4'!C226))</f>
        <v>521</v>
      </c>
      <c r="D129" s="142">
        <f>IF(AND('A-4'!D130="-",'A-4'!D178="-",'A-4'!D226="-"),"-",SUM('A-4'!D130,'A-4'!D178,'A-4'!D226))</f>
        <v>24631</v>
      </c>
      <c r="E129" s="142">
        <f>IF(AND('A-4'!E130="-",'A-4'!E178="-",'A-4'!E226="-"),"-",SUM('A-4'!E130,'A-4'!E178,'A-4'!E226))</f>
        <v>19797</v>
      </c>
      <c r="F129" s="142">
        <f>IF(AND('A-4'!F130="-",'A-4'!F178="-",'A-4'!F226="-"),"-",SUM('A-4'!F130,'A-4'!F178,'A-4'!F226))</f>
        <v>27711</v>
      </c>
      <c r="G129" s="142">
        <f>IF(AND('A-4'!G130="-",'A-4'!G178="-",'A-4'!G226="-"),"-",SUM('A-4'!G130,'A-4'!G178,'A-4'!G226))</f>
        <v>38248</v>
      </c>
      <c r="H129" s="142">
        <f>IF(AND('A-4'!H130="-",'A-4'!H178="-",'A-4'!H226="-"),"-",SUM('A-4'!H130,'A-4'!H178,'A-4'!H226))</f>
        <v>22891</v>
      </c>
      <c r="I129" s="142">
        <f>IF(AND('A-4'!I130="-",'A-4'!I178="-",'A-4'!I226="-"),"-",SUM('A-4'!I130,'A-4'!I178,'A-4'!I226))</f>
        <v>13250</v>
      </c>
      <c r="J129" s="142">
        <f>IF(AND('A-4'!J130="-",'A-4'!J178="-",'A-4'!J226="-"),"-",SUM('A-4'!J130,'A-4'!J178,'A-4'!J226))</f>
        <v>5868</v>
      </c>
      <c r="K129" s="142">
        <f>IF(AND('A-4'!K130="-",'A-4'!K178="-",'A-4'!K226="-"),"-",SUM('A-4'!K130,'A-4'!K178,'A-4'!K226))</f>
        <v>965</v>
      </c>
      <c r="L129" s="142">
        <f>IF(AND('A-4'!L130="-",'A-4'!L178="-",'A-4'!L226="-"),"-",SUM('A-4'!L130,'A-4'!L178,'A-4'!L226))</f>
        <v>154751</v>
      </c>
    </row>
    <row r="130" spans="1:12" ht="11.25" customHeight="1">
      <c r="A130" s="99">
        <v>2006</v>
      </c>
      <c r="B130" s="142">
        <f>IF(AND('A-4'!B131="-",'A-4'!B179="-",'A-4'!B227="-"),"-",SUM('A-4'!B131,'A-4'!B179,'A-4'!B227))</f>
        <v>289</v>
      </c>
      <c r="C130" s="142">
        <f>IF(AND('A-4'!C131="-",'A-4'!C179="-",'A-4'!C227="-"),"-",SUM('A-4'!C131,'A-4'!C179,'A-4'!C227))</f>
        <v>298</v>
      </c>
      <c r="D130" s="142">
        <f>IF(AND('A-4'!D131="-",'A-4'!D179="-",'A-4'!D227="-"),"-",SUM('A-4'!D131,'A-4'!D179,'A-4'!D227))</f>
        <v>19198</v>
      </c>
      <c r="E130" s="142">
        <f>IF(AND('A-4'!E131="-",'A-4'!E179="-",'A-4'!E227="-"),"-",SUM('A-4'!E131,'A-4'!E179,'A-4'!E227))</f>
        <v>17128</v>
      </c>
      <c r="F130" s="142">
        <f>IF(AND('A-4'!F131="-",'A-4'!F179="-",'A-4'!F227="-"),"-",SUM('A-4'!F131,'A-4'!F179,'A-4'!F227))</f>
        <v>25376</v>
      </c>
      <c r="G130" s="142">
        <f>IF(AND('A-4'!G131="-",'A-4'!G179="-",'A-4'!G227="-"),"-",SUM('A-4'!G131,'A-4'!G179,'A-4'!G227))</f>
        <v>31705</v>
      </c>
      <c r="H130" s="142">
        <f>IF(AND('A-4'!H131="-",'A-4'!H179="-",'A-4'!H227="-"),"-",SUM('A-4'!H131,'A-4'!H179,'A-4'!H227))</f>
        <v>9684</v>
      </c>
      <c r="I130" s="142">
        <f>IF(AND('A-4'!I131="-",'A-4'!I179="-",'A-4'!I227="-"),"-",SUM('A-4'!I131,'A-4'!I179,'A-4'!I227))</f>
        <v>4102</v>
      </c>
      <c r="J130" s="142">
        <f>IF(AND('A-4'!J131="-",'A-4'!J179="-",'A-4'!J227="-"),"-",SUM('A-4'!J131,'A-4'!J179,'A-4'!J227))</f>
        <v>1827</v>
      </c>
      <c r="K130" s="142">
        <f>IF(AND('A-4'!K131="-",'A-4'!K179="-",'A-4'!K227="-"),"-",SUM('A-4'!K131,'A-4'!K179,'A-4'!K227))</f>
        <v>448</v>
      </c>
      <c r="L130" s="142">
        <f>IF(AND('A-4'!L131="-",'A-4'!L179="-",'A-4'!L227="-"),"-",SUM('A-4'!L131,'A-4'!L179,'A-4'!L227))</f>
        <v>110055</v>
      </c>
    </row>
    <row r="131" spans="1:12" ht="11.25" customHeight="1">
      <c r="A131" s="99">
        <v>2007</v>
      </c>
      <c r="B131" s="142">
        <f>IF(AND('A-4'!B132="-",'A-4'!B180="-",'A-4'!B228="-"),"-",SUM('A-4'!B132,'A-4'!B180,'A-4'!B228))</f>
        <v>249</v>
      </c>
      <c r="C131" s="142">
        <f>IF(AND('A-4'!C132="-",'A-4'!C180="-",'A-4'!C228="-"),"-",SUM('A-4'!C132,'A-4'!C180,'A-4'!C228))</f>
        <v>855</v>
      </c>
      <c r="D131" s="142">
        <f>IF(AND('A-4'!D132="-",'A-4'!D180="-",'A-4'!D228="-"),"-",SUM('A-4'!D132,'A-4'!D180,'A-4'!D228))</f>
        <v>15043</v>
      </c>
      <c r="E131" s="142">
        <f>IF(AND('A-4'!E132="-",'A-4'!E180="-",'A-4'!E228="-"),"-",SUM('A-4'!E132,'A-4'!E180,'A-4'!E228))</f>
        <v>13297</v>
      </c>
      <c r="F131" s="142">
        <f>IF(AND('A-4'!F132="-",'A-4'!F180="-",'A-4'!F228="-"),"-",SUM('A-4'!F132,'A-4'!F180,'A-4'!F228))</f>
        <v>19620</v>
      </c>
      <c r="G131" s="142">
        <f>IF(AND('A-4'!G132="-",'A-4'!G180="-",'A-4'!G228="-"),"-",SUM('A-4'!G132,'A-4'!G180,'A-4'!G228))</f>
        <v>21548</v>
      </c>
      <c r="H131" s="142">
        <f>IF(AND('A-4'!H132="-",'A-4'!H180="-",'A-4'!H228="-"),"-",SUM('A-4'!H132,'A-4'!H180,'A-4'!H228))</f>
        <v>8532</v>
      </c>
      <c r="I131" s="142">
        <f>IF(AND('A-4'!I132="-",'A-4'!I180="-",'A-4'!I228="-"),"-",SUM('A-4'!I132,'A-4'!I180,'A-4'!I228))</f>
        <v>3091</v>
      </c>
      <c r="J131" s="142">
        <f>IF(AND('A-4'!J132="-",'A-4'!J180="-",'A-4'!J228="-"),"-",SUM('A-4'!J132,'A-4'!J180,'A-4'!J228))</f>
        <v>1817</v>
      </c>
      <c r="K131" s="142">
        <f>IF(AND('A-4'!K132="-",'A-4'!K180="-",'A-4'!K228="-"),"-",SUM('A-4'!K132,'A-4'!K180,'A-4'!K228))</f>
        <v>1394</v>
      </c>
      <c r="L131" s="142">
        <f>IF(AND('A-4'!L132="-",'A-4'!L180="-",'A-4'!L228="-"),"-",SUM('A-4'!L132,'A-4'!L180,'A-4'!L228))</f>
        <v>85446</v>
      </c>
    </row>
    <row r="132" spans="1:12" ht="11.25" customHeight="1">
      <c r="A132" s="99">
        <v>2008</v>
      </c>
      <c r="B132" s="142">
        <f>IF(AND('A-4'!B133="-",'A-4'!B181="-",'A-4'!B229="-"),"-",SUM('A-4'!B133,'A-4'!B181,'A-4'!B229))</f>
        <v>206</v>
      </c>
      <c r="C132" s="142">
        <f>IF(AND('A-4'!C133="-",'A-4'!C181="-",'A-4'!C229="-"),"-",SUM('A-4'!C133,'A-4'!C181,'A-4'!C229))</f>
        <v>185</v>
      </c>
      <c r="D132" s="142" t="str">
        <f>IF(AND('A-4'!D133="-",'A-4'!D181="-",'A-4'!D229="-"),"-",SUM('A-4'!D133,'A-4'!D181,'A-4'!D229))</f>
        <v>-</v>
      </c>
      <c r="E132" s="142" t="str">
        <f>IF(AND('A-4'!E133="-",'A-4'!E181="-",'A-4'!E229="-"),"-",SUM('A-4'!E133,'A-4'!E181,'A-4'!E229))</f>
        <v>-</v>
      </c>
      <c r="F132" s="142" t="str">
        <f>IF(AND('A-4'!F133="-",'A-4'!F181="-",'A-4'!F229="-"),"-",SUM('A-4'!F133,'A-4'!F181,'A-4'!F229))</f>
        <v>-</v>
      </c>
      <c r="G132" s="142" t="str">
        <f>IF(AND('A-4'!G133="-",'A-4'!G181="-",'A-4'!G229="-"),"-",SUM('A-4'!G133,'A-4'!G181,'A-4'!G229))</f>
        <v>-</v>
      </c>
      <c r="H132" s="142" t="str">
        <f>IF(AND('A-4'!H133="-",'A-4'!H181="-",'A-4'!H229="-"),"-",SUM('A-4'!H133,'A-4'!H181,'A-4'!H229))</f>
        <v>-</v>
      </c>
      <c r="I132" s="142" t="str">
        <f>IF(AND('A-4'!I133="-",'A-4'!I181="-",'A-4'!I229="-"),"-",SUM('A-4'!I133,'A-4'!I181,'A-4'!I229))</f>
        <v>-</v>
      </c>
      <c r="J132" s="142" t="str">
        <f>IF(AND('A-4'!J133="-",'A-4'!J181="-",'A-4'!J229="-"),"-",SUM('A-4'!J133,'A-4'!J181,'A-4'!J229))</f>
        <v>-</v>
      </c>
      <c r="K132" s="142" t="str">
        <f>IF(AND('A-4'!K133="-",'A-4'!K181="-",'A-4'!K229="-"),"-",SUM('A-4'!K133,'A-4'!K181,'A-4'!K229))</f>
        <v>-</v>
      </c>
      <c r="L132" s="142">
        <f>IF(AND('A-4'!L133="-",'A-4'!L181="-",'A-4'!L229="-"),"-",SUM('A-4'!L133,'A-4'!L181,'A-4'!L229))</f>
        <v>391</v>
      </c>
    </row>
    <row r="133" spans="1:12" ht="11.25" customHeight="1">
      <c r="A133" s="99">
        <v>2009</v>
      </c>
      <c r="B133" s="142" t="str">
        <f>IF(AND('A-4'!B134="-",'A-4'!B182="-",'A-4'!B230="-"),"-",SUM('A-4'!B134,'A-4'!B182,'A-4'!B230))</f>
        <v>-</v>
      </c>
      <c r="C133" s="142" t="str">
        <f>IF(AND('A-4'!C134="-",'A-4'!C182="-",'A-4'!C230="-"),"-",SUM('A-4'!C134,'A-4'!C182,'A-4'!C230))</f>
        <v>-</v>
      </c>
      <c r="D133" s="142" t="str">
        <f>IF(AND('A-4'!D134="-",'A-4'!D182="-",'A-4'!D230="-"),"-",SUM('A-4'!D134,'A-4'!D182,'A-4'!D230))</f>
        <v>-</v>
      </c>
      <c r="E133" s="142" t="str">
        <f>IF(AND('A-4'!E134="-",'A-4'!E182="-",'A-4'!E230="-"),"-",SUM('A-4'!E134,'A-4'!E182,'A-4'!E230))</f>
        <v>-</v>
      </c>
      <c r="F133" s="142" t="str">
        <f>IF(AND('A-4'!F134="-",'A-4'!F182="-",'A-4'!F230="-"),"-",SUM('A-4'!F134,'A-4'!F182,'A-4'!F230))</f>
        <v>-</v>
      </c>
      <c r="G133" s="142" t="str">
        <f>IF(AND('A-4'!G134="-",'A-4'!G182="-",'A-4'!G230="-"),"-",SUM('A-4'!G134,'A-4'!G182,'A-4'!G230))</f>
        <v>-</v>
      </c>
      <c r="H133" s="142" t="str">
        <f>IF(AND('A-4'!H134="-",'A-4'!H182="-",'A-4'!H230="-"),"-",SUM('A-4'!H134,'A-4'!H182,'A-4'!H230))</f>
        <v>-</v>
      </c>
      <c r="I133" s="142" t="str">
        <f>IF(AND('A-4'!I134="-",'A-4'!I182="-",'A-4'!I230="-"),"-",SUM('A-4'!I134,'A-4'!I182,'A-4'!I230))</f>
        <v>-</v>
      </c>
      <c r="J133" s="142" t="str">
        <f>IF(AND('A-4'!J134="-",'A-4'!J182="-",'A-4'!J230="-"),"-",SUM('A-4'!J134,'A-4'!J182,'A-4'!J230))</f>
        <v>-</v>
      </c>
      <c r="K133" s="142" t="str">
        <f>IF(AND('A-4'!K134="-",'A-4'!K182="-",'A-4'!K230="-"),"-",SUM('A-4'!K134,'A-4'!K182,'A-4'!K230))</f>
        <v>-</v>
      </c>
      <c r="L133" s="142" t="str">
        <f>IF(AND('A-4'!L134="-",'A-4'!L182="-",'A-4'!L230="-"),"-",SUM('A-4'!L134,'A-4'!L182,'A-4'!L230))</f>
        <v>-</v>
      </c>
    </row>
    <row r="134" spans="1:12" ht="11.25" customHeight="1">
      <c r="A134" s="99">
        <v>2010</v>
      </c>
      <c r="B134" s="142" t="str">
        <f>IF(AND('A-4'!B135="-",'A-4'!B183="-",'A-4'!B231="-"),"-",SUM('A-4'!B135,'A-4'!B183,'A-4'!B231))</f>
        <v>-</v>
      </c>
      <c r="C134" s="142" t="str">
        <f>IF(AND('A-4'!C135="-",'A-4'!C183="-",'A-4'!C231="-"),"-",SUM('A-4'!C135,'A-4'!C183,'A-4'!C231))</f>
        <v>-</v>
      </c>
      <c r="D134" s="142">
        <f>IF(AND('A-4'!D135="-",'A-4'!D183="-",'A-4'!D231="-"),"-",SUM('A-4'!D135,'A-4'!D183,'A-4'!D231))</f>
        <v>16774</v>
      </c>
      <c r="E134" s="142">
        <f>IF(AND('A-4'!E135="-",'A-4'!E183="-",'A-4'!E231="-"),"-",SUM('A-4'!E135,'A-4'!E183,'A-4'!E231))</f>
        <v>6770</v>
      </c>
      <c r="F134" s="142">
        <f>IF(AND('A-4'!F135="-",'A-4'!F183="-",'A-4'!F231="-"),"-",SUM('A-4'!F135,'A-4'!F183,'A-4'!F231))</f>
        <v>2736</v>
      </c>
      <c r="G134" s="142">
        <f>IF(AND('A-4'!G135="-",'A-4'!G183="-",'A-4'!G231="-"),"-",SUM('A-4'!G135,'A-4'!G183,'A-4'!G231))</f>
        <v>8310</v>
      </c>
      <c r="H134" s="142">
        <f>IF(AND('A-4'!H135="-",'A-4'!H183="-",'A-4'!H231="-"),"-",SUM('A-4'!H135,'A-4'!H183,'A-4'!H231))</f>
        <v>7883</v>
      </c>
      <c r="I134" s="142">
        <f>IF(AND('A-4'!I135="-",'A-4'!I183="-",'A-4'!I231="-"),"-",SUM('A-4'!I135,'A-4'!I183,'A-4'!I231))</f>
        <v>1965</v>
      </c>
      <c r="J134" s="142" t="str">
        <f>IF(AND('A-4'!J135="-",'A-4'!J183="-",'A-4'!J231="-"),"-",SUM('A-4'!J135,'A-4'!J183,'A-4'!J231))</f>
        <v>-</v>
      </c>
      <c r="K134" s="142" t="str">
        <f>IF(AND('A-4'!K135="-",'A-4'!K183="-",'A-4'!K231="-"),"-",SUM('A-4'!K135,'A-4'!K183,'A-4'!K231))</f>
        <v>-</v>
      </c>
      <c r="L134" s="142">
        <f>IF(AND('A-4'!L135="-",'A-4'!L183="-",'A-4'!L231="-"),"-",SUM('A-4'!L135,'A-4'!L183,'A-4'!L231))</f>
        <v>44438</v>
      </c>
    </row>
    <row r="135" spans="1:12" ht="11.25" customHeight="1">
      <c r="A135" s="99">
        <v>2011</v>
      </c>
      <c r="B135" s="142" t="str">
        <f>IF(AND('A-4'!B136="-",'A-4'!B184="-",'A-4'!B232="-"),"-",SUM('A-4'!B136,'A-4'!B184,'A-4'!B232))</f>
        <v>-</v>
      </c>
      <c r="C135" s="142" t="str">
        <f>IF(AND('A-4'!C136="-",'A-4'!C184="-",'A-4'!C232="-"),"-",SUM('A-4'!C136,'A-4'!C184,'A-4'!C232))</f>
        <v>-</v>
      </c>
      <c r="D135" s="142">
        <f>IF(AND('A-4'!D136="-",'A-4'!D184="-",'A-4'!D232="-"),"-",SUM('A-4'!D136,'A-4'!D184,'A-4'!D232))</f>
        <v>15565</v>
      </c>
      <c r="E135" s="142">
        <f>IF(AND('A-4'!E136="-",'A-4'!E184="-",'A-4'!E232="-"),"-",SUM('A-4'!E136,'A-4'!E184,'A-4'!E232))</f>
        <v>5943</v>
      </c>
      <c r="F135" s="142">
        <f>IF(AND('A-4'!F136="-",'A-4'!F184="-",'A-4'!F232="-"),"-",SUM('A-4'!F136,'A-4'!F184,'A-4'!F232))</f>
        <v>6937</v>
      </c>
      <c r="G135" s="142">
        <f>IF(AND('A-4'!G136="-",'A-4'!G184="-",'A-4'!G232="-"),"-",SUM('A-4'!G136,'A-4'!G184,'A-4'!G232))</f>
        <v>20300</v>
      </c>
      <c r="H135" s="142">
        <f>IF(AND('A-4'!H136="-",'A-4'!H184="-",'A-4'!H232="-"),"-",SUM('A-4'!H136,'A-4'!H184,'A-4'!H232))</f>
        <v>14387</v>
      </c>
      <c r="I135" s="142">
        <f>IF(AND('A-4'!I136="-",'A-4'!I184="-",'A-4'!I232="-"),"-",SUM('A-4'!I136,'A-4'!I184,'A-4'!I232))</f>
        <v>10164</v>
      </c>
      <c r="J135" s="142">
        <f>IF(AND('A-4'!J136="-",'A-4'!J184="-",'A-4'!J232="-"),"-",SUM('A-4'!J136,'A-4'!J184,'A-4'!J232))</f>
        <v>3431</v>
      </c>
      <c r="K135" s="142" t="str">
        <f>IF(AND('A-4'!K136="-",'A-4'!K184="-",'A-4'!K232="-"),"-",SUM('A-4'!K136,'A-4'!K184,'A-4'!K232))</f>
        <v>-</v>
      </c>
      <c r="L135" s="142">
        <f>IF(AND('A-4'!L136="-",'A-4'!L184="-",'A-4'!L232="-"),"-",SUM('A-4'!L136,'A-4'!L184,'A-4'!L232))</f>
        <v>76727</v>
      </c>
    </row>
    <row r="136" spans="1:12" ht="11.25" customHeight="1">
      <c r="A136" s="99">
        <v>2012</v>
      </c>
      <c r="B136" s="142" t="str">
        <f>IF(AND('A-4'!B137="-",'A-4'!B185="-",'A-4'!B233="-"),"-",SUM('A-4'!B137,'A-4'!B185,'A-4'!B233))</f>
        <v>-</v>
      </c>
      <c r="C136" s="142" t="str">
        <f>IF(AND('A-4'!C137="-",'A-4'!C185="-",'A-4'!C233="-"),"-",SUM('A-4'!C137,'A-4'!C185,'A-4'!C233))</f>
        <v>-</v>
      </c>
      <c r="D136" s="142">
        <f>IF(AND('A-4'!D137="-",'A-4'!D185="-",'A-4'!D233="-"),"-",SUM('A-4'!D137,'A-4'!D185,'A-4'!D233))</f>
        <v>21466</v>
      </c>
      <c r="E136" s="142">
        <f>IF(AND('A-4'!E137="-",'A-4'!E185="-",'A-4'!E233="-"),"-",SUM('A-4'!E137,'A-4'!E185,'A-4'!E233))</f>
        <v>18077</v>
      </c>
      <c r="F136" s="142">
        <f>IF(AND('A-4'!F137="-",'A-4'!F185="-",'A-4'!F233="-"),"-",SUM('A-4'!F137,'A-4'!F185,'A-4'!F233))</f>
        <v>21974</v>
      </c>
      <c r="G136" s="142">
        <f>IF(AND('A-4'!G137="-",'A-4'!G185="-",'A-4'!G233="-"),"-",SUM('A-4'!G137,'A-4'!G185,'A-4'!G233))</f>
        <v>28417</v>
      </c>
      <c r="H136" s="142">
        <f>IF(AND('A-4'!H137="-",'A-4'!H185="-",'A-4'!H233="-"),"-",SUM('A-4'!H137,'A-4'!H185,'A-4'!H233))</f>
        <v>14620</v>
      </c>
      <c r="I136" s="142">
        <f>IF(AND('A-4'!I137="-",'A-4'!I185="-",'A-4'!I233="-"),"-",SUM('A-4'!I137,'A-4'!I185,'A-4'!I233))</f>
        <v>7914</v>
      </c>
      <c r="J136" s="142">
        <f>IF(AND('A-4'!J137="-",'A-4'!J185="-",'A-4'!J233="-"),"-",SUM('A-4'!J137,'A-4'!J185,'A-4'!J233))</f>
        <v>3588</v>
      </c>
      <c r="K136" s="142">
        <f>IF(AND('A-4'!K137="-",'A-4'!K185="-",'A-4'!K233="-"),"-",SUM('A-4'!K137,'A-4'!K185,'A-4'!K233))</f>
        <v>569</v>
      </c>
      <c r="L136" s="142">
        <f>IF(AND('A-4'!L137="-",'A-4'!L185="-",'A-4'!L233="-"),"-",SUM('A-4'!L137,'A-4'!L185,'A-4'!L233))</f>
        <v>116625</v>
      </c>
    </row>
    <row r="137" spans="1:12" ht="11.25" customHeight="1">
      <c r="A137" s="99">
        <v>2013</v>
      </c>
      <c r="B137" s="142" t="str">
        <f>IF(AND('A-4'!B138="-",'A-4'!B186="-",'A-4'!B234="-"),"-",SUM('A-4'!B138,'A-4'!B186,'A-4'!B234))</f>
        <v>-</v>
      </c>
      <c r="C137" s="142" t="str">
        <f>IF(AND('A-4'!C138="-",'A-4'!C186="-",'A-4'!C234="-"),"-",SUM('A-4'!C138,'A-4'!C186,'A-4'!C234))</f>
        <v>-</v>
      </c>
      <c r="D137" s="142">
        <f>IF(AND('A-4'!D138="-",'A-4'!D186="-",'A-4'!D234="-"),"-",SUM('A-4'!D138,'A-4'!D186,'A-4'!D234))</f>
        <v>19602</v>
      </c>
      <c r="E137" s="142">
        <f>IF(AND('A-4'!E138="-",'A-4'!E186="-",'A-4'!E234="-"),"-",SUM('A-4'!E138,'A-4'!E186,'A-4'!E234))</f>
        <v>15187</v>
      </c>
      <c r="F137" s="142">
        <f>IF(AND('A-4'!F138="-",'A-4'!F186="-",'A-4'!F234="-"),"-",SUM('A-4'!F138,'A-4'!F186,'A-4'!F234))</f>
        <v>18315</v>
      </c>
      <c r="G137" s="142">
        <f>IF(AND('A-4'!G138="-",'A-4'!G186="-",'A-4'!G234="-"),"-",SUM('A-4'!G138,'A-4'!G186,'A-4'!G234))</f>
        <v>36160</v>
      </c>
      <c r="H137" s="142">
        <f>IF(AND('A-4'!H138="-",'A-4'!H186="-",'A-4'!H234="-"),"-",SUM('A-4'!H138,'A-4'!H186,'A-4'!H234))</f>
        <v>20012</v>
      </c>
      <c r="I137" s="142">
        <f>IF(AND('A-4'!I138="-",'A-4'!I186="-",'A-4'!I234="-"),"-",SUM('A-4'!I138,'A-4'!I186,'A-4'!I234))</f>
        <v>5521</v>
      </c>
      <c r="J137" s="142">
        <f>IF(AND('A-4'!J138="-",'A-4'!J186="-",'A-4'!J234="-"),"-",SUM('A-4'!J138,'A-4'!J186,'A-4'!J234))</f>
        <v>2245</v>
      </c>
      <c r="K137" s="142">
        <f>IF(AND('A-4'!K138="-",'A-4'!K186="-",'A-4'!K234="-"),"-",SUM('A-4'!K138,'A-4'!K186,'A-4'!K234))</f>
        <v>426</v>
      </c>
      <c r="L137" s="142">
        <f>IF(AND('A-4'!L138="-",'A-4'!L186="-",'A-4'!L234="-"),"-",SUM('A-4'!L138,'A-4'!L186,'A-4'!L234))</f>
        <v>117468</v>
      </c>
    </row>
    <row r="138" spans="1:12" ht="11.25" customHeight="1">
      <c r="A138" s="99">
        <v>2014</v>
      </c>
      <c r="B138" s="142" t="str">
        <f>IF(AND('A-4'!B139="-",'A-4'!B187="-",'A-4'!B235="-"),"-",SUM('A-4'!B139,'A-4'!B187,'A-4'!B235))</f>
        <v>-</v>
      </c>
      <c r="C138" s="142" t="str">
        <f>IF(AND('A-4'!C139="-",'A-4'!C187="-",'A-4'!C235="-"),"-",SUM('A-4'!C139,'A-4'!C187,'A-4'!C235))</f>
        <v>-</v>
      </c>
      <c r="D138" s="142">
        <f>IF(AND('A-4'!D139="-",'A-4'!D187="-",'A-4'!D235="-"),"-",SUM('A-4'!D139,'A-4'!D187,'A-4'!D235))</f>
        <v>20226</v>
      </c>
      <c r="E138" s="142">
        <f>IF(AND('A-4'!E139="-",'A-4'!E187="-",'A-4'!E235="-"),"-",SUM('A-4'!E139,'A-4'!E187,'A-4'!E235))</f>
        <v>8522</v>
      </c>
      <c r="F138" s="142">
        <f>IF(AND('A-4'!F139="-",'A-4'!F187="-",'A-4'!F235="-"),"-",SUM('A-4'!F139,'A-4'!F187,'A-4'!F235))</f>
        <v>7675</v>
      </c>
      <c r="G138" s="142">
        <f>IF(AND('A-4'!G139="-",'A-4'!G187="-",'A-4'!G235="-"),"-",SUM('A-4'!G139,'A-4'!G187,'A-4'!G235))</f>
        <v>23892</v>
      </c>
      <c r="H138" s="142">
        <f>IF(AND('A-4'!H139="-",'A-4'!H187="-",'A-4'!H235="-"),"-",SUM('A-4'!H139,'A-4'!H187,'A-4'!H235))</f>
        <v>22999</v>
      </c>
      <c r="I138" s="142">
        <f>IF(AND('A-4'!I139="-",'A-4'!I187="-",'A-4'!I235="-"),"-",SUM('A-4'!I139,'A-4'!I187,'A-4'!I235))</f>
        <v>10443</v>
      </c>
      <c r="J138" s="142">
        <f>IF(AND('A-4'!J139="-",'A-4'!J187="-",'A-4'!J235="-"),"-",SUM('A-4'!J139,'A-4'!J187,'A-4'!J235))</f>
        <v>5193</v>
      </c>
      <c r="K138" s="142">
        <f>IF(AND('A-4'!K139="-",'A-4'!K187="-",'A-4'!K235="-"),"-",SUM('A-4'!K139,'A-4'!K187,'A-4'!K235))</f>
        <v>723</v>
      </c>
      <c r="L138" s="142">
        <f>IF(AND('A-4'!L139="-",'A-4'!L187="-",'A-4'!L235="-"),"-",SUM('A-4'!L139,'A-4'!L187,'A-4'!L235))</f>
        <v>99673</v>
      </c>
    </row>
    <row r="139" spans="1:12" ht="11.25" customHeight="1">
      <c r="A139" s="99" t="s">
        <v>227</v>
      </c>
      <c r="B139" s="142" t="str">
        <f>IF(AND('A-4'!B140="-",'A-4'!B188="-",'A-4'!B236="-"),"-",SUM('A-4'!B140,'A-4'!B188,'A-4'!B236))</f>
        <v>-</v>
      </c>
      <c r="C139" s="142" t="str">
        <f>IF(AND('A-4'!C140="-",'A-4'!C188="-",'A-4'!C236="-"),"-",SUM('A-4'!C140,'A-4'!C188,'A-4'!C236))</f>
        <v>-</v>
      </c>
      <c r="D139" s="142">
        <f>IF(AND('A-4'!D140="-",'A-4'!D188="-",'A-4'!D236="-"),"-",SUM('A-4'!D140,'A-4'!D188,'A-4'!D236))</f>
        <v>11085</v>
      </c>
      <c r="E139" s="142">
        <f>IF(AND('A-4'!E140="-",'A-4'!E188="-",'A-4'!E236="-"),"-",SUM('A-4'!E140,'A-4'!E188,'A-4'!E236))</f>
        <v>7401</v>
      </c>
      <c r="F139" s="142">
        <f>IF(AND('A-4'!F140="-",'A-4'!F188="-",'A-4'!F236="-"),"-",SUM('A-4'!F140,'A-4'!F188,'A-4'!F236))</f>
        <v>9210</v>
      </c>
      <c r="G139" s="142">
        <f>IF(AND('A-4'!G140="-",'A-4'!G188="-",'A-4'!G236="-"),"-",SUM('A-4'!G140,'A-4'!G188,'A-4'!G236))</f>
        <v>16244</v>
      </c>
      <c r="H139" s="142">
        <f>IF(AND('A-4'!H140="-",'A-4'!H188="-",'A-4'!H236="-"),"-",SUM('A-4'!H140,'A-4'!H188,'A-4'!H236))</f>
        <v>15118</v>
      </c>
      <c r="I139" s="142">
        <f>IF(AND('A-4'!I140="-",'A-4'!I188="-",'A-4'!I236="-"),"-",SUM('A-4'!I140,'A-4'!I188,'A-4'!I236))</f>
        <v>10293</v>
      </c>
      <c r="J139" s="142">
        <f>IF(AND('A-4'!J140="-",'A-4'!J188="-",'A-4'!J236="-"),"-",SUM('A-4'!J140,'A-4'!J188,'A-4'!J236))</f>
        <v>3483</v>
      </c>
      <c r="K139" s="142">
        <f>IF(AND('A-4'!K140="-",'A-4'!K188="-",'A-4'!K236="-"),"-",SUM('A-4'!K140,'A-4'!K188,'A-4'!K236))</f>
        <v>5</v>
      </c>
      <c r="L139" s="142">
        <f>IF(AND('A-4'!L140="-",'A-4'!L188="-",'A-4'!L236="-"),"-",SUM('A-4'!L140,'A-4'!L188,'A-4'!L236))</f>
        <v>72839</v>
      </c>
    </row>
    <row r="140" spans="1:12" ht="11.25" customHeight="1">
      <c r="A140" s="99">
        <v>2016</v>
      </c>
      <c r="B140" s="142" t="str">
        <f>IF(AND('A-4'!B141="-",'A-4'!B189="-",'A-4'!B237="-"),"-",SUM('A-4'!B141,'A-4'!B189,'A-4'!B237))</f>
        <v>-</v>
      </c>
      <c r="C140" s="142" t="str">
        <f>IF(AND('A-4'!C141="-",'A-4'!C189="-",'A-4'!C237="-"),"-",SUM('A-4'!C141,'A-4'!C189,'A-4'!C237))</f>
        <v>-</v>
      </c>
      <c r="D140" s="142">
        <f>IF(AND('A-4'!D141="-",'A-4'!D189="-",'A-4'!D237="-"),"-",SUM('A-4'!D141,'A-4'!D189,'A-4'!D237))</f>
        <v>8006</v>
      </c>
      <c r="E140" s="142">
        <f>IF(AND('A-4'!E141="-",'A-4'!E189="-",'A-4'!E237="-"),"-",SUM('A-4'!E141,'A-4'!E189,'A-4'!E237))</f>
        <v>8281</v>
      </c>
      <c r="F140" s="142">
        <f>IF(AND('A-4'!F141="-",'A-4'!F189="-",'A-4'!F237="-"),"-",SUM('A-4'!F141,'A-4'!F189,'A-4'!F237))</f>
        <v>4284</v>
      </c>
      <c r="G140" s="142">
        <f>IF(AND('A-4'!G141="-",'A-4'!G189="-",'A-4'!G237="-"),"-",SUM('A-4'!G141,'A-4'!G189,'A-4'!G237))</f>
        <v>16521</v>
      </c>
      <c r="H140" s="142">
        <f>IF(AND('A-4'!H141="-",'A-4'!H189="-",'A-4'!H237="-"),"-",SUM('A-4'!H141,'A-4'!H189,'A-4'!H237))</f>
        <v>13188</v>
      </c>
      <c r="I140" s="142">
        <f>IF(AND('A-4'!I141="-",'A-4'!I189="-",'A-4'!I237="-"),"-",SUM('A-4'!I141,'A-4'!I189,'A-4'!I237))</f>
        <v>8500</v>
      </c>
      <c r="J140" s="142">
        <f>IF(AND('A-4'!J141="-",'A-4'!J189="-",'A-4'!J237="-"),"-",SUM('A-4'!J141,'A-4'!J189,'A-4'!J237))</f>
        <v>2366</v>
      </c>
      <c r="K140" s="142">
        <f>IF(AND('A-4'!K141="-",'A-4'!K189="-",'A-4'!K237="-"),"-",SUM('A-4'!K141,'A-4'!K189,'A-4'!K237))</f>
        <v>0</v>
      </c>
      <c r="L140" s="142">
        <f>IF(AND('A-4'!L141="-",'A-4'!L189="-",'A-4'!L237="-"),"-",SUM('A-4'!L141,'A-4'!L189,'A-4'!L237))</f>
        <v>61146</v>
      </c>
    </row>
    <row r="141" spans="1:12" ht="11.25" customHeight="1">
      <c r="A141" s="99">
        <v>2017</v>
      </c>
      <c r="B141" s="142" t="str">
        <f>IF(AND('A-4'!B142="-",'A-4'!B190="-",'A-4'!B238="-"),"-",SUM('A-4'!B142,'A-4'!B190,'A-4'!B238))</f>
        <v>-</v>
      </c>
      <c r="C141" s="142" t="str">
        <f>IF(AND('A-4'!C142="-",'A-4'!C190="-",'A-4'!C238="-"),"-",SUM('A-4'!C142,'A-4'!C190,'A-4'!C238))</f>
        <v>-</v>
      </c>
      <c r="D141" s="142">
        <f>IF(AND('A-4'!D142="-",'A-4'!D190="-",'A-4'!D238="-"),"-",SUM('A-4'!D142,'A-4'!D190,'A-4'!D238))</f>
        <v>10105</v>
      </c>
      <c r="E141" s="142">
        <f>IF(AND('A-4'!E142="-",'A-4'!E190="-",'A-4'!E238="-"),"-",SUM('A-4'!E142,'A-4'!E190,'A-4'!E238))</f>
        <v>5000</v>
      </c>
      <c r="F141" s="142">
        <f>IF(AND('A-4'!F142="-",'A-4'!F190="-",'A-4'!F238="-"),"-",SUM('A-4'!F142,'A-4'!F190,'A-4'!F238))</f>
        <v>6574</v>
      </c>
      <c r="G141" s="142">
        <f>IF(AND('A-4'!G142="-",'A-4'!G190="-",'A-4'!G238="-"),"-",SUM('A-4'!G142,'A-4'!G190,'A-4'!G238))</f>
        <v>22590</v>
      </c>
      <c r="H141" s="142">
        <f>IF(AND('A-4'!H142="-",'A-4'!H190="-",'A-4'!H238="-"),"-",SUM('A-4'!H142,'A-4'!H190,'A-4'!H238))</f>
        <v>19358</v>
      </c>
      <c r="I141" s="142">
        <f>IF(AND('A-4'!I142="-",'A-4'!I190="-",'A-4'!I238="-"),"-",SUM('A-4'!I142,'A-4'!I190,'A-4'!I238))</f>
        <v>8496</v>
      </c>
      <c r="J141" s="142">
        <f>IF(AND('A-4'!J142="-",'A-4'!J190="-",'A-4'!J238="-"),"-",SUM('A-4'!J142,'A-4'!J190,'A-4'!J238))</f>
        <v>1851</v>
      </c>
      <c r="K141" s="142">
        <f>IF(AND('A-4'!K142="-",'A-4'!K190="-",'A-4'!K238="-"),"-",SUM('A-4'!K142,'A-4'!K190,'A-4'!K238))</f>
        <v>0</v>
      </c>
      <c r="L141" s="142">
        <f>IF(AND('A-4'!L142="-",'A-4'!L190="-",'A-4'!L238="-"),"-",SUM('A-4'!L142,'A-4'!L190,'A-4'!L238))</f>
        <v>73974</v>
      </c>
    </row>
    <row r="142" spans="1:12" ht="11.25" customHeight="1">
      <c r="A142" s="99">
        <v>2018</v>
      </c>
      <c r="B142" s="142" t="str">
        <f>IF(AND('A-4'!B143="-",'A-4'!B191="-",'A-4'!B239="-"),"-",SUM('A-4'!B143,'A-4'!B191,'A-4'!B239))</f>
        <v>-</v>
      </c>
      <c r="C142" s="142" t="str">
        <f>IF(AND('A-4'!C143="-",'A-4'!C191="-",'A-4'!C239="-"),"-",SUM('A-4'!C143,'A-4'!C191,'A-4'!C239))</f>
        <v>-</v>
      </c>
      <c r="D142" s="142">
        <f>IF(AND('A-4'!D143="-",'A-4'!D191="-",'A-4'!D239="-"),"-",SUM('A-4'!D143,'A-4'!D191,'A-4'!D239))</f>
        <v>8140</v>
      </c>
      <c r="E142" s="142">
        <f>IF(AND('A-4'!E143="-",'A-4'!E191="-",'A-4'!E239="-"),"-",SUM('A-4'!E143,'A-4'!E191,'A-4'!E239))</f>
        <v>2021</v>
      </c>
      <c r="F142" s="142">
        <f>IF(AND('A-4'!F143="-",'A-4'!F191="-",'A-4'!F239="-"),"-",SUM('A-4'!F143,'A-4'!F191,'A-4'!F239))</f>
        <v>12296</v>
      </c>
      <c r="G142" s="142">
        <f>IF(AND('A-4'!G143="-",'A-4'!G191="-",'A-4'!G239="-"),"-",SUM('A-4'!G143,'A-4'!G191,'A-4'!G239))</f>
        <v>34271</v>
      </c>
      <c r="H142" s="142">
        <f>IF(AND('A-4'!H143="-",'A-4'!H191="-",'A-4'!H239="-"),"-",SUM('A-4'!H143,'A-4'!H191,'A-4'!H239))</f>
        <v>18472</v>
      </c>
      <c r="I142" s="142">
        <f>IF(AND('A-4'!I143="-",'A-4'!I191="-",'A-4'!I239="-"),"-",SUM('A-4'!I143,'A-4'!I191,'A-4'!I239))</f>
        <v>8984</v>
      </c>
      <c r="J142" s="142">
        <f>IF(AND('A-4'!J143="-",'A-4'!J191="-",'A-4'!J239="-"),"-",SUM('A-4'!J143,'A-4'!J191,'A-4'!J239))</f>
        <v>5072</v>
      </c>
      <c r="K142" s="142" t="str">
        <f>IF(AND('A-4'!K143="-",'A-4'!K191="-",'A-4'!K239="-"),"-",SUM('A-4'!K143,'A-4'!K191,'A-4'!K239))</f>
        <v>-</v>
      </c>
      <c r="L142" s="142">
        <f>IF(AND('A-4'!L143="-",'A-4'!L191="-",'A-4'!L239="-"),"-",SUM('A-4'!L143,'A-4'!L191,'A-4'!L239))</f>
        <v>89256</v>
      </c>
    </row>
    <row r="143" spans="1:12" ht="11.25" customHeight="1">
      <c r="A143" s="99">
        <v>2019</v>
      </c>
      <c r="B143" s="142" t="str">
        <f>IF(AND('A-4'!B144="-",'A-4'!B192="-",'A-4'!B240="-"),"-",SUM('A-4'!B144,'A-4'!B192,'A-4'!B240))</f>
        <v>-</v>
      </c>
      <c r="C143" s="142" t="str">
        <f>IF(AND('A-4'!C144="-",'A-4'!C192="-",'A-4'!C240="-"),"-",SUM('A-4'!C144,'A-4'!C192,'A-4'!C240))</f>
        <v>-</v>
      </c>
      <c r="D143" s="142">
        <f>IF(AND('A-4'!D144="-",'A-4'!D192="-",'A-4'!D240="-"),"-",SUM('A-4'!D144,'A-4'!D192,'A-4'!D240))</f>
        <v>17350</v>
      </c>
      <c r="E143" s="142">
        <f>IF(AND('A-4'!E144="-",'A-4'!E192="-",'A-4'!E240="-"),"-",SUM('A-4'!E144,'A-4'!E192,'A-4'!E240))</f>
        <v>5579</v>
      </c>
      <c r="F143" s="142">
        <f>IF(AND('A-4'!F144="-",'A-4'!F192="-",'A-4'!F240="-"),"-",SUM('A-4'!F144,'A-4'!F192,'A-4'!F240))</f>
        <v>18173</v>
      </c>
      <c r="G143" s="142">
        <f>IF(AND('A-4'!G144="-",'A-4'!G192="-",'A-4'!G240="-"),"-",SUM('A-4'!G144,'A-4'!G192,'A-4'!G240))</f>
        <v>22923</v>
      </c>
      <c r="H143" s="142">
        <f>IF(AND('A-4'!H144="-",'A-4'!H192="-",'A-4'!H240="-"),"-",SUM('A-4'!H144,'A-4'!H192,'A-4'!H240))</f>
        <v>23219</v>
      </c>
      <c r="I143" s="142">
        <f>IF(AND('A-4'!I144="-",'A-4'!I192="-",'A-4'!I240="-"),"-",SUM('A-4'!I144,'A-4'!I192,'A-4'!I240))</f>
        <v>6925</v>
      </c>
      <c r="J143" s="142">
        <f>IF(AND('A-4'!J144="-",'A-4'!J192="-",'A-4'!J240="-"),"-",SUM('A-4'!J144,'A-4'!J192,'A-4'!J240))</f>
        <v>1821</v>
      </c>
      <c r="K143" s="142" t="str">
        <f>IF(AND('A-4'!K144="-",'A-4'!K192="-",'A-4'!K240="-"),"-",SUM('A-4'!K144,'A-4'!K192,'A-4'!K240))</f>
        <v>-</v>
      </c>
      <c r="L143" s="142">
        <f>IF(AND('A-4'!L144="-",'A-4'!L192="-",'A-4'!L240="-"),"-",SUM('A-4'!L144,'A-4'!L192,'A-4'!L240))</f>
        <v>95990</v>
      </c>
    </row>
    <row r="144" spans="1:12" ht="11.25" customHeight="1">
      <c r="A144" s="99" t="s">
        <v>350</v>
      </c>
      <c r="B144" s="142" t="str">
        <f>IF(AND('A-4'!B145="-",'A-4'!B193="-",'A-4'!B241="-"),"-",SUM('A-4'!B145,'A-4'!B193,'A-4'!B241))</f>
        <v>-</v>
      </c>
      <c r="C144" s="142" t="str">
        <f>IF(AND('A-4'!C145="-",'A-4'!C193="-",'A-4'!C241="-"),"-",SUM('A-4'!C145,'A-4'!C193,'A-4'!C241))</f>
        <v>-</v>
      </c>
      <c r="D144" s="142" t="str">
        <f>IF(AND('A-4'!D145="-",'A-4'!D193="-",'A-4'!D241="-"),"-",SUM('A-4'!D145,'A-4'!D193,'A-4'!D241))</f>
        <v>-</v>
      </c>
      <c r="E144" s="48" t="s">
        <v>106</v>
      </c>
      <c r="F144" s="48" t="s">
        <v>106</v>
      </c>
      <c r="G144" s="142">
        <f>IF(AND('A-4'!G145="-",'A-4'!G193="-",'A-4'!G241="-"),"-",SUM('A-4'!G145,'A-4'!G193,'A-4'!G241))</f>
        <v>25967</v>
      </c>
      <c r="H144" s="142">
        <f>IF(AND('A-4'!H145="-",'A-4'!H193="-",'A-4'!H241="-"),"-",SUM('A-4'!H145,'A-4'!H193,'A-4'!H241))</f>
        <v>16753</v>
      </c>
      <c r="I144" s="142">
        <f>IF(AND('A-4'!I145="-",'A-4'!I193="-",'A-4'!I241="-"),"-",SUM('A-4'!I145,'A-4'!I193,'A-4'!I241))</f>
        <v>7739</v>
      </c>
      <c r="J144" s="142">
        <f>IF(AND('A-4'!J145="-",'A-4'!J193="-",'A-4'!J241="-"),"-",SUM('A-4'!J145,'A-4'!J193,'A-4'!J241))</f>
        <v>4264</v>
      </c>
      <c r="K144" s="142">
        <f>IF(AND('A-4'!K145="-",'A-4'!K193="-",'A-4'!K241="-"),"-",SUM('A-4'!K145,'A-4'!K193,'A-4'!K241))</f>
        <v>147</v>
      </c>
      <c r="L144" s="142">
        <f>IF(AND('A-4'!L145="-",'A-4'!L193="-",'A-4'!L241="-"),"-",SUM('A-4'!L145,'A-4'!L193,'A-4'!L241))</f>
        <v>54870</v>
      </c>
    </row>
    <row r="145" spans="1:12" ht="11.25" customHeight="1">
      <c r="A145" s="99" t="s">
        <v>317</v>
      </c>
      <c r="B145" s="142" t="str">
        <f>IF(AND('A-4'!B146="-",'A-4'!B194="-",'A-4'!B242="-"),"-",SUM('A-4'!B146,'A-4'!B194,'A-4'!B242))</f>
        <v>-</v>
      </c>
      <c r="C145" s="142" t="str">
        <f>IF(AND('A-4'!C146="-",'A-4'!C194="-",'A-4'!C242="-"),"-",SUM('A-4'!C146,'A-4'!C194,'A-4'!C242))</f>
        <v>-</v>
      </c>
      <c r="D145" s="142">
        <f>IF(AND('A-4'!D146="-",'A-4'!D194="-",'A-4'!D242="-"),"-",SUM('A-4'!D146,'A-4'!D194,'A-4'!D242))</f>
        <v>12287</v>
      </c>
      <c r="E145" s="142">
        <f>IF(AND('A-4'!E146="-",'A-4'!E194="-",'A-4'!E242="-"),"-",SUM('A-4'!E146,'A-4'!E194,'A-4'!E242))</f>
        <v>8838</v>
      </c>
      <c r="F145" s="142">
        <f>IF(AND('A-4'!F146="-",'A-4'!F194="-",'A-4'!F242="-"),"-",SUM('A-4'!F146,'A-4'!F194,'A-4'!F242))</f>
        <v>10047</v>
      </c>
      <c r="G145" s="142">
        <f>IF(AND('A-4'!G146="-",'A-4'!G194="-",'A-4'!G242="-"),"-",SUM('A-4'!G146,'A-4'!G194,'A-4'!G242))</f>
        <v>27814</v>
      </c>
      <c r="H145" s="142">
        <f>IF(AND('A-4'!H146="-",'A-4'!H194="-",'A-4'!H242="-"),"-",SUM('A-4'!H146,'A-4'!H194,'A-4'!H242))</f>
        <v>16236</v>
      </c>
      <c r="I145" s="142">
        <f>IF(AND('A-4'!I146="-",'A-4'!I194="-",'A-4'!I242="-"),"-",SUM('A-4'!I146,'A-4'!I194,'A-4'!I242))</f>
        <v>8239</v>
      </c>
      <c r="J145" s="142">
        <f>IF(AND('A-4'!J146="-",'A-4'!J194="-",'A-4'!J242="-"),"-",SUM('A-4'!J146,'A-4'!J194,'A-4'!J242))</f>
        <v>2430</v>
      </c>
      <c r="K145" s="142" t="str">
        <f>IF(AND('A-4'!K146="-",'A-4'!K194="-",'A-4'!K242="-"),"-",SUM('A-4'!K146,'A-4'!K194,'A-4'!K242))</f>
        <v>-</v>
      </c>
      <c r="L145" s="142">
        <f>IF(AND('A-4'!L146="-",'A-4'!L194="-",'A-4'!L242="-"),"-",SUM('A-4'!L146,'A-4'!L194,'A-4'!L242))</f>
        <v>85891</v>
      </c>
    </row>
    <row r="146" spans="1:12" ht="11.25" customHeight="1"/>
    <row r="147" spans="1:12" ht="11.25" customHeight="1">
      <c r="A147" s="94" t="s">
        <v>77</v>
      </c>
    </row>
    <row r="148" spans="1:12" ht="11.25" customHeight="1">
      <c r="A148" s="99">
        <v>1976</v>
      </c>
      <c r="B148" s="142">
        <f>IF(AND(B100="-",B52="-",B4="-"),"-",SUM(B100,B52,B4))</f>
        <v>8194</v>
      </c>
      <c r="C148" s="142">
        <f t="shared" ref="C148:L148" si="3">IF(AND(C100="-",C52="-",C4="-"),"-",SUM(C100,C52,C4))</f>
        <v>7412</v>
      </c>
      <c r="D148" s="142">
        <f t="shared" si="3"/>
        <v>7916</v>
      </c>
      <c r="E148" s="142">
        <f t="shared" si="3"/>
        <v>29401</v>
      </c>
      <c r="F148" s="142">
        <f t="shared" si="3"/>
        <v>94754</v>
      </c>
      <c r="G148" s="142">
        <f t="shared" si="3"/>
        <v>191282</v>
      </c>
      <c r="H148" s="142">
        <f t="shared" si="3"/>
        <v>205416</v>
      </c>
      <c r="I148" s="142">
        <f t="shared" si="3"/>
        <v>56765</v>
      </c>
      <c r="J148" s="142">
        <f t="shared" si="3"/>
        <v>17814</v>
      </c>
      <c r="K148" s="142">
        <f t="shared" si="3"/>
        <v>4246</v>
      </c>
      <c r="L148" s="142">
        <f t="shared" si="3"/>
        <v>623200</v>
      </c>
    </row>
    <row r="149" spans="1:12" ht="11.25" customHeight="1">
      <c r="A149" s="99">
        <v>1977</v>
      </c>
      <c r="B149" s="142">
        <f t="shared" ref="B149:L149" si="4">IF(AND(B101="-",B53="-",B5="-"),"-",SUM(B101,B53,B5))</f>
        <v>9832</v>
      </c>
      <c r="C149" s="142">
        <f t="shared" si="4"/>
        <v>9729</v>
      </c>
      <c r="D149" s="142">
        <f t="shared" si="4"/>
        <v>13632</v>
      </c>
      <c r="E149" s="142">
        <f t="shared" si="4"/>
        <v>28405</v>
      </c>
      <c r="F149" s="142">
        <f t="shared" si="4"/>
        <v>57168</v>
      </c>
      <c r="G149" s="142">
        <f t="shared" si="4"/>
        <v>166399</v>
      </c>
      <c r="H149" s="142">
        <f t="shared" si="4"/>
        <v>139499</v>
      </c>
      <c r="I149" s="142">
        <f t="shared" si="4"/>
        <v>48816</v>
      </c>
      <c r="J149" s="142">
        <f t="shared" si="4"/>
        <v>19153</v>
      </c>
      <c r="K149" s="142">
        <f t="shared" si="4"/>
        <v>4154</v>
      </c>
      <c r="L149" s="142">
        <f t="shared" si="4"/>
        <v>496787</v>
      </c>
    </row>
    <row r="150" spans="1:12" ht="11.25" customHeight="1">
      <c r="A150" s="99">
        <v>1978</v>
      </c>
      <c r="B150" s="142">
        <f t="shared" ref="B150:L150" si="5">IF(AND(B102="-",B54="-",B6="-"),"-",SUM(B102,B54,B6))</f>
        <v>19152</v>
      </c>
      <c r="C150" s="142">
        <f t="shared" si="5"/>
        <v>13387</v>
      </c>
      <c r="D150" s="142">
        <f t="shared" si="5"/>
        <v>2914</v>
      </c>
      <c r="E150" s="142">
        <f t="shared" si="5"/>
        <v>13683</v>
      </c>
      <c r="F150" s="142">
        <f t="shared" si="5"/>
        <v>84245</v>
      </c>
      <c r="G150" s="142">
        <f t="shared" si="5"/>
        <v>167158</v>
      </c>
      <c r="H150" s="142">
        <f t="shared" si="5"/>
        <v>117914</v>
      </c>
      <c r="I150" s="142">
        <f t="shared" si="5"/>
        <v>44033</v>
      </c>
      <c r="J150" s="142">
        <f t="shared" si="5"/>
        <v>21218</v>
      </c>
      <c r="K150" s="142">
        <f t="shared" si="5"/>
        <v>7355</v>
      </c>
      <c r="L150" s="142">
        <f t="shared" si="5"/>
        <v>491059</v>
      </c>
    </row>
    <row r="151" spans="1:12" ht="11.25" customHeight="1">
      <c r="A151" s="99">
        <v>1979</v>
      </c>
      <c r="B151" s="142">
        <f t="shared" ref="B151:L151" si="6">IF(AND(B103="-",B55="-",B7="-"),"-",SUM(B103,B55,B7))</f>
        <v>8685</v>
      </c>
      <c r="C151" s="142">
        <f t="shared" si="6"/>
        <v>14396</v>
      </c>
      <c r="D151" s="142">
        <f t="shared" si="6"/>
        <v>11656</v>
      </c>
      <c r="E151" s="142">
        <f t="shared" si="6"/>
        <v>16860</v>
      </c>
      <c r="F151" s="142">
        <f t="shared" si="6"/>
        <v>61323</v>
      </c>
      <c r="G151" s="142">
        <f t="shared" si="6"/>
        <v>150665</v>
      </c>
      <c r="H151" s="142">
        <f t="shared" si="6"/>
        <v>117190</v>
      </c>
      <c r="I151" s="142">
        <f t="shared" si="6"/>
        <v>19531</v>
      </c>
      <c r="J151" s="142">
        <f t="shared" si="6"/>
        <v>10555</v>
      </c>
      <c r="K151" s="142">
        <f t="shared" si="6"/>
        <v>935</v>
      </c>
      <c r="L151" s="142">
        <f t="shared" si="6"/>
        <v>411796</v>
      </c>
    </row>
    <row r="152" spans="1:12" ht="11.25" customHeight="1">
      <c r="A152" s="99">
        <v>1980</v>
      </c>
      <c r="B152" s="142">
        <f t="shared" ref="B152:L152" si="7">IF(AND(B104="-",B56="-",B8="-"),"-",SUM(B104,B56,B8))</f>
        <v>3464</v>
      </c>
      <c r="C152" s="142">
        <f t="shared" si="7"/>
        <v>17417</v>
      </c>
      <c r="D152" s="142">
        <f t="shared" si="7"/>
        <v>10048</v>
      </c>
      <c r="E152" s="142">
        <f t="shared" si="7"/>
        <v>14454</v>
      </c>
      <c r="F152" s="142">
        <f t="shared" si="7"/>
        <v>93346</v>
      </c>
      <c r="G152" s="142">
        <f t="shared" si="7"/>
        <v>171200</v>
      </c>
      <c r="H152" s="142">
        <f t="shared" si="7"/>
        <v>86584</v>
      </c>
      <c r="I152" s="142">
        <f t="shared" si="7"/>
        <v>26625</v>
      </c>
      <c r="J152" s="142">
        <f t="shared" si="7"/>
        <v>5935</v>
      </c>
      <c r="K152" s="142">
        <f t="shared" si="7"/>
        <v>412</v>
      </c>
      <c r="L152" s="142">
        <f t="shared" si="7"/>
        <v>429485</v>
      </c>
    </row>
    <row r="153" spans="1:12" ht="11.25" customHeight="1">
      <c r="A153" s="99">
        <v>1981</v>
      </c>
      <c r="B153" s="142">
        <f t="shared" ref="B153:L153" si="8">IF(AND(B105="-",B57="-",B9="-"),"-",SUM(B105,B57,B9))</f>
        <v>5159</v>
      </c>
      <c r="C153" s="142">
        <f t="shared" si="8"/>
        <v>5954</v>
      </c>
      <c r="D153" s="142">
        <f t="shared" si="8"/>
        <v>10609</v>
      </c>
      <c r="E153" s="142">
        <f t="shared" si="8"/>
        <v>18168</v>
      </c>
      <c r="F153" s="142">
        <f t="shared" si="8"/>
        <v>59238</v>
      </c>
      <c r="G153" s="142">
        <f t="shared" si="8"/>
        <v>132830</v>
      </c>
      <c r="H153" s="142">
        <f t="shared" si="8"/>
        <v>115944</v>
      </c>
      <c r="I153" s="142">
        <f t="shared" si="8"/>
        <v>30409</v>
      </c>
      <c r="J153" s="142">
        <f t="shared" si="8"/>
        <v>8001</v>
      </c>
      <c r="K153" s="142">
        <f t="shared" si="8"/>
        <v>1973</v>
      </c>
      <c r="L153" s="142">
        <f t="shared" si="8"/>
        <v>388285</v>
      </c>
    </row>
    <row r="154" spans="1:12" ht="11.25" customHeight="1">
      <c r="A154" s="99">
        <v>1982</v>
      </c>
      <c r="B154" s="142">
        <f t="shared" ref="B154:L154" si="9">IF(AND(B106="-",B58="-",B10="-"),"-",SUM(B106,B58,B10))</f>
        <v>7355</v>
      </c>
      <c r="C154" s="142">
        <f t="shared" si="9"/>
        <v>12371</v>
      </c>
      <c r="D154" s="142">
        <f t="shared" si="9"/>
        <v>8257</v>
      </c>
      <c r="E154" s="142">
        <f t="shared" si="9"/>
        <v>10600</v>
      </c>
      <c r="F154" s="142">
        <f t="shared" si="9"/>
        <v>51551</v>
      </c>
      <c r="G154" s="142">
        <f t="shared" si="9"/>
        <v>201669</v>
      </c>
      <c r="H154" s="142">
        <f t="shared" si="9"/>
        <v>46222</v>
      </c>
      <c r="I154" s="142">
        <f t="shared" si="9"/>
        <v>16926</v>
      </c>
      <c r="J154" s="142">
        <f t="shared" si="9"/>
        <v>12150</v>
      </c>
      <c r="K154" s="142">
        <f t="shared" si="9"/>
        <v>2953</v>
      </c>
      <c r="L154" s="142">
        <f t="shared" si="9"/>
        <v>370054</v>
      </c>
    </row>
    <row r="155" spans="1:12" ht="11.25" customHeight="1">
      <c r="A155" s="99">
        <v>1983</v>
      </c>
      <c r="B155" s="142">
        <f t="shared" ref="B155:L155" si="10">IF(AND(B107="-",B59="-",B11="-"),"-",SUM(B107,B59,B11))</f>
        <v>2091</v>
      </c>
      <c r="C155" s="142">
        <f t="shared" si="10"/>
        <v>2354</v>
      </c>
      <c r="D155" s="142">
        <f t="shared" si="10"/>
        <v>6579</v>
      </c>
      <c r="E155" s="142">
        <f t="shared" si="10"/>
        <v>11235</v>
      </c>
      <c r="F155" s="142">
        <f t="shared" si="10"/>
        <v>52006</v>
      </c>
      <c r="G155" s="142">
        <f t="shared" si="10"/>
        <v>137623</v>
      </c>
      <c r="H155" s="142">
        <f t="shared" si="10"/>
        <v>64727</v>
      </c>
      <c r="I155" s="142">
        <f t="shared" si="10"/>
        <v>30619</v>
      </c>
      <c r="J155" s="142">
        <f t="shared" si="10"/>
        <v>10413</v>
      </c>
      <c r="K155" s="142">
        <f t="shared" si="10"/>
        <v>199</v>
      </c>
      <c r="L155" s="142">
        <f t="shared" si="10"/>
        <v>317846</v>
      </c>
    </row>
    <row r="156" spans="1:12" ht="11.25" customHeight="1">
      <c r="A156" s="99">
        <v>1984</v>
      </c>
      <c r="B156" s="142">
        <f t="shared" ref="B156:L156" si="11">IF(AND(B108="-",B60="-",B12="-"),"-",SUM(B108,B60,B12))</f>
        <v>1916</v>
      </c>
      <c r="C156" s="142">
        <f t="shared" si="11"/>
        <v>2166</v>
      </c>
      <c r="D156" s="142">
        <f t="shared" si="11"/>
        <v>6475</v>
      </c>
      <c r="E156" s="142">
        <f t="shared" si="11"/>
        <v>9385</v>
      </c>
      <c r="F156" s="142">
        <f t="shared" si="11"/>
        <v>15419</v>
      </c>
      <c r="G156" s="142">
        <f t="shared" si="11"/>
        <v>122592</v>
      </c>
      <c r="H156" s="142">
        <f t="shared" si="11"/>
        <v>91468</v>
      </c>
      <c r="I156" s="142">
        <f t="shared" si="11"/>
        <v>14965</v>
      </c>
      <c r="J156" s="142">
        <f t="shared" si="11"/>
        <v>6560</v>
      </c>
      <c r="K156" s="142">
        <f t="shared" si="11"/>
        <v>772</v>
      </c>
      <c r="L156" s="142">
        <f t="shared" si="11"/>
        <v>271718</v>
      </c>
    </row>
    <row r="157" spans="1:12" ht="11.25" customHeight="1">
      <c r="A157" s="99">
        <v>1985</v>
      </c>
      <c r="B157" s="142">
        <f t="shared" ref="B157:L157" si="12">IF(AND(B109="-",B61="-",B13="-"),"-",SUM(B109,B61,B13))</f>
        <v>9012</v>
      </c>
      <c r="C157" s="142">
        <f t="shared" si="12"/>
        <v>16882</v>
      </c>
      <c r="D157" s="142">
        <f t="shared" si="12"/>
        <v>11939</v>
      </c>
      <c r="E157" s="142">
        <f t="shared" si="12"/>
        <v>23065</v>
      </c>
      <c r="F157" s="142">
        <f t="shared" si="12"/>
        <v>33553</v>
      </c>
      <c r="G157" s="142">
        <f t="shared" si="12"/>
        <v>151561</v>
      </c>
      <c r="H157" s="142">
        <f t="shared" si="12"/>
        <v>146197</v>
      </c>
      <c r="I157" s="142">
        <f t="shared" si="12"/>
        <v>19526</v>
      </c>
      <c r="J157" s="142">
        <f t="shared" si="12"/>
        <v>9800</v>
      </c>
      <c r="K157" s="142">
        <f t="shared" si="12"/>
        <v>1924</v>
      </c>
      <c r="L157" s="142">
        <f t="shared" si="12"/>
        <v>423459</v>
      </c>
    </row>
    <row r="158" spans="1:12" ht="11.25" customHeight="1">
      <c r="A158" s="99">
        <v>1986</v>
      </c>
      <c r="B158" s="142">
        <f t="shared" ref="B158:L158" si="13">IF(AND(B110="-",B62="-",B14="-"),"-",SUM(B110,B62,B14))</f>
        <v>2129</v>
      </c>
      <c r="C158" s="142">
        <f t="shared" si="13"/>
        <v>13939</v>
      </c>
      <c r="D158" s="142">
        <f t="shared" si="13"/>
        <v>18354</v>
      </c>
      <c r="E158" s="142">
        <f t="shared" si="13"/>
        <v>20707</v>
      </c>
      <c r="F158" s="142">
        <f t="shared" si="13"/>
        <v>58465</v>
      </c>
      <c r="G158" s="142">
        <f t="shared" si="13"/>
        <v>163767</v>
      </c>
      <c r="H158" s="142">
        <f t="shared" si="13"/>
        <v>65169</v>
      </c>
      <c r="I158" s="142">
        <f t="shared" si="13"/>
        <v>8785</v>
      </c>
      <c r="J158" s="142">
        <f t="shared" si="13"/>
        <v>9827</v>
      </c>
      <c r="K158" s="142">
        <f t="shared" si="13"/>
        <v>885</v>
      </c>
      <c r="L158" s="142">
        <f t="shared" si="13"/>
        <v>362027</v>
      </c>
    </row>
    <row r="159" spans="1:12" ht="11.25" customHeight="1">
      <c r="A159" s="99">
        <v>1987</v>
      </c>
      <c r="B159" s="142">
        <f t="shared" ref="B159:L159" si="14">IF(AND(B111="-",B63="-",B15="-"),"-",SUM(B111,B63,B15))</f>
        <v>8638</v>
      </c>
      <c r="C159" s="142">
        <f t="shared" si="14"/>
        <v>18933</v>
      </c>
      <c r="D159" s="142">
        <f t="shared" si="14"/>
        <v>17577</v>
      </c>
      <c r="E159" s="142">
        <f t="shared" si="14"/>
        <v>19561</v>
      </c>
      <c r="F159" s="142">
        <f t="shared" si="14"/>
        <v>61965</v>
      </c>
      <c r="G159" s="142">
        <f t="shared" si="14"/>
        <v>205930</v>
      </c>
      <c r="H159" s="142">
        <f t="shared" si="14"/>
        <v>114389</v>
      </c>
      <c r="I159" s="142">
        <f t="shared" si="14"/>
        <v>45180</v>
      </c>
      <c r="J159" s="142">
        <f t="shared" si="14"/>
        <v>12382</v>
      </c>
      <c r="K159" s="142">
        <f t="shared" si="14"/>
        <v>1662</v>
      </c>
      <c r="L159" s="142">
        <f t="shared" si="14"/>
        <v>506217</v>
      </c>
    </row>
    <row r="160" spans="1:12" ht="11.25" customHeight="1">
      <c r="A160" s="99">
        <v>1988</v>
      </c>
      <c r="B160" s="142">
        <f t="shared" ref="B160:L160" si="15">IF(AND(B112="-",B64="-",B16="-"),"-",SUM(B112,B64,B16))</f>
        <v>10596</v>
      </c>
      <c r="C160" s="142">
        <f t="shared" si="15"/>
        <v>16108</v>
      </c>
      <c r="D160" s="142">
        <f t="shared" si="15"/>
        <v>18934</v>
      </c>
      <c r="E160" s="142">
        <f t="shared" si="15"/>
        <v>27245</v>
      </c>
      <c r="F160" s="142">
        <f t="shared" si="15"/>
        <v>80760</v>
      </c>
      <c r="G160" s="142">
        <f t="shared" si="15"/>
        <v>181873</v>
      </c>
      <c r="H160" s="142">
        <f t="shared" si="15"/>
        <v>113753</v>
      </c>
      <c r="I160" s="142">
        <f t="shared" si="15"/>
        <v>34167</v>
      </c>
      <c r="J160" s="142">
        <f t="shared" si="15"/>
        <v>3826</v>
      </c>
      <c r="K160" s="142">
        <f t="shared" si="15"/>
        <v>42</v>
      </c>
      <c r="L160" s="142">
        <f t="shared" si="15"/>
        <v>487304</v>
      </c>
    </row>
    <row r="161" spans="1:12" ht="11.25" customHeight="1">
      <c r="A161" s="99">
        <v>1989</v>
      </c>
      <c r="B161" s="142">
        <f t="shared" ref="B161:L161" si="16">IF(AND(B113="-",B65="-",B17="-"),"-",SUM(B113,B65,B17))</f>
        <v>9830</v>
      </c>
      <c r="C161" s="142">
        <f t="shared" si="16"/>
        <v>15912</v>
      </c>
      <c r="D161" s="142">
        <f t="shared" si="16"/>
        <v>35010</v>
      </c>
      <c r="E161" s="142">
        <f t="shared" si="16"/>
        <v>22795</v>
      </c>
      <c r="F161" s="142">
        <f t="shared" si="16"/>
        <v>93616</v>
      </c>
      <c r="G161" s="142">
        <f t="shared" si="16"/>
        <v>183755</v>
      </c>
      <c r="H161" s="142">
        <f t="shared" si="16"/>
        <v>106672</v>
      </c>
      <c r="I161" s="142">
        <f t="shared" si="16"/>
        <v>18219</v>
      </c>
      <c r="J161" s="142">
        <f t="shared" si="16"/>
        <v>4046</v>
      </c>
      <c r="K161" s="142">
        <f t="shared" si="16"/>
        <v>1870</v>
      </c>
      <c r="L161" s="142">
        <f t="shared" si="16"/>
        <v>491725</v>
      </c>
    </row>
    <row r="162" spans="1:12" ht="11.25" customHeight="1">
      <c r="A162" s="99">
        <v>1990</v>
      </c>
      <c r="B162" s="142">
        <f t="shared" ref="B162:L162" si="17">IF(AND(B114="-",B66="-",B18="-"),"-",SUM(B114,B66,B18))</f>
        <v>10169</v>
      </c>
      <c r="C162" s="142">
        <f t="shared" si="17"/>
        <v>20580</v>
      </c>
      <c r="D162" s="142">
        <f t="shared" si="17"/>
        <v>30293</v>
      </c>
      <c r="E162" s="142">
        <f t="shared" si="17"/>
        <v>13519</v>
      </c>
      <c r="F162" s="142">
        <f t="shared" si="17"/>
        <v>84043</v>
      </c>
      <c r="G162" s="142">
        <f t="shared" si="17"/>
        <v>171934</v>
      </c>
      <c r="H162" s="142">
        <f t="shared" si="17"/>
        <v>104967</v>
      </c>
      <c r="I162" s="142">
        <f t="shared" si="17"/>
        <v>29183</v>
      </c>
      <c r="J162" s="142">
        <f t="shared" si="17"/>
        <v>5123</v>
      </c>
      <c r="K162" s="142">
        <f t="shared" si="17"/>
        <v>3355</v>
      </c>
      <c r="L162" s="142">
        <f t="shared" si="17"/>
        <v>473166</v>
      </c>
    </row>
    <row r="163" spans="1:12" ht="11.25" customHeight="1">
      <c r="A163" s="99">
        <v>1991</v>
      </c>
      <c r="B163" s="142">
        <f t="shared" ref="B163:L163" si="18">IF(AND(B115="-",B67="-",B19="-"),"-",SUM(B115,B67,B19))</f>
        <v>55</v>
      </c>
      <c r="C163" s="142">
        <f t="shared" si="18"/>
        <v>12216</v>
      </c>
      <c r="D163" s="142">
        <f t="shared" si="18"/>
        <v>18217</v>
      </c>
      <c r="E163" s="142">
        <f t="shared" si="18"/>
        <v>15399</v>
      </c>
      <c r="F163" s="142">
        <f t="shared" si="18"/>
        <v>94290</v>
      </c>
      <c r="G163" s="142">
        <f t="shared" si="18"/>
        <v>185645</v>
      </c>
      <c r="H163" s="142">
        <f t="shared" si="18"/>
        <v>22601</v>
      </c>
      <c r="I163" s="142">
        <f t="shared" si="18"/>
        <v>12099</v>
      </c>
      <c r="J163" s="142">
        <f t="shared" si="18"/>
        <v>4454</v>
      </c>
      <c r="K163" s="142">
        <f t="shared" si="18"/>
        <v>58</v>
      </c>
      <c r="L163" s="142">
        <f t="shared" si="18"/>
        <v>365034</v>
      </c>
    </row>
    <row r="164" spans="1:12" ht="11.25" customHeight="1">
      <c r="A164" s="99">
        <v>1992</v>
      </c>
      <c r="B164" s="142">
        <f t="shared" ref="B164:L164" si="19">IF(AND(B116="-",B68="-",B20="-"),"-",SUM(B116,B68,B20))</f>
        <v>2006</v>
      </c>
      <c r="C164" s="142">
        <f t="shared" si="19"/>
        <v>9713</v>
      </c>
      <c r="D164" s="142">
        <f t="shared" si="19"/>
        <v>9877</v>
      </c>
      <c r="E164" s="142">
        <f t="shared" si="19"/>
        <v>15235</v>
      </c>
      <c r="F164" s="142">
        <f t="shared" si="19"/>
        <v>33557</v>
      </c>
      <c r="G164" s="142">
        <f t="shared" si="19"/>
        <v>119012</v>
      </c>
      <c r="H164" s="142">
        <f t="shared" si="19"/>
        <v>49509</v>
      </c>
      <c r="I164" s="142">
        <f t="shared" si="19"/>
        <v>30880</v>
      </c>
      <c r="J164" s="142">
        <f t="shared" si="19"/>
        <v>9621</v>
      </c>
      <c r="K164" s="142">
        <f t="shared" si="19"/>
        <v>849</v>
      </c>
      <c r="L164" s="142">
        <f t="shared" si="19"/>
        <v>280259</v>
      </c>
    </row>
    <row r="165" spans="1:12" ht="11.25" customHeight="1">
      <c r="A165" s="99">
        <v>1993</v>
      </c>
      <c r="B165" s="142">
        <f t="shared" ref="B165:L165" si="20">IF(AND(B117="-",B69="-",B21="-"),"-",SUM(B117,B69,B21))</f>
        <v>879</v>
      </c>
      <c r="C165" s="142">
        <f t="shared" si="20"/>
        <v>15036</v>
      </c>
      <c r="D165" s="142">
        <f t="shared" si="20"/>
        <v>17597</v>
      </c>
      <c r="E165" s="142">
        <f t="shared" si="20"/>
        <v>20910</v>
      </c>
      <c r="F165" s="142">
        <f t="shared" si="20"/>
        <v>21482</v>
      </c>
      <c r="G165" s="142">
        <f t="shared" si="20"/>
        <v>86224</v>
      </c>
      <c r="H165" s="142">
        <f t="shared" si="20"/>
        <v>55608</v>
      </c>
      <c r="I165" s="142">
        <f t="shared" si="20"/>
        <v>14203</v>
      </c>
      <c r="J165" s="142">
        <f t="shared" si="20"/>
        <v>4744</v>
      </c>
      <c r="K165" s="48" t="s">
        <v>106</v>
      </c>
      <c r="L165" s="142">
        <f t="shared" si="20"/>
        <v>236683</v>
      </c>
    </row>
    <row r="166" spans="1:12" ht="11.25" customHeight="1">
      <c r="A166" s="99">
        <v>1994</v>
      </c>
      <c r="B166" s="142">
        <f t="shared" ref="B166:L166" si="21">IF(AND(B118="-",B70="-",B22="-"),"-",SUM(B118,B70,B22))</f>
        <v>3013</v>
      </c>
      <c r="C166" s="142">
        <f t="shared" si="21"/>
        <v>15387</v>
      </c>
      <c r="D166" s="142">
        <f t="shared" si="21"/>
        <v>19540</v>
      </c>
      <c r="E166" s="142">
        <f t="shared" si="21"/>
        <v>32605</v>
      </c>
      <c r="F166" s="142">
        <f t="shared" si="21"/>
        <v>40366</v>
      </c>
      <c r="G166" s="142">
        <f t="shared" si="21"/>
        <v>44976</v>
      </c>
      <c r="H166" s="142">
        <f t="shared" si="21"/>
        <v>32381</v>
      </c>
      <c r="I166" s="142">
        <f t="shared" si="21"/>
        <v>17898</v>
      </c>
      <c r="J166" s="142">
        <f t="shared" si="21"/>
        <v>22819</v>
      </c>
      <c r="K166" s="142">
        <f t="shared" si="21"/>
        <v>3</v>
      </c>
      <c r="L166" s="142">
        <f t="shared" si="21"/>
        <v>228988</v>
      </c>
    </row>
    <row r="167" spans="1:12" ht="11.25" customHeight="1">
      <c r="A167" s="99">
        <v>1995</v>
      </c>
      <c r="B167" s="142">
        <f t="shared" ref="B167:L167" si="22">IF(AND(B119="-",B71="-",B23="-"),"-",SUM(B119,B71,B23))</f>
        <v>360</v>
      </c>
      <c r="C167" s="142">
        <f t="shared" si="22"/>
        <v>22917</v>
      </c>
      <c r="D167" s="142">
        <f t="shared" si="22"/>
        <v>50164</v>
      </c>
      <c r="E167" s="142">
        <f t="shared" si="22"/>
        <v>62722</v>
      </c>
      <c r="F167" s="142">
        <f t="shared" si="22"/>
        <v>81091</v>
      </c>
      <c r="G167" s="142">
        <f t="shared" si="22"/>
        <v>97536</v>
      </c>
      <c r="H167" s="142">
        <f t="shared" si="22"/>
        <v>48965</v>
      </c>
      <c r="I167" s="142">
        <f t="shared" si="22"/>
        <v>29406</v>
      </c>
      <c r="J167" s="142">
        <f t="shared" si="22"/>
        <v>9467</v>
      </c>
      <c r="K167" s="142">
        <f t="shared" si="22"/>
        <v>788</v>
      </c>
      <c r="L167" s="142">
        <f t="shared" si="22"/>
        <v>403416</v>
      </c>
    </row>
    <row r="168" spans="1:12" ht="11.25" customHeight="1">
      <c r="A168" s="99">
        <v>1996</v>
      </c>
      <c r="B168" s="142">
        <f t="shared" ref="B168:L168" si="23">IF(AND(B120="-",B72="-",B24="-"),"-",SUM(B120,B72,B24))</f>
        <v>49</v>
      </c>
      <c r="C168" s="142">
        <f t="shared" si="23"/>
        <v>35215</v>
      </c>
      <c r="D168" s="142">
        <f t="shared" si="23"/>
        <v>30349</v>
      </c>
      <c r="E168" s="142">
        <f t="shared" si="23"/>
        <v>28144</v>
      </c>
      <c r="F168" s="142">
        <f t="shared" si="23"/>
        <v>50081</v>
      </c>
      <c r="G168" s="142">
        <f t="shared" si="23"/>
        <v>49604</v>
      </c>
      <c r="H168" s="142">
        <f t="shared" si="23"/>
        <v>41097</v>
      </c>
      <c r="I168" s="142">
        <f t="shared" si="23"/>
        <v>18416</v>
      </c>
      <c r="J168" s="142">
        <f t="shared" si="23"/>
        <v>10678</v>
      </c>
      <c r="K168" s="48" t="s">
        <v>106</v>
      </c>
      <c r="L168" s="142">
        <f t="shared" si="23"/>
        <v>263633</v>
      </c>
    </row>
    <row r="169" spans="1:12" ht="11.25" customHeight="1">
      <c r="A169" s="99">
        <v>1997</v>
      </c>
      <c r="B169" s="48" t="s">
        <v>106</v>
      </c>
      <c r="C169" s="142">
        <f t="shared" ref="C169:L169" si="24">IF(AND(C121="-",C73="-",C25="-"),"-",SUM(C121,C73,C25))</f>
        <v>21546</v>
      </c>
      <c r="D169" s="142">
        <f t="shared" si="24"/>
        <v>29740</v>
      </c>
      <c r="E169" s="142">
        <f t="shared" si="24"/>
        <v>36185</v>
      </c>
      <c r="F169" s="142">
        <f t="shared" si="24"/>
        <v>48473</v>
      </c>
      <c r="G169" s="142">
        <f t="shared" si="24"/>
        <v>63988</v>
      </c>
      <c r="H169" s="142">
        <f t="shared" si="24"/>
        <v>44795</v>
      </c>
      <c r="I169" s="142">
        <f t="shared" si="24"/>
        <v>9654</v>
      </c>
      <c r="J169" s="142">
        <f t="shared" si="24"/>
        <v>6154</v>
      </c>
      <c r="K169" s="142">
        <f t="shared" si="24"/>
        <v>380</v>
      </c>
      <c r="L169" s="142">
        <f t="shared" si="24"/>
        <v>260915</v>
      </c>
    </row>
    <row r="170" spans="1:12" ht="11.25" customHeight="1">
      <c r="A170" s="99">
        <v>1998</v>
      </c>
      <c r="B170" s="48" t="s">
        <v>106</v>
      </c>
      <c r="C170" s="142">
        <f t="shared" ref="C170:L170" si="25">IF(AND(C122="-",C74="-",C26="-"),"-",SUM(C122,C74,C26))</f>
        <v>6225</v>
      </c>
      <c r="D170" s="142">
        <f t="shared" si="25"/>
        <v>17692</v>
      </c>
      <c r="E170" s="142">
        <f t="shared" si="25"/>
        <v>22703</v>
      </c>
      <c r="F170" s="142">
        <f t="shared" si="25"/>
        <v>33931</v>
      </c>
      <c r="G170" s="142">
        <f t="shared" si="25"/>
        <v>36678</v>
      </c>
      <c r="H170" s="142">
        <f t="shared" si="25"/>
        <v>35864</v>
      </c>
      <c r="I170" s="142">
        <f t="shared" si="25"/>
        <v>13424</v>
      </c>
      <c r="J170" s="142">
        <f t="shared" si="25"/>
        <v>9147</v>
      </c>
      <c r="K170" s="48" t="s">
        <v>106</v>
      </c>
      <c r="L170" s="142">
        <f t="shared" si="25"/>
        <v>175664</v>
      </c>
    </row>
    <row r="171" spans="1:12" ht="11.25" customHeight="1">
      <c r="A171" s="99">
        <v>1999</v>
      </c>
      <c r="B171" s="142">
        <f t="shared" ref="B171:L171" si="26">IF(AND(B123="-",B75="-",B27="-"),"-",SUM(B123,B75,B27))</f>
        <v>14</v>
      </c>
      <c r="C171" s="142">
        <f t="shared" si="26"/>
        <v>8721</v>
      </c>
      <c r="D171" s="142">
        <f t="shared" si="26"/>
        <v>11797</v>
      </c>
      <c r="E171" s="142">
        <f t="shared" si="26"/>
        <v>7406</v>
      </c>
      <c r="F171" s="142">
        <f t="shared" si="26"/>
        <v>29474</v>
      </c>
      <c r="G171" s="142">
        <f t="shared" si="26"/>
        <v>62264</v>
      </c>
      <c r="H171" s="142">
        <f t="shared" si="26"/>
        <v>40896</v>
      </c>
      <c r="I171" s="142">
        <f t="shared" si="26"/>
        <v>17147</v>
      </c>
      <c r="J171" s="142">
        <f t="shared" si="26"/>
        <v>11234</v>
      </c>
      <c r="K171" s="142">
        <f t="shared" si="26"/>
        <v>104</v>
      </c>
      <c r="L171" s="142">
        <f t="shared" si="26"/>
        <v>189057</v>
      </c>
    </row>
    <row r="172" spans="1:12" ht="11.25" customHeight="1">
      <c r="A172" s="99">
        <v>2000</v>
      </c>
      <c r="B172" s="48" t="s">
        <v>106</v>
      </c>
      <c r="C172" s="142">
        <f t="shared" ref="C172:L172" si="27">IF(AND(C124="-",C76="-",C28="-"),"-",SUM(C124,C76,C28))</f>
        <v>0</v>
      </c>
      <c r="D172" s="142">
        <f t="shared" si="27"/>
        <v>36714</v>
      </c>
      <c r="E172" s="142">
        <f t="shared" si="27"/>
        <v>34376</v>
      </c>
      <c r="F172" s="142">
        <f t="shared" si="27"/>
        <v>46142</v>
      </c>
      <c r="G172" s="142">
        <f t="shared" si="27"/>
        <v>77501</v>
      </c>
      <c r="H172" s="142">
        <f t="shared" si="27"/>
        <v>53432</v>
      </c>
      <c r="I172" s="142">
        <f t="shared" si="27"/>
        <v>22641</v>
      </c>
      <c r="J172" s="142">
        <f t="shared" si="27"/>
        <v>12003</v>
      </c>
      <c r="K172" s="142">
        <f t="shared" si="27"/>
        <v>1686</v>
      </c>
      <c r="L172" s="142">
        <f t="shared" si="27"/>
        <v>284495</v>
      </c>
    </row>
    <row r="173" spans="1:12" ht="11.25" customHeight="1">
      <c r="A173" s="99">
        <v>2001</v>
      </c>
      <c r="B173" s="142">
        <f t="shared" ref="B173:L173" si="28">IF(AND(B125="-",B77="-",B29="-"),"-",SUM(B125,B77,B29))</f>
        <v>0</v>
      </c>
      <c r="C173" s="142">
        <f t="shared" si="28"/>
        <v>1573</v>
      </c>
      <c r="D173" s="142">
        <f t="shared" si="28"/>
        <v>26353</v>
      </c>
      <c r="E173" s="142">
        <f t="shared" si="28"/>
        <v>30905</v>
      </c>
      <c r="F173" s="142">
        <f t="shared" si="28"/>
        <v>43376</v>
      </c>
      <c r="G173" s="142">
        <f t="shared" si="28"/>
        <v>78022</v>
      </c>
      <c r="H173" s="142">
        <f t="shared" si="28"/>
        <v>47847</v>
      </c>
      <c r="I173" s="142">
        <f t="shared" si="28"/>
        <v>18849</v>
      </c>
      <c r="J173" s="142">
        <f t="shared" si="28"/>
        <v>12675</v>
      </c>
      <c r="K173" s="142">
        <f t="shared" si="28"/>
        <v>2755</v>
      </c>
      <c r="L173" s="142">
        <f t="shared" si="28"/>
        <v>262355</v>
      </c>
    </row>
    <row r="174" spans="1:12" ht="11.25" customHeight="1">
      <c r="A174" s="99">
        <v>2002</v>
      </c>
      <c r="B174" s="142">
        <f t="shared" ref="B174:L174" si="29">IF(AND(B126="-",B78="-",B30="-"),"-",SUM(B126,B78,B30))</f>
        <v>194</v>
      </c>
      <c r="C174" s="142">
        <f t="shared" si="29"/>
        <v>3760</v>
      </c>
      <c r="D174" s="142">
        <f t="shared" si="29"/>
        <v>40752</v>
      </c>
      <c r="E174" s="142">
        <f t="shared" si="29"/>
        <v>33823</v>
      </c>
      <c r="F174" s="142">
        <f t="shared" si="29"/>
        <v>46764</v>
      </c>
      <c r="G174" s="142">
        <f t="shared" si="29"/>
        <v>83748</v>
      </c>
      <c r="H174" s="142">
        <f t="shared" si="29"/>
        <v>59397</v>
      </c>
      <c r="I174" s="142">
        <f t="shared" si="29"/>
        <v>23084</v>
      </c>
      <c r="J174" s="142">
        <f t="shared" si="29"/>
        <v>13689</v>
      </c>
      <c r="K174" s="142">
        <f t="shared" si="29"/>
        <v>431</v>
      </c>
      <c r="L174" s="142">
        <f t="shared" si="29"/>
        <v>305642</v>
      </c>
    </row>
    <row r="175" spans="1:12" ht="11.25" customHeight="1">
      <c r="A175" s="99">
        <v>2003</v>
      </c>
      <c r="B175" s="142">
        <f t="shared" ref="B175:L175" si="30">IF(AND(B127="-",B79="-",B31="-"),"-",SUM(B127,B79,B31))</f>
        <v>607</v>
      </c>
      <c r="C175" s="142">
        <f t="shared" si="30"/>
        <v>6455</v>
      </c>
      <c r="D175" s="142">
        <f t="shared" si="30"/>
        <v>15208</v>
      </c>
      <c r="E175" s="142">
        <f t="shared" si="30"/>
        <v>22419</v>
      </c>
      <c r="F175" s="142">
        <f t="shared" si="30"/>
        <v>36766</v>
      </c>
      <c r="G175" s="142">
        <f t="shared" si="30"/>
        <v>95997</v>
      </c>
      <c r="H175" s="142">
        <f t="shared" si="30"/>
        <v>54605</v>
      </c>
      <c r="I175" s="142">
        <f t="shared" si="30"/>
        <v>18176</v>
      </c>
      <c r="J175" s="142">
        <f t="shared" si="30"/>
        <v>8932</v>
      </c>
      <c r="K175" s="142">
        <f t="shared" si="30"/>
        <v>659</v>
      </c>
      <c r="L175" s="142">
        <f t="shared" si="30"/>
        <v>259824</v>
      </c>
    </row>
    <row r="176" spans="1:12" ht="11.25" customHeight="1">
      <c r="A176" s="99">
        <v>2004</v>
      </c>
      <c r="B176" s="142">
        <f t="shared" ref="B176:L176" si="31">IF(AND(B128="-",B80="-",B32="-"),"-",SUM(B128,B80,B32))</f>
        <v>183</v>
      </c>
      <c r="C176" s="142">
        <f t="shared" si="31"/>
        <v>1077</v>
      </c>
      <c r="D176" s="142">
        <f t="shared" si="31"/>
        <v>33103</v>
      </c>
      <c r="E176" s="142">
        <f t="shared" si="31"/>
        <v>36193</v>
      </c>
      <c r="F176" s="142">
        <f t="shared" si="31"/>
        <v>51353</v>
      </c>
      <c r="G176" s="142">
        <f t="shared" si="31"/>
        <v>116238</v>
      </c>
      <c r="H176" s="142">
        <f t="shared" si="31"/>
        <v>69991</v>
      </c>
      <c r="I176" s="142">
        <f t="shared" si="31"/>
        <v>26912</v>
      </c>
      <c r="J176" s="142">
        <f t="shared" si="31"/>
        <v>8972</v>
      </c>
      <c r="K176" s="142">
        <f t="shared" si="31"/>
        <v>1830</v>
      </c>
      <c r="L176" s="142">
        <f t="shared" si="31"/>
        <v>345852</v>
      </c>
    </row>
    <row r="177" spans="1:12" ht="11.25" customHeight="1">
      <c r="A177" s="99">
        <v>2005</v>
      </c>
      <c r="B177" s="142">
        <f t="shared" ref="B177:L177" si="32">IF(AND(B129="-",B81="-",B33="-"),"-",SUM(B129,B81,B33))</f>
        <v>869</v>
      </c>
      <c r="C177" s="142">
        <f t="shared" si="32"/>
        <v>551</v>
      </c>
      <c r="D177" s="142">
        <f t="shared" si="32"/>
        <v>25037</v>
      </c>
      <c r="E177" s="142">
        <f t="shared" si="32"/>
        <v>23066</v>
      </c>
      <c r="F177" s="142">
        <f t="shared" si="32"/>
        <v>49408</v>
      </c>
      <c r="G177" s="142">
        <f t="shared" si="32"/>
        <v>54000</v>
      </c>
      <c r="H177" s="142">
        <f t="shared" si="32"/>
        <v>41469</v>
      </c>
      <c r="I177" s="142">
        <f t="shared" si="32"/>
        <v>30396</v>
      </c>
      <c r="J177" s="142">
        <f t="shared" si="32"/>
        <v>9044</v>
      </c>
      <c r="K177" s="142">
        <f t="shared" si="32"/>
        <v>977</v>
      </c>
      <c r="L177" s="142">
        <f t="shared" si="32"/>
        <v>234817</v>
      </c>
    </row>
    <row r="178" spans="1:12" ht="11.25" customHeight="1">
      <c r="A178" s="99">
        <v>2006</v>
      </c>
      <c r="B178" s="142">
        <f t="shared" ref="B178:L178" si="33">IF(AND(B130="-",B82="-",B34="-"),"-",SUM(B130,B82,B34))</f>
        <v>289</v>
      </c>
      <c r="C178" s="142">
        <f t="shared" si="33"/>
        <v>322</v>
      </c>
      <c r="D178" s="142">
        <f t="shared" si="33"/>
        <v>19290</v>
      </c>
      <c r="E178" s="142">
        <f t="shared" si="33"/>
        <v>22818</v>
      </c>
      <c r="F178" s="142">
        <f t="shared" si="33"/>
        <v>38913</v>
      </c>
      <c r="G178" s="142">
        <f t="shared" si="33"/>
        <v>53213</v>
      </c>
      <c r="H178" s="142">
        <f t="shared" si="33"/>
        <v>13501</v>
      </c>
      <c r="I178" s="142">
        <f t="shared" si="33"/>
        <v>21417</v>
      </c>
      <c r="J178" s="142">
        <f t="shared" si="33"/>
        <v>10276</v>
      </c>
      <c r="K178" s="142">
        <f t="shared" si="33"/>
        <v>546</v>
      </c>
      <c r="L178" s="142">
        <f t="shared" si="33"/>
        <v>180585</v>
      </c>
    </row>
    <row r="179" spans="1:12" ht="11.25" customHeight="1">
      <c r="A179" s="99">
        <v>2007</v>
      </c>
      <c r="B179" s="142">
        <f t="shared" ref="B179:L179" si="34">IF(AND(B131="-",B83="-",B35="-"),"-",SUM(B131,B83,B35))</f>
        <v>249</v>
      </c>
      <c r="C179" s="142">
        <f t="shared" si="34"/>
        <v>891</v>
      </c>
      <c r="D179" s="142">
        <f t="shared" si="34"/>
        <v>15118</v>
      </c>
      <c r="E179" s="142">
        <f t="shared" si="34"/>
        <v>16887</v>
      </c>
      <c r="F179" s="142">
        <f t="shared" si="34"/>
        <v>33671</v>
      </c>
      <c r="G179" s="142">
        <f t="shared" si="34"/>
        <v>51156</v>
      </c>
      <c r="H179" s="142">
        <f t="shared" si="34"/>
        <v>44618</v>
      </c>
      <c r="I179" s="142">
        <f t="shared" si="34"/>
        <v>10322</v>
      </c>
      <c r="J179" s="142">
        <f t="shared" si="34"/>
        <v>7421</v>
      </c>
      <c r="K179" s="142">
        <f t="shared" si="34"/>
        <v>1434</v>
      </c>
      <c r="L179" s="142">
        <f t="shared" si="34"/>
        <v>181767</v>
      </c>
    </row>
    <row r="180" spans="1:12" ht="11.25" customHeight="1">
      <c r="A180" s="99">
        <v>2008</v>
      </c>
      <c r="B180" s="142">
        <f t="shared" ref="B180:J180" si="35">IF(AND(B132="-",B84="-",B36="-"),"-",SUM(B132,B84,B36))</f>
        <v>206</v>
      </c>
      <c r="C180" s="142">
        <f t="shared" si="35"/>
        <v>185</v>
      </c>
      <c r="D180" s="142" t="str">
        <f t="shared" si="35"/>
        <v>-</v>
      </c>
      <c r="E180" s="142" t="str">
        <f t="shared" si="35"/>
        <v>-</v>
      </c>
      <c r="F180" s="142">
        <f t="shared" si="35"/>
        <v>3965</v>
      </c>
      <c r="G180" s="142">
        <f t="shared" si="35"/>
        <v>9998</v>
      </c>
      <c r="H180" s="142">
        <f t="shared" si="35"/>
        <v>5753</v>
      </c>
      <c r="I180" s="142">
        <f t="shared" si="35"/>
        <v>3635</v>
      </c>
      <c r="J180" s="142">
        <f t="shared" si="35"/>
        <v>3413</v>
      </c>
      <c r="K180" s="48" t="s">
        <v>106</v>
      </c>
      <c r="L180" s="142">
        <f t="shared" ref="L180:L191" si="36">IF(AND(L132="-",L84="-",L36="-"),"-",SUM(L132,L84,L36))</f>
        <v>27155</v>
      </c>
    </row>
    <row r="181" spans="1:12" ht="11.25" customHeight="1">
      <c r="A181" s="99">
        <v>2009</v>
      </c>
      <c r="B181" s="142" t="str">
        <f t="shared" ref="B181:J181" si="37">IF(AND(B133="-",B85="-",B37="-"),"-",SUM(B133,B85,B37))</f>
        <v>-</v>
      </c>
      <c r="C181" s="142" t="str">
        <f t="shared" si="37"/>
        <v>-</v>
      </c>
      <c r="D181" s="142" t="str">
        <f t="shared" si="37"/>
        <v>-</v>
      </c>
      <c r="E181" s="142" t="str">
        <f t="shared" si="37"/>
        <v>-</v>
      </c>
      <c r="F181" s="142">
        <f t="shared" si="37"/>
        <v>4412</v>
      </c>
      <c r="G181" s="142">
        <f t="shared" si="37"/>
        <v>35341</v>
      </c>
      <c r="H181" s="142">
        <f t="shared" si="37"/>
        <v>26698</v>
      </c>
      <c r="I181" s="142">
        <f t="shared" si="37"/>
        <v>9167</v>
      </c>
      <c r="J181" s="142">
        <f t="shared" si="37"/>
        <v>2009</v>
      </c>
      <c r="K181" s="48" t="s">
        <v>106</v>
      </c>
      <c r="L181" s="142">
        <f t="shared" si="36"/>
        <v>77627</v>
      </c>
    </row>
    <row r="182" spans="1:12" ht="11.25" customHeight="1">
      <c r="A182" s="99">
        <v>2010</v>
      </c>
      <c r="B182" s="142" t="str">
        <f t="shared" ref="B182:J182" si="38">IF(AND(B134="-",B86="-",B38="-"),"-",SUM(B134,B86,B38))</f>
        <v>-</v>
      </c>
      <c r="C182" s="142" t="str">
        <f t="shared" si="38"/>
        <v>-</v>
      </c>
      <c r="D182" s="142">
        <f t="shared" si="38"/>
        <v>16774</v>
      </c>
      <c r="E182" s="142">
        <f t="shared" si="38"/>
        <v>8298</v>
      </c>
      <c r="F182" s="142">
        <f t="shared" si="38"/>
        <v>6467</v>
      </c>
      <c r="G182" s="142">
        <f t="shared" si="38"/>
        <v>18706</v>
      </c>
      <c r="H182" s="142">
        <f t="shared" si="38"/>
        <v>27170</v>
      </c>
      <c r="I182" s="142">
        <f t="shared" si="38"/>
        <v>10999</v>
      </c>
      <c r="J182" s="142">
        <f t="shared" si="38"/>
        <v>3318</v>
      </c>
      <c r="K182" s="48" t="s">
        <v>106</v>
      </c>
      <c r="L182" s="142">
        <f t="shared" si="36"/>
        <v>91732</v>
      </c>
    </row>
    <row r="183" spans="1:12" ht="11.25" customHeight="1">
      <c r="A183" s="99">
        <v>2011</v>
      </c>
      <c r="B183" s="142" t="str">
        <f t="shared" ref="B183:K183" si="39">IF(AND(B135="-",B87="-",B39="-"),"-",SUM(B135,B87,B39))</f>
        <v>-</v>
      </c>
      <c r="C183" s="142">
        <f t="shared" si="39"/>
        <v>22</v>
      </c>
      <c r="D183" s="142">
        <f t="shared" si="39"/>
        <v>15640</v>
      </c>
      <c r="E183" s="142">
        <f t="shared" si="39"/>
        <v>8620</v>
      </c>
      <c r="F183" s="142">
        <f t="shared" si="39"/>
        <v>12876</v>
      </c>
      <c r="G183" s="142">
        <f t="shared" si="39"/>
        <v>36194</v>
      </c>
      <c r="H183" s="142">
        <f t="shared" si="39"/>
        <v>31114</v>
      </c>
      <c r="I183" s="142">
        <f t="shared" si="39"/>
        <v>22139</v>
      </c>
      <c r="J183" s="142">
        <f t="shared" si="39"/>
        <v>6428</v>
      </c>
      <c r="K183" s="142">
        <f t="shared" si="39"/>
        <v>16</v>
      </c>
      <c r="L183" s="142">
        <f t="shared" si="36"/>
        <v>133049</v>
      </c>
    </row>
    <row r="184" spans="1:12" ht="11.25" customHeight="1">
      <c r="A184" s="99">
        <v>2012</v>
      </c>
      <c r="B184" s="142" t="str">
        <f t="shared" ref="B184:K184" si="40">IF(AND(B136="-",B88="-",B40="-"),"-",SUM(B136,B88,B40))</f>
        <v>-</v>
      </c>
      <c r="C184" s="142">
        <f t="shared" si="40"/>
        <v>23</v>
      </c>
      <c r="D184" s="142">
        <f t="shared" si="40"/>
        <v>21846</v>
      </c>
      <c r="E184" s="142">
        <f t="shared" si="40"/>
        <v>23318</v>
      </c>
      <c r="F184" s="142">
        <f t="shared" si="40"/>
        <v>35266</v>
      </c>
      <c r="G184" s="142">
        <f t="shared" si="40"/>
        <v>52934</v>
      </c>
      <c r="H184" s="142">
        <f t="shared" si="40"/>
        <v>42334</v>
      </c>
      <c r="I184" s="142">
        <f t="shared" si="40"/>
        <v>25210</v>
      </c>
      <c r="J184" s="142">
        <f t="shared" si="40"/>
        <v>8959</v>
      </c>
      <c r="K184" s="142">
        <f t="shared" si="40"/>
        <v>587</v>
      </c>
      <c r="L184" s="142">
        <f t="shared" si="36"/>
        <v>210477</v>
      </c>
    </row>
    <row r="185" spans="1:12" ht="11.25" customHeight="1">
      <c r="A185" s="99">
        <v>2013</v>
      </c>
      <c r="B185" s="142" t="str">
        <f t="shared" ref="B185:K185" si="41">IF(AND(B137="-",B89="-",B41="-"),"-",SUM(B137,B89,B41))</f>
        <v>-</v>
      </c>
      <c r="C185" s="142">
        <f t="shared" si="41"/>
        <v>479</v>
      </c>
      <c r="D185" s="142">
        <f t="shared" si="41"/>
        <v>20295</v>
      </c>
      <c r="E185" s="142">
        <f t="shared" si="41"/>
        <v>19599</v>
      </c>
      <c r="F185" s="142">
        <f t="shared" si="41"/>
        <v>33058</v>
      </c>
      <c r="G185" s="142">
        <f t="shared" si="41"/>
        <v>63288</v>
      </c>
      <c r="H185" s="142">
        <f t="shared" si="41"/>
        <v>61368</v>
      </c>
      <c r="I185" s="142">
        <f t="shared" si="41"/>
        <v>18176</v>
      </c>
      <c r="J185" s="142">
        <f t="shared" si="41"/>
        <v>10006</v>
      </c>
      <c r="K185" s="142">
        <f t="shared" si="41"/>
        <v>426</v>
      </c>
      <c r="L185" s="142">
        <f t="shared" si="36"/>
        <v>226695</v>
      </c>
    </row>
    <row r="186" spans="1:12" ht="11.25" customHeight="1">
      <c r="A186" s="99">
        <v>2014</v>
      </c>
      <c r="B186" s="142" t="str">
        <f t="shared" ref="B186:K186" si="42">IF(AND(B138="-",B90="-",B42="-"),"-",SUM(B138,B90,B42))</f>
        <v>-</v>
      </c>
      <c r="C186" s="142">
        <f t="shared" si="42"/>
        <v>87</v>
      </c>
      <c r="D186" s="142">
        <f t="shared" si="42"/>
        <v>20362</v>
      </c>
      <c r="E186" s="142">
        <f t="shared" si="42"/>
        <v>16345</v>
      </c>
      <c r="F186" s="142">
        <f t="shared" si="42"/>
        <v>19335</v>
      </c>
      <c r="G186" s="142">
        <f t="shared" si="42"/>
        <v>69417</v>
      </c>
      <c r="H186" s="142">
        <f t="shared" si="42"/>
        <v>56337</v>
      </c>
      <c r="I186" s="142">
        <f t="shared" si="42"/>
        <v>35699</v>
      </c>
      <c r="J186" s="142">
        <f t="shared" si="42"/>
        <v>11253</v>
      </c>
      <c r="K186" s="142">
        <f t="shared" si="42"/>
        <v>723</v>
      </c>
      <c r="L186" s="142">
        <f t="shared" si="36"/>
        <v>229558</v>
      </c>
    </row>
    <row r="187" spans="1:12" ht="11.25" customHeight="1">
      <c r="A187" s="99" t="s">
        <v>227</v>
      </c>
      <c r="B187" s="142" t="str">
        <f t="shared" ref="B187:K187" si="43">IF(AND(B139="-",B91="-",B43="-"),"-",SUM(B139,B91,B43))</f>
        <v>-</v>
      </c>
      <c r="C187" s="142">
        <f t="shared" si="43"/>
        <v>60</v>
      </c>
      <c r="D187" s="142">
        <f t="shared" si="43"/>
        <v>11237</v>
      </c>
      <c r="E187" s="142">
        <f t="shared" si="43"/>
        <v>11729</v>
      </c>
      <c r="F187" s="142">
        <f t="shared" si="43"/>
        <v>13239</v>
      </c>
      <c r="G187" s="142">
        <f t="shared" si="43"/>
        <v>38243</v>
      </c>
      <c r="H187" s="142">
        <f t="shared" si="43"/>
        <v>25571</v>
      </c>
      <c r="I187" s="142">
        <f t="shared" si="43"/>
        <v>28207</v>
      </c>
      <c r="J187" s="142">
        <f t="shared" si="43"/>
        <v>10897</v>
      </c>
      <c r="K187" s="142">
        <f t="shared" si="43"/>
        <v>5</v>
      </c>
      <c r="L187" s="142">
        <f t="shared" si="36"/>
        <v>139188</v>
      </c>
    </row>
    <row r="188" spans="1:12" ht="11.25" customHeight="1">
      <c r="A188" s="99">
        <v>2016</v>
      </c>
      <c r="B188" s="142" t="str">
        <f t="shared" ref="B188:J188" si="44">IF(AND(B140="-",B92="-",B44="-"),"-",SUM(B140,B92,B44))</f>
        <v>-</v>
      </c>
      <c r="C188" s="142">
        <f t="shared" si="44"/>
        <v>82</v>
      </c>
      <c r="D188" s="142">
        <f t="shared" si="44"/>
        <v>8024</v>
      </c>
      <c r="E188" s="142">
        <f t="shared" si="44"/>
        <v>11000</v>
      </c>
      <c r="F188" s="142">
        <f t="shared" si="44"/>
        <v>9705</v>
      </c>
      <c r="G188" s="142">
        <f t="shared" si="44"/>
        <v>26176</v>
      </c>
      <c r="H188" s="142">
        <f t="shared" si="44"/>
        <v>20157</v>
      </c>
      <c r="I188" s="142">
        <f t="shared" si="44"/>
        <v>24637</v>
      </c>
      <c r="J188" s="142">
        <f t="shared" si="44"/>
        <v>4850</v>
      </c>
      <c r="K188" s="142" t="s">
        <v>106</v>
      </c>
      <c r="L188" s="142">
        <f t="shared" si="36"/>
        <v>104631</v>
      </c>
    </row>
    <row r="189" spans="1:12" ht="11.25" customHeight="1">
      <c r="A189" s="99">
        <v>2017</v>
      </c>
      <c r="B189" s="142" t="str">
        <f t="shared" ref="B189:J189" si="45">IF(AND(B141="-",B93="-",B45="-"),"-",SUM(B141,B93,B45))</f>
        <v>-</v>
      </c>
      <c r="C189" s="142">
        <f t="shared" si="45"/>
        <v>17</v>
      </c>
      <c r="D189" s="142">
        <f t="shared" si="45"/>
        <v>10165</v>
      </c>
      <c r="E189" s="142">
        <f t="shared" si="45"/>
        <v>5500</v>
      </c>
      <c r="F189" s="142">
        <f t="shared" si="45"/>
        <v>8490</v>
      </c>
      <c r="G189" s="142">
        <f t="shared" si="45"/>
        <v>32647</v>
      </c>
      <c r="H189" s="142">
        <f t="shared" si="45"/>
        <v>28741</v>
      </c>
      <c r="I189" s="142">
        <f t="shared" si="45"/>
        <v>17839</v>
      </c>
      <c r="J189" s="142">
        <f t="shared" si="45"/>
        <v>4316</v>
      </c>
      <c r="K189" s="142" t="s">
        <v>106</v>
      </c>
      <c r="L189" s="142">
        <f t="shared" si="36"/>
        <v>107715</v>
      </c>
    </row>
    <row r="190" spans="1:12" ht="11.25" customHeight="1">
      <c r="A190" s="99">
        <v>2018</v>
      </c>
      <c r="B190" s="142" t="str">
        <f t="shared" ref="B190:J190" si="46">IF(AND(B142="-",B94="-",B46="-"),"-",SUM(B142,B94,B46))</f>
        <v>-</v>
      </c>
      <c r="C190" s="142">
        <f t="shared" si="46"/>
        <v>54</v>
      </c>
      <c r="D190" s="142">
        <f t="shared" si="46"/>
        <v>8159</v>
      </c>
      <c r="E190" s="142">
        <f t="shared" si="46"/>
        <v>3186</v>
      </c>
      <c r="F190" s="142">
        <f t="shared" si="46"/>
        <v>17133</v>
      </c>
      <c r="G190" s="142">
        <f t="shared" si="46"/>
        <v>47975</v>
      </c>
      <c r="H190" s="142">
        <f t="shared" si="46"/>
        <v>44546</v>
      </c>
      <c r="I190" s="142">
        <f t="shared" si="46"/>
        <v>23631</v>
      </c>
      <c r="J190" s="142">
        <f t="shared" si="46"/>
        <v>8073</v>
      </c>
      <c r="K190" s="142" t="s">
        <v>106</v>
      </c>
      <c r="L190" s="142">
        <f t="shared" si="36"/>
        <v>152757</v>
      </c>
    </row>
    <row r="191" spans="1:12" ht="11.25" customHeight="1">
      <c r="A191" s="99">
        <v>2019</v>
      </c>
      <c r="B191" s="142" t="str">
        <f t="shared" ref="B191:K191" si="47">IF(AND(B143="-",B95="-",B47="-"),"-",SUM(B143,B95,B47))</f>
        <v>-</v>
      </c>
      <c r="C191" s="142">
        <f t="shared" si="47"/>
        <v>43</v>
      </c>
      <c r="D191" s="142">
        <f t="shared" si="47"/>
        <v>17358</v>
      </c>
      <c r="E191" s="142">
        <f t="shared" si="47"/>
        <v>6485</v>
      </c>
      <c r="F191" s="142">
        <f t="shared" si="47"/>
        <v>27953</v>
      </c>
      <c r="G191" s="142">
        <f t="shared" si="47"/>
        <v>59919</v>
      </c>
      <c r="H191" s="142">
        <f t="shared" si="47"/>
        <v>51351</v>
      </c>
      <c r="I191" s="142">
        <f t="shared" si="47"/>
        <v>16732</v>
      </c>
      <c r="J191" s="142">
        <f t="shared" si="47"/>
        <v>3402</v>
      </c>
      <c r="K191" s="142" t="str">
        <f t="shared" si="47"/>
        <v>-</v>
      </c>
      <c r="L191" s="142">
        <f t="shared" si="36"/>
        <v>183243</v>
      </c>
    </row>
    <row r="192" spans="1:12" ht="11.25" customHeight="1">
      <c r="A192" s="99" t="s">
        <v>350</v>
      </c>
      <c r="B192" s="142" t="str">
        <f t="shared" ref="B192:L193" si="48">IF(AND(B144="-",B96="-",B48="-"),"-",SUM(B144,B96,B48))</f>
        <v>-</v>
      </c>
      <c r="C192" s="142">
        <f t="shared" si="48"/>
        <v>11</v>
      </c>
      <c r="D192" s="142">
        <f t="shared" si="48"/>
        <v>112</v>
      </c>
      <c r="E192" s="142">
        <f t="shared" si="48"/>
        <v>292</v>
      </c>
      <c r="F192" s="142">
        <f t="shared" si="48"/>
        <v>2273</v>
      </c>
      <c r="G192" s="142">
        <f t="shared" si="48"/>
        <v>54960</v>
      </c>
      <c r="H192" s="142">
        <f t="shared" si="48"/>
        <v>30542</v>
      </c>
      <c r="I192" s="142">
        <f t="shared" si="48"/>
        <v>19085</v>
      </c>
      <c r="J192" s="142">
        <f>IF(AND(J144="-",J96="-",J48="-"),"-",SUM(J144,J96,J48))</f>
        <v>5978</v>
      </c>
      <c r="K192" s="142">
        <f>IF(AND(K144="-",K96="-",K48="-"),"-",SUM(K144,K96,K48))</f>
        <v>147</v>
      </c>
      <c r="L192" s="142">
        <f t="shared" si="48"/>
        <v>113400</v>
      </c>
    </row>
    <row r="193" spans="1:12" ht="11.25" customHeight="1">
      <c r="A193" s="99" t="s">
        <v>317</v>
      </c>
      <c r="B193" s="15" t="str">
        <f t="shared" si="48"/>
        <v>-</v>
      </c>
      <c r="C193" s="15">
        <f t="shared" si="48"/>
        <v>23</v>
      </c>
      <c r="D193" s="15">
        <f t="shared" si="48"/>
        <v>12858</v>
      </c>
      <c r="E193" s="15">
        <f t="shared" si="48"/>
        <v>9683</v>
      </c>
      <c r="F193" s="15">
        <f t="shared" si="48"/>
        <v>17080</v>
      </c>
      <c r="G193" s="15">
        <f t="shared" si="48"/>
        <v>66539</v>
      </c>
      <c r="H193" s="15">
        <f t="shared" si="48"/>
        <v>43409</v>
      </c>
      <c r="I193" s="15">
        <f t="shared" si="48"/>
        <v>21713</v>
      </c>
      <c r="J193" s="15">
        <f>IF(AND(J145="-",J97="-",J49="-"),"-",SUM(J145,J97,J49))</f>
        <v>2632</v>
      </c>
      <c r="K193" s="15" t="str">
        <f>IF(AND(K145="-",K97="-",K49="-"),"-",SUM(K145,K97,K49))</f>
        <v>-</v>
      </c>
      <c r="L193" s="15">
        <f t="shared" si="48"/>
        <v>173937</v>
      </c>
    </row>
    <row r="194" spans="1:12" ht="11.25" customHeight="1">
      <c r="A194" s="344" t="s">
        <v>148</v>
      </c>
      <c r="B194" s="344"/>
      <c r="C194" s="344"/>
      <c r="D194" s="344"/>
      <c r="E194" s="344"/>
      <c r="F194" s="344"/>
      <c r="G194" s="344"/>
      <c r="H194" s="344"/>
      <c r="I194" s="344"/>
      <c r="J194" s="344"/>
      <c r="K194" s="344"/>
      <c r="L194" s="344"/>
    </row>
    <row r="195" spans="1:12" ht="11.25" customHeight="1">
      <c r="A195" s="280" t="s">
        <v>42</v>
      </c>
      <c r="B195" s="280"/>
      <c r="C195" s="280"/>
      <c r="D195" s="280"/>
      <c r="E195" s="280"/>
      <c r="F195" s="280"/>
      <c r="G195" s="280"/>
      <c r="H195" s="280"/>
      <c r="I195" s="280"/>
      <c r="J195" s="280"/>
      <c r="K195" s="280"/>
      <c r="L195" s="280"/>
    </row>
    <row r="196" spans="1:12" ht="27.75" customHeight="1">
      <c r="A196" s="280" t="s">
        <v>354</v>
      </c>
      <c r="B196" s="280"/>
      <c r="C196" s="280"/>
      <c r="D196" s="280"/>
      <c r="E196" s="280"/>
      <c r="F196" s="280"/>
      <c r="G196" s="280"/>
      <c r="H196" s="280"/>
      <c r="I196" s="280"/>
      <c r="J196" s="280"/>
      <c r="K196" s="280"/>
      <c r="L196" s="280"/>
    </row>
    <row r="197" spans="1:12" ht="11.25" customHeight="1">
      <c r="A197" s="280" t="s">
        <v>351</v>
      </c>
      <c r="B197" s="280"/>
      <c r="C197" s="280"/>
      <c r="D197" s="280"/>
      <c r="E197" s="280"/>
      <c r="F197" s="280"/>
      <c r="G197" s="280"/>
      <c r="H197" s="280"/>
      <c r="I197" s="280"/>
      <c r="J197" s="280"/>
      <c r="K197" s="280"/>
      <c r="L197" s="280"/>
    </row>
    <row r="198" spans="1:12" ht="11.25" customHeight="1"/>
    <row r="199" spans="1:12" ht="11.25" customHeight="1">
      <c r="A199" s="226"/>
      <c r="B199" s="226"/>
      <c r="C199" s="226"/>
      <c r="D199" s="226"/>
      <c r="E199" s="226"/>
      <c r="F199" s="226"/>
      <c r="G199" s="226"/>
      <c r="H199" s="226"/>
      <c r="I199" s="226"/>
      <c r="J199" s="226"/>
      <c r="K199" s="226"/>
      <c r="L199" s="226"/>
    </row>
    <row r="200" spans="1:12" ht="11.25" customHeight="1"/>
    <row r="201" spans="1:12" ht="11.25" customHeight="1">
      <c r="A201" s="197"/>
      <c r="B201" s="197"/>
      <c r="C201" s="197"/>
      <c r="D201" s="197"/>
      <c r="E201" s="197"/>
      <c r="F201" s="197"/>
      <c r="G201" s="197"/>
      <c r="H201" s="197"/>
      <c r="I201" s="197"/>
      <c r="J201" s="197"/>
      <c r="K201" s="197"/>
      <c r="L201" s="197"/>
    </row>
    <row r="202" spans="1:12" ht="11.25" customHeight="1">
      <c r="A202" s="169"/>
      <c r="B202" s="169"/>
      <c r="C202" s="169"/>
      <c r="D202" s="169"/>
      <c r="E202" s="169"/>
      <c r="F202" s="169"/>
      <c r="G202" s="169"/>
      <c r="H202" s="169"/>
      <c r="I202" s="169"/>
      <c r="J202" s="169"/>
      <c r="K202" s="169"/>
      <c r="L202" s="169"/>
    </row>
    <row r="203" spans="1:12" ht="11.25" customHeight="1">
      <c r="A203" s="197"/>
      <c r="B203" s="197"/>
      <c r="C203" s="197"/>
      <c r="D203" s="197"/>
      <c r="E203" s="197"/>
      <c r="F203" s="197"/>
      <c r="G203" s="197"/>
      <c r="H203" s="197"/>
      <c r="I203" s="197"/>
      <c r="J203" s="197"/>
      <c r="K203" s="197"/>
      <c r="L203" s="197"/>
    </row>
    <row r="204" spans="1:12" ht="11.25" customHeight="1"/>
    <row r="205" spans="1:12" ht="11.25" customHeight="1">
      <c r="A205" s="314" t="s">
        <v>253</v>
      </c>
      <c r="B205" s="314"/>
      <c r="C205" s="314"/>
      <c r="D205" s="314"/>
      <c r="E205" s="314"/>
      <c r="F205" s="314"/>
      <c r="G205" s="314"/>
      <c r="H205" s="314"/>
      <c r="I205" s="314"/>
      <c r="J205" s="314"/>
      <c r="K205" s="314"/>
      <c r="L205" s="314"/>
    </row>
    <row r="206" spans="1:12" ht="11.25" customHeight="1">
      <c r="A206" s="314"/>
      <c r="B206" s="314"/>
      <c r="C206" s="314"/>
      <c r="D206" s="314"/>
      <c r="E206" s="314"/>
      <c r="F206" s="314"/>
      <c r="G206" s="314"/>
      <c r="H206" s="314"/>
      <c r="I206" s="314"/>
      <c r="J206" s="314"/>
      <c r="K206" s="314"/>
      <c r="L206" s="314"/>
    </row>
    <row r="207" spans="1:12" ht="11.25" customHeight="1">
      <c r="A207" s="98" t="s">
        <v>27</v>
      </c>
      <c r="B207" s="46" t="s">
        <v>36</v>
      </c>
      <c r="C207" s="46" t="s">
        <v>37</v>
      </c>
      <c r="D207" s="46" t="s">
        <v>28</v>
      </c>
      <c r="E207" s="46" t="s">
        <v>29</v>
      </c>
      <c r="F207" s="46" t="s">
        <v>30</v>
      </c>
      <c r="G207" s="46" t="s">
        <v>31</v>
      </c>
      <c r="H207" s="46" t="s">
        <v>32</v>
      </c>
      <c r="I207" s="46" t="s">
        <v>33</v>
      </c>
      <c r="J207" s="46" t="s">
        <v>34</v>
      </c>
      <c r="K207" s="46" t="s">
        <v>38</v>
      </c>
      <c r="L207" s="46" t="s">
        <v>22</v>
      </c>
    </row>
    <row r="208" spans="1:12">
      <c r="A208" s="102" t="s">
        <v>225</v>
      </c>
      <c r="B208" s="142"/>
      <c r="C208" s="142"/>
      <c r="D208" s="142"/>
      <c r="E208" s="142"/>
      <c r="F208" s="142"/>
      <c r="G208" s="142"/>
      <c r="H208" s="142"/>
      <c r="I208" s="142"/>
      <c r="J208" s="142"/>
      <c r="K208" s="142"/>
      <c r="L208" s="142"/>
    </row>
    <row r="209" spans="1:12" ht="11.25" customHeight="1">
      <c r="A209" s="99" t="s">
        <v>24</v>
      </c>
      <c r="B209" s="142" t="s">
        <v>23</v>
      </c>
      <c r="C209" s="142" t="s">
        <v>23</v>
      </c>
      <c r="D209" s="142" t="s">
        <v>23</v>
      </c>
      <c r="E209" s="142">
        <f t="shared" ref="E209:L209" si="49">AVERAGE(E9:E13)</f>
        <v>5279</v>
      </c>
      <c r="F209" s="142">
        <f t="shared" si="49"/>
        <v>21789.666666666668</v>
      </c>
      <c r="G209" s="142">
        <f t="shared" si="49"/>
        <v>78018.8</v>
      </c>
      <c r="H209" s="142">
        <f t="shared" si="49"/>
        <v>61311.75</v>
      </c>
      <c r="I209" s="142">
        <f t="shared" si="49"/>
        <v>10677</v>
      </c>
      <c r="J209" s="142">
        <f t="shared" si="49"/>
        <v>1603</v>
      </c>
      <c r="K209" s="48" t="s">
        <v>106</v>
      </c>
      <c r="L209" s="142">
        <f t="shared" si="49"/>
        <v>151115.79999999999</v>
      </c>
    </row>
    <row r="210" spans="1:12" ht="11.25" customHeight="1">
      <c r="A210" s="99" t="s">
        <v>78</v>
      </c>
      <c r="B210" s="142" t="s">
        <v>23</v>
      </c>
      <c r="C210" s="142" t="s">
        <v>23</v>
      </c>
      <c r="D210" s="142" t="s">
        <v>23</v>
      </c>
      <c r="E210" s="142">
        <f t="shared" ref="E210:L210" si="50">AVERAGE(E14:E18)</f>
        <v>2054.25</v>
      </c>
      <c r="F210" s="142">
        <f t="shared" si="50"/>
        <v>18538.2</v>
      </c>
      <c r="G210" s="142">
        <f t="shared" si="50"/>
        <v>82564.2</v>
      </c>
      <c r="H210" s="142">
        <f t="shared" si="50"/>
        <v>51012.4</v>
      </c>
      <c r="I210" s="142">
        <f t="shared" si="50"/>
        <v>11171.4</v>
      </c>
      <c r="J210" s="48" t="s">
        <v>106</v>
      </c>
      <c r="K210" s="48" t="s">
        <v>106</v>
      </c>
      <c r="L210" s="142">
        <f t="shared" si="50"/>
        <v>164929.60000000001</v>
      </c>
    </row>
    <row r="211" spans="1:12" ht="11.25" customHeight="1">
      <c r="A211" s="99" t="s">
        <v>10</v>
      </c>
      <c r="B211" s="142" t="s">
        <v>23</v>
      </c>
      <c r="C211" s="142" t="s">
        <v>23</v>
      </c>
      <c r="D211" s="142" t="s">
        <v>23</v>
      </c>
      <c r="E211" s="142">
        <f>AVERAGE(E19:E23)</f>
        <v>1817.4</v>
      </c>
      <c r="F211" s="142">
        <f t="shared" ref="F211:K211" si="51">AVERAGE(F19:F23)</f>
        <v>11249</v>
      </c>
      <c r="G211" s="142">
        <f t="shared" si="51"/>
        <v>63162.333333333336</v>
      </c>
      <c r="H211" s="142">
        <f t="shared" si="51"/>
        <v>22523</v>
      </c>
      <c r="I211" s="142">
        <f t="shared" si="51"/>
        <v>5191</v>
      </c>
      <c r="J211" s="142">
        <f t="shared" si="51"/>
        <v>4947.5</v>
      </c>
      <c r="K211" s="142">
        <f t="shared" si="51"/>
        <v>395.5</v>
      </c>
      <c r="L211" s="142">
        <f>AVERAGE(L19:L23)</f>
        <v>64186.6</v>
      </c>
    </row>
    <row r="212" spans="1:12" ht="11.25" customHeight="1">
      <c r="A212" s="99" t="s">
        <v>144</v>
      </c>
      <c r="B212" s="142" t="s">
        <v>23</v>
      </c>
      <c r="C212" s="142" t="s">
        <v>23</v>
      </c>
      <c r="D212" s="142" t="s">
        <v>23</v>
      </c>
      <c r="E212" s="142">
        <f>AVERAGE(E24:E28)</f>
        <v>708</v>
      </c>
      <c r="F212" s="142">
        <f t="shared" ref="F212:K212" si="52">AVERAGE(F24:F28)</f>
        <v>596.20000000000005</v>
      </c>
      <c r="G212" s="142">
        <f t="shared" si="52"/>
        <v>9570</v>
      </c>
      <c r="H212" s="142">
        <f t="shared" si="52"/>
        <v>4388.2</v>
      </c>
      <c r="I212" s="142">
        <f t="shared" si="52"/>
        <v>3527.2</v>
      </c>
      <c r="J212" s="142">
        <f t="shared" si="52"/>
        <v>2933.4</v>
      </c>
      <c r="K212" s="142">
        <f t="shared" si="52"/>
        <v>169.5</v>
      </c>
      <c r="L212" s="142">
        <f>AVERAGE(L24:L28)</f>
        <v>21804.2</v>
      </c>
    </row>
    <row r="213" spans="1:12" ht="11.25" customHeight="1">
      <c r="A213" s="99" t="s">
        <v>166</v>
      </c>
      <c r="B213" s="142" t="str">
        <f>B29</f>
        <v>-</v>
      </c>
      <c r="C213" s="142">
        <f>AVERAGE(C29:C33)</f>
        <v>63</v>
      </c>
      <c r="D213" s="142">
        <f>AVERAGE(D29:D33)</f>
        <v>211.6</v>
      </c>
      <c r="E213" s="142">
        <f>AVERAGE(E29:E33)</f>
        <v>1459.8</v>
      </c>
      <c r="F213" s="142">
        <f t="shared" ref="F213:L213" si="53">AVERAGE(F29:F33)</f>
        <v>12415.6</v>
      </c>
      <c r="G213" s="142">
        <f t="shared" si="53"/>
        <v>37987.199999999997</v>
      </c>
      <c r="H213" s="142">
        <f t="shared" si="53"/>
        <v>18656.400000000001</v>
      </c>
      <c r="I213" s="142">
        <f t="shared" si="53"/>
        <v>8798</v>
      </c>
      <c r="J213" s="142">
        <f t="shared" si="53"/>
        <v>3530.8</v>
      </c>
      <c r="K213" s="142">
        <f t="shared" si="53"/>
        <v>182</v>
      </c>
      <c r="L213" s="142">
        <f t="shared" si="53"/>
        <v>83279.199999999997</v>
      </c>
    </row>
    <row r="214" spans="1:12" ht="11.25" customHeight="1">
      <c r="A214" s="99" t="s">
        <v>315</v>
      </c>
      <c r="B214" s="142" t="str">
        <f>B34</f>
        <v>-</v>
      </c>
      <c r="C214" s="142">
        <f>AVERAGE(C34:C38)</f>
        <v>30</v>
      </c>
      <c r="D214" s="142">
        <f t="shared" ref="D214:L214" si="54">AVERAGE(D34:D38)</f>
        <v>83.5</v>
      </c>
      <c r="E214" s="142">
        <f t="shared" si="54"/>
        <v>970</v>
      </c>
      <c r="F214" s="142">
        <f t="shared" si="54"/>
        <v>4620.6000000000004</v>
      </c>
      <c r="G214" s="142">
        <f t="shared" si="54"/>
        <v>18042</v>
      </c>
      <c r="H214" s="142">
        <f t="shared" si="54"/>
        <v>15000</v>
      </c>
      <c r="I214" s="142">
        <f t="shared" si="54"/>
        <v>5786.8</v>
      </c>
      <c r="J214" s="142">
        <f t="shared" si="54"/>
        <v>2622.8</v>
      </c>
      <c r="K214" s="142">
        <f t="shared" si="54"/>
        <v>69</v>
      </c>
      <c r="L214" s="142">
        <f t="shared" si="54"/>
        <v>46727.199999999997</v>
      </c>
    </row>
    <row r="215" spans="1:12" ht="11.25" customHeight="1">
      <c r="A215" s="99">
        <v>2011</v>
      </c>
      <c r="B215" s="142" t="str">
        <f t="shared" ref="B215:L215" si="55">B39</f>
        <v>-</v>
      </c>
      <c r="C215" s="142">
        <f t="shared" si="55"/>
        <v>22</v>
      </c>
      <c r="D215" s="142">
        <f t="shared" si="55"/>
        <v>75</v>
      </c>
      <c r="E215" s="142">
        <f t="shared" si="55"/>
        <v>433</v>
      </c>
      <c r="F215" s="142">
        <f t="shared" si="55"/>
        <v>2965</v>
      </c>
      <c r="G215" s="142">
        <f t="shared" si="55"/>
        <v>10835</v>
      </c>
      <c r="H215" s="142">
        <f t="shared" si="55"/>
        <v>10173</v>
      </c>
      <c r="I215" s="142">
        <f t="shared" si="55"/>
        <v>9354</v>
      </c>
      <c r="J215" s="142">
        <f t="shared" si="55"/>
        <v>1240</v>
      </c>
      <c r="K215" s="142">
        <f t="shared" si="55"/>
        <v>16</v>
      </c>
      <c r="L215" s="142">
        <f t="shared" si="55"/>
        <v>35113</v>
      </c>
    </row>
    <row r="216" spans="1:12" ht="11.25" customHeight="1">
      <c r="A216" s="99">
        <v>2012</v>
      </c>
      <c r="B216" s="142" t="str">
        <f t="shared" ref="B216:L216" si="56">B40</f>
        <v>-</v>
      </c>
      <c r="C216" s="142">
        <f t="shared" si="56"/>
        <v>23</v>
      </c>
      <c r="D216" s="142">
        <f t="shared" si="56"/>
        <v>380</v>
      </c>
      <c r="E216" s="142">
        <f t="shared" si="56"/>
        <v>1622</v>
      </c>
      <c r="F216" s="142">
        <f t="shared" si="56"/>
        <v>3778</v>
      </c>
      <c r="G216" s="142">
        <f t="shared" si="56"/>
        <v>9872</v>
      </c>
      <c r="H216" s="142">
        <f t="shared" si="56"/>
        <v>12531</v>
      </c>
      <c r="I216" s="142">
        <f t="shared" si="56"/>
        <v>13720</v>
      </c>
      <c r="J216" s="142">
        <f t="shared" si="56"/>
        <v>1705</v>
      </c>
      <c r="K216" s="142">
        <f t="shared" si="56"/>
        <v>18</v>
      </c>
      <c r="L216" s="142">
        <f t="shared" si="56"/>
        <v>43649</v>
      </c>
    </row>
    <row r="217" spans="1:12" ht="11.25" customHeight="1">
      <c r="A217" s="99">
        <v>2013</v>
      </c>
      <c r="B217" s="142" t="str">
        <f t="shared" ref="B217:L217" si="57">B41</f>
        <v>-</v>
      </c>
      <c r="C217" s="142">
        <f t="shared" si="57"/>
        <v>479</v>
      </c>
      <c r="D217" s="142">
        <f t="shared" si="57"/>
        <v>693</v>
      </c>
      <c r="E217" s="142">
        <f t="shared" si="57"/>
        <v>911</v>
      </c>
      <c r="F217" s="142">
        <f t="shared" si="57"/>
        <v>3970</v>
      </c>
      <c r="G217" s="142">
        <f t="shared" si="57"/>
        <v>11214</v>
      </c>
      <c r="H217" s="142">
        <f t="shared" si="57"/>
        <v>25977</v>
      </c>
      <c r="I217" s="142">
        <f t="shared" si="57"/>
        <v>11833</v>
      </c>
      <c r="J217" s="142">
        <f t="shared" si="57"/>
        <v>4214</v>
      </c>
      <c r="K217" s="142" t="str">
        <f t="shared" si="57"/>
        <v>--</v>
      </c>
      <c r="L217" s="142">
        <f t="shared" si="57"/>
        <v>59291</v>
      </c>
    </row>
    <row r="218" spans="1:12" ht="11.25" customHeight="1">
      <c r="A218" s="99">
        <v>2014</v>
      </c>
      <c r="B218" s="142" t="str">
        <f t="shared" ref="B218:L218" si="58">B42</f>
        <v>-</v>
      </c>
      <c r="C218" s="142">
        <f t="shared" si="58"/>
        <v>87</v>
      </c>
      <c r="D218" s="142">
        <f t="shared" si="58"/>
        <v>136</v>
      </c>
      <c r="E218" s="142">
        <f t="shared" si="58"/>
        <v>2235</v>
      </c>
      <c r="F218" s="142">
        <f t="shared" si="58"/>
        <v>5251</v>
      </c>
      <c r="G218" s="142">
        <f t="shared" si="58"/>
        <v>32802</v>
      </c>
      <c r="H218" s="142">
        <f t="shared" si="58"/>
        <v>25863</v>
      </c>
      <c r="I218" s="142">
        <f t="shared" si="58"/>
        <v>24388</v>
      </c>
      <c r="J218" s="142">
        <f t="shared" si="58"/>
        <v>1421</v>
      </c>
      <c r="K218" s="142" t="str">
        <f t="shared" si="58"/>
        <v>--</v>
      </c>
      <c r="L218" s="142">
        <f t="shared" si="58"/>
        <v>92183</v>
      </c>
    </row>
    <row r="219" spans="1:12" ht="11.25" customHeight="1">
      <c r="A219" s="99">
        <v>2015</v>
      </c>
      <c r="B219" s="142" t="str">
        <f t="shared" ref="B219:L219" si="59">B43</f>
        <v>-</v>
      </c>
      <c r="C219" s="142">
        <f t="shared" si="59"/>
        <v>60</v>
      </c>
      <c r="D219" s="142">
        <f t="shared" si="59"/>
        <v>152</v>
      </c>
      <c r="E219" s="142">
        <f t="shared" si="59"/>
        <v>1382</v>
      </c>
      <c r="F219" s="142">
        <f t="shared" si="59"/>
        <v>2350</v>
      </c>
      <c r="G219" s="142">
        <f t="shared" si="59"/>
        <v>18025</v>
      </c>
      <c r="H219" s="142">
        <f t="shared" si="59"/>
        <v>7526</v>
      </c>
      <c r="I219" s="142">
        <f t="shared" si="59"/>
        <v>16586</v>
      </c>
      <c r="J219" s="142">
        <f t="shared" si="59"/>
        <v>2374</v>
      </c>
      <c r="K219" s="142" t="str">
        <f t="shared" si="59"/>
        <v>--</v>
      </c>
      <c r="L219" s="142">
        <f t="shared" si="59"/>
        <v>48455</v>
      </c>
    </row>
    <row r="220" spans="1:12" ht="11.25" customHeight="1">
      <c r="A220" s="99">
        <v>2016</v>
      </c>
      <c r="B220" s="142" t="str">
        <f t="shared" ref="B220:L220" si="60">B44</f>
        <v>-</v>
      </c>
      <c r="C220" s="142">
        <f t="shared" si="60"/>
        <v>82</v>
      </c>
      <c r="D220" s="142">
        <f t="shared" si="60"/>
        <v>18</v>
      </c>
      <c r="E220" s="142">
        <f t="shared" si="60"/>
        <v>1037</v>
      </c>
      <c r="F220" s="142">
        <f t="shared" si="60"/>
        <v>2799</v>
      </c>
      <c r="G220" s="142">
        <f t="shared" si="60"/>
        <v>6382</v>
      </c>
      <c r="H220" s="142">
        <f t="shared" si="60"/>
        <v>4835</v>
      </c>
      <c r="I220" s="142">
        <f t="shared" si="60"/>
        <v>14579</v>
      </c>
      <c r="J220" s="142">
        <f t="shared" si="60"/>
        <v>612</v>
      </c>
      <c r="K220" s="142" t="str">
        <f t="shared" si="60"/>
        <v>--</v>
      </c>
      <c r="L220" s="142">
        <f t="shared" si="60"/>
        <v>30344</v>
      </c>
    </row>
    <row r="221" spans="1:12" ht="11.25" customHeight="1">
      <c r="A221" s="99">
        <v>2017</v>
      </c>
      <c r="B221" s="142" t="str">
        <f t="shared" ref="B221:L221" si="61">B45</f>
        <v>-</v>
      </c>
      <c r="C221" s="142">
        <f t="shared" si="61"/>
        <v>17</v>
      </c>
      <c r="D221" s="142">
        <f t="shared" si="61"/>
        <v>60</v>
      </c>
      <c r="E221" s="142">
        <f t="shared" si="61"/>
        <v>500</v>
      </c>
      <c r="F221" s="142">
        <f t="shared" si="61"/>
        <v>1916</v>
      </c>
      <c r="G221" s="142">
        <f t="shared" si="61"/>
        <v>10057</v>
      </c>
      <c r="H221" s="142">
        <f t="shared" si="61"/>
        <v>9383</v>
      </c>
      <c r="I221" s="142">
        <f t="shared" si="61"/>
        <v>9343</v>
      </c>
      <c r="J221" s="142">
        <f t="shared" si="61"/>
        <v>453</v>
      </c>
      <c r="K221" s="142" t="str">
        <f t="shared" si="61"/>
        <v>--</v>
      </c>
      <c r="L221" s="142">
        <f t="shared" si="61"/>
        <v>31729</v>
      </c>
    </row>
    <row r="222" spans="1:12" ht="11.25" customHeight="1">
      <c r="A222" s="99">
        <v>2018</v>
      </c>
      <c r="B222" s="142" t="str">
        <f t="shared" ref="B222:L222" si="62">B46</f>
        <v>-</v>
      </c>
      <c r="C222" s="142">
        <f t="shared" si="62"/>
        <v>54</v>
      </c>
      <c r="D222" s="142">
        <f t="shared" si="62"/>
        <v>19</v>
      </c>
      <c r="E222" s="142">
        <f t="shared" si="62"/>
        <v>657</v>
      </c>
      <c r="F222" s="142">
        <f t="shared" si="62"/>
        <v>1122</v>
      </c>
      <c r="G222" s="142">
        <f t="shared" si="62"/>
        <v>9566</v>
      </c>
      <c r="H222" s="142">
        <f t="shared" si="62"/>
        <v>22219</v>
      </c>
      <c r="I222" s="142">
        <f t="shared" si="62"/>
        <v>14596</v>
      </c>
      <c r="J222" s="142">
        <f t="shared" si="62"/>
        <v>899</v>
      </c>
      <c r="K222" s="142" t="str">
        <f t="shared" si="62"/>
        <v>--</v>
      </c>
      <c r="L222" s="142">
        <f t="shared" si="62"/>
        <v>49132</v>
      </c>
    </row>
    <row r="223" spans="1:12" ht="11.25" customHeight="1">
      <c r="A223" s="99">
        <v>2019</v>
      </c>
      <c r="B223" s="142" t="str">
        <f t="shared" ref="B223:L223" si="63">B47</f>
        <v>-</v>
      </c>
      <c r="C223" s="142">
        <f t="shared" si="63"/>
        <v>43</v>
      </c>
      <c r="D223" s="142">
        <f t="shared" si="63"/>
        <v>8</v>
      </c>
      <c r="E223" s="142">
        <f t="shared" si="63"/>
        <v>410</v>
      </c>
      <c r="F223" s="142">
        <f t="shared" si="63"/>
        <v>6273</v>
      </c>
      <c r="G223" s="142">
        <f t="shared" si="63"/>
        <v>32385</v>
      </c>
      <c r="H223" s="142">
        <f t="shared" si="63"/>
        <v>24824</v>
      </c>
      <c r="I223" s="142">
        <f t="shared" si="63"/>
        <v>9660</v>
      </c>
      <c r="J223" s="142">
        <f t="shared" si="63"/>
        <v>1581</v>
      </c>
      <c r="K223" s="142" t="str">
        <f t="shared" si="63"/>
        <v>-</v>
      </c>
      <c r="L223" s="142">
        <f t="shared" si="63"/>
        <v>75184</v>
      </c>
    </row>
    <row r="224" spans="1:12" ht="11.25" customHeight="1">
      <c r="A224" s="99">
        <v>2020</v>
      </c>
      <c r="B224" s="142" t="str">
        <f>B48</f>
        <v>-</v>
      </c>
      <c r="C224" s="142">
        <f t="shared" ref="C224:L225" si="64">C48</f>
        <v>11</v>
      </c>
      <c r="D224" s="142">
        <f t="shared" si="64"/>
        <v>112</v>
      </c>
      <c r="E224" s="142">
        <f t="shared" si="64"/>
        <v>292</v>
      </c>
      <c r="F224" s="142">
        <f t="shared" si="64"/>
        <v>649</v>
      </c>
      <c r="G224" s="142">
        <f t="shared" si="64"/>
        <v>21207</v>
      </c>
      <c r="H224" s="142">
        <f t="shared" si="64"/>
        <v>11969</v>
      </c>
      <c r="I224" s="142">
        <f t="shared" si="64"/>
        <v>11346</v>
      </c>
      <c r="J224" s="142">
        <f t="shared" si="64"/>
        <v>1714</v>
      </c>
      <c r="K224" s="142" t="str">
        <f t="shared" si="64"/>
        <v>-</v>
      </c>
      <c r="L224" s="142">
        <f t="shared" si="64"/>
        <v>47300</v>
      </c>
    </row>
    <row r="225" spans="1:12" ht="11.25" customHeight="1">
      <c r="A225" s="99" t="s">
        <v>317</v>
      </c>
      <c r="B225" s="142" t="str">
        <f>B49</f>
        <v>-</v>
      </c>
      <c r="C225" s="142">
        <f t="shared" si="64"/>
        <v>23</v>
      </c>
      <c r="D225" s="142">
        <f t="shared" si="64"/>
        <v>571</v>
      </c>
      <c r="E225" s="142">
        <f t="shared" si="64"/>
        <v>845</v>
      </c>
      <c r="F225" s="142">
        <f t="shared" si="64"/>
        <v>4697</v>
      </c>
      <c r="G225" s="142">
        <f t="shared" si="64"/>
        <v>34163</v>
      </c>
      <c r="H225" s="142">
        <f t="shared" si="64"/>
        <v>25957</v>
      </c>
      <c r="I225" s="142">
        <f t="shared" si="64"/>
        <v>13474</v>
      </c>
      <c r="J225" s="142">
        <f t="shared" si="64"/>
        <v>202</v>
      </c>
      <c r="K225" s="142" t="str">
        <f t="shared" si="64"/>
        <v>-</v>
      </c>
      <c r="L225" s="142">
        <f t="shared" si="64"/>
        <v>79932</v>
      </c>
    </row>
    <row r="226" spans="1:12" ht="11.25" customHeight="1">
      <c r="A226" s="99"/>
      <c r="B226" s="142"/>
      <c r="C226" s="142"/>
      <c r="D226" s="142"/>
      <c r="E226" s="142"/>
      <c r="F226" s="142"/>
      <c r="G226" s="142"/>
      <c r="H226" s="142"/>
      <c r="I226" s="142"/>
      <c r="J226" s="142"/>
      <c r="K226" s="142"/>
      <c r="L226" s="142"/>
    </row>
    <row r="227" spans="1:12" ht="11.25" customHeight="1">
      <c r="A227" s="123" t="s">
        <v>346</v>
      </c>
      <c r="B227" s="142"/>
      <c r="C227" s="142"/>
      <c r="D227" s="142"/>
      <c r="E227" s="142"/>
      <c r="F227" s="142"/>
      <c r="G227" s="142"/>
      <c r="H227" s="142"/>
      <c r="I227" s="142"/>
      <c r="J227" s="142"/>
      <c r="K227" s="142"/>
      <c r="L227" s="142"/>
    </row>
    <row r="228" spans="1:12" ht="11.25" customHeight="1">
      <c r="A228" s="99" t="s">
        <v>24</v>
      </c>
      <c r="B228" s="142">
        <f>AVERAGE(B57:B61)</f>
        <v>0</v>
      </c>
      <c r="C228" s="142">
        <f t="shared" ref="C228:L228" si="65">AVERAGE(C57:C61)</f>
        <v>0</v>
      </c>
      <c r="D228" s="142">
        <f t="shared" si="65"/>
        <v>0.6</v>
      </c>
      <c r="E228" s="142">
        <f t="shared" si="65"/>
        <v>3481</v>
      </c>
      <c r="F228" s="142">
        <f t="shared" si="65"/>
        <v>14938.4</v>
      </c>
      <c r="G228" s="142">
        <f t="shared" si="65"/>
        <v>49198.400000000001</v>
      </c>
      <c r="H228" s="142">
        <f t="shared" si="65"/>
        <v>26921.599999999999</v>
      </c>
      <c r="I228" s="142">
        <f t="shared" si="65"/>
        <v>4354.3999999999996</v>
      </c>
      <c r="J228" s="142">
        <f t="shared" si="65"/>
        <v>3415.8</v>
      </c>
      <c r="K228" s="142">
        <f t="shared" si="65"/>
        <v>137.80000000000001</v>
      </c>
      <c r="L228" s="142">
        <f t="shared" si="65"/>
        <v>102448</v>
      </c>
    </row>
    <row r="229" spans="1:12" ht="11.25" customHeight="1">
      <c r="A229" s="99" t="s">
        <v>78</v>
      </c>
      <c r="B229" s="142">
        <f>AVERAGE(B62:B66)</f>
        <v>0</v>
      </c>
      <c r="C229" s="142">
        <f t="shared" ref="C229:L229" si="66">AVERAGE(C62:C66)</f>
        <v>0</v>
      </c>
      <c r="D229" s="142" t="s">
        <v>23</v>
      </c>
      <c r="E229" s="142">
        <f t="shared" si="66"/>
        <v>5290.8</v>
      </c>
      <c r="F229" s="142">
        <f t="shared" si="66"/>
        <v>33539</v>
      </c>
      <c r="G229" s="142">
        <f t="shared" si="66"/>
        <v>62718</v>
      </c>
      <c r="H229" s="142">
        <f t="shared" si="66"/>
        <v>27347</v>
      </c>
      <c r="I229" s="142">
        <f t="shared" si="66"/>
        <v>5042.3999999999996</v>
      </c>
      <c r="J229" s="142">
        <f t="shared" si="66"/>
        <v>3353.3333333333335</v>
      </c>
      <c r="K229" s="142" t="s">
        <v>23</v>
      </c>
      <c r="L229" s="142">
        <f t="shared" si="66"/>
        <v>135949.20000000001</v>
      </c>
    </row>
    <row r="230" spans="1:12" ht="11.25" customHeight="1">
      <c r="A230" s="99" t="s">
        <v>10</v>
      </c>
      <c r="B230" s="142" t="s">
        <v>23</v>
      </c>
      <c r="C230" s="142" t="s">
        <v>23</v>
      </c>
      <c r="D230" s="142" t="s">
        <v>23</v>
      </c>
      <c r="E230" s="142">
        <f>AVERAGE(E67:E71)</f>
        <v>6721.5</v>
      </c>
      <c r="F230" s="142">
        <f t="shared" ref="F230:L230" si="67">AVERAGE(F67:F71)</f>
        <v>16126.75</v>
      </c>
      <c r="G230" s="142">
        <f t="shared" si="67"/>
        <v>28644.333333333332</v>
      </c>
      <c r="H230" s="142">
        <f t="shared" si="67"/>
        <v>7900.75</v>
      </c>
      <c r="I230" s="142">
        <f t="shared" si="67"/>
        <v>7727.4</v>
      </c>
      <c r="J230" s="142">
        <f t="shared" si="67"/>
        <v>2878.75</v>
      </c>
      <c r="K230" s="142" t="s">
        <v>23</v>
      </c>
      <c r="L230" s="142">
        <f t="shared" si="67"/>
        <v>51816.2</v>
      </c>
    </row>
    <row r="231" spans="1:12" ht="11.25" customHeight="1">
      <c r="A231" s="99" t="s">
        <v>144</v>
      </c>
      <c r="B231" s="142" t="s">
        <v>23</v>
      </c>
      <c r="C231" s="142" t="s">
        <v>23</v>
      </c>
      <c r="D231" s="142" t="s">
        <v>23</v>
      </c>
      <c r="E231" s="142">
        <f>AVERAGE(E72:E76)</f>
        <v>3271.2</v>
      </c>
      <c r="F231" s="142">
        <f t="shared" ref="F231:L231" si="68">AVERAGE(F72:F76)</f>
        <v>9149.6</v>
      </c>
      <c r="G231" s="142">
        <f t="shared" si="68"/>
        <v>5570.4</v>
      </c>
      <c r="H231" s="142">
        <f t="shared" si="68"/>
        <v>12831.6</v>
      </c>
      <c r="I231" s="142">
        <f t="shared" si="68"/>
        <v>3265.8</v>
      </c>
      <c r="J231" s="142">
        <f t="shared" si="68"/>
        <v>2765.8</v>
      </c>
      <c r="K231" s="142" t="s">
        <v>23</v>
      </c>
      <c r="L231" s="142">
        <f t="shared" si="68"/>
        <v>36854.400000000001</v>
      </c>
    </row>
    <row r="232" spans="1:12" ht="11.25" customHeight="1">
      <c r="A232" s="99" t="s">
        <v>166</v>
      </c>
      <c r="B232" s="142" t="str">
        <f>B77</f>
        <v>-</v>
      </c>
      <c r="C232" s="142" t="str">
        <f>C77</f>
        <v>-</v>
      </c>
      <c r="D232" s="142" t="str">
        <f>D77</f>
        <v>-</v>
      </c>
      <c r="E232" s="142">
        <f t="shared" ref="E232:J232" si="69">AVERAGE(E77:E81)</f>
        <v>4565.8</v>
      </c>
      <c r="F232" s="142">
        <f t="shared" si="69"/>
        <v>8748</v>
      </c>
      <c r="G232" s="142">
        <f t="shared" si="69"/>
        <v>6207.6</v>
      </c>
      <c r="H232" s="142">
        <f t="shared" si="69"/>
        <v>12157.4</v>
      </c>
      <c r="I232" s="142">
        <f t="shared" si="69"/>
        <v>4617.2</v>
      </c>
      <c r="J232" s="142">
        <f t="shared" si="69"/>
        <v>2983.2</v>
      </c>
      <c r="K232" s="142" t="str">
        <f>K77</f>
        <v>-</v>
      </c>
      <c r="L232" s="142">
        <f>AVERAGE(L77:L81)</f>
        <v>39279.199999999997</v>
      </c>
    </row>
    <row r="233" spans="1:12" ht="11.25" customHeight="1">
      <c r="A233" s="99" t="s">
        <v>315</v>
      </c>
      <c r="B233" s="142" t="str">
        <f>B82</f>
        <v>-</v>
      </c>
      <c r="C233" s="142" t="str">
        <f t="shared" ref="C233:D233" si="70">C82</f>
        <v>-</v>
      </c>
      <c r="D233" s="142" t="str">
        <f t="shared" si="70"/>
        <v>-</v>
      </c>
      <c r="E233" s="142">
        <f>AVERAGE(E82:E86)</f>
        <v>2632.6666666666665</v>
      </c>
      <c r="F233" s="142">
        <f t="shared" ref="F233:L233" si="71">AVERAGE(F82:F86)</f>
        <v>3318.6</v>
      </c>
      <c r="G233" s="142">
        <f t="shared" si="71"/>
        <v>3328.2</v>
      </c>
      <c r="H233" s="142">
        <f t="shared" si="71"/>
        <v>4160.25</v>
      </c>
      <c r="I233" s="142">
        <f t="shared" si="71"/>
        <v>4362</v>
      </c>
      <c r="J233" s="142">
        <f t="shared" si="71"/>
        <v>2419.75</v>
      </c>
      <c r="K233" s="142" t="str">
        <f t="shared" ref="K233" si="72">K82</f>
        <v>-</v>
      </c>
      <c r="L233" s="142">
        <f t="shared" si="71"/>
        <v>16980</v>
      </c>
    </row>
    <row r="234" spans="1:12" ht="11.25" customHeight="1">
      <c r="A234" s="99">
        <v>2011</v>
      </c>
      <c r="B234" s="142" t="str">
        <f t="shared" ref="B234:L234" si="73">B87</f>
        <v>-</v>
      </c>
      <c r="C234" s="142" t="str">
        <f t="shared" si="73"/>
        <v>-</v>
      </c>
      <c r="D234" s="142" t="str">
        <f t="shared" si="73"/>
        <v>-</v>
      </c>
      <c r="E234" s="142">
        <f t="shared" si="73"/>
        <v>2244</v>
      </c>
      <c r="F234" s="142">
        <f t="shared" si="73"/>
        <v>2974</v>
      </c>
      <c r="G234" s="142">
        <f t="shared" si="73"/>
        <v>5059</v>
      </c>
      <c r="H234" s="142">
        <f t="shared" si="73"/>
        <v>6554</v>
      </c>
      <c r="I234" s="142">
        <f t="shared" si="73"/>
        <v>2621</v>
      </c>
      <c r="J234" s="142">
        <f t="shared" si="73"/>
        <v>1757</v>
      </c>
      <c r="K234" s="142" t="str">
        <f t="shared" si="73"/>
        <v>-</v>
      </c>
      <c r="L234" s="142">
        <f t="shared" si="73"/>
        <v>21209</v>
      </c>
    </row>
    <row r="235" spans="1:12" ht="11.25" customHeight="1">
      <c r="A235" s="99">
        <v>2012</v>
      </c>
      <c r="B235" s="142" t="str">
        <f t="shared" ref="B235:L235" si="74">B88</f>
        <v>-</v>
      </c>
      <c r="C235" s="142" t="str">
        <f t="shared" si="74"/>
        <v>-</v>
      </c>
      <c r="D235" s="142" t="str">
        <f t="shared" si="74"/>
        <v>-</v>
      </c>
      <c r="E235" s="142">
        <f t="shared" si="74"/>
        <v>3619</v>
      </c>
      <c r="F235" s="142">
        <f t="shared" si="74"/>
        <v>9514</v>
      </c>
      <c r="G235" s="142">
        <f t="shared" si="74"/>
        <v>14645</v>
      </c>
      <c r="H235" s="142">
        <f t="shared" si="74"/>
        <v>15183</v>
      </c>
      <c r="I235" s="142">
        <f t="shared" si="74"/>
        <v>3576</v>
      </c>
      <c r="J235" s="142">
        <f t="shared" si="74"/>
        <v>3666</v>
      </c>
      <c r="K235" s="142" t="str">
        <f t="shared" si="74"/>
        <v>-</v>
      </c>
      <c r="L235" s="142">
        <f t="shared" si="74"/>
        <v>50203</v>
      </c>
    </row>
    <row r="236" spans="1:12" ht="11.25" customHeight="1">
      <c r="A236" s="99">
        <v>2013</v>
      </c>
      <c r="B236" s="142" t="str">
        <f t="shared" ref="B236:L236" si="75">B89</f>
        <v>-</v>
      </c>
      <c r="C236" s="142" t="str">
        <f t="shared" si="75"/>
        <v>-</v>
      </c>
      <c r="D236" s="142" t="str">
        <f t="shared" si="75"/>
        <v>-</v>
      </c>
      <c r="E236" s="142">
        <f t="shared" si="75"/>
        <v>3501</v>
      </c>
      <c r="F236" s="142">
        <f t="shared" si="75"/>
        <v>10773</v>
      </c>
      <c r="G236" s="142">
        <f t="shared" si="75"/>
        <v>15914</v>
      </c>
      <c r="H236" s="142">
        <f t="shared" si="75"/>
        <v>15379</v>
      </c>
      <c r="I236" s="142">
        <f t="shared" si="75"/>
        <v>822</v>
      </c>
      <c r="J236" s="142">
        <f t="shared" si="75"/>
        <v>3547</v>
      </c>
      <c r="K236" s="142" t="str">
        <f t="shared" si="75"/>
        <v>-</v>
      </c>
      <c r="L236" s="142">
        <f t="shared" si="75"/>
        <v>49936</v>
      </c>
    </row>
    <row r="237" spans="1:12" ht="11.25" customHeight="1">
      <c r="A237" s="99">
        <v>2014</v>
      </c>
      <c r="B237" s="142" t="str">
        <f t="shared" ref="B237:L237" si="76">B90</f>
        <v>-</v>
      </c>
      <c r="C237" s="142" t="str">
        <f t="shared" si="76"/>
        <v>-</v>
      </c>
      <c r="D237" s="142" t="str">
        <f t="shared" si="76"/>
        <v>-</v>
      </c>
      <c r="E237" s="142">
        <f t="shared" si="76"/>
        <v>5588</v>
      </c>
      <c r="F237" s="142">
        <f t="shared" si="76"/>
        <v>6409</v>
      </c>
      <c r="G237" s="142">
        <f t="shared" si="76"/>
        <v>12723</v>
      </c>
      <c r="H237" s="142">
        <f t="shared" si="76"/>
        <v>7475</v>
      </c>
      <c r="I237" s="142">
        <f t="shared" si="76"/>
        <v>868</v>
      </c>
      <c r="J237" s="142">
        <f t="shared" si="76"/>
        <v>4639</v>
      </c>
      <c r="K237" s="142" t="str">
        <f t="shared" si="76"/>
        <v>-</v>
      </c>
      <c r="L237" s="142">
        <f t="shared" si="76"/>
        <v>37702</v>
      </c>
    </row>
    <row r="238" spans="1:12" ht="11.25" customHeight="1">
      <c r="A238" s="99">
        <v>2015</v>
      </c>
      <c r="B238" s="142" t="str">
        <f t="shared" ref="B238:L238" si="77">B91</f>
        <v>-</v>
      </c>
      <c r="C238" s="142" t="str">
        <f t="shared" si="77"/>
        <v>-</v>
      </c>
      <c r="D238" s="142" t="str">
        <f t="shared" si="77"/>
        <v>-</v>
      </c>
      <c r="E238" s="142">
        <f t="shared" si="77"/>
        <v>2946</v>
      </c>
      <c r="F238" s="142">
        <f t="shared" si="77"/>
        <v>1679</v>
      </c>
      <c r="G238" s="142">
        <f t="shared" si="77"/>
        <v>3974</v>
      </c>
      <c r="H238" s="142">
        <f t="shared" si="77"/>
        <v>2927</v>
      </c>
      <c r="I238" s="142">
        <f t="shared" si="77"/>
        <v>1328</v>
      </c>
      <c r="J238" s="142">
        <f t="shared" si="77"/>
        <v>5040</v>
      </c>
      <c r="K238" s="142" t="str">
        <f t="shared" si="77"/>
        <v>-</v>
      </c>
      <c r="L238" s="142">
        <f t="shared" si="77"/>
        <v>17894</v>
      </c>
    </row>
    <row r="239" spans="1:12" ht="11.25" customHeight="1">
      <c r="A239" s="99">
        <v>2016</v>
      </c>
      <c r="B239" s="142" t="str">
        <f t="shared" ref="B239:L239" si="78">B92</f>
        <v>-</v>
      </c>
      <c r="C239" s="142" t="str">
        <f t="shared" si="78"/>
        <v>-</v>
      </c>
      <c r="D239" s="142" t="str">
        <f t="shared" si="78"/>
        <v>-</v>
      </c>
      <c r="E239" s="142">
        <f t="shared" si="78"/>
        <v>1682</v>
      </c>
      <c r="F239" s="142">
        <f t="shared" si="78"/>
        <v>2622</v>
      </c>
      <c r="G239" s="142">
        <f t="shared" si="78"/>
        <v>3273</v>
      </c>
      <c r="H239" s="142">
        <f t="shared" si="78"/>
        <v>2134</v>
      </c>
      <c r="I239" s="142">
        <f t="shared" si="78"/>
        <v>1558</v>
      </c>
      <c r="J239" s="142">
        <f t="shared" si="78"/>
        <v>1872</v>
      </c>
      <c r="K239" s="142" t="str">
        <f t="shared" si="78"/>
        <v>-</v>
      </c>
      <c r="L239" s="142">
        <f t="shared" si="78"/>
        <v>13141</v>
      </c>
    </row>
    <row r="240" spans="1:12" ht="11.25" customHeight="1">
      <c r="A240" s="99">
        <v>2017</v>
      </c>
      <c r="B240" s="142" t="str">
        <f t="shared" ref="B240:L240" si="79">B93</f>
        <v>-</v>
      </c>
      <c r="C240" s="142" t="str">
        <f t="shared" si="79"/>
        <v>-</v>
      </c>
      <c r="D240" s="142" t="str">
        <f t="shared" si="79"/>
        <v>-</v>
      </c>
      <c r="E240" s="142" t="str">
        <f t="shared" si="79"/>
        <v>-</v>
      </c>
      <c r="F240" s="142" t="str">
        <f t="shared" si="79"/>
        <v>-</v>
      </c>
      <c r="G240" s="142" t="str">
        <f t="shared" si="79"/>
        <v>-</v>
      </c>
      <c r="H240" s="142" t="str">
        <f t="shared" si="79"/>
        <v>-</v>
      </c>
      <c r="I240" s="142" t="str">
        <f t="shared" si="79"/>
        <v>-</v>
      </c>
      <c r="J240" s="142">
        <f t="shared" si="79"/>
        <v>2012</v>
      </c>
      <c r="K240" s="142" t="str">
        <f t="shared" si="79"/>
        <v>-</v>
      </c>
      <c r="L240" s="142">
        <f t="shared" si="79"/>
        <v>2012</v>
      </c>
    </row>
    <row r="241" spans="1:12" ht="11.25" customHeight="1">
      <c r="A241" s="99">
        <v>2018</v>
      </c>
      <c r="B241" s="142" t="str">
        <f t="shared" ref="B241:L241" si="80">B94</f>
        <v>-</v>
      </c>
      <c r="C241" s="142" t="str">
        <f t="shared" si="80"/>
        <v>-</v>
      </c>
      <c r="D241" s="142" t="str">
        <f t="shared" si="80"/>
        <v>-</v>
      </c>
      <c r="E241" s="142">
        <f t="shared" si="80"/>
        <v>508</v>
      </c>
      <c r="F241" s="142">
        <f t="shared" si="80"/>
        <v>3715</v>
      </c>
      <c r="G241" s="142">
        <f t="shared" si="80"/>
        <v>4138</v>
      </c>
      <c r="H241" s="142">
        <f t="shared" si="80"/>
        <v>3855</v>
      </c>
      <c r="I241" s="142">
        <f t="shared" si="80"/>
        <v>51</v>
      </c>
      <c r="J241" s="142">
        <f t="shared" si="80"/>
        <v>2102</v>
      </c>
      <c r="K241" s="142" t="str">
        <f t="shared" si="80"/>
        <v>-</v>
      </c>
      <c r="L241" s="142">
        <f t="shared" si="80"/>
        <v>14369</v>
      </c>
    </row>
    <row r="242" spans="1:12" ht="11.25" customHeight="1">
      <c r="A242" s="99">
        <v>2019</v>
      </c>
      <c r="B242" s="142" t="str">
        <f t="shared" ref="B242:L242" si="81">B95</f>
        <v>-</v>
      </c>
      <c r="C242" s="142" t="str">
        <f t="shared" si="81"/>
        <v>-</v>
      </c>
      <c r="D242" s="142" t="str">
        <f t="shared" si="81"/>
        <v>-</v>
      </c>
      <c r="E242" s="142">
        <f t="shared" si="81"/>
        <v>496</v>
      </c>
      <c r="F242" s="142">
        <f t="shared" si="81"/>
        <v>3507</v>
      </c>
      <c r="G242" s="142">
        <f t="shared" si="81"/>
        <v>4611</v>
      </c>
      <c r="H242" s="142">
        <f t="shared" si="81"/>
        <v>3308</v>
      </c>
      <c r="I242" s="142">
        <f t="shared" si="81"/>
        <v>147</v>
      </c>
      <c r="J242" s="142" t="str">
        <f t="shared" si="81"/>
        <v>-</v>
      </c>
      <c r="K242" s="142" t="str">
        <f t="shared" si="81"/>
        <v>-</v>
      </c>
      <c r="L242" s="142">
        <f t="shared" si="81"/>
        <v>12069</v>
      </c>
    </row>
    <row r="243" spans="1:12" ht="11.25" customHeight="1">
      <c r="A243" s="99" t="s">
        <v>350</v>
      </c>
      <c r="B243" s="142" t="str">
        <f>B96</f>
        <v>-</v>
      </c>
      <c r="C243" s="142" t="str">
        <f t="shared" ref="C243:L244" si="82">C96</f>
        <v>-</v>
      </c>
      <c r="D243" s="142" t="str">
        <f t="shared" si="82"/>
        <v>-</v>
      </c>
      <c r="E243" s="142" t="str">
        <f t="shared" si="82"/>
        <v>-</v>
      </c>
      <c r="F243" s="142">
        <f t="shared" si="82"/>
        <v>1624</v>
      </c>
      <c r="G243" s="142">
        <f t="shared" si="82"/>
        <v>7786</v>
      </c>
      <c r="H243" s="142">
        <f t="shared" si="82"/>
        <v>1820</v>
      </c>
      <c r="I243" s="142" t="str">
        <f t="shared" si="82"/>
        <v>-</v>
      </c>
      <c r="J243" s="142" t="str">
        <f t="shared" si="82"/>
        <v>-</v>
      </c>
      <c r="K243" s="142" t="str">
        <f t="shared" si="82"/>
        <v>-</v>
      </c>
      <c r="L243" s="142">
        <f t="shared" si="82"/>
        <v>11230</v>
      </c>
    </row>
    <row r="244" spans="1:12" ht="11.25" customHeight="1">
      <c r="A244" s="99" t="s">
        <v>317</v>
      </c>
      <c r="B244" s="142" t="str">
        <f>B97</f>
        <v>-</v>
      </c>
      <c r="C244" s="142" t="str">
        <f t="shared" si="82"/>
        <v>-</v>
      </c>
      <c r="D244" s="142" t="str">
        <f t="shared" si="82"/>
        <v>-</v>
      </c>
      <c r="E244" s="142" t="str">
        <f t="shared" si="82"/>
        <v>-</v>
      </c>
      <c r="F244" s="142">
        <f t="shared" si="82"/>
        <v>2336</v>
      </c>
      <c r="G244" s="142">
        <f t="shared" si="82"/>
        <v>4562</v>
      </c>
      <c r="H244" s="142">
        <f t="shared" si="82"/>
        <v>1216</v>
      </c>
      <c r="I244" s="142" t="str">
        <f t="shared" si="82"/>
        <v>-</v>
      </c>
      <c r="J244" s="142" t="str">
        <f t="shared" si="82"/>
        <v>-</v>
      </c>
      <c r="K244" s="142" t="str">
        <f t="shared" si="82"/>
        <v>-</v>
      </c>
      <c r="L244" s="142">
        <f t="shared" si="82"/>
        <v>8114</v>
      </c>
    </row>
    <row r="245" spans="1:12" ht="11.25" customHeight="1">
      <c r="A245" s="99"/>
      <c r="B245" s="142"/>
      <c r="C245" s="142"/>
      <c r="D245" s="142"/>
      <c r="E245" s="142"/>
      <c r="F245" s="142"/>
      <c r="G245" s="142"/>
      <c r="H245" s="142"/>
      <c r="I245" s="142"/>
      <c r="J245" s="142"/>
      <c r="K245" s="142"/>
      <c r="L245" s="142"/>
    </row>
    <row r="246" spans="1:12" ht="11.25" customHeight="1">
      <c r="A246" s="314" t="s">
        <v>188</v>
      </c>
      <c r="B246" s="314"/>
      <c r="C246" s="314"/>
      <c r="D246" s="314"/>
      <c r="E246" s="314"/>
      <c r="F246" s="314"/>
      <c r="G246" s="314"/>
      <c r="H246" s="314"/>
      <c r="I246" s="314"/>
      <c r="J246" s="314"/>
      <c r="K246" s="314"/>
      <c r="L246" s="314"/>
    </row>
    <row r="247" spans="1:12" ht="11.25" customHeight="1">
      <c r="A247" s="360"/>
      <c r="B247" s="360"/>
      <c r="C247" s="360"/>
      <c r="D247" s="360"/>
      <c r="E247" s="360"/>
      <c r="F247" s="360"/>
      <c r="G247" s="360"/>
      <c r="H247" s="360"/>
      <c r="I247" s="360"/>
      <c r="J247" s="360"/>
      <c r="K247" s="360"/>
      <c r="L247" s="360"/>
    </row>
    <row r="248" spans="1:12" ht="11.25" customHeight="1">
      <c r="A248" s="98" t="s">
        <v>27</v>
      </c>
      <c r="B248" s="46" t="s">
        <v>36</v>
      </c>
      <c r="C248" s="46" t="s">
        <v>37</v>
      </c>
      <c r="D248" s="46" t="s">
        <v>28</v>
      </c>
      <c r="E248" s="46" t="s">
        <v>29</v>
      </c>
      <c r="F248" s="46" t="s">
        <v>30</v>
      </c>
      <c r="G248" s="46" t="s">
        <v>31</v>
      </c>
      <c r="H248" s="46" t="s">
        <v>32</v>
      </c>
      <c r="I248" s="46" t="s">
        <v>33</v>
      </c>
      <c r="J248" s="46" t="s">
        <v>34</v>
      </c>
      <c r="K248" s="46" t="s">
        <v>38</v>
      </c>
      <c r="L248" s="46" t="s">
        <v>22</v>
      </c>
    </row>
    <row r="249" spans="1:12" ht="11.25" customHeight="1">
      <c r="A249" s="94" t="s">
        <v>352</v>
      </c>
      <c r="B249" s="142"/>
      <c r="C249" s="142"/>
      <c r="D249" s="142"/>
      <c r="E249" s="142"/>
      <c r="F249" s="142"/>
      <c r="G249" s="142"/>
      <c r="H249" s="142"/>
      <c r="I249" s="142"/>
      <c r="J249" s="142"/>
      <c r="K249" s="142"/>
      <c r="L249" s="142"/>
    </row>
    <row r="250" spans="1:12" ht="11.25" customHeight="1">
      <c r="A250" s="99" t="s">
        <v>24</v>
      </c>
      <c r="B250" s="142">
        <f>AVERAGE(B105:B109)</f>
        <v>5106.6000000000004</v>
      </c>
      <c r="C250" s="142">
        <f t="shared" ref="C250:L250" si="83">AVERAGE(C105:C109)</f>
        <v>7945.4</v>
      </c>
      <c r="D250" s="142">
        <f t="shared" si="83"/>
        <v>8771.2000000000007</v>
      </c>
      <c r="E250" s="142">
        <f t="shared" si="83"/>
        <v>8898</v>
      </c>
      <c r="F250" s="142">
        <f t="shared" si="83"/>
        <v>14341.2</v>
      </c>
      <c r="G250" s="142">
        <f t="shared" si="83"/>
        <v>22037.8</v>
      </c>
      <c r="H250" s="142">
        <f t="shared" si="83"/>
        <v>16940.599999999999</v>
      </c>
      <c r="I250" s="142">
        <f t="shared" si="83"/>
        <v>9593</v>
      </c>
      <c r="J250" s="142">
        <f t="shared" si="83"/>
        <v>5648.4</v>
      </c>
      <c r="K250" s="142">
        <f t="shared" si="83"/>
        <v>1426.4</v>
      </c>
      <c r="L250" s="142">
        <f t="shared" si="83"/>
        <v>100708.6</v>
      </c>
    </row>
    <row r="251" spans="1:12" ht="11.25" customHeight="1">
      <c r="A251" s="99" t="s">
        <v>78</v>
      </c>
      <c r="B251" s="142">
        <f>AVERAGE(B110:B114)</f>
        <v>8272.4</v>
      </c>
      <c r="C251" s="142">
        <f t="shared" ref="C251:L251" si="84">AVERAGE(C110:C114)</f>
        <v>17094.400000000001</v>
      </c>
      <c r="D251" s="142">
        <f t="shared" si="84"/>
        <v>24033.599999999999</v>
      </c>
      <c r="E251" s="142">
        <f t="shared" si="84"/>
        <v>13831.2</v>
      </c>
      <c r="F251" s="142">
        <f t="shared" si="84"/>
        <v>23692.6</v>
      </c>
      <c r="G251" s="142">
        <f t="shared" si="84"/>
        <v>36169.599999999999</v>
      </c>
      <c r="H251" s="142">
        <f t="shared" si="84"/>
        <v>22630.6</v>
      </c>
      <c r="I251" s="142">
        <f t="shared" si="84"/>
        <v>10893</v>
      </c>
      <c r="J251" s="142">
        <f t="shared" si="84"/>
        <v>5028.8</v>
      </c>
      <c r="K251" s="142">
        <f t="shared" si="84"/>
        <v>1562.8</v>
      </c>
      <c r="L251" s="142">
        <f t="shared" si="84"/>
        <v>163209</v>
      </c>
    </row>
    <row r="252" spans="1:12" ht="11.25" customHeight="1">
      <c r="A252" s="99" t="s">
        <v>10</v>
      </c>
      <c r="B252" s="142">
        <f>AVERAGE(B115:B119)</f>
        <v>1262.5999999999999</v>
      </c>
      <c r="C252" s="142">
        <f t="shared" ref="C252:L252" si="85">AVERAGE(C115:C119)</f>
        <v>15053.8</v>
      </c>
      <c r="D252" s="142">
        <f t="shared" si="85"/>
        <v>23079</v>
      </c>
      <c r="E252" s="142">
        <f t="shared" si="85"/>
        <v>22179.599999999999</v>
      </c>
      <c r="F252" s="142">
        <f t="shared" si="85"/>
        <v>30006.799999999999</v>
      </c>
      <c r="G252" s="142">
        <f t="shared" si="85"/>
        <v>51594.6</v>
      </c>
      <c r="H252" s="142">
        <f t="shared" si="85"/>
        <v>26483</v>
      </c>
      <c r="I252" s="142">
        <f t="shared" si="85"/>
        <v>11093.4</v>
      </c>
      <c r="J252" s="142">
        <f t="shared" si="85"/>
        <v>5939</v>
      </c>
      <c r="K252" s="142">
        <f t="shared" si="85"/>
        <v>302.33333333333331</v>
      </c>
      <c r="L252" s="142">
        <f t="shared" si="85"/>
        <v>186873.2</v>
      </c>
    </row>
    <row r="253" spans="1:12" ht="11.25" customHeight="1">
      <c r="A253" s="99" t="s">
        <v>144</v>
      </c>
      <c r="B253" s="142">
        <f>AVERAGE(B120:B124)</f>
        <v>31.5</v>
      </c>
      <c r="C253" s="142">
        <f t="shared" ref="C253:L253" si="86">AVERAGE(C120:C124)</f>
        <v>14341.4</v>
      </c>
      <c r="D253" s="142">
        <f t="shared" si="86"/>
        <v>25245</v>
      </c>
      <c r="E253" s="142">
        <f t="shared" si="86"/>
        <v>21783.599999999999</v>
      </c>
      <c r="F253" s="142">
        <f t="shared" si="86"/>
        <v>31874.400000000001</v>
      </c>
      <c r="G253" s="142">
        <f t="shared" si="86"/>
        <v>42866.6</v>
      </c>
      <c r="H253" s="142">
        <f t="shared" si="86"/>
        <v>25997</v>
      </c>
      <c r="I253" s="142">
        <f t="shared" si="86"/>
        <v>9463.4</v>
      </c>
      <c r="J253" s="142">
        <f t="shared" si="86"/>
        <v>4144</v>
      </c>
      <c r="K253" s="142">
        <f t="shared" si="86"/>
        <v>610.33333333333337</v>
      </c>
      <c r="L253" s="142">
        <f t="shared" si="86"/>
        <v>176094.2</v>
      </c>
    </row>
    <row r="254" spans="1:12" ht="11.25" customHeight="1">
      <c r="A254" s="99" t="s">
        <v>166</v>
      </c>
      <c r="B254" s="142">
        <f>AVERAGE(B125:B129)</f>
        <v>370.6</v>
      </c>
      <c r="C254" s="142">
        <f>AVERAGE(C125:C129)</f>
        <v>2645.4</v>
      </c>
      <c r="D254" s="142">
        <f>AVERAGE(D125:D129)</f>
        <v>27879</v>
      </c>
      <c r="E254" s="142">
        <f t="shared" ref="E254:L254" si="87">AVERAGE(E125:E129)</f>
        <v>23255.599999999999</v>
      </c>
      <c r="F254" s="142">
        <f t="shared" si="87"/>
        <v>24369.8</v>
      </c>
      <c r="G254" s="142">
        <f t="shared" si="87"/>
        <v>41406.199999999997</v>
      </c>
      <c r="H254" s="142">
        <f t="shared" si="87"/>
        <v>23848</v>
      </c>
      <c r="I254" s="142">
        <f t="shared" si="87"/>
        <v>10068.200000000001</v>
      </c>
      <c r="J254" s="142">
        <f t="shared" si="87"/>
        <v>4148.3999999999996</v>
      </c>
      <c r="K254" s="142">
        <f t="shared" si="87"/>
        <v>1148.4000000000001</v>
      </c>
      <c r="L254" s="142">
        <f t="shared" si="87"/>
        <v>159139.6</v>
      </c>
    </row>
    <row r="255" spans="1:12" ht="11.25" customHeight="1">
      <c r="A255" s="99" t="s">
        <v>315</v>
      </c>
      <c r="B255" s="142">
        <f>AVERAGE(B130:B134)</f>
        <v>248</v>
      </c>
      <c r="C255" s="142">
        <f t="shared" ref="C255:L255" si="88">AVERAGE(C130:C134)</f>
        <v>446</v>
      </c>
      <c r="D255" s="142">
        <f t="shared" si="88"/>
        <v>17005</v>
      </c>
      <c r="E255" s="142">
        <f t="shared" si="88"/>
        <v>12398.333333333334</v>
      </c>
      <c r="F255" s="142">
        <f t="shared" si="88"/>
        <v>15910.666666666666</v>
      </c>
      <c r="G255" s="142">
        <f t="shared" si="88"/>
        <v>20521</v>
      </c>
      <c r="H255" s="142">
        <f t="shared" si="88"/>
        <v>8699.6666666666661</v>
      </c>
      <c r="I255" s="142">
        <f t="shared" si="88"/>
        <v>3052.6666666666665</v>
      </c>
      <c r="J255" s="142">
        <f t="shared" si="88"/>
        <v>1822</v>
      </c>
      <c r="K255" s="142">
        <f t="shared" si="88"/>
        <v>921</v>
      </c>
      <c r="L255" s="142">
        <f t="shared" si="88"/>
        <v>60082.5</v>
      </c>
    </row>
    <row r="256" spans="1:12" ht="11.25" customHeight="1">
      <c r="A256" s="99">
        <v>2011</v>
      </c>
      <c r="B256" s="142" t="str">
        <f t="shared" ref="B256:L256" si="89">B135</f>
        <v>-</v>
      </c>
      <c r="C256" s="142" t="str">
        <f t="shared" si="89"/>
        <v>-</v>
      </c>
      <c r="D256" s="142">
        <f t="shared" si="89"/>
        <v>15565</v>
      </c>
      <c r="E256" s="142">
        <f t="shared" si="89"/>
        <v>5943</v>
      </c>
      <c r="F256" s="142">
        <f t="shared" si="89"/>
        <v>6937</v>
      </c>
      <c r="G256" s="142">
        <f t="shared" si="89"/>
        <v>20300</v>
      </c>
      <c r="H256" s="142">
        <f t="shared" si="89"/>
        <v>14387</v>
      </c>
      <c r="I256" s="142">
        <f t="shared" si="89"/>
        <v>10164</v>
      </c>
      <c r="J256" s="142">
        <f t="shared" si="89"/>
        <v>3431</v>
      </c>
      <c r="K256" s="142" t="str">
        <f t="shared" si="89"/>
        <v>-</v>
      </c>
      <c r="L256" s="142">
        <f t="shared" si="89"/>
        <v>76727</v>
      </c>
    </row>
    <row r="257" spans="1:12" ht="11.25" customHeight="1">
      <c r="A257" s="99">
        <v>2012</v>
      </c>
      <c r="B257" s="142" t="str">
        <f t="shared" ref="B257:L257" si="90">B136</f>
        <v>-</v>
      </c>
      <c r="C257" s="142" t="str">
        <f t="shared" si="90"/>
        <v>-</v>
      </c>
      <c r="D257" s="142">
        <f t="shared" si="90"/>
        <v>21466</v>
      </c>
      <c r="E257" s="142">
        <f t="shared" si="90"/>
        <v>18077</v>
      </c>
      <c r="F257" s="142">
        <f t="shared" si="90"/>
        <v>21974</v>
      </c>
      <c r="G257" s="142">
        <f t="shared" si="90"/>
        <v>28417</v>
      </c>
      <c r="H257" s="142">
        <f t="shared" si="90"/>
        <v>14620</v>
      </c>
      <c r="I257" s="142">
        <f t="shared" si="90"/>
        <v>7914</v>
      </c>
      <c r="J257" s="142">
        <f t="shared" si="90"/>
        <v>3588</v>
      </c>
      <c r="K257" s="142">
        <f t="shared" si="90"/>
        <v>569</v>
      </c>
      <c r="L257" s="142">
        <f t="shared" si="90"/>
        <v>116625</v>
      </c>
    </row>
    <row r="258" spans="1:12" ht="11.25" customHeight="1">
      <c r="A258" s="99">
        <v>2013</v>
      </c>
      <c r="B258" s="142" t="str">
        <f t="shared" ref="B258:L258" si="91">B137</f>
        <v>-</v>
      </c>
      <c r="C258" s="142" t="str">
        <f t="shared" si="91"/>
        <v>-</v>
      </c>
      <c r="D258" s="142">
        <f t="shared" si="91"/>
        <v>19602</v>
      </c>
      <c r="E258" s="142">
        <f t="shared" si="91"/>
        <v>15187</v>
      </c>
      <c r="F258" s="142">
        <f t="shared" si="91"/>
        <v>18315</v>
      </c>
      <c r="G258" s="142">
        <f t="shared" si="91"/>
        <v>36160</v>
      </c>
      <c r="H258" s="142">
        <f t="shared" si="91"/>
        <v>20012</v>
      </c>
      <c r="I258" s="142">
        <f t="shared" si="91"/>
        <v>5521</v>
      </c>
      <c r="J258" s="142">
        <f t="shared" si="91"/>
        <v>2245</v>
      </c>
      <c r="K258" s="142">
        <f t="shared" si="91"/>
        <v>426</v>
      </c>
      <c r="L258" s="142">
        <f t="shared" si="91"/>
        <v>117468</v>
      </c>
    </row>
    <row r="259" spans="1:12" ht="11.25" customHeight="1">
      <c r="A259" s="99">
        <v>2014</v>
      </c>
      <c r="B259" s="142" t="str">
        <f t="shared" ref="B259:L259" si="92">B138</f>
        <v>-</v>
      </c>
      <c r="C259" s="142" t="str">
        <f t="shared" si="92"/>
        <v>-</v>
      </c>
      <c r="D259" s="142">
        <f t="shared" si="92"/>
        <v>20226</v>
      </c>
      <c r="E259" s="142">
        <f t="shared" si="92"/>
        <v>8522</v>
      </c>
      <c r="F259" s="142">
        <f t="shared" si="92"/>
        <v>7675</v>
      </c>
      <c r="G259" s="142">
        <f t="shared" si="92"/>
        <v>23892</v>
      </c>
      <c r="H259" s="142">
        <f t="shared" si="92"/>
        <v>22999</v>
      </c>
      <c r="I259" s="142">
        <f t="shared" si="92"/>
        <v>10443</v>
      </c>
      <c r="J259" s="142">
        <f t="shared" si="92"/>
        <v>5193</v>
      </c>
      <c r="K259" s="142">
        <f t="shared" si="92"/>
        <v>723</v>
      </c>
      <c r="L259" s="142">
        <f t="shared" si="92"/>
        <v>99673</v>
      </c>
    </row>
    <row r="260" spans="1:12" ht="11.25" customHeight="1">
      <c r="A260" s="99">
        <v>2015</v>
      </c>
      <c r="B260" s="142" t="str">
        <f t="shared" ref="B260:L260" si="93">B139</f>
        <v>-</v>
      </c>
      <c r="C260" s="142" t="str">
        <f t="shared" si="93"/>
        <v>-</v>
      </c>
      <c r="D260" s="142">
        <f t="shared" si="93"/>
        <v>11085</v>
      </c>
      <c r="E260" s="142">
        <f t="shared" si="93"/>
        <v>7401</v>
      </c>
      <c r="F260" s="142">
        <f t="shared" si="93"/>
        <v>9210</v>
      </c>
      <c r="G260" s="142">
        <f t="shared" si="93"/>
        <v>16244</v>
      </c>
      <c r="H260" s="142">
        <f t="shared" si="93"/>
        <v>15118</v>
      </c>
      <c r="I260" s="142">
        <f t="shared" si="93"/>
        <v>10293</v>
      </c>
      <c r="J260" s="142">
        <f t="shared" si="93"/>
        <v>3483</v>
      </c>
      <c r="K260" s="142">
        <f t="shared" si="93"/>
        <v>5</v>
      </c>
      <c r="L260" s="142">
        <f t="shared" si="93"/>
        <v>72839</v>
      </c>
    </row>
    <row r="261" spans="1:12" ht="11.25" customHeight="1">
      <c r="A261" s="99">
        <v>2016</v>
      </c>
      <c r="B261" s="142" t="str">
        <f t="shared" ref="B261:L261" si="94">B140</f>
        <v>-</v>
      </c>
      <c r="C261" s="142" t="str">
        <f t="shared" si="94"/>
        <v>-</v>
      </c>
      <c r="D261" s="142">
        <f t="shared" si="94"/>
        <v>8006</v>
      </c>
      <c r="E261" s="142">
        <f t="shared" si="94"/>
        <v>8281</v>
      </c>
      <c r="F261" s="142">
        <f t="shared" si="94"/>
        <v>4284</v>
      </c>
      <c r="G261" s="142">
        <f t="shared" si="94"/>
        <v>16521</v>
      </c>
      <c r="H261" s="142">
        <f t="shared" si="94"/>
        <v>13188</v>
      </c>
      <c r="I261" s="142">
        <f t="shared" si="94"/>
        <v>8500</v>
      </c>
      <c r="J261" s="142">
        <f t="shared" si="94"/>
        <v>2366</v>
      </c>
      <c r="K261" s="142">
        <f>K140</f>
        <v>0</v>
      </c>
      <c r="L261" s="142">
        <f t="shared" si="94"/>
        <v>61146</v>
      </c>
    </row>
    <row r="262" spans="1:12" ht="11.25" customHeight="1">
      <c r="A262" s="99">
        <v>2017</v>
      </c>
      <c r="B262" s="142" t="str">
        <f t="shared" ref="B262:L262" si="95">B141</f>
        <v>-</v>
      </c>
      <c r="C262" s="142" t="str">
        <f t="shared" si="95"/>
        <v>-</v>
      </c>
      <c r="D262" s="142">
        <f t="shared" si="95"/>
        <v>10105</v>
      </c>
      <c r="E262" s="142">
        <f t="shared" si="95"/>
        <v>5000</v>
      </c>
      <c r="F262" s="142">
        <f t="shared" si="95"/>
        <v>6574</v>
      </c>
      <c r="G262" s="142">
        <f t="shared" si="95"/>
        <v>22590</v>
      </c>
      <c r="H262" s="142">
        <f t="shared" si="95"/>
        <v>19358</v>
      </c>
      <c r="I262" s="142">
        <f t="shared" si="95"/>
        <v>8496</v>
      </c>
      <c r="J262" s="142">
        <f t="shared" si="95"/>
        <v>1851</v>
      </c>
      <c r="K262" s="142">
        <f t="shared" si="95"/>
        <v>0</v>
      </c>
      <c r="L262" s="142">
        <f t="shared" si="95"/>
        <v>73974</v>
      </c>
    </row>
    <row r="263" spans="1:12" ht="11.25" customHeight="1">
      <c r="A263" s="99">
        <v>2018</v>
      </c>
      <c r="B263" s="142" t="str">
        <f t="shared" ref="B263:L263" si="96">B142</f>
        <v>-</v>
      </c>
      <c r="C263" s="142" t="str">
        <f t="shared" si="96"/>
        <v>-</v>
      </c>
      <c r="D263" s="142">
        <f t="shared" si="96"/>
        <v>8140</v>
      </c>
      <c r="E263" s="142">
        <f t="shared" si="96"/>
        <v>2021</v>
      </c>
      <c r="F263" s="142">
        <f t="shared" si="96"/>
        <v>12296</v>
      </c>
      <c r="G263" s="142">
        <f t="shared" si="96"/>
        <v>34271</v>
      </c>
      <c r="H263" s="142">
        <f t="shared" si="96"/>
        <v>18472</v>
      </c>
      <c r="I263" s="142">
        <f t="shared" si="96"/>
        <v>8984</v>
      </c>
      <c r="J263" s="142">
        <f t="shared" si="96"/>
        <v>5072</v>
      </c>
      <c r="K263" s="142" t="str">
        <f t="shared" si="96"/>
        <v>-</v>
      </c>
      <c r="L263" s="142">
        <f t="shared" si="96"/>
        <v>89256</v>
      </c>
    </row>
    <row r="264" spans="1:12" ht="11.25" customHeight="1">
      <c r="A264" s="99">
        <v>2019</v>
      </c>
      <c r="B264" s="142" t="str">
        <f t="shared" ref="B264:L264" si="97">B143</f>
        <v>-</v>
      </c>
      <c r="C264" s="142" t="str">
        <f t="shared" si="97"/>
        <v>-</v>
      </c>
      <c r="D264" s="142">
        <f t="shared" si="97"/>
        <v>17350</v>
      </c>
      <c r="E264" s="142">
        <f t="shared" si="97"/>
        <v>5579</v>
      </c>
      <c r="F264" s="142">
        <f t="shared" si="97"/>
        <v>18173</v>
      </c>
      <c r="G264" s="142">
        <f t="shared" si="97"/>
        <v>22923</v>
      </c>
      <c r="H264" s="142">
        <f t="shared" si="97"/>
        <v>23219</v>
      </c>
      <c r="I264" s="142">
        <f t="shared" si="97"/>
        <v>6925</v>
      </c>
      <c r="J264" s="142">
        <f t="shared" si="97"/>
        <v>1821</v>
      </c>
      <c r="K264" s="142" t="str">
        <f t="shared" si="97"/>
        <v>-</v>
      </c>
      <c r="L264" s="142">
        <f t="shared" si="97"/>
        <v>95990</v>
      </c>
    </row>
    <row r="265" spans="1:12" ht="11.25" customHeight="1">
      <c r="A265" s="99" t="s">
        <v>350</v>
      </c>
      <c r="B265" s="142" t="str">
        <f>B144</f>
        <v>-</v>
      </c>
      <c r="C265" s="142" t="str">
        <f t="shared" ref="C265:L266" si="98">C144</f>
        <v>-</v>
      </c>
      <c r="D265" s="142" t="str">
        <f t="shared" si="98"/>
        <v>-</v>
      </c>
      <c r="E265" s="142" t="str">
        <f t="shared" si="98"/>
        <v>--</v>
      </c>
      <c r="F265" s="142" t="str">
        <f t="shared" si="98"/>
        <v>--</v>
      </c>
      <c r="G265" s="142">
        <f t="shared" si="98"/>
        <v>25967</v>
      </c>
      <c r="H265" s="142">
        <f t="shared" si="98"/>
        <v>16753</v>
      </c>
      <c r="I265" s="142">
        <f t="shared" si="98"/>
        <v>7739</v>
      </c>
      <c r="J265" s="142">
        <f t="shared" si="98"/>
        <v>4264</v>
      </c>
      <c r="K265" s="142">
        <f t="shared" si="98"/>
        <v>147</v>
      </c>
      <c r="L265" s="142">
        <f t="shared" si="98"/>
        <v>54870</v>
      </c>
    </row>
    <row r="266" spans="1:12" ht="11.25" customHeight="1">
      <c r="A266" s="99" t="s">
        <v>317</v>
      </c>
      <c r="B266" s="142" t="str">
        <f>B145</f>
        <v>-</v>
      </c>
      <c r="C266" s="142" t="str">
        <f>C145</f>
        <v>-</v>
      </c>
      <c r="D266" s="142">
        <f t="shared" si="98"/>
        <v>12287</v>
      </c>
      <c r="E266" s="142">
        <f t="shared" si="98"/>
        <v>8838</v>
      </c>
      <c r="F266" s="142">
        <f t="shared" si="98"/>
        <v>10047</v>
      </c>
      <c r="G266" s="142">
        <f t="shared" si="98"/>
        <v>27814</v>
      </c>
      <c r="H266" s="142">
        <f t="shared" si="98"/>
        <v>16236</v>
      </c>
      <c r="I266" s="142">
        <f t="shared" si="98"/>
        <v>8239</v>
      </c>
      <c r="J266" s="142">
        <f t="shared" si="98"/>
        <v>2430</v>
      </c>
      <c r="K266" s="142" t="str">
        <f t="shared" si="98"/>
        <v>-</v>
      </c>
      <c r="L266" s="142">
        <f t="shared" si="98"/>
        <v>85891</v>
      </c>
    </row>
    <row r="267" spans="1:12" ht="11.25" customHeight="1">
      <c r="A267" s="99"/>
      <c r="B267" s="142"/>
      <c r="C267" s="142"/>
      <c r="D267" s="142"/>
      <c r="E267" s="142"/>
      <c r="F267" s="142"/>
      <c r="G267" s="142"/>
      <c r="H267" s="142"/>
      <c r="I267" s="142"/>
      <c r="J267" s="142"/>
      <c r="K267" s="142"/>
      <c r="L267" s="142"/>
    </row>
    <row r="268" spans="1:12" ht="11.25" customHeight="1">
      <c r="A268" s="97" t="s">
        <v>290</v>
      </c>
      <c r="B268" s="142"/>
      <c r="C268" s="142"/>
      <c r="D268" s="142"/>
      <c r="E268" s="142"/>
      <c r="F268" s="142"/>
      <c r="G268" s="142"/>
      <c r="H268" s="142"/>
      <c r="I268" s="142"/>
      <c r="J268" s="142"/>
      <c r="K268" s="142"/>
      <c r="L268" s="142"/>
    </row>
    <row r="269" spans="1:12" ht="11.25" customHeight="1">
      <c r="A269" s="99" t="s">
        <v>24</v>
      </c>
      <c r="B269" s="142">
        <f>AVERAGE(B153:B157)</f>
        <v>5106.6000000000004</v>
      </c>
      <c r="C269" s="142">
        <f t="shared" ref="C269:L269" si="99">AVERAGE(C153:C157)</f>
        <v>7945.4</v>
      </c>
      <c r="D269" s="142">
        <f t="shared" si="99"/>
        <v>8771.7999999999993</v>
      </c>
      <c r="E269" s="142">
        <f t="shared" si="99"/>
        <v>14490.6</v>
      </c>
      <c r="F269" s="142">
        <f t="shared" si="99"/>
        <v>42353.4</v>
      </c>
      <c r="G269" s="142">
        <f t="shared" si="99"/>
        <v>149255</v>
      </c>
      <c r="H269" s="142">
        <f t="shared" si="99"/>
        <v>92911.6</v>
      </c>
      <c r="I269" s="142">
        <f t="shared" si="99"/>
        <v>22489</v>
      </c>
      <c r="J269" s="142">
        <f t="shared" si="99"/>
        <v>9384.7999999999993</v>
      </c>
      <c r="K269" s="142">
        <f t="shared" si="99"/>
        <v>1564.2</v>
      </c>
      <c r="L269" s="142">
        <f t="shared" si="99"/>
        <v>354272.4</v>
      </c>
    </row>
    <row r="270" spans="1:12" ht="11.25" customHeight="1">
      <c r="A270" s="99" t="s">
        <v>78</v>
      </c>
      <c r="B270" s="142">
        <f>AVERAGE(B158:B162)</f>
        <v>8272.4</v>
      </c>
      <c r="C270" s="142">
        <f t="shared" ref="C270:L270" si="100">AVERAGE(C158:C162)</f>
        <v>17094.400000000001</v>
      </c>
      <c r="D270" s="142">
        <f t="shared" si="100"/>
        <v>24033.599999999999</v>
      </c>
      <c r="E270" s="142">
        <f t="shared" si="100"/>
        <v>20765.400000000001</v>
      </c>
      <c r="F270" s="142">
        <f t="shared" si="100"/>
        <v>75769.8</v>
      </c>
      <c r="G270" s="142">
        <f t="shared" si="100"/>
        <v>181451.8</v>
      </c>
      <c r="H270" s="142">
        <f t="shared" si="100"/>
        <v>100990</v>
      </c>
      <c r="I270" s="142">
        <f t="shared" si="100"/>
        <v>27106.799999999999</v>
      </c>
      <c r="J270" s="142">
        <f t="shared" si="100"/>
        <v>7040.8</v>
      </c>
      <c r="K270" s="142">
        <f t="shared" si="100"/>
        <v>1562.8</v>
      </c>
      <c r="L270" s="142">
        <f t="shared" si="100"/>
        <v>464087.8</v>
      </c>
    </row>
    <row r="271" spans="1:12" ht="11.25" customHeight="1">
      <c r="A271" s="99" t="s">
        <v>10</v>
      </c>
      <c r="B271" s="142">
        <f>AVERAGE(B163:B167)</f>
        <v>1262.5999999999999</v>
      </c>
      <c r="C271" s="142">
        <f t="shared" ref="C271:L271" si="101">AVERAGE(C163:C167)</f>
        <v>15053.8</v>
      </c>
      <c r="D271" s="142">
        <f t="shared" si="101"/>
        <v>23079</v>
      </c>
      <c r="E271" s="142">
        <f t="shared" si="101"/>
        <v>29374.2</v>
      </c>
      <c r="F271" s="142">
        <f t="shared" si="101"/>
        <v>54157.2</v>
      </c>
      <c r="G271" s="142">
        <f t="shared" si="101"/>
        <v>106678.6</v>
      </c>
      <c r="H271" s="142">
        <f t="shared" si="101"/>
        <v>41812.800000000003</v>
      </c>
      <c r="I271" s="142">
        <f t="shared" si="101"/>
        <v>20897.2</v>
      </c>
      <c r="J271" s="142">
        <f t="shared" si="101"/>
        <v>10221</v>
      </c>
      <c r="K271" s="142">
        <f t="shared" si="101"/>
        <v>424.5</v>
      </c>
      <c r="L271" s="142">
        <f t="shared" si="101"/>
        <v>302876</v>
      </c>
    </row>
    <row r="272" spans="1:12" ht="11.25" customHeight="1">
      <c r="A272" s="99" t="s">
        <v>144</v>
      </c>
      <c r="B272" s="142">
        <f>AVERAGE(B168:B172)</f>
        <v>31.5</v>
      </c>
      <c r="C272" s="142">
        <f t="shared" ref="C272:L272" si="102">AVERAGE(C168:C172)</f>
        <v>14341.4</v>
      </c>
      <c r="D272" s="142">
        <f t="shared" si="102"/>
        <v>25258.400000000001</v>
      </c>
      <c r="E272" s="142">
        <f t="shared" si="102"/>
        <v>25762.799999999999</v>
      </c>
      <c r="F272" s="142">
        <f t="shared" si="102"/>
        <v>41620.199999999997</v>
      </c>
      <c r="G272" s="142">
        <f t="shared" si="102"/>
        <v>58007</v>
      </c>
      <c r="H272" s="142">
        <f t="shared" si="102"/>
        <v>43216.800000000003</v>
      </c>
      <c r="I272" s="142">
        <f t="shared" si="102"/>
        <v>16256.4</v>
      </c>
      <c r="J272" s="142">
        <f t="shared" si="102"/>
        <v>9843.2000000000007</v>
      </c>
      <c r="K272" s="142">
        <f t="shared" si="102"/>
        <v>723.33333333333337</v>
      </c>
      <c r="L272" s="142">
        <f t="shared" si="102"/>
        <v>234752.8</v>
      </c>
    </row>
    <row r="273" spans="1:12" ht="11.25" customHeight="1">
      <c r="A273" s="99" t="s">
        <v>166</v>
      </c>
      <c r="B273" s="142">
        <f>AVERAGE(B173:B177)</f>
        <v>370.6</v>
      </c>
      <c r="C273" s="142">
        <f>AVERAGE(C173:C177)</f>
        <v>2683.2</v>
      </c>
      <c r="D273" s="142">
        <f>AVERAGE(D173:D177)</f>
        <v>28090.6</v>
      </c>
      <c r="E273" s="142">
        <f t="shared" ref="E273:L273" si="103">AVERAGE(E173:E177)</f>
        <v>29281.200000000001</v>
      </c>
      <c r="F273" s="142">
        <f t="shared" si="103"/>
        <v>45533.4</v>
      </c>
      <c r="G273" s="142">
        <f t="shared" si="103"/>
        <v>85601</v>
      </c>
      <c r="H273" s="142">
        <f t="shared" si="103"/>
        <v>54661.8</v>
      </c>
      <c r="I273" s="142">
        <f t="shared" si="103"/>
        <v>23483.4</v>
      </c>
      <c r="J273" s="142">
        <f t="shared" si="103"/>
        <v>10662.4</v>
      </c>
      <c r="K273" s="142">
        <f t="shared" si="103"/>
        <v>1330.4</v>
      </c>
      <c r="L273" s="142">
        <f t="shared" si="103"/>
        <v>281698</v>
      </c>
    </row>
    <row r="274" spans="1:12" ht="11.25" customHeight="1">
      <c r="A274" s="99" t="s">
        <v>315</v>
      </c>
      <c r="B274" s="142">
        <f>AVERAGE(B178:B182)</f>
        <v>248</v>
      </c>
      <c r="C274" s="142">
        <f t="shared" ref="C274:L274" si="104">AVERAGE(C178:C182)</f>
        <v>466</v>
      </c>
      <c r="D274" s="142">
        <f t="shared" si="104"/>
        <v>17060.666666666668</v>
      </c>
      <c r="E274" s="142">
        <f t="shared" si="104"/>
        <v>16001</v>
      </c>
      <c r="F274" s="142">
        <f t="shared" si="104"/>
        <v>17485.599999999999</v>
      </c>
      <c r="G274" s="142">
        <f t="shared" si="104"/>
        <v>33682.800000000003</v>
      </c>
      <c r="H274" s="142">
        <f t="shared" si="104"/>
        <v>23548</v>
      </c>
      <c r="I274" s="142">
        <f t="shared" si="104"/>
        <v>11108</v>
      </c>
      <c r="J274" s="142">
        <f t="shared" si="104"/>
        <v>5287.4</v>
      </c>
      <c r="K274" s="142">
        <f t="shared" si="104"/>
        <v>990</v>
      </c>
      <c r="L274" s="142">
        <f t="shared" si="104"/>
        <v>111773.2</v>
      </c>
    </row>
    <row r="275" spans="1:12" ht="11.25" customHeight="1">
      <c r="A275" s="99">
        <v>2011</v>
      </c>
      <c r="B275" s="142" t="str">
        <f t="shared" ref="B275:L275" si="105">B183</f>
        <v>-</v>
      </c>
      <c r="C275" s="142">
        <f t="shared" si="105"/>
        <v>22</v>
      </c>
      <c r="D275" s="142">
        <f t="shared" si="105"/>
        <v>15640</v>
      </c>
      <c r="E275" s="142">
        <f t="shared" si="105"/>
        <v>8620</v>
      </c>
      <c r="F275" s="142">
        <f t="shared" si="105"/>
        <v>12876</v>
      </c>
      <c r="G275" s="142">
        <f t="shared" si="105"/>
        <v>36194</v>
      </c>
      <c r="H275" s="142">
        <f t="shared" si="105"/>
        <v>31114</v>
      </c>
      <c r="I275" s="142">
        <f t="shared" si="105"/>
        <v>22139</v>
      </c>
      <c r="J275" s="142">
        <f t="shared" si="105"/>
        <v>6428</v>
      </c>
      <c r="K275" s="142">
        <f t="shared" si="105"/>
        <v>16</v>
      </c>
      <c r="L275" s="142">
        <f t="shared" si="105"/>
        <v>133049</v>
      </c>
    </row>
    <row r="276" spans="1:12" ht="11.25" customHeight="1">
      <c r="A276" s="99">
        <v>2012</v>
      </c>
      <c r="B276" s="142" t="str">
        <f t="shared" ref="B276:L276" si="106">B184</f>
        <v>-</v>
      </c>
      <c r="C276" s="142">
        <f t="shared" si="106"/>
        <v>23</v>
      </c>
      <c r="D276" s="142">
        <f t="shared" si="106"/>
        <v>21846</v>
      </c>
      <c r="E276" s="142">
        <f t="shared" si="106"/>
        <v>23318</v>
      </c>
      <c r="F276" s="142">
        <f t="shared" si="106"/>
        <v>35266</v>
      </c>
      <c r="G276" s="142">
        <f t="shared" si="106"/>
        <v>52934</v>
      </c>
      <c r="H276" s="142">
        <f t="shared" si="106"/>
        <v>42334</v>
      </c>
      <c r="I276" s="142">
        <f t="shared" si="106"/>
        <v>25210</v>
      </c>
      <c r="J276" s="142">
        <f t="shared" si="106"/>
        <v>8959</v>
      </c>
      <c r="K276" s="142">
        <f t="shared" si="106"/>
        <v>587</v>
      </c>
      <c r="L276" s="142">
        <f t="shared" si="106"/>
        <v>210477</v>
      </c>
    </row>
    <row r="277" spans="1:12" ht="11.25" customHeight="1">
      <c r="A277" s="99">
        <v>2013</v>
      </c>
      <c r="B277" s="142" t="str">
        <f t="shared" ref="B277:L277" si="107">B185</f>
        <v>-</v>
      </c>
      <c r="C277" s="142">
        <f t="shared" si="107"/>
        <v>479</v>
      </c>
      <c r="D277" s="142">
        <f t="shared" si="107"/>
        <v>20295</v>
      </c>
      <c r="E277" s="142">
        <f t="shared" si="107"/>
        <v>19599</v>
      </c>
      <c r="F277" s="142">
        <f t="shared" si="107"/>
        <v>33058</v>
      </c>
      <c r="G277" s="142">
        <f t="shared" si="107"/>
        <v>63288</v>
      </c>
      <c r="H277" s="142">
        <f t="shared" si="107"/>
        <v>61368</v>
      </c>
      <c r="I277" s="142">
        <f t="shared" si="107"/>
        <v>18176</v>
      </c>
      <c r="J277" s="142">
        <f t="shared" si="107"/>
        <v>10006</v>
      </c>
      <c r="K277" s="142">
        <f t="shared" si="107"/>
        <v>426</v>
      </c>
      <c r="L277" s="142">
        <f t="shared" si="107"/>
        <v>226695</v>
      </c>
    </row>
    <row r="278" spans="1:12" ht="11.25" customHeight="1">
      <c r="A278" s="99">
        <v>2014</v>
      </c>
      <c r="B278" s="142" t="str">
        <f t="shared" ref="B278:L278" si="108">B186</f>
        <v>-</v>
      </c>
      <c r="C278" s="142">
        <f t="shared" si="108"/>
        <v>87</v>
      </c>
      <c r="D278" s="142">
        <f t="shared" si="108"/>
        <v>20362</v>
      </c>
      <c r="E278" s="142">
        <f t="shared" si="108"/>
        <v>16345</v>
      </c>
      <c r="F278" s="142">
        <f t="shared" si="108"/>
        <v>19335</v>
      </c>
      <c r="G278" s="142">
        <f t="shared" si="108"/>
        <v>69417</v>
      </c>
      <c r="H278" s="142">
        <f t="shared" si="108"/>
        <v>56337</v>
      </c>
      <c r="I278" s="142">
        <f t="shared" si="108"/>
        <v>35699</v>
      </c>
      <c r="J278" s="142">
        <f t="shared" si="108"/>
        <v>11253</v>
      </c>
      <c r="K278" s="142">
        <f t="shared" si="108"/>
        <v>723</v>
      </c>
      <c r="L278" s="142">
        <f t="shared" si="108"/>
        <v>229558</v>
      </c>
    </row>
    <row r="279" spans="1:12" ht="11.25" customHeight="1">
      <c r="A279" s="99">
        <v>2015</v>
      </c>
      <c r="B279" s="142" t="str">
        <f t="shared" ref="B279:L279" si="109">B187</f>
        <v>-</v>
      </c>
      <c r="C279" s="142">
        <f t="shared" si="109"/>
        <v>60</v>
      </c>
      <c r="D279" s="142">
        <f t="shared" si="109"/>
        <v>11237</v>
      </c>
      <c r="E279" s="142">
        <f t="shared" si="109"/>
        <v>11729</v>
      </c>
      <c r="F279" s="142">
        <f t="shared" si="109"/>
        <v>13239</v>
      </c>
      <c r="G279" s="142">
        <f t="shared" si="109"/>
        <v>38243</v>
      </c>
      <c r="H279" s="142">
        <f t="shared" si="109"/>
        <v>25571</v>
      </c>
      <c r="I279" s="142">
        <f t="shared" si="109"/>
        <v>28207</v>
      </c>
      <c r="J279" s="142">
        <f t="shared" si="109"/>
        <v>10897</v>
      </c>
      <c r="K279" s="142">
        <f t="shared" si="109"/>
        <v>5</v>
      </c>
      <c r="L279" s="142">
        <f t="shared" si="109"/>
        <v>139188</v>
      </c>
    </row>
    <row r="280" spans="1:12" ht="11.25" customHeight="1">
      <c r="A280" s="99">
        <v>2016</v>
      </c>
      <c r="B280" s="142" t="str">
        <f t="shared" ref="B280:L280" si="110">B188</f>
        <v>-</v>
      </c>
      <c r="C280" s="142">
        <f t="shared" si="110"/>
        <v>82</v>
      </c>
      <c r="D280" s="142">
        <f t="shared" si="110"/>
        <v>8024</v>
      </c>
      <c r="E280" s="142">
        <f t="shared" si="110"/>
        <v>11000</v>
      </c>
      <c r="F280" s="142">
        <f t="shared" si="110"/>
        <v>9705</v>
      </c>
      <c r="G280" s="142">
        <f t="shared" si="110"/>
        <v>26176</v>
      </c>
      <c r="H280" s="142">
        <f t="shared" si="110"/>
        <v>20157</v>
      </c>
      <c r="I280" s="142">
        <f t="shared" si="110"/>
        <v>24637</v>
      </c>
      <c r="J280" s="142">
        <f t="shared" si="110"/>
        <v>4850</v>
      </c>
      <c r="K280" s="142" t="str">
        <f t="shared" si="110"/>
        <v>--</v>
      </c>
      <c r="L280" s="142">
        <f t="shared" si="110"/>
        <v>104631</v>
      </c>
    </row>
    <row r="281" spans="1:12" ht="11.25" customHeight="1">
      <c r="A281" s="99">
        <v>2017</v>
      </c>
      <c r="B281" s="142" t="str">
        <f t="shared" ref="B281:L281" si="111">B189</f>
        <v>-</v>
      </c>
      <c r="C281" s="142">
        <f t="shared" si="111"/>
        <v>17</v>
      </c>
      <c r="D281" s="142">
        <f t="shared" si="111"/>
        <v>10165</v>
      </c>
      <c r="E281" s="142">
        <f t="shared" si="111"/>
        <v>5500</v>
      </c>
      <c r="F281" s="142">
        <f t="shared" si="111"/>
        <v>8490</v>
      </c>
      <c r="G281" s="142">
        <f t="shared" si="111"/>
        <v>32647</v>
      </c>
      <c r="H281" s="142">
        <f t="shared" si="111"/>
        <v>28741</v>
      </c>
      <c r="I281" s="142">
        <f t="shared" si="111"/>
        <v>17839</v>
      </c>
      <c r="J281" s="142">
        <f t="shared" si="111"/>
        <v>4316</v>
      </c>
      <c r="K281" s="142" t="str">
        <f t="shared" si="111"/>
        <v>--</v>
      </c>
      <c r="L281" s="142">
        <f t="shared" si="111"/>
        <v>107715</v>
      </c>
    </row>
    <row r="282" spans="1:12" ht="11.25" customHeight="1">
      <c r="A282" s="99">
        <v>2018</v>
      </c>
      <c r="B282" s="142" t="str">
        <f t="shared" ref="B282:L282" si="112">B190</f>
        <v>-</v>
      </c>
      <c r="C282" s="142">
        <f t="shared" si="112"/>
        <v>54</v>
      </c>
      <c r="D282" s="142">
        <f t="shared" si="112"/>
        <v>8159</v>
      </c>
      <c r="E282" s="142">
        <f t="shared" si="112"/>
        <v>3186</v>
      </c>
      <c r="F282" s="142">
        <f t="shared" si="112"/>
        <v>17133</v>
      </c>
      <c r="G282" s="142">
        <f t="shared" si="112"/>
        <v>47975</v>
      </c>
      <c r="H282" s="142">
        <f t="shared" si="112"/>
        <v>44546</v>
      </c>
      <c r="I282" s="142">
        <f t="shared" si="112"/>
        <v>23631</v>
      </c>
      <c r="J282" s="142">
        <f t="shared" si="112"/>
        <v>8073</v>
      </c>
      <c r="K282" s="142" t="str">
        <f t="shared" si="112"/>
        <v>--</v>
      </c>
      <c r="L282" s="142">
        <f t="shared" si="112"/>
        <v>152757</v>
      </c>
    </row>
    <row r="283" spans="1:12" ht="11.25" customHeight="1">
      <c r="A283" s="99">
        <v>2019</v>
      </c>
      <c r="B283" s="142" t="str">
        <f t="shared" ref="B283:L283" si="113">B191</f>
        <v>-</v>
      </c>
      <c r="C283" s="142">
        <f t="shared" si="113"/>
        <v>43</v>
      </c>
      <c r="D283" s="142">
        <f t="shared" si="113"/>
        <v>17358</v>
      </c>
      <c r="E283" s="142">
        <f t="shared" si="113"/>
        <v>6485</v>
      </c>
      <c r="F283" s="142">
        <f t="shared" si="113"/>
        <v>27953</v>
      </c>
      <c r="G283" s="142">
        <f t="shared" si="113"/>
        <v>59919</v>
      </c>
      <c r="H283" s="142">
        <f t="shared" si="113"/>
        <v>51351</v>
      </c>
      <c r="I283" s="142">
        <f t="shared" si="113"/>
        <v>16732</v>
      </c>
      <c r="J283" s="142">
        <f t="shared" si="113"/>
        <v>3402</v>
      </c>
      <c r="K283" s="142" t="str">
        <f t="shared" si="113"/>
        <v>-</v>
      </c>
      <c r="L283" s="142">
        <f t="shared" si="113"/>
        <v>183243</v>
      </c>
    </row>
    <row r="284" spans="1:12" ht="11.25" customHeight="1">
      <c r="A284" s="99" t="s">
        <v>311</v>
      </c>
      <c r="B284" s="142" t="str">
        <f t="shared" ref="B284:L285" si="114">B192</f>
        <v>-</v>
      </c>
      <c r="C284" s="142">
        <f t="shared" si="114"/>
        <v>11</v>
      </c>
      <c r="D284" s="142">
        <f t="shared" si="114"/>
        <v>112</v>
      </c>
      <c r="E284" s="142">
        <f t="shared" si="114"/>
        <v>292</v>
      </c>
      <c r="F284" s="142">
        <f t="shared" si="114"/>
        <v>2273</v>
      </c>
      <c r="G284" s="142">
        <f t="shared" si="114"/>
        <v>54960</v>
      </c>
      <c r="H284" s="142">
        <f t="shared" si="114"/>
        <v>30542</v>
      </c>
      <c r="I284" s="142">
        <f t="shared" si="114"/>
        <v>19085</v>
      </c>
      <c r="J284" s="142">
        <f t="shared" si="114"/>
        <v>5978</v>
      </c>
      <c r="K284" s="142">
        <f t="shared" si="114"/>
        <v>147</v>
      </c>
      <c r="L284" s="142">
        <f t="shared" si="114"/>
        <v>113400</v>
      </c>
    </row>
    <row r="285" spans="1:12" ht="11.25" customHeight="1">
      <c r="A285" s="99" t="s">
        <v>317</v>
      </c>
      <c r="B285" s="142" t="str">
        <f t="shared" si="114"/>
        <v>-</v>
      </c>
      <c r="C285" s="142">
        <f t="shared" si="114"/>
        <v>23</v>
      </c>
      <c r="D285" s="142">
        <f t="shared" si="114"/>
        <v>12858</v>
      </c>
      <c r="E285" s="142">
        <f t="shared" si="114"/>
        <v>9683</v>
      </c>
      <c r="F285" s="142">
        <f t="shared" si="114"/>
        <v>17080</v>
      </c>
      <c r="G285" s="142">
        <f t="shared" si="114"/>
        <v>66539</v>
      </c>
      <c r="H285" s="142">
        <f t="shared" si="114"/>
        <v>43409</v>
      </c>
      <c r="I285" s="142">
        <f t="shared" si="114"/>
        <v>21713</v>
      </c>
      <c r="J285" s="142">
        <f t="shared" si="114"/>
        <v>2632</v>
      </c>
      <c r="K285" s="142" t="str">
        <f t="shared" si="114"/>
        <v>-</v>
      </c>
      <c r="L285" s="142">
        <f t="shared" si="114"/>
        <v>173937</v>
      </c>
    </row>
    <row r="286" spans="1:12" ht="11.25" customHeight="1">
      <c r="A286" s="344" t="str">
        <f>A194</f>
        <v>a/  Monthly totals for Oregon data are the sum of statistical weeks with closest fit to the calendar month.</v>
      </c>
      <c r="B286" s="344"/>
      <c r="C286" s="344"/>
      <c r="D286" s="344"/>
      <c r="E286" s="344"/>
      <c r="F286" s="344"/>
      <c r="G286" s="344"/>
      <c r="H286" s="344"/>
      <c r="I286" s="344"/>
      <c r="J286" s="344"/>
      <c r="K286" s="344"/>
      <c r="L286" s="344"/>
    </row>
    <row r="287" spans="1:12" ht="11.25" customHeight="1">
      <c r="A287" s="280" t="str">
        <f t="shared" ref="A287:A289" si="115">A195</f>
        <v>b/  Preliminary.</v>
      </c>
      <c r="B287" s="280"/>
      <c r="C287" s="280"/>
      <c r="D287" s="280"/>
      <c r="E287" s="280"/>
      <c r="F287" s="280"/>
      <c r="G287" s="280"/>
      <c r="H287" s="280"/>
      <c r="I287" s="280"/>
      <c r="J287" s="280"/>
      <c r="K287" s="280"/>
      <c r="L287" s="280"/>
    </row>
    <row r="288" spans="1:12">
      <c r="A288" s="280" t="str">
        <f t="shared" si="115"/>
        <v>c/  In 2021, the southern boundary of the KMZ was officially moved five nautical miles north from Horse Mountain to latitude 40°10′ N.</v>
      </c>
      <c r="B288" s="280"/>
      <c r="C288" s="280"/>
      <c r="D288" s="280"/>
      <c r="E288" s="280"/>
      <c r="F288" s="280"/>
      <c r="G288" s="280"/>
      <c r="H288" s="280"/>
      <c r="I288" s="280"/>
      <c r="J288" s="280"/>
      <c r="K288" s="280"/>
      <c r="L288" s="280"/>
    </row>
    <row r="289" spans="1:12" ht="27.75" customHeight="1">
      <c r="A289" s="280" t="str">
        <f t="shared" si="115"/>
        <v>d/  Recreational estimates for California do not include May and June due to restrictions on sampling caused by the COVID-19 pandemic.</v>
      </c>
      <c r="B289" s="280"/>
      <c r="C289" s="280"/>
      <c r="D289" s="280"/>
      <c r="E289" s="280"/>
      <c r="F289" s="280"/>
      <c r="G289" s="280"/>
      <c r="H289" s="280"/>
      <c r="I289" s="280"/>
      <c r="J289" s="280"/>
      <c r="K289" s="280"/>
      <c r="L289" s="280"/>
    </row>
  </sheetData>
  <mergeCells count="10">
    <mergeCell ref="A289:L289"/>
    <mergeCell ref="A288:L288"/>
    <mergeCell ref="A205:L206"/>
    <mergeCell ref="A246:L247"/>
    <mergeCell ref="A194:L194"/>
    <mergeCell ref="A195:L195"/>
    <mergeCell ref="A197:L197"/>
    <mergeCell ref="A286:L286"/>
    <mergeCell ref="A287:L287"/>
    <mergeCell ref="A196:L196"/>
  </mergeCells>
  <pageMargins left="0.7" right="0.7" top="0.75" bottom="0.75" header="0.3" footer="0.3"/>
  <pageSetup orientation="portrait" r:id="rId1"/>
  <rowBreaks count="2" manualBreakCount="2">
    <brk id="204" max="16383" man="1"/>
    <brk id="245" max="11"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6"/>
  <dimension ref="A1:IV285"/>
  <sheetViews>
    <sheetView showGridLines="0" zoomScaleNormal="100" workbookViewId="0">
      <pane xSplit="3" ySplit="3" topLeftCell="D242" activePane="bottomRight" state="frozen"/>
      <selection activeCell="N421" sqref="N421"/>
      <selection pane="topRight" activeCell="N421" sqref="N421"/>
      <selection pane="bottomLeft" activeCell="N421" sqref="N421"/>
      <selection pane="bottomRight" activeCell="N421" sqref="N421"/>
    </sheetView>
  </sheetViews>
  <sheetFormatPr baseColWidth="10" defaultColWidth="9" defaultRowHeight="16"/>
  <cols>
    <col min="1" max="1" width="9" style="218" customWidth="1"/>
    <col min="2" max="6" width="5" style="218" bestFit="1" customWidth="1"/>
    <col min="7" max="7" width="5.6640625" style="218" bestFit="1" customWidth="1"/>
    <col min="8" max="10" width="5" style="218" bestFit="1" customWidth="1"/>
    <col min="11" max="11" width="4.1640625" style="218" bestFit="1" customWidth="1"/>
    <col min="12" max="12" width="5.6640625" style="218" bestFit="1" customWidth="1"/>
    <col min="13" max="13" width="1" style="218" customWidth="1"/>
    <col min="14" max="16" width="3.5" style="218" bestFit="1" customWidth="1"/>
    <col min="17" max="17" width="5" style="218" bestFit="1" customWidth="1"/>
    <col min="18" max="20" width="5.6640625" style="218" bestFit="1" customWidth="1"/>
    <col min="21" max="21" width="5" style="218" bestFit="1" customWidth="1"/>
    <col min="22" max="22" width="4.1640625" style="218" bestFit="1" customWidth="1"/>
    <col min="23" max="23" width="3.6640625" style="218" bestFit="1" customWidth="1"/>
    <col min="24" max="24" width="5.6640625" style="218" bestFit="1" customWidth="1"/>
    <col min="25" max="16384" width="9" style="218"/>
  </cols>
  <sheetData>
    <row r="1" spans="1:24" ht="11.25" customHeight="1">
      <c r="A1" s="1" t="s">
        <v>6</v>
      </c>
      <c r="B1" s="1"/>
      <c r="C1" s="1"/>
      <c r="D1" s="1"/>
      <c r="E1" s="1"/>
      <c r="F1" s="1"/>
      <c r="G1" s="1"/>
      <c r="H1" s="1"/>
      <c r="I1" s="1"/>
      <c r="J1" s="1"/>
      <c r="K1" s="1"/>
      <c r="L1" s="1"/>
      <c r="M1" s="1"/>
      <c r="N1" s="1"/>
      <c r="O1" s="1"/>
      <c r="P1" s="1"/>
      <c r="Q1" s="1"/>
      <c r="R1" s="1"/>
      <c r="S1" s="1"/>
      <c r="T1" s="1"/>
      <c r="U1" s="1"/>
      <c r="V1" s="1"/>
      <c r="W1" s="1"/>
      <c r="X1" s="1"/>
    </row>
    <row r="2" spans="1:24" ht="11.25" customHeight="1">
      <c r="A2" s="2" t="s">
        <v>27</v>
      </c>
      <c r="B2" s="46" t="s">
        <v>36</v>
      </c>
      <c r="C2" s="46" t="s">
        <v>37</v>
      </c>
      <c r="D2" s="46" t="s">
        <v>28</v>
      </c>
      <c r="E2" s="46" t="s">
        <v>29</v>
      </c>
      <c r="F2" s="46" t="s">
        <v>30</v>
      </c>
      <c r="G2" s="46" t="s">
        <v>31</v>
      </c>
      <c r="H2" s="46" t="s">
        <v>32</v>
      </c>
      <c r="I2" s="46" t="s">
        <v>33</v>
      </c>
      <c r="J2" s="46" t="s">
        <v>34</v>
      </c>
      <c r="K2" s="46" t="s">
        <v>38</v>
      </c>
      <c r="L2" s="46" t="s">
        <v>22</v>
      </c>
      <c r="M2" s="196"/>
      <c r="N2" s="46" t="s">
        <v>36</v>
      </c>
      <c r="O2" s="46" t="s">
        <v>37</v>
      </c>
      <c r="P2" s="46" t="s">
        <v>28</v>
      </c>
      <c r="Q2" s="46" t="s">
        <v>29</v>
      </c>
      <c r="R2" s="46" t="s">
        <v>30</v>
      </c>
      <c r="S2" s="46" t="s">
        <v>31</v>
      </c>
      <c r="T2" s="46" t="s">
        <v>32</v>
      </c>
      <c r="U2" s="46" t="s">
        <v>33</v>
      </c>
      <c r="V2" s="46" t="s">
        <v>34</v>
      </c>
      <c r="W2" s="46" t="s">
        <v>38</v>
      </c>
      <c r="X2" s="46" t="s">
        <v>22</v>
      </c>
    </row>
    <row r="3" spans="1:24" ht="11.25" customHeight="1">
      <c r="B3" s="334" t="s">
        <v>61</v>
      </c>
      <c r="C3" s="334"/>
      <c r="D3" s="334"/>
      <c r="E3" s="334"/>
      <c r="F3" s="334"/>
      <c r="G3" s="334"/>
      <c r="H3" s="334"/>
      <c r="I3" s="334"/>
      <c r="J3" s="334"/>
      <c r="K3" s="334"/>
      <c r="L3" s="334"/>
      <c r="M3" s="14"/>
      <c r="N3" s="334" t="s">
        <v>62</v>
      </c>
      <c r="O3" s="334"/>
      <c r="P3" s="334"/>
      <c r="Q3" s="334"/>
      <c r="R3" s="334"/>
      <c r="S3" s="334"/>
      <c r="T3" s="334"/>
      <c r="U3" s="334"/>
      <c r="V3" s="334"/>
      <c r="W3" s="334"/>
      <c r="X3" s="334"/>
    </row>
    <row r="4" spans="1:24" ht="11.25" customHeight="1">
      <c r="A4" s="94" t="s">
        <v>225</v>
      </c>
    </row>
    <row r="5" spans="1:24" ht="11.25" customHeight="1">
      <c r="A5" s="99">
        <v>1976</v>
      </c>
      <c r="B5" s="142" t="s">
        <v>23</v>
      </c>
      <c r="C5" s="142" t="str">
        <f>IF(AND('A-10'!B54="-",'A-10'!B102="-",'A-10'!B150="-"),"-",SUM('A-10'!B54,'A-10'!B102,'A-10'!B150))</f>
        <v>-</v>
      </c>
      <c r="D5" s="142">
        <f>IF(AND('A-10'!C54="-",'A-10'!C102="-",'A-10'!C150="-"),"-",SUM('A-10'!C54,'A-10'!C102,'A-10'!C150))</f>
        <v>0</v>
      </c>
      <c r="E5" s="142">
        <f>IF(AND('A-10'!D54="-",'A-10'!D102="-",'A-10'!D150="-"),"-",SUM('A-10'!D54,'A-10'!D102,'A-10'!D150))</f>
        <v>1568</v>
      </c>
      <c r="F5" s="142">
        <f>IF(AND('A-10'!E54="-",'A-10'!E102="-",'A-10'!E150="-"),"-",SUM('A-10'!E54,'A-10'!E102,'A-10'!E150))</f>
        <v>3406</v>
      </c>
      <c r="G5" s="142">
        <f>IF(AND('A-10'!F54="-",'A-10'!F102="-",'A-10'!F150="-"),"-",SUM('A-10'!F54,'A-10'!F102,'A-10'!F150))</f>
        <v>4483</v>
      </c>
      <c r="H5" s="142">
        <f>IF(AND('A-10'!G54="-",'A-10'!G102="-",'A-10'!G150="-"),"-",SUM('A-10'!G54,'A-10'!G102,'A-10'!G150))</f>
        <v>9449</v>
      </c>
      <c r="I5" s="142">
        <f>IF(AND('A-10'!H54="-",'A-10'!H102="-",'A-10'!H150="-"),"-",SUM('A-10'!H54,'A-10'!H102,'A-10'!H150))</f>
        <v>2298</v>
      </c>
      <c r="J5" s="142">
        <f>IF(AND('A-10'!I54="-",'A-10'!I102="-",'A-10'!I150="-"),"-",SUM('A-10'!I54,'A-10'!I102,'A-10'!I150))</f>
        <v>86</v>
      </c>
      <c r="K5" s="142">
        <f>IF(AND('A-10'!J54="-",'A-10'!J102="-",'A-10'!J150="-"),"-",SUM('A-10'!J54,'A-10'!J102,'A-10'!J150))</f>
        <v>36</v>
      </c>
      <c r="L5" s="142">
        <f>IF(AND('A-10'!K54="-",'A-10'!K102="-",'A-10'!K150="-"),"-",SUM('A-10'!K54,'A-10'!K102,'A-10'!K150))</f>
        <v>21326</v>
      </c>
      <c r="N5" s="142" t="s">
        <v>23</v>
      </c>
      <c r="O5" s="142" t="s">
        <v>23</v>
      </c>
      <c r="P5" s="142" t="s">
        <v>23</v>
      </c>
      <c r="Q5" s="142">
        <f>IF(AND('A-10'!M54="-",'A-10'!M102="-",'A-10'!M150="-"),"-",SUM('A-10'!M54,'A-10'!M102,'A-10'!M150))</f>
        <v>17116</v>
      </c>
      <c r="R5" s="142">
        <f>IF(AND('A-10'!N54="-",'A-10'!N102="-",'A-10'!N150="-"),"-",SUM('A-10'!N54,'A-10'!N102,'A-10'!N150))</f>
        <v>58622</v>
      </c>
      <c r="S5" s="142">
        <f>IF(AND('A-10'!O54="-",'A-10'!O102="-",'A-10'!O150="-"),"-",SUM('A-10'!O54,'A-10'!O102,'A-10'!O150))</f>
        <v>106779</v>
      </c>
      <c r="T5" s="142">
        <f>IF(AND('A-10'!P54="-",'A-10'!P102="-",'A-10'!P150="-"),"-",SUM('A-10'!P54,'A-10'!P102,'A-10'!P150))</f>
        <v>134485</v>
      </c>
      <c r="U5" s="142">
        <f>IF(AND('A-10'!Q54="-",'A-10'!Q102="-",'A-10'!Q150="-"),"-",SUM('A-10'!Q54,'A-10'!Q102,'A-10'!Q150))</f>
        <v>13441</v>
      </c>
      <c r="V5" s="142">
        <f>IF(AND('A-10'!R54="-",'A-10'!R102="-",'A-10'!R150="-"),"-",SUM('A-10'!R54,'A-10'!R102,'A-10'!R150))</f>
        <v>1443</v>
      </c>
      <c r="X5" s="142">
        <f>IF(AND('A-10'!S54="-",'A-10'!S102="-",'A-10'!S150="-"),"-",SUM('A-10'!S54,'A-10'!S102,'A-10'!S150))</f>
        <v>331886</v>
      </c>
    </row>
    <row r="6" spans="1:24" ht="11.25" customHeight="1">
      <c r="A6" s="99">
        <v>1977</v>
      </c>
      <c r="B6" s="142" t="s">
        <v>23</v>
      </c>
      <c r="C6" s="142" t="str">
        <f>IF(AND('A-10'!B55="-",'A-10'!B103="-",'A-10'!B151="-"),"-",SUM('A-10'!B55,'A-10'!B103,'A-10'!B151))</f>
        <v>-</v>
      </c>
      <c r="D6" s="142">
        <f>IF(AND('A-10'!C55="-",'A-10'!C103="-",'A-10'!C151="-"),"-",SUM('A-10'!C55,'A-10'!C103,'A-10'!C151))</f>
        <v>0</v>
      </c>
      <c r="E6" s="142">
        <f>IF(AND('A-10'!D55="-",'A-10'!D103="-",'A-10'!D151="-"),"-",SUM('A-10'!D55,'A-10'!D103,'A-10'!D151))</f>
        <v>700</v>
      </c>
      <c r="F6" s="142">
        <f>IF(AND('A-10'!E55="-",'A-10'!E103="-",'A-10'!E151="-"),"-",SUM('A-10'!E55,'A-10'!E103,'A-10'!E151))</f>
        <v>4388</v>
      </c>
      <c r="G6" s="142">
        <f>IF(AND('A-10'!F55="-",'A-10'!F103="-",'A-10'!F151="-"),"-",SUM('A-10'!F55,'A-10'!F103,'A-10'!F151))</f>
        <v>7438</v>
      </c>
      <c r="H6" s="142">
        <f>IF(AND('A-10'!G55="-",'A-10'!G103="-",'A-10'!G151="-"),"-",SUM('A-10'!G55,'A-10'!G103,'A-10'!G151))</f>
        <v>9728</v>
      </c>
      <c r="I6" s="142">
        <f>IF(AND('A-10'!H55="-",'A-10'!H103="-",'A-10'!H151="-"),"-",SUM('A-10'!H55,'A-10'!H103,'A-10'!H151))</f>
        <v>3946</v>
      </c>
      <c r="J6" s="142">
        <f>IF(AND('A-10'!I55="-",'A-10'!I103="-",'A-10'!I151="-"),"-",SUM('A-10'!I55,'A-10'!I103,'A-10'!I151))</f>
        <v>242</v>
      </c>
      <c r="K6" s="142">
        <f>IF(AND('A-10'!J55="-",'A-10'!J103="-",'A-10'!J151="-"),"-",SUM('A-10'!J55,'A-10'!J103,'A-10'!J151))</f>
        <v>41</v>
      </c>
      <c r="L6" s="142">
        <f>IF(AND('A-10'!K55="-",'A-10'!K103="-",'A-10'!K151="-"),"-",SUM('A-10'!K55,'A-10'!K103,'A-10'!K151))</f>
        <v>26483</v>
      </c>
      <c r="N6" s="142" t="s">
        <v>23</v>
      </c>
      <c r="O6" s="142" t="s">
        <v>23</v>
      </c>
      <c r="P6" s="142" t="s">
        <v>23</v>
      </c>
      <c r="Q6" s="142">
        <f>IF(AND('A-10'!M55="-",'A-10'!M103="-",'A-10'!M151="-"),"-",SUM('A-10'!M55,'A-10'!M103,'A-10'!M151))</f>
        <v>14793</v>
      </c>
      <c r="R6" s="142">
        <f>IF(AND('A-10'!N55="-",'A-10'!N103="-",'A-10'!N151="-"),"-",SUM('A-10'!N55,'A-10'!N103,'A-10'!N151))</f>
        <v>19358</v>
      </c>
      <c r="S6" s="142">
        <f>IF(AND('A-10'!O55="-",'A-10'!O103="-",'A-10'!O151="-"),"-",SUM('A-10'!O55,'A-10'!O103,'A-10'!O151))</f>
        <v>47803</v>
      </c>
      <c r="T6" s="142">
        <f>IF(AND('A-10'!P55="-",'A-10'!P103="-",'A-10'!P151="-"),"-",SUM('A-10'!P55,'A-10'!P103,'A-10'!P151))</f>
        <v>31515</v>
      </c>
      <c r="U6" s="142">
        <f>IF(AND('A-10'!Q55="-",'A-10'!Q103="-",'A-10'!Q151="-"),"-",SUM('A-10'!Q55,'A-10'!Q103,'A-10'!Q151))</f>
        <v>5484</v>
      </c>
      <c r="V6" s="142">
        <f>IF(AND('A-10'!R55="-",'A-10'!R103="-",'A-10'!R151="-"),"-",SUM('A-10'!R55,'A-10'!R103,'A-10'!R151))</f>
        <v>289</v>
      </c>
      <c r="X6" s="142">
        <f>IF(AND('A-10'!S55="-",'A-10'!S103="-",'A-10'!S151="-"),"-",SUM('A-10'!S55,'A-10'!S103,'A-10'!S151))</f>
        <v>119242</v>
      </c>
    </row>
    <row r="7" spans="1:24" ht="11.25" customHeight="1">
      <c r="A7" s="99">
        <v>1978</v>
      </c>
      <c r="B7" s="142" t="s">
        <v>23</v>
      </c>
      <c r="C7" s="142" t="str">
        <f>IF(AND('A-10'!B56="-",'A-10'!B104="-",'A-10'!B152="-"),"-",SUM('A-10'!B56,'A-10'!B104,'A-10'!B152))</f>
        <v>-</v>
      </c>
      <c r="D7" s="142">
        <f>IF(AND('A-10'!C56="-",'A-10'!C104="-",'A-10'!C152="-"),"-",SUM('A-10'!C56,'A-10'!C104,'A-10'!C152))</f>
        <v>0</v>
      </c>
      <c r="E7" s="142">
        <f>IF(AND('A-10'!D56="-",'A-10'!D104="-",'A-10'!D152="-"),"-",SUM('A-10'!D56,'A-10'!D104,'A-10'!D152))</f>
        <v>709</v>
      </c>
      <c r="F7" s="142">
        <f>IF(AND('A-10'!E56="-",'A-10'!E104="-",'A-10'!E152="-"),"-",SUM('A-10'!E56,'A-10'!E104,'A-10'!E152))</f>
        <v>1125</v>
      </c>
      <c r="G7" s="142">
        <f>IF(AND('A-10'!F56="-",'A-10'!F104="-",'A-10'!F152="-"),"-",SUM('A-10'!F56,'A-10'!F104,'A-10'!F152))</f>
        <v>2199</v>
      </c>
      <c r="H7" s="142">
        <f>IF(AND('A-10'!G56="-",'A-10'!G104="-",'A-10'!G152="-"),"-",SUM('A-10'!G56,'A-10'!G104,'A-10'!G152))</f>
        <v>3118</v>
      </c>
      <c r="I7" s="142">
        <f>IF(AND('A-10'!H56="-",'A-10'!H104="-",'A-10'!H152="-"),"-",SUM('A-10'!H56,'A-10'!H104,'A-10'!H152))</f>
        <v>471</v>
      </c>
      <c r="J7" s="142">
        <f>IF(AND('A-10'!I56="-",'A-10'!I104="-",'A-10'!I152="-"),"-",SUM('A-10'!I56,'A-10'!I104,'A-10'!I152))</f>
        <v>105</v>
      </c>
      <c r="K7" s="48" t="s">
        <v>106</v>
      </c>
      <c r="L7" s="142">
        <f>IF(AND('A-10'!K56="-",'A-10'!K104="-",'A-10'!K152="-"),"-",SUM('A-10'!K56,'A-10'!K104,'A-10'!K152))</f>
        <v>7727</v>
      </c>
      <c r="N7" s="142" t="s">
        <v>23</v>
      </c>
      <c r="O7" s="142" t="s">
        <v>23</v>
      </c>
      <c r="P7" s="142" t="s">
        <v>23</v>
      </c>
      <c r="Q7" s="142">
        <f>IF(AND('A-10'!M56="-",'A-10'!M104="-",'A-10'!M152="-"),"-",SUM('A-10'!M56,'A-10'!M104,'A-10'!M152))</f>
        <v>4208</v>
      </c>
      <c r="R7" s="142">
        <f>IF(AND('A-10'!N56="-",'A-10'!N104="-",'A-10'!N152="-"),"-",SUM('A-10'!N56,'A-10'!N104,'A-10'!N152))</f>
        <v>49917</v>
      </c>
      <c r="S7" s="142">
        <f>IF(AND('A-10'!O56="-",'A-10'!O104="-",'A-10'!O152="-"),"-",SUM('A-10'!O56,'A-10'!O104,'A-10'!O152))</f>
        <v>45421</v>
      </c>
      <c r="T7" s="142">
        <f>IF(AND('A-10'!P56="-",'A-10'!P104="-",'A-10'!P152="-"),"-",SUM('A-10'!P56,'A-10'!P104,'A-10'!P152))</f>
        <v>46436</v>
      </c>
      <c r="U7" s="142">
        <f>IF(AND('A-10'!Q56="-",'A-10'!Q104="-",'A-10'!Q152="-"),"-",SUM('A-10'!Q56,'A-10'!Q104,'A-10'!Q152))</f>
        <v>6370</v>
      </c>
      <c r="V7" s="142">
        <f>IF(AND('A-10'!R56="-",'A-10'!R104="-",'A-10'!R152="-"),"-",SUM('A-10'!R56,'A-10'!R104,'A-10'!R152))</f>
        <v>280</v>
      </c>
      <c r="W7" s="142" t="s">
        <v>23</v>
      </c>
      <c r="X7" s="142">
        <f>IF(AND('A-10'!S56="-",'A-10'!S104="-",'A-10'!S152="-"),"-",SUM('A-10'!S56,'A-10'!S104,'A-10'!S152))</f>
        <v>152632</v>
      </c>
    </row>
    <row r="8" spans="1:24" ht="11.25" customHeight="1">
      <c r="A8" s="99">
        <v>1979</v>
      </c>
      <c r="B8" s="142" t="s">
        <v>23</v>
      </c>
      <c r="C8" s="142" t="str">
        <f>IF(AND('A-10'!B57="-",'A-10'!B105="-",'A-10'!B153="-"),"-",SUM('A-10'!B57,'A-10'!B105,'A-10'!B153))</f>
        <v>-</v>
      </c>
      <c r="D8" s="142" t="str">
        <f>IF(AND('A-10'!C57="-",'A-10'!C105="-",'A-10'!C153="-"),"-",SUM('A-10'!C57,'A-10'!C105,'A-10'!C153))</f>
        <v>-</v>
      </c>
      <c r="E8" s="142">
        <f>IF(AND('A-10'!D57="-",'A-10'!D105="-",'A-10'!D153="-"),"-",SUM('A-10'!D57,'A-10'!D105,'A-10'!D153))</f>
        <v>351</v>
      </c>
      <c r="F8" s="142">
        <f>IF(AND('A-10'!E57="-",'A-10'!E105="-",'A-10'!E153="-"),"-",SUM('A-10'!E57,'A-10'!E105,'A-10'!E153))</f>
        <v>2737</v>
      </c>
      <c r="G8" s="142">
        <f>IF(AND('A-10'!F57="-",'A-10'!F105="-",'A-10'!F153="-"),"-",SUM('A-10'!F57,'A-10'!F105,'A-10'!F153))</f>
        <v>2587</v>
      </c>
      <c r="H8" s="142">
        <f>IF(AND('A-10'!G57="-",'A-10'!G105="-",'A-10'!G153="-"),"-",SUM('A-10'!G57,'A-10'!G105,'A-10'!G153))</f>
        <v>1208</v>
      </c>
      <c r="I8" s="142">
        <f>IF(AND('A-10'!H57="-",'A-10'!H105="-",'A-10'!H153="-"),"-",SUM('A-10'!H57,'A-10'!H105,'A-10'!H153))</f>
        <v>66</v>
      </c>
      <c r="J8" s="142" t="str">
        <f>IF(AND('A-10'!I57="-",'A-10'!I105="-",'A-10'!I153="-"),"-",SUM('A-10'!I57,'A-10'!I105,'A-10'!I153))</f>
        <v>-</v>
      </c>
      <c r="K8" s="48" t="s">
        <v>106</v>
      </c>
      <c r="L8" s="142">
        <f>IF(AND('A-10'!K57="-",'A-10'!K105="-",'A-10'!K153="-"),"-",SUM('A-10'!K57,'A-10'!K105,'A-10'!K153))</f>
        <v>6949</v>
      </c>
      <c r="N8" s="142" t="s">
        <v>23</v>
      </c>
      <c r="O8" s="142" t="s">
        <v>23</v>
      </c>
      <c r="P8" s="142" t="s">
        <v>23</v>
      </c>
      <c r="Q8" s="142">
        <f>IF(AND('A-10'!M57="-",'A-10'!M105="-",'A-10'!M153="-"),"-",SUM('A-10'!M57,'A-10'!M105,'A-10'!M153))</f>
        <v>5238</v>
      </c>
      <c r="R8" s="142">
        <f>IF(AND('A-10'!N57="-",'A-10'!N105="-",'A-10'!N153="-"),"-",SUM('A-10'!N57,'A-10'!N105,'A-10'!N153))</f>
        <v>27507</v>
      </c>
      <c r="S8" s="142">
        <f>IF(AND('A-10'!O57="-",'A-10'!O105="-",'A-10'!O153="-"),"-",SUM('A-10'!O57,'A-10'!O105,'A-10'!O153))</f>
        <v>58019</v>
      </c>
      <c r="T8" s="142">
        <f>IF(AND('A-10'!P57="-",'A-10'!P105="-",'A-10'!P153="-"),"-",SUM('A-10'!P57,'A-10'!P105,'A-10'!P153))</f>
        <v>33800</v>
      </c>
      <c r="U8" s="142">
        <f>IF(AND('A-10'!Q57="-",'A-10'!Q105="-",'A-10'!Q153="-"),"-",SUM('A-10'!Q57,'A-10'!Q105,'A-10'!Q153))</f>
        <v>85</v>
      </c>
      <c r="V8" s="142" t="str">
        <f>IF(AND('A-10'!R57="-",'A-10'!R105="-",'A-10'!R153="-"),"-",SUM('A-10'!R57,'A-10'!R105,'A-10'!R153))</f>
        <v>-</v>
      </c>
      <c r="W8" s="142" t="s">
        <v>23</v>
      </c>
      <c r="X8" s="142">
        <f>IF(AND('A-10'!S57="-",'A-10'!S105="-",'A-10'!S153="-"),"-",SUM('A-10'!S57,'A-10'!S105,'A-10'!S153))</f>
        <v>124649</v>
      </c>
    </row>
    <row r="9" spans="1:24" ht="11.25" customHeight="1">
      <c r="A9" s="99">
        <v>1980</v>
      </c>
      <c r="B9" s="142" t="s">
        <v>23</v>
      </c>
      <c r="C9" s="142" t="str">
        <f>IF(AND('A-10'!B58="-",'A-10'!B106="-",'A-10'!B154="-"),"-",SUM('A-10'!B58,'A-10'!B106,'A-10'!B154))</f>
        <v>-</v>
      </c>
      <c r="D9" s="142" t="str">
        <f>IF(AND('A-10'!C58="-",'A-10'!C106="-",'A-10'!C154="-"),"-",SUM('A-10'!C58,'A-10'!C106,'A-10'!C154))</f>
        <v>-</v>
      </c>
      <c r="E9" s="142">
        <f>IF(AND('A-10'!D58="-",'A-10'!D106="-",'A-10'!D154="-"),"-",SUM('A-10'!D58,'A-10'!D106,'A-10'!D154))</f>
        <v>173</v>
      </c>
      <c r="F9" s="142">
        <f>IF(AND('A-10'!E58="-",'A-10'!E106="-",'A-10'!E154="-"),"-",SUM('A-10'!E58,'A-10'!E106,'A-10'!E154))</f>
        <v>2245</v>
      </c>
      <c r="G9" s="142">
        <f>IF(AND('A-10'!F58="-",'A-10'!F106="-",'A-10'!F154="-"),"-",SUM('A-10'!F58,'A-10'!F106,'A-10'!F154))</f>
        <v>3863</v>
      </c>
      <c r="H9" s="142">
        <f>IF(AND('A-10'!G58="-",'A-10'!G106="-",'A-10'!G154="-"),"-",SUM('A-10'!G58,'A-10'!G106,'A-10'!G154))</f>
        <v>1894</v>
      </c>
      <c r="I9" s="142">
        <f>IF(AND('A-10'!H58="-",'A-10'!H106="-",'A-10'!H154="-"),"-",SUM('A-10'!H58,'A-10'!H106,'A-10'!H154))</f>
        <v>535</v>
      </c>
      <c r="J9" s="48" t="s">
        <v>106</v>
      </c>
      <c r="K9" s="48" t="s">
        <v>106</v>
      </c>
      <c r="L9" s="142">
        <f>IF(AND('A-10'!K58="-",'A-10'!K106="-",'A-10'!K154="-"),"-",SUM('A-10'!K58,'A-10'!K106,'A-10'!K154))</f>
        <v>8710</v>
      </c>
      <c r="N9" s="142" t="s">
        <v>23</v>
      </c>
      <c r="O9" s="142" t="s">
        <v>23</v>
      </c>
      <c r="P9" s="142" t="s">
        <v>23</v>
      </c>
      <c r="Q9" s="142">
        <f>IF(AND('A-10'!M58="-",'A-10'!M106="-",'A-10'!M154="-"),"-",SUM('A-10'!M58,'A-10'!M106,'A-10'!M154))</f>
        <v>4138</v>
      </c>
      <c r="R9" s="142">
        <f>IF(AND('A-10'!N58="-",'A-10'!N106="-",'A-10'!N154="-"),"-",SUM('A-10'!N58,'A-10'!N106,'A-10'!N154))</f>
        <v>79194</v>
      </c>
      <c r="S9" s="142">
        <f>IF(AND('A-10'!O58="-",'A-10'!O106="-",'A-10'!O154="-"),"-",SUM('A-10'!O58,'A-10'!O106,'A-10'!O154))</f>
        <v>122911</v>
      </c>
      <c r="T9" s="142">
        <f>IF(AND('A-10'!P58="-",'A-10'!P106="-",'A-10'!P154="-"),"-",SUM('A-10'!P58,'A-10'!P106,'A-10'!P154))</f>
        <v>28235</v>
      </c>
      <c r="U9" s="142">
        <f>IF(AND('A-10'!Q58="-",'A-10'!Q106="-",'A-10'!Q154="-"),"-",SUM('A-10'!Q58,'A-10'!Q106,'A-10'!Q154))</f>
        <v>2705</v>
      </c>
      <c r="V9" s="142" t="str">
        <f>IF(AND('A-10'!R58="-",'A-10'!R106="-",'A-10'!R154="-"),"-",SUM('A-10'!R58,'A-10'!R106,'A-10'!R154))</f>
        <v>-</v>
      </c>
      <c r="W9" s="142" t="s">
        <v>23</v>
      </c>
      <c r="X9" s="142">
        <f>IF(AND('A-10'!S58="-",'A-10'!S106="-",'A-10'!S154="-"),"-",SUM('A-10'!S58,'A-10'!S106,'A-10'!S154))</f>
        <v>237183</v>
      </c>
    </row>
    <row r="10" spans="1:24" ht="11.25" customHeight="1">
      <c r="A10" s="99">
        <v>1981</v>
      </c>
      <c r="B10" s="142" t="s">
        <v>23</v>
      </c>
      <c r="C10" s="142" t="str">
        <f>IF(AND('A-10'!B59="-",'A-10'!B107="-",'A-10'!B155="-"),"-",SUM('A-10'!B59,'A-10'!B107,'A-10'!B155))</f>
        <v>-</v>
      </c>
      <c r="D10" s="142" t="str">
        <f>IF(AND('A-10'!C59="-",'A-10'!C107="-",'A-10'!C155="-"),"-",SUM('A-10'!C59,'A-10'!C107,'A-10'!C155))</f>
        <v>-</v>
      </c>
      <c r="E10" s="142">
        <f>IF(AND('A-10'!D59="-",'A-10'!D107="-",'A-10'!D155="-"),"-",SUM('A-10'!D59,'A-10'!D107,'A-10'!D155))</f>
        <v>214</v>
      </c>
      <c r="F10" s="142">
        <f>IF(AND('A-10'!E59="-",'A-10'!E107="-",'A-10'!E155="-"),"-",SUM('A-10'!E59,'A-10'!E107,'A-10'!E155))</f>
        <v>553</v>
      </c>
      <c r="G10" s="142">
        <f>IF(AND('A-10'!F59="-",'A-10'!F107="-",'A-10'!F155="-"),"-",SUM('A-10'!F59,'A-10'!F107,'A-10'!F155))</f>
        <v>3962</v>
      </c>
      <c r="H10" s="142">
        <f>IF(AND('A-10'!G59="-",'A-10'!G107="-",'A-10'!G155="-"),"-",SUM('A-10'!G59,'A-10'!G107,'A-10'!G155))</f>
        <v>3135</v>
      </c>
      <c r="I10" s="142">
        <f>IF(AND('A-10'!H59="-",'A-10'!H107="-",'A-10'!H155="-"),"-",SUM('A-10'!H59,'A-10'!H107,'A-10'!H155))</f>
        <v>898</v>
      </c>
      <c r="J10" s="48" t="s">
        <v>106</v>
      </c>
      <c r="K10" s="48" t="s">
        <v>106</v>
      </c>
      <c r="L10" s="142">
        <f>IF(AND('A-10'!K59="-",'A-10'!K107="-",'A-10'!K155="-"),"-",SUM('A-10'!K59,'A-10'!K107,'A-10'!K155))</f>
        <v>8762</v>
      </c>
      <c r="N10" s="142" t="s">
        <v>23</v>
      </c>
      <c r="O10" s="142" t="s">
        <v>23</v>
      </c>
      <c r="P10" s="142" t="s">
        <v>23</v>
      </c>
      <c r="Q10" s="142">
        <f>IF(AND('A-10'!M59="-",'A-10'!M107="-",'A-10'!M155="-"),"-",SUM('A-10'!M59,'A-10'!M107,'A-10'!M155))</f>
        <v>6962</v>
      </c>
      <c r="R10" s="142">
        <f>IF(AND('A-10'!N59="-",'A-10'!N107="-",'A-10'!N155="-"),"-",SUM('A-10'!N59,'A-10'!N107,'A-10'!N155))</f>
        <v>15393</v>
      </c>
      <c r="S10" s="142">
        <f>IF(AND('A-10'!O59="-",'A-10'!O107="-",'A-10'!O155="-"),"-",SUM('A-10'!O59,'A-10'!O107,'A-10'!O155))</f>
        <v>51310</v>
      </c>
      <c r="T10" s="142">
        <f>IF(AND('A-10'!P59="-",'A-10'!P107="-",'A-10'!P155="-"),"-",SUM('A-10'!P59,'A-10'!P107,'A-10'!P155))</f>
        <v>56592</v>
      </c>
      <c r="U10" s="142">
        <f>IF(AND('A-10'!Q59="-",'A-10'!Q107="-",'A-10'!Q155="-"),"-",SUM('A-10'!Q59,'A-10'!Q107,'A-10'!Q155))</f>
        <v>6937</v>
      </c>
      <c r="V10" s="142" t="str">
        <f>IF(AND('A-10'!R59="-",'A-10'!R107="-",'A-10'!R155="-"),"-",SUM('A-10'!R59,'A-10'!R107,'A-10'!R155))</f>
        <v>-</v>
      </c>
      <c r="W10" s="142" t="s">
        <v>23</v>
      </c>
      <c r="X10" s="142">
        <f>IF(AND('A-10'!S59="-",'A-10'!S107="-",'A-10'!S155="-"),"-",SUM('A-10'!S59,'A-10'!S107,'A-10'!S155))</f>
        <v>137194</v>
      </c>
    </row>
    <row r="11" spans="1:24" ht="11.25" customHeight="1">
      <c r="A11" s="99">
        <v>1982</v>
      </c>
      <c r="B11" s="142" t="s">
        <v>23</v>
      </c>
      <c r="C11" s="142" t="str">
        <f>IF(AND('A-10'!B60="-",'A-10'!B108="-",'A-10'!B156="-"),"-",SUM('A-10'!B60,'A-10'!B108,'A-10'!B156))</f>
        <v>-</v>
      </c>
      <c r="D11" s="142" t="str">
        <f>IF(AND('A-10'!C60="-",'A-10'!C108="-",'A-10'!C156="-"),"-",SUM('A-10'!C60,'A-10'!C108,'A-10'!C156))</f>
        <v>-</v>
      </c>
      <c r="E11" s="142">
        <f>IF(AND('A-10'!D60="-",'A-10'!D108="-",'A-10'!D156="-"),"-",SUM('A-10'!D60,'A-10'!D108,'A-10'!D156))</f>
        <v>5</v>
      </c>
      <c r="F11" s="142">
        <f>IF(AND('A-10'!E60="-",'A-10'!E108="-",'A-10'!E156="-"),"-",SUM('A-10'!E60,'A-10'!E108,'A-10'!E156))</f>
        <v>1704</v>
      </c>
      <c r="G11" s="142">
        <f>IF(AND('A-10'!F60="-",'A-10'!F108="-",'A-10'!F156="-"),"-",SUM('A-10'!F60,'A-10'!F108,'A-10'!F156))</f>
        <v>13234</v>
      </c>
      <c r="H11" s="142">
        <f>IF(AND('A-10'!G60="-",'A-10'!G108="-",'A-10'!G156="-"),"-",SUM('A-10'!G60,'A-10'!G108,'A-10'!G156))</f>
        <v>0</v>
      </c>
      <c r="I11" s="142">
        <f>IF(AND('A-10'!H60="-",'A-10'!H108="-",'A-10'!H156="-"),"-",SUM('A-10'!H60,'A-10'!H108,'A-10'!H156))</f>
        <v>0</v>
      </c>
      <c r="J11" s="48" t="s">
        <v>106</v>
      </c>
      <c r="K11" s="48" t="s">
        <v>106</v>
      </c>
      <c r="L11" s="142">
        <f>IF(AND('A-10'!K60="-",'A-10'!K108="-",'A-10'!K156="-"),"-",SUM('A-10'!K60,'A-10'!K108,'A-10'!K156))</f>
        <v>14943</v>
      </c>
      <c r="N11" s="142" t="s">
        <v>23</v>
      </c>
      <c r="O11" s="142" t="s">
        <v>23</v>
      </c>
      <c r="P11" s="142" t="s">
        <v>23</v>
      </c>
      <c r="Q11" s="142">
        <f>IF(AND('A-10'!M60="-",'A-10'!M108="-",'A-10'!M156="-"),"-",SUM('A-10'!M60,'A-10'!M108,'A-10'!M156))</f>
        <v>0</v>
      </c>
      <c r="R11" s="142">
        <f>IF(AND('A-10'!N60="-",'A-10'!N108="-",'A-10'!N156="-"),"-",SUM('A-10'!N60,'A-10'!N108,'A-10'!N156))</f>
        <v>17129</v>
      </c>
      <c r="S11" s="142">
        <f>IF(AND('A-10'!O60="-",'A-10'!O108="-",'A-10'!O156="-"),"-",SUM('A-10'!O60,'A-10'!O108,'A-10'!O156))</f>
        <v>105612</v>
      </c>
      <c r="T11" s="142">
        <f>IF(AND('A-10'!P60="-",'A-10'!P108="-",'A-10'!P156="-"),"-",SUM('A-10'!P60,'A-10'!P108,'A-10'!P156))</f>
        <v>0</v>
      </c>
      <c r="U11" s="142" t="str">
        <f>IF(AND('A-10'!Q60="-",'A-10'!Q108="-",'A-10'!Q156="-"),"-",SUM('A-10'!Q60,'A-10'!Q108,'A-10'!Q156))</f>
        <v>-</v>
      </c>
      <c r="V11" s="142" t="str">
        <f>IF(AND('A-10'!R60="-",'A-10'!R108="-",'A-10'!R156="-"),"-",SUM('A-10'!R60,'A-10'!R108,'A-10'!R156))</f>
        <v>-</v>
      </c>
      <c r="W11" s="142" t="s">
        <v>23</v>
      </c>
      <c r="X11" s="142">
        <f>IF(AND('A-10'!S60="-",'A-10'!S108="-",'A-10'!S156="-"),"-",SUM('A-10'!S60,'A-10'!S108,'A-10'!S156))</f>
        <v>122741</v>
      </c>
    </row>
    <row r="12" spans="1:24" ht="11.25" customHeight="1">
      <c r="A12" s="99">
        <v>1983</v>
      </c>
      <c r="B12" s="142" t="s">
        <v>23</v>
      </c>
      <c r="C12" s="142" t="str">
        <f>IF(AND('A-10'!B61="-",'A-10'!B109="-",'A-10'!B157="-"),"-",SUM('A-10'!B61,'A-10'!B109,'A-10'!B157))</f>
        <v>-</v>
      </c>
      <c r="D12" s="142" t="str">
        <f>IF(AND('A-10'!C61="-",'A-10'!C109="-",'A-10'!C157="-"),"-",SUM('A-10'!C61,'A-10'!C109,'A-10'!C157))</f>
        <v>-</v>
      </c>
      <c r="E12" s="142">
        <f>IF(AND('A-10'!D61="-",'A-10'!D109="-",'A-10'!D157="-"),"-",SUM('A-10'!D61,'A-10'!D109,'A-10'!D157))</f>
        <v>0</v>
      </c>
      <c r="F12" s="142">
        <f>IF(AND('A-10'!E61="-",'A-10'!E109="-",'A-10'!E157="-"),"-",SUM('A-10'!E61,'A-10'!E109,'A-10'!E157))</f>
        <v>1678</v>
      </c>
      <c r="G12" s="142">
        <f>IF(AND('A-10'!F61="-",'A-10'!F109="-",'A-10'!F157="-"),"-",SUM('A-10'!F61,'A-10'!F109,'A-10'!F157))</f>
        <v>3569</v>
      </c>
      <c r="H12" s="142">
        <f>IF(AND('A-10'!G61="-",'A-10'!G109="-",'A-10'!G157="-"),"-",SUM('A-10'!G61,'A-10'!G109,'A-10'!G157))</f>
        <v>1642</v>
      </c>
      <c r="I12" s="142">
        <f>IF(AND('A-10'!H61="-",'A-10'!H109="-",'A-10'!H157="-"),"-",SUM('A-10'!H61,'A-10'!H109,'A-10'!H157))</f>
        <v>1994</v>
      </c>
      <c r="J12" s="48" t="s">
        <v>106</v>
      </c>
      <c r="K12" s="48" t="s">
        <v>106</v>
      </c>
      <c r="L12" s="142">
        <f>IF(AND('A-10'!K61="-",'A-10'!K109="-",'A-10'!K157="-"),"-",SUM('A-10'!K61,'A-10'!K109,'A-10'!K157))</f>
        <v>8883</v>
      </c>
      <c r="N12" s="142" t="s">
        <v>23</v>
      </c>
      <c r="O12" s="142" t="s">
        <v>23</v>
      </c>
      <c r="P12" s="142" t="s">
        <v>23</v>
      </c>
      <c r="Q12" s="142" t="str">
        <f>IF(AND('A-10'!M61="-",'A-10'!M109="-",'A-10'!M157="-"),"-",SUM('A-10'!M61,'A-10'!M109,'A-10'!M157))</f>
        <v>-</v>
      </c>
      <c r="R12" s="142">
        <f>IF(AND('A-10'!N61="-",'A-10'!N109="-",'A-10'!N157="-"),"-",SUM('A-10'!N61,'A-10'!N109,'A-10'!N157))</f>
        <v>21507</v>
      </c>
      <c r="S12" s="142">
        <f>IF(AND('A-10'!O61="-",'A-10'!O109="-",'A-10'!O157="-"),"-",SUM('A-10'!O61,'A-10'!O109,'A-10'!O157))</f>
        <v>47891</v>
      </c>
      <c r="T12" s="142">
        <f>IF(AND('A-10'!P61="-",'A-10'!P109="-",'A-10'!P157="-"),"-",SUM('A-10'!P61,'A-10'!P109,'A-10'!P157))</f>
        <v>15074</v>
      </c>
      <c r="U12" s="142">
        <f>IF(AND('A-10'!Q61="-",'A-10'!Q109="-",'A-10'!Q157="-"),"-",SUM('A-10'!Q61,'A-10'!Q109,'A-10'!Q157))</f>
        <v>8838</v>
      </c>
      <c r="V12" s="142" t="str">
        <f>IF(AND('A-10'!R61="-",'A-10'!R109="-",'A-10'!R157="-"),"-",SUM('A-10'!R61,'A-10'!R109,'A-10'!R157))</f>
        <v>-</v>
      </c>
      <c r="W12" s="142" t="s">
        <v>23</v>
      </c>
      <c r="X12" s="142">
        <f>IF(AND('A-10'!S61="-",'A-10'!S109="-",'A-10'!S157="-"),"-",SUM('A-10'!S61,'A-10'!S109,'A-10'!S157))</f>
        <v>93310</v>
      </c>
    </row>
    <row r="13" spans="1:24" ht="11.25" customHeight="1">
      <c r="A13" s="99">
        <v>1984</v>
      </c>
      <c r="B13" s="142" t="s">
        <v>23</v>
      </c>
      <c r="C13" s="142" t="str">
        <f>IF(AND('A-10'!B62="-",'A-10'!B110="-",'A-10'!B158="-"),"-",SUM('A-10'!B62,'A-10'!B110,'A-10'!B158))</f>
        <v>-</v>
      </c>
      <c r="D13" s="142" t="str">
        <f>IF(AND('A-10'!C62="-",'A-10'!C110="-",'A-10'!C158="-"),"-",SUM('A-10'!C62,'A-10'!C110,'A-10'!C158))</f>
        <v>-</v>
      </c>
      <c r="E13" s="142" t="str">
        <f>IF(AND('A-10'!D62="-",'A-10'!D110="-",'A-10'!D158="-"),"-",SUM('A-10'!D62,'A-10'!D110,'A-10'!D158))</f>
        <v>-</v>
      </c>
      <c r="F13" s="142">
        <f>IF(AND('A-10'!E62="-",'A-10'!E110="-",'A-10'!E158="-"),"-",SUM('A-10'!E62,'A-10'!E110,'A-10'!E158))</f>
        <v>0</v>
      </c>
      <c r="G13" s="142">
        <f>IF(AND('A-10'!F62="-",'A-10'!F110="-",'A-10'!F158="-"),"-",SUM('A-10'!F62,'A-10'!F110,'A-10'!F158))</f>
        <v>3877</v>
      </c>
      <c r="H13" s="142">
        <f>IF(AND('A-10'!G62="-",'A-10'!G110="-",'A-10'!G158="-"),"-",SUM('A-10'!G62,'A-10'!G110,'A-10'!G158))</f>
        <v>3903</v>
      </c>
      <c r="I13" s="142">
        <f>IF(AND('A-10'!H62="-",'A-10'!H110="-",'A-10'!H158="-"),"-",SUM('A-10'!H62,'A-10'!H110,'A-10'!H158))</f>
        <v>106</v>
      </c>
      <c r="J13" s="48" t="s">
        <v>106</v>
      </c>
      <c r="K13" s="48" t="s">
        <v>106</v>
      </c>
      <c r="L13" s="142">
        <f>IF(AND('A-10'!K62="-",'A-10'!K110="-",'A-10'!K158="-"),"-",SUM('A-10'!K62,'A-10'!K110,'A-10'!K158))</f>
        <v>7886</v>
      </c>
      <c r="N13" s="142" t="s">
        <v>23</v>
      </c>
      <c r="O13" s="142" t="s">
        <v>23</v>
      </c>
      <c r="P13" s="142" t="s">
        <v>23</v>
      </c>
      <c r="Q13" s="142" t="str">
        <f>IF(AND('A-10'!M62="-",'A-10'!M110="-",'A-10'!M158="-"),"-",SUM('A-10'!M62,'A-10'!M110,'A-10'!M158))</f>
        <v>-</v>
      </c>
      <c r="R13" s="142" t="str">
        <f>IF(AND('A-10'!N62="-",'A-10'!N110="-",'A-10'!N158="-"),"-",SUM('A-10'!N62,'A-10'!N110,'A-10'!N158))</f>
        <v>-</v>
      </c>
      <c r="S13" s="142">
        <f>IF(AND('A-10'!O62="-",'A-10'!O110="-",'A-10'!O158="-"),"-",SUM('A-10'!O62,'A-10'!O110,'A-10'!O158))</f>
        <v>53616</v>
      </c>
      <c r="T13" s="142">
        <f>IF(AND('A-10'!P62="-",'A-10'!P110="-",'A-10'!P158="-"),"-",SUM('A-10'!P62,'A-10'!P110,'A-10'!P158))</f>
        <v>45909</v>
      </c>
      <c r="U13" s="142">
        <f>IF(AND('A-10'!Q62="-",'A-10'!Q110="-",'A-10'!Q158="-"),"-",SUM('A-10'!Q62,'A-10'!Q110,'A-10'!Q158))</f>
        <v>743</v>
      </c>
      <c r="V13" s="142" t="str">
        <f>IF(AND('A-10'!R62="-",'A-10'!R110="-",'A-10'!R158="-"),"-",SUM('A-10'!R62,'A-10'!R110,'A-10'!R158))</f>
        <v>-</v>
      </c>
      <c r="W13" s="142" t="s">
        <v>23</v>
      </c>
      <c r="X13" s="142">
        <f>IF(AND('A-10'!S62="-",'A-10'!S110="-",'A-10'!S158="-"),"-",SUM('A-10'!S62,'A-10'!S110,'A-10'!S158))</f>
        <v>100268</v>
      </c>
    </row>
    <row r="14" spans="1:24" ht="11.25" customHeight="1">
      <c r="A14" s="99">
        <v>1985</v>
      </c>
      <c r="B14" s="142" t="s">
        <v>23</v>
      </c>
      <c r="C14" s="142" t="str">
        <f>IF(AND('A-10'!B63="-",'A-10'!B111="-",'A-10'!B159="-"),"-",SUM('A-10'!B63,'A-10'!B111,'A-10'!B159))</f>
        <v>-</v>
      </c>
      <c r="D14" s="142" t="str">
        <f>IF(AND('A-10'!C63="-",'A-10'!C111="-",'A-10'!C159="-"),"-",SUM('A-10'!C63,'A-10'!C111,'A-10'!C159))</f>
        <v>-</v>
      </c>
      <c r="E14" s="142">
        <f>IF(AND('A-10'!D63="-",'A-10'!D111="-",'A-10'!D159="-"),"-",SUM('A-10'!D63,'A-10'!D111,'A-10'!D159))</f>
        <v>0</v>
      </c>
      <c r="F14" s="142">
        <f>IF(AND('A-10'!E63="-",'A-10'!E111="-",'A-10'!E159="-"),"-",SUM('A-10'!E63,'A-10'!E111,'A-10'!E159))</f>
        <v>0</v>
      </c>
      <c r="G14" s="142">
        <f>IF(AND('A-10'!F63="-",'A-10'!F111="-",'A-10'!F159="-"),"-",SUM('A-10'!F63,'A-10'!F111,'A-10'!F159))</f>
        <v>6994</v>
      </c>
      <c r="H14" s="142">
        <f>IF(AND('A-10'!G63="-",'A-10'!G111="-",'A-10'!G159="-"),"-",SUM('A-10'!G63,'A-10'!G111,'A-10'!G159))</f>
        <v>8910</v>
      </c>
      <c r="I14" s="142">
        <f>IF(AND('A-10'!H63="-",'A-10'!H111="-",'A-10'!H159="-"),"-",SUM('A-10'!H63,'A-10'!H111,'A-10'!H159))</f>
        <v>212</v>
      </c>
      <c r="J14" s="142">
        <f>IF(AND('A-10'!I63="-",'A-10'!I111="-",'A-10'!I159="-"),"-",SUM('A-10'!I63,'A-10'!I111,'A-10'!I159))</f>
        <v>42</v>
      </c>
      <c r="K14" s="48" t="s">
        <v>106</v>
      </c>
      <c r="L14" s="142">
        <f>IF(AND('A-10'!K63="-",'A-10'!K111="-",'A-10'!K159="-"),"-",SUM('A-10'!K63,'A-10'!K111,'A-10'!K159))</f>
        <v>16158</v>
      </c>
      <c r="N14" s="142" t="s">
        <v>23</v>
      </c>
      <c r="O14" s="142" t="s">
        <v>23</v>
      </c>
      <c r="P14" s="142" t="s">
        <v>23</v>
      </c>
      <c r="Q14" s="142">
        <f>IF(AND('A-10'!M63="-",'A-10'!M111="-",'A-10'!M159="-"),"-",SUM('A-10'!M63,'A-10'!M111,'A-10'!M159))</f>
        <v>0</v>
      </c>
      <c r="R14" s="142" t="str">
        <f>IF(AND('A-10'!N63="-",'A-10'!N111="-",'A-10'!N159="-"),"-",SUM('A-10'!N63,'A-10'!N111,'A-10'!N159))</f>
        <v>-</v>
      </c>
      <c r="S14" s="142">
        <f>IF(AND('A-10'!O63="-",'A-10'!O111="-",'A-10'!O159="-"),"-",SUM('A-10'!O63,'A-10'!O111,'A-10'!O159))</f>
        <v>54700</v>
      </c>
      <c r="T14" s="142">
        <f>IF(AND('A-10'!P63="-",'A-10'!P111="-",'A-10'!P159="-"),"-",SUM('A-10'!P63,'A-10'!P111,'A-10'!P159))</f>
        <v>87037</v>
      </c>
      <c r="U14" s="142">
        <f>IF(AND('A-10'!Q63="-",'A-10'!Q111="-",'A-10'!Q159="-"),"-",SUM('A-10'!Q63,'A-10'!Q111,'A-10'!Q159))</f>
        <v>2305</v>
      </c>
      <c r="V14" s="142" t="str">
        <f>IF(AND('A-10'!R63="-",'A-10'!R111="-",'A-10'!R159="-"),"-",SUM('A-10'!R63,'A-10'!R111,'A-10'!R159))</f>
        <v>-</v>
      </c>
      <c r="W14" s="142" t="s">
        <v>23</v>
      </c>
      <c r="X14" s="142">
        <f>IF(AND('A-10'!S63="-",'A-10'!S111="-",'A-10'!S159="-"),"-",SUM('A-10'!S63,'A-10'!S111,'A-10'!S159))</f>
        <v>144042</v>
      </c>
    </row>
    <row r="15" spans="1:24" ht="11.25" customHeight="1">
      <c r="A15" s="99">
        <v>1986</v>
      </c>
      <c r="B15" s="142" t="s">
        <v>23</v>
      </c>
      <c r="C15" s="142" t="str">
        <f>IF(AND('A-10'!B64="-",'A-10'!B112="-",'A-10'!B160="-"),"-",SUM('A-10'!B64,'A-10'!B112,'A-10'!B160))</f>
        <v>-</v>
      </c>
      <c r="D15" s="142" t="str">
        <f>IF(AND('A-10'!C64="-",'A-10'!C112="-",'A-10'!C160="-"),"-",SUM('A-10'!C64,'A-10'!C112,'A-10'!C160))</f>
        <v>-</v>
      </c>
      <c r="E15" s="142">
        <f>IF(AND('A-10'!D64="-",'A-10'!D112="-",'A-10'!D160="-"),"-",SUM('A-10'!D64,'A-10'!D112,'A-10'!D160))</f>
        <v>128</v>
      </c>
      <c r="F15" s="142">
        <f>IF(AND('A-10'!E64="-",'A-10'!E112="-",'A-10'!E160="-"),"-",SUM('A-10'!E64,'A-10'!E112,'A-10'!E160))</f>
        <v>1202</v>
      </c>
      <c r="G15" s="142">
        <f>IF(AND('A-10'!F64="-",'A-10'!F112="-",'A-10'!F160="-"),"-",SUM('A-10'!F64,'A-10'!F112,'A-10'!F160))</f>
        <v>6480</v>
      </c>
      <c r="H15" s="142">
        <f>IF(AND('A-10'!G64="-",'A-10'!G112="-",'A-10'!G160="-"),"-",SUM('A-10'!G64,'A-10'!G112,'A-10'!G160))</f>
        <v>774</v>
      </c>
      <c r="I15" s="142">
        <f>IF(AND('A-10'!H64="-",'A-10'!H112="-",'A-10'!H160="-"),"-",SUM('A-10'!H64,'A-10'!H112,'A-10'!H160))</f>
        <v>0</v>
      </c>
      <c r="J15" s="48" t="s">
        <v>106</v>
      </c>
      <c r="K15" s="48" t="s">
        <v>106</v>
      </c>
      <c r="L15" s="142">
        <f>IF(AND('A-10'!K64="-",'A-10'!K112="-",'A-10'!K160="-"),"-",SUM('A-10'!K64,'A-10'!K112,'A-10'!K160))</f>
        <v>8584</v>
      </c>
      <c r="N15" s="142" t="s">
        <v>23</v>
      </c>
      <c r="O15" s="142" t="s">
        <v>23</v>
      </c>
      <c r="P15" s="142" t="s">
        <v>23</v>
      </c>
      <c r="Q15" s="142">
        <f>IF(AND('A-10'!M64="-",'A-10'!M112="-",'A-10'!M160="-"),"-",SUM('A-10'!M64,'A-10'!M112,'A-10'!M160))</f>
        <v>2559</v>
      </c>
      <c r="R15" s="142">
        <f>IF(AND('A-10'!N64="-",'A-10'!N112="-",'A-10'!N160="-"),"-",SUM('A-10'!N64,'A-10'!N112,'A-10'!N160))</f>
        <v>18307</v>
      </c>
      <c r="S15" s="142">
        <f>IF(AND('A-10'!O64="-",'A-10'!O112="-",'A-10'!O160="-"),"-",SUM('A-10'!O64,'A-10'!O112,'A-10'!O160))</f>
        <v>117649</v>
      </c>
      <c r="T15" s="142">
        <f>IF(AND('A-10'!P64="-",'A-10'!P112="-",'A-10'!P160="-"),"-",SUM('A-10'!P64,'A-10'!P112,'A-10'!P160))</f>
        <v>24811</v>
      </c>
      <c r="U15" s="142" t="str">
        <f>IF(AND('A-10'!Q64="-",'A-10'!Q112="-",'A-10'!Q160="-"),"-",SUM('A-10'!Q64,'A-10'!Q112,'A-10'!Q160))</f>
        <v>-</v>
      </c>
      <c r="V15" s="142" t="str">
        <f>IF(AND('A-10'!R64="-",'A-10'!R112="-",'A-10'!R160="-"),"-",SUM('A-10'!R64,'A-10'!R112,'A-10'!R160))</f>
        <v>-</v>
      </c>
      <c r="W15" s="142" t="s">
        <v>23</v>
      </c>
      <c r="X15" s="142">
        <f>IF(AND('A-10'!S64="-",'A-10'!S112="-",'A-10'!S160="-"),"-",SUM('A-10'!S64,'A-10'!S112,'A-10'!S160))</f>
        <v>163326</v>
      </c>
    </row>
    <row r="16" spans="1:24" ht="11.25" customHeight="1">
      <c r="A16" s="99">
        <v>1987</v>
      </c>
      <c r="B16" s="142" t="s">
        <v>23</v>
      </c>
      <c r="C16" s="142" t="str">
        <f>IF(AND('A-10'!B65="-",'A-10'!B113="-",'A-10'!B161="-"),"-",SUM('A-10'!B65,'A-10'!B113,'A-10'!B161))</f>
        <v>-</v>
      </c>
      <c r="D16" s="142" t="str">
        <f>IF(AND('A-10'!C65="-",'A-10'!C113="-",'A-10'!C161="-"),"-",SUM('A-10'!C65,'A-10'!C113,'A-10'!C161))</f>
        <v>-</v>
      </c>
      <c r="E16" s="142" t="str">
        <f>IF(AND('A-10'!D65="-",'A-10'!D113="-",'A-10'!D161="-"),"-",SUM('A-10'!D65,'A-10'!D113,'A-10'!D161))</f>
        <v>-</v>
      </c>
      <c r="F16" s="142">
        <f>IF(AND('A-10'!E65="-",'A-10'!E113="-",'A-10'!E161="-"),"-",SUM('A-10'!E65,'A-10'!E113,'A-10'!E161))</f>
        <v>1014</v>
      </c>
      <c r="G16" s="142">
        <f>IF(AND('A-10'!F65="-",'A-10'!F113="-",'A-10'!F161="-"),"-",SUM('A-10'!F65,'A-10'!F113,'A-10'!F161))</f>
        <v>13905</v>
      </c>
      <c r="H16" s="142">
        <f>IF(AND('A-10'!G65="-",'A-10'!G113="-",'A-10'!G161="-"),"-",SUM('A-10'!G65,'A-10'!G113,'A-10'!G161))</f>
        <v>8699</v>
      </c>
      <c r="I16" s="142">
        <f>IF(AND('A-10'!H65="-",'A-10'!H113="-",'A-10'!H161="-"),"-",SUM('A-10'!H65,'A-10'!H113,'A-10'!H161))</f>
        <v>5110</v>
      </c>
      <c r="J16" s="48" t="s">
        <v>106</v>
      </c>
      <c r="K16" s="48" t="s">
        <v>106</v>
      </c>
      <c r="L16" s="142">
        <f>IF(AND('A-10'!K65="-",'A-10'!K113="-",'A-10'!K161="-"),"-",SUM('A-10'!K65,'A-10'!K113,'A-10'!K161))</f>
        <v>28728</v>
      </c>
      <c r="N16" s="142" t="s">
        <v>23</v>
      </c>
      <c r="O16" s="142" t="s">
        <v>23</v>
      </c>
      <c r="P16" s="142" t="s">
        <v>23</v>
      </c>
      <c r="Q16" s="142" t="str">
        <f>IF(AND('A-10'!M65="-",'A-10'!M113="-",'A-10'!M161="-"),"-",SUM('A-10'!M65,'A-10'!M113,'A-10'!M161))</f>
        <v>-</v>
      </c>
      <c r="R16" s="142">
        <f>IF(AND('A-10'!N65="-",'A-10'!N113="-",'A-10'!N161="-"),"-",SUM('A-10'!N65,'A-10'!N113,'A-10'!N161))</f>
        <v>2936</v>
      </c>
      <c r="S16" s="142">
        <f>IF(AND('A-10'!O65="-",'A-10'!O113="-",'A-10'!O161="-"),"-",SUM('A-10'!O65,'A-10'!O113,'A-10'!O161))</f>
        <v>97971</v>
      </c>
      <c r="T16" s="142">
        <f>IF(AND('A-10'!P65="-",'A-10'!P113="-",'A-10'!P161="-"),"-",SUM('A-10'!P65,'A-10'!P113,'A-10'!P161))</f>
        <v>25810</v>
      </c>
      <c r="U16" s="142">
        <f>IF(AND('A-10'!Q65="-",'A-10'!Q113="-",'A-10'!Q161="-"),"-",SUM('A-10'!Q65,'A-10'!Q113,'A-10'!Q161))</f>
        <v>9126</v>
      </c>
      <c r="V16" s="142" t="str">
        <f>IF(AND('A-10'!R65="-",'A-10'!R113="-",'A-10'!R161="-"),"-",SUM('A-10'!R65,'A-10'!R113,'A-10'!R161))</f>
        <v>-</v>
      </c>
      <c r="W16" s="142" t="s">
        <v>23</v>
      </c>
      <c r="X16" s="142">
        <f>IF(AND('A-10'!S65="-",'A-10'!S113="-",'A-10'!S161="-"),"-",SUM('A-10'!S65,'A-10'!S113,'A-10'!S161))</f>
        <v>135843</v>
      </c>
    </row>
    <row r="17" spans="1:24" ht="11.25" customHeight="1">
      <c r="A17" s="99">
        <v>1988</v>
      </c>
      <c r="B17" s="142" t="s">
        <v>23</v>
      </c>
      <c r="C17" s="142" t="str">
        <f>IF(AND('A-10'!B66="-",'A-10'!B114="-",'A-10'!B162="-"),"-",SUM('A-10'!B66,'A-10'!B114,'A-10'!B162))</f>
        <v>-</v>
      </c>
      <c r="D17" s="142" t="str">
        <f>IF(AND('A-10'!C66="-",'A-10'!C114="-",'A-10'!C162="-"),"-",SUM('A-10'!C66,'A-10'!C114,'A-10'!C162))</f>
        <v>-</v>
      </c>
      <c r="E17" s="142">
        <f>IF(AND('A-10'!D66="-",'A-10'!D114="-",'A-10'!D162="-"),"-",SUM('A-10'!D66,'A-10'!D114,'A-10'!D162))</f>
        <v>255</v>
      </c>
      <c r="F17" s="142">
        <f>IF(AND('A-10'!E66="-",'A-10'!E114="-",'A-10'!E162="-"),"-",SUM('A-10'!E66,'A-10'!E114,'A-10'!E162))</f>
        <v>2587</v>
      </c>
      <c r="G17" s="142">
        <f>IF(AND('A-10'!F66="-",'A-10'!F114="-",'A-10'!F162="-"),"-",SUM('A-10'!F66,'A-10'!F114,'A-10'!F162))</f>
        <v>5410</v>
      </c>
      <c r="H17" s="142">
        <f>IF(AND('A-10'!G66="-",'A-10'!G114="-",'A-10'!G162="-"),"-",SUM('A-10'!G66,'A-10'!G114,'A-10'!G162))</f>
        <v>6099</v>
      </c>
      <c r="I17" s="142">
        <f>IF(AND('A-10'!H66="-",'A-10'!H114="-",'A-10'!H162="-"),"-",SUM('A-10'!H66,'A-10'!H114,'A-10'!H162))</f>
        <v>1776</v>
      </c>
      <c r="J17" s="48" t="s">
        <v>106</v>
      </c>
      <c r="K17" s="48" t="s">
        <v>106</v>
      </c>
      <c r="L17" s="142">
        <f>IF(AND('A-10'!K66="-",'A-10'!K114="-",'A-10'!K162="-"),"-",SUM('A-10'!K66,'A-10'!K114,'A-10'!K162))</f>
        <v>16127</v>
      </c>
      <c r="N17" s="142" t="s">
        <v>23</v>
      </c>
      <c r="O17" s="142" t="s">
        <v>23</v>
      </c>
      <c r="P17" s="142" t="s">
        <v>23</v>
      </c>
      <c r="Q17" s="142">
        <f>IF(AND('A-10'!M66="-",'A-10'!M114="-",'A-10'!M162="-"),"-",SUM('A-10'!M66,'A-10'!M114,'A-10'!M162))</f>
        <v>318</v>
      </c>
      <c r="R17" s="142">
        <f>IF(AND('A-10'!N66="-",'A-10'!N114="-",'A-10'!N162="-"),"-",SUM('A-10'!N66,'A-10'!N114,'A-10'!N162))</f>
        <v>18929</v>
      </c>
      <c r="S17" s="142">
        <f>IF(AND('A-10'!O66="-",'A-10'!O114="-",'A-10'!O162="-"),"-",SUM('A-10'!O66,'A-10'!O114,'A-10'!O162))</f>
        <v>96188</v>
      </c>
      <c r="T17" s="142">
        <f>IF(AND('A-10'!P66="-",'A-10'!P114="-",'A-10'!P162="-"),"-",SUM('A-10'!P66,'A-10'!P114,'A-10'!P162))</f>
        <v>74313</v>
      </c>
      <c r="U17" s="142">
        <f>IF(AND('A-10'!Q66="-",'A-10'!Q114="-",'A-10'!Q162="-"),"-",SUM('A-10'!Q66,'A-10'!Q114,'A-10'!Q162))</f>
        <v>12265</v>
      </c>
      <c r="V17" s="142" t="str">
        <f>IF(AND('A-10'!R66="-",'A-10'!R114="-",'A-10'!R162="-"),"-",SUM('A-10'!R66,'A-10'!R114,'A-10'!R162))</f>
        <v>-</v>
      </c>
      <c r="W17" s="142" t="s">
        <v>23</v>
      </c>
      <c r="X17" s="142">
        <f>IF(AND('A-10'!S66="-",'A-10'!S114="-",'A-10'!S162="-"),"-",SUM('A-10'!S66,'A-10'!S114,'A-10'!S162))</f>
        <v>202013</v>
      </c>
    </row>
    <row r="18" spans="1:24" ht="11.25" customHeight="1">
      <c r="A18" s="99">
        <v>1989</v>
      </c>
      <c r="B18" s="142" t="s">
        <v>23</v>
      </c>
      <c r="C18" s="142" t="str">
        <f>IF(AND('A-10'!B67="-",'A-10'!B115="-",'A-10'!B163="-"),"-",SUM('A-10'!B67,'A-10'!B115,'A-10'!B163))</f>
        <v>-</v>
      </c>
      <c r="D18" s="142" t="str">
        <f>IF(AND('A-10'!C67="-",'A-10'!C115="-",'A-10'!C163="-"),"-",SUM('A-10'!C67,'A-10'!C115,'A-10'!C163))</f>
        <v>-</v>
      </c>
      <c r="E18" s="142">
        <f>IF(AND('A-10'!D67="-",'A-10'!D115="-",'A-10'!D163="-"),"-",SUM('A-10'!D67,'A-10'!D115,'A-10'!D163))</f>
        <v>189</v>
      </c>
      <c r="F18" s="142">
        <f>IF(AND('A-10'!E67="-",'A-10'!E115="-",'A-10'!E163="-"),"-",SUM('A-10'!E67,'A-10'!E115,'A-10'!E163))</f>
        <v>2578</v>
      </c>
      <c r="G18" s="142">
        <f>IF(AND('A-10'!F67="-",'A-10'!F115="-",'A-10'!F163="-"),"-",SUM('A-10'!F67,'A-10'!F115,'A-10'!F163))</f>
        <v>5137</v>
      </c>
      <c r="H18" s="142">
        <f>IF(AND('A-10'!G67="-",'A-10'!G115="-",'A-10'!G163="-"),"-",SUM('A-10'!G67,'A-10'!G115,'A-10'!G163))</f>
        <v>1427</v>
      </c>
      <c r="I18" s="142">
        <f>IF(AND('A-10'!H67="-",'A-10'!H115="-",'A-10'!H163="-"),"-",SUM('A-10'!H67,'A-10'!H115,'A-10'!H163))</f>
        <v>53</v>
      </c>
      <c r="J18" s="48" t="s">
        <v>106</v>
      </c>
      <c r="K18" s="48" t="s">
        <v>106</v>
      </c>
      <c r="L18" s="142">
        <f>IF(AND('A-10'!K67="-",'A-10'!K115="-",'A-10'!K163="-"),"-",SUM('A-10'!K67,'A-10'!K115,'A-10'!K163))</f>
        <v>9384</v>
      </c>
      <c r="N18" s="142" t="s">
        <v>23</v>
      </c>
      <c r="O18" s="142" t="s">
        <v>23</v>
      </c>
      <c r="P18" s="142" t="s">
        <v>23</v>
      </c>
      <c r="Q18" s="142">
        <f>IF(AND('A-10'!M67="-",'A-10'!M115="-",'A-10'!M163="-"),"-",SUM('A-10'!M67,'A-10'!M115,'A-10'!M163))</f>
        <v>1474</v>
      </c>
      <c r="R18" s="142">
        <f>IF(AND('A-10'!N67="-",'A-10'!N115="-",'A-10'!N163="-"),"-",SUM('A-10'!N67,'A-10'!N115,'A-10'!N163))</f>
        <v>49983</v>
      </c>
      <c r="S18" s="142">
        <f>IF(AND('A-10'!O67="-",'A-10'!O115="-",'A-10'!O163="-"),"-",SUM('A-10'!O67,'A-10'!O115,'A-10'!O163))</f>
        <v>105615</v>
      </c>
      <c r="T18" s="142">
        <f>IF(AND('A-10'!P67="-",'A-10'!P115="-",'A-10'!P163="-"),"-",SUM('A-10'!P67,'A-10'!P115,'A-10'!P163))</f>
        <v>48155</v>
      </c>
      <c r="U18" s="142">
        <f>IF(AND('A-10'!Q67="-",'A-10'!Q115="-",'A-10'!Q163="-"),"-",SUM('A-10'!Q67,'A-10'!Q115,'A-10'!Q163))</f>
        <v>712</v>
      </c>
      <c r="V18" s="142" t="str">
        <f>IF(AND('A-10'!R67="-",'A-10'!R115="-",'A-10'!R163="-"),"-",SUM('A-10'!R67,'A-10'!R115,'A-10'!R163))</f>
        <v>-</v>
      </c>
      <c r="W18" s="142" t="s">
        <v>23</v>
      </c>
      <c r="X18" s="142">
        <f>IF(AND('A-10'!S67="-",'A-10'!S115="-",'A-10'!S163="-"),"-",SUM('A-10'!S67,'A-10'!S115,'A-10'!S163))</f>
        <v>205939</v>
      </c>
    </row>
    <row r="19" spans="1:24" ht="11.25" customHeight="1">
      <c r="A19" s="99">
        <v>1990</v>
      </c>
      <c r="B19" s="142" t="s">
        <v>23</v>
      </c>
      <c r="C19" s="142" t="str">
        <f>IF(AND('A-10'!B68="-",'A-10'!B116="-",'A-10'!B164="-"),"-",SUM('A-10'!B68,'A-10'!B116,'A-10'!B164))</f>
        <v>-</v>
      </c>
      <c r="D19" s="142" t="str">
        <f>IF(AND('A-10'!C68="-",'A-10'!C116="-",'A-10'!C164="-"),"-",SUM('A-10'!C68,'A-10'!C116,'A-10'!C164))</f>
        <v>-</v>
      </c>
      <c r="E19" s="142">
        <f>IF(AND('A-10'!D68="-",'A-10'!D116="-",'A-10'!D164="-"),"-",SUM('A-10'!D68,'A-10'!D116,'A-10'!D164))</f>
        <v>29</v>
      </c>
      <c r="F19" s="142">
        <f>IF(AND('A-10'!E68="-",'A-10'!E116="-",'A-10'!E164="-"),"-",SUM('A-10'!E68,'A-10'!E116,'A-10'!E164))</f>
        <v>1009</v>
      </c>
      <c r="G19" s="142">
        <f>IF(AND('A-10'!F68="-",'A-10'!F116="-",'A-10'!F164="-"),"-",SUM('A-10'!F68,'A-10'!F116,'A-10'!F164))</f>
        <v>4707</v>
      </c>
      <c r="H19" s="142">
        <f>IF(AND('A-10'!G68="-",'A-10'!G116="-",'A-10'!G164="-"),"-",SUM('A-10'!G68,'A-10'!G116,'A-10'!G164))</f>
        <v>3495</v>
      </c>
      <c r="I19" s="142">
        <f>IF(AND('A-10'!H68="-",'A-10'!H116="-",'A-10'!H164="-"),"-",SUM('A-10'!H68,'A-10'!H116,'A-10'!H164))</f>
        <v>1256</v>
      </c>
      <c r="J19" s="48" t="s">
        <v>106</v>
      </c>
      <c r="K19" s="142" t="str">
        <f>IF(AND('A-10'!J68="-",'A-10'!J116="-",'A-10'!J164="-"),"-",SUM('A-10'!J68,'A-10'!J116,'A-10'!J164))</f>
        <v>-</v>
      </c>
      <c r="L19" s="142">
        <f>IF(AND('A-10'!K68="-",'A-10'!K116="-",'A-10'!K164="-"),"-",SUM('A-10'!K68,'A-10'!K116,'A-10'!K164))</f>
        <v>10496</v>
      </c>
      <c r="N19" s="142" t="s">
        <v>23</v>
      </c>
      <c r="O19" s="142" t="s">
        <v>23</v>
      </c>
      <c r="P19" s="142" t="s">
        <v>23</v>
      </c>
      <c r="Q19" s="142">
        <f>IF(AND('A-10'!M68="-",'A-10'!M116="-",'A-10'!M164="-"),"-",SUM('A-10'!M68,'A-10'!M116,'A-10'!M164))</f>
        <v>194</v>
      </c>
      <c r="R19" s="142">
        <f>IF(AND('A-10'!N68="-",'A-10'!N116="-",'A-10'!N164="-"),"-",SUM('A-10'!N68,'A-10'!N116,'A-10'!N164))</f>
        <v>19169</v>
      </c>
      <c r="S19" s="142">
        <f>IF(AND('A-10'!O68="-",'A-10'!O116="-",'A-10'!O164="-"),"-",SUM('A-10'!O68,'A-10'!O116,'A-10'!O164))</f>
        <v>70100</v>
      </c>
      <c r="T19" s="142">
        <f>IF(AND('A-10'!P68="-",'A-10'!P116="-",'A-10'!P164="-"),"-",SUM('A-10'!P68,'A-10'!P116,'A-10'!P164))</f>
        <v>54563</v>
      </c>
      <c r="U19" s="142">
        <f>IF(AND('A-10'!Q68="-",'A-10'!Q116="-",'A-10'!Q164="-"),"-",SUM('A-10'!Q68,'A-10'!Q116,'A-10'!Q164))</f>
        <v>5191</v>
      </c>
      <c r="V19" s="142" t="str">
        <f>IF(AND('A-10'!R68="-",'A-10'!R116="-",'A-10'!R164="-"),"-",SUM('A-10'!R68,'A-10'!R116,'A-10'!R164))</f>
        <v>-</v>
      </c>
      <c r="W19" s="142" t="s">
        <v>23</v>
      </c>
      <c r="X19" s="142">
        <f>IF(AND('A-10'!S68="-",'A-10'!S116="-",'A-10'!S164="-"),"-",SUM('A-10'!S68,'A-10'!S116,'A-10'!S164))</f>
        <v>149217</v>
      </c>
    </row>
    <row r="20" spans="1:24" ht="11.25" customHeight="1">
      <c r="A20" s="99">
        <v>1991</v>
      </c>
      <c r="B20" s="142" t="s">
        <v>23</v>
      </c>
      <c r="C20" s="142" t="str">
        <f>IF(AND('A-10'!B69="-",'A-10'!B117="-",'A-10'!B165="-"),"-",SUM('A-10'!B69,'A-10'!B117,'A-10'!B165))</f>
        <v>-</v>
      </c>
      <c r="D20" s="142" t="str">
        <f>IF(AND('A-10'!C69="-",'A-10'!C117="-",'A-10'!C165="-"),"-",SUM('A-10'!C69,'A-10'!C117,'A-10'!C165))</f>
        <v>-</v>
      </c>
      <c r="E20" s="142">
        <f>IF(AND('A-10'!D69="-",'A-10'!D117="-",'A-10'!D165="-"),"-",SUM('A-10'!D69,'A-10'!D117,'A-10'!D165))</f>
        <v>155</v>
      </c>
      <c r="F20" s="142">
        <f>IF(AND('A-10'!E69="-",'A-10'!E117="-",'A-10'!E165="-"),"-",SUM('A-10'!E69,'A-10'!E117,'A-10'!E165))</f>
        <v>2815</v>
      </c>
      <c r="G20" s="142">
        <f>IF(AND('A-10'!F69="-",'A-10'!F117="-",'A-10'!F165="-"),"-",SUM('A-10'!F69,'A-10'!F117,'A-10'!F165))</f>
        <v>3652</v>
      </c>
      <c r="H20" s="142" t="str">
        <f>IF(AND('A-10'!G69="-",'A-10'!G117="-",'A-10'!G165="-"),"-",SUM('A-10'!G69,'A-10'!G117,'A-10'!G165))</f>
        <v>-</v>
      </c>
      <c r="I20" s="142" t="str">
        <f>IF(AND('A-10'!H69="-",'A-10'!H117="-",'A-10'!H165="-"),"-",SUM('A-10'!H69,'A-10'!H117,'A-10'!H165))</f>
        <v>-</v>
      </c>
      <c r="J20" s="48" t="s">
        <v>106</v>
      </c>
      <c r="K20" s="142" t="str">
        <f>IF(AND('A-10'!J69="-",'A-10'!J117="-",'A-10'!J165="-"),"-",SUM('A-10'!J69,'A-10'!J117,'A-10'!J165))</f>
        <v>-</v>
      </c>
      <c r="L20" s="142">
        <f>IF(AND('A-10'!K69="-",'A-10'!K117="-",'A-10'!K165="-"),"-",SUM('A-10'!K69,'A-10'!K117,'A-10'!K165))</f>
        <v>6622</v>
      </c>
      <c r="N20" s="142" t="s">
        <v>23</v>
      </c>
      <c r="O20" s="142" t="s">
        <v>23</v>
      </c>
      <c r="P20" s="142" t="s">
        <v>23</v>
      </c>
      <c r="Q20" s="142">
        <f>IF(AND('A-10'!M69="-",'A-10'!M117="-",'A-10'!M165="-"),"-",SUM('A-10'!M69,'A-10'!M117,'A-10'!M165))</f>
        <v>866</v>
      </c>
      <c r="R20" s="142">
        <f>IF(AND('A-10'!N69="-",'A-10'!N117="-",'A-10'!N165="-"),"-",SUM('A-10'!N69,'A-10'!N117,'A-10'!N165))</f>
        <v>41180</v>
      </c>
      <c r="S20" s="142">
        <f>IF(AND('A-10'!O69="-",'A-10'!O117="-",'A-10'!O165="-"),"-",SUM('A-10'!O69,'A-10'!O117,'A-10'!O165))</f>
        <v>155451</v>
      </c>
      <c r="T20" s="142" t="str">
        <f>IF(AND('A-10'!P69="-",'A-10'!P117="-",'A-10'!P165="-"),"-",SUM('A-10'!P69,'A-10'!P117,'A-10'!P165))</f>
        <v>-</v>
      </c>
      <c r="U20" s="142" t="str">
        <f>IF(AND('A-10'!Q69="-",'A-10'!Q117="-",'A-10'!Q165="-"),"-",SUM('A-10'!Q69,'A-10'!Q117,'A-10'!Q165))</f>
        <v>-</v>
      </c>
      <c r="V20" s="142" t="str">
        <f>IF(AND('A-10'!R69="-",'A-10'!R117="-",'A-10'!R165="-"),"-",SUM('A-10'!R69,'A-10'!R117,'A-10'!R165))</f>
        <v>-</v>
      </c>
      <c r="W20" s="142" t="s">
        <v>23</v>
      </c>
      <c r="X20" s="142">
        <f>IF(AND('A-10'!S69="-",'A-10'!S117="-",'A-10'!S165="-"),"-",SUM('A-10'!S69,'A-10'!S117,'A-10'!S165))</f>
        <v>197497</v>
      </c>
    </row>
    <row r="21" spans="1:24" ht="11.25" customHeight="1">
      <c r="A21" s="99">
        <v>1992</v>
      </c>
      <c r="B21" s="142" t="s">
        <v>23</v>
      </c>
      <c r="C21" s="142" t="str">
        <f>IF(AND('A-10'!B70="-",'A-10'!B118="-",'A-10'!B166="-"),"-",SUM('A-10'!B70,'A-10'!B118,'A-10'!B166))</f>
        <v>-</v>
      </c>
      <c r="D21" s="142" t="str">
        <f>IF(AND('A-10'!C70="-",'A-10'!C118="-",'A-10'!C166="-"),"-",SUM('A-10'!C70,'A-10'!C118,'A-10'!C166))</f>
        <v>-</v>
      </c>
      <c r="E21" s="142">
        <f>IF(AND('A-10'!D70="-",'A-10'!D118="-",'A-10'!D166="-"),"-",SUM('A-10'!D70,'A-10'!D118,'A-10'!D166))</f>
        <v>248</v>
      </c>
      <c r="F21" s="142">
        <f>IF(AND('A-10'!E70="-",'A-10'!E118="-",'A-10'!E166="-"),"-",SUM('A-10'!E70,'A-10'!E118,'A-10'!E166))</f>
        <v>2531</v>
      </c>
      <c r="G21" s="142">
        <f>IF(AND('A-10'!F70="-",'A-10'!F118="-",'A-10'!F166="-"),"-",SUM('A-10'!F70,'A-10'!F118,'A-10'!F166))</f>
        <v>4385</v>
      </c>
      <c r="H21" s="142">
        <f>IF(AND('A-10'!G70="-",'A-10'!G118="-",'A-10'!G166="-"),"-",SUM('A-10'!G70,'A-10'!G118,'A-10'!G166))</f>
        <v>1506</v>
      </c>
      <c r="I21" s="142">
        <f>IF(AND('A-10'!H70="-",'A-10'!H118="-",'A-10'!H166="-"),"-",SUM('A-10'!H70,'A-10'!H118,'A-10'!H166))</f>
        <v>733</v>
      </c>
      <c r="J21" s="48" t="s">
        <v>106</v>
      </c>
      <c r="K21" s="142" t="str">
        <f>IF(AND('A-10'!J70="-",'A-10'!J118="-",'A-10'!J166="-"),"-",SUM('A-10'!J70,'A-10'!J118,'A-10'!J166))</f>
        <v>-</v>
      </c>
      <c r="L21" s="142">
        <f>IF(AND('A-10'!K70="-",'A-10'!K118="-",'A-10'!K166="-"),"-",SUM('A-10'!K70,'A-10'!K118,'A-10'!K166))</f>
        <v>9403</v>
      </c>
      <c r="N21" s="142" t="s">
        <v>23</v>
      </c>
      <c r="O21" s="142" t="s">
        <v>23</v>
      </c>
      <c r="P21" s="142" t="s">
        <v>23</v>
      </c>
      <c r="Q21" s="142">
        <f>IF(AND('A-10'!M70="-",'A-10'!M118="-",'A-10'!M166="-"),"-",SUM('A-10'!M70,'A-10'!M118,'A-10'!M166))</f>
        <v>615</v>
      </c>
      <c r="R21" s="142">
        <f>IF(AND('A-10'!N70="-",'A-10'!N118="-",'A-10'!N166="-"),"-",SUM('A-10'!N70,'A-10'!N118,'A-10'!N166))</f>
        <v>24685</v>
      </c>
      <c r="S21" s="142">
        <f>IF(AND('A-10'!O70="-",'A-10'!O118="-",'A-10'!O166="-"),"-",SUM('A-10'!O70,'A-10'!O118,'A-10'!O166))</f>
        <v>89858</v>
      </c>
      <c r="T21" s="142">
        <f>IF(AND('A-10'!P70="-",'A-10'!P118="-",'A-10'!P166="-"),"-",SUM('A-10'!P70,'A-10'!P118,'A-10'!P166))</f>
        <v>38737</v>
      </c>
      <c r="U21" s="142">
        <f>IF(AND('A-10'!Q70="-",'A-10'!Q118="-",'A-10'!Q166="-"),"-",SUM('A-10'!Q70,'A-10'!Q118,'A-10'!Q166))</f>
        <v>6374</v>
      </c>
      <c r="V21" s="142" t="str">
        <f>IF(AND('A-10'!R70="-",'A-10'!R118="-",'A-10'!R166="-"),"-",SUM('A-10'!R70,'A-10'!R118,'A-10'!R166))</f>
        <v>-</v>
      </c>
      <c r="W21" s="142" t="s">
        <v>23</v>
      </c>
      <c r="X21" s="142">
        <f>IF(AND('A-10'!S70="-",'A-10'!S118="-",'A-10'!S166="-"),"-",SUM('A-10'!S70,'A-10'!S118,'A-10'!S166))</f>
        <v>160269</v>
      </c>
    </row>
    <row r="22" spans="1:24" ht="11.25" customHeight="1">
      <c r="A22" s="99">
        <v>1993</v>
      </c>
      <c r="B22" s="142" t="s">
        <v>23</v>
      </c>
      <c r="C22" s="142" t="str">
        <f>IF(AND('A-10'!B71="-",'A-10'!B119="-",'A-10'!B167="-"),"-",SUM('A-10'!B71,'A-10'!B119,'A-10'!B167))</f>
        <v>-</v>
      </c>
      <c r="D22" s="142" t="str">
        <f>IF(AND('A-10'!C71="-",'A-10'!C119="-",'A-10'!C167="-"),"-",SUM('A-10'!C71,'A-10'!C119,'A-10'!C167))</f>
        <v>-</v>
      </c>
      <c r="E22" s="142">
        <f>IF(AND('A-10'!D71="-",'A-10'!D119="-",'A-10'!D167="-"),"-",SUM('A-10'!D71,'A-10'!D119,'A-10'!D167))</f>
        <v>169</v>
      </c>
      <c r="F22" s="142">
        <f>IF(AND('A-10'!E71="-",'A-10'!E119="-",'A-10'!E167="-"),"-",SUM('A-10'!E71,'A-10'!E119,'A-10'!E167))</f>
        <v>15</v>
      </c>
      <c r="G22" s="142">
        <f>IF(AND('A-10'!F71="-",'A-10'!F119="-",'A-10'!F167="-"),"-",SUM('A-10'!F71,'A-10'!F119,'A-10'!F167))</f>
        <v>1052</v>
      </c>
      <c r="H22" s="142">
        <f>IF(AND('A-10'!G71="-",'A-10'!G119="-",'A-10'!G167="-"),"-",SUM('A-10'!G71,'A-10'!G119,'A-10'!G167))</f>
        <v>581</v>
      </c>
      <c r="I22" s="48" t="s">
        <v>106</v>
      </c>
      <c r="J22" s="48" t="s">
        <v>106</v>
      </c>
      <c r="K22" s="48" t="s">
        <v>106</v>
      </c>
      <c r="L22" s="142">
        <f>IF(AND('A-10'!K71="-",'A-10'!K119="-",'A-10'!K167="-"),"-",SUM('A-10'!K71,'A-10'!K119,'A-10'!K167))</f>
        <v>1817</v>
      </c>
      <c r="N22" s="142" t="s">
        <v>23</v>
      </c>
      <c r="O22" s="142" t="s">
        <v>23</v>
      </c>
      <c r="P22" s="142" t="s">
        <v>23</v>
      </c>
      <c r="Q22" s="142">
        <f>IF(AND('A-10'!M71="-",'A-10'!M119="-",'A-10'!M167="-"),"-",SUM('A-10'!M71,'A-10'!M119,'A-10'!M167))</f>
        <v>85</v>
      </c>
      <c r="R22" s="142">
        <f>IF(AND('A-10'!N71="-",'A-10'!N119="-",'A-10'!N167="-"),"-",SUM('A-10'!N71,'A-10'!N119,'A-10'!N167))</f>
        <v>90</v>
      </c>
      <c r="S22" s="142">
        <f>IF(AND('A-10'!O71="-",'A-10'!O119="-",'A-10'!O167="-"),"-",SUM('A-10'!O71,'A-10'!O119,'A-10'!O167))</f>
        <v>17993</v>
      </c>
      <c r="T22" s="142">
        <f>IF(AND('A-10'!P71="-",'A-10'!P119="-",'A-10'!P167="-"),"-",SUM('A-10'!P71,'A-10'!P119,'A-10'!P167))</f>
        <v>12730</v>
      </c>
      <c r="U22" s="142" t="str">
        <f>IF(AND('A-10'!Q71="-",'A-10'!Q119="-",'A-10'!Q167="-"),"-",SUM('A-10'!Q71,'A-10'!Q119,'A-10'!Q167))</f>
        <v>-</v>
      </c>
      <c r="V22" s="142" t="str">
        <f>IF(AND('A-10'!R71="-",'A-10'!R119="-",'A-10'!R167="-"),"-",SUM('A-10'!R71,'A-10'!R119,'A-10'!R167))</f>
        <v>-</v>
      </c>
      <c r="W22" s="142" t="s">
        <v>23</v>
      </c>
      <c r="X22" s="142">
        <f>IF(AND('A-10'!S71="-",'A-10'!S119="-",'A-10'!S167="-"),"-",SUM('A-10'!S71,'A-10'!S119,'A-10'!S167))</f>
        <v>30898</v>
      </c>
    </row>
    <row r="23" spans="1:24" ht="11.25" customHeight="1">
      <c r="A23" s="99">
        <v>1994</v>
      </c>
      <c r="B23" s="142" t="s">
        <v>23</v>
      </c>
      <c r="C23" s="142" t="str">
        <f>IF(AND('A-10'!B72="-",'A-10'!B120="-",'A-10'!B168="-"),"-",SUM('A-10'!B72,'A-10'!B120,'A-10'!B168))</f>
        <v>-</v>
      </c>
      <c r="D23" s="142" t="str">
        <f>IF(AND('A-10'!C72="-",'A-10'!C120="-",'A-10'!C168="-"),"-",SUM('A-10'!C72,'A-10'!C120,'A-10'!C168))</f>
        <v>-</v>
      </c>
      <c r="E23" s="142">
        <f>IF(AND('A-10'!D72="-",'A-10'!D120="-",'A-10'!D168="-"),"-",SUM('A-10'!D72,'A-10'!D120,'A-10'!D168))</f>
        <v>70</v>
      </c>
      <c r="F23" s="142">
        <f>IF(AND('A-10'!E72="-",'A-10'!E120="-",'A-10'!E168="-"),"-",SUM('A-10'!E72,'A-10'!E120,'A-10'!E168))</f>
        <v>147</v>
      </c>
      <c r="G23" s="142" t="str">
        <f>IF(AND('A-10'!F72="-",'A-10'!F120="-",'A-10'!F168="-"),"-",SUM('A-10'!F72,'A-10'!F120,'A-10'!F168))</f>
        <v>-</v>
      </c>
      <c r="H23" s="142" t="str">
        <f>IF(AND('A-10'!G72="-",'A-10'!G120="-",'A-10'!G168="-"),"-",SUM('A-10'!G72,'A-10'!G120,'A-10'!G168))</f>
        <v>-</v>
      </c>
      <c r="I23" s="142" t="str">
        <f>IF(AND('A-10'!H72="-",'A-10'!H120="-",'A-10'!H168="-"),"-",SUM('A-10'!H72,'A-10'!H120,'A-10'!H168))</f>
        <v>-</v>
      </c>
      <c r="J23" s="142">
        <f>IF(AND('A-10'!I72="-",'A-10'!I120="-",'A-10'!I168="-"),"-",SUM('A-10'!I72,'A-10'!I120,'A-10'!I168))</f>
        <v>2204</v>
      </c>
      <c r="K23" s="142">
        <f>IF(AND('A-10'!J72="-",'A-10'!J120="-",'A-10'!J168="-"),"-",SUM('A-10'!J72,'A-10'!J120,'A-10'!J168))</f>
        <v>0</v>
      </c>
      <c r="L23" s="142">
        <f>IF(AND('A-10'!K72="-",'A-10'!K120="-",'A-10'!K168="-"),"-",SUM('A-10'!K72,'A-10'!K120,'A-10'!K168))</f>
        <v>2421</v>
      </c>
      <c r="N23" s="142" t="s">
        <v>23</v>
      </c>
      <c r="O23" s="142" t="s">
        <v>23</v>
      </c>
      <c r="P23" s="142" t="s">
        <v>23</v>
      </c>
      <c r="Q23" s="142" t="str">
        <f>IF(AND('A-10'!M72="-",'A-10'!M120="-",'A-10'!M168="-"),"-",SUM('A-10'!M72,'A-10'!M120,'A-10'!M168))</f>
        <v>-</v>
      </c>
      <c r="R23" s="142" t="str">
        <f>IF(AND('A-10'!N72="-",'A-10'!N120="-",'A-10'!N168="-"),"-",SUM('A-10'!N72,'A-10'!N120,'A-10'!N168))</f>
        <v>-</v>
      </c>
      <c r="S23" s="142" t="str">
        <f>IF(AND('A-10'!O72="-",'A-10'!O120="-",'A-10'!O168="-"),"-",SUM('A-10'!O72,'A-10'!O120,'A-10'!O168))</f>
        <v>-</v>
      </c>
      <c r="T23" s="142" t="str">
        <f>IF(AND('A-10'!P72="-",'A-10'!P120="-",'A-10'!P168="-"),"-",SUM('A-10'!P72,'A-10'!P120,'A-10'!P168))</f>
        <v>-</v>
      </c>
      <c r="U23" s="142" t="str">
        <f>IF(AND('A-10'!Q72="-",'A-10'!Q120="-",'A-10'!Q168="-"),"-",SUM('A-10'!Q72,'A-10'!Q120,'A-10'!Q168))</f>
        <v>-</v>
      </c>
      <c r="V23" s="142" t="str">
        <f>IF(AND('A-10'!R72="-",'A-10'!R120="-",'A-10'!R168="-"),"-",SUM('A-10'!R72,'A-10'!R120,'A-10'!R168))</f>
        <v>-</v>
      </c>
      <c r="W23" s="142" t="s">
        <v>23</v>
      </c>
      <c r="X23" s="142" t="str">
        <f>IF(AND('A-10'!S72="-",'A-10'!S120="-",'A-10'!S168="-"),"-",SUM('A-10'!S72,'A-10'!S120,'A-10'!S168))</f>
        <v>-</v>
      </c>
    </row>
    <row r="24" spans="1:24" ht="11.25" customHeight="1">
      <c r="A24" s="99">
        <v>1995</v>
      </c>
      <c r="B24" s="142" t="s">
        <v>23</v>
      </c>
      <c r="C24" s="142" t="str">
        <f>IF(AND('A-10'!B73="-",'A-10'!B121="-",'A-10'!B169="-"),"-",SUM('A-10'!B73,'A-10'!B121,'A-10'!B169))</f>
        <v>-</v>
      </c>
      <c r="D24" s="142" t="str">
        <f>IF(AND('A-10'!C73="-",'A-10'!C121="-",'A-10'!C169="-"),"-",SUM('A-10'!C73,'A-10'!C121,'A-10'!C169))</f>
        <v>-</v>
      </c>
      <c r="E24" s="142">
        <f>IF(AND('A-10'!D73="-",'A-10'!D121="-",'A-10'!D169="-"),"-",SUM('A-10'!D73,'A-10'!D121,'A-10'!D169))</f>
        <v>88</v>
      </c>
      <c r="F24" s="142">
        <f>IF(AND('A-10'!E73="-",'A-10'!E121="-",'A-10'!E169="-"),"-",SUM('A-10'!E73,'A-10'!E121,'A-10'!E169))</f>
        <v>214</v>
      </c>
      <c r="G24" s="142" t="str">
        <f>IF(AND('A-10'!F73="-",'A-10'!F121="-",'A-10'!F169="-"),"-",SUM('A-10'!F73,'A-10'!F121,'A-10'!F169))</f>
        <v>-</v>
      </c>
      <c r="H24" s="142" t="str">
        <f>IF(AND('A-10'!G73="-",'A-10'!G121="-",'A-10'!G169="-"),"-",SUM('A-10'!G73,'A-10'!G121,'A-10'!G169))</f>
        <v>-</v>
      </c>
      <c r="I24" s="142">
        <f>IF(AND('A-10'!H73="-",'A-10'!H121="-",'A-10'!H169="-"),"-",SUM('A-10'!H73,'A-10'!H121,'A-10'!H169))</f>
        <v>196</v>
      </c>
      <c r="J24" s="142">
        <f>IF(AND('A-10'!I73="-",'A-10'!I121="-",'A-10'!I169="-"),"-",SUM('A-10'!I73,'A-10'!I121,'A-10'!I169))</f>
        <v>304</v>
      </c>
      <c r="K24" s="142">
        <f>IF(AND('A-10'!J73="-",'A-10'!J121="-",'A-10'!J169="-"),"-",SUM('A-10'!J73,'A-10'!J121,'A-10'!J169))</f>
        <v>84</v>
      </c>
      <c r="L24" s="142">
        <f>IF(AND('A-10'!K73="-",'A-10'!K121="-",'A-10'!K169="-"),"-",SUM('A-10'!K73,'A-10'!K121,'A-10'!K169))</f>
        <v>886</v>
      </c>
      <c r="N24" s="142" t="s">
        <v>23</v>
      </c>
      <c r="O24" s="142" t="s">
        <v>23</v>
      </c>
      <c r="P24" s="142" t="s">
        <v>23</v>
      </c>
      <c r="Q24" s="142" t="str">
        <f>IF(AND('A-10'!M73="-",'A-10'!M121="-",'A-10'!M169="-"),"-",SUM('A-10'!M73,'A-10'!M121,'A-10'!M169))</f>
        <v>-</v>
      </c>
      <c r="R24" s="142" t="str">
        <f>IF(AND('A-10'!N73="-",'A-10'!N121="-",'A-10'!N169="-"),"-",SUM('A-10'!N73,'A-10'!N121,'A-10'!N169))</f>
        <v>-</v>
      </c>
      <c r="S24" s="142" t="str">
        <f>IF(AND('A-10'!O73="-",'A-10'!O121="-",'A-10'!O169="-"),"-",SUM('A-10'!O73,'A-10'!O121,'A-10'!O169))</f>
        <v>-</v>
      </c>
      <c r="T24" s="142" t="str">
        <f>IF(AND('A-10'!P73="-",'A-10'!P121="-",'A-10'!P169="-"),"-",SUM('A-10'!P73,'A-10'!P121,'A-10'!P169))</f>
        <v>-</v>
      </c>
      <c r="U24" s="142">
        <f>IF(AND('A-10'!Q73="-",'A-10'!Q121="-",'A-10'!Q169="-"),"-",SUM('A-10'!Q73,'A-10'!Q121,'A-10'!Q169))</f>
        <v>10</v>
      </c>
      <c r="V24" s="142" t="str">
        <f>IF(AND('A-10'!R73="-",'A-10'!R121="-",'A-10'!R169="-"),"-",SUM('A-10'!R73,'A-10'!R121,'A-10'!R169))</f>
        <v>-</v>
      </c>
      <c r="W24" s="142" t="s">
        <v>23</v>
      </c>
      <c r="X24" s="142">
        <f>IF(AND('A-10'!S73="-",'A-10'!S121="-",'A-10'!S169="-"),"-",SUM('A-10'!S73,'A-10'!S121,'A-10'!S169))</f>
        <v>10</v>
      </c>
    </row>
    <row r="25" spans="1:24" ht="11.25" customHeight="1">
      <c r="A25" s="99">
        <v>1996</v>
      </c>
      <c r="B25" s="142" t="s">
        <v>23</v>
      </c>
      <c r="C25" s="142" t="str">
        <f>IF(AND('A-10'!B74="-",'A-10'!B122="-",'A-10'!B170="-"),"-",SUM('A-10'!B74,'A-10'!B122,'A-10'!B170))</f>
        <v>-</v>
      </c>
      <c r="D25" s="142" t="str">
        <f>IF(AND('A-10'!C74="-",'A-10'!C122="-",'A-10'!C170="-"),"-",SUM('A-10'!C74,'A-10'!C122,'A-10'!C170))</f>
        <v>-</v>
      </c>
      <c r="E25" s="142">
        <f>IF(AND('A-10'!D74="-",'A-10'!D122="-",'A-10'!D170="-"),"-",SUM('A-10'!D74,'A-10'!D122,'A-10'!D170))</f>
        <v>163</v>
      </c>
      <c r="F25" s="142">
        <f>IF(AND('A-10'!E74="-",'A-10'!E122="-",'A-10'!E170="-"),"-",SUM('A-10'!E74,'A-10'!E122,'A-10'!E170))</f>
        <v>189</v>
      </c>
      <c r="G25" s="142">
        <f>IF(AND('A-10'!F74="-",'A-10'!F122="-",'A-10'!F170="-"),"-",SUM('A-10'!F74,'A-10'!F122,'A-10'!F170))</f>
        <v>307</v>
      </c>
      <c r="H25" s="142">
        <f>IF(AND('A-10'!G74="-",'A-10'!G122="-",'A-10'!G170="-"),"-",SUM('A-10'!G74,'A-10'!G122,'A-10'!G170))</f>
        <v>702</v>
      </c>
      <c r="I25" s="142">
        <f>IF(AND('A-10'!H74="-",'A-10'!H122="-",'A-10'!H170="-"),"-",SUM('A-10'!H74,'A-10'!H122,'A-10'!H170))</f>
        <v>891</v>
      </c>
      <c r="J25" s="142">
        <f>IF(AND('A-10'!I74="-",'A-10'!I122="-",'A-10'!I170="-"),"-",SUM('A-10'!I74,'A-10'!I122,'A-10'!I170))</f>
        <v>733</v>
      </c>
      <c r="K25" s="48" t="s">
        <v>106</v>
      </c>
      <c r="L25" s="142">
        <f>IF(AND('A-10'!K74="-",'A-10'!K122="-",'A-10'!K170="-"),"-",SUM('A-10'!K74,'A-10'!K122,'A-10'!K170))</f>
        <v>2985</v>
      </c>
      <c r="N25" s="142" t="s">
        <v>23</v>
      </c>
      <c r="O25" s="142" t="s">
        <v>23</v>
      </c>
      <c r="P25" s="142" t="s">
        <v>23</v>
      </c>
      <c r="Q25" s="142" t="str">
        <f>IF(AND('A-10'!M74="-",'A-10'!M122="-",'A-10'!M170="-"),"-",SUM('A-10'!M74,'A-10'!M122,'A-10'!M170))</f>
        <v>-</v>
      </c>
      <c r="R25" s="142" t="str">
        <f>IF(AND('A-10'!N74="-",'A-10'!N122="-",'A-10'!N170="-"),"-",SUM('A-10'!N74,'A-10'!N122,'A-10'!N170))</f>
        <v>-</v>
      </c>
      <c r="S25" s="142" t="str">
        <f>IF(AND('A-10'!O74="-",'A-10'!O122="-",'A-10'!O170="-"),"-",SUM('A-10'!O74,'A-10'!O122,'A-10'!O170))</f>
        <v>-</v>
      </c>
      <c r="T25" s="142">
        <f>IF(AND('A-10'!P74="-",'A-10'!P122="-",'A-10'!P170="-"),"-",SUM('A-10'!P74,'A-10'!P122,'A-10'!P170))</f>
        <v>47</v>
      </c>
      <c r="U25" s="142">
        <f>IF(AND('A-10'!Q74="-",'A-10'!Q122="-",'A-10'!Q170="-"),"-",SUM('A-10'!Q74,'A-10'!Q122,'A-10'!Q170))</f>
        <v>11</v>
      </c>
      <c r="V25" s="142">
        <f>IF(AND('A-10'!R74="-",'A-10'!R122="-",'A-10'!R170="-"),"-",SUM('A-10'!R74,'A-10'!R122,'A-10'!R170))</f>
        <v>1</v>
      </c>
      <c r="W25" s="142" t="s">
        <v>23</v>
      </c>
      <c r="X25" s="142">
        <f>IF(AND('A-10'!S74="-",'A-10'!S122="-",'A-10'!S170="-"),"-",SUM('A-10'!S74,'A-10'!S122,'A-10'!S170))</f>
        <v>59</v>
      </c>
    </row>
    <row r="26" spans="1:24" ht="11.25" customHeight="1">
      <c r="A26" s="99">
        <v>1997</v>
      </c>
      <c r="B26" s="142" t="s">
        <v>23</v>
      </c>
      <c r="C26" s="142" t="str">
        <f>IF(AND('A-10'!B75="-",'A-10'!B123="-",'A-10'!B171="-"),"-",SUM('A-10'!B75,'A-10'!B123,'A-10'!B171))</f>
        <v>-</v>
      </c>
      <c r="D26" s="142">
        <f>IF(AND('A-10'!C75="-",'A-10'!C123="-",'A-10'!C171="-"),"-",SUM('A-10'!C75,'A-10'!C123,'A-10'!C171))</f>
        <v>2</v>
      </c>
      <c r="E26" s="142">
        <f>IF(AND('A-10'!D75="-",'A-10'!D123="-",'A-10'!D171="-"),"-",SUM('A-10'!D75,'A-10'!D123,'A-10'!D171))</f>
        <v>80</v>
      </c>
      <c r="F26" s="142">
        <f>IF(AND('A-10'!E75="-",'A-10'!E123="-",'A-10'!E171="-"),"-",SUM('A-10'!E75,'A-10'!E123,'A-10'!E171))</f>
        <v>166</v>
      </c>
      <c r="G26" s="142">
        <f>IF(AND('A-10'!F75="-",'A-10'!F123="-",'A-10'!F171="-"),"-",SUM('A-10'!F75,'A-10'!F123,'A-10'!F171))</f>
        <v>162</v>
      </c>
      <c r="H26" s="142">
        <f>IF(AND('A-10'!G75="-",'A-10'!G123="-",'A-10'!G171="-"),"-",SUM('A-10'!G75,'A-10'!G123,'A-10'!G171))</f>
        <v>1402</v>
      </c>
      <c r="I26" s="142">
        <f>IF(AND('A-10'!H75="-",'A-10'!H123="-",'A-10'!H171="-"),"-",SUM('A-10'!H75,'A-10'!H123,'A-10'!H171))</f>
        <v>309</v>
      </c>
      <c r="J26" s="142">
        <f>IF(AND('A-10'!I75="-",'A-10'!I123="-",'A-10'!I171="-"),"-",SUM('A-10'!I75,'A-10'!I123,'A-10'!I171))</f>
        <v>287</v>
      </c>
      <c r="K26" s="48" t="s">
        <v>106</v>
      </c>
      <c r="L26" s="142">
        <f>IF(AND('A-10'!K75="-",'A-10'!K123="-",'A-10'!K171="-"),"-",SUM('A-10'!K75,'A-10'!K123,'A-10'!K171))</f>
        <v>2408</v>
      </c>
      <c r="N26" s="142" t="s">
        <v>23</v>
      </c>
      <c r="O26" s="142" t="s">
        <v>23</v>
      </c>
      <c r="P26" s="142" t="s">
        <v>23</v>
      </c>
      <c r="Q26" s="142" t="str">
        <f>IF(AND('A-10'!M75="-",'A-10'!M123="-",'A-10'!M171="-"),"-",SUM('A-10'!M75,'A-10'!M123,'A-10'!M171))</f>
        <v>-</v>
      </c>
      <c r="R26" s="142" t="str">
        <f>IF(AND('A-10'!N75="-",'A-10'!N123="-",'A-10'!N171="-"),"-",SUM('A-10'!N75,'A-10'!N123,'A-10'!N171))</f>
        <v>-</v>
      </c>
      <c r="S26" s="142">
        <f>IF(AND('A-10'!O75="-",'A-10'!O123="-",'A-10'!O171="-"),"-",SUM('A-10'!O75,'A-10'!O123,'A-10'!O171))</f>
        <v>8</v>
      </c>
      <c r="T26" s="142">
        <f>IF(AND('A-10'!P75="-",'A-10'!P123="-",'A-10'!P171="-"),"-",SUM('A-10'!P75,'A-10'!P123,'A-10'!P171))</f>
        <v>24</v>
      </c>
      <c r="U26" s="142">
        <f>IF(AND('A-10'!Q75="-",'A-10'!Q123="-",'A-10'!Q171="-"),"-",SUM('A-10'!Q75,'A-10'!Q123,'A-10'!Q171))</f>
        <v>6</v>
      </c>
      <c r="V26" s="142" t="str">
        <f>IF(AND('A-10'!R75="-",'A-10'!R123="-",'A-10'!R171="-"),"-",SUM('A-10'!R75,'A-10'!R123,'A-10'!R171))</f>
        <v>-</v>
      </c>
      <c r="W26" s="142" t="s">
        <v>23</v>
      </c>
      <c r="X26" s="142">
        <f>IF(AND('A-10'!S75="-",'A-10'!S123="-",'A-10'!S171="-"),"-",SUM('A-10'!S75,'A-10'!S123,'A-10'!S171))</f>
        <v>38</v>
      </c>
    </row>
    <row r="27" spans="1:24" ht="11.25" customHeight="1">
      <c r="A27" s="99">
        <v>1998</v>
      </c>
      <c r="B27" s="142" t="s">
        <v>23</v>
      </c>
      <c r="C27" s="142" t="str">
        <f>IF(AND('A-10'!B76="-",'A-10'!B124="-",'A-10'!B172="-"),"-",SUM('A-10'!B76,'A-10'!B124,'A-10'!B172))</f>
        <v>-</v>
      </c>
      <c r="D27" s="142">
        <f>IF(AND('A-10'!C76="-",'A-10'!C124="-",'A-10'!C172="-"),"-",SUM('A-10'!C76,'A-10'!C124,'A-10'!C172))</f>
        <v>0</v>
      </c>
      <c r="E27" s="142">
        <f>IF(AND('A-10'!D76="-",'A-10'!D124="-",'A-10'!D172="-"),"-",SUM('A-10'!D76,'A-10'!D124,'A-10'!D172))</f>
        <v>101</v>
      </c>
      <c r="F27" s="142">
        <f>IF(AND('A-10'!E76="-",'A-10'!E124="-",'A-10'!E172="-"),"-",SUM('A-10'!E76,'A-10'!E124,'A-10'!E172))</f>
        <v>81</v>
      </c>
      <c r="G27" s="142">
        <f>IF(AND('A-10'!F76="-",'A-10'!F124="-",'A-10'!F172="-"),"-",SUM('A-10'!F76,'A-10'!F124,'A-10'!F172))</f>
        <v>173</v>
      </c>
      <c r="H27" s="142">
        <f>IF(AND('A-10'!G76="-",'A-10'!G124="-",'A-10'!G172="-"),"-",SUM('A-10'!G76,'A-10'!G124,'A-10'!G172))</f>
        <v>609</v>
      </c>
      <c r="I27" s="142">
        <f>IF(AND('A-10'!H76="-",'A-10'!H124="-",'A-10'!H172="-"),"-",SUM('A-10'!H76,'A-10'!H124,'A-10'!H172))</f>
        <v>524</v>
      </c>
      <c r="J27" s="142">
        <f>IF(AND('A-10'!I76="-",'A-10'!I124="-",'A-10'!I172="-"),"-",SUM('A-10'!I76,'A-10'!I124,'A-10'!I172))</f>
        <v>531</v>
      </c>
      <c r="K27" s="48" t="s">
        <v>106</v>
      </c>
      <c r="L27" s="142">
        <f>IF(AND('A-10'!K76="-",'A-10'!K124="-",'A-10'!K172="-"),"-",SUM('A-10'!K76,'A-10'!K124,'A-10'!K172))</f>
        <v>2019</v>
      </c>
      <c r="N27" s="142" t="s">
        <v>23</v>
      </c>
      <c r="O27" s="142" t="s">
        <v>23</v>
      </c>
      <c r="P27" s="142" t="s">
        <v>23</v>
      </c>
      <c r="Q27" s="142" t="str">
        <f>IF(AND('A-10'!M76="-",'A-10'!M124="-",'A-10'!M172="-"),"-",SUM('A-10'!M76,'A-10'!M124,'A-10'!M172))</f>
        <v>-</v>
      </c>
      <c r="R27" s="142" t="str">
        <f>IF(AND('A-10'!N76="-",'A-10'!N124="-",'A-10'!N172="-"),"-",SUM('A-10'!N76,'A-10'!N124,'A-10'!N172))</f>
        <v>-</v>
      </c>
      <c r="S27" s="142" t="str">
        <f>IF(AND('A-10'!O76="-",'A-10'!O124="-",'A-10'!O172="-"),"-",SUM('A-10'!O76,'A-10'!O124,'A-10'!O172))</f>
        <v>-</v>
      </c>
      <c r="T27" s="142">
        <f>IF(AND('A-10'!P76="-",'A-10'!P124="-",'A-10'!P172="-"),"-",SUM('A-10'!P76,'A-10'!P124,'A-10'!P172))</f>
        <v>80</v>
      </c>
      <c r="U27" s="142">
        <f>IF(AND('A-10'!Q76="-",'A-10'!Q124="-",'A-10'!Q172="-"),"-",SUM('A-10'!Q76,'A-10'!Q124,'A-10'!Q172))</f>
        <v>11</v>
      </c>
      <c r="V27" s="142">
        <f>IF(AND('A-10'!R76="-",'A-10'!R124="-",'A-10'!R172="-"),"-",SUM('A-10'!R76,'A-10'!R124,'A-10'!R172))</f>
        <v>2</v>
      </c>
      <c r="W27" s="142" t="s">
        <v>23</v>
      </c>
      <c r="X27" s="142">
        <f>IF(AND('A-10'!S76="-",'A-10'!S124="-",'A-10'!S172="-"),"-",SUM('A-10'!S76,'A-10'!S124,'A-10'!S172))</f>
        <v>93</v>
      </c>
    </row>
    <row r="28" spans="1:24" ht="11.25" customHeight="1">
      <c r="A28" s="99">
        <v>1999</v>
      </c>
      <c r="B28" s="142" t="s">
        <v>23</v>
      </c>
      <c r="C28" s="142" t="str">
        <f>IF(AND('A-10'!B77="-",'A-10'!B125="-",'A-10'!B173="-"),"-",SUM('A-10'!B77,'A-10'!B125,'A-10'!B173))</f>
        <v>-</v>
      </c>
      <c r="D28" s="142">
        <f>IF(AND('A-10'!C77="-",'A-10'!C125="-",'A-10'!C173="-"),"-",SUM('A-10'!C77,'A-10'!C125,'A-10'!C173))</f>
        <v>0</v>
      </c>
      <c r="E28" s="142">
        <f>IF(AND('A-10'!D77="-",'A-10'!D125="-",'A-10'!D173="-"),"-",SUM('A-10'!D77,'A-10'!D125,'A-10'!D173))</f>
        <v>129</v>
      </c>
      <c r="F28" s="142">
        <f>IF(AND('A-10'!E77="-",'A-10'!E125="-",'A-10'!E173="-"),"-",SUM('A-10'!E77,'A-10'!E125,'A-10'!E173))</f>
        <v>233</v>
      </c>
      <c r="G28" s="142">
        <f>IF(AND('A-10'!F77="-",'A-10'!F125="-",'A-10'!F173="-"),"-",SUM('A-10'!F77,'A-10'!F125,'A-10'!F173))</f>
        <v>1327</v>
      </c>
      <c r="H28" s="142">
        <f>IF(AND('A-10'!G77="-",'A-10'!G125="-",'A-10'!G173="-"),"-",SUM('A-10'!G77,'A-10'!G125,'A-10'!G173))</f>
        <v>412</v>
      </c>
      <c r="I28" s="142">
        <f>IF(AND('A-10'!H77="-",'A-10'!H125="-",'A-10'!H173="-"),"-",SUM('A-10'!H77,'A-10'!H125,'A-10'!H173))</f>
        <v>704</v>
      </c>
      <c r="J28" s="142">
        <f>IF(AND('A-10'!I77="-",'A-10'!I125="-",'A-10'!I173="-"),"-",SUM('A-10'!I77,'A-10'!I125,'A-10'!I173))</f>
        <v>527</v>
      </c>
      <c r="K28" s="142">
        <f>IF(AND('A-10'!J77="-",'A-10'!J125="-",'A-10'!J173="-"),"-",SUM('A-10'!J77,'A-10'!J125,'A-10'!J173))</f>
        <v>8</v>
      </c>
      <c r="L28" s="142">
        <f>IF(AND('A-10'!K77="-",'A-10'!K125="-",'A-10'!K173="-"),"-",SUM('A-10'!K77,'A-10'!K125,'A-10'!K173))</f>
        <v>3340</v>
      </c>
      <c r="N28" s="142" t="s">
        <v>23</v>
      </c>
      <c r="O28" s="142" t="s">
        <v>23</v>
      </c>
      <c r="P28" s="142" t="s">
        <v>23</v>
      </c>
      <c r="Q28" s="142" t="str">
        <f>IF(AND('A-10'!M77="-",'A-10'!M125="-",'A-10'!M173="-"),"-",SUM('A-10'!M77,'A-10'!M125,'A-10'!M173))</f>
        <v>-</v>
      </c>
      <c r="R28" s="142" t="str">
        <f>IF(AND('A-10'!N77="-",'A-10'!N125="-",'A-10'!N173="-"),"-",SUM('A-10'!N77,'A-10'!N125,'A-10'!N173))</f>
        <v>-</v>
      </c>
      <c r="S28" s="142">
        <f>IF(AND('A-10'!O77="-",'A-10'!O125="-",'A-10'!O173="-"),"-",SUM('A-10'!O77,'A-10'!O125,'A-10'!O173))</f>
        <v>6031</v>
      </c>
      <c r="T28" s="142">
        <f>IF(AND('A-10'!P77="-",'A-10'!P125="-",'A-10'!P173="-"),"-",SUM('A-10'!P77,'A-10'!P125,'A-10'!P173))</f>
        <v>2</v>
      </c>
      <c r="U28" s="142">
        <f>IF(AND('A-10'!Q77="-",'A-10'!Q125="-",'A-10'!Q173="-"),"-",SUM('A-10'!Q77,'A-10'!Q125,'A-10'!Q173))</f>
        <v>11</v>
      </c>
      <c r="V28" s="142">
        <f>IF(AND('A-10'!R77="-",'A-10'!R125="-",'A-10'!R173="-"),"-",SUM('A-10'!R77,'A-10'!R125,'A-10'!R173))</f>
        <v>2</v>
      </c>
      <c r="W28" s="142" t="s">
        <v>23</v>
      </c>
      <c r="X28" s="142">
        <f>IF(AND('A-10'!S77="-",'A-10'!S125="-",'A-10'!S173="-"),"-",SUM('A-10'!S77,'A-10'!S125,'A-10'!S173))</f>
        <v>6046</v>
      </c>
    </row>
    <row r="29" spans="1:24" ht="11.25" customHeight="1">
      <c r="A29" s="99">
        <v>2000</v>
      </c>
      <c r="B29" s="142" t="s">
        <v>23</v>
      </c>
      <c r="C29" s="142" t="str">
        <f>IF(AND('A-10'!B78="-",'A-10'!B126="-",'A-10'!B174="-"),"-",SUM('A-10'!B78,'A-10'!B126,'A-10'!B174))</f>
        <v>-</v>
      </c>
      <c r="D29" s="142">
        <f>IF(AND('A-10'!C78="-",'A-10'!C126="-",'A-10'!C174="-"),"-",SUM('A-10'!C78,'A-10'!C126,'A-10'!C174))</f>
        <v>4</v>
      </c>
      <c r="E29" s="142">
        <f>IF(AND('A-10'!D78="-",'A-10'!D126="-",'A-10'!D174="-"),"-",SUM('A-10'!D78,'A-10'!D126,'A-10'!D174))</f>
        <v>63</v>
      </c>
      <c r="F29" s="142">
        <f>IF(AND('A-10'!E78="-",'A-10'!E126="-",'A-10'!E174="-"),"-",SUM('A-10'!E78,'A-10'!E126,'A-10'!E174))</f>
        <v>43</v>
      </c>
      <c r="G29" s="142">
        <f>IF(AND('A-10'!F78="-",'A-10'!F126="-",'A-10'!F174="-"),"-",SUM('A-10'!F78,'A-10'!F126,'A-10'!F174))</f>
        <v>7966</v>
      </c>
      <c r="H29" s="142">
        <f>IF(AND('A-10'!G78="-",'A-10'!G126="-",'A-10'!G174="-"),"-",SUM('A-10'!G78,'A-10'!G126,'A-10'!G174))</f>
        <v>3040</v>
      </c>
      <c r="I29" s="142">
        <f>IF(AND('A-10'!H78="-",'A-10'!H126="-",'A-10'!H174="-"),"-",SUM('A-10'!H78,'A-10'!H126,'A-10'!H174))</f>
        <v>1264</v>
      </c>
      <c r="J29" s="142">
        <f>IF(AND('A-10'!I78="-",'A-10'!I126="-",'A-10'!I174="-"),"-",SUM('A-10'!I78,'A-10'!I126,'A-10'!I174))</f>
        <v>435</v>
      </c>
      <c r="K29" s="142">
        <f>IF(AND('A-10'!J78="-",'A-10'!J126="-",'A-10'!J174="-"),"-",SUM('A-10'!J78,'A-10'!J126,'A-10'!J174))</f>
        <v>63</v>
      </c>
      <c r="L29" s="142">
        <f>IF(AND('A-10'!K78="-",'A-10'!K126="-",'A-10'!K174="-"),"-",SUM('A-10'!K78,'A-10'!K126,'A-10'!K174))</f>
        <v>12878</v>
      </c>
      <c r="N29" s="142" t="s">
        <v>23</v>
      </c>
      <c r="O29" s="142" t="s">
        <v>23</v>
      </c>
      <c r="P29" s="142" t="s">
        <v>23</v>
      </c>
      <c r="Q29" s="142" t="str">
        <f>IF(AND('A-10'!M78="-",'A-10'!M126="-",'A-10'!M174="-"),"-",SUM('A-10'!M78,'A-10'!M126,'A-10'!M174))</f>
        <v>-</v>
      </c>
      <c r="R29" s="142" t="str">
        <f>IF(AND('A-10'!N78="-",'A-10'!N126="-",'A-10'!N174="-"),"-",SUM('A-10'!N78,'A-10'!N126,'A-10'!N174))</f>
        <v>-</v>
      </c>
      <c r="S29" s="142">
        <f>IF(AND('A-10'!O78="-",'A-10'!O126="-",'A-10'!O174="-"),"-",SUM('A-10'!O78,'A-10'!O126,'A-10'!O174))</f>
        <v>19316</v>
      </c>
      <c r="T29" s="142">
        <f>IF(AND('A-10'!P78="-",'A-10'!P126="-",'A-10'!P174="-"),"-",SUM('A-10'!P78,'A-10'!P126,'A-10'!P174))</f>
        <v>57</v>
      </c>
      <c r="U29" s="142">
        <f>IF(AND('A-10'!Q78="-",'A-10'!Q126="-",'A-10'!Q174="-"),"-",SUM('A-10'!Q78,'A-10'!Q126,'A-10'!Q174))</f>
        <v>20</v>
      </c>
      <c r="V29" s="142">
        <f>IF(AND('A-10'!R78="-",'A-10'!R126="-",'A-10'!R174="-"),"-",SUM('A-10'!R78,'A-10'!R126,'A-10'!R174))</f>
        <v>8</v>
      </c>
      <c r="W29" s="142" t="s">
        <v>23</v>
      </c>
      <c r="X29" s="142">
        <f>IF(AND('A-10'!S78="-",'A-10'!S126="-",'A-10'!S174="-"),"-",SUM('A-10'!S78,'A-10'!S126,'A-10'!S174))</f>
        <v>19401</v>
      </c>
    </row>
    <row r="30" spans="1:24" ht="11.25" customHeight="1">
      <c r="A30" s="99">
        <v>2001</v>
      </c>
      <c r="B30" s="142" t="s">
        <v>23</v>
      </c>
      <c r="C30" s="142" t="str">
        <f>IF(AND('A-10'!B79="-",'A-10'!B127="-",'A-10'!B175="-"),"-",SUM('A-10'!B79,'A-10'!B127,'A-10'!B175))</f>
        <v>-</v>
      </c>
      <c r="D30" s="142">
        <f>IF(AND('A-10'!C79="-",'A-10'!C127="-",'A-10'!C175="-"),"-",SUM('A-10'!C79,'A-10'!C127,'A-10'!C175))</f>
        <v>0</v>
      </c>
      <c r="E30" s="142">
        <f>IF(AND('A-10'!D79="-",'A-10'!D127="-",'A-10'!D175="-"),"-",SUM('A-10'!D79,'A-10'!D127,'A-10'!D175))</f>
        <v>217</v>
      </c>
      <c r="F30" s="142">
        <f>IF(AND('A-10'!E79="-",'A-10'!E127="-",'A-10'!E175="-"),"-",SUM('A-10'!E79,'A-10'!E127,'A-10'!E175))</f>
        <v>2038</v>
      </c>
      <c r="G30" s="142">
        <f>IF(AND('A-10'!F79="-",'A-10'!F127="-",'A-10'!F175="-"),"-",SUM('A-10'!F79,'A-10'!F127,'A-10'!F175))</f>
        <v>7816</v>
      </c>
      <c r="H30" s="142">
        <f>IF(AND('A-10'!G79="-",'A-10'!G127="-",'A-10'!G175="-"),"-",SUM('A-10'!G79,'A-10'!G127,'A-10'!G175))</f>
        <v>4721</v>
      </c>
      <c r="I30" s="142">
        <f>IF(AND('A-10'!H79="-",'A-10'!H127="-",'A-10'!H175="-"),"-",SUM('A-10'!H79,'A-10'!H127,'A-10'!H175))</f>
        <v>1965</v>
      </c>
      <c r="J30" s="142">
        <f>IF(AND('A-10'!I79="-",'A-10'!I127="-",'A-10'!I175="-"),"-",SUM('A-10'!I79,'A-10'!I127,'A-10'!I175))</f>
        <v>594</v>
      </c>
      <c r="K30" s="142">
        <f>IF(AND('A-10'!J79="-",'A-10'!J127="-",'A-10'!J175="-"),"-",SUM('A-10'!J79,'A-10'!J127,'A-10'!J175))</f>
        <v>23</v>
      </c>
      <c r="L30" s="142">
        <f>IF(AND('A-10'!K79="-",'A-10'!K127="-",'A-10'!K175="-"),"-",SUM('A-10'!K79,'A-10'!K127,'A-10'!K175))</f>
        <v>17374</v>
      </c>
      <c r="N30" s="142" t="s">
        <v>23</v>
      </c>
      <c r="O30" s="142" t="s">
        <v>23</v>
      </c>
      <c r="P30" s="142" t="s">
        <v>23</v>
      </c>
      <c r="Q30" s="142">
        <f>IF(AND('A-10'!M79="-",'A-10'!M127="-",'A-10'!M175="-"),"-",SUM('A-10'!M79,'A-10'!M127,'A-10'!M175))</f>
        <v>21</v>
      </c>
      <c r="R30" s="142">
        <f>IF(AND('A-10'!N79="-",'A-10'!N127="-",'A-10'!N175="-"),"-",SUM('A-10'!N79,'A-10'!N127,'A-10'!N175))</f>
        <v>17671</v>
      </c>
      <c r="S30" s="142">
        <f>IF(AND('A-10'!O79="-",'A-10'!O127="-",'A-10'!O175="-"),"-",SUM('A-10'!O79,'A-10'!O127,'A-10'!O175))</f>
        <v>37093</v>
      </c>
      <c r="T30" s="142">
        <f>IF(AND('A-10'!P79="-",'A-10'!P127="-",'A-10'!P175="-"),"-",SUM('A-10'!P79,'A-10'!P127,'A-10'!P175))</f>
        <v>205</v>
      </c>
      <c r="U30" s="142">
        <f>IF(AND('A-10'!Q79="-",'A-10'!Q127="-",'A-10'!Q175="-"),"-",SUM('A-10'!Q79,'A-10'!Q127,'A-10'!Q175))</f>
        <v>76</v>
      </c>
      <c r="V30" s="142">
        <f>IF(AND('A-10'!R79="-",'A-10'!R127="-",'A-10'!R175="-"),"-",SUM('A-10'!R79,'A-10'!R127,'A-10'!R175))</f>
        <v>22</v>
      </c>
      <c r="W30" s="142" t="s">
        <v>23</v>
      </c>
      <c r="X30" s="142">
        <f>IF(AND('A-10'!S79="-",'A-10'!S127="-",'A-10'!S175="-"),"-",SUM('A-10'!S79,'A-10'!S127,'A-10'!S175))</f>
        <v>55088</v>
      </c>
    </row>
    <row r="31" spans="1:24" ht="11.25" customHeight="1">
      <c r="A31" s="99">
        <v>2002</v>
      </c>
      <c r="B31" s="142" t="s">
        <v>23</v>
      </c>
      <c r="C31" s="142" t="str">
        <f>IF(AND('A-10'!B80="-",'A-10'!B128="-",'A-10'!B176="-"),"-",SUM('A-10'!B80,'A-10'!B128,'A-10'!B176))</f>
        <v>-</v>
      </c>
      <c r="D31" s="142">
        <f>IF(AND('A-10'!C80="-",'A-10'!C128="-",'A-10'!C176="-"),"-",SUM('A-10'!C80,'A-10'!C128,'A-10'!C176))</f>
        <v>155</v>
      </c>
      <c r="E31" s="142">
        <f>IF(AND('A-10'!D80="-",'A-10'!D128="-",'A-10'!D176="-"),"-",SUM('A-10'!D80,'A-10'!D128,'A-10'!D176))</f>
        <v>330</v>
      </c>
      <c r="F31" s="142">
        <f>IF(AND('A-10'!E80="-",'A-10'!E128="-",'A-10'!E176="-"),"-",SUM('A-10'!E80,'A-10'!E128,'A-10'!E176))</f>
        <v>5144</v>
      </c>
      <c r="G31" s="142">
        <f>IF(AND('A-10'!F80="-",'A-10'!F128="-",'A-10'!F176="-"),"-",SUM('A-10'!F80,'A-10'!F128,'A-10'!F176))</f>
        <v>16609</v>
      </c>
      <c r="H31" s="142">
        <f>IF(AND('A-10'!G80="-",'A-10'!G128="-",'A-10'!G176="-"),"-",SUM('A-10'!G80,'A-10'!G128,'A-10'!G176))</f>
        <v>5995</v>
      </c>
      <c r="I31" s="142">
        <f>IF(AND('A-10'!H80="-",'A-10'!H128="-",'A-10'!H176="-"),"-",SUM('A-10'!H80,'A-10'!H128,'A-10'!H176))</f>
        <v>3923</v>
      </c>
      <c r="J31" s="142">
        <f>IF(AND('A-10'!I80="-",'A-10'!I128="-",'A-10'!I176="-"),"-",SUM('A-10'!I80,'A-10'!I128,'A-10'!I176))</f>
        <v>2636</v>
      </c>
      <c r="K31" s="142">
        <f>IF(AND('A-10'!J80="-",'A-10'!J128="-",'A-10'!J176="-"),"-",SUM('A-10'!J80,'A-10'!J128,'A-10'!J176))</f>
        <v>0</v>
      </c>
      <c r="L31" s="142">
        <f>IF(AND('A-10'!K80="-",'A-10'!K128="-",'A-10'!K176="-"),"-",SUM('A-10'!K80,'A-10'!K128,'A-10'!K176))</f>
        <v>34792</v>
      </c>
      <c r="N31" s="142" t="s">
        <v>23</v>
      </c>
      <c r="O31" s="142" t="s">
        <v>23</v>
      </c>
      <c r="P31" s="142" t="s">
        <v>23</v>
      </c>
      <c r="Q31" s="142" t="str">
        <f>IF(AND('A-10'!M80="-",'A-10'!M128="-",'A-10'!M176="-"),"-",SUM('A-10'!M80,'A-10'!M128,'A-10'!M176))</f>
        <v>-</v>
      </c>
      <c r="R31" s="142">
        <f>IF(AND('A-10'!N80="-",'A-10'!N128="-",'A-10'!N176="-"),"-",SUM('A-10'!N80,'A-10'!N128,'A-10'!N176))</f>
        <v>35</v>
      </c>
      <c r="S31" s="142">
        <f>IF(AND('A-10'!O80="-",'A-10'!O128="-",'A-10'!O176="-"),"-",SUM('A-10'!O80,'A-10'!O128,'A-10'!O176))</f>
        <v>19701</v>
      </c>
      <c r="T31" s="142">
        <f>IF(AND('A-10'!P80="-",'A-10'!P128="-",'A-10'!P176="-"),"-",SUM('A-10'!P80,'A-10'!P128,'A-10'!P176))</f>
        <v>2163</v>
      </c>
      <c r="U31" s="142">
        <f>IF(AND('A-10'!Q80="-",'A-10'!Q128="-",'A-10'!Q176="-"),"-",SUM('A-10'!Q80,'A-10'!Q128,'A-10'!Q176))</f>
        <v>103</v>
      </c>
      <c r="V31" s="142">
        <f>IF(AND('A-10'!R80="-",'A-10'!R128="-",'A-10'!R176="-"),"-",SUM('A-10'!R80,'A-10'!R128,'A-10'!R176))</f>
        <v>24</v>
      </c>
      <c r="W31" s="142" t="s">
        <v>23</v>
      </c>
      <c r="X31" s="142">
        <f>IF(AND('A-10'!S80="-",'A-10'!S128="-",'A-10'!S176="-"),"-",SUM('A-10'!S80,'A-10'!S128,'A-10'!S176))</f>
        <v>22026</v>
      </c>
    </row>
    <row r="32" spans="1:24" ht="11.25" customHeight="1">
      <c r="A32" s="99">
        <v>2003</v>
      </c>
      <c r="B32" s="142" t="s">
        <v>23</v>
      </c>
      <c r="C32" s="142">
        <f>IF(AND('A-10'!B81="-",'A-10'!B129="-",'A-10'!B177="-"),"-",SUM('A-10'!B81,'A-10'!B129,'A-10'!B177))</f>
        <v>2</v>
      </c>
      <c r="D32" s="142">
        <f>IF(AND('A-10'!C81="-",'A-10'!C129="-",'A-10'!C177="-"),"-",SUM('A-10'!C81,'A-10'!C129,'A-10'!C177))</f>
        <v>22</v>
      </c>
      <c r="E32" s="142">
        <f>IF(AND('A-10'!D81="-",'A-10'!D129="-",'A-10'!D177="-"),"-",SUM('A-10'!D81,'A-10'!D129,'A-10'!D177))</f>
        <v>268</v>
      </c>
      <c r="F32" s="142">
        <f>IF(AND('A-10'!E81="-",'A-10'!E129="-",'A-10'!E177="-"),"-",SUM('A-10'!E81,'A-10'!E129,'A-10'!E177))</f>
        <v>2936</v>
      </c>
      <c r="G32" s="142">
        <f>IF(AND('A-10'!F81="-",'A-10'!F129="-",'A-10'!F177="-"),"-",SUM('A-10'!F81,'A-10'!F129,'A-10'!F177))</f>
        <v>15116</v>
      </c>
      <c r="H32" s="142">
        <f>IF(AND('A-10'!G81="-",'A-10'!G129="-",'A-10'!G177="-"),"-",SUM('A-10'!G81,'A-10'!G129,'A-10'!G177))</f>
        <v>9235</v>
      </c>
      <c r="I32" s="142">
        <f>IF(AND('A-10'!H81="-",'A-10'!H129="-",'A-10'!H177="-"),"-",SUM('A-10'!H81,'A-10'!H129,'A-10'!H177))</f>
        <v>3960</v>
      </c>
      <c r="J32" s="142">
        <f>IF(AND('A-10'!I81="-",'A-10'!I129="-",'A-10'!I177="-"),"-",SUM('A-10'!I81,'A-10'!I129,'A-10'!I177))</f>
        <v>1273</v>
      </c>
      <c r="K32" s="142">
        <f>IF(AND('A-10'!J81="-",'A-10'!J129="-",'A-10'!J177="-"),"-",SUM('A-10'!J81,'A-10'!J129,'A-10'!J177))</f>
        <v>64</v>
      </c>
      <c r="L32" s="142">
        <f>IF(AND('A-10'!K81="-",'A-10'!K129="-",'A-10'!K177="-"),"-",SUM('A-10'!K81,'A-10'!K129,'A-10'!K177))</f>
        <v>32876</v>
      </c>
      <c r="N32" s="142" t="s">
        <v>23</v>
      </c>
      <c r="O32" s="142" t="s">
        <v>23</v>
      </c>
      <c r="P32" s="142" t="s">
        <v>23</v>
      </c>
      <c r="Q32" s="142">
        <f>IF(AND('A-10'!M81="-",'A-10'!M129="-",'A-10'!M177="-"),"-",SUM('A-10'!M81,'A-10'!M129,'A-10'!M177))</f>
        <v>2</v>
      </c>
      <c r="R32" s="142">
        <f>IF(AND('A-10'!N81="-",'A-10'!N129="-",'A-10'!N177="-"),"-",SUM('A-10'!N81,'A-10'!N129,'A-10'!N177))</f>
        <v>7578</v>
      </c>
      <c r="S32" s="142">
        <f>IF(AND('A-10'!O81="-",'A-10'!O129="-",'A-10'!O177="-"),"-",SUM('A-10'!O81,'A-10'!O129,'A-10'!O177))</f>
        <v>50861</v>
      </c>
      <c r="T32" s="142">
        <f>IF(AND('A-10'!P81="-",'A-10'!P129="-",'A-10'!P177="-"),"-",SUM('A-10'!P81,'A-10'!P129,'A-10'!P177))</f>
        <v>25318</v>
      </c>
      <c r="U32" s="142">
        <f>IF(AND('A-10'!Q81="-",'A-10'!Q129="-",'A-10'!Q177="-"),"-",SUM('A-10'!Q81,'A-10'!Q129,'A-10'!Q177))</f>
        <v>64</v>
      </c>
      <c r="V32" s="142">
        <f>IF(AND('A-10'!R81="-",'A-10'!R129="-",'A-10'!R177="-"),"-",SUM('A-10'!R81,'A-10'!R129,'A-10'!R177))</f>
        <v>14</v>
      </c>
      <c r="W32" s="142" t="s">
        <v>23</v>
      </c>
      <c r="X32" s="142">
        <f>IF(AND('A-10'!S81="-",'A-10'!S129="-",'A-10'!S177="-"),"-",SUM('A-10'!S81,'A-10'!S129,'A-10'!S177))</f>
        <v>83837</v>
      </c>
    </row>
    <row r="33" spans="1:27" ht="11.25" customHeight="1">
      <c r="A33" s="99">
        <v>2004</v>
      </c>
      <c r="B33" s="142" t="s">
        <v>23</v>
      </c>
      <c r="C33" s="142">
        <f>IF(AND('A-10'!B82="-",'A-10'!B130="-",'A-10'!B178="-"),"-",SUM('A-10'!B82,'A-10'!B130,'A-10'!B178))</f>
        <v>2</v>
      </c>
      <c r="D33" s="142">
        <f>IF(AND('A-10'!C82="-",'A-10'!C130="-",'A-10'!C178="-"),"-",SUM('A-10'!C82,'A-10'!C130,'A-10'!C178))</f>
        <v>24</v>
      </c>
      <c r="E33" s="142">
        <f>IF(AND('A-10'!D82="-",'A-10'!D130="-",'A-10'!D178="-"),"-",SUM('A-10'!D82,'A-10'!D130,'A-10'!D178))</f>
        <v>315</v>
      </c>
      <c r="F33" s="142">
        <f>IF(AND('A-10'!E82="-",'A-10'!E130="-",'A-10'!E178="-"),"-",SUM('A-10'!E82,'A-10'!E130,'A-10'!E178))</f>
        <v>3904</v>
      </c>
      <c r="G33" s="142">
        <f>IF(AND('A-10'!F82="-",'A-10'!F130="-",'A-10'!F178="-"),"-",SUM('A-10'!F82,'A-10'!F130,'A-10'!F178))</f>
        <v>21493</v>
      </c>
      <c r="H33" s="142">
        <f>IF(AND('A-10'!G82="-",'A-10'!G130="-",'A-10'!G178="-"),"-",SUM('A-10'!G82,'A-10'!G130,'A-10'!G178))</f>
        <v>14646</v>
      </c>
      <c r="I33" s="142">
        <f>IF(AND('A-10'!H82="-",'A-10'!H130="-",'A-10'!H178="-"),"-",SUM('A-10'!H82,'A-10'!H130,'A-10'!H178))</f>
        <v>5053</v>
      </c>
      <c r="J33" s="142">
        <f>IF(AND('A-10'!I82="-",'A-10'!I130="-",'A-10'!I178="-"),"-",SUM('A-10'!I82,'A-10'!I130,'A-10'!I178))</f>
        <v>1907</v>
      </c>
      <c r="K33" s="142">
        <f>IF(AND('A-10'!J82="-",'A-10'!J130="-",'A-10'!J178="-"),"-",SUM('A-10'!J82,'A-10'!J130,'A-10'!J178))</f>
        <v>69</v>
      </c>
      <c r="L33" s="142">
        <f>IF(AND('A-10'!K82="-",'A-10'!K130="-",'A-10'!K178="-"),"-",SUM('A-10'!K82,'A-10'!K130,'A-10'!K178))</f>
        <v>47413</v>
      </c>
      <c r="N33" s="142" t="s">
        <v>23</v>
      </c>
      <c r="O33" s="142" t="s">
        <v>23</v>
      </c>
      <c r="P33" s="142" t="s">
        <v>23</v>
      </c>
      <c r="Q33" s="142">
        <f>IF(AND('A-10'!M82="-",'A-10'!M130="-",'A-10'!M178="-"),"-",SUM('A-10'!M82,'A-10'!M130,'A-10'!M178))</f>
        <v>2</v>
      </c>
      <c r="R33" s="142">
        <f>IF(AND('A-10'!N82="-",'A-10'!N130="-",'A-10'!N178="-"),"-",SUM('A-10'!N82,'A-10'!N130,'A-10'!N178))</f>
        <v>4955</v>
      </c>
      <c r="S33" s="142">
        <f>IF(AND('A-10'!O82="-",'A-10'!O130="-",'A-10'!O178="-"),"-",SUM('A-10'!O82,'A-10'!O130,'A-10'!O178))</f>
        <v>30949</v>
      </c>
      <c r="T33" s="142">
        <f>IF(AND('A-10'!P82="-",'A-10'!P130="-",'A-10'!P178="-"),"-",SUM('A-10'!P82,'A-10'!P130,'A-10'!P178))</f>
        <v>11667</v>
      </c>
      <c r="U33" s="142">
        <f>IF(AND('A-10'!Q82="-",'A-10'!Q130="-",'A-10'!Q178="-"),"-",SUM('A-10'!Q82,'A-10'!Q130,'A-10'!Q178))</f>
        <v>466</v>
      </c>
      <c r="V33" s="142">
        <f>IF(AND('A-10'!R82="-",'A-10'!R130="-",'A-10'!R178="-"),"-",SUM('A-10'!R82,'A-10'!R130,'A-10'!R178))</f>
        <v>23</v>
      </c>
      <c r="W33" s="142" t="s">
        <v>23</v>
      </c>
      <c r="X33" s="142">
        <f>IF(AND('A-10'!S82="-",'A-10'!S130="-",'A-10'!S178="-"),"-",SUM('A-10'!S82,'A-10'!S130,'A-10'!S178))</f>
        <v>48062</v>
      </c>
    </row>
    <row r="34" spans="1:27" ht="11.25" customHeight="1">
      <c r="A34" s="99">
        <v>2005</v>
      </c>
      <c r="B34" s="142" t="s">
        <v>23</v>
      </c>
      <c r="C34" s="142">
        <f>IF(AND('A-10'!B83="-",'A-10'!B131="-",'A-10'!B179="-"),"-",SUM('A-10'!B83,'A-10'!B131,'A-10'!B179))</f>
        <v>6</v>
      </c>
      <c r="D34" s="142">
        <f>IF(AND('A-10'!C83="-",'A-10'!C131="-",'A-10'!C179="-"),"-",SUM('A-10'!C83,'A-10'!C131,'A-10'!C179))</f>
        <v>104</v>
      </c>
      <c r="E34" s="142">
        <f>IF(AND('A-10'!D83="-",'A-10'!D131="-",'A-10'!D179="-"),"-",SUM('A-10'!D83,'A-10'!D131,'A-10'!D179))</f>
        <v>201</v>
      </c>
      <c r="F34" s="142">
        <f>IF(AND('A-10'!E83="-",'A-10'!E131="-",'A-10'!E179="-"),"-",SUM('A-10'!E83,'A-10'!E131,'A-10'!E179))</f>
        <v>3696</v>
      </c>
      <c r="G34" s="142">
        <f>IF(AND('A-10'!F83="-",'A-10'!F131="-",'A-10'!F179="-"),"-",SUM('A-10'!F83,'A-10'!F131,'A-10'!F179))</f>
        <v>4228</v>
      </c>
      <c r="H34" s="142">
        <f>IF(AND('A-10'!G83="-",'A-10'!G131="-",'A-10'!G179="-"),"-",SUM('A-10'!G83,'A-10'!G131,'A-10'!G179))</f>
        <v>4564</v>
      </c>
      <c r="I34" s="142">
        <f>IF(AND('A-10'!H83="-",'A-10'!H131="-",'A-10'!H179="-"),"-",SUM('A-10'!H83,'A-10'!H131,'A-10'!H179))</f>
        <v>5524</v>
      </c>
      <c r="J34" s="142">
        <f>IF(AND('A-10'!I83="-",'A-10'!I131="-",'A-10'!I179="-"),"-",SUM('A-10'!I83,'A-10'!I131,'A-10'!I179))</f>
        <v>280</v>
      </c>
      <c r="K34" s="142">
        <f>IF(AND('A-10'!J83="-",'A-10'!J131="-",'A-10'!J179="-"),"-",SUM('A-10'!J83,'A-10'!J131,'A-10'!J179))</f>
        <v>0</v>
      </c>
      <c r="L34" s="142">
        <f>IF(AND('A-10'!K83="-",'A-10'!K131="-",'A-10'!K179="-"),"-",SUM('A-10'!K83,'A-10'!K131,'A-10'!K179))</f>
        <v>18603</v>
      </c>
      <c r="M34" s="24"/>
      <c r="N34" s="142" t="s">
        <v>23</v>
      </c>
      <c r="O34" s="142" t="s">
        <v>23</v>
      </c>
      <c r="P34" s="142" t="s">
        <v>23</v>
      </c>
      <c r="Q34" s="142" t="str">
        <f>IF(AND('A-10'!M83="-",'A-10'!M131="-",'A-10'!M179="-"),"-",SUM('A-10'!M83,'A-10'!M131,'A-10'!M179))</f>
        <v>-</v>
      </c>
      <c r="R34" s="142">
        <f>IF(AND('A-10'!N83="-",'A-10'!N131="-",'A-10'!N179="-"),"-",SUM('A-10'!N83,'A-10'!N131,'A-10'!N179))</f>
        <v>2064</v>
      </c>
      <c r="S34" s="142">
        <f>IF(AND('A-10'!O83="-",'A-10'!O131="-",'A-10'!O179="-"),"-",SUM('A-10'!O83,'A-10'!O131,'A-10'!O179))</f>
        <v>1422</v>
      </c>
      <c r="T34" s="142">
        <f>IF(AND('A-10'!P83="-",'A-10'!P131="-",'A-10'!P179="-"),"-",SUM('A-10'!P83,'A-10'!P131,'A-10'!P179))</f>
        <v>37</v>
      </c>
      <c r="U34" s="142">
        <f>IF(AND('A-10'!Q83="-",'A-10'!Q131="-",'A-10'!Q179="-"),"-",SUM('A-10'!Q83,'A-10'!Q131,'A-10'!Q179))</f>
        <v>107</v>
      </c>
      <c r="V34" s="142" t="str">
        <f>IF(AND('A-10'!R83="-",'A-10'!R131="-",'A-10'!R179="-"),"-",SUM('A-10'!R83,'A-10'!R131,'A-10'!R179))</f>
        <v>-</v>
      </c>
      <c r="W34" s="142" t="s">
        <v>23</v>
      </c>
      <c r="X34" s="142">
        <f>IF(AND('A-10'!S83="-",'A-10'!S131="-",'A-10'!S179="-"),"-",SUM('A-10'!S83,'A-10'!S131,'A-10'!S179))</f>
        <v>3630</v>
      </c>
    </row>
    <row r="35" spans="1:27" ht="11.25" customHeight="1">
      <c r="A35" s="99">
        <v>2006</v>
      </c>
      <c r="B35" s="142" t="s">
        <v>23</v>
      </c>
      <c r="C35" s="142">
        <f>IF(AND('A-10'!B84="-",'A-10'!B132="-",'A-10'!B180="-"),"-",SUM('A-10'!B84,'A-10'!B132,'A-10'!B180))</f>
        <v>2</v>
      </c>
      <c r="D35" s="142">
        <f>IF(AND('A-10'!C84="-",'A-10'!C132="-",'A-10'!C180="-"),"-",SUM('A-10'!C84,'A-10'!C132,'A-10'!C180))</f>
        <v>4</v>
      </c>
      <c r="E35" s="142">
        <f>IF(AND('A-10'!D84="-",'A-10'!D132="-",'A-10'!D180="-"),"-",SUM('A-10'!D84,'A-10'!D132,'A-10'!D180))</f>
        <v>68</v>
      </c>
      <c r="F35" s="142">
        <f>IF(AND('A-10'!E84="-",'A-10'!E132="-",'A-10'!E180="-"),"-",SUM('A-10'!E84,'A-10'!E132,'A-10'!E180))</f>
        <v>540</v>
      </c>
      <c r="G35" s="142">
        <f>IF(AND('A-10'!F84="-",'A-10'!F132="-",'A-10'!F180="-"),"-",SUM('A-10'!F84,'A-10'!F132,'A-10'!F180))</f>
        <v>3755</v>
      </c>
      <c r="H35" s="142">
        <f>IF(AND('A-10'!G84="-",'A-10'!G132="-",'A-10'!G180="-"),"-",SUM('A-10'!G84,'A-10'!G132,'A-10'!G180))</f>
        <v>982</v>
      </c>
      <c r="I35" s="142">
        <f>IF(AND('A-10'!H84="-",'A-10'!H132="-",'A-10'!H180="-"),"-",SUM('A-10'!H84,'A-10'!H132,'A-10'!H180))</f>
        <v>1863</v>
      </c>
      <c r="J35" s="142">
        <f>IF(AND('A-10'!I84="-",'A-10'!I132="-",'A-10'!I180="-"),"-",SUM('A-10'!I84,'A-10'!I132,'A-10'!I180))</f>
        <v>2024</v>
      </c>
      <c r="K35" s="142">
        <f>IF(AND('A-10'!J84="-",'A-10'!J132="-",'A-10'!J180="-"),"-",SUM('A-10'!J84,'A-10'!J132,'A-10'!J180))</f>
        <v>49</v>
      </c>
      <c r="L35" s="142">
        <f>IF(AND('A-10'!K84="-",'A-10'!K132="-",'A-10'!K180="-"),"-",SUM('A-10'!K84,'A-10'!K132,'A-10'!K180))</f>
        <v>9287</v>
      </c>
      <c r="N35" s="142" t="s">
        <v>23</v>
      </c>
      <c r="O35" s="142" t="s">
        <v>23</v>
      </c>
      <c r="P35" s="142" t="s">
        <v>23</v>
      </c>
      <c r="Q35" s="142" t="str">
        <f>IF(AND('A-10'!M84="-",'A-10'!M132="-",'A-10'!M180="-"),"-",SUM('A-10'!M84,'A-10'!M132,'A-10'!M180))</f>
        <v>-</v>
      </c>
      <c r="R35" s="142">
        <f>IF(AND('A-10'!N84="-",'A-10'!N132="-",'A-10'!N180="-"),"-",SUM('A-10'!N84,'A-10'!N132,'A-10'!N180))</f>
        <v>469</v>
      </c>
      <c r="S35" s="142">
        <f>IF(AND('A-10'!O84="-",'A-10'!O132="-",'A-10'!O180="-"),"-",SUM('A-10'!O84,'A-10'!O132,'A-10'!O180))</f>
        <v>8346</v>
      </c>
      <c r="T35" s="142">
        <f>IF(AND('A-10'!P84="-",'A-10'!P132="-",'A-10'!P180="-"),"-",SUM('A-10'!P84,'A-10'!P132,'A-10'!P180))</f>
        <v>36</v>
      </c>
      <c r="U35" s="142">
        <f>IF(AND('A-10'!Q84="-",'A-10'!Q132="-",'A-10'!Q180="-"),"-",SUM('A-10'!Q84,'A-10'!Q132,'A-10'!Q180))</f>
        <v>634</v>
      </c>
      <c r="V35" s="142" t="str">
        <f>IF(AND('A-10'!R84="-",'A-10'!R132="-",'A-10'!R180="-"),"-",SUM('A-10'!R84,'A-10'!R132,'A-10'!R180))</f>
        <v>-</v>
      </c>
      <c r="W35" s="142" t="s">
        <v>23</v>
      </c>
      <c r="X35" s="142">
        <f>IF(AND('A-10'!S84="-",'A-10'!S132="-",'A-10'!S180="-"),"-",SUM('A-10'!S84,'A-10'!S132,'A-10'!S180))</f>
        <v>9485</v>
      </c>
      <c r="Y35" s="1"/>
      <c r="Z35" s="1"/>
      <c r="AA35" s="1"/>
    </row>
    <row r="36" spans="1:27" ht="11.25" customHeight="1">
      <c r="A36" s="99">
        <v>2007</v>
      </c>
      <c r="B36" s="142" t="s">
        <v>23</v>
      </c>
      <c r="C36" s="142">
        <f>IF(AND('A-10'!B85="-",'A-10'!B133="-",'A-10'!B181="-"),"-",SUM('A-10'!B85,'A-10'!B133,'A-10'!B181))</f>
        <v>3</v>
      </c>
      <c r="D36" s="142">
        <f>IF(AND('A-10'!C85="-",'A-10'!C133="-",'A-10'!C181="-"),"-",SUM('A-10'!C85,'A-10'!C133,'A-10'!C181))</f>
        <v>0</v>
      </c>
      <c r="E36" s="142">
        <f>IF(AND('A-10'!D85="-",'A-10'!D133="-",'A-10'!D181="-"),"-",SUM('A-10'!D85,'A-10'!D133,'A-10'!D181))</f>
        <v>72</v>
      </c>
      <c r="F36" s="142">
        <f>IF(AND('A-10'!E85="-",'A-10'!E133="-",'A-10'!E181="-"),"-",SUM('A-10'!E85,'A-10'!E133,'A-10'!E181))</f>
        <v>255</v>
      </c>
      <c r="G36" s="142">
        <f>IF(AND('A-10'!F85="-",'A-10'!F133="-",'A-10'!F181="-"),"-",SUM('A-10'!F85,'A-10'!F133,'A-10'!F181))</f>
        <v>804</v>
      </c>
      <c r="H36" s="142">
        <f>IF(AND('A-10'!G85="-",'A-10'!G133="-",'A-10'!G181="-"),"-",SUM('A-10'!G85,'A-10'!G133,'A-10'!G181))</f>
        <v>1076</v>
      </c>
      <c r="I36" s="142">
        <f>IF(AND('A-10'!H85="-",'A-10'!H133="-",'A-10'!H181="-"),"-",SUM('A-10'!H85,'A-10'!H133,'A-10'!H181))</f>
        <v>597</v>
      </c>
      <c r="J36" s="142">
        <f>IF(AND('A-10'!I85="-",'A-10'!I133="-",'A-10'!I181="-"),"-",SUM('A-10'!I85,'A-10'!I133,'A-10'!I181))</f>
        <v>474</v>
      </c>
      <c r="K36" s="142">
        <f>IF(AND('A-10'!J85="-",'A-10'!J133="-",'A-10'!J181="-"),"-",SUM('A-10'!J85,'A-10'!J133,'A-10'!J181))</f>
        <v>16</v>
      </c>
      <c r="L36" s="142">
        <f>IF(AND('A-10'!K85="-",'A-10'!K133="-",'A-10'!K181="-"),"-",SUM('A-10'!K85,'A-10'!K133,'A-10'!K181))</f>
        <v>3297</v>
      </c>
      <c r="M36" s="24"/>
      <c r="N36" s="142" t="s">
        <v>23</v>
      </c>
      <c r="O36" s="142" t="s">
        <v>23</v>
      </c>
      <c r="P36" s="142" t="s">
        <v>23</v>
      </c>
      <c r="Q36" s="142">
        <f>IF(AND('A-10'!M85="-",'A-10'!M133="-",'A-10'!M181="-"),"-",SUM('A-10'!M85,'A-10'!M133,'A-10'!M181))</f>
        <v>2</v>
      </c>
      <c r="R36" s="142">
        <f>IF(AND('A-10'!N85="-",'A-10'!N133="-",'A-10'!N181="-"),"-",SUM('A-10'!N85,'A-10'!N133,'A-10'!N181))</f>
        <v>4734</v>
      </c>
      <c r="S36" s="142">
        <f>IF(AND('A-10'!O85="-",'A-10'!O133="-",'A-10'!O181="-"),"-",SUM('A-10'!O85,'A-10'!O133,'A-10'!O181))</f>
        <v>19223</v>
      </c>
      <c r="T36" s="142">
        <f>IF(AND('A-10'!P85="-",'A-10'!P133="-",'A-10'!P181="-"),"-",SUM('A-10'!P85,'A-10'!P133,'A-10'!P181))</f>
        <v>16417</v>
      </c>
      <c r="U36" s="142">
        <f>IF(AND('A-10'!Q85="-",'A-10'!Q133="-",'A-10'!Q181="-"),"-",SUM('A-10'!Q85,'A-10'!Q133,'A-10'!Q181))</f>
        <v>311</v>
      </c>
      <c r="V36" s="142" t="str">
        <f>IF(AND('A-10'!R85="-",'A-10'!R133="-",'A-10'!R181="-"),"-",SUM('A-10'!R85,'A-10'!R133,'A-10'!R181))</f>
        <v>-</v>
      </c>
      <c r="W36" s="142" t="s">
        <v>23</v>
      </c>
      <c r="X36" s="142">
        <f>IF(AND('A-10'!S85="-",'A-10'!S133="-",'A-10'!S181="-"),"-",SUM('A-10'!S85,'A-10'!S133,'A-10'!S181))</f>
        <v>40687</v>
      </c>
    </row>
    <row r="37" spans="1:27" ht="11.25" customHeight="1">
      <c r="A37" s="99">
        <v>2008</v>
      </c>
      <c r="B37" s="142" t="s">
        <v>23</v>
      </c>
      <c r="C37" s="142" t="str">
        <f>IF(AND('A-10'!B86="-",'A-10'!B134="-",'A-10'!B182="-"),"-",SUM('A-10'!B86,'A-10'!B134,'A-10'!B182))</f>
        <v>-</v>
      </c>
      <c r="D37" s="142" t="str">
        <f>IF(AND('A-10'!C86="-",'A-10'!C134="-",'A-10'!C182="-"),"-",SUM('A-10'!C86,'A-10'!C134,'A-10'!C182))</f>
        <v>-</v>
      </c>
      <c r="E37" s="142" t="str">
        <f>IF(AND('A-10'!D86="-",'A-10'!D134="-",'A-10'!D182="-"),"-",SUM('A-10'!D86,'A-10'!D134,'A-10'!D182))</f>
        <v>-</v>
      </c>
      <c r="F37" s="142">
        <f>IF(AND('A-10'!E86="-",'A-10'!E134="-",'A-10'!E182="-"),"-",SUM('A-10'!E86,'A-10'!E134,'A-10'!E182))</f>
        <v>9</v>
      </c>
      <c r="G37" s="142">
        <f>IF(AND('A-10'!F86="-",'A-10'!F134="-",'A-10'!F182="-"),"-",SUM('A-10'!F86,'A-10'!F134,'A-10'!F182))</f>
        <v>6</v>
      </c>
      <c r="H37" s="142">
        <f>IF(AND('A-10'!G86="-",'A-10'!G134="-",'A-10'!G182="-"),"-",SUM('A-10'!G86,'A-10'!G134,'A-10'!G182))</f>
        <v>3</v>
      </c>
      <c r="I37" s="142">
        <f>IF(AND('A-10'!H86="-",'A-10'!H134="-",'A-10'!H182="-"),"-",SUM('A-10'!H86,'A-10'!H134,'A-10'!H182))</f>
        <v>262</v>
      </c>
      <c r="J37" s="142">
        <f>IF(AND('A-10'!I86="-",'A-10'!I134="-",'A-10'!I182="-"),"-",SUM('A-10'!I86,'A-10'!I134,'A-10'!I182))</f>
        <v>201</v>
      </c>
      <c r="K37" s="48" t="s">
        <v>106</v>
      </c>
      <c r="L37" s="142">
        <f>IF(AND('A-10'!K86="-",'A-10'!K134="-",'A-10'!K182="-"),"-",SUM('A-10'!K86,'A-10'!K134,'A-10'!K182))</f>
        <v>481</v>
      </c>
      <c r="M37" s="24"/>
      <c r="N37" s="142" t="s">
        <v>23</v>
      </c>
      <c r="O37" s="142" t="s">
        <v>23</v>
      </c>
      <c r="P37" s="142" t="s">
        <v>23</v>
      </c>
      <c r="Q37" s="142" t="str">
        <f>IF(AND('A-10'!M86="-",'A-10'!M134="-",'A-10'!M182="-"),"-",SUM('A-10'!M86,'A-10'!M134,'A-10'!M182))</f>
        <v>-</v>
      </c>
      <c r="R37" s="142">
        <f>IF(AND('A-10'!N86="-",'A-10'!N134="-",'A-10'!N182="-"),"-",SUM('A-10'!N86,'A-10'!N134,'A-10'!N182))</f>
        <v>770</v>
      </c>
      <c r="S37" s="142">
        <f>IF(AND('A-10'!O86="-",'A-10'!O134="-",'A-10'!O182="-"),"-",SUM('A-10'!O86,'A-10'!O134,'A-10'!O182))</f>
        <v>2811</v>
      </c>
      <c r="T37" s="142">
        <f>IF(AND('A-10'!P86="-",'A-10'!P134="-",'A-10'!P182="-"),"-",SUM('A-10'!P86,'A-10'!P134,'A-10'!P182))</f>
        <v>4131</v>
      </c>
      <c r="U37" s="142">
        <f>IF(AND('A-10'!Q86="-",'A-10'!Q134="-",'A-10'!Q182="-"),"-",SUM('A-10'!Q86,'A-10'!Q134,'A-10'!Q182))</f>
        <v>45</v>
      </c>
      <c r="V37" s="142">
        <f>IF(AND('A-10'!R86="-",'A-10'!R134="-",'A-10'!R182="-"),"-",SUM('A-10'!R86,'A-10'!R134,'A-10'!R182))</f>
        <v>3</v>
      </c>
      <c r="W37" s="142" t="s">
        <v>23</v>
      </c>
      <c r="X37" s="142">
        <f>IF(AND('A-10'!S86="-",'A-10'!S134="-",'A-10'!S182="-"),"-",SUM('A-10'!S86,'A-10'!S134,'A-10'!S182))</f>
        <v>7760</v>
      </c>
    </row>
    <row r="38" spans="1:27" ht="11.25" customHeight="1">
      <c r="A38" s="99">
        <v>2009</v>
      </c>
      <c r="B38" s="142" t="s">
        <v>23</v>
      </c>
      <c r="C38" s="142" t="str">
        <f>IF(AND('A-10'!B87="-",'A-10'!B135="-",'A-10'!B183="-"),"-",SUM('A-10'!B87,'A-10'!B135,'A-10'!B183))</f>
        <v>-</v>
      </c>
      <c r="D38" s="142" t="str">
        <f>IF(AND('A-10'!C87="-",'A-10'!C135="-",'A-10'!C183="-"),"-",SUM('A-10'!C87,'A-10'!C135,'A-10'!C183))</f>
        <v>-</v>
      </c>
      <c r="E38" s="142" t="str">
        <f>IF(AND('A-10'!D87="-",'A-10'!D135="-",'A-10'!D183="-"),"-",SUM('A-10'!D87,'A-10'!D135,'A-10'!D183))</f>
        <v>-</v>
      </c>
      <c r="F38" s="142">
        <f>IF(AND('A-10'!E87="-",'A-10'!E135="-",'A-10'!E183="-"),"-",SUM('A-10'!E87,'A-10'!E135,'A-10'!E183))</f>
        <v>9</v>
      </c>
      <c r="G38" s="142">
        <f>IF(AND('A-10'!F87="-",'A-10'!F135="-",'A-10'!F183="-"),"-",SUM('A-10'!F87,'A-10'!F135,'A-10'!F183))</f>
        <v>36</v>
      </c>
      <c r="H38" s="142">
        <f>IF(AND('A-10'!G87="-",'A-10'!G135="-",'A-10'!G183="-"),"-",SUM('A-10'!G87,'A-10'!G135,'A-10'!G183))</f>
        <v>47</v>
      </c>
      <c r="I38" s="142">
        <f>IF(AND('A-10'!H87="-",'A-10'!H135="-",'A-10'!H183="-"),"-",SUM('A-10'!H87,'A-10'!H135,'A-10'!H183))</f>
        <v>92</v>
      </c>
      <c r="J38" s="142">
        <f>IF(AND('A-10'!I87="-",'A-10'!I135="-",'A-10'!I183="-"),"-",SUM('A-10'!I87,'A-10'!I135,'A-10'!I183))</f>
        <v>226</v>
      </c>
      <c r="K38" s="48" t="s">
        <v>106</v>
      </c>
      <c r="L38" s="142">
        <f>IF(AND('A-10'!K87="-",'A-10'!K135="-",'A-10'!K183="-"),"-",SUM('A-10'!K87,'A-10'!K135,'A-10'!K183))</f>
        <v>410</v>
      </c>
      <c r="M38" s="24"/>
      <c r="N38" s="142" t="s">
        <v>23</v>
      </c>
      <c r="O38" s="142" t="s">
        <v>23</v>
      </c>
      <c r="P38" s="142" t="s">
        <v>23</v>
      </c>
      <c r="Q38" s="142" t="str">
        <f>IF(AND('A-10'!M87="-",'A-10'!M135="-",'A-10'!M183="-"),"-",SUM('A-10'!M87,'A-10'!M135,'A-10'!M183))</f>
        <v>-</v>
      </c>
      <c r="R38" s="142">
        <f>IF(AND('A-10'!N87="-",'A-10'!N135="-",'A-10'!N183="-"),"-",SUM('A-10'!N87,'A-10'!N135,'A-10'!N183))</f>
        <v>4859</v>
      </c>
      <c r="S38" s="142">
        <f>IF(AND('A-10'!O87="-",'A-10'!O135="-",'A-10'!O183="-"),"-",SUM('A-10'!O87,'A-10'!O135,'A-10'!O183))</f>
        <v>38001</v>
      </c>
      <c r="T38" s="142">
        <f>IF(AND('A-10'!P87="-",'A-10'!P135="-",'A-10'!P183="-"),"-",SUM('A-10'!P87,'A-10'!P135,'A-10'!P183))</f>
        <v>25325</v>
      </c>
      <c r="U38" s="142">
        <f>IF(AND('A-10'!Q87="-",'A-10'!Q135="-",'A-10'!Q183="-"),"-",SUM('A-10'!Q87,'A-10'!Q135,'A-10'!Q183))</f>
        <v>799</v>
      </c>
      <c r="V38" s="142">
        <f>IF(AND('A-10'!R87="-",'A-10'!R135="-",'A-10'!R183="-"),"-",SUM('A-10'!R87,'A-10'!R135,'A-10'!R183))</f>
        <v>6</v>
      </c>
      <c r="W38" s="142" t="s">
        <v>23</v>
      </c>
      <c r="X38" s="142">
        <f>IF(AND('A-10'!S87="-",'A-10'!S135="-",'A-10'!S183="-"),"-",SUM('A-10'!S87,'A-10'!S135,'A-10'!S183))</f>
        <v>68990</v>
      </c>
    </row>
    <row r="39" spans="1:27" ht="11.25" customHeight="1">
      <c r="A39" s="99">
        <v>2010</v>
      </c>
      <c r="B39" s="142" t="s">
        <v>23</v>
      </c>
      <c r="C39" s="142" t="str">
        <f>IF(AND('A-10'!B88="-",'A-10'!B136="-",'A-10'!B184="-"),"-",SUM('A-10'!B88,'A-10'!B136,'A-10'!B184))</f>
        <v>-</v>
      </c>
      <c r="D39" s="142" t="str">
        <f>IF(AND('A-10'!C88="-",'A-10'!C136="-",'A-10'!C184="-"),"-",SUM('A-10'!C88,'A-10'!C136,'A-10'!C184))</f>
        <v>-</v>
      </c>
      <c r="E39" s="142">
        <f>IF(AND('A-10'!D88="-",'A-10'!D136="-",'A-10'!D184="-"),"-",SUM('A-10'!D88,'A-10'!D136,'A-10'!D184))</f>
        <v>75</v>
      </c>
      <c r="F39" s="142">
        <f>IF(AND('A-10'!E88="-",'A-10'!E136="-",'A-10'!E184="-"),"-",SUM('A-10'!E88,'A-10'!E136,'A-10'!E184))</f>
        <v>207</v>
      </c>
      <c r="G39" s="142">
        <f>IF(AND('A-10'!F88="-",'A-10'!F136="-",'A-10'!F184="-"),"-",SUM('A-10'!F88,'A-10'!F136,'A-10'!F184))</f>
        <v>380</v>
      </c>
      <c r="H39" s="142">
        <f>IF(AND('A-10'!G88="-",'A-10'!G136="-",'A-10'!G184="-"),"-",SUM('A-10'!G88,'A-10'!G136,'A-10'!G184))</f>
        <v>1108</v>
      </c>
      <c r="I39" s="142">
        <f>IF(AND('A-10'!H88="-",'A-10'!H136="-",'A-10'!H184="-"),"-",SUM('A-10'!H88,'A-10'!H136,'A-10'!H184))</f>
        <v>439</v>
      </c>
      <c r="J39" s="142">
        <f>IF(AND('A-10'!I88="-",'A-10'!I136="-",'A-10'!I184="-"),"-",SUM('A-10'!I88,'A-10'!I136,'A-10'!I184))</f>
        <v>122</v>
      </c>
      <c r="K39" s="48" t="s">
        <v>106</v>
      </c>
      <c r="L39" s="142">
        <f>IF(AND('A-10'!K88="-",'A-10'!K136="-",'A-10'!K184="-"),"-",SUM('A-10'!K88,'A-10'!K136,'A-10'!K184))</f>
        <v>2331</v>
      </c>
      <c r="M39" s="24"/>
      <c r="N39" s="142" t="s">
        <v>23</v>
      </c>
      <c r="O39" s="142" t="s">
        <v>23</v>
      </c>
      <c r="P39" s="142" t="s">
        <v>23</v>
      </c>
      <c r="Q39" s="142" t="str">
        <f>IF(AND('A-10'!M88="-",'A-10'!M136="-",'A-10'!M184="-"),"-",SUM('A-10'!M88,'A-10'!M136,'A-10'!M184))</f>
        <v>-</v>
      </c>
      <c r="R39" s="142">
        <f>IF(AND('A-10'!N88="-",'A-10'!N136="-",'A-10'!N184="-"),"-",SUM('A-10'!N88,'A-10'!N136,'A-10'!N184))</f>
        <v>368</v>
      </c>
      <c r="S39" s="142">
        <f>IF(AND('A-10'!O88="-",'A-10'!O136="-",'A-10'!O184="-"),"-",SUM('A-10'!O88,'A-10'!O136,'A-10'!O184))</f>
        <v>2181</v>
      </c>
      <c r="T39" s="142">
        <f>IF(AND('A-10'!P88="-",'A-10'!P136="-",'A-10'!P184="-"),"-",SUM('A-10'!P88,'A-10'!P136,'A-10'!P184))</f>
        <v>8336</v>
      </c>
      <c r="U39" s="142">
        <f>IF(AND('A-10'!Q88="-",'A-10'!Q136="-",'A-10'!Q184="-"),"-",SUM('A-10'!Q88,'A-10'!Q136,'A-10'!Q184))</f>
        <v>1242</v>
      </c>
      <c r="V39" s="142" t="str">
        <f>IF(AND('A-10'!R88="-",'A-10'!R136="-",'A-10'!R184="-"),"-",SUM('A-10'!R88,'A-10'!R136,'A-10'!R184))</f>
        <v>-</v>
      </c>
      <c r="W39" s="142" t="s">
        <v>23</v>
      </c>
      <c r="X39" s="142">
        <f>IF(AND('A-10'!S88="-",'A-10'!S136="-",'A-10'!S184="-"),"-",SUM('A-10'!S88,'A-10'!S136,'A-10'!S184))</f>
        <v>12127</v>
      </c>
    </row>
    <row r="40" spans="1:27" ht="11.25" customHeight="1">
      <c r="A40" s="99">
        <v>2011</v>
      </c>
      <c r="B40" s="142" t="s">
        <v>23</v>
      </c>
      <c r="C40" s="142">
        <f>IF(AND('A-10'!B89="-",'A-10'!B137="-",'A-10'!B185="-"),"-",SUM('A-10'!B89,'A-10'!B137,'A-10'!B185))</f>
        <v>0</v>
      </c>
      <c r="D40" s="142">
        <f>IF(AND('A-10'!C89="-",'A-10'!C137="-",'A-10'!C185="-"),"-",SUM('A-10'!C89,'A-10'!C137,'A-10'!C185))</f>
        <v>7</v>
      </c>
      <c r="E40" s="142">
        <f>IF(AND('A-10'!D89="-",'A-10'!D137="-",'A-10'!D185="-"),"-",SUM('A-10'!D89,'A-10'!D137,'A-10'!D185))</f>
        <v>56</v>
      </c>
      <c r="F40" s="142">
        <f>IF(AND('A-10'!E89="-",'A-10'!E137="-",'A-10'!E185="-"),"-",SUM('A-10'!E89,'A-10'!E137,'A-10'!E185))</f>
        <v>161</v>
      </c>
      <c r="G40" s="142">
        <f>IF(AND('A-10'!F89="-",'A-10'!F137="-",'A-10'!F185="-"),"-",SUM('A-10'!F89,'A-10'!F137,'A-10'!F185))</f>
        <v>493</v>
      </c>
      <c r="H40" s="142">
        <f>IF(AND('A-10'!G89="-",'A-10'!G137="-",'A-10'!G185="-"),"-",SUM('A-10'!G89,'A-10'!G137,'A-10'!G185))</f>
        <v>623</v>
      </c>
      <c r="I40" s="142">
        <f>IF(AND('A-10'!H89="-",'A-10'!H137="-",'A-10'!H185="-"),"-",SUM('A-10'!H89,'A-10'!H137,'A-10'!H185))</f>
        <v>1056</v>
      </c>
      <c r="J40" s="142">
        <f>IF(AND('A-10'!I89="-",'A-10'!I137="-",'A-10'!I185="-"),"-",SUM('A-10'!I89,'A-10'!I137,'A-10'!I185))</f>
        <v>207</v>
      </c>
      <c r="K40" s="142">
        <f>IF(AND('A-10'!J89="-",'A-10'!J137="-",'A-10'!J185="-"),"-",SUM('A-10'!J89,'A-10'!J137,'A-10'!J185))</f>
        <v>6</v>
      </c>
      <c r="L40" s="142">
        <f>IF(AND('A-10'!K89="-",'A-10'!K137="-",'A-10'!K185="-"),"-",SUM('A-10'!K89,'A-10'!K137,'A-10'!K185))</f>
        <v>2609</v>
      </c>
      <c r="M40" s="24"/>
      <c r="N40" s="142" t="s">
        <v>23</v>
      </c>
      <c r="O40" s="142" t="s">
        <v>23</v>
      </c>
      <c r="P40" s="142" t="s">
        <v>23</v>
      </c>
      <c r="Q40" s="142" t="str">
        <f>IF(AND('A-10'!M89="-",'A-10'!M137="-",'A-10'!M185="-"),"-",SUM('A-10'!M89,'A-10'!M137,'A-10'!M185))</f>
        <v>-</v>
      </c>
      <c r="R40" s="142">
        <f>IF(AND('A-10'!N89="-",'A-10'!N137="-",'A-10'!N185="-"),"-",SUM('A-10'!N89,'A-10'!N137,'A-10'!N185))</f>
        <v>556</v>
      </c>
      <c r="S40" s="142">
        <f>IF(AND('A-10'!O89="-",'A-10'!O137="-",'A-10'!O185="-"),"-",SUM('A-10'!O89,'A-10'!O137,'A-10'!O185))</f>
        <v>3568</v>
      </c>
      <c r="T40" s="142">
        <f>IF(AND('A-10'!P89="-",'A-10'!P137="-",'A-10'!P185="-"),"-",SUM('A-10'!P89,'A-10'!P137,'A-10'!P185))</f>
        <v>2011</v>
      </c>
      <c r="U40" s="142">
        <f>IF(AND('A-10'!Q89="-",'A-10'!Q137="-",'A-10'!Q185="-"),"-",SUM('A-10'!Q89,'A-10'!Q137,'A-10'!Q185))</f>
        <v>6623</v>
      </c>
      <c r="V40" s="142" t="str">
        <f>IF(AND('A-10'!R89="-",'A-10'!R137="-",'A-10'!R185="-"),"-",SUM('A-10'!R89,'A-10'!R137,'A-10'!R185))</f>
        <v>-</v>
      </c>
      <c r="W40" s="142" t="s">
        <v>23</v>
      </c>
      <c r="X40" s="142">
        <f>IF(AND('A-10'!S89="-",'A-10'!S137="-",'A-10'!S185="-"),"-",SUM('A-10'!S89,'A-10'!S137,'A-10'!S185))</f>
        <v>12758</v>
      </c>
    </row>
    <row r="41" spans="1:27" ht="11.25" customHeight="1">
      <c r="A41" s="99">
        <v>2012</v>
      </c>
      <c r="B41" s="142" t="s">
        <v>23</v>
      </c>
      <c r="C41" s="142">
        <f>IF(AND('A-10'!B90="-",'A-10'!B138="-",'A-10'!B186="-"),"-",SUM('A-10'!B90,'A-10'!B138,'A-10'!B186))</f>
        <v>21</v>
      </c>
      <c r="D41" s="142">
        <f>IF(AND('A-10'!C90="-",'A-10'!C138="-",'A-10'!C186="-"),"-",SUM('A-10'!C90,'A-10'!C138,'A-10'!C186))</f>
        <v>108</v>
      </c>
      <c r="E41" s="142">
        <f>IF(AND('A-10'!D90="-",'A-10'!D138="-",'A-10'!D186="-"),"-",SUM('A-10'!D90,'A-10'!D138,'A-10'!D186))</f>
        <v>530</v>
      </c>
      <c r="F41" s="142">
        <f>IF(AND('A-10'!E90="-",'A-10'!E138="-",'A-10'!E186="-"),"-",SUM('A-10'!E90,'A-10'!E138,'A-10'!E186))</f>
        <v>687</v>
      </c>
      <c r="G41" s="142">
        <f>IF(AND('A-10'!F90="-",'A-10'!F138="-",'A-10'!F186="-"),"-",SUM('A-10'!F90,'A-10'!F138,'A-10'!F186))</f>
        <v>858</v>
      </c>
      <c r="H41" s="142">
        <f>IF(AND('A-10'!G90="-",'A-10'!G138="-",'A-10'!G186="-"),"-",SUM('A-10'!G90,'A-10'!G138,'A-10'!G186))</f>
        <v>2258</v>
      </c>
      <c r="I41" s="142">
        <f>IF(AND('A-10'!H90="-",'A-10'!H138="-",'A-10'!H186="-"),"-",SUM('A-10'!H90,'A-10'!H138,'A-10'!H186))</f>
        <v>2791</v>
      </c>
      <c r="J41" s="142">
        <f>IF(AND('A-10'!I90="-",'A-10'!I138="-",'A-10'!I186="-"),"-",SUM('A-10'!I90,'A-10'!I138,'A-10'!I186))</f>
        <v>506</v>
      </c>
      <c r="K41" s="142">
        <f>IF(AND('A-10'!J90="-",'A-10'!J138="-",'A-10'!J186="-"),"-",SUM('A-10'!J90,'A-10'!J138,'A-10'!J186))</f>
        <v>8</v>
      </c>
      <c r="L41" s="142">
        <f>IF(AND('A-10'!K90="-",'A-10'!K138="-",'A-10'!K186="-"),"-",SUM('A-10'!K90,'A-10'!K138,'A-10'!K186))</f>
        <v>7767</v>
      </c>
      <c r="M41" s="24"/>
      <c r="N41" s="142" t="s">
        <v>23</v>
      </c>
      <c r="O41" s="142" t="s">
        <v>23</v>
      </c>
      <c r="P41" s="142" t="s">
        <v>23</v>
      </c>
      <c r="Q41" s="142" t="str">
        <f>IF(AND('A-10'!M90="-",'A-10'!M138="-",'A-10'!M186="-"),"-",SUM('A-10'!M90,'A-10'!M138,'A-10'!M186))</f>
        <v>-</v>
      </c>
      <c r="R41" s="142">
        <f>IF(AND('A-10'!N90="-",'A-10'!N138="-",'A-10'!N186="-"),"-",SUM('A-10'!N90,'A-10'!N138,'A-10'!N186))</f>
        <v>55</v>
      </c>
      <c r="S41" s="142">
        <f>IF(AND('A-10'!O90="-",'A-10'!O138="-",'A-10'!O186="-"),"-",SUM('A-10'!O90,'A-10'!O138,'A-10'!O186))</f>
        <v>2251</v>
      </c>
      <c r="T41" s="142">
        <f>IF(AND('A-10'!P90="-",'A-10'!P138="-",'A-10'!P186="-"),"-",SUM('A-10'!P90,'A-10'!P138,'A-10'!P186))</f>
        <v>4927</v>
      </c>
      <c r="U41" s="142">
        <f>IF(AND('A-10'!Q90="-",'A-10'!Q138="-",'A-10'!Q186="-"),"-",SUM('A-10'!Q90,'A-10'!Q138,'A-10'!Q186))</f>
        <v>6965</v>
      </c>
      <c r="V41" s="142" t="str">
        <f>IF(AND('A-10'!R90="-",'A-10'!R138="-",'A-10'!R186="-"),"-",SUM('A-10'!R90,'A-10'!R138,'A-10'!R186))</f>
        <v>-</v>
      </c>
      <c r="W41" s="142" t="s">
        <v>23</v>
      </c>
      <c r="X41" s="142">
        <f>IF(AND('A-10'!S90="-",'A-10'!S138="-",'A-10'!S186="-"),"-",SUM('A-10'!S90,'A-10'!S138,'A-10'!S186))</f>
        <v>14198</v>
      </c>
    </row>
    <row r="42" spans="1:27" ht="11.25" customHeight="1">
      <c r="A42" s="99">
        <v>2013</v>
      </c>
      <c r="B42" s="142" t="s">
        <v>23</v>
      </c>
      <c r="C42" s="142">
        <f>IF(AND('A-10'!B91="-",'A-10'!B139="-",'A-10'!B187="-"),"-",SUM('A-10'!B91,'A-10'!B139,'A-10'!B187))</f>
        <v>257</v>
      </c>
      <c r="D42" s="142">
        <f>IF(AND('A-10'!C91="-",'A-10'!C139="-",'A-10'!C187="-"),"-",SUM('A-10'!C91,'A-10'!C139,'A-10'!C187))</f>
        <v>196</v>
      </c>
      <c r="E42" s="142">
        <f>IF(AND('A-10'!D91="-",'A-10'!D139="-",'A-10'!D187="-"),"-",SUM('A-10'!D91,'A-10'!D139,'A-10'!D187))</f>
        <v>191</v>
      </c>
      <c r="F42" s="142">
        <f>IF(AND('A-10'!E91="-",'A-10'!E139="-",'A-10'!E187="-"),"-",SUM('A-10'!E91,'A-10'!E139,'A-10'!E187))</f>
        <v>1397</v>
      </c>
      <c r="G42" s="142">
        <f>IF(AND('A-10'!F91="-",'A-10'!F139="-",'A-10'!F187="-"),"-",SUM('A-10'!F91,'A-10'!F139,'A-10'!F187))</f>
        <v>1477</v>
      </c>
      <c r="H42" s="142">
        <f>IF(AND('A-10'!G91="-",'A-10'!G139="-",'A-10'!G187="-"),"-",SUM('A-10'!G91,'A-10'!G139,'A-10'!G187))</f>
        <v>11886</v>
      </c>
      <c r="I42" s="142">
        <f>IF(AND('A-10'!H91="-",'A-10'!H139="-",'A-10'!H187="-"),"-",SUM('A-10'!H91,'A-10'!H139,'A-10'!H187))</f>
        <v>1671</v>
      </c>
      <c r="J42" s="142">
        <f>IF(AND('A-10'!I91="-",'A-10'!I139="-",'A-10'!I187="-"),"-",SUM('A-10'!I91,'A-10'!I139,'A-10'!I187))</f>
        <v>792</v>
      </c>
      <c r="K42" s="48" t="s">
        <v>106</v>
      </c>
      <c r="L42" s="142">
        <f>IF(AND('A-10'!K91="-",'A-10'!K139="-",'A-10'!K187="-"),"-",SUM('A-10'!K91,'A-10'!K139,'A-10'!K187))</f>
        <v>17867</v>
      </c>
      <c r="M42" s="24"/>
      <c r="N42" s="142" t="s">
        <v>23</v>
      </c>
      <c r="O42" s="142" t="s">
        <v>23</v>
      </c>
      <c r="P42" s="142" t="s">
        <v>23</v>
      </c>
      <c r="Q42" s="142" t="str">
        <f>IF(AND('A-10'!M91="-",'A-10'!M139="-",'A-10'!M187="-"),"-",SUM('A-10'!M91,'A-10'!M139,'A-10'!M187))</f>
        <v>-</v>
      </c>
      <c r="R42" s="142">
        <f>IF(AND('A-10'!N91="-",'A-10'!N139="-",'A-10'!N187="-"),"-",SUM('A-10'!N91,'A-10'!N139,'A-10'!N187))</f>
        <v>9</v>
      </c>
      <c r="S42" s="142">
        <f>IF(AND('A-10'!O91="-",'A-10'!O139="-",'A-10'!O187="-"),"-",SUM('A-10'!O91,'A-10'!O139,'A-10'!O187))</f>
        <v>4748</v>
      </c>
      <c r="T42" s="142">
        <f>IF(AND('A-10'!P91="-",'A-10'!P139="-",'A-10'!P187="-"),"-",SUM('A-10'!P91,'A-10'!P139,'A-10'!P187))</f>
        <v>2650</v>
      </c>
      <c r="U42" s="142">
        <f>IF(AND('A-10'!Q91="-",'A-10'!Q139="-",'A-10'!Q187="-"),"-",SUM('A-10'!Q91,'A-10'!Q139,'A-10'!Q187))</f>
        <v>2658</v>
      </c>
      <c r="V42" s="142">
        <f>IF(AND('A-10'!R91="-",'A-10'!R139="-",'A-10'!R187="-"),"-",SUM('A-10'!R91,'A-10'!R139,'A-10'!R187))</f>
        <v>19</v>
      </c>
      <c r="W42" s="142" t="s">
        <v>23</v>
      </c>
      <c r="X42" s="142">
        <f>IF(AND('A-10'!S91="-",'A-10'!S139="-",'A-10'!S187="-"),"-",SUM('A-10'!S91,'A-10'!S139,'A-10'!S187))</f>
        <v>10084</v>
      </c>
    </row>
    <row r="43" spans="1:27" ht="11.25" customHeight="1">
      <c r="A43" s="99">
        <v>2014</v>
      </c>
      <c r="B43" s="142" t="s">
        <v>23</v>
      </c>
      <c r="C43" s="142">
        <f>IF(AND('A-10'!B92="-",'A-10'!B140="-",'A-10'!B188="-"),"-",SUM('A-10'!B92,'A-10'!B140,'A-10'!B188))</f>
        <v>10</v>
      </c>
      <c r="D43" s="142">
        <f>IF(AND('A-10'!C92="-",'A-10'!C140="-",'A-10'!C188="-"),"-",SUM('A-10'!C92,'A-10'!C140,'A-10'!C188))</f>
        <v>32</v>
      </c>
      <c r="E43" s="142">
        <f>IF(AND('A-10'!D92="-",'A-10'!D140="-",'A-10'!D188="-"),"-",SUM('A-10'!D92,'A-10'!D140,'A-10'!D188))</f>
        <v>266</v>
      </c>
      <c r="F43" s="142">
        <f>IF(AND('A-10'!E92="-",'A-10'!E140="-",'A-10'!E188="-"),"-",SUM('A-10'!E92,'A-10'!E140,'A-10'!E188))</f>
        <v>826</v>
      </c>
      <c r="G43" s="142">
        <f>IF(AND('A-10'!F92="-",'A-10'!F140="-",'A-10'!F188="-"),"-",SUM('A-10'!F92,'A-10'!F140,'A-10'!F188))</f>
        <v>2973</v>
      </c>
      <c r="H43" s="142">
        <f>IF(AND('A-10'!G92="-",'A-10'!G140="-",'A-10'!G188="-"),"-",SUM('A-10'!G92,'A-10'!G140,'A-10'!G188))</f>
        <v>3241</v>
      </c>
      <c r="I43" s="142">
        <f>IF(AND('A-10'!H92="-",'A-10'!H140="-",'A-10'!H188="-"),"-",SUM('A-10'!H92,'A-10'!H140,'A-10'!H188))</f>
        <v>1870</v>
      </c>
      <c r="J43" s="142">
        <f>IF(AND('A-10'!I92="-",'A-10'!I140="-",'A-10'!I188="-"),"-",SUM('A-10'!I92,'A-10'!I140,'A-10'!I188))</f>
        <v>137</v>
      </c>
      <c r="K43" s="48" t="s">
        <v>106</v>
      </c>
      <c r="L43" s="142">
        <f>IF(AND('A-10'!K92="-",'A-10'!K140="-",'A-10'!K188="-"),"-",SUM('A-10'!K92,'A-10'!K140,'A-10'!K188))</f>
        <v>9355</v>
      </c>
      <c r="M43" s="24"/>
      <c r="N43" s="142" t="s">
        <v>23</v>
      </c>
      <c r="O43" s="142" t="s">
        <v>23</v>
      </c>
      <c r="P43" s="142" t="s">
        <v>23</v>
      </c>
      <c r="Q43" s="142">
        <f>IF(AND('A-10'!M92="-",'A-10'!M140="-",'A-10'!M188="-"),"-",SUM('A-10'!M92,'A-10'!M140,'A-10'!M188))</f>
        <v>1</v>
      </c>
      <c r="R43" s="142">
        <f>IF(AND('A-10'!N92="-",'A-10'!N140="-",'A-10'!N188="-"),"-",SUM('A-10'!N92,'A-10'!N140,'A-10'!N188))</f>
        <v>3530</v>
      </c>
      <c r="S43" s="142">
        <f>IF(AND('A-10'!O92="-",'A-10'!O140="-",'A-10'!O188="-"),"-",SUM('A-10'!O92,'A-10'!O140,'A-10'!O188))</f>
        <v>32851</v>
      </c>
      <c r="T43" s="142">
        <f>IF(AND('A-10'!P92="-",'A-10'!P140="-",'A-10'!P188="-"),"-",SUM('A-10'!P92,'A-10'!P140,'A-10'!P188))</f>
        <v>19275</v>
      </c>
      <c r="U43" s="142">
        <f>IF(AND('A-10'!Q92="-",'A-10'!Q140="-",'A-10'!Q188="-"),"-",SUM('A-10'!Q92,'A-10'!Q140,'A-10'!Q188))</f>
        <v>26494</v>
      </c>
      <c r="V43" s="142">
        <f>IF(AND('A-10'!R92="-",'A-10'!R140="-",'A-10'!R188="-"),"-",SUM('A-10'!R92,'A-10'!R140,'A-10'!R188))</f>
        <v>49</v>
      </c>
      <c r="W43" s="142" t="s">
        <v>23</v>
      </c>
      <c r="X43" s="142">
        <f>IF(AND('A-10'!S92="-",'A-10'!S140="-",'A-10'!S188="-"),"-",SUM('A-10'!S92,'A-10'!S140,'A-10'!S188))</f>
        <v>82200</v>
      </c>
    </row>
    <row r="44" spans="1:27" ht="11.25" customHeight="1">
      <c r="A44" s="99">
        <v>2015</v>
      </c>
      <c r="B44" s="142" t="s">
        <v>23</v>
      </c>
      <c r="C44" s="142">
        <f>IF(AND('A-10'!B93="-",'A-10'!B141="-",'A-10'!B189="-"),"-",SUM('A-10'!B93,'A-10'!B141,'A-10'!B189))</f>
        <v>30</v>
      </c>
      <c r="D44" s="142">
        <f>IF(AND('A-10'!C93="-",'A-10'!C141="-",'A-10'!C189="-"),"-",SUM('A-10'!C93,'A-10'!C141,'A-10'!C189))</f>
        <v>8</v>
      </c>
      <c r="E44" s="142">
        <f>IF(AND('A-10'!D93="-",'A-10'!D141="-",'A-10'!D189="-"),"-",SUM('A-10'!D93,'A-10'!D141,'A-10'!D189))</f>
        <v>151</v>
      </c>
      <c r="F44" s="142">
        <f>IF(AND('A-10'!E93="-",'A-10'!E141="-",'A-10'!E189="-"),"-",SUM('A-10'!E93,'A-10'!E141,'A-10'!E189))</f>
        <v>267</v>
      </c>
      <c r="G44" s="142">
        <f>IF(AND('A-10'!F93="-",'A-10'!F141="-",'A-10'!F189="-"),"-",SUM('A-10'!F93,'A-10'!F141,'A-10'!F189))</f>
        <v>401</v>
      </c>
      <c r="H44" s="142">
        <f>IF(AND('A-10'!G93="-",'A-10'!G141="-",'A-10'!G189="-"),"-",SUM('A-10'!G93,'A-10'!G141,'A-10'!G189))</f>
        <v>376</v>
      </c>
      <c r="I44" s="142">
        <f>IF(AND('A-10'!H93="-",'A-10'!H141="-",'A-10'!H189="-"),"-",SUM('A-10'!H93,'A-10'!H141,'A-10'!H189))</f>
        <v>2814</v>
      </c>
      <c r="J44" s="142">
        <f>IF(AND('A-10'!I93="-",'A-10'!I141="-",'A-10'!I189="-"),"-",SUM('A-10'!I93,'A-10'!I141,'A-10'!I189))</f>
        <v>1454</v>
      </c>
      <c r="K44" s="48" t="s">
        <v>106</v>
      </c>
      <c r="L44" s="142">
        <f>IF(AND('A-10'!K93="-",'A-10'!K141="-",'A-10'!K189="-"),"-",SUM('A-10'!K93,'A-10'!K141,'A-10'!K189))</f>
        <v>5501</v>
      </c>
      <c r="M44" s="24"/>
      <c r="N44" s="142" t="s">
        <v>23</v>
      </c>
      <c r="O44" s="142" t="s">
        <v>23</v>
      </c>
      <c r="P44" s="142" t="s">
        <v>23</v>
      </c>
      <c r="Q44" s="142" t="str">
        <f>IF(AND('A-10'!M93="-",'A-10'!M141="-",'A-10'!M189="-"),"-",SUM('A-10'!M93,'A-10'!M141,'A-10'!M189))</f>
        <v>-</v>
      </c>
      <c r="R44" s="142">
        <f>IF(AND('A-10'!N93="-",'A-10'!N141="-",'A-10'!N189="-"),"-",SUM('A-10'!N93,'A-10'!N141,'A-10'!N189))</f>
        <v>458</v>
      </c>
      <c r="S44" s="142">
        <f>IF(AND('A-10'!O93="-",'A-10'!O141="-",'A-10'!O189="-"),"-",SUM('A-10'!O93,'A-10'!O141,'A-10'!O189))</f>
        <v>11841</v>
      </c>
      <c r="T44" s="142">
        <f>IF(AND('A-10'!P93="-",'A-10'!P141="-",'A-10'!P189="-"),"-",SUM('A-10'!P93,'A-10'!P141,'A-10'!P189))</f>
        <v>2557</v>
      </c>
      <c r="U44" s="142">
        <f>IF(AND('A-10'!Q93="-",'A-10'!Q141="-",'A-10'!Q189="-"),"-",SUM('A-10'!Q93,'A-10'!Q141,'A-10'!Q189))</f>
        <v>4426</v>
      </c>
      <c r="V44" s="142">
        <f>IF(AND('A-10'!R93="-",'A-10'!R141="-",'A-10'!R189="-"),"-",SUM('A-10'!R93,'A-10'!R141,'A-10'!R189))</f>
        <v>22</v>
      </c>
      <c r="W44" s="142" t="s">
        <v>23</v>
      </c>
      <c r="X44" s="142">
        <f>IF(AND('A-10'!S93="-",'A-10'!S141="-",'A-10'!S189="-"),"-",SUM('A-10'!S93,'A-10'!S141,'A-10'!S189))</f>
        <v>19304</v>
      </c>
    </row>
    <row r="45" spans="1:27" ht="11.25" customHeight="1">
      <c r="A45" s="99">
        <v>2016</v>
      </c>
      <c r="B45" s="142" t="s">
        <v>23</v>
      </c>
      <c r="C45" s="142">
        <f>IF(AND('A-10'!B94="-",'A-10'!B142="-",'A-10'!B190="-"),"-",SUM('A-10'!B94,'A-10'!B142,'A-10'!B190))</f>
        <v>32</v>
      </c>
      <c r="D45" s="142">
        <f>IF(AND('A-10'!C94="-",'A-10'!C142="-",'A-10'!C190="-"),"-",SUM('A-10'!C94,'A-10'!C142,'A-10'!C190))</f>
        <v>9</v>
      </c>
      <c r="E45" s="142">
        <f>IF(AND('A-10'!D94="-",'A-10'!D142="-",'A-10'!D190="-"),"-",SUM('A-10'!D94,'A-10'!D142,'A-10'!D190))</f>
        <v>128</v>
      </c>
      <c r="F45" s="142">
        <f>IF(AND('A-10'!E94="-",'A-10'!E142="-",'A-10'!E190="-"),"-",SUM('A-10'!E94,'A-10'!E142,'A-10'!E190))</f>
        <v>237</v>
      </c>
      <c r="G45" s="142">
        <f>IF(AND('A-10'!F94="-",'A-10'!F142="-",'A-10'!F190="-"),"-",SUM('A-10'!F94,'A-10'!F142,'A-10'!F190))</f>
        <v>238</v>
      </c>
      <c r="H45" s="142">
        <f>IF(AND('A-10'!G94="-",'A-10'!G142="-",'A-10'!G190="-"),"-",SUM('A-10'!G94,'A-10'!G142,'A-10'!G190))</f>
        <v>692</v>
      </c>
      <c r="I45" s="142">
        <f>IF(AND('A-10'!H94="-",'A-10'!H142="-",'A-10'!H190="-"),"-",SUM('A-10'!H94,'A-10'!H142,'A-10'!H190))</f>
        <v>1140</v>
      </c>
      <c r="J45" s="142">
        <f>IF(AND('A-10'!I94="-",'A-10'!I142="-",'A-10'!I190="-"),"-",SUM('A-10'!I94,'A-10'!I142,'A-10'!I190))</f>
        <v>76</v>
      </c>
      <c r="K45" s="48" t="s">
        <v>106</v>
      </c>
      <c r="L45" s="142">
        <f>IF(AND('A-10'!K94="-",'A-10'!K142="-",'A-10'!K190="-"),"-",SUM('A-10'!K94,'A-10'!K142,'A-10'!K190))</f>
        <v>2552</v>
      </c>
      <c r="M45" s="24"/>
      <c r="N45" s="142" t="s">
        <v>23</v>
      </c>
      <c r="O45" s="142" t="s">
        <v>23</v>
      </c>
      <c r="P45" s="142" t="s">
        <v>23</v>
      </c>
      <c r="Q45" s="142" t="str">
        <f>IF(AND('A-10'!M94="-",'A-10'!M142="-",'A-10'!M190="-"),"-",SUM('A-10'!M94,'A-10'!M142,'A-10'!M190))</f>
        <v>-</v>
      </c>
      <c r="R45" s="142">
        <f>IF(AND('A-10'!N94="-",'A-10'!N142="-",'A-10'!N190="-"),"-",SUM('A-10'!N94,'A-10'!N142,'A-10'!N190))</f>
        <v>245</v>
      </c>
      <c r="S45" s="142">
        <f>IF(AND('A-10'!O94="-",'A-10'!O142="-",'A-10'!O190="-"),"-",SUM('A-10'!O94,'A-10'!O142,'A-10'!O190))</f>
        <v>1180</v>
      </c>
      <c r="T45" s="142">
        <f>IF(AND('A-10'!P94="-",'A-10'!P142="-",'A-10'!P190="-"),"-",SUM('A-10'!P94,'A-10'!P142,'A-10'!P190))</f>
        <v>79</v>
      </c>
      <c r="U45" s="142">
        <f>IF(AND('A-10'!Q94="-",'A-10'!Q142="-",'A-10'!Q190="-"),"-",SUM('A-10'!Q94,'A-10'!Q142,'A-10'!Q190))</f>
        <v>4178</v>
      </c>
      <c r="V45" s="142">
        <f>IF(AND('A-10'!R94="-",'A-10'!R142="-",'A-10'!R190="-"),"-",SUM('A-10'!R94,'A-10'!R142,'A-10'!R190))</f>
        <v>22</v>
      </c>
      <c r="W45" s="142" t="s">
        <v>23</v>
      </c>
      <c r="X45" s="142">
        <f>IF(AND('A-10'!S94="-",'A-10'!S142="-",'A-10'!S190="-"),"-",SUM('A-10'!S94,'A-10'!S142,'A-10'!S190))</f>
        <v>5704</v>
      </c>
    </row>
    <row r="46" spans="1:27" ht="11.25" customHeight="1">
      <c r="A46" s="99">
        <v>2017</v>
      </c>
      <c r="B46" s="142" t="s">
        <v>23</v>
      </c>
      <c r="C46" s="142">
        <f>IF(AND('A-10'!B95="-",'A-10'!B143="-",'A-10'!B191="-"),"-",SUM('A-10'!B95,'A-10'!B143,'A-10'!B191))</f>
        <v>0</v>
      </c>
      <c r="D46" s="142">
        <f>IF(AND('A-10'!C95="-",'A-10'!C143="-",'A-10'!C191="-"),"-",SUM('A-10'!C95,'A-10'!C143,'A-10'!C191))</f>
        <v>6</v>
      </c>
      <c r="E46" s="142">
        <f>IF(AND('A-10'!D95="-",'A-10'!D143="-",'A-10'!D191="-"),"-",SUM('A-10'!D95,'A-10'!D143,'A-10'!D191))</f>
        <v>89</v>
      </c>
      <c r="F46" s="142">
        <f>IF(AND('A-10'!E95="-",'A-10'!E143="-",'A-10'!E191="-"),"-",SUM('A-10'!E95,'A-10'!E143,'A-10'!E191))</f>
        <v>139</v>
      </c>
      <c r="G46" s="142">
        <f>IF(AND('A-10'!F95="-",'A-10'!F143="-",'A-10'!F191="-"),"-",SUM('A-10'!F95,'A-10'!F143,'A-10'!F191))</f>
        <v>508</v>
      </c>
      <c r="H46" s="142">
        <f>IF(AND('A-10'!G95="-",'A-10'!G143="-",'A-10'!G191="-"),"-",SUM('A-10'!G95,'A-10'!G143,'A-10'!G191))</f>
        <v>807</v>
      </c>
      <c r="I46" s="142">
        <f>IF(AND('A-10'!H95="-",'A-10'!H143="-",'A-10'!H191="-"),"-",SUM('A-10'!H95,'A-10'!H143,'A-10'!H191))</f>
        <v>592</v>
      </c>
      <c r="J46" s="142">
        <f>IF(AND('A-10'!I95="-",'A-10'!I143="-",'A-10'!I191="-"),"-",SUM('A-10'!I95,'A-10'!I143,'A-10'!I191))</f>
        <v>39</v>
      </c>
      <c r="K46" s="48" t="s">
        <v>106</v>
      </c>
      <c r="L46" s="142">
        <f>IF(AND('A-10'!K95="-",'A-10'!K143="-",'A-10'!K191="-"),"-",SUM('A-10'!K95,'A-10'!K143,'A-10'!K191))</f>
        <v>2180</v>
      </c>
      <c r="M46" s="24"/>
      <c r="N46" s="142" t="s">
        <v>23</v>
      </c>
      <c r="O46" s="142" t="s">
        <v>23</v>
      </c>
      <c r="P46" s="142" t="s">
        <v>23</v>
      </c>
      <c r="Q46" s="142" t="str">
        <f>IF(AND('A-10'!M95="-",'A-10'!M143="-",'A-10'!M191="-"),"-",SUM('A-10'!M95,'A-10'!M143,'A-10'!M191))</f>
        <v>-</v>
      </c>
      <c r="R46" s="142">
        <f>IF(AND('A-10'!N95="-",'A-10'!N143="-",'A-10'!N191="-"),"-",SUM('A-10'!N95,'A-10'!N143,'A-10'!N191))</f>
        <v>363</v>
      </c>
      <c r="S46" s="142">
        <f>IF(AND('A-10'!O95="-",'A-10'!O143="-",'A-10'!O191="-"),"-",SUM('A-10'!O95,'A-10'!O143,'A-10'!O191))</f>
        <v>5772</v>
      </c>
      <c r="T46" s="142">
        <f>IF(AND('A-10'!P95="-",'A-10'!P143="-",'A-10'!P191="-"),"-",SUM('A-10'!P95,'A-10'!P143,'A-10'!P191))</f>
        <v>3940</v>
      </c>
      <c r="U46" s="142">
        <f>IF(AND('A-10'!Q95="-",'A-10'!Q143="-",'A-10'!Q191="-"),"-",SUM('A-10'!Q95,'A-10'!Q143,'A-10'!Q191))</f>
        <v>4590</v>
      </c>
      <c r="V46" s="142" t="str">
        <f>IF(AND('A-10'!R95="-",'A-10'!R143="-",'A-10'!R191="-"),"-",SUM('A-10'!R95,'A-10'!R143,'A-10'!R191))</f>
        <v>-</v>
      </c>
      <c r="W46" s="142" t="s">
        <v>23</v>
      </c>
      <c r="X46" s="142">
        <f>IF(AND('A-10'!S95="-",'A-10'!S143="-",'A-10'!S191="-"),"-",SUM('A-10'!S95,'A-10'!S143,'A-10'!S191))</f>
        <v>14665</v>
      </c>
    </row>
    <row r="47" spans="1:27" ht="11.25" customHeight="1">
      <c r="A47" s="99">
        <v>2018</v>
      </c>
      <c r="B47" s="142" t="s">
        <v>23</v>
      </c>
      <c r="C47" s="142">
        <f>IF(AND('A-10'!B96="-",'A-10'!B144="-",'A-10'!B192="-"),"-",SUM('A-10'!B96,'A-10'!B144,'A-10'!B192))</f>
        <v>0</v>
      </c>
      <c r="D47" s="142">
        <f>IF(AND('A-10'!C96="-",'A-10'!C144="-",'A-10'!C192="-"),"-",SUM('A-10'!C96,'A-10'!C144,'A-10'!C192))</f>
        <v>4</v>
      </c>
      <c r="E47" s="142">
        <f>IF(AND('A-10'!D96="-",'A-10'!D144="-",'A-10'!D192="-"),"-",SUM('A-10'!D96,'A-10'!D144,'A-10'!D192))</f>
        <v>48</v>
      </c>
      <c r="F47" s="142">
        <f>IF(AND('A-10'!E96="-",'A-10'!E144="-",'A-10'!E192="-"),"-",SUM('A-10'!E96,'A-10'!E144,'A-10'!E192))</f>
        <v>139</v>
      </c>
      <c r="G47" s="142">
        <f>IF(AND('A-10'!F96="-",'A-10'!F144="-",'A-10'!F192="-"),"-",SUM('A-10'!F96,'A-10'!F144,'A-10'!F192))</f>
        <v>655</v>
      </c>
      <c r="H47" s="142">
        <f>IF(AND('A-10'!G96="-",'A-10'!G144="-",'A-10'!G192="-"),"-",SUM('A-10'!G96,'A-10'!G144,'A-10'!G192))</f>
        <v>1167</v>
      </c>
      <c r="I47" s="142">
        <f>IF(AND('A-10'!H96="-",'A-10'!H144="-",'A-10'!H192="-"),"-",SUM('A-10'!H96,'A-10'!H144,'A-10'!H192))</f>
        <v>621</v>
      </c>
      <c r="J47" s="142">
        <f>IF(AND('A-10'!I96="-",'A-10'!I144="-",'A-10'!I192="-"),"-",SUM('A-10'!I96,'A-10'!I144,'A-10'!I192))</f>
        <v>74</v>
      </c>
      <c r="K47" s="48" t="s">
        <v>106</v>
      </c>
      <c r="L47" s="142">
        <f>IF(AND('A-10'!K96="-",'A-10'!K144="-",'A-10'!K192="-"),"-",SUM('A-10'!K96,'A-10'!K144,'A-10'!K192))</f>
        <v>2708</v>
      </c>
      <c r="N47" s="142" t="s">
        <v>23</v>
      </c>
      <c r="O47" s="142" t="s">
        <v>23</v>
      </c>
      <c r="P47" s="142" t="s">
        <v>23</v>
      </c>
      <c r="Q47" s="142" t="str">
        <f>IF(AND('A-10'!M96="-",'A-10'!M144="-",'A-10'!M192="-"),"-",SUM('A-10'!M96,'A-10'!M144,'A-10'!M192))</f>
        <v>-</v>
      </c>
      <c r="R47" s="142">
        <f>IF(AND('A-10'!N96="-",'A-10'!N144="-",'A-10'!N192="-"),"-",SUM('A-10'!N96,'A-10'!N144,'A-10'!N192))</f>
        <v>31</v>
      </c>
      <c r="S47" s="142">
        <f>IF(AND('A-10'!O96="-",'A-10'!O144="-",'A-10'!O192="-"),"-",SUM('A-10'!O96,'A-10'!O144,'A-10'!O192))</f>
        <v>2978</v>
      </c>
      <c r="T47" s="142">
        <f>IF(AND('A-10'!P96="-",'A-10'!P144="-",'A-10'!P192="-"),"-",SUM('A-10'!P96,'A-10'!P144,'A-10'!P192))</f>
        <v>8581</v>
      </c>
      <c r="U47" s="142">
        <f>IF(AND('A-10'!Q96="-",'A-10'!Q144="-",'A-10'!Q192="-"),"-",SUM('A-10'!Q96,'A-10'!Q144,'A-10'!Q192))</f>
        <v>6936</v>
      </c>
      <c r="V47" s="142" t="str">
        <f>IF(AND('A-10'!R96="-",'A-10'!R144="-",'A-10'!R192="-"),"-",SUM('A-10'!R96,'A-10'!R144,'A-10'!R192))</f>
        <v>-</v>
      </c>
      <c r="W47" s="142" t="s">
        <v>23</v>
      </c>
      <c r="X47" s="142">
        <f>IF(AND('A-10'!S96="-",'A-10'!S144="-",'A-10'!S192="-"),"-",SUM('A-10'!S96,'A-10'!S144,'A-10'!S192))</f>
        <v>18526</v>
      </c>
    </row>
    <row r="48" spans="1:27" ht="11.25" customHeight="1">
      <c r="A48" s="99">
        <v>2019</v>
      </c>
      <c r="B48" s="142" t="s">
        <v>23</v>
      </c>
      <c r="C48" s="142">
        <f>IF(AND('A-10'!B97="-",'A-10'!B145="-",'A-10'!B193="-"),"-",SUM('A-10'!B97,'A-10'!B145,'A-10'!B193))</f>
        <v>10</v>
      </c>
      <c r="D48" s="142">
        <f>IF(AND('A-10'!C97="-",'A-10'!C145="-",'A-10'!C193="-"),"-",SUM('A-10'!C97,'A-10'!C145,'A-10'!C193))</f>
        <v>3</v>
      </c>
      <c r="E48" s="142">
        <f>IF(AND('A-10'!D97="-",'A-10'!D145="-",'A-10'!D193="-"),"-",SUM('A-10'!D97,'A-10'!D145,'A-10'!D193))</f>
        <v>103</v>
      </c>
      <c r="F48" s="142">
        <f>IF(AND('A-10'!E97="-",'A-10'!E145="-",'A-10'!E193="-"),"-",SUM('A-10'!E97,'A-10'!E145,'A-10'!E193))</f>
        <v>530</v>
      </c>
      <c r="G48" s="142">
        <f>IF(AND('A-10'!F97="-",'A-10'!F145="-",'A-10'!F193="-"),"-",SUM('A-10'!F97,'A-10'!F145,'A-10'!F193))</f>
        <v>2430</v>
      </c>
      <c r="H48" s="142">
        <f>IF(AND('A-10'!G97="-",'A-10'!G145="-",'A-10'!G193="-"),"-",SUM('A-10'!G97,'A-10'!G145,'A-10'!G193))</f>
        <v>725</v>
      </c>
      <c r="I48" s="142">
        <f>IF(AND('A-10'!H97="-",'A-10'!H145="-",'A-10'!H193="-"),"-",SUM('A-10'!H97,'A-10'!H145,'A-10'!H193))</f>
        <v>682</v>
      </c>
      <c r="J48" s="142">
        <f>IF(AND('A-10'!I97="-",'A-10'!I145="-",'A-10'!I193="-"),"-",SUM('A-10'!I97,'A-10'!I145,'A-10'!I193))</f>
        <v>256</v>
      </c>
      <c r="K48" s="48" t="s">
        <v>23</v>
      </c>
      <c r="L48" s="142">
        <f>IF(AND('A-10'!K97="-",'A-10'!K145="-",'A-10'!K193="-"),"-",SUM('A-10'!K97,'A-10'!K145,'A-10'!K193))</f>
        <v>4739</v>
      </c>
      <c r="N48" s="142" t="s">
        <v>23</v>
      </c>
      <c r="O48" s="142" t="s">
        <v>23</v>
      </c>
      <c r="P48" s="142" t="s">
        <v>23</v>
      </c>
      <c r="Q48" s="142" t="str">
        <f>IF(AND('A-10'!M97="-",'A-10'!M145="-",'A-10'!M193="-"),"-",SUM('A-10'!M97,'A-10'!M145,'A-10'!M193))</f>
        <v>-</v>
      </c>
      <c r="R48" s="142">
        <f>IF(AND('A-10'!N97="-",'A-10'!N145="-",'A-10'!N193="-"),"-",SUM('A-10'!N97,'A-10'!N145,'A-10'!N193))</f>
        <v>3805</v>
      </c>
      <c r="S48" s="142">
        <f>IF(AND('A-10'!O97="-",'A-10'!O145="-",'A-10'!O193="-"),"-",SUM('A-10'!O97,'A-10'!O145,'A-10'!O193))</f>
        <v>27301</v>
      </c>
      <c r="T48" s="142">
        <f>IF(AND('A-10'!P97="-",'A-10'!P145="-",'A-10'!P193="-"),"-",SUM('A-10'!P97,'A-10'!P145,'A-10'!P193))</f>
        <v>12366</v>
      </c>
      <c r="U48" s="142">
        <f>IF(AND('A-10'!Q97="-",'A-10'!Q145="-",'A-10'!Q193="-"),"-",SUM('A-10'!Q97,'A-10'!Q145,'A-10'!Q193))</f>
        <v>5070</v>
      </c>
      <c r="V48" s="142">
        <f>IF(AND('A-10'!R97="-",'A-10'!R145="-",'A-10'!R193="-"),"-",SUM('A-10'!R97,'A-10'!R145,'A-10'!R193))</f>
        <v>5</v>
      </c>
      <c r="W48" s="142" t="s">
        <v>23</v>
      </c>
      <c r="X48" s="142">
        <f>IF(AND('A-10'!S97="-",'A-10'!S145="-",'A-10'!S193="-"),"-",SUM('A-10'!S97,'A-10'!S145,'A-10'!S193))</f>
        <v>48547</v>
      </c>
    </row>
    <row r="49" spans="1:24" ht="11.25" customHeight="1">
      <c r="A49" s="99">
        <v>2020</v>
      </c>
      <c r="B49" s="142" t="s">
        <v>23</v>
      </c>
      <c r="C49" s="142">
        <f>IF(AND('A-10'!B98="-",'A-10'!B146="-",'A-10'!B194="-"),"-",SUM('A-10'!B98,'A-10'!B146,'A-10'!B194))</f>
        <v>0</v>
      </c>
      <c r="D49" s="142">
        <f>IF(AND('A-10'!C98="-",'A-10'!C146="-",'A-10'!C194="-"),"-",SUM('A-10'!C98,'A-10'!C146,'A-10'!C194))</f>
        <v>4</v>
      </c>
      <c r="E49" s="142">
        <f>IF(AND('A-10'!D98="-",'A-10'!D146="-",'A-10'!D194="-"),"-",SUM('A-10'!D98,'A-10'!D146,'A-10'!D194))</f>
        <v>38</v>
      </c>
      <c r="F49" s="142">
        <f>IF(AND('A-10'!E98="-",'A-10'!E146="-",'A-10'!E194="-"),"-",SUM('A-10'!E98,'A-10'!E146,'A-10'!E194))</f>
        <v>89</v>
      </c>
      <c r="G49" s="142">
        <f>IF(AND('A-10'!F98="-",'A-10'!F146="-",'A-10'!F194="-"),"-",SUM('A-10'!F98,'A-10'!F146,'A-10'!F194))</f>
        <v>2842</v>
      </c>
      <c r="H49" s="142">
        <f>IF(AND('A-10'!G98="-",'A-10'!G146="-",'A-10'!G194="-"),"-",SUM('A-10'!G98,'A-10'!G146,'A-10'!G194))</f>
        <v>863</v>
      </c>
      <c r="I49" s="142">
        <f>IF(AND('A-10'!H98="-",'A-10'!H146="-",'A-10'!H194="-"),"-",SUM('A-10'!H98,'A-10'!H146,'A-10'!H194))</f>
        <v>1345</v>
      </c>
      <c r="J49" s="142">
        <f>IF(AND('A-10'!I98="-",'A-10'!I146="-",'A-10'!I194="-"),"-",SUM('A-10'!I98,'A-10'!I146,'A-10'!I194))</f>
        <v>219</v>
      </c>
      <c r="K49" s="48" t="s">
        <v>23</v>
      </c>
      <c r="L49" s="142">
        <f>IF(AND('A-10'!K98="-",'A-10'!K146="-",'A-10'!K194="-"),"-",SUM('A-10'!K98,'A-10'!K146,'A-10'!K194))</f>
        <v>5400</v>
      </c>
      <c r="N49" s="142" t="s">
        <v>23</v>
      </c>
      <c r="O49" s="142" t="s">
        <v>23</v>
      </c>
      <c r="P49" s="142" t="s">
        <v>23</v>
      </c>
      <c r="Q49" s="142" t="str">
        <f>IF(AND('A-10'!M98="-",'A-10'!M146="-",'A-10'!M194="-"),"-",SUM('A-10'!M98,'A-10'!M146,'A-10'!M194))</f>
        <v>-</v>
      </c>
      <c r="R49" s="142">
        <f>IF(AND('A-10'!N98="-",'A-10'!N146="-",'A-10'!N194="-"),"-",SUM('A-10'!N98,'A-10'!N146,'A-10'!N194))</f>
        <v>0</v>
      </c>
      <c r="S49" s="142">
        <f>IF(AND('A-10'!O98="-",'A-10'!O146="-",'A-10'!O194="-"),"-",SUM('A-10'!O98,'A-10'!O146,'A-10'!O194))</f>
        <v>7714</v>
      </c>
      <c r="T49" s="142">
        <f>IF(AND('A-10'!P98="-",'A-10'!P146="-",'A-10'!P194="-"),"-",SUM('A-10'!P98,'A-10'!P146,'A-10'!P194))</f>
        <v>5126</v>
      </c>
      <c r="U49" s="142">
        <f>IF(AND('A-10'!Q98="-",'A-10'!Q146="-",'A-10'!Q194="-"),"-",SUM('A-10'!Q98,'A-10'!Q146,'A-10'!Q194))</f>
        <v>4239</v>
      </c>
      <c r="V49" s="142" t="str">
        <f>IF(AND('A-10'!R98="-",'A-10'!R146="-",'A-10'!R194="-"),"-",SUM('A-10'!R98,'A-10'!R146,'A-10'!R194))</f>
        <v>-</v>
      </c>
      <c r="W49" s="142" t="s">
        <v>23</v>
      </c>
      <c r="X49" s="142">
        <f>IF(AND('A-10'!S98="-",'A-10'!S146="-",'A-10'!S194="-"),"-",SUM('A-10'!S98,'A-10'!S146,'A-10'!S194))</f>
        <v>17079</v>
      </c>
    </row>
    <row r="50" spans="1:24" ht="11.25" customHeight="1">
      <c r="A50" s="99" t="s">
        <v>317</v>
      </c>
      <c r="B50" s="142" t="s">
        <v>23</v>
      </c>
      <c r="C50" s="142">
        <f>IF(AND('A-10'!B99="-",'A-10'!B147="-",'A-10'!B195="-"),"-",SUM('A-10'!B99,'A-10'!B147,'A-10'!B195))</f>
        <v>12</v>
      </c>
      <c r="D50" s="142">
        <f>IF(AND('A-10'!C99="-",'A-10'!C147="-",'A-10'!C195="-"),"-",SUM('A-10'!C99,'A-10'!C147,'A-10'!C195))</f>
        <v>136</v>
      </c>
      <c r="E50" s="142">
        <f>IF(AND('A-10'!D99="-",'A-10'!D147="-",'A-10'!D195="-"),"-",SUM('A-10'!D99,'A-10'!D147,'A-10'!D195))</f>
        <v>174</v>
      </c>
      <c r="F50" s="142">
        <f>IF(AND('A-10'!E99="-",'A-10'!E147="-",'A-10'!E195="-"),"-",SUM('A-10'!E99,'A-10'!E147,'A-10'!E195))</f>
        <v>604</v>
      </c>
      <c r="G50" s="142">
        <f>IF(AND('A-10'!F99="-",'A-10'!F147="-",'A-10'!F195="-"),"-",SUM('A-10'!F99,'A-10'!F147,'A-10'!F195))</f>
        <v>2665</v>
      </c>
      <c r="H50" s="142">
        <f>IF(AND('A-10'!G99="-",'A-10'!G147="-",'A-10'!G195="-"),"-",SUM('A-10'!G99,'A-10'!G147,'A-10'!G195))</f>
        <v>1053</v>
      </c>
      <c r="I50" s="142">
        <f>IF(AND('A-10'!H99="-",'A-10'!H147="-",'A-10'!H195="-"),"-",SUM('A-10'!H99,'A-10'!H147,'A-10'!H195))</f>
        <v>863</v>
      </c>
      <c r="J50" s="142">
        <f>IF(AND('A-10'!I99="-",'A-10'!I147="-",'A-10'!I195="-"),"-",SUM('A-10'!I99,'A-10'!I147,'A-10'!I195))</f>
        <v>9</v>
      </c>
      <c r="K50" s="48" t="s">
        <v>23</v>
      </c>
      <c r="L50" s="142">
        <f>IF(AND('A-10'!K99="-",'A-10'!K147="-",'A-10'!K195="-"),"-",SUM('A-10'!K99,'A-10'!K147,'A-10'!K195))</f>
        <v>5516</v>
      </c>
      <c r="N50" s="142" t="s">
        <v>23</v>
      </c>
      <c r="O50" s="142" t="s">
        <v>23</v>
      </c>
      <c r="P50" s="142" t="s">
        <v>23</v>
      </c>
      <c r="Q50" s="142" t="str">
        <f>IF(AND('A-10'!M99="-",'A-10'!M147="-",'A-10'!M195="-"),"-",SUM('A-10'!M99,'A-10'!M147,'A-10'!M195))</f>
        <v>-</v>
      </c>
      <c r="R50" s="142">
        <f>IF(AND('A-10'!N99="-",'A-10'!N147="-",'A-10'!N195="-"),"-",SUM('A-10'!N99,'A-10'!N147,'A-10'!N195))</f>
        <v>1787</v>
      </c>
      <c r="S50" s="142">
        <f>IF(AND('A-10'!O99="-",'A-10'!O147="-",'A-10'!O195="-"),"-",SUM('A-10'!O99,'A-10'!O147,'A-10'!O195))</f>
        <v>37814</v>
      </c>
      <c r="T50" s="142">
        <f>IF(AND('A-10'!P99="-",'A-10'!P147="-",'A-10'!P195="-"),"-",SUM('A-10'!P99,'A-10'!P147,'A-10'!P195))</f>
        <v>27911</v>
      </c>
      <c r="U50" s="142">
        <f>IF(AND('A-10'!Q99="-",'A-10'!Q147="-",'A-10'!Q195="-"),"-",SUM('A-10'!Q99,'A-10'!Q147,'A-10'!Q195))</f>
        <v>10766</v>
      </c>
      <c r="V50" s="142">
        <f>IF(AND('A-10'!R99="-",'A-10'!R147="-",'A-10'!R195="-"),"-",SUM('A-10'!R99,'A-10'!R147,'A-10'!R195))</f>
        <v>4</v>
      </c>
      <c r="W50" s="142" t="s">
        <v>23</v>
      </c>
      <c r="X50" s="142">
        <f>IF(AND('A-10'!S99="-",'A-10'!S147="-",'A-10'!S195="-"),"-",SUM('A-10'!S99,'A-10'!S147,'A-10'!S195))</f>
        <v>78282</v>
      </c>
    </row>
    <row r="51" spans="1:24" ht="11.25" customHeight="1">
      <c r="A51" s="99"/>
    </row>
    <row r="52" spans="1:24" ht="11.25" customHeight="1">
      <c r="A52" s="123" t="s">
        <v>346</v>
      </c>
      <c r="B52" s="142"/>
      <c r="C52" s="142"/>
    </row>
    <row r="53" spans="1:24" ht="11.25" customHeight="1">
      <c r="A53" s="99">
        <v>1976</v>
      </c>
      <c r="B53" s="142" t="s">
        <v>23</v>
      </c>
      <c r="C53" s="142">
        <f>IF(AND('A-10'!B198="-",'A-5'!C5="-",'A-5'!C53="-"),"-",SUM('A-10'!B198,'A-5'!C5,'A-5'!C53))</f>
        <v>0</v>
      </c>
      <c r="D53" s="142">
        <f>IF(AND('A-10'!C198="-",'A-5'!D5="-",'A-5'!D53="-"),"-",SUM('A-10'!C198,'A-5'!D5,'A-5'!D53))</f>
        <v>0</v>
      </c>
      <c r="E53" s="142">
        <f>IF(AND('A-10'!D198="-",'A-5'!E5="-",'A-5'!E53="-"),"-",SUM('A-10'!D198,'A-5'!E5,'A-5'!E53))</f>
        <v>66</v>
      </c>
      <c r="F53" s="142">
        <f>IF(AND('A-10'!E198="-",'A-5'!F5="-",'A-5'!F53="-"),"-",SUM('A-10'!E198,'A-5'!F5,'A-5'!F53))</f>
        <v>4875</v>
      </c>
      <c r="G53" s="142">
        <f>IF(AND('A-10'!F198="-",'A-5'!G5="-",'A-5'!G53="-"),"-",SUM('A-10'!F198,'A-5'!G5,'A-5'!G53))</f>
        <v>7298</v>
      </c>
      <c r="H53" s="142">
        <f>IF(AND('A-10'!G198="-",'A-5'!H5="-",'A-5'!H53="-"),"-",SUM('A-10'!G198,'A-5'!H5,'A-5'!H53))</f>
        <v>9136</v>
      </c>
      <c r="I53" s="142">
        <f>IF(AND('A-10'!H198="-",'A-5'!I5="-",'A-5'!I53="-"),"-",SUM('A-10'!H198,'A-5'!I5,'A-5'!I53))</f>
        <v>1054</v>
      </c>
      <c r="J53" s="142">
        <f>IF(AND('A-10'!I198="-",'A-5'!J5="-",'A-5'!J53="-"),"-",SUM('A-10'!I198,'A-5'!J5,'A-5'!J53))</f>
        <v>723</v>
      </c>
      <c r="K53" s="142">
        <f>IF(AND('A-10'!J198="-",'A-5'!K5="-",'A-5'!K53="-"),"-",SUM('A-10'!J198,'A-5'!K5,'A-5'!K53))</f>
        <v>112</v>
      </c>
      <c r="L53" s="142">
        <f t="shared" ref="L53:L80" si="0">SUM(B53:K53)</f>
        <v>23264</v>
      </c>
      <c r="N53" s="142" t="str">
        <f>IF(OR(ISNUMBER('A-5'!N5),ISNUMBER('A-5'!N53)),SUM('A-5'!N5,'A-5'!N53),IF(OR('A-5'!N5="--",'A-5'!N53="--"),"--","-"))</f>
        <v>--</v>
      </c>
      <c r="O53" s="142" t="str">
        <f>IF(OR(ISNUMBER('A-5'!O5),ISNUMBER('A-5'!O53)),SUM('A-5'!O5,'A-5'!O53),IF(OR('A-5'!O5="--",'A-5'!O53="--"),"--","-"))</f>
        <v>--</v>
      </c>
      <c r="P53" s="142">
        <f>IF(OR(ISNUMBER('A-5'!P5),ISNUMBER('A-5'!P53)),SUM('A-5'!P5,'A-5'!P53),IF(OR('A-5'!P5="--",'A-5'!P53="--"),"--","-"))</f>
        <v>0</v>
      </c>
      <c r="Q53" s="142">
        <f>IF(AND('A-10'!M198="-",'A-5'!Q5="-",'A-5'!Q53="-"),"-",SUM('A-10'!M198,'A-5'!Q5,'A-5'!Q53))</f>
        <v>1480</v>
      </c>
      <c r="R53" s="142">
        <f>IF(AND('A-10'!N198="-",'A-5'!R5="-",'A-5'!R53="-"),"-",SUM('A-10'!N198,'A-5'!R5,'A-5'!R53))</f>
        <v>13574</v>
      </c>
      <c r="S53" s="142">
        <f>IF(AND('A-10'!O198="-",'A-5'!S5="-",'A-5'!S53="-"),"-",SUM('A-10'!O198,'A-5'!S5,'A-5'!S53))</f>
        <v>45902</v>
      </c>
      <c r="T53" s="142">
        <f>IF(AND('A-10'!P198="-",'A-5'!T5="-",'A-5'!T53="-"),"-",SUM('A-10'!P198,'A-5'!T5,'A-5'!T53))</f>
        <v>23212</v>
      </c>
      <c r="U53" s="142">
        <f>IF(AND('A-10'!Q198="-",'A-5'!U5="-",'A-5'!U53="-"),"-",SUM('A-10'!Q198,'A-5'!U5,'A-5'!U53))</f>
        <v>1934</v>
      </c>
      <c r="V53" s="142">
        <f>IF(AND('A-10'!R198="-",'A-5'!V5="-",'A-5'!V53="-"),"-",SUM('A-10'!R198,'A-5'!V5,'A-5'!V53))</f>
        <v>2072</v>
      </c>
      <c r="W53" s="142">
        <f>IF(AND('A-5'!W5="-",'A-5'!W53="-"),"-",SUM('A-5'!W5,'A-5'!W53))</f>
        <v>0</v>
      </c>
      <c r="X53" s="142">
        <f t="shared" ref="X53:X80" si="1">SUM(N53:W53)</f>
        <v>88174</v>
      </c>
    </row>
    <row r="54" spans="1:24" ht="11.25" customHeight="1">
      <c r="A54" s="99">
        <v>1977</v>
      </c>
      <c r="B54" s="142" t="s">
        <v>23</v>
      </c>
      <c r="C54" s="142">
        <f>IF(AND('A-10'!B199="-",'A-5'!C6="-",'A-5'!C54="-"),"-",SUM('A-10'!B199,'A-5'!C6,'A-5'!C54))</f>
        <v>0</v>
      </c>
      <c r="D54" s="142">
        <f>IF(AND('A-10'!C199="-",'A-5'!D6="-",'A-5'!D54="-"),"-",SUM('A-10'!C199,'A-5'!D6,'A-5'!D54))</f>
        <v>0</v>
      </c>
      <c r="E54" s="142">
        <f>IF(AND('A-10'!D199="-",'A-5'!E6="-",'A-5'!E54="-"),"-",SUM('A-10'!D199,'A-5'!E6,'A-5'!E54))</f>
        <v>1053</v>
      </c>
      <c r="F54" s="142">
        <f>IF(AND('A-10'!E199="-",'A-5'!F6="-",'A-5'!F54="-"),"-",SUM('A-10'!E199,'A-5'!F6,'A-5'!F54))</f>
        <v>887</v>
      </c>
      <c r="G54" s="142">
        <f>IF(AND('A-10'!F199="-",'A-5'!G6="-",'A-5'!G54="-"),"-",SUM('A-10'!F199,'A-5'!G6,'A-5'!G54))</f>
        <v>20272</v>
      </c>
      <c r="H54" s="142">
        <f>IF(AND('A-10'!G199="-",'A-5'!H6="-",'A-5'!H54="-"),"-",SUM('A-10'!G199,'A-5'!H6,'A-5'!H54))</f>
        <v>7491</v>
      </c>
      <c r="I54" s="142">
        <f>IF(AND('A-10'!H199="-",'A-5'!I6="-",'A-5'!I54="-"),"-",SUM('A-10'!H199,'A-5'!I6,'A-5'!I54))</f>
        <v>1184</v>
      </c>
      <c r="J54" s="142">
        <f>IF(AND('A-10'!I199="-",'A-5'!J6="-",'A-5'!J54="-"),"-",SUM('A-10'!I199,'A-5'!J6,'A-5'!J54))</f>
        <v>1175</v>
      </c>
      <c r="K54" s="142">
        <f>IF(AND('A-10'!J199="-",'A-5'!K6="-",'A-5'!K54="-"),"-",SUM('A-10'!J199,'A-5'!K6,'A-5'!K54))</f>
        <v>59</v>
      </c>
      <c r="L54" s="142">
        <f t="shared" si="0"/>
        <v>32121</v>
      </c>
      <c r="N54" s="142" t="str">
        <f>IF(OR(ISNUMBER('A-5'!N6),ISNUMBER('A-5'!N54)),SUM('A-5'!N6,'A-5'!N54),IF(OR('A-5'!N6="--",'A-5'!N54="--"),"--","-"))</f>
        <v>--</v>
      </c>
      <c r="O54" s="142" t="str">
        <f>IF(OR(ISNUMBER('A-5'!O6),ISNUMBER('A-5'!O54)),SUM('A-5'!O6,'A-5'!O54),IF(OR('A-5'!O6="--",'A-5'!O54="--"),"--","-"))</f>
        <v>--</v>
      </c>
      <c r="P54" s="142">
        <f>IF(OR(ISNUMBER('A-5'!P6),ISNUMBER('A-5'!P54)),SUM('A-5'!P6,'A-5'!P54),IF(OR('A-5'!P6="--",'A-5'!P54="--"),"--","-"))</f>
        <v>0</v>
      </c>
      <c r="Q54" s="142">
        <f>IF(AND('A-10'!M199="-",'A-5'!Q6="-",'A-5'!Q54="-"),"-",SUM('A-10'!M199,'A-5'!Q6,'A-5'!Q54))</f>
        <v>596</v>
      </c>
      <c r="R54" s="142">
        <f>IF(AND('A-10'!N199="-",'A-5'!R6="-",'A-5'!R54="-"),"-",SUM('A-10'!N199,'A-5'!R6,'A-5'!R54))</f>
        <v>239</v>
      </c>
      <c r="S54" s="142">
        <f>IF(AND('A-10'!O199="-",'A-5'!S6="-",'A-5'!S54="-"),"-",SUM('A-10'!O199,'A-5'!S6,'A-5'!S54))</f>
        <v>17464</v>
      </c>
      <c r="T54" s="142">
        <f>IF(AND('A-10'!P199="-",'A-5'!T6="-",'A-5'!T54="-"),"-",SUM('A-10'!P199,'A-5'!T6,'A-5'!T54))</f>
        <v>5736</v>
      </c>
      <c r="U54" s="142">
        <f>IF(AND('A-10'!Q199="-",'A-5'!U6="-",'A-5'!U54="-"),"-",SUM('A-10'!Q199,'A-5'!U6,'A-5'!U54))</f>
        <v>267</v>
      </c>
      <c r="V54" s="142">
        <f>IF(AND('A-10'!R199="-",'A-5'!V6="-",'A-5'!V54="-"),"-",SUM('A-10'!R199,'A-5'!V6,'A-5'!V54))</f>
        <v>59</v>
      </c>
      <c r="W54" s="142">
        <f>IF(AND('A-5'!W6="-",'A-5'!W54="-"),"-",SUM('A-5'!W6,'A-5'!W54))</f>
        <v>0</v>
      </c>
      <c r="X54" s="142">
        <f t="shared" si="1"/>
        <v>24361</v>
      </c>
    </row>
    <row r="55" spans="1:24" ht="11.25" customHeight="1">
      <c r="A55" s="99">
        <v>1978</v>
      </c>
      <c r="B55" s="142" t="s">
        <v>23</v>
      </c>
      <c r="C55" s="142">
        <f>IF(AND('A-10'!B200="-",'A-5'!C7="-",'A-5'!C55="-"),"-",SUM('A-10'!B200,'A-5'!C7,'A-5'!C55))</f>
        <v>0</v>
      </c>
      <c r="D55" s="142">
        <f>IF(AND('A-10'!C200="-",'A-5'!D7="-",'A-5'!D55="-"),"-",SUM('A-10'!C200,'A-5'!D7,'A-5'!D55))</f>
        <v>0</v>
      </c>
      <c r="E55" s="142">
        <f>IF(AND('A-10'!D200="-",'A-5'!E7="-",'A-5'!E55="-"),"-",SUM('A-10'!D200,'A-5'!E7,'A-5'!E55))</f>
        <v>83</v>
      </c>
      <c r="F55" s="142">
        <f>IF(AND('A-10'!E200="-",'A-5'!F7="-",'A-5'!F55="-"),"-",SUM('A-10'!E200,'A-5'!F7,'A-5'!F55))</f>
        <v>3072</v>
      </c>
      <c r="G55" s="142">
        <f>IF(AND('A-10'!F200="-",'A-5'!G7="-",'A-5'!G55="-"),"-",SUM('A-10'!F200,'A-5'!G7,'A-5'!G55))</f>
        <v>3240</v>
      </c>
      <c r="H55" s="142">
        <f>IF(AND('A-10'!G200="-",'A-5'!H7="-",'A-5'!H55="-"),"-",SUM('A-10'!G200,'A-5'!H7,'A-5'!H55))</f>
        <v>3612</v>
      </c>
      <c r="I55" s="142">
        <f>IF(AND('A-10'!H200="-",'A-5'!I7="-",'A-5'!I55="-"),"-",SUM('A-10'!H200,'A-5'!I7,'A-5'!I55))</f>
        <v>615</v>
      </c>
      <c r="J55" s="142">
        <f>IF(AND('A-10'!I200="-",'A-5'!J7="-",'A-5'!J55="-"),"-",SUM('A-10'!I200,'A-5'!J7,'A-5'!J55))</f>
        <v>771</v>
      </c>
      <c r="K55" s="142">
        <f>IF(AND('A-10'!J200="-",'A-5'!K7="-",'A-5'!K55="-"),"-",SUM('A-10'!J200,'A-5'!K7,'A-5'!K55))</f>
        <v>79</v>
      </c>
      <c r="L55" s="142">
        <f t="shared" si="0"/>
        <v>11472</v>
      </c>
      <c r="N55" s="142" t="str">
        <f>IF(OR(ISNUMBER('A-5'!N7),ISNUMBER('A-5'!N55)),SUM('A-5'!N7,'A-5'!N55),IF(OR('A-5'!N7="--",'A-5'!N55="--"),"--","-"))</f>
        <v>--</v>
      </c>
      <c r="O55" s="142" t="str">
        <f>IF(OR(ISNUMBER('A-5'!O7),ISNUMBER('A-5'!O55)),SUM('A-5'!O7,'A-5'!O55),IF(OR('A-5'!O7="--",'A-5'!O55="--"),"--","-"))</f>
        <v>--</v>
      </c>
      <c r="P55" s="142">
        <f>IF(OR(ISNUMBER('A-5'!P7),ISNUMBER('A-5'!P55)),SUM('A-5'!P7,'A-5'!P55),IF(OR('A-5'!P7="--",'A-5'!P55="--"),"--","-"))</f>
        <v>1</v>
      </c>
      <c r="Q55" s="142">
        <f>IF(AND('A-10'!M200="-",'A-5'!Q7="-",'A-5'!Q55="-"),"-",SUM('A-10'!M200,'A-5'!Q7,'A-5'!Q55))</f>
        <v>196</v>
      </c>
      <c r="R55" s="142">
        <f>IF(AND('A-10'!N200="-",'A-5'!R7="-",'A-5'!R55="-"),"-",SUM('A-10'!N200,'A-5'!R7,'A-5'!R55))</f>
        <v>48335</v>
      </c>
      <c r="S55" s="142">
        <f>IF(AND('A-10'!O200="-",'A-5'!S7="-",'A-5'!S55="-"),"-",SUM('A-10'!O200,'A-5'!S7,'A-5'!S55))</f>
        <v>28996</v>
      </c>
      <c r="T55" s="142">
        <f>IF(AND('A-10'!P200="-",'A-5'!T7="-",'A-5'!T55="-"),"-",SUM('A-10'!P200,'A-5'!T7,'A-5'!T55))</f>
        <v>6869</v>
      </c>
      <c r="U55" s="142">
        <f>IF(AND('A-10'!Q200="-",'A-5'!U7="-",'A-5'!U55="-"),"-",SUM('A-10'!Q200,'A-5'!U7,'A-5'!U55))</f>
        <v>699</v>
      </c>
      <c r="V55" s="142">
        <f>IF(AND('A-10'!R200="-",'A-5'!V7="-",'A-5'!V55="-"),"-",SUM('A-10'!R200,'A-5'!V7,'A-5'!V55))</f>
        <v>18</v>
      </c>
      <c r="W55" s="142">
        <f>IF(AND('A-5'!W7="-",'A-5'!W55="-"),"-",SUM('A-5'!W7,'A-5'!W55))</f>
        <v>0</v>
      </c>
      <c r="X55" s="142">
        <f t="shared" si="1"/>
        <v>85114</v>
      </c>
    </row>
    <row r="56" spans="1:24" ht="11.25" customHeight="1">
      <c r="A56" s="99">
        <v>1979</v>
      </c>
      <c r="B56" s="142" t="s">
        <v>23</v>
      </c>
      <c r="C56" s="142">
        <f>IF(AND('A-10'!B201="-",'A-5'!C8="-",'A-5'!C56="-"),"-",SUM('A-10'!B201,'A-5'!C8,'A-5'!C56))</f>
        <v>0</v>
      </c>
      <c r="D56" s="142">
        <f>IF(AND('A-10'!C201="-",'A-5'!D8="-",'A-5'!D56="-"),"-",SUM('A-10'!C201,'A-5'!D8,'A-5'!D56))</f>
        <v>1</v>
      </c>
      <c r="E56" s="142">
        <f>IF(AND('A-10'!D201="-",'A-5'!E8="-",'A-5'!E56="-"),"-",SUM('A-10'!D201,'A-5'!E8,'A-5'!E56))</f>
        <v>14</v>
      </c>
      <c r="F56" s="142">
        <f>IF(AND('A-10'!E201="-",'A-5'!F8="-",'A-5'!F56="-"),"-",SUM('A-10'!E201,'A-5'!F8,'A-5'!F56))</f>
        <v>1547</v>
      </c>
      <c r="G56" s="142">
        <f>IF(AND('A-10'!F201="-",'A-5'!G8="-",'A-5'!G56="-"),"-",SUM('A-10'!F201,'A-5'!G8,'A-5'!G56))</f>
        <v>5146</v>
      </c>
      <c r="H56" s="142">
        <f>IF(AND('A-10'!G201="-",'A-5'!H8="-",'A-5'!H56="-"),"-",SUM('A-10'!G201,'A-5'!H8,'A-5'!H56))</f>
        <v>5486</v>
      </c>
      <c r="I56" s="142">
        <f>IF(AND('A-10'!H201="-",'A-5'!I8="-",'A-5'!I56="-"),"-",SUM('A-10'!H201,'A-5'!I8,'A-5'!I56))</f>
        <v>65</v>
      </c>
      <c r="J56" s="142">
        <f>IF(AND('A-10'!I201="-",'A-5'!J8="-",'A-5'!J56="-"),"-",SUM('A-10'!I201,'A-5'!J8,'A-5'!J56))</f>
        <v>618</v>
      </c>
      <c r="K56" s="142">
        <f>IF(AND('A-10'!J201="-",'A-5'!K8="-",'A-5'!K56="-"),"-",SUM('A-10'!J201,'A-5'!K8,'A-5'!K56))</f>
        <v>60</v>
      </c>
      <c r="L56" s="142">
        <f t="shared" si="0"/>
        <v>12937</v>
      </c>
      <c r="N56" s="142" t="str">
        <f>IF(OR(ISNUMBER('A-5'!N8),ISNUMBER('A-5'!N56)),SUM('A-5'!N8,'A-5'!N56),IF(OR('A-5'!N8="--",'A-5'!N56="--"),"--","-"))</f>
        <v>--</v>
      </c>
      <c r="O56" s="142" t="str">
        <f>IF(OR(ISNUMBER('A-5'!O8),ISNUMBER('A-5'!O56)),SUM('A-5'!O8,'A-5'!O56),IF(OR('A-5'!O8="--",'A-5'!O56="--"),"--","-"))</f>
        <v>--</v>
      </c>
      <c r="P56" s="142">
        <f>IF(OR(ISNUMBER('A-5'!P8),ISNUMBER('A-5'!P56)),SUM('A-5'!P8,'A-5'!P56),IF(OR('A-5'!P8="--",'A-5'!P56="--"),"--","-"))</f>
        <v>3</v>
      </c>
      <c r="Q56" s="142">
        <f>IF(AND('A-10'!M201="-",'A-5'!Q8="-",'A-5'!Q56="-"),"-",SUM('A-10'!M201,'A-5'!Q8,'A-5'!Q56))</f>
        <v>53</v>
      </c>
      <c r="R56" s="142">
        <f>IF(AND('A-10'!N201="-",'A-5'!R8="-",'A-5'!R56="-"),"-",SUM('A-10'!N201,'A-5'!R8,'A-5'!R56))</f>
        <v>5704</v>
      </c>
      <c r="S56" s="142">
        <f>IF(AND('A-10'!O201="-",'A-5'!S8="-",'A-5'!S56="-"),"-",SUM('A-10'!O201,'A-5'!S8,'A-5'!S56))</f>
        <v>25563</v>
      </c>
      <c r="T56" s="142">
        <f>IF(AND('A-10'!P201="-",'A-5'!T8="-",'A-5'!T56="-"),"-",SUM('A-10'!P201,'A-5'!T8,'A-5'!T56))</f>
        <v>6184</v>
      </c>
      <c r="U56" s="142">
        <f>IF(AND('A-10'!Q201="-",'A-5'!U8="-",'A-5'!U56="-"),"-",SUM('A-10'!Q201,'A-5'!U8,'A-5'!U56))</f>
        <v>0</v>
      </c>
      <c r="V56" s="142">
        <f>IF(AND('A-10'!R201="-",'A-5'!V8="-",'A-5'!V56="-"),"-",SUM('A-10'!R201,'A-5'!V8,'A-5'!V56))</f>
        <v>0</v>
      </c>
      <c r="W56" s="142" t="str">
        <f>IF(AND('A-5'!W8="-",'A-5'!W56="-"),"-",SUM('A-5'!W8,'A-5'!W56))</f>
        <v>-</v>
      </c>
      <c r="X56" s="142">
        <f t="shared" si="1"/>
        <v>37507</v>
      </c>
    </row>
    <row r="57" spans="1:24" ht="11.25" customHeight="1">
      <c r="A57" s="99">
        <v>1980</v>
      </c>
      <c r="B57" s="142" t="s">
        <v>23</v>
      </c>
      <c r="C57" s="142">
        <f>IF(AND('A-10'!B202="-",'A-5'!C9="-",'A-5'!C57="-"),"-",SUM('A-10'!B202,'A-5'!C9,'A-5'!C57))</f>
        <v>0</v>
      </c>
      <c r="D57" s="142">
        <f>IF(AND('A-10'!C202="-",'A-5'!D9="-",'A-5'!D57="-"),"-",SUM('A-10'!C202,'A-5'!D9,'A-5'!D57))</f>
        <v>0</v>
      </c>
      <c r="E57" s="142">
        <f>IF(AND('A-10'!D202="-",'A-5'!E9="-",'A-5'!E57="-"),"-",SUM('A-10'!D202,'A-5'!E9,'A-5'!E57))</f>
        <v>45</v>
      </c>
      <c r="F57" s="142">
        <f>IF(AND('A-10'!E202="-",'A-5'!F9="-",'A-5'!F57="-"),"-",SUM('A-10'!E202,'A-5'!F9,'A-5'!F57))</f>
        <v>3112</v>
      </c>
      <c r="G57" s="142">
        <f>IF(AND('A-10'!F202="-",'A-5'!G9="-",'A-5'!G57="-"),"-",SUM('A-10'!F202,'A-5'!G9,'A-5'!G57))</f>
        <v>5116</v>
      </c>
      <c r="H57" s="142">
        <f>IF(AND('A-10'!G202="-",'A-5'!H9="-",'A-5'!H57="-"),"-",SUM('A-10'!G202,'A-5'!H9,'A-5'!H57))</f>
        <v>2297</v>
      </c>
      <c r="I57" s="142">
        <f>IF(AND('A-10'!H202="-",'A-5'!I9="-",'A-5'!I57="-"),"-",SUM('A-10'!H202,'A-5'!I9,'A-5'!I57))</f>
        <v>613</v>
      </c>
      <c r="J57" s="142">
        <f>IF(AND('A-10'!I202="-",'A-5'!J9="-",'A-5'!J57="-"),"-",SUM('A-10'!I202,'A-5'!J9,'A-5'!J57))</f>
        <v>319</v>
      </c>
      <c r="K57" s="142">
        <f>IF(AND('A-10'!J202="-",'A-5'!K9="-",'A-5'!K57="-"),"-",SUM('A-10'!J202,'A-5'!K9,'A-5'!K57))</f>
        <v>63</v>
      </c>
      <c r="L57" s="142">
        <f t="shared" si="0"/>
        <v>11565</v>
      </c>
      <c r="N57" s="142" t="str">
        <f>IF(OR(ISNUMBER('A-5'!N9),ISNUMBER('A-5'!N57)),SUM('A-5'!N9,'A-5'!N57),IF(OR('A-5'!N9="--",'A-5'!N57="--"),"--","-"))</f>
        <v>--</v>
      </c>
      <c r="O57" s="142" t="str">
        <f>IF(OR(ISNUMBER('A-5'!O9),ISNUMBER('A-5'!O57)),SUM('A-5'!O9,'A-5'!O57),IF(OR('A-5'!O9="--",'A-5'!O57="--"),"--","-"))</f>
        <v>--</v>
      </c>
      <c r="P57" s="142">
        <f>IF(OR(ISNUMBER('A-5'!P9),ISNUMBER('A-5'!P57)),SUM('A-5'!P9,'A-5'!P57),IF(OR('A-5'!P9="--",'A-5'!P57="--"),"--","-"))</f>
        <v>0</v>
      </c>
      <c r="Q57" s="142">
        <f>IF(AND('A-10'!M202="-",'A-5'!Q9="-",'A-5'!Q57="-"),"-",SUM('A-10'!M202,'A-5'!Q9,'A-5'!Q57))</f>
        <v>92</v>
      </c>
      <c r="R57" s="142">
        <f>IF(AND('A-10'!N202="-",'A-5'!R9="-",'A-5'!R57="-"),"-",SUM('A-10'!N202,'A-5'!R9,'A-5'!R57))</f>
        <v>21103</v>
      </c>
      <c r="S57" s="142">
        <f>IF(AND('A-10'!O202="-",'A-5'!S9="-",'A-5'!S57="-"),"-",SUM('A-10'!O202,'A-5'!S9,'A-5'!S57))</f>
        <v>27549</v>
      </c>
      <c r="T57" s="142">
        <f>IF(AND('A-10'!P202="-",'A-5'!T9="-",'A-5'!T57="-"),"-",SUM('A-10'!P202,'A-5'!T9,'A-5'!T57))</f>
        <v>3171</v>
      </c>
      <c r="U57" s="142">
        <f>IF(AND('A-10'!Q202="-",'A-5'!U9="-",'A-5'!U57="-"),"-",SUM('A-10'!Q202,'A-5'!U9,'A-5'!U57))</f>
        <v>667</v>
      </c>
      <c r="V57" s="142">
        <f>IF(AND('A-10'!R202="-",'A-5'!V9="-",'A-5'!V57="-"),"-",SUM('A-10'!R202,'A-5'!V9,'A-5'!V57))</f>
        <v>0</v>
      </c>
      <c r="W57" s="142" t="str">
        <f>IF(AND('A-5'!W9="-",'A-5'!W57="-"),"-",SUM('A-5'!W9,'A-5'!W57))</f>
        <v>-</v>
      </c>
      <c r="X57" s="142">
        <f t="shared" si="1"/>
        <v>52582</v>
      </c>
    </row>
    <row r="58" spans="1:24" ht="11.25" customHeight="1">
      <c r="A58" s="99">
        <v>1981</v>
      </c>
      <c r="B58" s="142" t="s">
        <v>23</v>
      </c>
      <c r="C58" s="142">
        <f>IF(AND('A-10'!B203="-",'A-5'!C10="-",'A-5'!C58="-"),"-",SUM('A-10'!B203,'A-5'!C10,'A-5'!C58))</f>
        <v>0</v>
      </c>
      <c r="D58" s="142">
        <f>IF(AND('A-10'!C203="-",'A-5'!D10="-",'A-5'!D58="-"),"-",SUM('A-10'!C203,'A-5'!D10,'A-5'!D58))</f>
        <v>0</v>
      </c>
      <c r="E58" s="142">
        <f>IF(AND('A-10'!D203="-",'A-5'!E10="-",'A-5'!E58="-"),"-",SUM('A-10'!D203,'A-5'!E10,'A-5'!E58))</f>
        <v>469</v>
      </c>
      <c r="F58" s="142">
        <f>IF(AND('A-10'!E203="-",'A-5'!F10="-",'A-5'!F58="-"),"-",SUM('A-10'!E203,'A-5'!F10,'A-5'!F58))</f>
        <v>3062</v>
      </c>
      <c r="G58" s="142">
        <f>IF(AND('A-10'!F203="-",'A-5'!G10="-",'A-5'!G58="-"),"-",SUM('A-10'!F203,'A-5'!G10,'A-5'!G58))</f>
        <v>6838</v>
      </c>
      <c r="H58" s="142">
        <f>IF(AND('A-10'!G203="-",'A-5'!H10="-",'A-5'!H58="-"),"-",SUM('A-10'!G203,'A-5'!H10,'A-5'!H58))</f>
        <v>6516</v>
      </c>
      <c r="I58" s="142">
        <f>IF(AND('A-10'!H203="-",'A-5'!I10="-",'A-5'!I58="-"),"-",SUM('A-10'!H203,'A-5'!I10,'A-5'!I58))</f>
        <v>126</v>
      </c>
      <c r="J58" s="142">
        <f>IF(AND('A-10'!I203="-",'A-5'!J10="-",'A-5'!J58="-"),"-",SUM('A-10'!I203,'A-5'!J10,'A-5'!J58))</f>
        <v>289</v>
      </c>
      <c r="K58" s="142">
        <f>IF(AND('A-10'!J203="-",'A-5'!K10="-",'A-5'!K58="-"),"-",SUM('A-10'!J203,'A-5'!K10,'A-5'!K58))</f>
        <v>10</v>
      </c>
      <c r="L58" s="142">
        <f t="shared" si="0"/>
        <v>17310</v>
      </c>
      <c r="N58" s="142" t="str">
        <f>IF(OR(ISNUMBER('A-5'!N10),ISNUMBER('A-5'!N58)),SUM('A-5'!N10,'A-5'!N58),IF(OR('A-5'!N10="--",'A-5'!N58="--"),"--","-"))</f>
        <v>--</v>
      </c>
      <c r="O58" s="142" t="str">
        <f>IF(OR(ISNUMBER('A-5'!O10),ISNUMBER('A-5'!O58)),SUM('A-5'!O10,'A-5'!O58),IF(OR('A-5'!O10="--",'A-5'!O58="--"),"--","-"))</f>
        <v>--</v>
      </c>
      <c r="P58" s="142">
        <f>IF(OR(ISNUMBER('A-5'!P10),ISNUMBER('A-5'!P58)),SUM('A-5'!P10,'A-5'!P58),IF(OR('A-5'!P10="--",'A-5'!P58="--"),"--","-"))</f>
        <v>0</v>
      </c>
      <c r="Q58" s="142">
        <f>IF(AND('A-10'!M203="-",'A-5'!Q10="-",'A-5'!Q58="-"),"-",SUM('A-10'!M203,'A-5'!Q10,'A-5'!Q58))</f>
        <v>520</v>
      </c>
      <c r="R58" s="142">
        <f>IF(AND('A-10'!N203="-",'A-5'!R10="-",'A-5'!R58="-"),"-",SUM('A-10'!N203,'A-5'!R10,'A-5'!R58))</f>
        <v>3362</v>
      </c>
      <c r="S58" s="142">
        <f>IF(AND('A-10'!O203="-",'A-5'!S10="-",'A-5'!S58="-"),"-",SUM('A-10'!O203,'A-5'!S10,'A-5'!S58))</f>
        <v>5661</v>
      </c>
      <c r="T58" s="142">
        <f>IF(AND('A-10'!P203="-",'A-5'!T10="-",'A-5'!T58="-"),"-",SUM('A-10'!P203,'A-5'!T10,'A-5'!T58))</f>
        <v>7072</v>
      </c>
      <c r="U58" s="142">
        <f>IF(AND('A-10'!Q203="-",'A-5'!U10="-",'A-5'!U58="-"),"-",SUM('A-10'!Q203,'A-5'!U10,'A-5'!U58))</f>
        <v>48</v>
      </c>
      <c r="V58" s="142">
        <f>IF(AND('A-10'!R203="-",'A-5'!V10="-",'A-5'!V58="-"),"-",SUM('A-10'!R203,'A-5'!V10,'A-5'!V58))</f>
        <v>0</v>
      </c>
      <c r="W58" s="142">
        <f>IF(AND('A-5'!W10="-",'A-5'!W58="-"),"-",SUM('A-5'!W10,'A-5'!W58))</f>
        <v>0</v>
      </c>
      <c r="X58" s="142">
        <f t="shared" si="1"/>
        <v>16663</v>
      </c>
    </row>
    <row r="59" spans="1:24" ht="11.25" customHeight="1">
      <c r="A59" s="99">
        <v>1982</v>
      </c>
      <c r="B59" s="142" t="s">
        <v>23</v>
      </c>
      <c r="C59" s="142">
        <f>IF(AND('A-10'!B204="-",'A-5'!C11="-",'A-5'!C59="-"),"-",SUM('A-10'!B204,'A-5'!C11,'A-5'!C59))</f>
        <v>0</v>
      </c>
      <c r="D59" s="142">
        <f>IF(AND('A-10'!C204="-",'A-5'!D11="-",'A-5'!D59="-"),"-",SUM('A-10'!C204,'A-5'!D11,'A-5'!D59))</f>
        <v>0</v>
      </c>
      <c r="E59" s="142">
        <f>IF(AND('A-10'!D204="-",'A-5'!E11="-",'A-5'!E59="-"),"-",SUM('A-10'!D204,'A-5'!E11,'A-5'!E59))</f>
        <v>6</v>
      </c>
      <c r="F59" s="142">
        <f>IF(AND('A-10'!E204="-",'A-5'!F11="-",'A-5'!F59="-"),"-",SUM('A-10'!E204,'A-5'!F11,'A-5'!F59))</f>
        <v>5216</v>
      </c>
      <c r="G59" s="142">
        <f>IF(AND('A-10'!F204="-",'A-5'!G11="-",'A-5'!G59="-"),"-",SUM('A-10'!F204,'A-5'!G11,'A-5'!G59))</f>
        <v>17751</v>
      </c>
      <c r="H59" s="142">
        <f>IF(AND('A-10'!G204="-",'A-5'!H11="-",'A-5'!H59="-"),"-",SUM('A-10'!G204,'A-5'!H11,'A-5'!H59))</f>
        <v>5208</v>
      </c>
      <c r="I59" s="142">
        <f>IF(AND('A-10'!H204="-",'A-5'!I11="-",'A-5'!I59="-"),"-",SUM('A-10'!H204,'A-5'!I11,'A-5'!I59))</f>
        <v>385</v>
      </c>
      <c r="J59" s="142">
        <f>IF(AND('A-10'!I204="-",'A-5'!J11="-",'A-5'!J59="-"),"-",SUM('A-10'!I204,'A-5'!J11,'A-5'!J59))</f>
        <v>236</v>
      </c>
      <c r="K59" s="142">
        <f>IF(AND('A-10'!J204="-",'A-5'!K11="-",'A-5'!K59="-"),"-",SUM('A-10'!J204,'A-5'!K11,'A-5'!K59))</f>
        <v>16</v>
      </c>
      <c r="L59" s="142">
        <f t="shared" si="0"/>
        <v>28818</v>
      </c>
      <c r="N59" s="142" t="str">
        <f>IF(OR(ISNUMBER('A-5'!N11),ISNUMBER('A-5'!N59)),SUM('A-5'!N11,'A-5'!N59),IF(OR('A-5'!N11="--",'A-5'!N59="--"),"--","-"))</f>
        <v>--</v>
      </c>
      <c r="O59" s="142" t="str">
        <f>IF(OR(ISNUMBER('A-5'!O11),ISNUMBER('A-5'!O59)),SUM('A-5'!O11,'A-5'!O59),IF(OR('A-5'!O11="--",'A-5'!O59="--"),"--","-"))</f>
        <v>--</v>
      </c>
      <c r="P59" s="142">
        <f>IF(OR(ISNUMBER('A-5'!P11),ISNUMBER('A-5'!P59)),SUM('A-5'!P11,'A-5'!P59),IF(OR('A-5'!P11="--",'A-5'!P59="--"),"--","-"))</f>
        <v>0</v>
      </c>
      <c r="Q59" s="142">
        <f>IF(AND('A-10'!M204="-",'A-5'!Q11="-",'A-5'!Q59="-"),"-",SUM('A-10'!M204,'A-5'!Q11,'A-5'!Q59))</f>
        <v>5</v>
      </c>
      <c r="R59" s="142">
        <f>IF(AND('A-10'!N204="-",'A-5'!R11="-",'A-5'!R59="-"),"-",SUM('A-10'!N204,'A-5'!R11,'A-5'!R59))</f>
        <v>10456</v>
      </c>
      <c r="S59" s="142">
        <f>IF(AND('A-10'!O204="-",'A-5'!S11="-",'A-5'!S59="-"),"-",SUM('A-10'!O204,'A-5'!S11,'A-5'!S59))</f>
        <v>26477</v>
      </c>
      <c r="T59" s="142">
        <f>IF(AND('A-10'!P204="-",'A-5'!T11="-",'A-5'!T59="-"),"-",SUM('A-10'!P204,'A-5'!T11,'A-5'!T59))</f>
        <v>3026</v>
      </c>
      <c r="U59" s="142">
        <f>IF(AND('A-10'!Q204="-",'A-5'!U11="-",'A-5'!U59="-"),"-",SUM('A-10'!Q204,'A-5'!U11,'A-5'!U59))</f>
        <v>112</v>
      </c>
      <c r="V59" s="142">
        <f>IF(AND('A-10'!R204="-",'A-5'!V11="-",'A-5'!V59="-"),"-",SUM('A-10'!R204,'A-5'!V11,'A-5'!V59))</f>
        <v>0</v>
      </c>
      <c r="W59" s="142">
        <f>IF(AND('A-5'!W11="-",'A-5'!W59="-"),"-",SUM('A-5'!W11,'A-5'!W59))</f>
        <v>0</v>
      </c>
      <c r="X59" s="142">
        <f t="shared" si="1"/>
        <v>40076</v>
      </c>
    </row>
    <row r="60" spans="1:24" ht="11.25" customHeight="1">
      <c r="A60" s="99">
        <v>1983</v>
      </c>
      <c r="B60" s="142" t="s">
        <v>23</v>
      </c>
      <c r="C60" s="142">
        <f>IF(AND('A-10'!B205="-",'A-5'!C12="-",'A-5'!C60="-"),"-",SUM('A-10'!B205,'A-5'!C12,'A-5'!C60))</f>
        <v>0</v>
      </c>
      <c r="D60" s="142">
        <f>IF(AND('A-10'!C205="-",'A-5'!D12="-",'A-5'!D60="-"),"-",SUM('A-10'!C205,'A-5'!D12,'A-5'!D60))</f>
        <v>0</v>
      </c>
      <c r="E60" s="142">
        <f>IF(AND('A-10'!D205="-",'A-5'!E12="-",'A-5'!E60="-"),"-",SUM('A-10'!D205,'A-5'!E12,'A-5'!E60))</f>
        <v>507</v>
      </c>
      <c r="F60" s="142">
        <f>IF(AND('A-10'!E205="-",'A-5'!F12="-",'A-5'!F60="-"),"-",SUM('A-10'!E205,'A-5'!F12,'A-5'!F60))</f>
        <v>6813</v>
      </c>
      <c r="G60" s="142">
        <f>IF(AND('A-10'!F205="-",'A-5'!G12="-",'A-5'!G60="-"),"-",SUM('A-10'!F205,'A-5'!G12,'A-5'!G60))</f>
        <v>9097</v>
      </c>
      <c r="H60" s="142">
        <f>IF(AND('A-10'!G205="-",'A-5'!H12="-",'A-5'!H60="-"),"-",SUM('A-10'!G205,'A-5'!H12,'A-5'!H60))</f>
        <v>2600</v>
      </c>
      <c r="I60" s="142">
        <f>IF(AND('A-10'!H205="-",'A-5'!I12="-",'A-5'!I60="-"),"-",SUM('A-10'!H205,'A-5'!I12,'A-5'!I60))</f>
        <v>1216</v>
      </c>
      <c r="J60" s="142">
        <f>IF(AND('A-10'!I205="-",'A-5'!J12="-",'A-5'!J60="-"),"-",SUM('A-10'!I205,'A-5'!J12,'A-5'!J60))</f>
        <v>1033</v>
      </c>
      <c r="K60" s="142">
        <f>IF(AND('A-10'!J205="-",'A-5'!K12="-",'A-5'!K60="-"),"-",SUM('A-10'!J205,'A-5'!K12,'A-5'!K60))</f>
        <v>17</v>
      </c>
      <c r="L60" s="142">
        <f t="shared" si="0"/>
        <v>21283</v>
      </c>
      <c r="N60" s="142" t="str">
        <f>IF(OR(ISNUMBER('A-5'!N12),ISNUMBER('A-5'!N60)),SUM('A-5'!N12,'A-5'!N60),IF(OR('A-5'!N12="--",'A-5'!N60="--"),"--","-"))</f>
        <v>--</v>
      </c>
      <c r="O60" s="142" t="str">
        <f>IF(OR(ISNUMBER('A-5'!O12),ISNUMBER('A-5'!O60)),SUM('A-5'!O12,'A-5'!O60),IF(OR('A-5'!O12="--",'A-5'!O60="--"),"--","-"))</f>
        <v>--</v>
      </c>
      <c r="P60" s="142">
        <f>IF(OR(ISNUMBER('A-5'!P12),ISNUMBER('A-5'!P60)),SUM('A-5'!P12,'A-5'!P60),IF(OR('A-5'!P12="--",'A-5'!P60="--"),"--","-"))</f>
        <v>0</v>
      </c>
      <c r="Q60" s="142">
        <f>IF(AND('A-10'!M205="-",'A-5'!Q12="-",'A-5'!Q60="-"),"-",SUM('A-10'!M205,'A-5'!Q12,'A-5'!Q60))</f>
        <v>458</v>
      </c>
      <c r="R60" s="142">
        <f>IF(AND('A-10'!N205="-",'A-5'!R12="-",'A-5'!R60="-"),"-",SUM('A-10'!N205,'A-5'!R12,'A-5'!R60))</f>
        <v>14039</v>
      </c>
      <c r="S60" s="142">
        <f>IF(AND('A-10'!O205="-",'A-5'!S12="-",'A-5'!S60="-"),"-",SUM('A-10'!O205,'A-5'!S12,'A-5'!S60))</f>
        <v>20699</v>
      </c>
      <c r="T60" s="142">
        <f>IF(AND('A-10'!P205="-",'A-5'!T12="-",'A-5'!T60="-"),"-",SUM('A-10'!P205,'A-5'!T12,'A-5'!T60))</f>
        <v>5295</v>
      </c>
      <c r="U60" s="142">
        <f>IF(AND('A-10'!Q205="-",'A-5'!U12="-",'A-5'!U60="-"),"-",SUM('A-10'!Q205,'A-5'!U12,'A-5'!U60))</f>
        <v>760</v>
      </c>
      <c r="V60" s="142">
        <f>IF(AND('A-10'!R205="-",'A-5'!V12="-",'A-5'!V60="-"),"-",SUM('A-10'!R205,'A-5'!V12,'A-5'!V60))</f>
        <v>0</v>
      </c>
      <c r="W60" s="142">
        <f>IF(AND('A-5'!W12="-",'A-5'!W60="-"),"-",SUM('A-5'!W12,'A-5'!W60))</f>
        <v>0</v>
      </c>
      <c r="X60" s="142">
        <f t="shared" si="1"/>
        <v>41251</v>
      </c>
    </row>
    <row r="61" spans="1:24" ht="11.25" customHeight="1">
      <c r="A61" s="99">
        <v>1984</v>
      </c>
      <c r="B61" s="142" t="s">
        <v>23</v>
      </c>
      <c r="C61" s="142">
        <f>IF(AND('A-10'!B206="-",'A-5'!C13="-",'A-5'!C61="-"),"-",SUM('A-10'!B206,'A-5'!C13,'A-5'!C61))</f>
        <v>0</v>
      </c>
      <c r="D61" s="142">
        <f>IF(AND('A-10'!C206="-",'A-5'!D13="-",'A-5'!D61="-"),"-",SUM('A-10'!C206,'A-5'!D13,'A-5'!D61))</f>
        <v>0</v>
      </c>
      <c r="E61" s="142">
        <f>IF(AND('A-10'!D206="-",'A-5'!E13="-",'A-5'!E61="-"),"-",SUM('A-10'!D206,'A-5'!E13,'A-5'!E61))</f>
        <v>19</v>
      </c>
      <c r="F61" s="142">
        <f>IF(AND('A-10'!E206="-",'A-5'!F13="-",'A-5'!F61="-"),"-",SUM('A-10'!E206,'A-5'!F13,'A-5'!F61))</f>
        <v>128</v>
      </c>
      <c r="G61" s="142">
        <f>IF(AND('A-10'!F206="-",'A-5'!G13="-",'A-5'!G61="-"),"-",SUM('A-10'!F206,'A-5'!G13,'A-5'!G61))</f>
        <v>7621</v>
      </c>
      <c r="H61" s="142">
        <f>IF(AND('A-10'!G206="-",'A-5'!H13="-",'A-5'!H61="-"),"-",SUM('A-10'!G206,'A-5'!H13,'A-5'!H61))</f>
        <v>7803</v>
      </c>
      <c r="I61" s="142">
        <f>IF(AND('A-10'!H206="-",'A-5'!I13="-",'A-5'!I61="-"),"-",SUM('A-10'!H206,'A-5'!I13,'A-5'!I61))</f>
        <v>1155</v>
      </c>
      <c r="J61" s="142">
        <f>IF(AND('A-10'!I206="-",'A-5'!J13="-",'A-5'!J61="-"),"-",SUM('A-10'!I206,'A-5'!J13,'A-5'!J61))</f>
        <v>453</v>
      </c>
      <c r="K61" s="142">
        <f>IF(AND('A-10'!J206="-",'A-5'!K13="-",'A-5'!K61="-"),"-",SUM('A-10'!J206,'A-5'!K13,'A-5'!K61))</f>
        <v>0</v>
      </c>
      <c r="L61" s="142">
        <f t="shared" si="0"/>
        <v>17179</v>
      </c>
      <c r="N61" s="142" t="str">
        <f>IF(OR(ISNUMBER('A-5'!N13),ISNUMBER('A-5'!N61)),SUM('A-5'!N13,'A-5'!N61),IF(OR('A-5'!N13="--",'A-5'!N61="--"),"--","-"))</f>
        <v>--</v>
      </c>
      <c r="O61" s="142" t="str">
        <f>IF(OR(ISNUMBER('A-5'!O13),ISNUMBER('A-5'!O61)),SUM('A-5'!O13,'A-5'!O61),IF(OR('A-5'!O13="--",'A-5'!O61="--"),"--","-"))</f>
        <v>--</v>
      </c>
      <c r="P61" s="142">
        <f>IF(OR(ISNUMBER('A-5'!P13),ISNUMBER('A-5'!P61)),SUM('A-5'!P13,'A-5'!P61),IF(OR('A-5'!P13="--",'A-5'!P61="--"),"--","-"))</f>
        <v>0</v>
      </c>
      <c r="Q61" s="142">
        <f>IF(AND('A-10'!M206="-",'A-5'!Q13="-",'A-5'!Q61="-"),"-",SUM('A-10'!M206,'A-5'!Q13,'A-5'!Q61))</f>
        <v>0</v>
      </c>
      <c r="R61" s="142">
        <f>IF(AND('A-10'!N206="-",'A-5'!R13="-",'A-5'!R61="-"),"-",SUM('A-10'!N206,'A-5'!R13,'A-5'!R61))</f>
        <v>59</v>
      </c>
      <c r="S61" s="142">
        <f>IF(AND('A-10'!O206="-",'A-5'!S13="-",'A-5'!S61="-"),"-",SUM('A-10'!O206,'A-5'!S13,'A-5'!S61))</f>
        <v>22283</v>
      </c>
      <c r="T61" s="142">
        <f>IF(AND('A-10'!P206="-",'A-5'!T13="-",'A-5'!T61="-"),"-",SUM('A-10'!P206,'A-5'!T13,'A-5'!T61))</f>
        <v>6489</v>
      </c>
      <c r="U61" s="142">
        <f>IF(AND('A-10'!Q206="-",'A-5'!U13="-",'A-5'!U61="-"),"-",SUM('A-10'!Q206,'A-5'!U13,'A-5'!U61))</f>
        <v>215</v>
      </c>
      <c r="V61" s="142">
        <f>IF(AND('A-10'!R206="-",'A-5'!V13="-",'A-5'!V61="-"),"-",SUM('A-10'!R206,'A-5'!V13,'A-5'!V61))</f>
        <v>0</v>
      </c>
      <c r="W61" s="142">
        <f>IF(AND('A-5'!W13="-",'A-5'!W61="-"),"-",SUM('A-5'!W13,'A-5'!W61))</f>
        <v>0</v>
      </c>
      <c r="X61" s="142">
        <f t="shared" si="1"/>
        <v>29046</v>
      </c>
    </row>
    <row r="62" spans="1:24" ht="11.25" customHeight="1">
      <c r="A62" s="99">
        <v>1985</v>
      </c>
      <c r="B62" s="142" t="s">
        <v>23</v>
      </c>
      <c r="C62" s="142">
        <f>IF(AND('A-10'!B207="-",'A-5'!C14="-",'A-5'!C62="-"),"-",SUM('A-10'!B207,'A-5'!C14,'A-5'!C62))</f>
        <v>0</v>
      </c>
      <c r="D62" s="142">
        <f>IF(AND('A-10'!C207="-",'A-5'!D14="-",'A-5'!D62="-"),"-",SUM('A-10'!C207,'A-5'!D14,'A-5'!D62))</f>
        <v>5</v>
      </c>
      <c r="E62" s="142">
        <f>IF(AND('A-10'!D207="-",'A-5'!E14="-",'A-5'!E62="-"),"-",SUM('A-10'!D207,'A-5'!E14,'A-5'!E62))</f>
        <v>11316</v>
      </c>
      <c r="F62" s="142">
        <f>IF(AND('A-10'!E207="-",'A-5'!F14="-",'A-5'!F62="-"),"-",SUM('A-10'!E207,'A-5'!F14,'A-5'!F62))</f>
        <v>9524</v>
      </c>
      <c r="G62" s="142">
        <f>IF(AND('A-10'!F207="-",'A-5'!G14="-",'A-5'!G62="-"),"-",SUM('A-10'!F207,'A-5'!G14,'A-5'!G62))</f>
        <v>44672</v>
      </c>
      <c r="H62" s="142">
        <f>IF(AND('A-10'!G207="-",'A-5'!H14="-",'A-5'!H62="-"),"-",SUM('A-10'!G207,'A-5'!H14,'A-5'!H62))</f>
        <v>13800</v>
      </c>
      <c r="I62" s="142">
        <f>IF(AND('A-10'!H207="-",'A-5'!I14="-",'A-5'!I62="-"),"-",SUM('A-10'!H207,'A-5'!I14,'A-5'!I62))</f>
        <v>634</v>
      </c>
      <c r="J62" s="142">
        <f>IF(AND('A-10'!I207="-",'A-5'!J14="-",'A-5'!J62="-"),"-",SUM('A-10'!I207,'A-5'!J14,'A-5'!J62))</f>
        <v>564</v>
      </c>
      <c r="K62" s="142">
        <f>IF(AND('A-10'!J207="-",'A-5'!K14="-",'A-5'!K62="-"),"-",SUM('A-10'!J207,'A-5'!K14,'A-5'!K62))</f>
        <v>0</v>
      </c>
      <c r="L62" s="142">
        <f t="shared" si="0"/>
        <v>80515</v>
      </c>
      <c r="N62" s="142" t="str">
        <f>IF(OR(ISNUMBER('A-5'!N14),ISNUMBER('A-5'!N62)),SUM('A-5'!N14,'A-5'!N62),IF(OR('A-5'!N14="--",'A-5'!N62="--"),"--","-"))</f>
        <v>--</v>
      </c>
      <c r="O62" s="142" t="str">
        <f>IF(OR(ISNUMBER('A-5'!O14),ISNUMBER('A-5'!O62)),SUM('A-5'!O14,'A-5'!O62),IF(OR('A-5'!O14="--",'A-5'!O62="--"),"--","-"))</f>
        <v>--</v>
      </c>
      <c r="P62" s="142">
        <f>IF(OR(ISNUMBER('A-5'!P14),ISNUMBER('A-5'!P62)),SUM('A-5'!P14,'A-5'!P62),IF(OR('A-5'!P14="--",'A-5'!P62="--"),"--","-"))</f>
        <v>0</v>
      </c>
      <c r="Q62" s="142">
        <f>IF(AND('A-10'!M207="-",'A-5'!Q14="-",'A-5'!Q62="-"),"-",SUM('A-10'!M207,'A-5'!Q14,'A-5'!Q62))</f>
        <v>906</v>
      </c>
      <c r="R62" s="142">
        <f>IF(AND('A-10'!N207="-",'A-5'!R14="-",'A-5'!R62="-"),"-",SUM('A-10'!N207,'A-5'!R14,'A-5'!R62))</f>
        <v>422</v>
      </c>
      <c r="S62" s="142">
        <f>IF(AND('A-10'!O207="-",'A-5'!S14="-",'A-5'!S62="-"),"-",SUM('A-10'!O207,'A-5'!S14,'A-5'!S62))</f>
        <v>13378</v>
      </c>
      <c r="T62" s="142">
        <f>IF(AND('A-10'!P207="-",'A-5'!T14="-",'A-5'!T62="-"),"-",SUM('A-10'!P207,'A-5'!T14,'A-5'!T62))</f>
        <v>6838</v>
      </c>
      <c r="U62" s="142">
        <f>IF(AND('A-10'!Q207="-",'A-5'!U14="-",'A-5'!U62="-"),"-",SUM('A-10'!Q207,'A-5'!U14,'A-5'!U62))</f>
        <v>635</v>
      </c>
      <c r="V62" s="142">
        <f>IF(AND('A-10'!R207="-",'A-5'!V14="-",'A-5'!V62="-"),"-",SUM('A-10'!R207,'A-5'!V14,'A-5'!V62))</f>
        <v>4</v>
      </c>
      <c r="W62" s="142">
        <f>IF(AND('A-5'!W14="-",'A-5'!W62="-"),"-",SUM('A-5'!W14,'A-5'!W62))</f>
        <v>0</v>
      </c>
      <c r="X62" s="142">
        <f t="shared" si="1"/>
        <v>22183</v>
      </c>
    </row>
    <row r="63" spans="1:24" ht="11.25" customHeight="1">
      <c r="A63" s="99">
        <v>1986</v>
      </c>
      <c r="B63" s="142" t="s">
        <v>23</v>
      </c>
      <c r="C63" s="142">
        <f>IF(AND('A-10'!B208="-",'A-5'!C15="-",'A-5'!C63="-"),"-",SUM('A-10'!B208,'A-5'!C15,'A-5'!C63))</f>
        <v>0</v>
      </c>
      <c r="D63" s="142" t="str">
        <f>IF(AND('A-10'!C208="-",'A-5'!D15="-",'A-5'!D63="-"),"-",SUM('A-10'!C208,'A-5'!D15,'A-5'!D63))</f>
        <v>-</v>
      </c>
      <c r="E63" s="142">
        <f>IF(AND('A-10'!D208="-",'A-5'!E15="-",'A-5'!E63="-"),"-",SUM('A-10'!D208,'A-5'!E15,'A-5'!E63))</f>
        <v>1822</v>
      </c>
      <c r="F63" s="142">
        <f>IF(AND('A-10'!E208="-",'A-5'!F15="-",'A-5'!F63="-"),"-",SUM('A-10'!E208,'A-5'!F15,'A-5'!F63))</f>
        <v>6912</v>
      </c>
      <c r="G63" s="142">
        <f>IF(AND('A-10'!F208="-",'A-5'!G15="-",'A-5'!G63="-"),"-",SUM('A-10'!F208,'A-5'!G15,'A-5'!G63))</f>
        <v>9394</v>
      </c>
      <c r="H63" s="142">
        <f>IF(AND('A-10'!G208="-",'A-5'!H15="-",'A-5'!H63="-"),"-",SUM('A-10'!G208,'A-5'!H15,'A-5'!H63))</f>
        <v>9315</v>
      </c>
      <c r="I63" s="142">
        <f>IF(AND('A-10'!H208="-",'A-5'!I15="-",'A-5'!I63="-"),"-",SUM('A-10'!H208,'A-5'!I15,'A-5'!I63))</f>
        <v>54</v>
      </c>
      <c r="J63" s="142">
        <f>IF(AND('A-10'!I208="-",'A-5'!J15="-",'A-5'!J63="-"),"-",SUM('A-10'!I208,'A-5'!J15,'A-5'!J63))</f>
        <v>611</v>
      </c>
      <c r="K63" s="142" t="str">
        <f>IF(AND('A-10'!J208="-",'A-5'!K15="-",'A-5'!K63="-"),"-",SUM('A-10'!J208,'A-5'!K15,'A-5'!K63))</f>
        <v>-</v>
      </c>
      <c r="L63" s="142">
        <f t="shared" si="0"/>
        <v>28108</v>
      </c>
      <c r="N63" s="142" t="str">
        <f>IF(OR(ISNUMBER('A-5'!N15),ISNUMBER('A-5'!N63)),SUM('A-5'!N15,'A-5'!N63),IF(OR('A-5'!N15="--",'A-5'!N63="--"),"--","-"))</f>
        <v>--</v>
      </c>
      <c r="O63" s="142" t="str">
        <f>IF(OR(ISNUMBER('A-5'!O15),ISNUMBER('A-5'!O63)),SUM('A-5'!O15,'A-5'!O63),IF(OR('A-5'!O15="--",'A-5'!O63="--"),"--","-"))</f>
        <v>--</v>
      </c>
      <c r="P63" s="142" t="str">
        <f>IF(OR(ISNUMBER('A-5'!P15),ISNUMBER('A-5'!P63)),SUM('A-5'!P15,'A-5'!P63),IF(OR('A-5'!P15="--",'A-5'!P63="--"),"--","-"))</f>
        <v>-</v>
      </c>
      <c r="Q63" s="142">
        <f>IF(AND('A-10'!M208="-",'A-5'!Q15="-",'A-5'!Q63="-"),"-",SUM('A-10'!M208,'A-5'!Q15,'A-5'!Q63))</f>
        <v>1892</v>
      </c>
      <c r="R63" s="142">
        <f>IF(AND('A-10'!N208="-",'A-5'!R15="-",'A-5'!R63="-"),"-",SUM('A-10'!N208,'A-5'!R15,'A-5'!R63))</f>
        <v>7782</v>
      </c>
      <c r="S63" s="142">
        <f>IF(AND('A-10'!O208="-",'A-5'!S15="-",'A-5'!S63="-"),"-",SUM('A-10'!O208,'A-5'!S15,'A-5'!S63))</f>
        <v>13477</v>
      </c>
      <c r="T63" s="142">
        <f>IF(AND('A-10'!P208="-",'A-5'!T15="-",'A-5'!T63="-"),"-",SUM('A-10'!P208,'A-5'!T15,'A-5'!T63))</f>
        <v>5450</v>
      </c>
      <c r="U63" s="142">
        <f>IF(AND('A-10'!Q208="-",'A-5'!U15="-",'A-5'!U63="-"),"-",SUM('A-10'!Q208,'A-5'!U15,'A-5'!U63))</f>
        <v>6</v>
      </c>
      <c r="V63" s="142">
        <f>IF(AND('A-10'!R208="-",'A-5'!V15="-",'A-5'!V63="-"),"-",SUM('A-10'!R208,'A-5'!V15,'A-5'!V63))</f>
        <v>3</v>
      </c>
      <c r="W63" s="142" t="str">
        <f>IF(AND('A-5'!W15="-",'A-5'!W63="-"),"-",SUM('A-5'!W15,'A-5'!W63))</f>
        <v>-</v>
      </c>
      <c r="X63" s="142">
        <f t="shared" si="1"/>
        <v>28610</v>
      </c>
    </row>
    <row r="64" spans="1:24" ht="11.25" customHeight="1">
      <c r="A64" s="99">
        <v>1987</v>
      </c>
      <c r="B64" s="142" t="s">
        <v>23</v>
      </c>
      <c r="C64" s="142" t="str">
        <f>IF(AND('A-10'!B209="-",'A-5'!C16="-",'A-5'!C64="-"),"-",SUM('A-10'!B209,'A-5'!C16,'A-5'!C64))</f>
        <v>-</v>
      </c>
      <c r="D64" s="142" t="str">
        <f>IF(AND('A-10'!C209="-",'A-5'!D16="-",'A-5'!D64="-"),"-",SUM('A-10'!C209,'A-5'!D16,'A-5'!D64))</f>
        <v>-</v>
      </c>
      <c r="E64" s="142">
        <f>IF(AND('A-10'!D209="-",'A-5'!E16="-",'A-5'!E64="-"),"-",SUM('A-10'!D209,'A-5'!E16,'A-5'!E64))</f>
        <v>1513</v>
      </c>
      <c r="F64" s="142">
        <f>IF(AND('A-10'!E209="-",'A-5'!F16="-",'A-5'!F64="-"),"-",SUM('A-10'!E209,'A-5'!F16,'A-5'!F64))</f>
        <v>11285</v>
      </c>
      <c r="G64" s="142">
        <f>IF(AND('A-10'!F209="-",'A-5'!G16="-",'A-5'!G64="-"),"-",SUM('A-10'!F209,'A-5'!G16,'A-5'!G64))</f>
        <v>20629</v>
      </c>
      <c r="H64" s="142">
        <f>IF(AND('A-10'!G209="-",'A-5'!H16="-",'A-5'!H64="-"),"-",SUM('A-10'!G209,'A-5'!H16,'A-5'!H64))</f>
        <v>14350</v>
      </c>
      <c r="I64" s="142">
        <f>IF(AND('A-10'!H209="-",'A-5'!I16="-",'A-5'!I64="-"),"-",SUM('A-10'!H209,'A-5'!I16,'A-5'!I64))</f>
        <v>7990</v>
      </c>
      <c r="J64" s="142">
        <f>IF(AND('A-10'!I209="-",'A-5'!J16="-",'A-5'!J64="-"),"-",SUM('A-10'!I209,'A-5'!J16,'A-5'!J64))</f>
        <v>1133</v>
      </c>
      <c r="K64" s="142" t="str">
        <f>IF(AND('A-10'!J209="-",'A-5'!K16="-",'A-5'!K64="-"),"-",SUM('A-10'!J209,'A-5'!K16,'A-5'!K64))</f>
        <v>-</v>
      </c>
      <c r="L64" s="142">
        <f t="shared" si="0"/>
        <v>56900</v>
      </c>
      <c r="N64" s="142" t="str">
        <f>IF(OR(ISNUMBER('A-5'!N16),ISNUMBER('A-5'!N64)),SUM('A-5'!N16,'A-5'!N64),IF(OR('A-5'!N16="--",'A-5'!N64="--"),"--","-"))</f>
        <v>-</v>
      </c>
      <c r="O64" s="142" t="str">
        <f>IF(OR(ISNUMBER('A-5'!O16),ISNUMBER('A-5'!O64)),SUM('A-5'!O16,'A-5'!O64),IF(OR('A-5'!O16="--",'A-5'!O64="--"),"--","-"))</f>
        <v>-</v>
      </c>
      <c r="P64" s="142" t="str">
        <f>IF(OR(ISNUMBER('A-5'!P16),ISNUMBER('A-5'!P64)),SUM('A-5'!P16,'A-5'!P64),IF(OR('A-5'!P16="--",'A-5'!P64="--"),"--","-"))</f>
        <v>-</v>
      </c>
      <c r="Q64" s="142">
        <f>IF(AND('A-10'!M209="-",'A-5'!Q16="-",'A-5'!Q64="-"),"-",SUM('A-10'!M209,'A-5'!Q16,'A-5'!Q64))</f>
        <v>82</v>
      </c>
      <c r="R64" s="142">
        <f>IF(AND('A-10'!N209="-",'A-5'!R16="-",'A-5'!R64="-"),"-",SUM('A-10'!N209,'A-5'!R16,'A-5'!R64))</f>
        <v>4878</v>
      </c>
      <c r="S64" s="142">
        <f>IF(AND('A-10'!O209="-",'A-5'!S16="-",'A-5'!S64="-"),"-",SUM('A-10'!O209,'A-5'!S16,'A-5'!S64))</f>
        <v>45908</v>
      </c>
      <c r="T64" s="142">
        <f>IF(AND('A-10'!P209="-",'A-5'!T16="-",'A-5'!T64="-"),"-",SUM('A-10'!P209,'A-5'!T16,'A-5'!T64))</f>
        <v>10184</v>
      </c>
      <c r="U64" s="142">
        <f>IF(AND('A-10'!Q209="-",'A-5'!U16="-",'A-5'!U64="-"),"-",SUM('A-10'!Q209,'A-5'!U16,'A-5'!U64))</f>
        <v>2649</v>
      </c>
      <c r="V64" s="142">
        <f>IF(AND('A-10'!R209="-",'A-5'!V16="-",'A-5'!V64="-"),"-",SUM('A-10'!R209,'A-5'!V16,'A-5'!V64))</f>
        <v>28</v>
      </c>
      <c r="W64" s="142" t="str">
        <f>IF(AND('A-5'!W16="-",'A-5'!W64="-"),"-",SUM('A-5'!W16,'A-5'!W64))</f>
        <v>-</v>
      </c>
      <c r="X64" s="142">
        <f t="shared" si="1"/>
        <v>63729</v>
      </c>
    </row>
    <row r="65" spans="1:24" ht="11.25" customHeight="1">
      <c r="A65" s="99">
        <v>1988</v>
      </c>
      <c r="B65" s="142" t="s">
        <v>23</v>
      </c>
      <c r="C65" s="142" t="str">
        <f>IF(AND('A-10'!B210="-",'A-5'!C17="-",'A-5'!C65="-"),"-",SUM('A-10'!B210,'A-5'!C17,'A-5'!C65))</f>
        <v>-</v>
      </c>
      <c r="D65" s="142" t="str">
        <f>IF(AND('A-10'!C210="-",'A-5'!D17="-",'A-5'!D65="-"),"-",SUM('A-10'!C210,'A-5'!D17,'A-5'!D65))</f>
        <v>-</v>
      </c>
      <c r="E65" s="142">
        <f>IF(AND('A-10'!D210="-",'A-5'!E17="-",'A-5'!E65="-"),"-",SUM('A-10'!D210,'A-5'!E17,'A-5'!E65))</f>
        <v>1674</v>
      </c>
      <c r="F65" s="142">
        <f>IF(AND('A-10'!E210="-",'A-5'!F17="-",'A-5'!F65="-"),"-",SUM('A-10'!E210,'A-5'!F17,'A-5'!F65))</f>
        <v>25484</v>
      </c>
      <c r="G65" s="142">
        <f>IF(AND('A-10'!F210="-",'A-5'!G17="-",'A-5'!G65="-"),"-",SUM('A-10'!F210,'A-5'!G17,'A-5'!G65))</f>
        <v>21084</v>
      </c>
      <c r="H65" s="142">
        <f>IF(AND('A-10'!G210="-",'A-5'!H17="-",'A-5'!H65="-"),"-",SUM('A-10'!G210,'A-5'!H17,'A-5'!H65))</f>
        <v>4774</v>
      </c>
      <c r="I65" s="142">
        <f>IF(AND('A-10'!H210="-",'A-5'!I17="-",'A-5'!I65="-"),"-",SUM('A-10'!H210,'A-5'!I17,'A-5'!I65))</f>
        <v>277</v>
      </c>
      <c r="J65" s="142" t="str">
        <f>IF(AND('A-10'!I210="-",'A-5'!J17="-",'A-5'!J65="-"),"-",SUM('A-10'!I210,'A-5'!J17,'A-5'!J65))</f>
        <v>-</v>
      </c>
      <c r="K65" s="142" t="str">
        <f>IF(AND('A-10'!J210="-",'A-5'!K17="-",'A-5'!K65="-"),"-",SUM('A-10'!J210,'A-5'!K17,'A-5'!K65))</f>
        <v>-</v>
      </c>
      <c r="L65" s="142">
        <f t="shared" si="0"/>
        <v>53293</v>
      </c>
      <c r="N65" s="142" t="str">
        <f>IF(OR(ISNUMBER('A-5'!N17),ISNUMBER('A-5'!N65)),SUM('A-5'!N17,'A-5'!N65),IF(OR('A-5'!N17="--",'A-5'!N65="--"),"--","-"))</f>
        <v>-</v>
      </c>
      <c r="O65" s="142" t="str">
        <f>IF(OR(ISNUMBER('A-5'!O17),ISNUMBER('A-5'!O65)),SUM('A-5'!O17,'A-5'!O65),IF(OR('A-5'!O17="--",'A-5'!O65="--"),"--","-"))</f>
        <v>-</v>
      </c>
      <c r="P65" s="142" t="str">
        <f>IF(OR(ISNUMBER('A-5'!P17),ISNUMBER('A-5'!P65)),SUM('A-5'!P17,'A-5'!P65),IF(OR('A-5'!P17="--",'A-5'!P65="--"),"--","-"))</f>
        <v>-</v>
      </c>
      <c r="Q65" s="142">
        <f>IF(AND('A-10'!M210="-",'A-5'!Q17="-",'A-5'!Q65="-"),"-",SUM('A-10'!M210,'A-5'!Q17,'A-5'!Q65))</f>
        <v>686</v>
      </c>
      <c r="R65" s="142">
        <f>IF(AND('A-10'!N210="-",'A-5'!R17="-",'A-5'!R65="-"),"-",SUM('A-10'!N210,'A-5'!R17,'A-5'!R65))</f>
        <v>5097</v>
      </c>
      <c r="S65" s="142">
        <f>IF(AND('A-10'!O210="-",'A-5'!S17="-",'A-5'!S65="-"),"-",SUM('A-10'!O210,'A-5'!S17,'A-5'!S65))</f>
        <v>34555</v>
      </c>
      <c r="T65" s="142">
        <f>IF(AND('A-10'!P210="-",'A-5'!T17="-",'A-5'!T65="-"),"-",SUM('A-10'!P210,'A-5'!T17,'A-5'!T65))</f>
        <v>5376</v>
      </c>
      <c r="U65" s="142">
        <f>IF(AND('A-10'!Q210="-",'A-5'!U17="-",'A-5'!U65="-"),"-",SUM('A-10'!Q210,'A-5'!U17,'A-5'!U65))</f>
        <v>505</v>
      </c>
      <c r="V65" s="142" t="str">
        <f>IF(AND('A-10'!R210="-",'A-5'!V17="-",'A-5'!V65="-"),"-",SUM('A-10'!R210,'A-5'!V17,'A-5'!V65))</f>
        <v>-</v>
      </c>
      <c r="W65" s="142" t="str">
        <f>IF(AND('A-5'!W17="-",'A-5'!W65="-"),"-",SUM('A-5'!W17,'A-5'!W65))</f>
        <v>-</v>
      </c>
      <c r="X65" s="142">
        <f t="shared" si="1"/>
        <v>46219</v>
      </c>
    </row>
    <row r="66" spans="1:24" ht="11.25" customHeight="1">
      <c r="A66" s="99">
        <v>1989</v>
      </c>
      <c r="B66" s="142" t="s">
        <v>23</v>
      </c>
      <c r="C66" s="142" t="str">
        <f>IF(AND('A-10'!B211="-",'A-5'!C18="-",'A-5'!C66="-"),"-",SUM('A-10'!B211,'A-5'!C18,'A-5'!C66))</f>
        <v>-</v>
      </c>
      <c r="D66" s="142" t="str">
        <f>IF(AND('A-10'!C211="-",'A-5'!D18="-",'A-5'!D66="-"),"-",SUM('A-10'!C211,'A-5'!D18,'A-5'!D66))</f>
        <v>-</v>
      </c>
      <c r="E66" s="142">
        <f>IF(AND('A-10'!D211="-",'A-5'!E18="-",'A-5'!E66="-"),"-",SUM('A-10'!D211,'A-5'!E18,'A-5'!E66))</f>
        <v>2459</v>
      </c>
      <c r="F66" s="142">
        <f>IF(AND('A-10'!E211="-",'A-5'!F18="-",'A-5'!F66="-"),"-",SUM('A-10'!E211,'A-5'!F18,'A-5'!F66))</f>
        <v>14727</v>
      </c>
      <c r="G66" s="142">
        <f>IF(AND('A-10'!F211="-",'A-5'!G18="-",'A-5'!G66="-"),"-",SUM('A-10'!F211,'A-5'!G18,'A-5'!G66))</f>
        <v>39566</v>
      </c>
      <c r="H66" s="142">
        <f>IF(AND('A-10'!G211="-",'A-5'!H18="-",'A-5'!H66="-"),"-",SUM('A-10'!G211,'A-5'!H18,'A-5'!H66))</f>
        <v>13187</v>
      </c>
      <c r="I66" s="142">
        <f>IF(AND('A-10'!H211="-",'A-5'!I18="-",'A-5'!I66="-"),"-",SUM('A-10'!H211,'A-5'!I18,'A-5'!I66))</f>
        <v>1256</v>
      </c>
      <c r="J66" s="142" t="str">
        <f>IF(AND('A-10'!I211="-",'A-5'!J18="-",'A-5'!J66="-"),"-",SUM('A-10'!I211,'A-5'!J18,'A-5'!J66))</f>
        <v>-</v>
      </c>
      <c r="K66" s="142" t="str">
        <f>IF(AND('A-10'!J211="-",'A-5'!K18="-",'A-5'!K66="-"),"-",SUM('A-10'!J211,'A-5'!K18,'A-5'!K66))</f>
        <v>-</v>
      </c>
      <c r="L66" s="142">
        <f t="shared" si="0"/>
        <v>71195</v>
      </c>
      <c r="N66" s="142" t="str">
        <f>IF(OR(ISNUMBER('A-5'!N18),ISNUMBER('A-5'!N66)),SUM('A-5'!N18,'A-5'!N66),IF(OR('A-5'!N18="--",'A-5'!N66="--"),"--","-"))</f>
        <v>-</v>
      </c>
      <c r="O66" s="142" t="str">
        <f>IF(OR(ISNUMBER('A-5'!O18),ISNUMBER('A-5'!O66)),SUM('A-5'!O18,'A-5'!O66),IF(OR('A-5'!O18="--",'A-5'!O66="--"),"--","-"))</f>
        <v>-</v>
      </c>
      <c r="P66" s="142" t="str">
        <f>IF(OR(ISNUMBER('A-5'!P18),ISNUMBER('A-5'!P66)),SUM('A-5'!P18,'A-5'!P66),IF(OR('A-5'!P18="--",'A-5'!P66="--"),"--","-"))</f>
        <v>-</v>
      </c>
      <c r="Q66" s="142">
        <f>IF(AND('A-10'!M211="-",'A-5'!Q18="-",'A-5'!Q66="-"),"-",SUM('A-10'!M211,'A-5'!Q18,'A-5'!Q66))</f>
        <v>1782</v>
      </c>
      <c r="R66" s="142">
        <f>IF(AND('A-10'!N211="-",'A-5'!R18="-",'A-5'!R66="-"),"-",SUM('A-10'!N211,'A-5'!R18,'A-5'!R66))</f>
        <v>16619</v>
      </c>
      <c r="S66" s="142">
        <f>IF(AND('A-10'!O211="-",'A-5'!S18="-",'A-5'!S66="-"),"-",SUM('A-10'!O211,'A-5'!S18,'A-5'!S66))</f>
        <v>45337</v>
      </c>
      <c r="T66" s="142">
        <f>IF(AND('A-10'!P211="-",'A-5'!T18="-",'A-5'!T66="-"),"-",SUM('A-10'!P211,'A-5'!T18,'A-5'!T66))</f>
        <v>13233</v>
      </c>
      <c r="U66" s="142">
        <f>IF(AND('A-10'!Q211="-",'A-5'!U18="-",'A-5'!U66="-"),"-",SUM('A-10'!Q211,'A-5'!U18,'A-5'!U66))</f>
        <v>934</v>
      </c>
      <c r="V66" s="142" t="str">
        <f>IF(AND('A-10'!R211="-",'A-5'!V18="-",'A-5'!V66="-"),"-",SUM('A-10'!R211,'A-5'!V18,'A-5'!V66))</f>
        <v>-</v>
      </c>
      <c r="W66" s="142" t="str">
        <f>IF(AND('A-5'!W18="-",'A-5'!W66="-"),"-",SUM('A-5'!W18,'A-5'!W66))</f>
        <v>-</v>
      </c>
      <c r="X66" s="142">
        <f t="shared" si="1"/>
        <v>77905</v>
      </c>
    </row>
    <row r="67" spans="1:24" ht="11.25" customHeight="1">
      <c r="A67" s="99">
        <v>1990</v>
      </c>
      <c r="B67" s="142" t="s">
        <v>23</v>
      </c>
      <c r="C67" s="142" t="str">
        <f>IF(AND('A-10'!B212="-",'A-5'!C19="-",'A-5'!C67="-"),"-",SUM('A-10'!B212,'A-5'!C19,'A-5'!C67))</f>
        <v>-</v>
      </c>
      <c r="D67" s="142" t="str">
        <f>IF(AND('A-10'!C212="-",'A-5'!D19="-",'A-5'!D67="-"),"-",SUM('A-10'!C212,'A-5'!D19,'A-5'!D67))</f>
        <v>-</v>
      </c>
      <c r="E67" s="142">
        <f>IF(AND('A-10'!D212="-",'A-5'!E19="-",'A-5'!E67="-"),"-",SUM('A-10'!D212,'A-5'!E19,'A-5'!E67))</f>
        <v>1440</v>
      </c>
      <c r="F67" s="142">
        <f>IF(AND('A-10'!E212="-",'A-5'!F19="-",'A-5'!F67="-"),"-",SUM('A-10'!E212,'A-5'!F19,'A-5'!F67))</f>
        <v>16213</v>
      </c>
      <c r="G67" s="142">
        <f>IF(AND('A-10'!F212="-",'A-5'!G19="-",'A-5'!G67="-"),"-",SUM('A-10'!F212,'A-5'!G19,'A-5'!G67))</f>
        <v>17111</v>
      </c>
      <c r="H67" s="142">
        <f>IF(AND('A-10'!G212="-",'A-5'!H19="-",'A-5'!H67="-"),"-",SUM('A-10'!G212,'A-5'!H19,'A-5'!H67))</f>
        <v>1695</v>
      </c>
      <c r="I67" s="142">
        <f>IF(AND('A-10'!H212="-",'A-5'!I19="-",'A-5'!I67="-"),"-",SUM('A-10'!H212,'A-5'!I19,'A-5'!I67))</f>
        <v>100</v>
      </c>
      <c r="J67" s="142">
        <f>IF(AND('A-10'!I212="-",'A-5'!J19="-",'A-5'!J67="-"),"-",SUM('A-10'!I212,'A-5'!J19,'A-5'!J67))</f>
        <v>0</v>
      </c>
      <c r="K67" s="142" t="str">
        <f>IF(AND('A-10'!J212="-",'A-5'!K19="-",'A-5'!K67="-"),"-",SUM('A-10'!J212,'A-5'!K19,'A-5'!K67))</f>
        <v>-</v>
      </c>
      <c r="L67" s="142">
        <f t="shared" si="0"/>
        <v>36559</v>
      </c>
      <c r="N67" s="142" t="str">
        <f>IF(OR(ISNUMBER('A-5'!N19),ISNUMBER('A-5'!N67)),SUM('A-5'!N19,'A-5'!N67),IF(OR('A-5'!N19="--",'A-5'!N67="--"),"--","-"))</f>
        <v>-</v>
      </c>
      <c r="O67" s="142" t="str">
        <f>IF(OR(ISNUMBER('A-5'!O19),ISNUMBER('A-5'!O67)),SUM('A-5'!O19,'A-5'!O67),IF(OR('A-5'!O19="--",'A-5'!O67="--"),"--","-"))</f>
        <v>-</v>
      </c>
      <c r="P67" s="142" t="str">
        <f>IF(OR(ISNUMBER('A-5'!P19),ISNUMBER('A-5'!P67)),SUM('A-5'!P19,'A-5'!P67),IF(OR('A-5'!P19="--",'A-5'!P67="--"),"--","-"))</f>
        <v>-</v>
      </c>
      <c r="Q67" s="142">
        <f>IF(AND('A-10'!M212="-",'A-5'!Q19="-",'A-5'!Q67="-"),"-",SUM('A-10'!M212,'A-5'!Q19,'A-5'!Q67))</f>
        <v>964</v>
      </c>
      <c r="R67" s="142">
        <f>IF(AND('A-10'!N212="-",'A-5'!R19="-",'A-5'!R67="-"),"-",SUM('A-10'!N212,'A-5'!R19,'A-5'!R67))</f>
        <v>27913</v>
      </c>
      <c r="S67" s="142">
        <f>IF(AND('A-10'!O212="-",'A-5'!S19="-",'A-5'!S67="-"),"-",SUM('A-10'!O212,'A-5'!S19,'A-5'!S67))</f>
        <v>22166</v>
      </c>
      <c r="T67" s="142">
        <f>IF(AND('A-10'!P212="-",'A-5'!T19="-",'A-5'!T67="-"),"-",SUM('A-10'!P212,'A-5'!T19,'A-5'!T67))</f>
        <v>4009</v>
      </c>
      <c r="U67" s="142">
        <f>IF(AND('A-10'!Q212="-",'A-5'!U19="-",'A-5'!U67="-"),"-",SUM('A-10'!Q212,'A-5'!U19,'A-5'!U67))</f>
        <v>290</v>
      </c>
      <c r="V67" s="142">
        <f>IF(AND('A-10'!R212="-",'A-5'!V19="-",'A-5'!V67="-"),"-",SUM('A-10'!R212,'A-5'!V19,'A-5'!V67))</f>
        <v>0</v>
      </c>
      <c r="W67" s="142" t="str">
        <f>IF(AND('A-5'!W19="-",'A-5'!W67="-"),"-",SUM('A-5'!W19,'A-5'!W67))</f>
        <v>-</v>
      </c>
      <c r="X67" s="142">
        <f t="shared" si="1"/>
        <v>55342</v>
      </c>
    </row>
    <row r="68" spans="1:24" ht="11.25" customHeight="1">
      <c r="A68" s="99">
        <v>1991</v>
      </c>
      <c r="B68" s="142" t="s">
        <v>23</v>
      </c>
      <c r="C68" s="142" t="str">
        <f>IF(AND('A-10'!B213="-",'A-5'!C20="-",'A-5'!C68="-"),"-",SUM('A-10'!B213,'A-5'!C20,'A-5'!C68))</f>
        <v>-</v>
      </c>
      <c r="D68" s="142" t="str">
        <f>IF(AND('A-10'!C213="-",'A-5'!D20="-",'A-5'!D68="-"),"-",SUM('A-10'!C213,'A-5'!D20,'A-5'!D68))</f>
        <v>-</v>
      </c>
      <c r="E68" s="142">
        <f>IF(AND('A-10'!D213="-",'A-5'!E20="-",'A-5'!E68="-"),"-",SUM('A-10'!D213,'A-5'!E20,'A-5'!E68))</f>
        <v>112</v>
      </c>
      <c r="F68" s="142">
        <f>IF(AND('A-10'!E213="-",'A-5'!F20="-",'A-5'!F68="-"),"-",SUM('A-10'!E213,'A-5'!F20,'A-5'!F68))</f>
        <v>11783</v>
      </c>
      <c r="G68" s="142">
        <f>IF(AND('A-10'!F213="-",'A-5'!G20="-",'A-5'!G68="-"),"-",SUM('A-10'!F213,'A-5'!G20,'A-5'!G68))</f>
        <v>7052</v>
      </c>
      <c r="H68" s="142">
        <f>IF(AND('A-10'!G213="-",'A-5'!H20="-",'A-5'!H68="-"),"-",SUM('A-10'!G213,'A-5'!H20,'A-5'!H68))</f>
        <v>112</v>
      </c>
      <c r="I68" s="142">
        <f>IF(AND('A-10'!H213="-",'A-5'!I20="-",'A-5'!I68="-"),"-",SUM('A-10'!H213,'A-5'!I20,'A-5'!I68))</f>
        <v>626</v>
      </c>
      <c r="J68" s="142">
        <f>IF(AND('A-10'!I213="-",'A-5'!J20="-",'A-5'!J68="-"),"-",SUM('A-10'!I213,'A-5'!J20,'A-5'!J68))</f>
        <v>1</v>
      </c>
      <c r="K68" s="142" t="str">
        <f>IF(AND('A-10'!J213="-",'A-5'!K20="-",'A-5'!K68="-"),"-",SUM('A-10'!J213,'A-5'!K20,'A-5'!K68))</f>
        <v>-</v>
      </c>
      <c r="L68" s="142">
        <f t="shared" si="0"/>
        <v>19686</v>
      </c>
      <c r="N68" s="142" t="str">
        <f>IF(OR(ISNUMBER('A-5'!N20),ISNUMBER('A-5'!N68)),SUM('A-5'!N20,'A-5'!N68),IF(OR('A-5'!N20="--",'A-5'!N68="--"),"--","-"))</f>
        <v>-</v>
      </c>
      <c r="O68" s="142" t="str">
        <f>IF(OR(ISNUMBER('A-5'!O20),ISNUMBER('A-5'!O68)),SUM('A-5'!O20,'A-5'!O68),IF(OR('A-5'!O20="--",'A-5'!O68="--"),"--","-"))</f>
        <v>-</v>
      </c>
      <c r="P68" s="142" t="str">
        <f>IF(OR(ISNUMBER('A-5'!P20),ISNUMBER('A-5'!P68)),SUM('A-5'!P20,'A-5'!P68),IF(OR('A-5'!P20="--",'A-5'!P68="--"),"--","-"))</f>
        <v>-</v>
      </c>
      <c r="Q68" s="142">
        <f>IF(AND('A-10'!M213="-",'A-5'!Q20="-",'A-5'!Q68="-"),"-",SUM('A-10'!M213,'A-5'!Q20,'A-5'!Q68))</f>
        <v>62</v>
      </c>
      <c r="R68" s="142">
        <f>IF(AND('A-10'!N213="-",'A-5'!R20="-",'A-5'!R68="-"),"-",SUM('A-10'!N213,'A-5'!R20,'A-5'!R68))</f>
        <v>31596</v>
      </c>
      <c r="S68" s="142">
        <f>IF(AND('A-10'!O213="-",'A-5'!S20="-",'A-5'!S68="-"),"-",SUM('A-10'!O213,'A-5'!S20,'A-5'!S68))</f>
        <v>28480</v>
      </c>
      <c r="T68" s="142">
        <f>IF(AND('A-10'!P213="-",'A-5'!T20="-",'A-5'!T68="-"),"-",SUM('A-10'!P213,'A-5'!T20,'A-5'!T68))</f>
        <v>807</v>
      </c>
      <c r="U68" s="142">
        <f>IF(AND('A-10'!Q213="-",'A-5'!U20="-",'A-5'!U68="-"),"-",SUM('A-10'!Q213,'A-5'!U20,'A-5'!U68))</f>
        <v>1368</v>
      </c>
      <c r="V68" s="142">
        <f>IF(AND('A-10'!R213="-",'A-5'!V20="-",'A-5'!V68="-"),"-",SUM('A-10'!R213,'A-5'!V20,'A-5'!V68))</f>
        <v>2</v>
      </c>
      <c r="W68" s="142" t="str">
        <f>IF(AND('A-5'!W20="-",'A-5'!W68="-"),"-",SUM('A-5'!W20,'A-5'!W68))</f>
        <v>-</v>
      </c>
      <c r="X68" s="142">
        <f t="shared" si="1"/>
        <v>62315</v>
      </c>
    </row>
    <row r="69" spans="1:24" ht="11.25" customHeight="1">
      <c r="A69" s="99">
        <v>1992</v>
      </c>
      <c r="B69" s="142" t="s">
        <v>23</v>
      </c>
      <c r="C69" s="142" t="str">
        <f>IF(AND('A-10'!B214="-",'A-5'!C21="-",'A-5'!C69="-"),"-",SUM('A-10'!B214,'A-5'!C21,'A-5'!C69))</f>
        <v>-</v>
      </c>
      <c r="D69" s="142" t="str">
        <f>IF(AND('A-10'!C214="-",'A-5'!D21="-",'A-5'!D69="-"),"-",SUM('A-10'!C214,'A-5'!D21,'A-5'!D69))</f>
        <v>-</v>
      </c>
      <c r="E69" s="142" t="str">
        <f>IF(AND('A-10'!D214="-",'A-5'!E21="-",'A-5'!E69="-"),"-",SUM('A-10'!D214,'A-5'!E21,'A-5'!E69))</f>
        <v>-</v>
      </c>
      <c r="F69" s="142" t="str">
        <f>IF(AND('A-10'!E214="-",'A-5'!F21="-",'A-5'!F69="-"),"-",SUM('A-10'!E214,'A-5'!F21,'A-5'!F69))</f>
        <v>-</v>
      </c>
      <c r="G69" s="142">
        <f>IF(AND('A-10'!F214="-",'A-5'!G21="-",'A-5'!G69="-"),"-",SUM('A-10'!F214,'A-5'!G21,'A-5'!G69))</f>
        <v>3757</v>
      </c>
      <c r="H69" s="142" t="str">
        <f>IF(AND('A-10'!G214="-",'A-5'!H21="-",'A-5'!H69="-"),"-",SUM('A-10'!G214,'A-5'!H21,'A-5'!H69))</f>
        <v>-</v>
      </c>
      <c r="I69" s="142">
        <f>IF(AND('A-10'!H214="-",'A-5'!I21="-",'A-5'!I69="-"),"-",SUM('A-10'!H214,'A-5'!I21,'A-5'!I69))</f>
        <v>796</v>
      </c>
      <c r="J69" s="142">
        <f>IF(AND('A-10'!I214="-",'A-5'!J21="-",'A-5'!J69="-"),"-",SUM('A-10'!I214,'A-5'!J21,'A-5'!J69))</f>
        <v>704</v>
      </c>
      <c r="K69" s="142" t="str">
        <f>IF(AND('A-10'!J214="-",'A-5'!K21="-",'A-5'!K69="-"),"-",SUM('A-10'!J214,'A-5'!K21,'A-5'!K69))</f>
        <v>-</v>
      </c>
      <c r="L69" s="142">
        <f t="shared" si="0"/>
        <v>5257</v>
      </c>
      <c r="N69" s="142" t="str">
        <f>IF(OR(ISNUMBER('A-5'!N21),ISNUMBER('A-5'!N69)),SUM('A-5'!N21,'A-5'!N69),IF(OR('A-5'!N21="--",'A-5'!N69="--"),"--","-"))</f>
        <v>-</v>
      </c>
      <c r="O69" s="142" t="str">
        <f>IF(OR(ISNUMBER('A-5'!O21),ISNUMBER('A-5'!O69)),SUM('A-5'!O21,'A-5'!O69),IF(OR('A-5'!O21="--",'A-5'!O69="--"),"--","-"))</f>
        <v>-</v>
      </c>
      <c r="P69" s="142" t="str">
        <f>IF(OR(ISNUMBER('A-5'!P21),ISNUMBER('A-5'!P69)),SUM('A-5'!P21,'A-5'!P69),IF(OR('A-5'!P21="--",'A-5'!P69="--"),"--","-"))</f>
        <v>-</v>
      </c>
      <c r="Q69" s="142" t="str">
        <f>IF(AND('A-10'!M214="-",'A-5'!Q21="-",'A-5'!Q69="-"),"-",SUM('A-10'!M214,'A-5'!Q21,'A-5'!Q69))</f>
        <v>-</v>
      </c>
      <c r="R69" s="142" t="str">
        <f>IF(AND('A-10'!N214="-",'A-5'!R21="-",'A-5'!R69="-"),"-",SUM('A-10'!N214,'A-5'!R21,'A-5'!R69))</f>
        <v>-</v>
      </c>
      <c r="S69" s="142">
        <f>IF(AND('A-10'!O214="-",'A-5'!S21="-",'A-5'!S69="-"),"-",SUM('A-10'!O214,'A-5'!S21,'A-5'!S69))</f>
        <v>8224</v>
      </c>
      <c r="T69" s="142" t="str">
        <f>IF(AND('A-10'!P214="-",'A-5'!T21="-",'A-5'!T69="-"),"-",SUM('A-10'!P214,'A-5'!T21,'A-5'!T69))</f>
        <v>-</v>
      </c>
      <c r="U69" s="142">
        <f>IF(AND('A-10'!Q214="-",'A-5'!U21="-",'A-5'!U69="-"),"-",SUM('A-10'!Q214,'A-5'!U21,'A-5'!U69))</f>
        <v>1501</v>
      </c>
      <c r="V69" s="142">
        <f>IF(AND('A-10'!R214="-",'A-5'!V21="-",'A-5'!V69="-"),"-",SUM('A-10'!R214,'A-5'!V21,'A-5'!V69))</f>
        <v>2</v>
      </c>
      <c r="W69" s="142" t="str">
        <f>IF(AND('A-5'!W21="-",'A-5'!W69="-"),"-",SUM('A-5'!W21,'A-5'!W69))</f>
        <v>-</v>
      </c>
      <c r="X69" s="142">
        <f t="shared" si="1"/>
        <v>9727</v>
      </c>
    </row>
    <row r="70" spans="1:24" ht="11.25" customHeight="1">
      <c r="A70" s="99">
        <v>1993</v>
      </c>
      <c r="B70" s="142" t="s">
        <v>23</v>
      </c>
      <c r="C70" s="142" t="str">
        <f>IF(AND('A-10'!B215="-",'A-5'!C22="-",'A-5'!C70="-"),"-",SUM('A-10'!B215,'A-5'!C22,'A-5'!C70))</f>
        <v>-</v>
      </c>
      <c r="D70" s="142" t="str">
        <f>IF(AND('A-10'!C215="-",'A-5'!D22="-",'A-5'!D70="-"),"-",SUM('A-10'!C215,'A-5'!D22,'A-5'!D70))</f>
        <v>-</v>
      </c>
      <c r="E70" s="142">
        <f>IF(AND('A-10'!D215="-",'A-5'!E22="-",'A-5'!E70="-"),"-",SUM('A-10'!D215,'A-5'!E22,'A-5'!E70))</f>
        <v>1507</v>
      </c>
      <c r="F70" s="142">
        <f>IF(AND('A-10'!E215="-",'A-5'!F22="-",'A-5'!F70="-"),"-",SUM('A-10'!E215,'A-5'!F22,'A-5'!F70))</f>
        <v>492</v>
      </c>
      <c r="G70" s="142">
        <f>IF(AND('A-10'!F215="-",'A-5'!G22="-",'A-5'!G70="-"),"-",SUM('A-10'!F215,'A-5'!G22,'A-5'!G70))</f>
        <v>2632</v>
      </c>
      <c r="H70" s="142">
        <f>IF(AND('A-10'!G215="-",'A-5'!H22="-",'A-5'!H70="-"),"-",SUM('A-10'!G215,'A-5'!H22,'A-5'!H70))</f>
        <v>2924</v>
      </c>
      <c r="I70" s="142">
        <f>IF(AND('A-10'!H215="-",'A-5'!I22="-",'A-5'!I70="-"),"-",SUM('A-10'!H215,'A-5'!I22,'A-5'!I70))</f>
        <v>1098</v>
      </c>
      <c r="J70" s="142" t="str">
        <f>IF(AND('A-10'!I215="-",'A-5'!J22="-",'A-5'!J70="-"),"-",SUM('A-10'!I215,'A-5'!J22,'A-5'!J70))</f>
        <v>-</v>
      </c>
      <c r="K70" s="142" t="str">
        <f>IF(AND('A-10'!J215="-",'A-5'!K22="-",'A-5'!K70="-"),"-",SUM('A-10'!J215,'A-5'!K22,'A-5'!K70))</f>
        <v>-</v>
      </c>
      <c r="L70" s="142">
        <f t="shared" si="0"/>
        <v>8653</v>
      </c>
      <c r="N70" s="142" t="str">
        <f>IF(OR(ISNUMBER('A-5'!N22),ISNUMBER('A-5'!N70)),SUM('A-5'!N22,'A-5'!N70),IF(OR('A-5'!N22="--",'A-5'!N70="--"),"--","-"))</f>
        <v>-</v>
      </c>
      <c r="O70" s="142" t="str">
        <f>IF(OR(ISNUMBER('A-5'!O22),ISNUMBER('A-5'!O70)),SUM('A-5'!O22,'A-5'!O70),IF(OR('A-5'!O22="--",'A-5'!O70="--"),"--","-"))</f>
        <v>-</v>
      </c>
      <c r="P70" s="142" t="str">
        <f>IF(OR(ISNUMBER('A-5'!P22),ISNUMBER('A-5'!P70)),SUM('A-5'!P22,'A-5'!P70),IF(OR('A-5'!P22="--",'A-5'!P70="--"),"--","-"))</f>
        <v>-</v>
      </c>
      <c r="Q70" s="142">
        <f>IF(AND('A-10'!M215="-",'A-5'!Q22="-",'A-5'!Q70="-"),"-",SUM('A-10'!M215,'A-5'!Q22,'A-5'!Q70))</f>
        <v>669</v>
      </c>
      <c r="R70" s="142">
        <f>IF(AND('A-10'!N215="-",'A-5'!R22="-",'A-5'!R70="-"),"-",SUM('A-10'!N215,'A-5'!R22,'A-5'!R70))</f>
        <v>929</v>
      </c>
      <c r="S70" s="142">
        <f>IF(AND('A-10'!O215="-",'A-5'!S22="-",'A-5'!S70="-"),"-",SUM('A-10'!O215,'A-5'!S22,'A-5'!S70))</f>
        <v>9364</v>
      </c>
      <c r="T70" s="142">
        <f>IF(AND('A-10'!P215="-",'A-5'!T22="-",'A-5'!T70="-"),"-",SUM('A-10'!P215,'A-5'!T22,'A-5'!T70))</f>
        <v>7974</v>
      </c>
      <c r="U70" s="142">
        <f>IF(AND('A-10'!Q215="-",'A-5'!U22="-",'A-5'!U70="-"),"-",SUM('A-10'!Q215,'A-5'!U22,'A-5'!U70))</f>
        <v>1416</v>
      </c>
      <c r="V70" s="142" t="str">
        <f>IF(AND('A-10'!R215="-",'A-5'!V22="-",'A-5'!V70="-"),"-",SUM('A-10'!R215,'A-5'!V22,'A-5'!V70))</f>
        <v>-</v>
      </c>
      <c r="W70" s="142" t="str">
        <f>IF(AND('A-5'!W22="-",'A-5'!W70="-"),"-",SUM('A-5'!W22,'A-5'!W70))</f>
        <v>-</v>
      </c>
      <c r="X70" s="142">
        <f t="shared" si="1"/>
        <v>20352</v>
      </c>
    </row>
    <row r="71" spans="1:24" ht="11.25" customHeight="1">
      <c r="A71" s="99">
        <v>1994</v>
      </c>
      <c r="B71" s="142" t="s">
        <v>23</v>
      </c>
      <c r="C71" s="142" t="str">
        <f>IF(AND('A-10'!B216="-",'A-5'!C23="-",'A-5'!C71="-"),"-",SUM('A-10'!B216,'A-5'!C23,'A-5'!C71))</f>
        <v>-</v>
      </c>
      <c r="D71" s="142" t="str">
        <f>IF(AND('A-10'!C216="-",'A-5'!D23="-",'A-5'!D71="-"),"-",SUM('A-10'!C216,'A-5'!D23,'A-5'!D71))</f>
        <v>-</v>
      </c>
      <c r="E71" s="142">
        <f>IF(AND('A-10'!D216="-",'A-5'!E23="-",'A-5'!E71="-"),"-",SUM('A-10'!D216,'A-5'!E23,'A-5'!E71))</f>
        <v>7790</v>
      </c>
      <c r="F71" s="142">
        <f>IF(AND('A-10'!E216="-",'A-5'!F23="-",'A-5'!F71="-"),"-",SUM('A-10'!E216,'A-5'!F23,'A-5'!F71))</f>
        <v>3156</v>
      </c>
      <c r="G71" s="142" t="str">
        <f>IF(AND('A-10'!F216="-",'A-5'!G23="-",'A-5'!G71="-"),"-",SUM('A-10'!F216,'A-5'!G23,'A-5'!G71))</f>
        <v>-</v>
      </c>
      <c r="H71" s="142">
        <f>IF(AND('A-10'!G216="-",'A-5'!H23="-",'A-5'!H71="-"),"-",SUM('A-10'!G216,'A-5'!H23,'A-5'!H71))</f>
        <v>1072</v>
      </c>
      <c r="I71" s="142">
        <f>IF(AND('A-10'!H216="-",'A-5'!I23="-",'A-5'!I71="-"),"-",SUM('A-10'!H216,'A-5'!I23,'A-5'!I71))</f>
        <v>505</v>
      </c>
      <c r="J71" s="142">
        <f>IF(AND('A-10'!I216="-",'A-5'!J23="-",'A-5'!J71="-"),"-",SUM('A-10'!I216,'A-5'!J23,'A-5'!J71))</f>
        <v>1078</v>
      </c>
      <c r="K71" s="142" t="str">
        <f>IF(AND('A-10'!J216="-",'A-5'!K23="-",'A-5'!K71="-"),"-",SUM('A-10'!J216,'A-5'!K23,'A-5'!K71))</f>
        <v>-</v>
      </c>
      <c r="L71" s="142">
        <f t="shared" si="0"/>
        <v>13601</v>
      </c>
      <c r="N71" s="142" t="str">
        <f>IF(OR(ISNUMBER('A-5'!N23),ISNUMBER('A-5'!N71)),SUM('A-5'!N23,'A-5'!N71),IF(OR('A-5'!N23="--",'A-5'!N71="--"),"--","-"))</f>
        <v>-</v>
      </c>
      <c r="O71" s="142" t="str">
        <f>IF(OR(ISNUMBER('A-5'!O23),ISNUMBER('A-5'!O71)),SUM('A-5'!O23,'A-5'!O71),IF(OR('A-5'!O23="--",'A-5'!O71="--"),"--","-"))</f>
        <v>-</v>
      </c>
      <c r="P71" s="142" t="str">
        <f>IF(OR(ISNUMBER('A-5'!P23),ISNUMBER('A-5'!P71)),SUM('A-5'!P23,'A-5'!P71),IF(OR('A-5'!P23="--",'A-5'!P71="--"),"--","-"))</f>
        <v>-</v>
      </c>
      <c r="Q71" s="142">
        <f>IF(AND('A-10'!M216="-",'A-5'!Q23="-",'A-5'!Q71="-"),"-",SUM('A-10'!M216,'A-5'!Q23,'A-5'!Q71))</f>
        <v>3</v>
      </c>
      <c r="R71" s="142">
        <f>IF(AND('A-10'!N216="-",'A-5'!R23="-",'A-5'!R71="-"),"-",SUM('A-10'!N216,'A-5'!R23,'A-5'!R71))</f>
        <v>3</v>
      </c>
      <c r="S71" s="142" t="str">
        <f>IF(AND('A-10'!O216="-",'A-5'!S23="-",'A-5'!S71="-"),"-",SUM('A-10'!O216,'A-5'!S23,'A-5'!S71))</f>
        <v>-</v>
      </c>
      <c r="T71" s="142">
        <f>IF(AND('A-10'!P216="-",'A-5'!T23="-",'A-5'!T71="-"),"-",SUM('A-10'!P216,'A-5'!T23,'A-5'!T71))</f>
        <v>93</v>
      </c>
      <c r="U71" s="142">
        <f>IF(AND('A-10'!Q216="-",'A-5'!U23="-",'A-5'!U71="-"),"-",SUM('A-10'!Q216,'A-5'!U23,'A-5'!U71))</f>
        <v>7</v>
      </c>
      <c r="V71" s="142" t="str">
        <f>IF(AND('A-10'!R216="-",'A-5'!V23="-",'A-5'!V71="-"),"-",SUM('A-10'!R216,'A-5'!V23,'A-5'!V71))</f>
        <v>-</v>
      </c>
      <c r="W71" s="142" t="str">
        <f>IF(AND('A-5'!W23="-",'A-5'!W71="-"),"-",SUM('A-5'!W23,'A-5'!W71))</f>
        <v>-</v>
      </c>
      <c r="X71" s="142">
        <f t="shared" si="1"/>
        <v>106</v>
      </c>
    </row>
    <row r="72" spans="1:24" ht="11.25" customHeight="1">
      <c r="A72" s="99">
        <v>1995</v>
      </c>
      <c r="B72" s="142" t="s">
        <v>23</v>
      </c>
      <c r="C72" s="142" t="str">
        <f>IF(AND('A-10'!B217="-",'A-5'!C24="-",'A-5'!C72="-"),"-",SUM('A-10'!B217,'A-5'!C24,'A-5'!C72))</f>
        <v>-</v>
      </c>
      <c r="D72" s="142" t="str">
        <f>IF(AND('A-10'!C217="-",'A-5'!D24="-",'A-5'!D72="-"),"-",SUM('A-10'!C217,'A-5'!D24,'A-5'!D72))</f>
        <v>-</v>
      </c>
      <c r="E72" s="142">
        <f>IF(AND('A-10'!D217="-",'A-5'!E24="-",'A-5'!E72="-"),"-",SUM('A-10'!D217,'A-5'!E24,'A-5'!E72))</f>
        <v>1597</v>
      </c>
      <c r="F72" s="142">
        <f>IF(AND('A-10'!E217="-",'A-5'!F24="-",'A-5'!F72="-"),"-",SUM('A-10'!E217,'A-5'!F24,'A-5'!F72))</f>
        <v>8587</v>
      </c>
      <c r="G72" s="142" t="str">
        <f>IF(AND('A-10'!F217="-",'A-5'!G24="-",'A-5'!G72="-"),"-",SUM('A-10'!F217,'A-5'!G24,'A-5'!G72))</f>
        <v>-</v>
      </c>
      <c r="H72" s="142">
        <f>IF(AND('A-10'!G217="-",'A-5'!H24="-",'A-5'!H72="-"),"-",SUM('A-10'!G217,'A-5'!H24,'A-5'!H72))</f>
        <v>2128</v>
      </c>
      <c r="I72" s="142">
        <f>IF(AND('A-10'!H217="-",'A-5'!I24="-",'A-5'!I72="-"),"-",SUM('A-10'!H217,'A-5'!I24,'A-5'!I72))</f>
        <v>6221</v>
      </c>
      <c r="J72" s="142">
        <f>IF(AND('A-10'!I217="-",'A-5'!J24="-",'A-5'!J72="-"),"-",SUM('A-10'!I217,'A-5'!J24,'A-5'!J72))</f>
        <v>829</v>
      </c>
      <c r="K72" s="142" t="str">
        <f>IF(AND('A-10'!J217="-",'A-5'!K24="-",'A-5'!K72="-"),"-",SUM('A-10'!J217,'A-5'!K24,'A-5'!K72))</f>
        <v>-</v>
      </c>
      <c r="L72" s="142">
        <f t="shared" si="0"/>
        <v>19362</v>
      </c>
      <c r="N72" s="142" t="str">
        <f>IF(OR(ISNUMBER('A-5'!N24),ISNUMBER('A-5'!N72)),SUM('A-5'!N24,'A-5'!N72),IF(OR('A-5'!N24="--",'A-5'!N72="--"),"--","-"))</f>
        <v>-</v>
      </c>
      <c r="O72" s="142" t="str">
        <f>IF(OR(ISNUMBER('A-5'!O24),ISNUMBER('A-5'!O72)),SUM('A-5'!O24,'A-5'!O72),IF(OR('A-5'!O24="--",'A-5'!O72="--"),"--","-"))</f>
        <v>-</v>
      </c>
      <c r="P72" s="142" t="str">
        <f>IF(OR(ISNUMBER('A-5'!P24),ISNUMBER('A-5'!P72)),SUM('A-5'!P24,'A-5'!P72),IF(OR('A-5'!P24="--",'A-5'!P72="--"),"--","-"))</f>
        <v>-</v>
      </c>
      <c r="Q72" s="142">
        <f>IF(AND('A-10'!M217="-",'A-5'!Q24="-",'A-5'!Q72="-"),"-",SUM('A-10'!M217,'A-5'!Q24,'A-5'!Q72))</f>
        <v>9</v>
      </c>
      <c r="R72" s="142">
        <f>IF(AND('A-10'!N217="-",'A-5'!R24="-",'A-5'!R72="-"),"-",SUM('A-10'!N217,'A-5'!R24,'A-5'!R72))</f>
        <v>162</v>
      </c>
      <c r="S72" s="142" t="str">
        <f>IF(AND('A-10'!O217="-",'A-5'!S24="-",'A-5'!S72="-"),"-",SUM('A-10'!O217,'A-5'!S24,'A-5'!S72))</f>
        <v>-</v>
      </c>
      <c r="T72" s="142">
        <f>IF(AND('A-10'!P217="-",'A-5'!T24="-",'A-5'!T72="-"),"-",SUM('A-10'!P217,'A-5'!T24,'A-5'!T72))</f>
        <v>20</v>
      </c>
      <c r="U72" s="142">
        <f>IF(AND('A-10'!Q217="-",'A-5'!U24="-",'A-5'!U72="-"),"-",SUM('A-10'!Q217,'A-5'!U24,'A-5'!U72))</f>
        <v>206</v>
      </c>
      <c r="V72" s="142">
        <f>IF(AND('A-10'!R217="-",'A-5'!V24="-",'A-5'!V72="-"),"-",SUM('A-10'!R217,'A-5'!V24,'A-5'!V72))</f>
        <v>3</v>
      </c>
      <c r="W72" s="142" t="str">
        <f>IF(AND('A-5'!W24="-",'A-5'!W72="-"),"-",SUM('A-5'!W24,'A-5'!W72))</f>
        <v>-</v>
      </c>
      <c r="X72" s="142">
        <f t="shared" si="1"/>
        <v>400</v>
      </c>
    </row>
    <row r="73" spans="1:24" ht="11.25" customHeight="1">
      <c r="A73" s="99">
        <v>1996</v>
      </c>
      <c r="B73" s="142" t="s">
        <v>23</v>
      </c>
      <c r="C73" s="142" t="str">
        <f>IF(AND('A-10'!B218="-",'A-5'!C25="-",'A-5'!C73="-"),"-",SUM('A-10'!B218,'A-5'!C25,'A-5'!C73))</f>
        <v>-</v>
      </c>
      <c r="D73" s="142" t="str">
        <f>IF(AND('A-10'!C218="-",'A-5'!D25="-",'A-5'!D73="-"),"-",SUM('A-10'!C218,'A-5'!D25,'A-5'!D73))</f>
        <v>-</v>
      </c>
      <c r="E73" s="142">
        <f>IF(AND('A-10'!D218="-",'A-5'!E25="-",'A-5'!E73="-"),"-",SUM('A-10'!D218,'A-5'!E25,'A-5'!E73))</f>
        <v>2575</v>
      </c>
      <c r="F73" s="142">
        <f>IF(AND('A-10'!E218="-",'A-5'!F25="-",'A-5'!F73="-"),"-",SUM('A-10'!E218,'A-5'!F25,'A-5'!F73))</f>
        <v>8556</v>
      </c>
      <c r="G73" s="142">
        <f>IF(AND('A-10'!F218="-",'A-5'!G25="-",'A-5'!G73="-"),"-",SUM('A-10'!F218,'A-5'!G25,'A-5'!G73))</f>
        <v>1256</v>
      </c>
      <c r="H73" s="142">
        <f>IF(AND('A-10'!G218="-",'A-5'!H25="-",'A-5'!H73="-"),"-",SUM('A-10'!G218,'A-5'!H25,'A-5'!H73))</f>
        <v>4056</v>
      </c>
      <c r="I73" s="142">
        <f>IF(AND('A-10'!H218="-",'A-5'!I25="-",'A-5'!I73="-"),"-",SUM('A-10'!H218,'A-5'!I25,'A-5'!I73))</f>
        <v>1220</v>
      </c>
      <c r="J73" s="142">
        <f>IF(AND('A-10'!I218="-",'A-5'!J25="-",'A-5'!J73="-"),"-",SUM('A-10'!I218,'A-5'!J25,'A-5'!J73))</f>
        <v>1281</v>
      </c>
      <c r="K73" s="142" t="str">
        <f>IF(AND('A-10'!J218="-",'A-5'!K25="-",'A-5'!K73="-"),"-",SUM('A-10'!J218,'A-5'!K25,'A-5'!K73))</f>
        <v>-</v>
      </c>
      <c r="L73" s="142">
        <f t="shared" si="0"/>
        <v>18944</v>
      </c>
      <c r="N73" s="142" t="str">
        <f>IF(OR(ISNUMBER('A-5'!N25),ISNUMBER('A-5'!N73)),SUM('A-5'!N25,'A-5'!N73),IF(OR('A-5'!N25="--",'A-5'!N73="--"),"--","-"))</f>
        <v>-</v>
      </c>
      <c r="O73" s="142" t="str">
        <f>IF(OR(ISNUMBER('A-5'!O25),ISNUMBER('A-5'!O73)),SUM('A-5'!O25,'A-5'!O73),IF(OR('A-5'!O25="--",'A-5'!O73="--"),"--","-"))</f>
        <v>-</v>
      </c>
      <c r="P73" s="142" t="str">
        <f>IF(OR(ISNUMBER('A-5'!P25),ISNUMBER('A-5'!P73)),SUM('A-5'!P25,'A-5'!P73),IF(OR('A-5'!P25="--",'A-5'!P73="--"),"--","-"))</f>
        <v>-</v>
      </c>
      <c r="Q73" s="142" t="str">
        <f>IF(AND('A-10'!M218="-",'A-5'!Q25="-",'A-5'!Q73="-"),"-",SUM('A-10'!M218,'A-5'!Q25,'A-5'!Q73))</f>
        <v>-</v>
      </c>
      <c r="R73" s="142">
        <f>IF(AND('A-10'!N218="-",'A-5'!R25="-",'A-5'!R73="-"),"-",SUM('A-10'!N218,'A-5'!R25,'A-5'!R73))</f>
        <v>175</v>
      </c>
      <c r="S73" s="142">
        <f>IF(AND('A-10'!O218="-",'A-5'!S25="-",'A-5'!S73="-"),"-",SUM('A-10'!O218,'A-5'!S25,'A-5'!S73))</f>
        <v>49</v>
      </c>
      <c r="T73" s="142">
        <f>IF(AND('A-10'!P218="-",'A-5'!T25="-",'A-5'!T73="-"),"-",SUM('A-10'!P218,'A-5'!T25,'A-5'!T73))</f>
        <v>58</v>
      </c>
      <c r="U73" s="142">
        <f>IF(AND('A-10'!Q218="-",'A-5'!U25="-",'A-5'!U73="-"),"-",SUM('A-10'!Q218,'A-5'!U25,'A-5'!U73))</f>
        <v>67</v>
      </c>
      <c r="V73" s="142">
        <f>IF(AND('A-10'!R218="-",'A-5'!V25="-",'A-5'!V73="-"),"-",SUM('A-10'!R218,'A-5'!V25,'A-5'!V73))</f>
        <v>11</v>
      </c>
      <c r="W73" s="142" t="str">
        <f>IF(AND('A-5'!W25="-",'A-5'!W73="-"),"-",SUM('A-5'!W25,'A-5'!W73))</f>
        <v>-</v>
      </c>
      <c r="X73" s="142">
        <f t="shared" si="1"/>
        <v>360</v>
      </c>
    </row>
    <row r="74" spans="1:24" ht="11.25" customHeight="1">
      <c r="A74" s="99">
        <v>1997</v>
      </c>
      <c r="B74" s="142" t="s">
        <v>23</v>
      </c>
      <c r="C74" s="142" t="str">
        <f>IF(AND('A-10'!B219="-",'A-5'!C26="-",'A-5'!C74="-"),"-",SUM('A-10'!B219,'A-5'!C26,'A-5'!C74))</f>
        <v>-</v>
      </c>
      <c r="D74" s="142" t="str">
        <f>IF(AND('A-10'!C219="-",'A-5'!D26="-",'A-5'!D74="-"),"-",SUM('A-10'!C219,'A-5'!D26,'A-5'!D74))</f>
        <v>-</v>
      </c>
      <c r="E74" s="142">
        <f>IF(AND('A-10'!D219="-",'A-5'!E26="-",'A-5'!E74="-"),"-",SUM('A-10'!D219,'A-5'!E26,'A-5'!E74))</f>
        <v>2616</v>
      </c>
      <c r="F74" s="142">
        <f>IF(AND('A-10'!E219="-",'A-5'!F26="-",'A-5'!F74="-"),"-",SUM('A-10'!E219,'A-5'!F26,'A-5'!F74))</f>
        <v>3047</v>
      </c>
      <c r="G74" s="142">
        <f>IF(AND('A-10'!F219="-",'A-5'!G26="-",'A-5'!G74="-"),"-",SUM('A-10'!F219,'A-5'!G26,'A-5'!G74))</f>
        <v>3034</v>
      </c>
      <c r="H74" s="142">
        <f>IF(AND('A-10'!G219="-",'A-5'!H26="-",'A-5'!H74="-"),"-",SUM('A-10'!G219,'A-5'!H26,'A-5'!H74))</f>
        <v>4465</v>
      </c>
      <c r="I74" s="142">
        <f>IF(AND('A-10'!H219="-",'A-5'!I26="-",'A-5'!I74="-"),"-",SUM('A-10'!H219,'A-5'!I26,'A-5'!I74))</f>
        <v>233</v>
      </c>
      <c r="J74" s="142">
        <f>IF(AND('A-10'!I219="-",'A-5'!J26="-",'A-5'!J74="-"),"-",SUM('A-10'!I219,'A-5'!J26,'A-5'!J74))</f>
        <v>675</v>
      </c>
      <c r="K74" s="142" t="str">
        <f>IF(AND('A-10'!J219="-",'A-5'!K26="-",'A-5'!K74="-"),"-",SUM('A-10'!J219,'A-5'!K26,'A-5'!K74))</f>
        <v>-</v>
      </c>
      <c r="L74" s="142">
        <f t="shared" si="0"/>
        <v>14070</v>
      </c>
      <c r="N74" s="142" t="str">
        <f>IF(OR(ISNUMBER('A-5'!N26),ISNUMBER('A-5'!N74)),SUM('A-5'!N26,'A-5'!N74),IF(OR('A-5'!N26="--",'A-5'!N74="--"),"--","-"))</f>
        <v>-</v>
      </c>
      <c r="O74" s="142" t="str">
        <f>IF(OR(ISNUMBER('A-5'!O26),ISNUMBER('A-5'!O74)),SUM('A-5'!O26,'A-5'!O74),IF(OR('A-5'!O26="--",'A-5'!O74="--"),"--","-"))</f>
        <v>-</v>
      </c>
      <c r="P74" s="142" t="str">
        <f>IF(OR(ISNUMBER('A-5'!P26),ISNUMBER('A-5'!P74)),SUM('A-5'!P26,'A-5'!P74),IF(OR('A-5'!P26="--",'A-5'!P74="--"),"--","-"))</f>
        <v>-</v>
      </c>
      <c r="Q74" s="142">
        <f>IF(AND('A-10'!M219="-",'A-5'!Q26="-",'A-5'!Q74="-"),"-",SUM('A-10'!M219,'A-5'!Q26,'A-5'!Q74))</f>
        <v>33</v>
      </c>
      <c r="R74" s="142">
        <f>IF(AND('A-10'!N219="-",'A-5'!R26="-",'A-5'!R74="-"),"-",SUM('A-10'!N219,'A-5'!R26,'A-5'!R74))</f>
        <v>66</v>
      </c>
      <c r="S74" s="142">
        <f>IF(AND('A-10'!O219="-",'A-5'!S26="-",'A-5'!S74="-"),"-",SUM('A-10'!O219,'A-5'!S26,'A-5'!S74))</f>
        <v>113</v>
      </c>
      <c r="T74" s="142">
        <f>IF(AND('A-10'!P219="-",'A-5'!T26="-",'A-5'!T74="-"),"-",SUM('A-10'!P219,'A-5'!T26,'A-5'!T74))</f>
        <v>107</v>
      </c>
      <c r="U74" s="142">
        <f>IF(AND('A-10'!Q219="-",'A-5'!U26="-",'A-5'!U74="-"),"-",SUM('A-10'!Q219,'A-5'!U26,'A-5'!U74))</f>
        <v>9</v>
      </c>
      <c r="V74" s="142" t="str">
        <f>IF(AND('A-10'!R219="-",'A-5'!V26="-",'A-5'!V74="-"),"-",SUM('A-10'!R219,'A-5'!V26,'A-5'!V74))</f>
        <v>-</v>
      </c>
      <c r="W74" s="142" t="str">
        <f>IF(AND('A-5'!W26="-",'A-5'!W74="-"),"-",SUM('A-5'!W26,'A-5'!W74))</f>
        <v>-</v>
      </c>
      <c r="X74" s="142">
        <f t="shared" si="1"/>
        <v>328</v>
      </c>
    </row>
    <row r="75" spans="1:24" ht="11.25" customHeight="1">
      <c r="A75" s="99">
        <v>1998</v>
      </c>
      <c r="B75" s="142" t="s">
        <v>23</v>
      </c>
      <c r="C75" s="142" t="str">
        <f>IF(AND('A-10'!B220="-",'A-5'!C27="-",'A-5'!C75="-"),"-",SUM('A-10'!B220,'A-5'!C27,'A-5'!C75))</f>
        <v>-</v>
      </c>
      <c r="D75" s="142" t="str">
        <f>IF(AND('A-10'!C220="-",'A-5'!D27="-",'A-5'!D75="-"),"-",SUM('A-10'!C220,'A-5'!D27,'A-5'!D75))</f>
        <v>-</v>
      </c>
      <c r="E75" s="142">
        <f>IF(AND('A-10'!D220="-",'A-5'!E27="-",'A-5'!E75="-"),"-",SUM('A-10'!D220,'A-5'!E27,'A-5'!E75))</f>
        <v>974</v>
      </c>
      <c r="F75" s="142">
        <f>IF(AND('A-10'!E220="-",'A-5'!F27="-",'A-5'!F75="-"),"-",SUM('A-10'!E220,'A-5'!F27,'A-5'!F75))</f>
        <v>1500</v>
      </c>
      <c r="G75" s="142">
        <f>IF(AND('A-10'!F220="-",'A-5'!G27="-",'A-5'!G75="-"),"-",SUM('A-10'!F220,'A-5'!G27,'A-5'!G75))</f>
        <v>686</v>
      </c>
      <c r="H75" s="142">
        <f>IF(AND('A-10'!G220="-",'A-5'!H27="-",'A-5'!H75="-"),"-",SUM('A-10'!G220,'A-5'!H27,'A-5'!H75))</f>
        <v>968</v>
      </c>
      <c r="I75" s="142">
        <f>IF(AND('A-10'!H220="-",'A-5'!I27="-",'A-5'!I75="-"),"-",SUM('A-10'!H220,'A-5'!I27,'A-5'!I75))</f>
        <v>353</v>
      </c>
      <c r="J75" s="142">
        <f>IF(AND('A-10'!I220="-",'A-5'!J27="-",'A-5'!J75="-"),"-",SUM('A-10'!I220,'A-5'!J27,'A-5'!J75))</f>
        <v>394</v>
      </c>
      <c r="K75" s="142" t="str">
        <f>IF(AND('A-10'!J220="-",'A-5'!K27="-",'A-5'!K75="-"),"-",SUM('A-10'!J220,'A-5'!K27,'A-5'!K75))</f>
        <v>-</v>
      </c>
      <c r="L75" s="142">
        <f t="shared" si="0"/>
        <v>4875</v>
      </c>
      <c r="N75" s="142" t="str">
        <f>IF(OR(ISNUMBER('A-5'!N27),ISNUMBER('A-5'!N75)),SUM('A-5'!N27,'A-5'!N75),IF(OR('A-5'!N27="--",'A-5'!N75="--"),"--","-"))</f>
        <v>-</v>
      </c>
      <c r="O75" s="142" t="str">
        <f>IF(OR(ISNUMBER('A-5'!O27),ISNUMBER('A-5'!O75)),SUM('A-5'!O27,'A-5'!O75),IF(OR('A-5'!O27="--",'A-5'!O75="--"),"--","-"))</f>
        <v>-</v>
      </c>
      <c r="P75" s="142" t="str">
        <f>IF(OR(ISNUMBER('A-5'!P27),ISNUMBER('A-5'!P75)),SUM('A-5'!P27,'A-5'!P75),IF(OR('A-5'!P27="--",'A-5'!P75="--"),"--","-"))</f>
        <v>-</v>
      </c>
      <c r="Q75" s="142" t="str">
        <f>IF(AND('A-10'!M220="-",'A-5'!Q27="-",'A-5'!Q75="-"),"-",SUM('A-10'!M220,'A-5'!Q27,'A-5'!Q75))</f>
        <v>-</v>
      </c>
      <c r="R75" s="142">
        <f>IF(AND('A-10'!N220="-",'A-5'!R27="-",'A-5'!R75="-"),"-",SUM('A-10'!N220,'A-5'!R27,'A-5'!R75))</f>
        <v>21</v>
      </c>
      <c r="S75" s="142">
        <f>IF(AND('A-10'!O220="-",'A-5'!S27="-",'A-5'!S75="-"),"-",SUM('A-10'!O220,'A-5'!S27,'A-5'!S75))</f>
        <v>23</v>
      </c>
      <c r="T75" s="142">
        <f>IF(AND('A-10'!P220="-",'A-5'!T27="-",'A-5'!T75="-"),"-",SUM('A-10'!P220,'A-5'!T27,'A-5'!T75))</f>
        <v>50</v>
      </c>
      <c r="U75" s="142" t="str">
        <f>IF(AND('A-10'!Q220="-",'A-5'!U27="-",'A-5'!U75="-"),"-",SUM('A-10'!Q220,'A-5'!U27,'A-5'!U75))</f>
        <v>-</v>
      </c>
      <c r="V75" s="142">
        <f>IF(AND('A-10'!R220="-",'A-5'!V27="-",'A-5'!V75="-"),"-",SUM('A-10'!R220,'A-5'!V27,'A-5'!V75))</f>
        <v>6</v>
      </c>
      <c r="W75" s="142" t="str">
        <f>IF(AND('A-5'!W27="-",'A-5'!W75="-"),"-",SUM('A-5'!W27,'A-5'!W75))</f>
        <v>-</v>
      </c>
      <c r="X75" s="142">
        <f t="shared" si="1"/>
        <v>100</v>
      </c>
    </row>
    <row r="76" spans="1:24" ht="11.25" customHeight="1">
      <c r="A76" s="99">
        <v>1999</v>
      </c>
      <c r="B76" s="142" t="s">
        <v>23</v>
      </c>
      <c r="C76" s="142" t="str">
        <f>IF(AND('A-10'!B221="-",'A-5'!C28="-",'A-5'!C76="-"),"-",SUM('A-10'!B221,'A-5'!C28,'A-5'!C76))</f>
        <v>-</v>
      </c>
      <c r="D76" s="142" t="str">
        <f>IF(AND('A-10'!C221="-",'A-5'!D28="-",'A-5'!D76="-"),"-",SUM('A-10'!C221,'A-5'!D28,'A-5'!D76))</f>
        <v>-</v>
      </c>
      <c r="E76" s="142">
        <f>IF(AND('A-10'!D221="-",'A-5'!E28="-",'A-5'!E76="-"),"-",SUM('A-10'!D221,'A-5'!E28,'A-5'!E76))</f>
        <v>13</v>
      </c>
      <c r="F76" s="142">
        <f>IF(AND('A-10'!E221="-",'A-5'!F28="-",'A-5'!F76="-"),"-",SUM('A-10'!E221,'A-5'!F28,'A-5'!F76))</f>
        <v>2328</v>
      </c>
      <c r="G76" s="142">
        <f>IF(AND('A-10'!F221="-",'A-5'!G28="-",'A-5'!G76="-"),"-",SUM('A-10'!F221,'A-5'!G28,'A-5'!G76))</f>
        <v>2152</v>
      </c>
      <c r="H76" s="142">
        <f>IF(AND('A-10'!G221="-",'A-5'!H28="-",'A-5'!H76="-"),"-",SUM('A-10'!G221,'A-5'!H28,'A-5'!H76))</f>
        <v>4172</v>
      </c>
      <c r="I76" s="142">
        <f>IF(AND('A-10'!H221="-",'A-5'!I28="-",'A-5'!I76="-"),"-",SUM('A-10'!H221,'A-5'!I28,'A-5'!I76))</f>
        <v>625</v>
      </c>
      <c r="J76" s="142">
        <f>IF(AND('A-10'!I221="-",'A-5'!J28="-",'A-5'!J76="-"),"-",SUM('A-10'!I221,'A-5'!J28,'A-5'!J76))</f>
        <v>348</v>
      </c>
      <c r="K76" s="142" t="str">
        <f>IF(AND('A-10'!J221="-",'A-5'!K28="-",'A-5'!K76="-"),"-",SUM('A-10'!J221,'A-5'!K28,'A-5'!K76))</f>
        <v>-</v>
      </c>
      <c r="L76" s="142">
        <f t="shared" si="0"/>
        <v>9638</v>
      </c>
      <c r="N76" s="142" t="str">
        <f>IF(OR(ISNUMBER('A-5'!N28),ISNUMBER('A-5'!N76)),SUM('A-5'!N28,'A-5'!N76),IF(OR('A-5'!N28="--",'A-5'!N76="--"),"--","-"))</f>
        <v>-</v>
      </c>
      <c r="O76" s="142" t="str">
        <f>IF(OR(ISNUMBER('A-5'!O28),ISNUMBER('A-5'!O76)),SUM('A-5'!O28,'A-5'!O76),IF(OR('A-5'!O28="--",'A-5'!O76="--"),"--","-"))</f>
        <v>-</v>
      </c>
      <c r="P76" s="142" t="str">
        <f>IF(OR(ISNUMBER('A-5'!P28),ISNUMBER('A-5'!P76)),SUM('A-5'!P28,'A-5'!P76),IF(OR('A-5'!P28="--",'A-5'!P76="--"),"--","-"))</f>
        <v>-</v>
      </c>
      <c r="Q76" s="142" t="str">
        <f>IF(AND('A-10'!M221="-",'A-5'!Q28="-",'A-5'!Q76="-"),"-",SUM('A-10'!M221,'A-5'!Q28,'A-5'!Q76))</f>
        <v>-</v>
      </c>
      <c r="R76" s="142">
        <f>IF(AND('A-10'!N221="-",'A-5'!R28="-",'A-5'!R76="-"),"-",SUM('A-10'!N221,'A-5'!R28,'A-5'!R76))</f>
        <v>36</v>
      </c>
      <c r="S76" s="142">
        <f>IF(AND('A-10'!O221="-",'A-5'!S28="-",'A-5'!S76="-"),"-",SUM('A-10'!O221,'A-5'!S28,'A-5'!S76))</f>
        <v>42</v>
      </c>
      <c r="T76" s="142">
        <f>IF(AND('A-10'!P221="-",'A-5'!T28="-",'A-5'!T76="-"),"-",SUM('A-10'!P221,'A-5'!T28,'A-5'!T76))</f>
        <v>95</v>
      </c>
      <c r="U76" s="142">
        <f>IF(AND('A-10'!Q221="-",'A-5'!U28="-",'A-5'!U76="-"),"-",SUM('A-10'!Q221,'A-5'!U28,'A-5'!U76))</f>
        <v>4</v>
      </c>
      <c r="V76" s="142" t="str">
        <f>IF(AND('A-10'!R221="-",'A-5'!V28="-",'A-5'!V76="-"),"-",SUM('A-10'!R221,'A-5'!V28,'A-5'!V76))</f>
        <v>-</v>
      </c>
      <c r="W76" s="142" t="str">
        <f>IF(AND('A-5'!W28="-",'A-5'!W76="-"),"-",SUM('A-5'!W28,'A-5'!W76))</f>
        <v>-</v>
      </c>
      <c r="X76" s="142">
        <f t="shared" si="1"/>
        <v>177</v>
      </c>
    </row>
    <row r="77" spans="1:24" ht="11.25" customHeight="1">
      <c r="A77" s="99">
        <v>2000</v>
      </c>
      <c r="B77" s="142" t="s">
        <v>23</v>
      </c>
      <c r="C77" s="142" t="str">
        <f>IF(AND('A-10'!B222="-",'A-5'!C29="-",'A-5'!C77="-"),"-",SUM('A-10'!B222,'A-5'!C29,'A-5'!C77))</f>
        <v>-</v>
      </c>
      <c r="D77" s="142" t="str">
        <f>IF(AND('A-10'!C222="-",'A-5'!D29="-",'A-5'!D77="-"),"-",SUM('A-10'!C222,'A-5'!D29,'A-5'!D77))</f>
        <v>-</v>
      </c>
      <c r="E77" s="142">
        <f>IF(AND('A-10'!D222="-",'A-5'!E29="-",'A-5'!E77="-"),"-",SUM('A-10'!D222,'A-5'!E29,'A-5'!E77))</f>
        <v>312</v>
      </c>
      <c r="F77" s="142">
        <f>IF(AND('A-10'!E222="-",'A-5'!F29="-",'A-5'!F77="-"),"-",SUM('A-10'!E222,'A-5'!F29,'A-5'!F77))</f>
        <v>2754</v>
      </c>
      <c r="G77" s="142">
        <f>IF(AND('A-10'!F222="-",'A-5'!G29="-",'A-5'!G77="-"),"-",SUM('A-10'!F222,'A-5'!G29,'A-5'!G77))</f>
        <v>5853</v>
      </c>
      <c r="H77" s="142">
        <f>IF(AND('A-10'!G222="-",'A-5'!H29="-",'A-5'!H77="-"),"-",SUM('A-10'!G222,'A-5'!H29,'A-5'!H77))</f>
        <v>14449</v>
      </c>
      <c r="I77" s="142">
        <f>IF(AND('A-10'!H222="-",'A-5'!I29="-",'A-5'!I77="-"),"-",SUM('A-10'!H222,'A-5'!I29,'A-5'!I77))</f>
        <v>1114</v>
      </c>
      <c r="J77" s="142">
        <f>IF(AND('A-10'!I222="-",'A-5'!J29="-",'A-5'!J77="-"),"-",SUM('A-10'!I222,'A-5'!J29,'A-5'!J77))</f>
        <v>810</v>
      </c>
      <c r="K77" s="142" t="str">
        <f>IF(AND('A-10'!J222="-",'A-5'!K29="-",'A-5'!K77="-"),"-",SUM('A-10'!J222,'A-5'!K29,'A-5'!K77))</f>
        <v>-</v>
      </c>
      <c r="L77" s="142">
        <f t="shared" si="0"/>
        <v>25292</v>
      </c>
      <c r="N77" s="142" t="str">
        <f>IF(OR(ISNUMBER('A-5'!N29),ISNUMBER('A-5'!N77)),SUM('A-5'!N29,'A-5'!N77),IF(OR('A-5'!N29="--",'A-5'!N77="--"),"--","-"))</f>
        <v>-</v>
      </c>
      <c r="O77" s="142" t="str">
        <f>IF(OR(ISNUMBER('A-5'!O29),ISNUMBER('A-5'!O77)),SUM('A-5'!O29,'A-5'!O77),IF(OR('A-5'!O29="--",'A-5'!O77="--"),"--","-"))</f>
        <v>-</v>
      </c>
      <c r="P77" s="142" t="str">
        <f>IF(OR(ISNUMBER('A-5'!P29),ISNUMBER('A-5'!P77)),SUM('A-5'!P29,'A-5'!P77),IF(OR('A-5'!P29="--",'A-5'!P77="--"),"--","-"))</f>
        <v>-</v>
      </c>
      <c r="Q77" s="142" t="str">
        <f>IF(AND('A-10'!M222="-",'A-5'!Q29="-",'A-5'!Q77="-"),"-",SUM('A-10'!M222,'A-5'!Q29,'A-5'!Q77))</f>
        <v>-</v>
      </c>
      <c r="R77" s="142">
        <f>IF(AND('A-10'!N222="-",'A-5'!R29="-",'A-5'!R77="-"),"-",SUM('A-10'!N222,'A-5'!R29,'A-5'!R77))</f>
        <v>19</v>
      </c>
      <c r="S77" s="142">
        <f>IF(AND('A-10'!O222="-",'A-5'!S29="-",'A-5'!S77="-"),"-",SUM('A-10'!O222,'A-5'!S29,'A-5'!S77))</f>
        <v>50</v>
      </c>
      <c r="T77" s="142">
        <f>IF(AND('A-10'!P222="-",'A-5'!T29="-",'A-5'!T77="-"),"-",SUM('A-10'!P222,'A-5'!T29,'A-5'!T77))</f>
        <v>180</v>
      </c>
      <c r="U77" s="142">
        <f>IF(AND('A-10'!Q222="-",'A-5'!U29="-",'A-5'!U77="-"),"-",SUM('A-10'!Q222,'A-5'!U29,'A-5'!U77))</f>
        <v>8</v>
      </c>
      <c r="V77" s="142" t="str">
        <f>IF(AND('A-10'!R222="-",'A-5'!V29="-",'A-5'!V77="-"),"-",SUM('A-10'!R222,'A-5'!V29,'A-5'!V77))</f>
        <v>-</v>
      </c>
      <c r="W77" s="142" t="str">
        <f>IF(AND('A-5'!W29="-",'A-5'!W77="-"),"-",SUM('A-5'!W29,'A-5'!W77))</f>
        <v>-</v>
      </c>
      <c r="X77" s="142">
        <f t="shared" si="1"/>
        <v>257</v>
      </c>
    </row>
    <row r="78" spans="1:24" ht="11.25" customHeight="1">
      <c r="A78" s="99">
        <v>2001</v>
      </c>
      <c r="B78" s="142" t="s">
        <v>23</v>
      </c>
      <c r="C78" s="142" t="str">
        <f>IF(AND('A-10'!B223="-",'A-5'!C30="-",'A-5'!C78="-"),"-",SUM('A-10'!B223,'A-5'!C30,'A-5'!C78))</f>
        <v>-</v>
      </c>
      <c r="D78" s="142" t="str">
        <f>IF(AND('A-10'!C223="-",'A-5'!D30="-",'A-5'!D78="-"),"-",SUM('A-10'!C223,'A-5'!D30,'A-5'!D78))</f>
        <v>-</v>
      </c>
      <c r="E78" s="142">
        <f>IF(AND('A-10'!D223="-",'A-5'!E30="-",'A-5'!E78="-"),"-",SUM('A-10'!D223,'A-5'!E30,'A-5'!E78))</f>
        <v>2690</v>
      </c>
      <c r="F78" s="142">
        <f>IF(AND('A-10'!E223="-",'A-5'!F30="-",'A-5'!F78="-"),"-",SUM('A-10'!E223,'A-5'!F30,'A-5'!F78))</f>
        <v>5225</v>
      </c>
      <c r="G78" s="142">
        <f>IF(AND('A-10'!F223="-",'A-5'!G30="-",'A-5'!G78="-"),"-",SUM('A-10'!F223,'A-5'!G30,'A-5'!G78))</f>
        <v>3859</v>
      </c>
      <c r="H78" s="142">
        <f>IF(AND('A-10'!G223="-",'A-5'!H30="-",'A-5'!H78="-"),"-",SUM('A-10'!G223,'A-5'!H30,'A-5'!H78))</f>
        <v>5554</v>
      </c>
      <c r="I78" s="142">
        <f>IF(AND('A-10'!H223="-",'A-5'!I30="-",'A-5'!I78="-"),"-",SUM('A-10'!H223,'A-5'!I30,'A-5'!I78))</f>
        <v>1848</v>
      </c>
      <c r="J78" s="142">
        <f>IF(AND('A-10'!I223="-",'A-5'!J30="-",'A-5'!J78="-"),"-",SUM('A-10'!I223,'A-5'!J30,'A-5'!J78))</f>
        <v>856</v>
      </c>
      <c r="K78" s="142" t="str">
        <f>IF(AND('A-10'!J223="-",'A-5'!K30="-",'A-5'!K78="-"),"-",SUM('A-10'!J223,'A-5'!K30,'A-5'!K78))</f>
        <v>-</v>
      </c>
      <c r="L78" s="142">
        <f t="shared" si="0"/>
        <v>20032</v>
      </c>
      <c r="N78" s="142" t="str">
        <f>IF(OR(ISNUMBER('A-5'!N30),ISNUMBER('A-5'!N78)),SUM('A-5'!N30,'A-5'!N78),IF(OR('A-5'!N30="--",'A-5'!N78="--"),"--","-"))</f>
        <v>-</v>
      </c>
      <c r="O78" s="142" t="str">
        <f>IF(OR(ISNUMBER('A-5'!O30),ISNUMBER('A-5'!O78)),SUM('A-5'!O30,'A-5'!O78),IF(OR('A-5'!O30="--",'A-5'!O78="--"),"--","-"))</f>
        <v>-</v>
      </c>
      <c r="P78" s="142" t="str">
        <f>IF(OR(ISNUMBER('A-5'!P30),ISNUMBER('A-5'!P78)),SUM('A-5'!P30,'A-5'!P78),IF(OR('A-5'!P30="--",'A-5'!P78="--"),"--","-"))</f>
        <v>-</v>
      </c>
      <c r="Q78" s="142">
        <f>IF(AND('A-10'!M223="-",'A-5'!Q30="-",'A-5'!Q78="-"),"-",SUM('A-10'!M223,'A-5'!Q30,'A-5'!Q78))</f>
        <v>11</v>
      </c>
      <c r="R78" s="142">
        <f>IF(AND('A-10'!N223="-",'A-5'!R30="-",'A-5'!R78="-"),"-",SUM('A-10'!N223,'A-5'!R30,'A-5'!R78))</f>
        <v>118</v>
      </c>
      <c r="S78" s="142">
        <f>IF(AND('A-10'!O223="-",'A-5'!S30="-",'A-5'!S78="-"),"-",SUM('A-10'!O223,'A-5'!S30,'A-5'!S78))</f>
        <v>55</v>
      </c>
      <c r="T78" s="142">
        <f>IF(AND('A-10'!P223="-",'A-5'!T30="-",'A-5'!T78="-"),"-",SUM('A-10'!P223,'A-5'!T30,'A-5'!T78))</f>
        <v>58</v>
      </c>
      <c r="U78" s="142" t="str">
        <f>IF(AND('A-10'!Q223="-",'A-5'!U30="-",'A-5'!U78="-"),"-",SUM('A-10'!Q223,'A-5'!U30,'A-5'!U78))</f>
        <v>-</v>
      </c>
      <c r="V78" s="142">
        <f>IF(AND('A-10'!R223="-",'A-5'!V30="-",'A-5'!V78="-"),"-",SUM('A-10'!R223,'A-5'!V30,'A-5'!V78))</f>
        <v>13</v>
      </c>
      <c r="W78" s="142" t="str">
        <f>IF(AND('A-5'!W30="-",'A-5'!W78="-"),"-",SUM('A-5'!W30,'A-5'!W78))</f>
        <v>-</v>
      </c>
      <c r="X78" s="142">
        <f t="shared" si="1"/>
        <v>255</v>
      </c>
    </row>
    <row r="79" spans="1:24" ht="11.25" customHeight="1">
      <c r="A79" s="99">
        <v>2002</v>
      </c>
      <c r="B79" s="142" t="s">
        <v>23</v>
      </c>
      <c r="C79" s="142" t="str">
        <f>IF(AND('A-10'!B224="-",'A-5'!C31="-",'A-5'!C79="-"),"-",SUM('A-10'!B224,'A-5'!C31,'A-5'!C79))</f>
        <v>-</v>
      </c>
      <c r="D79" s="142" t="str">
        <f>IF(AND('A-10'!C224="-",'A-5'!D31="-",'A-5'!D79="-"),"-",SUM('A-10'!C224,'A-5'!D31,'A-5'!D79))</f>
        <v>-</v>
      </c>
      <c r="E79" s="142">
        <f>IF(AND('A-10'!D224="-",'A-5'!E31="-",'A-5'!E79="-"),"-",SUM('A-10'!D224,'A-5'!E31,'A-5'!E79))</f>
        <v>3048</v>
      </c>
      <c r="F79" s="142">
        <f>IF(AND('A-10'!E224="-",'A-5'!F31="-",'A-5'!F79="-"),"-",SUM('A-10'!E224,'A-5'!F31,'A-5'!F79))</f>
        <v>7768</v>
      </c>
      <c r="G79" s="142">
        <f>IF(AND('A-10'!F224="-",'A-5'!G31="-",'A-5'!G79="-"),"-",SUM('A-10'!F224,'A-5'!G31,'A-5'!G79))</f>
        <v>630</v>
      </c>
      <c r="H79" s="142">
        <f>IF(AND('A-10'!G224="-",'A-5'!H31="-",'A-5'!H79="-"),"-",SUM('A-10'!G224,'A-5'!H31,'A-5'!H79))</f>
        <v>8533</v>
      </c>
      <c r="I79" s="142">
        <f>IF(AND('A-10'!H224="-",'A-5'!I31="-",'A-5'!I79="-"),"-",SUM('A-10'!H224,'A-5'!I31,'A-5'!I79))</f>
        <v>5785</v>
      </c>
      <c r="J79" s="142">
        <f>IF(AND('A-10'!I224="-",'A-5'!J31="-",'A-5'!J79="-"),"-",SUM('A-10'!I224,'A-5'!J31,'A-5'!J79))</f>
        <v>301</v>
      </c>
      <c r="K79" s="142" t="str">
        <f>IF(AND('A-10'!J224="-",'A-5'!K31="-",'A-5'!K79="-"),"-",SUM('A-10'!J224,'A-5'!K31,'A-5'!K79))</f>
        <v>-</v>
      </c>
      <c r="L79" s="142">
        <f t="shared" si="0"/>
        <v>26065</v>
      </c>
      <c r="N79" s="142" t="str">
        <f>IF(OR(ISNUMBER('A-5'!N31),ISNUMBER('A-5'!N79)),SUM('A-5'!N31,'A-5'!N79),IF(OR('A-5'!N31="--",'A-5'!N79="--"),"--","-"))</f>
        <v>-</v>
      </c>
      <c r="O79" s="142" t="str">
        <f>IF(OR(ISNUMBER('A-5'!O31),ISNUMBER('A-5'!O79)),SUM('A-5'!O31,'A-5'!O79),IF(OR('A-5'!O31="--",'A-5'!O79="--"),"--","-"))</f>
        <v>-</v>
      </c>
      <c r="P79" s="142" t="str">
        <f>IF(OR(ISNUMBER('A-5'!P31),ISNUMBER('A-5'!P79)),SUM('A-5'!P31,'A-5'!P79),IF(OR('A-5'!P31="--",'A-5'!P79="--"),"--","-"))</f>
        <v>-</v>
      </c>
      <c r="Q79" s="142">
        <f>IF(AND('A-10'!M224="-",'A-5'!Q31="-",'A-5'!Q79="-"),"-",SUM('A-10'!M224,'A-5'!Q31,'A-5'!Q79))</f>
        <v>10</v>
      </c>
      <c r="R79" s="142">
        <f>IF(AND('A-10'!N224="-",'A-5'!R31="-",'A-5'!R79="-"),"-",SUM('A-10'!N224,'A-5'!R31,'A-5'!R79))</f>
        <v>253</v>
      </c>
      <c r="S79" s="142">
        <f>IF(AND('A-10'!O224="-",'A-5'!S31="-",'A-5'!S79="-"),"-",SUM('A-10'!O224,'A-5'!S31,'A-5'!S79))</f>
        <v>42</v>
      </c>
      <c r="T79" s="142">
        <f>IF(AND('A-10'!P224="-",'A-5'!T31="-",'A-5'!T79="-"),"-",SUM('A-10'!P224,'A-5'!T31,'A-5'!T79))</f>
        <v>57</v>
      </c>
      <c r="U79" s="142">
        <f>IF(AND('A-10'!Q224="-",'A-5'!U31="-",'A-5'!U79="-"),"-",SUM('A-10'!Q224,'A-5'!U31,'A-5'!U79))</f>
        <v>41</v>
      </c>
      <c r="V79" s="142" t="str">
        <f>IF(AND('A-10'!R224="-",'A-5'!V31="-",'A-5'!V79="-"),"-",SUM('A-10'!R224,'A-5'!V31,'A-5'!V79))</f>
        <v>-</v>
      </c>
      <c r="W79" s="142" t="str">
        <f>IF(AND('A-5'!W31="-",'A-5'!W79="-"),"-",SUM('A-5'!W31,'A-5'!W79))</f>
        <v>-</v>
      </c>
      <c r="X79" s="142">
        <f t="shared" si="1"/>
        <v>403</v>
      </c>
    </row>
    <row r="80" spans="1:24" ht="11.25" customHeight="1">
      <c r="A80" s="99">
        <v>2003</v>
      </c>
      <c r="B80" s="142" t="s">
        <v>23</v>
      </c>
      <c r="C80" s="142" t="str">
        <f>IF(AND('A-10'!B225="-",'A-5'!C32="-",'A-5'!C80="-"),"-",SUM('A-10'!B225,'A-5'!C32,'A-5'!C80))</f>
        <v>-</v>
      </c>
      <c r="D80" s="142" t="str">
        <f>IF(AND('A-10'!C225="-",'A-5'!D32="-",'A-5'!D80="-"),"-",SUM('A-10'!C225,'A-5'!D32,'A-5'!D80))</f>
        <v>-</v>
      </c>
      <c r="E80" s="142">
        <f>IF(AND('A-10'!D225="-",'A-5'!E32="-",'A-5'!E80="-"),"-",SUM('A-10'!D225,'A-5'!E32,'A-5'!E80))</f>
        <v>3385</v>
      </c>
      <c r="F80" s="142">
        <f>IF(AND('A-10'!E225="-",'A-5'!F32="-",'A-5'!F80="-"),"-",SUM('A-10'!E225,'A-5'!F32,'A-5'!F80))</f>
        <v>2156</v>
      </c>
      <c r="G80" s="142">
        <f>IF(AND('A-10'!F225="-",'A-5'!G32="-",'A-5'!G80="-"),"-",SUM('A-10'!F225,'A-5'!G32,'A-5'!G80))</f>
        <v>2638</v>
      </c>
      <c r="H80" s="142">
        <f>IF(AND('A-10'!G225="-",'A-5'!H32="-",'A-5'!H80="-"),"-",SUM('A-10'!G225,'A-5'!H32,'A-5'!H80))</f>
        <v>3130</v>
      </c>
      <c r="I80" s="142">
        <f>IF(AND('A-10'!H225="-",'A-5'!I32="-",'A-5'!I80="-"),"-",SUM('A-10'!H225,'A-5'!I32,'A-5'!I80))</f>
        <v>2339</v>
      </c>
      <c r="J80" s="142">
        <f>IF(AND('A-10'!I225="-",'A-5'!J32="-",'A-5'!J80="-"),"-",SUM('A-10'!I225,'A-5'!J32,'A-5'!J80))</f>
        <v>552</v>
      </c>
      <c r="K80" s="142" t="str">
        <f>IF(AND('A-10'!J225="-",'A-5'!K32="-",'A-5'!K80="-"),"-",SUM('A-10'!J225,'A-5'!K32,'A-5'!K80))</f>
        <v>-</v>
      </c>
      <c r="L80" s="142">
        <f t="shared" si="0"/>
        <v>14200</v>
      </c>
      <c r="N80" s="142" t="str">
        <f>IF(OR(ISNUMBER('A-5'!N32),ISNUMBER('A-5'!N80)),SUM('A-5'!N32,'A-5'!N80),IF(OR('A-5'!N32="--",'A-5'!N80="--"),"--","-"))</f>
        <v>-</v>
      </c>
      <c r="O80" s="142" t="str">
        <f>IF(OR(ISNUMBER('A-5'!O32),ISNUMBER('A-5'!O80)),SUM('A-5'!O32,'A-5'!O80),IF(OR('A-5'!O32="--",'A-5'!O80="--"),"--","-"))</f>
        <v>-</v>
      </c>
      <c r="P80" s="142" t="str">
        <f>IF(OR(ISNUMBER('A-5'!P32),ISNUMBER('A-5'!P80)),SUM('A-5'!P32,'A-5'!P80),IF(OR('A-5'!P32="--",'A-5'!P80="--"),"--","-"))</f>
        <v>-</v>
      </c>
      <c r="Q80" s="142">
        <f>IF(AND('A-10'!M225="-",'A-5'!Q32="-",'A-5'!Q80="-"),"-",SUM('A-10'!M225,'A-5'!Q32,'A-5'!Q80))</f>
        <v>29</v>
      </c>
      <c r="R80" s="142">
        <f>IF(AND('A-10'!N225="-",'A-5'!R32="-",'A-5'!R80="-"),"-",SUM('A-10'!N225,'A-5'!R32,'A-5'!R80))</f>
        <v>59</v>
      </c>
      <c r="S80" s="142">
        <f>IF(AND('A-10'!O225="-",'A-5'!S32="-",'A-5'!S80="-"),"-",SUM('A-10'!O225,'A-5'!S32,'A-5'!S80))</f>
        <v>25</v>
      </c>
      <c r="T80" s="142">
        <f>IF(AND('A-10'!P225="-",'A-5'!T32="-",'A-5'!T80="-"),"-",SUM('A-10'!P225,'A-5'!T32,'A-5'!T80))</f>
        <v>63</v>
      </c>
      <c r="U80" s="142">
        <f>IF(AND('A-10'!Q225="-",'A-5'!U32="-",'A-5'!U80="-"),"-",SUM('A-10'!Q225,'A-5'!U32,'A-5'!U80))</f>
        <v>12</v>
      </c>
      <c r="V80" s="142" t="str">
        <f>IF(AND('A-10'!R225="-",'A-5'!V32="-",'A-5'!V80="-"),"-",SUM('A-10'!R225,'A-5'!V32,'A-5'!V80))</f>
        <v>-</v>
      </c>
      <c r="W80" s="142" t="str">
        <f>IF(AND('A-5'!W32="-",'A-5'!W80="-"),"-",SUM('A-5'!W32,'A-5'!W80))</f>
        <v>-</v>
      </c>
      <c r="X80" s="142">
        <f t="shared" si="1"/>
        <v>188</v>
      </c>
    </row>
    <row r="81" spans="1:24" ht="11.25" customHeight="1">
      <c r="A81" s="99">
        <v>2004</v>
      </c>
      <c r="B81" s="142" t="s">
        <v>23</v>
      </c>
      <c r="C81" s="142" t="str">
        <f>IF(AND('A-10'!B226="-",'A-5'!C33="-",'A-5'!C81="-"),"-",SUM('A-10'!B226,'A-5'!C33,'A-5'!C81))</f>
        <v>-</v>
      </c>
      <c r="D81" s="142" t="str">
        <f>IF(AND('A-10'!C226="-",'A-5'!D33="-",'A-5'!D81="-"),"-",SUM('A-10'!C226,'A-5'!D33,'A-5'!D81))</f>
        <v>-</v>
      </c>
      <c r="E81" s="142">
        <f>IF(AND('A-10'!D226="-",'A-5'!E33="-",'A-5'!E81="-"),"-",SUM('A-10'!D226,'A-5'!E33,'A-5'!E81))</f>
        <v>6514</v>
      </c>
      <c r="F81" s="142">
        <f>IF(AND('A-10'!E226="-",'A-5'!F33="-",'A-5'!F81="-"),"-",SUM('A-10'!E226,'A-5'!F33,'A-5'!F81))</f>
        <v>4530</v>
      </c>
      <c r="G81" s="142">
        <f>IF(AND('A-10'!F226="-",'A-5'!G33="-",'A-5'!G81="-"),"-",SUM('A-10'!F226,'A-5'!G33,'A-5'!G81))</f>
        <v>6090</v>
      </c>
      <c r="H81" s="142">
        <f>IF(AND('A-10'!G226="-",'A-5'!H33="-",'A-5'!H81="-"),"-",SUM('A-10'!G226,'A-5'!H33,'A-5'!H81))</f>
        <v>9100</v>
      </c>
      <c r="I81" s="142">
        <f>IF(AND('A-10'!H226="-",'A-5'!I33="-",'A-5'!I81="-"),"-",SUM('A-10'!H226,'A-5'!I33,'A-5'!I81))</f>
        <v>3214</v>
      </c>
      <c r="J81" s="142">
        <f>IF(AND('A-10'!I226="-",'A-5'!J33="-",'A-5'!J81="-"),"-",SUM('A-10'!I226,'A-5'!J33,'A-5'!J81))</f>
        <v>233</v>
      </c>
      <c r="K81" s="142" t="str">
        <f>IF(AND('A-10'!J226="-",'A-5'!K33="-",'A-5'!K81="-"),"-",SUM('A-10'!J226,'A-5'!K33,'A-5'!K81))</f>
        <v>-</v>
      </c>
      <c r="L81" s="142">
        <f>SUM(B81:K81)</f>
        <v>29681</v>
      </c>
      <c r="N81" s="142" t="str">
        <f>IF(OR(ISNUMBER('A-5'!N33),ISNUMBER('A-5'!N81)),SUM('A-5'!N33,'A-5'!N81),IF(OR('A-5'!N33="--",'A-5'!N81="--"),"--","-"))</f>
        <v>-</v>
      </c>
      <c r="O81" s="142" t="str">
        <f>IF(OR(ISNUMBER('A-5'!O33),ISNUMBER('A-5'!O81)),SUM('A-5'!O33,'A-5'!O81),IF(OR('A-5'!O33="--",'A-5'!O81="--"),"--","-"))</f>
        <v>-</v>
      </c>
      <c r="P81" s="142" t="str">
        <f>IF(OR(ISNUMBER('A-5'!P33),ISNUMBER('A-5'!P81)),SUM('A-5'!P33,'A-5'!P81),IF(OR('A-5'!P33="--",'A-5'!P81="--"),"--","-"))</f>
        <v>-</v>
      </c>
      <c r="Q81" s="142">
        <f>IF(AND('A-10'!M226="-",'A-5'!Q33="-",'A-5'!Q81="-"),"-",SUM('A-10'!M226,'A-5'!Q33,'A-5'!Q81))</f>
        <v>194</v>
      </c>
      <c r="R81" s="142">
        <f>IF(AND('A-10'!N226="-",'A-5'!R33="-",'A-5'!R81="-"),"-",SUM('A-10'!N226,'A-5'!R33,'A-5'!R81))</f>
        <v>440</v>
      </c>
      <c r="S81" s="142">
        <f>IF(AND('A-10'!O226="-",'A-5'!S33="-",'A-5'!S81="-"),"-",SUM('A-10'!O226,'A-5'!S33,'A-5'!S81))</f>
        <v>787</v>
      </c>
      <c r="T81" s="142">
        <f>IF(AND('A-10'!P226="-",'A-5'!T33="-",'A-5'!T81="-"),"-",SUM('A-10'!P226,'A-5'!T33,'A-5'!T81))</f>
        <v>369</v>
      </c>
      <c r="U81" s="142">
        <f>IF(AND('A-10'!Q226="-",'A-5'!U33="-",'A-5'!U81="-"),"-",SUM('A-10'!Q226,'A-5'!U33,'A-5'!U81))</f>
        <v>42</v>
      </c>
      <c r="V81" s="142">
        <f>IF(AND('A-10'!R226="-",'A-5'!V33="-",'A-5'!V81="-"),"-",SUM('A-10'!R226,'A-5'!V33,'A-5'!V81))</f>
        <v>3</v>
      </c>
      <c r="W81" s="142" t="str">
        <f>IF(AND('A-5'!W33="-",'A-5'!W81="-"),"-",SUM('A-5'!W33,'A-5'!W81))</f>
        <v>-</v>
      </c>
      <c r="X81" s="142">
        <f>SUM(N81:W81)</f>
        <v>1835</v>
      </c>
    </row>
    <row r="82" spans="1:24" ht="11.25" customHeight="1">
      <c r="A82" s="99">
        <v>2005</v>
      </c>
      <c r="B82" s="142" t="s">
        <v>23</v>
      </c>
      <c r="C82" s="142" t="str">
        <f>IF(AND('A-10'!B227="-",'A-5'!C34="-",'A-5'!C82="-"),"-",SUM('A-10'!B227,'A-5'!C34,'A-5'!C82))</f>
        <v>-</v>
      </c>
      <c r="D82" s="142" t="str">
        <f>IF(AND('A-10'!C227="-",'A-5'!D34="-",'A-5'!D82="-"),"-",SUM('A-10'!C227,'A-5'!D34,'A-5'!D82))</f>
        <v>-</v>
      </c>
      <c r="E82" s="142">
        <f>IF(AND('A-10'!D227="-",'A-5'!E34="-",'A-5'!E82="-"),"-",SUM('A-10'!D227,'A-5'!E34,'A-5'!E82))</f>
        <v>1206</v>
      </c>
      <c r="F82" s="142">
        <f>IF(AND('A-10'!E227="-",'A-5'!F34="-",'A-5'!F82="-"),"-",SUM('A-10'!E227,'A-5'!F34,'A-5'!F82))</f>
        <v>10218</v>
      </c>
      <c r="G82" s="142">
        <f>IF(AND('A-10'!F227="-",'A-5'!G34="-",'A-5'!G82="-"),"-",SUM('A-10'!F227,'A-5'!G34,'A-5'!G82))</f>
        <v>2317</v>
      </c>
      <c r="H82" s="142">
        <f>IF(AND('A-10'!G227="-",'A-5'!H34="-",'A-5'!H82="-"),"-",SUM('A-10'!G227,'A-5'!H34,'A-5'!H82))</f>
        <v>5249</v>
      </c>
      <c r="I82" s="142">
        <f>IF(AND('A-10'!H227="-",'A-5'!I34="-",'A-5'!I82="-"),"-",SUM('A-10'!H227,'A-5'!I34,'A-5'!I82))</f>
        <v>3857</v>
      </c>
      <c r="J82" s="142">
        <f>IF(AND('A-10'!I227="-",'A-5'!J34="-",'A-5'!J82="-"),"-",SUM('A-10'!I227,'A-5'!J34,'A-5'!J82))</f>
        <v>404</v>
      </c>
      <c r="K82" s="142" t="str">
        <f>IF(AND('A-10'!J227="-",'A-5'!K34="-",'A-5'!K82="-"),"-",SUM('A-10'!J227,'A-5'!K34,'A-5'!K82))</f>
        <v>-</v>
      </c>
      <c r="L82" s="142">
        <f>SUM(B82:K82)</f>
        <v>23251</v>
      </c>
      <c r="M82" s="24"/>
      <c r="N82" s="142" t="str">
        <f>IF(OR(ISNUMBER('A-5'!N34),ISNUMBER('A-5'!N82)),SUM('A-5'!N34,'A-5'!N82),IF(OR('A-5'!N34="--",'A-5'!N82="--"),"--","-"))</f>
        <v>-</v>
      </c>
      <c r="O82" s="142" t="str">
        <f>IF(OR(ISNUMBER('A-5'!O34),ISNUMBER('A-5'!O82)),SUM('A-5'!O34,'A-5'!O82),IF(OR('A-5'!O34="--",'A-5'!O82="--"),"--","-"))</f>
        <v>-</v>
      </c>
      <c r="P82" s="142" t="str">
        <f>IF(OR(ISNUMBER('A-5'!P34),ISNUMBER('A-5'!P82)),SUM('A-5'!P34,'A-5'!P82),IF(OR('A-5'!P34="--",'A-5'!P82="--"),"--","-"))</f>
        <v>-</v>
      </c>
      <c r="Q82" s="142">
        <f>IF(AND('A-10'!M227="-",'A-5'!Q34="-",'A-5'!Q82="-"),"-",SUM('A-10'!M227,'A-5'!Q34,'A-5'!Q82))</f>
        <v>24</v>
      </c>
      <c r="R82" s="142">
        <f>IF(AND('A-10'!N227="-",'A-5'!R34="-",'A-5'!R82="-"),"-",SUM('A-10'!N227,'A-5'!R34,'A-5'!R82))</f>
        <v>137</v>
      </c>
      <c r="S82" s="142">
        <f>IF(AND('A-10'!O227="-",'A-5'!S34="-",'A-5'!S82="-"),"-",SUM('A-10'!O227,'A-5'!S34,'A-5'!S82))</f>
        <v>3</v>
      </c>
      <c r="T82" s="142">
        <f>IF(AND('A-10'!P227="-",'A-5'!T34="-",'A-5'!T82="-"),"-",SUM('A-10'!P227,'A-5'!T34,'A-5'!T82))</f>
        <v>40</v>
      </c>
      <c r="U82" s="142">
        <f>IF(AND('A-10'!Q227="-",'A-5'!U34="-",'A-5'!U82="-"),"-",SUM('A-10'!Q227,'A-5'!U34,'A-5'!U82))</f>
        <v>57</v>
      </c>
      <c r="V82" s="142" t="str">
        <f>IF(AND('A-10'!R227="-",'A-5'!V34="-",'A-5'!V82="-"),"-",SUM('A-10'!R227,'A-5'!V34,'A-5'!V82))</f>
        <v>-</v>
      </c>
      <c r="W82" s="142" t="str">
        <f>IF(AND('A-5'!W34="-",'A-5'!W82="-"),"-",SUM('A-5'!W34,'A-5'!W82))</f>
        <v>-</v>
      </c>
      <c r="X82" s="142">
        <f>SUM(N82:W82)</f>
        <v>261</v>
      </c>
    </row>
    <row r="83" spans="1:24" ht="11.25" customHeight="1">
      <c r="A83" s="99">
        <v>2006</v>
      </c>
      <c r="B83" s="142" t="s">
        <v>23</v>
      </c>
      <c r="C83" s="142" t="str">
        <f>IF(AND('A-10'!B228="-",'A-5'!C35="-",'A-5'!C83="-"),"-",SUM('A-10'!B228,'A-5'!C35,'A-5'!C83))</f>
        <v>-</v>
      </c>
      <c r="D83" s="142" t="str">
        <f>IF(AND('A-10'!C228="-",'A-5'!D35="-",'A-5'!D83="-"),"-",SUM('A-10'!C228,'A-5'!D35,'A-5'!D83))</f>
        <v>-</v>
      </c>
      <c r="E83" s="142">
        <f>IF(AND('A-10'!D228="-",'A-5'!E35="-",'A-5'!E83="-"),"-",SUM('A-10'!D228,'A-5'!E35,'A-5'!E83))</f>
        <v>4620</v>
      </c>
      <c r="F83" s="142">
        <f>IF(AND('A-10'!E228="-",'A-5'!F35="-",'A-5'!F83="-"),"-",SUM('A-10'!E228,'A-5'!F35,'A-5'!F83))</f>
        <v>6199</v>
      </c>
      <c r="G83" s="142">
        <f>IF(AND('A-10'!F228="-",'A-5'!G35="-",'A-5'!G83="-"),"-",SUM('A-10'!F228,'A-5'!G35,'A-5'!G83))</f>
        <v>2515</v>
      </c>
      <c r="H83" s="142" t="str">
        <f>IF(AND('A-10'!G228="-",'A-5'!H35="-",'A-5'!H83="-"),"-",SUM('A-10'!G228,'A-5'!H35,'A-5'!H83))</f>
        <v>-</v>
      </c>
      <c r="I83" s="142">
        <f>IF(AND('A-10'!H228="-",'A-5'!I35="-",'A-5'!I83="-"),"-",SUM('A-10'!H228,'A-5'!I35,'A-5'!I83))</f>
        <v>4464</v>
      </c>
      <c r="J83" s="142">
        <f>IF(AND('A-10'!I228="-",'A-5'!J35="-",'A-5'!J83="-"),"-",SUM('A-10'!I228,'A-5'!J35,'A-5'!J83))</f>
        <v>397</v>
      </c>
      <c r="K83" s="142" t="str">
        <f>IF(AND('A-10'!J228="-",'A-5'!K35="-",'A-5'!K83="-"),"-",SUM('A-10'!J228,'A-5'!K35,'A-5'!K83))</f>
        <v>-</v>
      </c>
      <c r="L83" s="142">
        <f>SUM(B83:K83)</f>
        <v>18195</v>
      </c>
      <c r="N83" s="142" t="str">
        <f>IF(OR(ISNUMBER('A-5'!N35),ISNUMBER('A-5'!N83)),SUM('A-5'!N35,'A-5'!N83),IF(OR('A-5'!N35="--",'A-5'!N83="--"),"--","-"))</f>
        <v>-</v>
      </c>
      <c r="O83" s="142" t="str">
        <f>IF(OR(ISNUMBER('A-5'!O35),ISNUMBER('A-5'!O83)),SUM('A-5'!O35,'A-5'!O83),IF(OR('A-5'!O35="--",'A-5'!O83="--"),"--","-"))</f>
        <v>-</v>
      </c>
      <c r="P83" s="142" t="str">
        <f>IF(OR(ISNUMBER('A-5'!P35),ISNUMBER('A-5'!P83)),SUM('A-5'!P35,'A-5'!P83),IF(OR('A-5'!P35="--",'A-5'!P83="--"),"--","-"))</f>
        <v>-</v>
      </c>
      <c r="Q83" s="142">
        <f>IF(AND('A-10'!M228="-",'A-5'!Q35="-",'A-5'!Q83="-"),"-",SUM('A-10'!M228,'A-5'!Q35,'A-5'!Q83))</f>
        <v>93</v>
      </c>
      <c r="R83" s="142">
        <f>IF(AND('A-10'!N228="-",'A-5'!R35="-",'A-5'!R83="-"),"-",SUM('A-10'!N228,'A-5'!R35,'A-5'!R83))</f>
        <v>503</v>
      </c>
      <c r="S83" s="142">
        <f>IF(AND('A-10'!O228="-",'A-5'!S35="-",'A-5'!S83="-"),"-",SUM('A-10'!O228,'A-5'!S35,'A-5'!S83))</f>
        <v>150</v>
      </c>
      <c r="T83" s="142" t="str">
        <f>IF(AND('A-10'!P228="-",'A-5'!T35="-",'A-5'!T83="-"),"-",SUM('A-10'!P228,'A-5'!T35,'A-5'!T83))</f>
        <v>-</v>
      </c>
      <c r="U83" s="142">
        <f>IF(AND('A-10'!Q228="-",'A-5'!U35="-",'A-5'!U83="-"),"-",SUM('A-10'!Q228,'A-5'!U35,'A-5'!U83))</f>
        <v>169</v>
      </c>
      <c r="V83" s="142">
        <f>IF(AND('A-10'!R228="-",'A-5'!V35="-",'A-5'!V83="-"),"-",SUM('A-10'!R228,'A-5'!V35,'A-5'!V83))</f>
        <v>7</v>
      </c>
      <c r="W83" s="142" t="str">
        <f>IF(AND('A-5'!W35="-",'A-5'!W83="-"),"-",SUM('A-5'!W35,'A-5'!W83))</f>
        <v>-</v>
      </c>
      <c r="X83" s="142">
        <f>SUM(N83:W83)</f>
        <v>922</v>
      </c>
    </row>
    <row r="84" spans="1:24" ht="11.25" customHeight="1">
      <c r="A84" s="99">
        <v>2007</v>
      </c>
      <c r="B84" s="142" t="s">
        <v>23</v>
      </c>
      <c r="C84" s="142" t="str">
        <f>IF(AND('A-10'!B229="-",'A-5'!C36="-",'A-5'!C84="-"),"-",SUM('A-10'!B229,'A-5'!C36,'A-5'!C84))</f>
        <v>-</v>
      </c>
      <c r="D84" s="142" t="str">
        <f>IF(AND('A-10'!C229="-",'A-5'!D36="-",'A-5'!D84="-"),"-",SUM('A-10'!C229,'A-5'!D36,'A-5'!D84))</f>
        <v>-</v>
      </c>
      <c r="E84" s="142">
        <f>IF(AND('A-10'!D229="-",'A-5'!E36="-",'A-5'!E84="-"),"-",SUM('A-10'!D229,'A-5'!E36,'A-5'!E84))</f>
        <v>841</v>
      </c>
      <c r="F84" s="142">
        <f>IF(AND('A-10'!E229="-",'A-5'!F36="-",'A-5'!F84="-"),"-",SUM('A-10'!E229,'A-5'!F36,'A-5'!F84))</f>
        <v>5290</v>
      </c>
      <c r="G84" s="142">
        <f>IF(AND('A-10'!F229="-",'A-5'!G36="-",'A-5'!G84="-"),"-",SUM('A-10'!F229,'A-5'!G36,'A-5'!G84))</f>
        <v>5001</v>
      </c>
      <c r="H84" s="142">
        <f>IF(AND('A-10'!G229="-",'A-5'!H36="-",'A-5'!H84="-"),"-",SUM('A-10'!G229,'A-5'!H36,'A-5'!H84))</f>
        <v>8064</v>
      </c>
      <c r="I84" s="142">
        <f>IF(AND('A-10'!H229="-",'A-5'!I36="-",'A-5'!I84="-"),"-",SUM('A-10'!H229,'A-5'!I36,'A-5'!I84))</f>
        <v>2215</v>
      </c>
      <c r="J84" s="142">
        <f>IF(AND('A-10'!I229="-",'A-5'!J36="-",'A-5'!J84="-"),"-",SUM('A-10'!I229,'A-5'!J36,'A-5'!J84))</f>
        <v>535</v>
      </c>
      <c r="K84" s="142" t="str">
        <f>IF(AND('A-10'!J229="-",'A-5'!K36="-",'A-5'!K84="-"),"-",SUM('A-10'!J229,'A-5'!K36,'A-5'!K84))</f>
        <v>-</v>
      </c>
      <c r="L84" s="142">
        <f>SUM(B84:K84)</f>
        <v>21946</v>
      </c>
      <c r="M84" s="24"/>
      <c r="N84" s="142" t="str">
        <f>IF(OR(ISNUMBER('A-5'!N36),ISNUMBER('A-5'!N84)),SUM('A-5'!N36,'A-5'!N84),IF(OR('A-5'!N36="--",'A-5'!N84="--"),"--","-"))</f>
        <v>-</v>
      </c>
      <c r="O84" s="142" t="str">
        <f>IF(OR(ISNUMBER('A-5'!O36),ISNUMBER('A-5'!O84)),SUM('A-5'!O36,'A-5'!O84),IF(OR('A-5'!O36="--",'A-5'!O84="--"),"--","-"))</f>
        <v>-</v>
      </c>
      <c r="P84" s="142" t="str">
        <f>IF(OR(ISNUMBER('A-5'!P36),ISNUMBER('A-5'!P84)),SUM('A-5'!P36,'A-5'!P84),IF(OR('A-5'!P36="--",'A-5'!P84="--"),"--","-"))</f>
        <v>-</v>
      </c>
      <c r="Q84" s="142" t="str">
        <f>IF(AND('A-10'!M229="-",'A-5'!Q36="-",'A-5'!Q84="-"),"-",SUM('A-10'!M229,'A-5'!Q36,'A-5'!Q84))</f>
        <v>-</v>
      </c>
      <c r="R84" s="142">
        <f>IF(AND('A-10'!N229="-",'A-5'!R36="-",'A-5'!R84="-"),"-",SUM('A-10'!N229,'A-5'!R36,'A-5'!R84))</f>
        <v>245</v>
      </c>
      <c r="S84" s="142">
        <f>IF(AND('A-10'!O229="-",'A-5'!S36="-",'A-5'!S84="-"),"-",SUM('A-10'!O229,'A-5'!S36,'A-5'!S84))</f>
        <v>745</v>
      </c>
      <c r="T84" s="142">
        <f>IF(AND('A-10'!P229="-",'A-5'!T36="-",'A-5'!T84="-"),"-",SUM('A-10'!P229,'A-5'!T36,'A-5'!T84))</f>
        <v>917</v>
      </c>
      <c r="U84" s="142">
        <f>IF(AND('A-10'!Q229="-",'A-5'!U36="-",'A-5'!U84="-"),"-",SUM('A-10'!Q229,'A-5'!U36,'A-5'!U84))</f>
        <v>60</v>
      </c>
      <c r="V84" s="142">
        <f>IF(AND('A-10'!R229="-",'A-5'!V36="-",'A-5'!V84="-"),"-",SUM('A-10'!R229,'A-5'!V36,'A-5'!V84))</f>
        <v>3</v>
      </c>
      <c r="W84" s="142" t="str">
        <f>IF(AND('A-5'!W36="-",'A-5'!W84="-"),"-",SUM('A-5'!W36,'A-5'!W84))</f>
        <v>-</v>
      </c>
      <c r="X84" s="142">
        <f>SUM(N84:W84)</f>
        <v>1970</v>
      </c>
    </row>
    <row r="85" spans="1:24" ht="11.25" customHeight="1">
      <c r="A85" s="99">
        <v>2008</v>
      </c>
      <c r="B85" s="142" t="s">
        <v>23</v>
      </c>
      <c r="C85" s="142" t="str">
        <f>IF(AND('A-10'!B230="-",'A-5'!C37="-",'A-5'!C85="-"),"-",SUM('A-10'!B230,'A-5'!C37,'A-5'!C85))</f>
        <v>-</v>
      </c>
      <c r="D85" s="142" t="str">
        <f>IF(AND('A-10'!C230="-",'A-5'!D37="-",'A-5'!D85="-"),"-",SUM('A-10'!C230,'A-5'!D37,'A-5'!D85))</f>
        <v>-</v>
      </c>
      <c r="E85" s="142" t="str">
        <f>IF(AND('A-10'!D230="-",'A-5'!E37="-",'A-5'!E85="-"),"-",SUM('A-10'!D230,'A-5'!E37,'A-5'!E85))</f>
        <v>-</v>
      </c>
      <c r="F85" s="142" t="str">
        <f>IF(AND('A-10'!E230="-",'A-5'!F37="-",'A-5'!F85="-"),"-",SUM('A-10'!E230,'A-5'!F37,'A-5'!F85))</f>
        <v>-</v>
      </c>
      <c r="G85" s="142" t="str">
        <f>IF(AND('A-10'!F230="-",'A-5'!G37="-",'A-5'!G85="-"),"-",SUM('A-10'!F230,'A-5'!G37,'A-5'!G85))</f>
        <v>-</v>
      </c>
      <c r="H85" s="142" t="str">
        <f>IF(AND('A-10'!G230="-",'A-5'!H37="-",'A-5'!H85="-"),"-",SUM('A-10'!G230,'A-5'!H37,'A-5'!H85))</f>
        <v>-</v>
      </c>
      <c r="I85" s="142" t="str">
        <f>IF(AND('A-10'!H230="-",'A-5'!I37="-",'A-5'!I85="-"),"-",SUM('A-10'!H230,'A-5'!I37,'A-5'!I85))</f>
        <v>-</v>
      </c>
      <c r="J85" s="142">
        <f>IF(AND('A-10'!I230="-",'A-5'!J37="-",'A-5'!J85="-"),"-",SUM('A-10'!I230,'A-5'!J37,'A-5'!J85))</f>
        <v>280</v>
      </c>
      <c r="K85" s="142" t="s">
        <v>23</v>
      </c>
      <c r="L85" s="142">
        <f>SUM(B85:K85)</f>
        <v>280</v>
      </c>
      <c r="M85" s="24"/>
      <c r="N85" s="142" t="str">
        <f>IF(OR(ISNUMBER('A-5'!N37),ISNUMBER('A-5'!N85)),SUM('A-5'!N37,'A-5'!N85),IF(OR('A-5'!N37="--",'A-5'!N85="--"),"--","-"))</f>
        <v>-</v>
      </c>
      <c r="O85" s="142" t="str">
        <f>IF(OR(ISNUMBER('A-5'!O37),ISNUMBER('A-5'!O85)),SUM('A-5'!O37,'A-5'!O85),IF(OR('A-5'!O37="--",'A-5'!O85="--"),"--","-"))</f>
        <v>-</v>
      </c>
      <c r="P85" s="142" t="str">
        <f>IF(OR(ISNUMBER('A-5'!P37),ISNUMBER('A-5'!P85)),SUM('A-5'!P37,'A-5'!P85),IF(OR('A-5'!P37="--",'A-5'!P85="--"),"--","-"))</f>
        <v>-</v>
      </c>
      <c r="Q85" s="142" t="str">
        <f>IF(AND('A-10'!M230="-",'A-5'!Q37="-",'A-5'!Q85="-"),"-",SUM('A-10'!M230,'A-5'!Q37,'A-5'!Q85))</f>
        <v>-</v>
      </c>
      <c r="R85" s="142">
        <f>IF(AND('A-10'!N230="-",'A-5'!R37="-",'A-5'!R85="-"),"-",SUM('A-10'!N230,'A-5'!R37,'A-5'!R85))</f>
        <v>449</v>
      </c>
      <c r="S85" s="142">
        <f>IF(AND('A-10'!O230="-",'A-5'!S37="-",'A-5'!S85="-"),"-",SUM('A-10'!O230,'A-5'!S37,'A-5'!S85))</f>
        <v>1273</v>
      </c>
      <c r="T85" s="142">
        <f>IF(AND('A-10'!P230="-",'A-5'!T37="-",'A-5'!T85="-"),"-",SUM('A-10'!P230,'A-5'!T37,'A-5'!T85))</f>
        <v>409</v>
      </c>
      <c r="U85" s="142" t="str">
        <f>IF(AND('A-10'!Q230="-",'A-5'!U37="-",'A-5'!U85="-"),"-",SUM('A-10'!Q230,'A-5'!U37,'A-5'!U85))</f>
        <v>-</v>
      </c>
      <c r="V85" s="142">
        <f>IF(AND('A-10'!R230="-",'A-5'!V37="-",'A-5'!V85="-"),"-",SUM('A-10'!R230,'A-5'!V37,'A-5'!V85))</f>
        <v>3</v>
      </c>
      <c r="W85" s="142" t="str">
        <f>IF(AND('A-5'!W37="-",'A-5'!W85="-"),"-",SUM('A-5'!W37,'A-5'!W85))</f>
        <v>-</v>
      </c>
      <c r="X85" s="142">
        <f>SUM(N85:W85)</f>
        <v>2134</v>
      </c>
    </row>
    <row r="86" spans="1:24" ht="11.25" customHeight="1">
      <c r="A86" s="99">
        <v>2009</v>
      </c>
      <c r="B86" s="142" t="s">
        <v>23</v>
      </c>
      <c r="C86" s="142" t="str">
        <f>IF(AND('A-10'!B231="-",'A-5'!C38="-",'A-5'!C86="-"),"-",SUM('A-10'!B231,'A-5'!C38,'A-5'!C86))</f>
        <v>-</v>
      </c>
      <c r="D86" s="142" t="str">
        <f>IF(AND('A-10'!C231="-",'A-5'!D38="-",'A-5'!D86="-"),"-",SUM('A-10'!C231,'A-5'!D38,'A-5'!D86))</f>
        <v>-</v>
      </c>
      <c r="E86" s="142" t="str">
        <f>IF(AND('A-10'!D231="-",'A-5'!E38="-",'A-5'!E86="-"),"-",SUM('A-10'!D231,'A-5'!E38,'A-5'!E86))</f>
        <v>-</v>
      </c>
      <c r="F86" s="142" t="str">
        <f>IF(AND('A-10'!E231="-",'A-5'!F38="-",'A-5'!F86="-"),"-",SUM('A-10'!E231,'A-5'!F38,'A-5'!F86))</f>
        <v>-</v>
      </c>
      <c r="G86" s="142">
        <f>IF(AND('A-10'!F231="-",'A-5'!G38="-",'A-5'!G86="-"),"-",SUM('A-10'!F231,'A-5'!G38,'A-5'!G86))</f>
        <v>9</v>
      </c>
      <c r="H86" s="142">
        <f>IF(AND('A-10'!G231="-",'A-5'!H38="-",'A-5'!H86="-"),"-",SUM('A-10'!G231,'A-5'!H38,'A-5'!H86))</f>
        <v>325</v>
      </c>
      <c r="I86" s="142">
        <f>IF(AND('A-10'!H231="-",'A-5'!I38="-",'A-5'!I86="-"),"-",SUM('A-10'!H231,'A-5'!I38,'A-5'!I86))</f>
        <v>533</v>
      </c>
      <c r="J86" s="142" t="str">
        <f>IF(AND('A-10'!I231="-",'A-5'!J38="-",'A-5'!J86="-"),"-",SUM('A-10'!I231,'A-5'!J38,'A-5'!J86))</f>
        <v>-</v>
      </c>
      <c r="K86" s="142" t="s">
        <v>23</v>
      </c>
      <c r="L86" s="142">
        <f t="shared" ref="L86:L95" si="2">SUM(B86:K86)</f>
        <v>867</v>
      </c>
      <c r="M86" s="24"/>
      <c r="N86" s="142" t="str">
        <f>IF(OR(ISNUMBER('A-5'!N38),ISNUMBER('A-5'!N86)),SUM('A-5'!N38,'A-5'!N86),IF(OR('A-5'!N38="--",'A-5'!N86="--"),"--","-"))</f>
        <v>-</v>
      </c>
      <c r="O86" s="142" t="str">
        <f>IF(OR(ISNUMBER('A-5'!O38),ISNUMBER('A-5'!O86)),SUM('A-5'!O38,'A-5'!O86),IF(OR('A-5'!O38="--",'A-5'!O86="--"),"--","-"))</f>
        <v>-</v>
      </c>
      <c r="P86" s="142" t="str">
        <f>IF(OR(ISNUMBER('A-5'!P38),ISNUMBER('A-5'!P86)),SUM('A-5'!P38,'A-5'!P86),IF(OR('A-5'!P38="--",'A-5'!P86="--"),"--","-"))</f>
        <v>-</v>
      </c>
      <c r="Q86" s="142" t="str">
        <f>IF(AND('A-10'!M231="-",'A-5'!Q38="-",'A-5'!Q86="-"),"-",SUM('A-10'!M231,'A-5'!Q38,'A-5'!Q86))</f>
        <v>-</v>
      </c>
      <c r="R86" s="142">
        <f>IF(AND('A-10'!N231="-",'A-5'!R38="-",'A-5'!R86="-"),"-",SUM('A-10'!N231,'A-5'!R38,'A-5'!R86))</f>
        <v>6</v>
      </c>
      <c r="S86" s="142">
        <f>IF(AND('A-10'!O231="-",'A-5'!S38="-",'A-5'!S86="-"),"-",SUM('A-10'!O231,'A-5'!S38,'A-5'!S86))</f>
        <v>1123</v>
      </c>
      <c r="T86" s="142">
        <f>IF(AND('A-10'!P231="-",'A-5'!T38="-",'A-5'!T86="-"),"-",SUM('A-10'!P231,'A-5'!T38,'A-5'!T86))</f>
        <v>59</v>
      </c>
      <c r="U86" s="142">
        <f>IF(AND('A-10'!Q231="-",'A-5'!U38="-",'A-5'!U86="-"),"-",SUM('A-10'!Q231,'A-5'!U38,'A-5'!U86))</f>
        <v>17</v>
      </c>
      <c r="V86" s="142" t="str">
        <f>IF(AND('A-10'!R231="-",'A-5'!V38="-",'A-5'!V86="-"),"-",SUM('A-10'!R231,'A-5'!V38,'A-5'!V86))</f>
        <v>-</v>
      </c>
      <c r="W86" s="142" t="str">
        <f>IF(AND('A-5'!W38="-",'A-5'!W86="-"),"-",SUM('A-5'!W38,'A-5'!W86))</f>
        <v>-</v>
      </c>
      <c r="X86" s="142">
        <f t="shared" ref="X86:X98" si="3">SUM(N86:W86)</f>
        <v>1205</v>
      </c>
    </row>
    <row r="87" spans="1:24" ht="11.25" customHeight="1">
      <c r="A87" s="99">
        <v>2010</v>
      </c>
      <c r="B87" s="142" t="s">
        <v>23</v>
      </c>
      <c r="C87" s="142" t="str">
        <f>IF(AND('A-10'!B232="-",'A-5'!C39="-",'A-5'!C87="-"),"-",SUM('A-10'!B232,'A-5'!C39,'A-5'!C87))</f>
        <v>-</v>
      </c>
      <c r="D87" s="142" t="str">
        <f>IF(AND('A-10'!C232="-",'A-5'!D39="-",'A-5'!D87="-"),"-",SUM('A-10'!C232,'A-5'!D39,'A-5'!D87))</f>
        <v>-</v>
      </c>
      <c r="E87" s="142">
        <f>IF(AND('A-10'!D232="-",'A-5'!E39="-",'A-5'!E87="-"),"-",SUM('A-10'!D232,'A-5'!E39,'A-5'!E87))</f>
        <v>24</v>
      </c>
      <c r="F87" s="142">
        <f>IF(AND('A-10'!E232="-",'A-5'!F39="-",'A-5'!F87="-"),"-",SUM('A-10'!E232,'A-5'!F39,'A-5'!F87))</f>
        <v>160</v>
      </c>
      <c r="G87" s="142">
        <f>IF(AND('A-10'!F232="-",'A-5'!G39="-",'A-5'!G87="-"),"-",SUM('A-10'!F232,'A-5'!G39,'A-5'!G87))</f>
        <v>40</v>
      </c>
      <c r="H87" s="142">
        <f>IF(AND('A-10'!G232="-",'A-5'!H39="-",'A-5'!H87="-"),"-",SUM('A-10'!G232,'A-5'!H39,'A-5'!H87))</f>
        <v>501</v>
      </c>
      <c r="I87" s="142">
        <f>IF(AND('A-10'!H232="-",'A-5'!I39="-",'A-5'!I87="-"),"-",SUM('A-10'!H232,'A-5'!I39,'A-5'!I87))</f>
        <v>278</v>
      </c>
      <c r="J87" s="142">
        <f>IF(AND('A-10'!I232="-",'A-5'!J39="-",'A-5'!J87="-"),"-",SUM('A-10'!I232,'A-5'!J39,'A-5'!J87))</f>
        <v>541</v>
      </c>
      <c r="K87" s="142" t="s">
        <v>23</v>
      </c>
      <c r="L87" s="142">
        <f t="shared" si="2"/>
        <v>1544</v>
      </c>
      <c r="M87" s="24"/>
      <c r="N87" s="142" t="str">
        <f>IF(OR(ISNUMBER('A-5'!N39),ISNUMBER('A-5'!N87)),SUM('A-5'!N39,'A-5'!N87),IF(OR('A-5'!N39="--",'A-5'!N87="--"),"--","-"))</f>
        <v>-</v>
      </c>
      <c r="O87" s="142" t="str">
        <f>IF(OR(ISNUMBER('A-5'!O39),ISNUMBER('A-5'!O87)),SUM('A-5'!O39,'A-5'!O87),IF(OR('A-5'!O39="--",'A-5'!O87="--"),"--","-"))</f>
        <v>-</v>
      </c>
      <c r="P87" s="142" t="str">
        <f>IF(OR(ISNUMBER('A-5'!P39),ISNUMBER('A-5'!P87)),SUM('A-5'!P39,'A-5'!P87),IF(OR('A-5'!P39="--",'A-5'!P87="--"),"--","-"))</f>
        <v>-</v>
      </c>
      <c r="Q87" s="142" t="str">
        <f>IF(AND('A-10'!M232="-",'A-5'!Q39="-",'A-5'!Q87="-"),"-",SUM('A-10'!M232,'A-5'!Q39,'A-5'!Q87))</f>
        <v>-</v>
      </c>
      <c r="R87" s="142" t="str">
        <f>IF(AND('A-10'!N232="-",'A-5'!R39="-",'A-5'!R87="-"),"-",SUM('A-10'!N232,'A-5'!R39,'A-5'!R87))</f>
        <v>-</v>
      </c>
      <c r="S87" s="142">
        <f>IF(AND('A-10'!O232="-",'A-5'!S39="-",'A-5'!S87="-"),"-",SUM('A-10'!O232,'A-5'!S39,'A-5'!S87))</f>
        <v>19</v>
      </c>
      <c r="T87" s="142">
        <f>IF(AND('A-10'!P232="-",'A-5'!T39="-",'A-5'!T87="-"),"-",SUM('A-10'!P232,'A-5'!T39,'A-5'!T87))</f>
        <v>75</v>
      </c>
      <c r="U87" s="142">
        <f>IF(AND('A-10'!Q232="-",'A-5'!U39="-",'A-5'!U87="-"),"-",SUM('A-10'!Q232,'A-5'!U39,'A-5'!U87))</f>
        <v>16</v>
      </c>
      <c r="V87" s="142" t="str">
        <f>IF(AND('A-10'!R232="-",'A-5'!V39="-",'A-5'!V87="-"),"-",SUM('A-10'!R232,'A-5'!V39,'A-5'!V87))</f>
        <v>-</v>
      </c>
      <c r="W87" s="142" t="str">
        <f>IF(AND('A-5'!W39="-",'A-5'!W87="-"),"-",SUM('A-5'!W39,'A-5'!W87))</f>
        <v>-</v>
      </c>
      <c r="X87" s="142">
        <f t="shared" si="3"/>
        <v>110</v>
      </c>
    </row>
    <row r="88" spans="1:24" ht="11.25" customHeight="1">
      <c r="A88" s="99">
        <v>2011</v>
      </c>
      <c r="B88" s="142" t="s">
        <v>23</v>
      </c>
      <c r="C88" s="142" t="str">
        <f>IF(AND('A-10'!B233="-",'A-5'!C40="-",'A-5'!C88="-"),"-",SUM('A-10'!B233,'A-5'!C40,'A-5'!C88))</f>
        <v>-</v>
      </c>
      <c r="D88" s="142" t="str">
        <f>IF(AND('A-10'!C233="-",'A-5'!D40="-",'A-5'!D88="-"),"-",SUM('A-10'!C233,'A-5'!D40,'A-5'!D88))</f>
        <v>-</v>
      </c>
      <c r="E88" s="142">
        <f>IF(AND('A-10'!D233="-",'A-5'!E40="-",'A-5'!E88="-"),"-",SUM('A-10'!D233,'A-5'!E40,'A-5'!E88))</f>
        <v>814</v>
      </c>
      <c r="F88" s="142">
        <f>IF(AND('A-10'!E233="-",'A-5'!F40="-",'A-5'!F88="-"),"-",SUM('A-10'!E233,'A-5'!F40,'A-5'!F88))</f>
        <v>970</v>
      </c>
      <c r="G88" s="142">
        <f>IF(AND('A-10'!F233="-",'A-5'!G40="-",'A-5'!G88="-"),"-",SUM('A-10'!F233,'A-5'!G40,'A-5'!G88))</f>
        <v>4391</v>
      </c>
      <c r="H88" s="142">
        <f>IF(AND('A-10'!G233="-",'A-5'!H40="-",'A-5'!H88="-"),"-",SUM('A-10'!G233,'A-5'!H40,'A-5'!H88))</f>
        <v>4018</v>
      </c>
      <c r="I88" s="142">
        <f>IF(AND('A-10'!H233="-",'A-5'!I40="-",'A-5'!I88="-"),"-",SUM('A-10'!H233,'A-5'!I40,'A-5'!I88))</f>
        <v>497</v>
      </c>
      <c r="J88" s="142">
        <f>IF(AND('A-10'!I233="-",'A-5'!J40="-",'A-5'!J88="-"),"-",SUM('A-10'!I233,'A-5'!J40,'A-5'!J88))</f>
        <v>233</v>
      </c>
      <c r="K88" s="142" t="s">
        <v>23</v>
      </c>
      <c r="L88" s="142">
        <f t="shared" si="2"/>
        <v>10923</v>
      </c>
      <c r="M88" s="24"/>
      <c r="N88" s="142" t="str">
        <f>IF(OR(ISNUMBER('A-5'!N40),ISNUMBER('A-5'!N88)),SUM('A-5'!N40,'A-5'!N88),IF(OR('A-5'!N40="--",'A-5'!N88="--"),"--","-"))</f>
        <v>-</v>
      </c>
      <c r="O88" s="142" t="str">
        <f>IF(OR(ISNUMBER('A-5'!O40),ISNUMBER('A-5'!O88)),SUM('A-5'!O40,'A-5'!O88),IF(OR('A-5'!O40="--",'A-5'!O88="--"),"--","-"))</f>
        <v>-</v>
      </c>
      <c r="P88" s="142" t="str">
        <f>IF(OR(ISNUMBER('A-5'!P40),ISNUMBER('A-5'!P88)),SUM('A-5'!P40,'A-5'!P88),IF(OR('A-5'!P40="--",'A-5'!P88="--"),"--","-"))</f>
        <v>-</v>
      </c>
      <c r="Q88" s="142">
        <f>IF(AND('A-10'!M233="-",'A-5'!Q40="-",'A-5'!Q88="-"),"-",SUM('A-10'!M233,'A-5'!Q40,'A-5'!Q88))</f>
        <v>5</v>
      </c>
      <c r="R88" s="142">
        <f>IF(AND('A-10'!N233="-",'A-5'!R40="-",'A-5'!R88="-"),"-",SUM('A-10'!N233,'A-5'!R40,'A-5'!R88))</f>
        <v>10</v>
      </c>
      <c r="S88" s="142">
        <f>IF(AND('A-10'!O233="-",'A-5'!S40="-",'A-5'!S88="-"),"-",SUM('A-10'!O233,'A-5'!S40,'A-5'!S88))</f>
        <v>62</v>
      </c>
      <c r="T88" s="142">
        <f>IF(AND('A-10'!P233="-",'A-5'!T40="-",'A-5'!T88="-"),"-",SUM('A-10'!P233,'A-5'!T40,'A-5'!T88))</f>
        <v>37</v>
      </c>
      <c r="U88" s="142">
        <f>IF(AND('A-10'!Q233="-",'A-5'!U40="-",'A-5'!U88="-"),"-",SUM('A-10'!Q233,'A-5'!U40,'A-5'!U88))</f>
        <v>12</v>
      </c>
      <c r="V88" s="142" t="str">
        <f>IF(AND('A-10'!R233="-",'A-5'!V40="-",'A-5'!V88="-"),"-",SUM('A-10'!R233,'A-5'!V40,'A-5'!V88))</f>
        <v>-</v>
      </c>
      <c r="W88" s="142" t="str">
        <f>IF(AND('A-5'!W40="-",'A-5'!W88="-"),"-",SUM('A-5'!W40,'A-5'!W88))</f>
        <v>-</v>
      </c>
      <c r="X88" s="142">
        <f t="shared" si="3"/>
        <v>126</v>
      </c>
    </row>
    <row r="89" spans="1:24" ht="11.25" customHeight="1">
      <c r="A89" s="99">
        <v>2012</v>
      </c>
      <c r="B89" s="142" t="s">
        <v>23</v>
      </c>
      <c r="C89" s="142" t="str">
        <f>IF(AND('A-10'!B234="-",'A-5'!C41="-",'A-5'!C89="-"),"-",SUM('A-10'!B234,'A-5'!C41,'A-5'!C89))</f>
        <v>-</v>
      </c>
      <c r="D89" s="142" t="str">
        <f>IF(AND('A-10'!C234="-",'A-5'!D41="-",'A-5'!D89="-"),"-",SUM('A-10'!C234,'A-5'!D41,'A-5'!D89))</f>
        <v>-</v>
      </c>
      <c r="E89" s="142">
        <f>IF(AND('A-10'!D234="-",'A-5'!E41="-",'A-5'!E89="-"),"-",SUM('A-10'!D234,'A-5'!E41,'A-5'!E89))</f>
        <v>3911</v>
      </c>
      <c r="F89" s="142">
        <f>IF(AND('A-10'!E234="-",'A-5'!F41="-",'A-5'!F89="-"),"-",SUM('A-10'!E234,'A-5'!F41,'A-5'!F89))</f>
        <v>11769</v>
      </c>
      <c r="G89" s="142">
        <f>IF(AND('A-10'!F234="-",'A-5'!G41="-",'A-5'!G89="-"),"-",SUM('A-10'!F234,'A-5'!G41,'A-5'!G89))</f>
        <v>14139</v>
      </c>
      <c r="H89" s="142">
        <f>IF(AND('A-10'!G234="-",'A-5'!H41="-",'A-5'!H89="-"),"-",SUM('A-10'!G234,'A-5'!H41,'A-5'!H89))</f>
        <v>14502</v>
      </c>
      <c r="I89" s="142">
        <f>IF(AND('A-10'!H234="-",'A-5'!I41="-",'A-5'!I89="-"),"-",SUM('A-10'!H234,'A-5'!I41,'A-5'!I89))</f>
        <v>3912</v>
      </c>
      <c r="J89" s="142">
        <f>IF(AND('A-10'!I234="-",'A-5'!J41="-",'A-5'!J89="-"),"-",SUM('A-10'!I234,'A-5'!J41,'A-5'!J89))</f>
        <v>534</v>
      </c>
      <c r="K89" s="142" t="s">
        <v>23</v>
      </c>
      <c r="L89" s="142">
        <f t="shared" si="2"/>
        <v>48767</v>
      </c>
      <c r="M89" s="24"/>
      <c r="N89" s="142" t="str">
        <f>IF(OR(ISNUMBER('A-5'!N41),ISNUMBER('A-5'!N89)),SUM('A-5'!N41,'A-5'!N89),IF(OR('A-5'!N41="--",'A-5'!N89="--"),"--","-"))</f>
        <v>-</v>
      </c>
      <c r="O89" s="142" t="str">
        <f>IF(OR(ISNUMBER('A-5'!O41),ISNUMBER('A-5'!O89)),SUM('A-5'!O41,'A-5'!O89),IF(OR('A-5'!O41="--",'A-5'!O89="--"),"--","-"))</f>
        <v>-</v>
      </c>
      <c r="P89" s="142" t="str">
        <f>IF(OR(ISNUMBER('A-5'!P41),ISNUMBER('A-5'!P89)),SUM('A-5'!P41,'A-5'!P89),IF(OR('A-5'!P41="--",'A-5'!P89="--"),"--","-"))</f>
        <v>-</v>
      </c>
      <c r="Q89" s="142" t="str">
        <f>IF(AND('A-10'!M234="-",'A-5'!Q41="-",'A-5'!Q89="-"),"-",SUM('A-10'!M234,'A-5'!Q41,'A-5'!Q89))</f>
        <v>-</v>
      </c>
      <c r="R89" s="142">
        <f>IF(AND('A-10'!N234="-",'A-5'!R41="-",'A-5'!R89="-"),"-",SUM('A-10'!N234,'A-5'!R41,'A-5'!R89))</f>
        <v>50</v>
      </c>
      <c r="S89" s="142">
        <f>IF(AND('A-10'!O234="-",'A-5'!S41="-",'A-5'!S89="-"),"-",SUM('A-10'!O234,'A-5'!S41,'A-5'!S89))</f>
        <v>176</v>
      </c>
      <c r="T89" s="142">
        <f>IF(AND('A-10'!P234="-",'A-5'!T41="-",'A-5'!T89="-"),"-",SUM('A-10'!P234,'A-5'!T41,'A-5'!T89))</f>
        <v>48</v>
      </c>
      <c r="U89" s="142" t="str">
        <f>IF(AND('A-10'!Q234="-",'A-5'!U41="-",'A-5'!U89="-"),"-",SUM('A-10'!Q234,'A-5'!U41,'A-5'!U89))</f>
        <v>-</v>
      </c>
      <c r="V89" s="142">
        <f>IF(AND('A-10'!R234="-",'A-5'!V41="-",'A-5'!V89="-"),"-",SUM('A-10'!R234,'A-5'!V41,'A-5'!V89))</f>
        <v>2</v>
      </c>
      <c r="W89" s="142" t="str">
        <f>IF(AND('A-5'!W41="-",'A-5'!W89="-"),"-",SUM('A-5'!W41,'A-5'!W89))</f>
        <v>-</v>
      </c>
      <c r="X89" s="142">
        <f t="shared" si="3"/>
        <v>276</v>
      </c>
    </row>
    <row r="90" spans="1:24" ht="11.25" customHeight="1">
      <c r="A90" s="99">
        <v>2013</v>
      </c>
      <c r="B90" s="142" t="s">
        <v>23</v>
      </c>
      <c r="C90" s="142" t="str">
        <f>IF(AND('A-10'!B235="-",'A-5'!C42="-",'A-5'!C90="-"),"-",SUM('A-10'!B235,'A-5'!C42,'A-5'!C90))</f>
        <v>-</v>
      </c>
      <c r="D90" s="142" t="str">
        <f>IF(AND('A-10'!C235="-",'A-5'!D42="-",'A-5'!D90="-"),"-",SUM('A-10'!C235,'A-5'!D42,'A-5'!D90))</f>
        <v>-</v>
      </c>
      <c r="E90" s="142">
        <f>IF(AND('A-10'!D235="-",'A-5'!E42="-",'A-5'!E90="-"),"-",SUM('A-10'!D235,'A-5'!E42,'A-5'!E90))</f>
        <v>2585</v>
      </c>
      <c r="F90" s="142">
        <f>IF(AND('A-10'!E235="-",'A-5'!F42="-",'A-5'!F90="-"),"-",SUM('A-10'!E235,'A-5'!F42,'A-5'!F90))</f>
        <v>12329</v>
      </c>
      <c r="G90" s="142">
        <f>IF(AND('A-10'!F235="-",'A-5'!G42="-",'A-5'!G90="-"),"-",SUM('A-10'!F235,'A-5'!G42,'A-5'!G90))</f>
        <v>16247</v>
      </c>
      <c r="H90" s="142">
        <f>IF(AND('A-10'!G235="-",'A-5'!H42="-",'A-5'!H90="-"),"-",SUM('A-10'!G235,'A-5'!H42,'A-5'!H90))</f>
        <v>11996</v>
      </c>
      <c r="I90" s="142">
        <f>IF(AND('A-10'!H235="-",'A-5'!I42="-",'A-5'!I90="-"),"-",SUM('A-10'!H235,'A-5'!I42,'A-5'!I90))</f>
        <v>459</v>
      </c>
      <c r="J90" s="142">
        <f>IF(AND('A-10'!I235="-",'A-5'!J42="-",'A-5'!J90="-"),"-",SUM('A-10'!I235,'A-5'!J42,'A-5'!J90))</f>
        <v>814</v>
      </c>
      <c r="K90" s="142" t="s">
        <v>23</v>
      </c>
      <c r="L90" s="142">
        <f t="shared" si="2"/>
        <v>44430</v>
      </c>
      <c r="M90" s="24"/>
      <c r="N90" s="142" t="str">
        <f>IF(OR(ISNUMBER('A-5'!N42),ISNUMBER('A-5'!N90)),SUM('A-5'!N42,'A-5'!N90),IF(OR('A-5'!N42="--",'A-5'!N90="--"),"--","-"))</f>
        <v>-</v>
      </c>
      <c r="O90" s="142" t="str">
        <f>IF(OR(ISNUMBER('A-5'!O42),ISNUMBER('A-5'!O90)),SUM('A-5'!O42,'A-5'!O90),IF(OR('A-5'!O42="--",'A-5'!O90="--"),"--","-"))</f>
        <v>-</v>
      </c>
      <c r="P90" s="142" t="str">
        <f>IF(OR(ISNUMBER('A-5'!P42),ISNUMBER('A-5'!P90)),SUM('A-5'!P42,'A-5'!P90),IF(OR('A-5'!P42="--",'A-5'!P90="--"),"--","-"))</f>
        <v>-</v>
      </c>
      <c r="Q90" s="142" t="str">
        <f>IF(AND('A-10'!M235="-",'A-5'!Q42="-",'A-5'!Q90="-"),"-",SUM('A-10'!M235,'A-5'!Q42,'A-5'!Q90))</f>
        <v>-</v>
      </c>
      <c r="R90" s="142">
        <f>IF(AND('A-10'!N235="-",'A-5'!R42="-",'A-5'!R90="-"),"-",SUM('A-10'!N235,'A-5'!R42,'A-5'!R90))</f>
        <v>65</v>
      </c>
      <c r="S90" s="142">
        <f>IF(AND('A-10'!O235="-",'A-5'!S42="-",'A-5'!S90="-"),"-",SUM('A-10'!O235,'A-5'!S42,'A-5'!S90))</f>
        <v>360</v>
      </c>
      <c r="T90" s="142">
        <f>IF(AND('A-10'!P235="-",'A-5'!T42="-",'A-5'!T90="-"),"-",SUM('A-10'!P235,'A-5'!T42,'A-5'!T90))</f>
        <v>245</v>
      </c>
      <c r="U90" s="142" t="str">
        <f>IF(AND('A-10'!Q235="-",'A-5'!U42="-",'A-5'!U90="-"),"-",SUM('A-10'!Q235,'A-5'!U42,'A-5'!U90))</f>
        <v>-</v>
      </c>
      <c r="V90" s="142">
        <f>IF(AND('A-10'!R235="-",'A-5'!V42="-",'A-5'!V90="-"),"-",SUM('A-10'!R235,'A-5'!V42,'A-5'!V90))</f>
        <v>6</v>
      </c>
      <c r="W90" s="142" t="str">
        <f>IF(AND('A-5'!W42="-",'A-5'!W90="-"),"-",SUM('A-5'!W42,'A-5'!W90))</f>
        <v>-</v>
      </c>
      <c r="X90" s="142">
        <f t="shared" si="3"/>
        <v>676</v>
      </c>
    </row>
    <row r="91" spans="1:24" ht="11.25" customHeight="1">
      <c r="A91" s="99">
        <v>2014</v>
      </c>
      <c r="B91" s="142" t="s">
        <v>23</v>
      </c>
      <c r="C91" s="142" t="str">
        <f>IF(AND('A-10'!B236="-",'A-5'!C43="-",'A-5'!C91="-"),"-",SUM('A-10'!B236,'A-5'!C43,'A-5'!C91))</f>
        <v>-</v>
      </c>
      <c r="D91" s="142" t="str">
        <f>IF(AND('A-10'!C236="-",'A-5'!D43="-",'A-5'!D91="-"),"-",SUM('A-10'!C236,'A-5'!D43,'A-5'!D91))</f>
        <v>-</v>
      </c>
      <c r="E91" s="142">
        <f>IF(AND('A-10'!D236="-",'A-5'!E43="-",'A-5'!E91="-"),"-",SUM('A-10'!D236,'A-5'!E43,'A-5'!E91))</f>
        <v>4413</v>
      </c>
      <c r="F91" s="142">
        <f>IF(AND('A-10'!E236="-",'A-5'!F43="-",'A-5'!F91="-"),"-",SUM('A-10'!E236,'A-5'!F43,'A-5'!F91))</f>
        <v>5756</v>
      </c>
      <c r="G91" s="142">
        <f>IF(AND('A-10'!F236="-",'A-5'!G43="-",'A-5'!G91="-"),"-",SUM('A-10'!F236,'A-5'!G43,'A-5'!G91))</f>
        <v>7784</v>
      </c>
      <c r="H91" s="142">
        <f>IF(AND('A-10'!G236="-",'A-5'!H43="-",'A-5'!H91="-"),"-",SUM('A-10'!G236,'A-5'!H43,'A-5'!H91))</f>
        <v>3259</v>
      </c>
      <c r="I91" s="142">
        <f>IF(AND('A-10'!H236="-",'A-5'!I43="-",'A-5'!I91="-"),"-",SUM('A-10'!H236,'A-5'!I43,'A-5'!I91))</f>
        <v>319</v>
      </c>
      <c r="J91" s="142">
        <f>IF(AND('A-10'!I236="-",'A-5'!J43="-",'A-5'!J91="-"),"-",SUM('A-10'!I236,'A-5'!J43,'A-5'!J91))</f>
        <v>1115</v>
      </c>
      <c r="K91" s="142" t="s">
        <v>23</v>
      </c>
      <c r="L91" s="142">
        <f t="shared" si="2"/>
        <v>22646</v>
      </c>
      <c r="M91" s="24"/>
      <c r="N91" s="142" t="str">
        <f>IF(OR(ISNUMBER('A-5'!N43),ISNUMBER('A-5'!N91)),SUM('A-5'!N43,'A-5'!N91),IF(OR('A-5'!N43="--",'A-5'!N91="--"),"--","-"))</f>
        <v>-</v>
      </c>
      <c r="O91" s="142" t="str">
        <f>IF(OR(ISNUMBER('A-5'!O43),ISNUMBER('A-5'!O91)),SUM('A-5'!O43,'A-5'!O91),IF(OR('A-5'!O43="--",'A-5'!O91="--"),"--","-"))</f>
        <v>-</v>
      </c>
      <c r="P91" s="142" t="str">
        <f>IF(OR(ISNUMBER('A-5'!P43),ISNUMBER('A-5'!P91)),SUM('A-5'!P43,'A-5'!P91),IF(OR('A-5'!P43="--",'A-5'!P91="--"),"--","-"))</f>
        <v>-</v>
      </c>
      <c r="Q91" s="142">
        <f>IF(AND('A-10'!M236="-",'A-5'!Q43="-",'A-5'!Q91="-"),"-",SUM('A-10'!M236,'A-5'!Q43,'A-5'!Q91))</f>
        <v>22</v>
      </c>
      <c r="R91" s="142">
        <f>IF(AND('A-10'!N236="-",'A-5'!R43="-",'A-5'!R91="-"),"-",SUM('A-10'!N236,'A-5'!R43,'A-5'!R91))</f>
        <v>119</v>
      </c>
      <c r="S91" s="142">
        <f>IF(AND('A-10'!O236="-",'A-5'!S43="-",'A-5'!S91="-"),"-",SUM('A-10'!O236,'A-5'!S43,'A-5'!S91))</f>
        <v>696</v>
      </c>
      <c r="T91" s="142">
        <f>IF(AND('A-10'!P236="-",'A-5'!T43="-",'A-5'!T91="-"),"-",SUM('A-10'!P236,'A-5'!T43,'A-5'!T91))</f>
        <v>9</v>
      </c>
      <c r="U91" s="142">
        <f>IF(AND('A-10'!Q236="-",'A-5'!U43="-",'A-5'!U91="-"),"-",SUM('A-10'!Q236,'A-5'!U43,'A-5'!U91))</f>
        <v>3</v>
      </c>
      <c r="V91" s="142" t="str">
        <f>IF(AND('A-10'!R236="-",'A-5'!V43="-",'A-5'!V91="-"),"-",SUM('A-10'!R236,'A-5'!V43,'A-5'!V91))</f>
        <v>-</v>
      </c>
      <c r="W91" s="142" t="str">
        <f>IF(AND('A-5'!W43="-",'A-5'!W91="-"),"-",SUM('A-5'!W43,'A-5'!W91))</f>
        <v>-</v>
      </c>
      <c r="X91" s="142">
        <f t="shared" si="3"/>
        <v>849</v>
      </c>
    </row>
    <row r="92" spans="1:24" ht="11.25" customHeight="1">
      <c r="A92" s="99">
        <v>2015</v>
      </c>
      <c r="B92" s="142" t="s">
        <v>23</v>
      </c>
      <c r="C92" s="142" t="str">
        <f>IF(AND('A-10'!B237="-",'A-5'!C44="-",'A-5'!C92="-"),"-",SUM('A-10'!B237,'A-5'!C44,'A-5'!C92))</f>
        <v>-</v>
      </c>
      <c r="D92" s="142" t="str">
        <f>IF(AND('A-10'!C237="-",'A-5'!D44="-",'A-5'!D92="-"),"-",SUM('A-10'!C237,'A-5'!D44,'A-5'!D92))</f>
        <v>-</v>
      </c>
      <c r="E92" s="142">
        <f>IF(AND('A-10'!D237="-",'A-5'!E44="-",'A-5'!E92="-"),"-",SUM('A-10'!D237,'A-5'!E44,'A-5'!E92))</f>
        <v>930</v>
      </c>
      <c r="F92" s="142">
        <f>IF(AND('A-10'!E237="-",'A-5'!F44="-",'A-5'!F92="-"),"-",SUM('A-10'!E237,'A-5'!F44,'A-5'!F92))</f>
        <v>376</v>
      </c>
      <c r="G92" s="142">
        <f>IF(AND('A-10'!F237="-",'A-5'!G44="-",'A-5'!G92="-"),"-",SUM('A-10'!F237,'A-5'!G44,'A-5'!G92))</f>
        <v>1237</v>
      </c>
      <c r="H92" s="142">
        <f>IF(AND('A-10'!G237="-",'A-5'!H44="-",'A-5'!H92="-"),"-",SUM('A-10'!G237,'A-5'!H44,'A-5'!H92))</f>
        <v>1454</v>
      </c>
      <c r="I92" s="142">
        <f>IF(AND('A-10'!H237="-",'A-5'!I44="-",'A-5'!I92="-"),"-",SUM('A-10'!H237,'A-5'!I44,'A-5'!I92))</f>
        <v>85</v>
      </c>
      <c r="J92" s="142">
        <f>IF(AND('A-10'!I237="-",'A-5'!J44="-",'A-5'!J92="-"),"-",SUM('A-10'!I237,'A-5'!J44,'A-5'!J92))</f>
        <v>792</v>
      </c>
      <c r="K92" s="142" t="s">
        <v>23</v>
      </c>
      <c r="L92" s="142">
        <f t="shared" si="2"/>
        <v>4874</v>
      </c>
      <c r="M92" s="24"/>
      <c r="N92" s="142" t="str">
        <f>IF(OR(ISNUMBER('A-5'!N44),ISNUMBER('A-5'!N92)),SUM('A-5'!N44,'A-5'!N92),IF(OR('A-5'!N44="--",'A-5'!N92="--"),"--","-"))</f>
        <v>-</v>
      </c>
      <c r="O92" s="142" t="str">
        <f>IF(OR(ISNUMBER('A-5'!O44),ISNUMBER('A-5'!O92)),SUM('A-5'!O44,'A-5'!O92),IF(OR('A-5'!O44="--",'A-5'!O92="--"),"--","-"))</f>
        <v>-</v>
      </c>
      <c r="P92" s="142" t="str">
        <f>IF(OR(ISNUMBER('A-5'!P44),ISNUMBER('A-5'!P92)),SUM('A-5'!P44,'A-5'!P92),IF(OR('A-5'!P44="--",'A-5'!P92="--"),"--","-"))</f>
        <v>-</v>
      </c>
      <c r="Q92" s="142" t="str">
        <f>IF(AND('A-10'!M237="-",'A-5'!Q44="-",'A-5'!Q92="-"),"-",SUM('A-10'!M237,'A-5'!Q44,'A-5'!Q92))</f>
        <v>-</v>
      </c>
      <c r="R92" s="142">
        <f>IF(AND('A-10'!N237="-",'A-5'!R44="-",'A-5'!R92="-"),"-",SUM('A-10'!N237,'A-5'!R44,'A-5'!R92))</f>
        <v>13</v>
      </c>
      <c r="S92" s="142">
        <f>IF(AND('A-10'!O237="-",'A-5'!S44="-",'A-5'!S92="-"),"-",SUM('A-10'!O237,'A-5'!S44,'A-5'!S92))</f>
        <v>122</v>
      </c>
      <c r="T92" s="142">
        <f>IF(AND('A-10'!P237="-",'A-5'!T44="-",'A-5'!T92="-"),"-",SUM('A-10'!P237,'A-5'!T44,'A-5'!T92))</f>
        <v>5</v>
      </c>
      <c r="U92" s="142">
        <f>IF(AND('A-10'!Q237="-",'A-5'!U44="-",'A-5'!U92="-"),"-",SUM('A-10'!Q237,'A-5'!U44,'A-5'!U92))</f>
        <v>4</v>
      </c>
      <c r="V92" s="142">
        <f>IF(AND('A-10'!R237="-",'A-5'!V44="-",'A-5'!V92="-"),"-",SUM('A-10'!R237,'A-5'!V44,'A-5'!V92))</f>
        <v>6</v>
      </c>
      <c r="W92" s="142" t="str">
        <f>IF(AND('A-5'!W44="-",'A-5'!W92="-"),"-",SUM('A-5'!W44,'A-5'!W92))</f>
        <v>-</v>
      </c>
      <c r="X92" s="142">
        <f t="shared" si="3"/>
        <v>150</v>
      </c>
    </row>
    <row r="93" spans="1:24" ht="11.25" customHeight="1">
      <c r="A93" s="99">
        <v>2016</v>
      </c>
      <c r="B93" s="142" t="s">
        <v>23</v>
      </c>
      <c r="C93" s="142" t="str">
        <f>IF(AND('A-10'!B238="-",'A-5'!C45="-",'A-5'!C93="-"),"-",SUM('A-10'!B238,'A-5'!C45,'A-5'!C93))</f>
        <v>-</v>
      </c>
      <c r="D93" s="142" t="str">
        <f>IF(AND('A-10'!C238="-",'A-5'!D45="-",'A-5'!D93="-"),"-",SUM('A-10'!C238,'A-5'!D45,'A-5'!D93))</f>
        <v>-</v>
      </c>
      <c r="E93" s="142">
        <f>IF(AND('A-10'!D238="-",'A-5'!E45="-",'A-5'!E93="-"),"-",SUM('A-10'!D238,'A-5'!E45,'A-5'!E93))</f>
        <v>1454</v>
      </c>
      <c r="F93" s="142">
        <f>IF(AND('A-10'!E238="-",'A-5'!F45="-",'A-5'!F93="-"),"-",SUM('A-10'!E238,'A-5'!F45,'A-5'!F93))</f>
        <v>1025</v>
      </c>
      <c r="G93" s="142">
        <f>IF(AND('A-10'!F238="-",'A-5'!G45="-",'A-5'!G93="-"),"-",SUM('A-10'!F238,'A-5'!G45,'A-5'!G93))</f>
        <v>1506</v>
      </c>
      <c r="H93" s="142">
        <f>IF(AND('A-10'!G238="-",'A-5'!H45="-",'A-5'!H93="-"),"-",SUM('A-10'!G238,'A-5'!H45,'A-5'!H93))</f>
        <v>649</v>
      </c>
      <c r="I93" s="142">
        <f>IF(AND('A-10'!H238="-",'A-5'!I45="-",'A-5'!I93="-"),"-",SUM('A-10'!H238,'A-5'!I45,'A-5'!I93))</f>
        <v>582</v>
      </c>
      <c r="J93" s="142">
        <f>IF(AND('A-10'!I238="-",'A-5'!J45="-",'A-5'!J93="-"),"-",SUM('A-10'!I238,'A-5'!J45,'A-5'!J93))</f>
        <v>287</v>
      </c>
      <c r="K93" s="142" t="s">
        <v>23</v>
      </c>
      <c r="L93" s="142">
        <f t="shared" si="2"/>
        <v>5503</v>
      </c>
      <c r="M93" s="24"/>
      <c r="N93" s="142" t="str">
        <f>IF(OR(ISNUMBER('A-5'!N45),ISNUMBER('A-5'!N93)),SUM('A-5'!N45,'A-5'!N93),IF(OR('A-5'!N45="--",'A-5'!N93="--"),"--","-"))</f>
        <v>-</v>
      </c>
      <c r="O93" s="142" t="str">
        <f>IF(OR(ISNUMBER('A-5'!O45),ISNUMBER('A-5'!O93)),SUM('A-5'!O45,'A-5'!O93),IF(OR('A-5'!O45="--",'A-5'!O93="--"),"--","-"))</f>
        <v>-</v>
      </c>
      <c r="P93" s="142" t="str">
        <f>IF(OR(ISNUMBER('A-5'!P45),ISNUMBER('A-5'!P93)),SUM('A-5'!P45,'A-5'!P93),IF(OR('A-5'!P45="--",'A-5'!P93="--"),"--","-"))</f>
        <v>-</v>
      </c>
      <c r="Q93" s="142" t="str">
        <f>IF(AND('A-10'!M238="-",'A-5'!Q45="-",'A-5'!Q93="-"),"-",SUM('A-10'!M238,'A-5'!Q45,'A-5'!Q93))</f>
        <v>-</v>
      </c>
      <c r="R93" s="142">
        <f>IF(AND('A-10'!N238="-",'A-5'!R45="-",'A-5'!R93="-"),"-",SUM('A-10'!N238,'A-5'!R45,'A-5'!R93))</f>
        <v>29</v>
      </c>
      <c r="S93" s="142">
        <f>IF(AND('A-10'!O238="-",'A-5'!S45="-",'A-5'!S93="-"),"-",SUM('A-10'!O238,'A-5'!S45,'A-5'!S93))</f>
        <v>45</v>
      </c>
      <c r="T93" s="142">
        <f>IF(AND('A-10'!P238="-",'A-5'!T45="-",'A-5'!T93="-"),"-",SUM('A-10'!P238,'A-5'!T45,'A-5'!T93))</f>
        <v>3</v>
      </c>
      <c r="U93" s="142">
        <f>IF(AND('A-10'!Q238="-",'A-5'!U45="-",'A-5'!U93="-"),"-",SUM('A-10'!Q238,'A-5'!U45,'A-5'!U93))</f>
        <v>2</v>
      </c>
      <c r="V93" s="142" t="str">
        <f>IF(AND('A-10'!R238="-",'A-5'!V45="-",'A-5'!V93="-"),"-",SUM('A-10'!R238,'A-5'!V45,'A-5'!V93))</f>
        <v>-</v>
      </c>
      <c r="W93" s="142" t="str">
        <f>IF(AND('A-5'!W45="-",'A-5'!W93="-"),"-",SUM('A-5'!W45,'A-5'!W93))</f>
        <v>-</v>
      </c>
      <c r="X93" s="142">
        <f t="shared" si="3"/>
        <v>79</v>
      </c>
    </row>
    <row r="94" spans="1:24" ht="11.25" customHeight="1">
      <c r="A94" s="99">
        <v>2017</v>
      </c>
      <c r="B94" s="142" t="s">
        <v>23</v>
      </c>
      <c r="C94" s="142" t="str">
        <f>IF(AND('A-10'!B239="-",'A-5'!C46="-",'A-5'!C94="-"),"-",SUM('A-10'!B239,'A-5'!C46,'A-5'!C94))</f>
        <v>-</v>
      </c>
      <c r="D94" s="142" t="str">
        <f>IF(AND('A-10'!C239="-",'A-5'!D46="-",'A-5'!D94="-"),"-",SUM('A-10'!C239,'A-5'!D46,'A-5'!D94))</f>
        <v>-</v>
      </c>
      <c r="E94" s="142" t="str">
        <f>IF(AND('A-10'!D239="-",'A-5'!E46="-",'A-5'!E94="-"),"-",SUM('A-10'!D239,'A-5'!E46,'A-5'!E94))</f>
        <v>-</v>
      </c>
      <c r="F94" s="142" t="str">
        <f>IF(AND('A-10'!E239="-",'A-5'!F46="-",'A-5'!F94="-"),"-",SUM('A-10'!E239,'A-5'!F46,'A-5'!F94))</f>
        <v>-</v>
      </c>
      <c r="G94" s="142" t="str">
        <f>IF(AND('A-10'!F239="-",'A-5'!G46="-",'A-5'!G94="-"),"-",SUM('A-10'!F239,'A-5'!G46,'A-5'!G94))</f>
        <v>-</v>
      </c>
      <c r="H94" s="142" t="str">
        <f>IF(AND('A-10'!G239="-",'A-5'!H46="-",'A-5'!H94="-"),"-",SUM('A-10'!G239,'A-5'!H46,'A-5'!H94))</f>
        <v>-</v>
      </c>
      <c r="I94" s="142" t="str">
        <f>IF(AND('A-10'!H239="-",'A-5'!I46="-",'A-5'!I94="-"),"-",SUM('A-10'!H239,'A-5'!I46,'A-5'!I94))</f>
        <v>-</v>
      </c>
      <c r="J94" s="142">
        <f>IF(AND('A-10'!I239="-",'A-5'!J46="-",'A-5'!J94="-"),"-",SUM('A-10'!I239,'A-5'!J46,'A-5'!J94))</f>
        <v>506</v>
      </c>
      <c r="K94" s="142" t="s">
        <v>23</v>
      </c>
      <c r="L94" s="142">
        <f t="shared" si="2"/>
        <v>506</v>
      </c>
      <c r="M94" s="24"/>
      <c r="N94" s="142" t="str">
        <f>IF(OR(ISNUMBER('A-5'!N46),ISNUMBER('A-5'!N94)),SUM('A-5'!N46,'A-5'!N94),IF(OR('A-5'!N46="--",'A-5'!N94="--"),"--","-"))</f>
        <v>-</v>
      </c>
      <c r="O94" s="142" t="str">
        <f>IF(OR(ISNUMBER('A-5'!O46),ISNUMBER('A-5'!O94)),SUM('A-5'!O46,'A-5'!O94),IF(OR('A-5'!O46="--",'A-5'!O94="--"),"--","-"))</f>
        <v>-</v>
      </c>
      <c r="P94" s="142" t="str">
        <f>IF(OR(ISNUMBER('A-5'!P46),ISNUMBER('A-5'!P94)),SUM('A-5'!P46,'A-5'!P94),IF(OR('A-5'!P46="--",'A-5'!P94="--"),"--","-"))</f>
        <v>-</v>
      </c>
      <c r="Q94" s="142" t="str">
        <f>IF(AND('A-10'!M239="-",'A-5'!Q46="-",'A-5'!Q94="-"),"-",SUM('A-10'!M239,'A-5'!Q46,'A-5'!Q94))</f>
        <v>-</v>
      </c>
      <c r="R94" s="142" t="str">
        <f>IF(AND('A-10'!N239="-",'A-5'!R46="-",'A-5'!R94="-"),"-",SUM('A-10'!N239,'A-5'!R46,'A-5'!R94))</f>
        <v>-</v>
      </c>
      <c r="S94" s="142" t="str">
        <f>IF(AND('A-10'!O239="-",'A-5'!S46="-",'A-5'!S94="-"),"-",SUM('A-10'!O239,'A-5'!S46,'A-5'!S94))</f>
        <v>-</v>
      </c>
      <c r="T94" s="142" t="str">
        <f>IF(AND('A-10'!P239="-",'A-5'!T46="-",'A-5'!T94="-"),"-",SUM('A-10'!P239,'A-5'!T46,'A-5'!T94))</f>
        <v>-</v>
      </c>
      <c r="U94" s="142" t="str">
        <f>IF(AND('A-10'!Q239="-",'A-5'!U46="-",'A-5'!U94="-"),"-",SUM('A-10'!Q239,'A-5'!U46,'A-5'!U94))</f>
        <v>-</v>
      </c>
      <c r="V94" s="142" t="str">
        <f>IF(AND('A-10'!R239="-",'A-5'!V46="-",'A-5'!V94="-"),"-",SUM('A-10'!R239,'A-5'!V46,'A-5'!V94))</f>
        <v>-</v>
      </c>
      <c r="W94" s="142" t="str">
        <f>IF(AND('A-5'!W46="-",'A-5'!W94="-"),"-",SUM('A-5'!W46,'A-5'!W94))</f>
        <v>-</v>
      </c>
      <c r="X94" s="181" t="s">
        <v>23</v>
      </c>
    </row>
    <row r="95" spans="1:24" ht="11.25" customHeight="1">
      <c r="A95" s="99">
        <v>2018</v>
      </c>
      <c r="B95" s="142" t="s">
        <v>23</v>
      </c>
      <c r="C95" s="142" t="str">
        <f>IF(AND('A-10'!B240="-",'A-5'!C47="-",'A-5'!C95="-"),"-",SUM('A-10'!B240,'A-5'!C47,'A-5'!C95))</f>
        <v>-</v>
      </c>
      <c r="D95" s="142" t="str">
        <f>IF(AND('A-10'!C240="-",'A-5'!D47="-",'A-5'!D95="-"),"-",SUM('A-10'!C240,'A-5'!D47,'A-5'!D95))</f>
        <v>-</v>
      </c>
      <c r="E95" s="142">
        <f>IF(AND('A-10'!D240="-",'A-5'!E47="-",'A-5'!E95="-"),"-",SUM('A-10'!D240,'A-5'!E47,'A-5'!E95))</f>
        <v>105</v>
      </c>
      <c r="F95" s="142">
        <f>IF(AND('A-10'!E240="-",'A-5'!F47="-",'A-5'!F95="-"),"-",SUM('A-10'!E240,'A-5'!F47,'A-5'!F95))</f>
        <v>1863</v>
      </c>
      <c r="G95" s="142">
        <f>IF(AND('A-10'!F240="-",'A-5'!G47="-",'A-5'!G95="-"),"-",SUM('A-10'!F240,'A-5'!G47,'A-5'!G95))</f>
        <v>1320</v>
      </c>
      <c r="H95" s="142">
        <f>IF(AND('A-10'!G240="-",'A-5'!H47="-",'A-5'!H95="-"),"-",SUM('A-10'!G240,'A-5'!H47,'A-5'!H95))</f>
        <v>1583</v>
      </c>
      <c r="I95" s="142">
        <f>IF(AND('A-10'!H240="-",'A-5'!I47="-",'A-5'!I95="-"),"-",SUM('A-10'!H240,'A-5'!I47,'A-5'!I95))</f>
        <v>31</v>
      </c>
      <c r="J95" s="142">
        <f>IF(AND('A-10'!I240="-",'A-5'!J47="-",'A-5'!J95="-"),"-",SUM('A-10'!I240,'A-5'!J47,'A-5'!J95))</f>
        <v>429</v>
      </c>
      <c r="K95" s="142" t="s">
        <v>23</v>
      </c>
      <c r="L95" s="142">
        <f t="shared" si="2"/>
        <v>5331</v>
      </c>
      <c r="N95" s="142" t="str">
        <f>IF(OR(ISNUMBER('A-5'!N47),ISNUMBER('A-5'!N95)),SUM('A-5'!N47,'A-5'!N95),IF(OR('A-5'!N47="--",'A-5'!N95="--"),"--","-"))</f>
        <v>-</v>
      </c>
      <c r="O95" s="142" t="str">
        <f>IF(OR(ISNUMBER('A-5'!O47),ISNUMBER('A-5'!O95)),SUM('A-5'!O47,'A-5'!O95),IF(OR('A-5'!O47="--",'A-5'!O95="--"),"--","-"))</f>
        <v>-</v>
      </c>
      <c r="P95" s="142" t="str">
        <f>IF(OR(ISNUMBER('A-5'!P47),ISNUMBER('A-5'!P95)),SUM('A-5'!P47,'A-5'!P95),IF(OR('A-5'!P47="--",'A-5'!P95="--"),"--","-"))</f>
        <v>-</v>
      </c>
      <c r="Q95" s="142" t="str">
        <f>IF(AND('A-10'!M240="-",'A-5'!Q47="-",'A-5'!Q95="-"),"-",SUM('A-10'!M240,'A-5'!Q47,'A-5'!Q95))</f>
        <v>-</v>
      </c>
      <c r="R95" s="142">
        <f>IF(AND('A-10'!N240="-",'A-5'!R47="-",'A-5'!R95="-"),"-",SUM('A-10'!N240,'A-5'!R47,'A-5'!R95))</f>
        <v>52</v>
      </c>
      <c r="S95" s="142">
        <f>IF(AND('A-10'!O240="-",'A-5'!S47="-",'A-5'!S95="-"),"-",SUM('A-10'!O240,'A-5'!S47,'A-5'!S95))</f>
        <v>23</v>
      </c>
      <c r="T95" s="142">
        <f>IF(AND('A-10'!P240="-",'A-5'!T47="-",'A-5'!T95="-"),"-",SUM('A-10'!P240,'A-5'!T47,'A-5'!T95))</f>
        <v>45</v>
      </c>
      <c r="U95" s="142" t="str">
        <f>IF(AND('A-10'!Q240="-",'A-5'!U47="-",'A-5'!U95="-"),"-",SUM('A-10'!Q240,'A-5'!U47,'A-5'!U95))</f>
        <v>-</v>
      </c>
      <c r="V95" s="142" t="str">
        <f>IF(AND('A-10'!R240="-",'A-5'!V47="-",'A-5'!V95="-"),"-",SUM('A-10'!R240,'A-5'!V47,'A-5'!V95))</f>
        <v>-</v>
      </c>
      <c r="W95" s="142" t="str">
        <f>IF(AND('A-5'!W47="-",'A-5'!W95="-"),"-",SUM('A-5'!W47,'A-5'!W95))</f>
        <v>-</v>
      </c>
      <c r="X95" s="142">
        <f>SUM(N95:W95)</f>
        <v>120</v>
      </c>
    </row>
    <row r="96" spans="1:24" ht="11.25" customHeight="1">
      <c r="A96" s="99">
        <v>2019</v>
      </c>
      <c r="B96" s="142" t="s">
        <v>23</v>
      </c>
      <c r="C96" s="142" t="str">
        <f>IF(AND('A-10'!B241="-",'A-5'!C48="-",'A-5'!C96="-"),"-",SUM('A-10'!B241,'A-5'!C48,'A-5'!C96))</f>
        <v>-</v>
      </c>
      <c r="D96" s="142" t="str">
        <f>IF(AND('A-10'!C241="-",'A-5'!D48="-",'A-5'!D96="-"),"-",SUM('A-10'!C241,'A-5'!D48,'A-5'!D96))</f>
        <v>-</v>
      </c>
      <c r="E96" s="142">
        <f>IF(AND('A-10'!D241="-",'A-5'!E48="-",'A-5'!E96="-"),"-",SUM('A-10'!D241,'A-5'!E48,'A-5'!E96))</f>
        <v>325</v>
      </c>
      <c r="F96" s="142">
        <f>IF(AND('A-10'!E241="-",'A-5'!F48="-",'A-5'!F96="-"),"-",SUM('A-10'!E241,'A-5'!F48,'A-5'!F96))</f>
        <v>2423</v>
      </c>
      <c r="G96" s="142">
        <f>IF(AND('A-10'!F241="-",'A-5'!G48="-",'A-5'!G96="-"),"-",SUM('A-10'!F241,'A-5'!G48,'A-5'!G96))</f>
        <v>1530</v>
      </c>
      <c r="H96" s="142">
        <f>IF(AND('A-10'!G241="-",'A-5'!H48="-",'A-5'!H96="-"),"-",SUM('A-10'!G241,'A-5'!H48,'A-5'!H96))</f>
        <v>1177</v>
      </c>
      <c r="I96" s="142">
        <f>IF(AND('A-10'!H241="-",'A-5'!I48="-",'A-5'!I96="-"),"-",SUM('A-10'!H241,'A-5'!I48,'A-5'!I96))</f>
        <v>74</v>
      </c>
      <c r="J96" s="142" t="str">
        <f>IF(AND('A-10'!I241="-",'A-5'!J48="-",'A-5'!J96="-"),"-",SUM('A-10'!I241,'A-5'!J48,'A-5'!J96))</f>
        <v>-</v>
      </c>
      <c r="K96" s="142" t="s">
        <v>23</v>
      </c>
      <c r="L96" s="142">
        <f>SUM(B96:K96)</f>
        <v>5529</v>
      </c>
      <c r="N96" s="142" t="str">
        <f>IF(OR(ISNUMBER('A-5'!N48),ISNUMBER('A-5'!N96)),SUM('A-5'!N48,'A-5'!N96),IF(OR('A-5'!N48="--",'A-5'!N96="--"),"--","-"))</f>
        <v>-</v>
      </c>
      <c r="O96" s="142" t="str">
        <f>IF(OR(ISNUMBER('A-5'!O48),ISNUMBER('A-5'!O96)),SUM('A-5'!O48,'A-5'!O96),IF(OR('A-5'!O48="--",'A-5'!O96="--"),"--","-"))</f>
        <v>-</v>
      </c>
      <c r="P96" s="142" t="str">
        <f>IF(OR(ISNUMBER('A-5'!P48),ISNUMBER('A-5'!P96)),SUM('A-5'!P48,'A-5'!P96),IF(OR('A-5'!P48="--",'A-5'!P96="--"),"--","-"))</f>
        <v>-</v>
      </c>
      <c r="Q96" s="142" t="str">
        <f>IF(AND('A-10'!M241="-",'A-5'!Q48="-",'A-5'!Q96="-"),"-",SUM('A-10'!M241,'A-5'!Q48,'A-5'!Q96))</f>
        <v>-</v>
      </c>
      <c r="R96" s="142">
        <f>IF(AND('A-10'!N241="-",'A-5'!R48="-",'A-5'!R96="-"),"-",SUM('A-10'!N241,'A-5'!R48,'A-5'!R96))</f>
        <v>186</v>
      </c>
      <c r="S96" s="142">
        <f>IF(AND('A-10'!O241="-",'A-5'!S48="-",'A-5'!S96="-"),"-",SUM('A-10'!O241,'A-5'!S48,'A-5'!S96))</f>
        <v>408</v>
      </c>
      <c r="T96" s="142">
        <f>IF(AND('A-10'!P241="-",'A-5'!T48="-",'A-5'!T96="-"),"-",SUM('A-10'!P241,'A-5'!T48,'A-5'!T96))</f>
        <v>103</v>
      </c>
      <c r="U96" s="142" t="str">
        <f>IF(AND('A-10'!Q241="-",'A-5'!U48="-",'A-5'!U96="-"),"-",SUM('A-10'!Q241,'A-5'!U48,'A-5'!U96))</f>
        <v>-</v>
      </c>
      <c r="V96" s="142" t="str">
        <f>IF(AND('A-10'!R241="-",'A-5'!V48="-",'A-5'!V96="-"),"-",SUM('A-10'!R241,'A-5'!V48,'A-5'!V96))</f>
        <v>-</v>
      </c>
      <c r="W96" s="142" t="str">
        <f>IF(AND('A-5'!W48="-",'A-5'!W96="-"),"-",SUM('A-5'!W48,'A-5'!W96))</f>
        <v>-</v>
      </c>
      <c r="X96" s="142">
        <f t="shared" ref="X96:X97" si="4">SUM(N96:W96)</f>
        <v>697</v>
      </c>
    </row>
    <row r="97" spans="1:24" ht="11.25" customHeight="1">
      <c r="A97" s="99" t="s">
        <v>311</v>
      </c>
      <c r="B97" s="142" t="s">
        <v>23</v>
      </c>
      <c r="C97" s="142" t="str">
        <f>IF(AND('A-10'!B242="-",'A-5'!C49="-",'A-5'!C97="-"),"-",SUM('A-10'!B242,'A-5'!C49,'A-5'!C97))</f>
        <v>-</v>
      </c>
      <c r="D97" s="142" t="str">
        <f>IF(AND('A-10'!C242="-",'A-5'!D49="-",'A-5'!D97="-"),"-",SUM('A-10'!C242,'A-5'!D49,'A-5'!D97))</f>
        <v>-</v>
      </c>
      <c r="E97" s="142" t="str">
        <f>IF(AND('A-10'!D242="-",'A-5'!E49="-",'A-5'!E97="-"),"-",SUM('A-10'!D242,'A-5'!E49,'A-5'!E97))</f>
        <v>-</v>
      </c>
      <c r="F97" s="142">
        <f>IF(AND('A-10'!E242="-",'A-5'!F49="-",'A-5'!F97="-"),"-",SUM('A-10'!E242,'A-5'!F49,'A-5'!F97))</f>
        <v>566</v>
      </c>
      <c r="G97" s="142">
        <f>IF(AND('A-10'!F242="-",'A-5'!G49="-",'A-5'!G97="-"),"-",SUM('A-10'!F242,'A-5'!G49,'A-5'!G97))</f>
        <v>2518</v>
      </c>
      <c r="H97" s="142">
        <f>IF(AND('A-10'!G242="-",'A-5'!H49="-",'A-5'!H97="-"),"-",SUM('A-10'!G242,'A-5'!H49,'A-5'!H97))</f>
        <v>382</v>
      </c>
      <c r="I97" s="142" t="str">
        <f>IF(AND('A-10'!H242="-",'A-5'!I49="-",'A-5'!I97="-"),"-",SUM('A-10'!H242,'A-5'!I49,'A-5'!I97))</f>
        <v>-</v>
      </c>
      <c r="J97" s="142" t="str">
        <f>IF(AND('A-10'!I242="-",'A-5'!J49="-",'A-5'!J97="-"),"-",SUM('A-10'!I242,'A-5'!J49,'A-5'!J97))</f>
        <v>-</v>
      </c>
      <c r="K97" s="142" t="s">
        <v>23</v>
      </c>
      <c r="L97" s="142">
        <f>SUM(B97:K97)</f>
        <v>3466</v>
      </c>
      <c r="N97" s="142" t="str">
        <f>IF(OR(ISNUMBER('A-5'!N49),ISNUMBER('A-5'!N97)),SUM('A-5'!N49,'A-5'!N97),IF(OR('A-5'!N49="--",'A-5'!N97="--"),"--","-"))</f>
        <v>-</v>
      </c>
      <c r="O97" s="142" t="str">
        <f>IF(OR(ISNUMBER('A-5'!O49),ISNUMBER('A-5'!O97)),SUM('A-5'!O49,'A-5'!O97),IF(OR('A-5'!O49="--",'A-5'!O97="--"),"--","-"))</f>
        <v>-</v>
      </c>
      <c r="P97" s="142" t="str">
        <f>IF(OR(ISNUMBER('A-5'!P49),ISNUMBER('A-5'!P97)),SUM('A-5'!P49,'A-5'!P97),IF(OR('A-5'!P49="--",'A-5'!P97="--"),"--","-"))</f>
        <v>-</v>
      </c>
      <c r="Q97" s="142" t="str">
        <f>IF(AND('A-10'!M242="-",'A-5'!Q49="-",'A-5'!Q97="-"),"-",SUM('A-10'!M242,'A-5'!Q49,'A-5'!Q97))</f>
        <v>-</v>
      </c>
      <c r="R97" s="142" t="str">
        <f>IF(AND('A-10'!N242="-",'A-5'!R49="-",'A-5'!R97="-"),"-",SUM('A-10'!N242,'A-5'!R49,'A-5'!R97))</f>
        <v>-</v>
      </c>
      <c r="S97" s="142">
        <f>IF(AND('A-10'!O242="-",'A-5'!S49="-",'A-5'!S97="-"),"-",SUM('A-10'!O242,'A-5'!S49,'A-5'!S97))</f>
        <v>18</v>
      </c>
      <c r="T97" s="142" t="str">
        <f>IF(AND('A-10'!P242="-",'A-5'!T49="-",'A-5'!T97="-"),"-",SUM('A-10'!P242,'A-5'!T49,'A-5'!T97))</f>
        <v>-</v>
      </c>
      <c r="U97" s="142" t="str">
        <f>IF(AND('A-10'!Q242="-",'A-5'!U49="-",'A-5'!U97="-"),"-",SUM('A-10'!Q242,'A-5'!U49,'A-5'!U97))</f>
        <v>-</v>
      </c>
      <c r="V97" s="142" t="str">
        <f>IF(AND('A-10'!R242="-",'A-5'!V49="-",'A-5'!V97="-"),"-",SUM('A-10'!R242,'A-5'!V49,'A-5'!V97))</f>
        <v>-</v>
      </c>
      <c r="W97" s="142" t="str">
        <f>IF(AND('A-5'!W49="-",'A-5'!W97="-"),"-",SUM('A-5'!W49,'A-5'!W97))</f>
        <v>-</v>
      </c>
      <c r="X97" s="142">
        <f t="shared" si="4"/>
        <v>18</v>
      </c>
    </row>
    <row r="98" spans="1:24" ht="11.25" customHeight="1">
      <c r="A98" s="99" t="s">
        <v>317</v>
      </c>
      <c r="B98" s="142" t="s">
        <v>23</v>
      </c>
      <c r="C98" s="142" t="str">
        <f>IF(AND('A-10'!B243="-",'A-5'!C50="-",'A-5'!C98="-"),"-",SUM('A-10'!B243,'A-5'!C50,'A-5'!C98))</f>
        <v>-</v>
      </c>
      <c r="D98" s="142" t="str">
        <f>IF(AND('A-10'!C243="-",'A-5'!D50="-",'A-5'!D98="-"),"-",SUM('A-10'!C243,'A-5'!D50,'A-5'!D98))</f>
        <v>-</v>
      </c>
      <c r="E98" s="142" t="str">
        <f>IF(AND('A-10'!D243="-",'A-5'!E50="-",'A-5'!E98="-"),"-",SUM('A-10'!D243,'A-5'!E50,'A-5'!E98))</f>
        <v>-</v>
      </c>
      <c r="F98" s="142">
        <f>IF(AND('A-10'!E243="-",'A-5'!F50="-",'A-5'!F98="-"),"-",SUM('A-10'!E243,'A-5'!F50,'A-5'!F98))</f>
        <v>276</v>
      </c>
      <c r="G98" s="142">
        <f>IF(AND('A-10'!F243="-",'A-5'!G50="-",'A-5'!G98="-"),"-",SUM('A-10'!F243,'A-5'!G50,'A-5'!G98))</f>
        <v>1082</v>
      </c>
      <c r="H98" s="142">
        <f>IF(AND('A-10'!G243="-",'A-5'!H50="-",'A-5'!H98="-"),"-",SUM('A-10'!G243,'A-5'!H50,'A-5'!H98))</f>
        <v>178</v>
      </c>
      <c r="I98" s="142" t="str">
        <f>IF(AND('A-10'!H243="-",'A-5'!I50="-",'A-5'!I98="-"),"-",SUM('A-10'!H243,'A-5'!I50,'A-5'!I98))</f>
        <v>-</v>
      </c>
      <c r="J98" s="142" t="str">
        <f>IF(AND('A-10'!I243="-",'A-5'!J50="-",'A-5'!J98="-"),"-",SUM('A-10'!I243,'A-5'!J50,'A-5'!J98))</f>
        <v>-</v>
      </c>
      <c r="K98" s="142" t="s">
        <v>23</v>
      </c>
      <c r="L98" s="142">
        <f>SUM(B98:K98)</f>
        <v>1536</v>
      </c>
      <c r="N98" s="142" t="str">
        <f>IF(OR(ISNUMBER('A-5'!N50),ISNUMBER('A-5'!N98)),SUM('A-5'!N50,'A-5'!N98),IF(OR('A-5'!N50="--",'A-5'!N98="--"),"--","-"))</f>
        <v>-</v>
      </c>
      <c r="O98" s="142" t="str">
        <f>IF(OR(ISNUMBER('A-5'!O50),ISNUMBER('A-5'!O98)),SUM('A-5'!O50,'A-5'!O98),IF(OR('A-5'!O50="--",'A-5'!O98="--"),"--","-"))</f>
        <v>-</v>
      </c>
      <c r="P98" s="142" t="str">
        <f>IF(OR(ISNUMBER('A-5'!P50),ISNUMBER('A-5'!P98)),SUM('A-5'!P50,'A-5'!P98),IF(OR('A-5'!P50="--",'A-5'!P98="--"),"--","-"))</f>
        <v>-</v>
      </c>
      <c r="Q98" s="142" t="str">
        <f>IF(AND('A-10'!M243="-",'A-5'!Q50="-",'A-5'!Q98="-"),"-",SUM('A-10'!M243,'A-5'!Q50,'A-5'!Q98))</f>
        <v>-</v>
      </c>
      <c r="R98" s="142">
        <f>IF(AND('A-10'!N243="-",'A-5'!R50="-",'A-5'!R98="-"),"-",SUM('A-10'!N243,'A-5'!R50,'A-5'!R98))</f>
        <v>450</v>
      </c>
      <c r="S98" s="142">
        <f>IF(AND('A-10'!O243="-",'A-5'!S50="-",'A-5'!S98="-"),"-",SUM('A-10'!O243,'A-5'!S50,'A-5'!S98))</f>
        <v>130</v>
      </c>
      <c r="T98" s="142">
        <f>IF(AND('A-10'!P243="-",'A-5'!T50="-",'A-5'!T98="-"),"-",SUM('A-10'!P243,'A-5'!T50,'A-5'!T98))</f>
        <v>195</v>
      </c>
      <c r="U98" s="142" t="str">
        <f>IF(AND('A-10'!Q243="-",'A-5'!U50="-",'A-5'!U98="-"),"-",SUM('A-10'!Q243,'A-5'!U50,'A-5'!U98))</f>
        <v>-</v>
      </c>
      <c r="V98" s="142" t="str">
        <f>IF(AND('A-10'!R243="-",'A-5'!V50="-",'A-5'!V98="-"),"-",SUM('A-10'!R243,'A-5'!V50,'A-5'!V98))</f>
        <v>-</v>
      </c>
      <c r="W98" s="142" t="str">
        <f>IF(AND('A-5'!W50="-",'A-5'!W98="-"),"-",SUM('A-5'!W50,'A-5'!W98))</f>
        <v>-</v>
      </c>
      <c r="X98" s="142">
        <f t="shared" si="3"/>
        <v>775</v>
      </c>
    </row>
    <row r="99" spans="1:24" ht="11.25" customHeight="1">
      <c r="A99" s="99"/>
    </row>
    <row r="100" spans="1:24" ht="11.25" customHeight="1">
      <c r="A100" s="94" t="s">
        <v>352</v>
      </c>
    </row>
    <row r="101" spans="1:24" ht="11.25" customHeight="1">
      <c r="A101" s="99">
        <v>1976</v>
      </c>
      <c r="B101" s="142">
        <f>IF(AND('A-5'!B101="-",'A-5'!B149="-",'A-5'!B197="-"),"-",SUM('A-5'!B101,'A-5'!B149,'A-5'!B197))</f>
        <v>2686</v>
      </c>
      <c r="C101" s="142">
        <f>IF(AND('A-5'!C101="-",'A-5'!C149="-",'A-5'!C197="-"),"-",SUM('A-5'!C101,'A-5'!C149,'A-5'!C197))</f>
        <v>1221</v>
      </c>
      <c r="D101" s="142">
        <f>IF(AND('A-5'!D101="-",'A-5'!D149="-",'A-5'!D197="-"),"-",SUM('A-5'!D101,'A-5'!D149,'A-5'!D197))</f>
        <v>6634</v>
      </c>
      <c r="E101" s="142">
        <f>IF(AND('A-5'!E101="-",'A-5'!E149="-",'A-5'!E197="-"),"-",SUM('A-5'!E101,'A-5'!E149,'A-5'!E197))</f>
        <v>13016</v>
      </c>
      <c r="F101" s="142">
        <f>IF(AND('A-5'!F101="-",'A-5'!F149="-",'A-5'!F197="-"),"-",SUM('A-5'!F101,'A-5'!F149,'A-5'!F197))</f>
        <v>10427</v>
      </c>
      <c r="G101" s="142">
        <f>IF(AND('A-5'!G101="-",'A-5'!G149="-",'A-5'!G197="-"),"-",SUM('A-5'!G101,'A-5'!G149,'A-5'!G197))</f>
        <v>8199</v>
      </c>
      <c r="H101" s="142">
        <f>IF(AND('A-5'!H101="-",'A-5'!H149="-",'A-5'!H197="-"),"-",SUM('A-5'!H101,'A-5'!H149,'A-5'!H197))</f>
        <v>10227</v>
      </c>
      <c r="I101" s="142">
        <f>IF(AND('A-5'!I101="-",'A-5'!I149="-",'A-5'!I197="-"),"-",SUM('A-5'!I101,'A-5'!I149,'A-5'!I197))</f>
        <v>5271</v>
      </c>
      <c r="J101" s="142">
        <f>IF(AND('A-5'!J101="-",'A-5'!J149="-",'A-5'!J197="-"),"-",SUM('A-5'!J101,'A-5'!J149,'A-5'!J197))</f>
        <v>10616</v>
      </c>
      <c r="K101" s="142">
        <f>IF(AND('A-5'!K101="-",'A-5'!K149="-",'A-5'!K197="-"),"-",SUM('A-5'!K101,'A-5'!K149,'A-5'!K197))</f>
        <v>2594</v>
      </c>
      <c r="L101" s="142">
        <f>IF(AND('A-5'!L101="-",'A-5'!L149="-",'A-5'!L197="-"),"-",SUM('A-5'!L101,'A-5'!L149,'A-5'!L197))</f>
        <v>70891</v>
      </c>
      <c r="N101" s="142">
        <f>IF(OR(ISNUMBER('A-5'!N149),ISNUMBER('A-5'!N101),ISNUMBER('A-5'!N197)),SUM('A-5'!N149,'A-5'!N101,'A-5'!N197),IF(OR('A-5'!N149="--",'A-5'!N101="--",'A-5'!N197="--"),"--","-"))</f>
        <v>29</v>
      </c>
      <c r="O101" s="142">
        <f>IF(OR(ISNUMBER('A-5'!O149),ISNUMBER('A-5'!O101),ISNUMBER('A-5'!O197)),SUM('A-5'!O149,'A-5'!O101,'A-5'!O197),IF(OR('A-5'!O149="--",'A-5'!O101="--",'A-5'!O197="--"),"--","-"))</f>
        <v>32</v>
      </c>
      <c r="P101" s="142">
        <f>IF(OR(ISNUMBER('A-5'!P149),ISNUMBER('A-5'!P101),ISNUMBER('A-5'!P197)),SUM('A-5'!P149,'A-5'!P101,'A-5'!P197),IF(OR('A-5'!P149="--",'A-5'!P101="--",'A-5'!P197="--"),"--","-"))</f>
        <v>805</v>
      </c>
      <c r="Q101" s="142">
        <f>IF(OR(ISNUMBER('A-5'!Q149),ISNUMBER('A-5'!Q101),ISNUMBER('A-5'!Q197)),SUM('A-5'!Q149,'A-5'!Q101,'A-5'!Q197),IF(OR('A-5'!Q149="--",'A-5'!Q101="--",'A-5'!Q197="--"),"--","-"))</f>
        <v>6080</v>
      </c>
      <c r="R101" s="142">
        <f>IF(OR(ISNUMBER('A-5'!R149),ISNUMBER('A-5'!R101),ISNUMBER('A-5'!R197)),SUM('A-5'!R149,'A-5'!R101,'A-5'!R197),IF(OR('A-5'!R149="--",'A-5'!R101="--",'A-5'!R197="--"),"--","-"))</f>
        <v>4660</v>
      </c>
      <c r="S101" s="142">
        <f>IF(OR(ISNUMBER('A-5'!S149),ISNUMBER('A-5'!S101),ISNUMBER('A-5'!S197)),SUM('A-5'!S149,'A-5'!S101,'A-5'!S197),IF(OR('A-5'!S149="--",'A-5'!S101="--",'A-5'!S197="--"),"--","-"))</f>
        <v>7228</v>
      </c>
      <c r="T101" s="142">
        <f>IF(OR(ISNUMBER('A-5'!T149),ISNUMBER('A-5'!T101),ISNUMBER('A-5'!T197)),SUM('A-5'!T149,'A-5'!T101,'A-5'!T197),IF(OR('A-5'!T149="--",'A-5'!T101="--",'A-5'!T197="--"),"--","-"))</f>
        <v>2137</v>
      </c>
      <c r="U101" s="142">
        <f>IF(OR(ISNUMBER('A-5'!U149),ISNUMBER('A-5'!U101),ISNUMBER('A-5'!U197)),SUM('A-5'!U149,'A-5'!U101,'A-5'!U197),IF(OR('A-5'!U149="--",'A-5'!U101="--",'A-5'!U197="--"),"--","-"))</f>
        <v>209</v>
      </c>
      <c r="V101" s="142">
        <f>IF(OR(ISNUMBER('A-5'!V149),ISNUMBER('A-5'!V101),ISNUMBER('A-5'!V197)),SUM('A-5'!V149,'A-5'!V101,'A-5'!V197),IF(OR('A-5'!V149="--",'A-5'!V101="--",'A-5'!V197="--"),"--","-"))</f>
        <v>1</v>
      </c>
      <c r="W101" s="142">
        <f>IF(OR(ISNUMBER('A-5'!W149),ISNUMBER('A-5'!W101),ISNUMBER('A-5'!W197)),SUM('A-5'!W149,'A-5'!W101,'A-5'!W197),IF(OR('A-5'!W149="--",'A-5'!W101="--",'A-5'!W197="--"),"--","-"))</f>
        <v>0</v>
      </c>
      <c r="X101" s="142">
        <f>IF(AND('A-5'!X101="-",'A-5'!X149="-",'A-5'!X197="-"),"-",SUM('A-5'!X101,'A-5'!X149,'A-5'!X197))</f>
        <v>21181</v>
      </c>
    </row>
    <row r="102" spans="1:24" ht="11.25" customHeight="1">
      <c r="A102" s="99">
        <v>1977</v>
      </c>
      <c r="B102" s="142">
        <f>IF(AND('A-5'!B102="-",'A-5'!B150="-",'A-5'!B198="-"),"-",SUM('A-5'!B102,'A-5'!B150,'A-5'!B198))</f>
        <v>4096</v>
      </c>
      <c r="C102" s="142">
        <f>IF(AND('A-5'!C102="-",'A-5'!C150="-",'A-5'!C198="-"),"-",SUM('A-5'!C102,'A-5'!C150,'A-5'!C198))</f>
        <v>5510</v>
      </c>
      <c r="D102" s="142">
        <f>IF(AND('A-5'!D102="-",'A-5'!D150="-",'A-5'!D198="-"),"-",SUM('A-5'!D102,'A-5'!D150,'A-5'!D198))</f>
        <v>15525</v>
      </c>
      <c r="E102" s="142">
        <f>IF(AND('A-5'!E102="-",'A-5'!E150="-",'A-5'!E198="-"),"-",SUM('A-5'!E102,'A-5'!E150,'A-5'!E198))</f>
        <v>4270</v>
      </c>
      <c r="F102" s="142">
        <f>IF(AND('A-5'!F102="-",'A-5'!F150="-",'A-5'!F198="-"),"-",SUM('A-5'!F102,'A-5'!F150,'A-5'!F198))</f>
        <v>8834</v>
      </c>
      <c r="G102" s="142">
        <f>IF(AND('A-5'!G102="-",'A-5'!G150="-",'A-5'!G198="-"),"-",SUM('A-5'!G102,'A-5'!G150,'A-5'!G198))</f>
        <v>20114</v>
      </c>
      <c r="H102" s="142">
        <f>IF(AND('A-5'!H102="-",'A-5'!H150="-",'A-5'!H198="-"),"-",SUM('A-5'!H102,'A-5'!H150,'A-5'!H198))</f>
        <v>10665</v>
      </c>
      <c r="I102" s="142">
        <f>IF(AND('A-5'!I102="-",'A-5'!I150="-",'A-5'!I198="-"),"-",SUM('A-5'!I102,'A-5'!I150,'A-5'!I198))</f>
        <v>8354</v>
      </c>
      <c r="J102" s="142">
        <f>IF(AND('A-5'!J102="-",'A-5'!J150="-",'A-5'!J198="-"),"-",SUM('A-5'!J102,'A-5'!J150,'A-5'!J198))</f>
        <v>4063</v>
      </c>
      <c r="K102" s="142">
        <f>IF(AND('A-5'!K102="-",'A-5'!K150="-",'A-5'!K198="-"),"-",SUM('A-5'!K102,'A-5'!K150,'A-5'!K198))</f>
        <v>1492</v>
      </c>
      <c r="L102" s="142">
        <f>IF(AND('A-5'!L102="-",'A-5'!L150="-",'A-5'!L198="-"),"-",SUM('A-5'!L102,'A-5'!L150,'A-5'!L198))</f>
        <v>82923</v>
      </c>
      <c r="N102" s="142">
        <f>IF(OR(ISNUMBER('A-5'!N150),ISNUMBER('A-5'!N102),ISNUMBER('A-5'!N198)),SUM('A-5'!N150,'A-5'!N102,'A-5'!N198),IF(OR('A-5'!N150="--",'A-5'!N102="--",'A-5'!N198="--"),"--","-"))</f>
        <v>12</v>
      </c>
      <c r="O102" s="142">
        <f>IF(OR(ISNUMBER('A-5'!O150),ISNUMBER('A-5'!O102),ISNUMBER('A-5'!O198)),SUM('A-5'!O150,'A-5'!O102,'A-5'!O198),IF(OR('A-5'!O150="--",'A-5'!O102="--",'A-5'!O198="--"),"--","-"))</f>
        <v>0</v>
      </c>
      <c r="P102" s="142">
        <f>IF(OR(ISNUMBER('A-5'!P150),ISNUMBER('A-5'!P102),ISNUMBER('A-5'!P198)),SUM('A-5'!P150,'A-5'!P102,'A-5'!P198),IF(OR('A-5'!P150="--",'A-5'!P102="--",'A-5'!P198="--"),"--","-"))</f>
        <v>348</v>
      </c>
      <c r="Q102" s="142">
        <f>IF(OR(ISNUMBER('A-5'!Q150),ISNUMBER('A-5'!Q102),ISNUMBER('A-5'!Q198)),SUM('A-5'!Q150,'A-5'!Q102,'A-5'!Q198),IF(OR('A-5'!Q150="--",'A-5'!Q102="--",'A-5'!Q198="--"),"--","-"))</f>
        <v>861</v>
      </c>
      <c r="R102" s="142">
        <f>IF(OR(ISNUMBER('A-5'!R150),ISNUMBER('A-5'!R102),ISNUMBER('A-5'!R198)),SUM('A-5'!R150,'A-5'!R102,'A-5'!R198),IF(OR('A-5'!R150="--",'A-5'!R102="--",'A-5'!R198="--"),"--","-"))</f>
        <v>602</v>
      </c>
      <c r="S102" s="142">
        <f>IF(OR(ISNUMBER('A-5'!S150),ISNUMBER('A-5'!S102),ISNUMBER('A-5'!S198)),SUM('A-5'!S150,'A-5'!S102,'A-5'!S198),IF(OR('A-5'!S150="--",'A-5'!S102="--",'A-5'!S198="--"),"--","-"))</f>
        <v>416</v>
      </c>
      <c r="T102" s="142">
        <f>IF(OR(ISNUMBER('A-5'!T150),ISNUMBER('A-5'!T102),ISNUMBER('A-5'!T198)),SUM('A-5'!T150,'A-5'!T102,'A-5'!T198),IF(OR('A-5'!T150="--",'A-5'!T102="--",'A-5'!T198="--"),"--","-"))</f>
        <v>276</v>
      </c>
      <c r="U102" s="142">
        <f>IF(OR(ISNUMBER('A-5'!U150),ISNUMBER('A-5'!U102),ISNUMBER('A-5'!U198)),SUM('A-5'!U150,'A-5'!U102,'A-5'!U198),IF(OR('A-5'!U150="--",'A-5'!U102="--",'A-5'!U198="--"),"--","-"))</f>
        <v>383</v>
      </c>
      <c r="V102" s="142">
        <f>IF(OR(ISNUMBER('A-5'!V150),ISNUMBER('A-5'!V102),ISNUMBER('A-5'!V198)),SUM('A-5'!V150,'A-5'!V102,'A-5'!V198),IF(OR('A-5'!V150="--",'A-5'!V102="--",'A-5'!V198="--"),"--","-"))</f>
        <v>63</v>
      </c>
      <c r="W102" s="142">
        <f>IF(OR(ISNUMBER('A-5'!W150),ISNUMBER('A-5'!W102),ISNUMBER('A-5'!W198)),SUM('A-5'!W150,'A-5'!W102,'A-5'!W198),IF(OR('A-5'!W150="--",'A-5'!W102="--",'A-5'!W198="--"),"--","-"))</f>
        <v>6</v>
      </c>
      <c r="X102" s="142">
        <f>IF(AND('A-5'!X102="-",'A-5'!X150="-",'A-5'!X198="-"),"-",SUM('A-5'!X102,'A-5'!X150,'A-5'!X198))</f>
        <v>2967</v>
      </c>
    </row>
    <row r="103" spans="1:24" ht="11.25" customHeight="1">
      <c r="A103" s="99">
        <v>1978</v>
      </c>
      <c r="B103" s="142">
        <f>IF(AND('A-5'!B103="-",'A-5'!B151="-",'A-5'!B199="-"),"-",SUM('A-5'!B103,'A-5'!B151,'A-5'!B199))</f>
        <v>9790</v>
      </c>
      <c r="C103" s="142">
        <f>IF(AND('A-5'!C103="-",'A-5'!C151="-",'A-5'!C199="-"),"-",SUM('A-5'!C103,'A-5'!C151,'A-5'!C199))</f>
        <v>8594</v>
      </c>
      <c r="D103" s="142">
        <f>IF(AND('A-5'!D103="-",'A-5'!D151="-",'A-5'!D199="-"),"-",SUM('A-5'!D103,'A-5'!D151,'A-5'!D199))</f>
        <v>3149</v>
      </c>
      <c r="E103" s="142">
        <f>IF(AND('A-5'!E103="-",'A-5'!E151="-",'A-5'!E199="-"),"-",SUM('A-5'!E103,'A-5'!E151,'A-5'!E199))</f>
        <v>2892</v>
      </c>
      <c r="F103" s="142">
        <f>IF(AND('A-5'!F103="-",'A-5'!F151="-",'A-5'!F199="-"),"-",SUM('A-5'!F103,'A-5'!F151,'A-5'!F199))</f>
        <v>7936</v>
      </c>
      <c r="G103" s="142">
        <f>IF(AND('A-5'!G103="-",'A-5'!G151="-",'A-5'!G199="-"),"-",SUM('A-5'!G103,'A-5'!G151,'A-5'!G199))</f>
        <v>13232</v>
      </c>
      <c r="H103" s="142">
        <f>IF(AND('A-5'!H103="-",'A-5'!H151="-",'A-5'!H199="-"),"-",SUM('A-5'!H103,'A-5'!H151,'A-5'!H199))</f>
        <v>7662</v>
      </c>
      <c r="I103" s="142">
        <f>IF(AND('A-5'!I103="-",'A-5'!I151="-",'A-5'!I199="-"),"-",SUM('A-5'!I103,'A-5'!I151,'A-5'!I199))</f>
        <v>4925</v>
      </c>
      <c r="J103" s="142">
        <f>IF(AND('A-5'!J103="-",'A-5'!J151="-",'A-5'!J199="-"),"-",SUM('A-5'!J103,'A-5'!J151,'A-5'!J199))</f>
        <v>7642</v>
      </c>
      <c r="K103" s="142">
        <f>IF(AND('A-5'!K103="-",'A-5'!K151="-",'A-5'!K199="-"),"-",SUM('A-5'!K103,'A-5'!K151,'A-5'!K199))</f>
        <v>2606</v>
      </c>
      <c r="L103" s="142">
        <f>IF(AND('A-5'!L103="-",'A-5'!L151="-",'A-5'!L199="-"),"-",SUM('A-5'!L103,'A-5'!L151,'A-5'!L199))</f>
        <v>68428</v>
      </c>
      <c r="N103" s="142">
        <f>IF(OR(ISNUMBER('A-5'!N151),ISNUMBER('A-5'!N103),ISNUMBER('A-5'!N199)),SUM('A-5'!N151,'A-5'!N103,'A-5'!N199),IF(OR('A-5'!N151="--",'A-5'!N103="--",'A-5'!N199="--"),"--","-"))</f>
        <v>0</v>
      </c>
      <c r="O103" s="142">
        <f>IF(OR(ISNUMBER('A-5'!O151),ISNUMBER('A-5'!O103),ISNUMBER('A-5'!O199)),SUM('A-5'!O151,'A-5'!O103,'A-5'!O199),IF(OR('A-5'!O151="--",'A-5'!O103="--",'A-5'!O199="--"),"--","-"))</f>
        <v>0</v>
      </c>
      <c r="P103" s="142">
        <f>IF(OR(ISNUMBER('A-5'!P151),ISNUMBER('A-5'!P103),ISNUMBER('A-5'!P199)),SUM('A-5'!P151,'A-5'!P103,'A-5'!P199),IF(OR('A-5'!P151="--",'A-5'!P103="--",'A-5'!P199="--"),"--","-"))</f>
        <v>0</v>
      </c>
      <c r="Q103" s="142">
        <f>IF(OR(ISNUMBER('A-5'!Q151),ISNUMBER('A-5'!Q103),ISNUMBER('A-5'!Q199)),SUM('A-5'!Q151,'A-5'!Q103,'A-5'!Q199),IF(OR('A-5'!Q151="--",'A-5'!Q103="--",'A-5'!Q199="--"),"--","-"))</f>
        <v>12</v>
      </c>
      <c r="R103" s="142">
        <f>IF(OR(ISNUMBER('A-5'!R151),ISNUMBER('A-5'!R103),ISNUMBER('A-5'!R199)),SUM('A-5'!R151,'A-5'!R103,'A-5'!R199),IF(OR('A-5'!R151="--",'A-5'!R103="--",'A-5'!R199="--"),"--","-"))</f>
        <v>1351</v>
      </c>
      <c r="S103" s="142">
        <f>IF(OR(ISNUMBER('A-5'!S151),ISNUMBER('A-5'!S103),ISNUMBER('A-5'!S199)),SUM('A-5'!S151,'A-5'!S103,'A-5'!S199),IF(OR('A-5'!S151="--",'A-5'!S103="--",'A-5'!S199="--"),"--","-"))</f>
        <v>1435</v>
      </c>
      <c r="T103" s="142">
        <f>IF(OR(ISNUMBER('A-5'!T151),ISNUMBER('A-5'!T103),ISNUMBER('A-5'!T199)),SUM('A-5'!T151,'A-5'!T103,'A-5'!T199),IF(OR('A-5'!T151="--",'A-5'!T103="--",'A-5'!T199="--"),"--","-"))</f>
        <v>276</v>
      </c>
      <c r="U103" s="142">
        <f>IF(OR(ISNUMBER('A-5'!U151),ISNUMBER('A-5'!U103),ISNUMBER('A-5'!U199)),SUM('A-5'!U151,'A-5'!U103,'A-5'!U199),IF(OR('A-5'!U151="--",'A-5'!U103="--",'A-5'!U199="--"),"--","-"))</f>
        <v>30</v>
      </c>
      <c r="V103" s="142">
        <f>IF(OR(ISNUMBER('A-5'!V151),ISNUMBER('A-5'!V103),ISNUMBER('A-5'!V199)),SUM('A-5'!V151,'A-5'!V103,'A-5'!V199),IF(OR('A-5'!V151="--",'A-5'!V103="--",'A-5'!V199="--"),"--","-"))</f>
        <v>0</v>
      </c>
      <c r="W103" s="142">
        <f>IF(OR(ISNUMBER('A-5'!W151),ISNUMBER('A-5'!W103),ISNUMBER('A-5'!W199)),SUM('A-5'!W151,'A-5'!W103,'A-5'!W199),IF(OR('A-5'!W151="--",'A-5'!W103="--",'A-5'!W199="--"),"--","-"))</f>
        <v>0</v>
      </c>
      <c r="X103" s="142">
        <f>IF(AND('A-5'!X103="-",'A-5'!X151="-",'A-5'!X199="-"),"-",SUM('A-5'!X103,'A-5'!X151,'A-5'!X199))</f>
        <v>3104</v>
      </c>
    </row>
    <row r="104" spans="1:24" ht="11.25" customHeight="1">
      <c r="A104" s="99">
        <v>1979</v>
      </c>
      <c r="B104" s="142">
        <f>IF(AND('A-5'!B104="-",'A-5'!B152="-",'A-5'!B200="-"),"-",SUM('A-5'!B104,'A-5'!B152,'A-5'!B200))</f>
        <v>7876</v>
      </c>
      <c r="C104" s="142">
        <f>IF(AND('A-5'!C104="-",'A-5'!C152="-",'A-5'!C200="-"),"-",SUM('A-5'!C104,'A-5'!C152,'A-5'!C200))</f>
        <v>15161</v>
      </c>
      <c r="D104" s="142">
        <f>IF(AND('A-5'!D104="-",'A-5'!D152="-",'A-5'!D200="-"),"-",SUM('A-5'!D104,'A-5'!D152,'A-5'!D200))</f>
        <v>11596</v>
      </c>
      <c r="E104" s="142">
        <f>IF(AND('A-5'!E104="-",'A-5'!E152="-",'A-5'!E200="-"),"-",SUM('A-5'!E104,'A-5'!E152,'A-5'!E200))</f>
        <v>5208</v>
      </c>
      <c r="F104" s="142">
        <f>IF(AND('A-5'!F104="-",'A-5'!F152="-",'A-5'!F200="-"),"-",SUM('A-5'!F104,'A-5'!F152,'A-5'!F200))</f>
        <v>15333</v>
      </c>
      <c r="G104" s="142">
        <f>IF(AND('A-5'!G104="-",'A-5'!G152="-",'A-5'!G200="-"),"-",SUM('A-5'!G104,'A-5'!G152,'A-5'!G200))</f>
        <v>25303</v>
      </c>
      <c r="H104" s="142">
        <f>IF(AND('A-5'!H104="-",'A-5'!H152="-",'A-5'!H200="-"),"-",SUM('A-5'!H104,'A-5'!H152,'A-5'!H200))</f>
        <v>12273</v>
      </c>
      <c r="I104" s="142">
        <f>IF(AND('A-5'!I104="-",'A-5'!I152="-",'A-5'!I200="-"),"-",SUM('A-5'!I104,'A-5'!I152,'A-5'!I200))</f>
        <v>13406</v>
      </c>
      <c r="J104" s="142">
        <f>IF(AND('A-5'!J104="-",'A-5'!J152="-",'A-5'!J200="-"),"-",SUM('A-5'!J104,'A-5'!J152,'A-5'!J200))</f>
        <v>6946</v>
      </c>
      <c r="K104" s="142">
        <f>IF(AND('A-5'!K104="-",'A-5'!K152="-",'A-5'!K200="-"),"-",SUM('A-5'!K104,'A-5'!K152,'A-5'!K200))</f>
        <v>0</v>
      </c>
      <c r="L104" s="142">
        <f>IF(AND('A-5'!L104="-",'A-5'!L152="-",'A-5'!L200="-"),"-",SUM('A-5'!L104,'A-5'!L152,'A-5'!L200))</f>
        <v>113102</v>
      </c>
      <c r="N104" s="142">
        <f>IF(OR(ISNUMBER('A-5'!N152),ISNUMBER('A-5'!N104),ISNUMBER('A-5'!N200)),SUM('A-5'!N152,'A-5'!N104,'A-5'!N200),IF(OR('A-5'!N152="--",'A-5'!N104="--",'A-5'!N200="--"),"--","-"))</f>
        <v>10</v>
      </c>
      <c r="O104" s="142">
        <f>IF(OR(ISNUMBER('A-5'!O152),ISNUMBER('A-5'!O104),ISNUMBER('A-5'!O200)),SUM('A-5'!O152,'A-5'!O104,'A-5'!O200),IF(OR('A-5'!O152="--",'A-5'!O104="--",'A-5'!O200="--"),"--","-"))</f>
        <v>39</v>
      </c>
      <c r="P104" s="142">
        <f>IF(OR(ISNUMBER('A-5'!P152),ISNUMBER('A-5'!P104),ISNUMBER('A-5'!P200)),SUM('A-5'!P152,'A-5'!P104,'A-5'!P200),IF(OR('A-5'!P152="--",'A-5'!P104="--",'A-5'!P200="--"),"--","-"))</f>
        <v>20</v>
      </c>
      <c r="Q104" s="142">
        <f>IF(OR(ISNUMBER('A-5'!Q152),ISNUMBER('A-5'!Q104),ISNUMBER('A-5'!Q200)),SUM('A-5'!Q152,'A-5'!Q104,'A-5'!Q200),IF(OR('A-5'!Q152="--",'A-5'!Q104="--",'A-5'!Q200="--"),"--","-"))</f>
        <v>169</v>
      </c>
      <c r="R104" s="142">
        <f>IF(OR(ISNUMBER('A-5'!R152),ISNUMBER('A-5'!R104),ISNUMBER('A-5'!R200)),SUM('A-5'!R152,'A-5'!R104,'A-5'!R200),IF(OR('A-5'!R152="--",'A-5'!R104="--",'A-5'!R200="--"),"--","-"))</f>
        <v>691</v>
      </c>
      <c r="S104" s="142">
        <f>IF(OR(ISNUMBER('A-5'!S152),ISNUMBER('A-5'!S104),ISNUMBER('A-5'!S200)),SUM('A-5'!S152,'A-5'!S104,'A-5'!S200),IF(OR('A-5'!S152="--",'A-5'!S104="--",'A-5'!S200="--"),"--","-"))</f>
        <v>788</v>
      </c>
      <c r="T104" s="142">
        <f>IF(OR(ISNUMBER('A-5'!T152),ISNUMBER('A-5'!T104),ISNUMBER('A-5'!T200)),SUM('A-5'!T152,'A-5'!T104,'A-5'!T200),IF(OR('A-5'!T152="--",'A-5'!T104="--",'A-5'!T200="--"),"--","-"))</f>
        <v>148</v>
      </c>
      <c r="U104" s="142">
        <f>IF(OR(ISNUMBER('A-5'!U152),ISNUMBER('A-5'!U104),ISNUMBER('A-5'!U200)),SUM('A-5'!U152,'A-5'!U104,'A-5'!U200),IF(OR('A-5'!U152="--",'A-5'!U104="--",'A-5'!U200="--"),"--","-"))</f>
        <v>57</v>
      </c>
      <c r="V104" s="142">
        <f>IF(OR(ISNUMBER('A-5'!V152),ISNUMBER('A-5'!V104),ISNUMBER('A-5'!V200)),SUM('A-5'!V152,'A-5'!V104,'A-5'!V200),IF(OR('A-5'!V152="--",'A-5'!V104="--",'A-5'!V200="--"),"--","-"))</f>
        <v>0</v>
      </c>
      <c r="W104" s="142" t="str">
        <f>IF(OR(ISNUMBER('A-5'!W152),ISNUMBER('A-5'!W104),ISNUMBER('A-5'!W200)),SUM('A-5'!W152,'A-5'!W104,'A-5'!W200),IF(OR('A-5'!W152="--",'A-5'!W104="--",'A-5'!W200="--"),"--","-"))</f>
        <v>-</v>
      </c>
      <c r="X104" s="142">
        <f>IF(AND('A-5'!X104="-",'A-5'!X152="-",'A-5'!X200="-"),"-",SUM('A-5'!X104,'A-5'!X152,'A-5'!X200))</f>
        <v>1922</v>
      </c>
    </row>
    <row r="105" spans="1:24" ht="11.25" customHeight="1">
      <c r="A105" s="99">
        <v>1980</v>
      </c>
      <c r="B105" s="142">
        <f>IF(AND('A-5'!B105="-",'A-5'!B153="-",'A-5'!B201="-"),"-",SUM('A-5'!B105,'A-5'!B153,'A-5'!B201))</f>
        <v>4703</v>
      </c>
      <c r="C105" s="142">
        <f>IF(AND('A-5'!C105="-",'A-5'!C153="-",'A-5'!C201="-"),"-",SUM('A-5'!C105,'A-5'!C153,'A-5'!C201))</f>
        <v>12033</v>
      </c>
      <c r="D105" s="142">
        <f>IF(AND('A-5'!D105="-",'A-5'!D153="-",'A-5'!D201="-"),"-",SUM('A-5'!D105,'A-5'!D153,'A-5'!D201))</f>
        <v>6671</v>
      </c>
      <c r="E105" s="142">
        <f>IF(AND('A-5'!E105="-",'A-5'!E153="-",'A-5'!E201="-"),"-",SUM('A-5'!E105,'A-5'!E153,'A-5'!E201))</f>
        <v>5804</v>
      </c>
      <c r="F105" s="142">
        <f>IF(AND('A-5'!F105="-",'A-5'!F153="-",'A-5'!F201="-"),"-",SUM('A-5'!F105,'A-5'!F153,'A-5'!F201))</f>
        <v>16373</v>
      </c>
      <c r="G105" s="142">
        <f>IF(AND('A-5'!G105="-",'A-5'!G153="-",'A-5'!G201="-"),"-",SUM('A-5'!G105,'A-5'!G153,'A-5'!G201))</f>
        <v>15938</v>
      </c>
      <c r="H105" s="142">
        <f>IF(AND('A-5'!H105="-",'A-5'!H153="-",'A-5'!H201="-"),"-",SUM('A-5'!H105,'A-5'!H153,'A-5'!H201))</f>
        <v>7645</v>
      </c>
      <c r="I105" s="142">
        <f>IF(AND('A-5'!I105="-",'A-5'!I153="-",'A-5'!I201="-"),"-",SUM('A-5'!I105,'A-5'!I153,'A-5'!I201))</f>
        <v>5206</v>
      </c>
      <c r="J105" s="142">
        <f>IF(AND('A-5'!J105="-",'A-5'!J153="-",'A-5'!J201="-"),"-",SUM('A-5'!J105,'A-5'!J153,'A-5'!J201))</f>
        <v>4048</v>
      </c>
      <c r="K105" s="142">
        <f>IF(AND('A-5'!K105="-",'A-5'!K153="-",'A-5'!K201="-"),"-",SUM('A-5'!K105,'A-5'!K153,'A-5'!K201))</f>
        <v>0</v>
      </c>
      <c r="L105" s="142">
        <f>IF(AND('A-5'!L105="-",'A-5'!L153="-",'A-5'!L201="-"),"-",SUM('A-5'!L105,'A-5'!L153,'A-5'!L201))</f>
        <v>78421</v>
      </c>
      <c r="N105" s="142">
        <f>IF(OR(ISNUMBER('A-5'!N153),ISNUMBER('A-5'!N105),ISNUMBER('A-5'!N201)),SUM('A-5'!N153,'A-5'!N105,'A-5'!N201),IF(OR('A-5'!N153="--",'A-5'!N105="--",'A-5'!N201="--"),"--","-"))</f>
        <v>0</v>
      </c>
      <c r="O105" s="142">
        <f>IF(OR(ISNUMBER('A-5'!O153),ISNUMBER('A-5'!O105),ISNUMBER('A-5'!O201)),SUM('A-5'!O153,'A-5'!O105,'A-5'!O201),IF(OR('A-5'!O153="--",'A-5'!O105="--",'A-5'!O201="--"),"--","-"))</f>
        <v>0</v>
      </c>
      <c r="P105" s="142">
        <f>IF(OR(ISNUMBER('A-5'!P153),ISNUMBER('A-5'!P105),ISNUMBER('A-5'!P201)),SUM('A-5'!P153,'A-5'!P105,'A-5'!P201),IF(OR('A-5'!P153="--",'A-5'!P105="--",'A-5'!P201="--"),"--","-"))</f>
        <v>17</v>
      </c>
      <c r="Q105" s="142">
        <f>IF(OR(ISNUMBER('A-5'!Q153),ISNUMBER('A-5'!Q105),ISNUMBER('A-5'!Q201)),SUM('A-5'!Q153,'A-5'!Q105,'A-5'!Q201),IF(OR('A-5'!Q153="--",'A-5'!Q105="--",'A-5'!Q201="--"),"--","-"))</f>
        <v>72</v>
      </c>
      <c r="R105" s="142">
        <f>IF(OR(ISNUMBER('A-5'!R153),ISNUMBER('A-5'!R105),ISNUMBER('A-5'!R201)),SUM('A-5'!R153,'A-5'!R105,'A-5'!R201),IF(OR('A-5'!R153="--",'A-5'!R105="--",'A-5'!R201="--"),"--","-"))</f>
        <v>453</v>
      </c>
      <c r="S105" s="142">
        <f>IF(OR(ISNUMBER('A-5'!S153),ISNUMBER('A-5'!S105),ISNUMBER('A-5'!S201)),SUM('A-5'!S153,'A-5'!S105,'A-5'!S201),IF(OR('A-5'!S153="--",'A-5'!S105="--",'A-5'!S201="--"),"--","-"))</f>
        <v>887</v>
      </c>
      <c r="T105" s="142">
        <f>IF(OR(ISNUMBER('A-5'!T153),ISNUMBER('A-5'!T105),ISNUMBER('A-5'!T201)),SUM('A-5'!T153,'A-5'!T105,'A-5'!T201),IF(OR('A-5'!T153="--",'A-5'!T105="--",'A-5'!T201="--"),"--","-"))</f>
        <v>165</v>
      </c>
      <c r="U105" s="142">
        <f>IF(OR(ISNUMBER('A-5'!U153),ISNUMBER('A-5'!U105),ISNUMBER('A-5'!U201)),SUM('A-5'!U153,'A-5'!U105,'A-5'!U201),IF(OR('A-5'!U153="--",'A-5'!U105="--",'A-5'!U201="--"),"--","-"))</f>
        <v>0</v>
      </c>
      <c r="V105" s="142">
        <f>IF(OR(ISNUMBER('A-5'!V153),ISNUMBER('A-5'!V105),ISNUMBER('A-5'!V201)),SUM('A-5'!V153,'A-5'!V105,'A-5'!V201),IF(OR('A-5'!V153="--",'A-5'!V105="--",'A-5'!V201="--"),"--","-"))</f>
        <v>8</v>
      </c>
      <c r="W105" s="142" t="str">
        <f>IF(OR(ISNUMBER('A-5'!W153),ISNUMBER('A-5'!W105),ISNUMBER('A-5'!W201)),SUM('A-5'!W153,'A-5'!W105,'A-5'!W201),IF(OR('A-5'!W153="--",'A-5'!W105="--",'A-5'!W201="--"),"--","-"))</f>
        <v>-</v>
      </c>
      <c r="X105" s="142">
        <f>IF(AND('A-5'!X105="-",'A-5'!X153="-",'A-5'!X201="-"),"-",SUM('A-5'!X105,'A-5'!X153,'A-5'!X201))</f>
        <v>1602</v>
      </c>
    </row>
    <row r="106" spans="1:24" ht="11.25" customHeight="1">
      <c r="A106" s="99">
        <v>1981</v>
      </c>
      <c r="B106" s="142">
        <f>IF(AND('A-5'!B106="-",'A-5'!B154="-",'A-5'!B202="-"),"-",SUM('A-5'!B106,'A-5'!B154,'A-5'!B202))</f>
        <v>3393</v>
      </c>
      <c r="C106" s="142">
        <f>IF(AND('A-5'!C106="-",'A-5'!C154="-",'A-5'!C202="-"),"-",SUM('A-5'!C106,'A-5'!C154,'A-5'!C202))</f>
        <v>3141</v>
      </c>
      <c r="D106" s="142">
        <f>IF(AND('A-5'!D106="-",'A-5'!D154="-",'A-5'!D202="-"),"-",SUM('A-5'!D106,'A-5'!D154,'A-5'!D202))</f>
        <v>8471</v>
      </c>
      <c r="E106" s="142">
        <f>IF(AND('A-5'!E106="-",'A-5'!E154="-",'A-5'!E202="-"),"-",SUM('A-5'!E106,'A-5'!E154,'A-5'!E202))</f>
        <v>3360</v>
      </c>
      <c r="F106" s="142">
        <f>IF(AND('A-5'!F106="-",'A-5'!F154="-",'A-5'!F202="-"),"-",SUM('A-5'!F106,'A-5'!F154,'A-5'!F202))</f>
        <v>9792</v>
      </c>
      <c r="G106" s="142">
        <f>IF(AND('A-5'!G106="-",'A-5'!G154="-",'A-5'!G202="-"),"-",SUM('A-5'!G106,'A-5'!G154,'A-5'!G202))</f>
        <v>20051</v>
      </c>
      <c r="H106" s="142">
        <f>IF(AND('A-5'!H106="-",'A-5'!H154="-",'A-5'!H202="-"),"-",SUM('A-5'!H106,'A-5'!H154,'A-5'!H202))</f>
        <v>12188</v>
      </c>
      <c r="I106" s="142">
        <f>IF(AND('A-5'!I106="-",'A-5'!I154="-",'A-5'!I202="-"),"-",SUM('A-5'!I106,'A-5'!I154,'A-5'!I202))</f>
        <v>8906</v>
      </c>
      <c r="J106" s="142">
        <f>IF(AND('A-5'!J106="-",'A-5'!J154="-",'A-5'!J202="-"),"-",SUM('A-5'!J106,'A-5'!J154,'A-5'!J202))</f>
        <v>4993</v>
      </c>
      <c r="K106" s="142">
        <f>IF(AND('A-5'!K106="-",'A-5'!K154="-",'A-5'!K202="-"),"-",SUM('A-5'!K106,'A-5'!K154,'A-5'!K202))</f>
        <v>1319</v>
      </c>
      <c r="L106" s="142">
        <f>IF(AND('A-5'!L106="-",'A-5'!L154="-",'A-5'!L202="-"),"-",SUM('A-5'!L106,'A-5'!L154,'A-5'!L202))</f>
        <v>75614</v>
      </c>
      <c r="N106" s="142">
        <f>IF(OR(ISNUMBER('A-5'!N154),ISNUMBER('A-5'!N106),ISNUMBER('A-5'!N202)),SUM('A-5'!N154,'A-5'!N106,'A-5'!N202),IF(OR('A-5'!N154="--",'A-5'!N106="--",'A-5'!N202="--"),"--","-"))</f>
        <v>0</v>
      </c>
      <c r="O106" s="142">
        <f>IF(OR(ISNUMBER('A-5'!O154),ISNUMBER('A-5'!O106),ISNUMBER('A-5'!O202)),SUM('A-5'!O154,'A-5'!O106,'A-5'!O202),IF(OR('A-5'!O154="--",'A-5'!O106="--",'A-5'!O202="--"),"--","-"))</f>
        <v>0</v>
      </c>
      <c r="P106" s="142">
        <f>IF(OR(ISNUMBER('A-5'!P154),ISNUMBER('A-5'!P106),ISNUMBER('A-5'!P202)),SUM('A-5'!P154,'A-5'!P106,'A-5'!P202),IF(OR('A-5'!P154="--",'A-5'!P106="--",'A-5'!P202="--"),"--","-"))</f>
        <v>0</v>
      </c>
      <c r="Q106" s="142">
        <f>IF(OR(ISNUMBER('A-5'!Q154),ISNUMBER('A-5'!Q106),ISNUMBER('A-5'!Q202)),SUM('A-5'!Q154,'A-5'!Q106,'A-5'!Q202),IF(OR('A-5'!Q154="--",'A-5'!Q106="--",'A-5'!Q202="--"),"--","-"))</f>
        <v>0</v>
      </c>
      <c r="R106" s="142">
        <f>IF(OR(ISNUMBER('A-5'!R154),ISNUMBER('A-5'!R106),ISNUMBER('A-5'!R202)),SUM('A-5'!R154,'A-5'!R106,'A-5'!R202),IF(OR('A-5'!R154="--",'A-5'!R106="--",'A-5'!R202="--"),"--","-"))</f>
        <v>233</v>
      </c>
      <c r="S106" s="142">
        <f>IF(OR(ISNUMBER('A-5'!S154),ISNUMBER('A-5'!S106),ISNUMBER('A-5'!S202)),SUM('A-5'!S154,'A-5'!S106,'A-5'!S202),IF(OR('A-5'!S154="--",'A-5'!S106="--",'A-5'!S202="--"),"--","-"))</f>
        <v>1009</v>
      </c>
      <c r="T106" s="142">
        <f>IF(OR(ISNUMBER('A-5'!T154),ISNUMBER('A-5'!T106),ISNUMBER('A-5'!T202)),SUM('A-5'!T154,'A-5'!T106,'A-5'!T202),IF(OR('A-5'!T154="--",'A-5'!T106="--",'A-5'!T202="--"),"--","-"))</f>
        <v>696</v>
      </c>
      <c r="U106" s="142">
        <f>IF(OR(ISNUMBER('A-5'!U154),ISNUMBER('A-5'!U106),ISNUMBER('A-5'!U202)),SUM('A-5'!U154,'A-5'!U106,'A-5'!U202),IF(OR('A-5'!U154="--",'A-5'!U106="--",'A-5'!U202="--"),"--","-"))</f>
        <v>157</v>
      </c>
      <c r="V106" s="142">
        <f>IF(OR(ISNUMBER('A-5'!V154),ISNUMBER('A-5'!V106),ISNUMBER('A-5'!V202)),SUM('A-5'!V154,'A-5'!V106,'A-5'!V202),IF(OR('A-5'!V154="--",'A-5'!V106="--",'A-5'!V202="--"),"--","-"))</f>
        <v>147</v>
      </c>
      <c r="W106" s="142">
        <f>IF(OR(ISNUMBER('A-5'!W154),ISNUMBER('A-5'!W106),ISNUMBER('A-5'!W202)),SUM('A-5'!W154,'A-5'!W106,'A-5'!W202),IF(OR('A-5'!W154="--",'A-5'!W106="--",'A-5'!W202="--"),"--","-"))</f>
        <v>0</v>
      </c>
      <c r="X106" s="142">
        <f>IF(AND('A-5'!X106="-",'A-5'!X154="-",'A-5'!X202="-"),"-",SUM('A-5'!X106,'A-5'!X154,'A-5'!X202))</f>
        <v>2242</v>
      </c>
    </row>
    <row r="107" spans="1:24" ht="11.25" customHeight="1">
      <c r="A107" s="99">
        <v>1982</v>
      </c>
      <c r="B107" s="142">
        <f>IF(AND('A-5'!B107="-",'A-5'!B155="-",'A-5'!B203="-"),"-",SUM('A-5'!B107,'A-5'!B155,'A-5'!B203))</f>
        <v>11187</v>
      </c>
      <c r="C107" s="142">
        <f>IF(AND('A-5'!C107="-",'A-5'!C155="-",'A-5'!C203="-"),"-",SUM('A-5'!C107,'A-5'!C155,'A-5'!C203))</f>
        <v>11379</v>
      </c>
      <c r="D107" s="142">
        <f>IF(AND('A-5'!D107="-",'A-5'!D155="-",'A-5'!D203="-"),"-",SUM('A-5'!D107,'A-5'!D155,'A-5'!D203))</f>
        <v>5052</v>
      </c>
      <c r="E107" s="142">
        <f>IF(AND('A-5'!E107="-",'A-5'!E155="-",'A-5'!E203="-"),"-",SUM('A-5'!E107,'A-5'!E155,'A-5'!E203))</f>
        <v>7402</v>
      </c>
      <c r="F107" s="142">
        <f>IF(AND('A-5'!F107="-",'A-5'!F155="-",'A-5'!F203="-"),"-",SUM('A-5'!F107,'A-5'!F155,'A-5'!F203))</f>
        <v>11495</v>
      </c>
      <c r="G107" s="142">
        <f>IF(AND('A-5'!G107="-",'A-5'!G155="-",'A-5'!G203="-"),"-",SUM('A-5'!G107,'A-5'!G155,'A-5'!G203))</f>
        <v>19269</v>
      </c>
      <c r="H107" s="142">
        <f>IF(AND('A-5'!H107="-",'A-5'!H155="-",'A-5'!H203="-"),"-",SUM('A-5'!H107,'A-5'!H155,'A-5'!H203))</f>
        <v>27556</v>
      </c>
      <c r="I107" s="142">
        <f>IF(AND('A-5'!I107="-",'A-5'!I155="-",'A-5'!I203="-"),"-",SUM('A-5'!I107,'A-5'!I155,'A-5'!I203))</f>
        <v>14954</v>
      </c>
      <c r="J107" s="142">
        <f>IF(AND('A-5'!J107="-",'A-5'!J155="-",'A-5'!J203="-"),"-",SUM('A-5'!J107,'A-5'!J155,'A-5'!J203))</f>
        <v>13952</v>
      </c>
      <c r="K107" s="142">
        <f>IF(AND('A-5'!K107="-",'A-5'!K155="-",'A-5'!K203="-"),"-",SUM('A-5'!K107,'A-5'!K155,'A-5'!K203))</f>
        <v>3198</v>
      </c>
      <c r="L107" s="142">
        <f>IF(AND('A-5'!L107="-",'A-5'!L155="-",'A-5'!L203="-"),"-",SUM('A-5'!L107,'A-5'!L155,'A-5'!L203))</f>
        <v>125444</v>
      </c>
      <c r="N107" s="142">
        <f>IF(OR(ISNUMBER('A-5'!N155),ISNUMBER('A-5'!N107),ISNUMBER('A-5'!N203)),SUM('A-5'!N155,'A-5'!N107,'A-5'!N203),IF(OR('A-5'!N155="--",'A-5'!N107="--",'A-5'!N203="--"),"--","-"))</f>
        <v>0</v>
      </c>
      <c r="O107" s="142">
        <f>IF(OR(ISNUMBER('A-5'!O155),ISNUMBER('A-5'!O107),ISNUMBER('A-5'!O203)),SUM('A-5'!O155,'A-5'!O107,'A-5'!O203),IF(OR('A-5'!O155="--",'A-5'!O107="--",'A-5'!O203="--"),"--","-"))</f>
        <v>0</v>
      </c>
      <c r="P107" s="142">
        <f>IF(OR(ISNUMBER('A-5'!P155),ISNUMBER('A-5'!P107),ISNUMBER('A-5'!P203)),SUM('A-5'!P155,'A-5'!P107,'A-5'!P203),IF(OR('A-5'!P155="--",'A-5'!P107="--",'A-5'!P203="--"),"--","-"))</f>
        <v>0</v>
      </c>
      <c r="Q107" s="142">
        <f>IF(OR(ISNUMBER('A-5'!Q155),ISNUMBER('A-5'!Q107),ISNUMBER('A-5'!Q203)),SUM('A-5'!Q155,'A-5'!Q107,'A-5'!Q203),IF(OR('A-5'!Q155="--",'A-5'!Q107="--",'A-5'!Q203="--"),"--","-"))</f>
        <v>532</v>
      </c>
      <c r="R107" s="142">
        <f>IF(OR(ISNUMBER('A-5'!R155),ISNUMBER('A-5'!R107),ISNUMBER('A-5'!R203)),SUM('A-5'!R155,'A-5'!R107,'A-5'!R203),IF(OR('A-5'!R155="--",'A-5'!R107="--",'A-5'!R203="--"),"--","-"))</f>
        <v>1903</v>
      </c>
      <c r="S107" s="142">
        <f>IF(OR(ISNUMBER('A-5'!S155),ISNUMBER('A-5'!S107),ISNUMBER('A-5'!S203)),SUM('A-5'!S155,'A-5'!S107,'A-5'!S203),IF(OR('A-5'!S155="--",'A-5'!S107="--",'A-5'!S203="--"),"--","-"))</f>
        <v>851</v>
      </c>
      <c r="T107" s="142">
        <f>IF(OR(ISNUMBER('A-5'!T155),ISNUMBER('A-5'!T107),ISNUMBER('A-5'!T203)),SUM('A-5'!T155,'A-5'!T107,'A-5'!T203),IF(OR('A-5'!T155="--",'A-5'!T107="--",'A-5'!T203="--"),"--","-"))</f>
        <v>216</v>
      </c>
      <c r="U107" s="142">
        <f>IF(OR(ISNUMBER('A-5'!U155),ISNUMBER('A-5'!U107),ISNUMBER('A-5'!U203)),SUM('A-5'!U155,'A-5'!U107,'A-5'!U203),IF(OR('A-5'!U155="--",'A-5'!U107="--",'A-5'!U203="--"),"--","-"))</f>
        <v>27</v>
      </c>
      <c r="V107" s="142">
        <f>IF(OR(ISNUMBER('A-5'!V155),ISNUMBER('A-5'!V107),ISNUMBER('A-5'!V203)),SUM('A-5'!V155,'A-5'!V107,'A-5'!V203),IF(OR('A-5'!V155="--",'A-5'!V107="--",'A-5'!V203="--"),"--","-"))</f>
        <v>0</v>
      </c>
      <c r="W107" s="142">
        <f>IF(OR(ISNUMBER('A-5'!W155),ISNUMBER('A-5'!W107),ISNUMBER('A-5'!W203)),SUM('A-5'!W155,'A-5'!W107,'A-5'!W203),IF(OR('A-5'!W155="--",'A-5'!W107="--",'A-5'!W203="--"),"--","-"))</f>
        <v>0</v>
      </c>
      <c r="X107" s="142">
        <f>IF(AND('A-5'!X107="-",'A-5'!X155="-",'A-5'!X203="-"),"-",SUM('A-5'!X107,'A-5'!X155,'A-5'!X203))</f>
        <v>3529</v>
      </c>
    </row>
    <row r="108" spans="1:24" ht="11.25" customHeight="1">
      <c r="A108" s="99">
        <v>1983</v>
      </c>
      <c r="B108" s="142">
        <f>IF(AND('A-5'!B108="-",'A-5'!B156="-",'A-5'!B204="-"),"-",SUM('A-5'!B108,'A-5'!B156,'A-5'!B204))</f>
        <v>2627</v>
      </c>
      <c r="C108" s="142">
        <f>IF(AND('A-5'!C108="-",'A-5'!C156="-",'A-5'!C204="-"),"-",SUM('A-5'!C108,'A-5'!C156,'A-5'!C204))</f>
        <v>3080</v>
      </c>
      <c r="D108" s="142">
        <f>IF(AND('A-5'!D108="-",'A-5'!D156="-",'A-5'!D204="-"),"-",SUM('A-5'!D108,'A-5'!D156,'A-5'!D204))</f>
        <v>4790</v>
      </c>
      <c r="E108" s="142">
        <f>IF(AND('A-5'!E108="-",'A-5'!E156="-",'A-5'!E204="-"),"-",SUM('A-5'!E108,'A-5'!E156,'A-5'!E204))</f>
        <v>11386</v>
      </c>
      <c r="F108" s="142">
        <f>IF(AND('A-5'!F108="-",'A-5'!F156="-",'A-5'!F204="-"),"-",SUM('A-5'!F108,'A-5'!F156,'A-5'!F204))</f>
        <v>9030</v>
      </c>
      <c r="G108" s="142">
        <f>IF(AND('A-5'!G108="-",'A-5'!G156="-",'A-5'!G204="-"),"-",SUM('A-5'!G108,'A-5'!G156,'A-5'!G204))</f>
        <v>10934</v>
      </c>
      <c r="H108" s="142">
        <f>IF(AND('A-5'!H108="-",'A-5'!H156="-",'A-5'!H204="-"),"-",SUM('A-5'!H108,'A-5'!H156,'A-5'!H204))</f>
        <v>7046</v>
      </c>
      <c r="I108" s="142">
        <f>IF(AND('A-5'!I108="-",'A-5'!I156="-",'A-5'!I204="-"),"-",SUM('A-5'!I108,'A-5'!I156,'A-5'!I204))</f>
        <v>4368</v>
      </c>
      <c r="J108" s="142">
        <f>IF(AND('A-5'!J108="-",'A-5'!J156="-",'A-5'!J204="-"),"-",SUM('A-5'!J108,'A-5'!J156,'A-5'!J204))</f>
        <v>1576</v>
      </c>
      <c r="K108" s="142">
        <f>IF(AND('A-5'!K108="-",'A-5'!K156="-",'A-5'!K204="-"),"-",SUM('A-5'!K108,'A-5'!K156,'A-5'!K204))</f>
        <v>56</v>
      </c>
      <c r="L108" s="142">
        <f>IF(AND('A-5'!L108="-",'A-5'!L156="-",'A-5'!L204="-"),"-",SUM('A-5'!L108,'A-5'!L156,'A-5'!L204))</f>
        <v>54893</v>
      </c>
      <c r="N108" s="142">
        <f>IF(OR(ISNUMBER('A-5'!N156),ISNUMBER('A-5'!N108),ISNUMBER('A-5'!N204)),SUM('A-5'!N156,'A-5'!N108,'A-5'!N204),IF(OR('A-5'!N156="--",'A-5'!N108="--",'A-5'!N204="--"),"--","-"))</f>
        <v>0</v>
      </c>
      <c r="O108" s="142">
        <f>IF(OR(ISNUMBER('A-5'!O156),ISNUMBER('A-5'!O108),ISNUMBER('A-5'!O204)),SUM('A-5'!O156,'A-5'!O108,'A-5'!O204),IF(OR('A-5'!O156="--",'A-5'!O108="--",'A-5'!O204="--"),"--","-"))</f>
        <v>3</v>
      </c>
      <c r="P108" s="142">
        <f>IF(OR(ISNUMBER('A-5'!P156),ISNUMBER('A-5'!P108),ISNUMBER('A-5'!P204)),SUM('A-5'!P156,'A-5'!P108,'A-5'!P204),IF(OR('A-5'!P156="--",'A-5'!P108="--",'A-5'!P204="--"),"--","-"))</f>
        <v>56</v>
      </c>
      <c r="Q108" s="142">
        <f>IF(OR(ISNUMBER('A-5'!Q156),ISNUMBER('A-5'!Q108),ISNUMBER('A-5'!Q204)),SUM('A-5'!Q156,'A-5'!Q108,'A-5'!Q204),IF(OR('A-5'!Q156="--",'A-5'!Q108="--",'A-5'!Q204="--"),"--","-"))</f>
        <v>49</v>
      </c>
      <c r="R108" s="142">
        <f>IF(OR(ISNUMBER('A-5'!R156),ISNUMBER('A-5'!R108),ISNUMBER('A-5'!R204)),SUM('A-5'!R156,'A-5'!R108,'A-5'!R204),IF(OR('A-5'!R156="--",'A-5'!R108="--",'A-5'!R204="--"),"--","-"))</f>
        <v>547</v>
      </c>
      <c r="S108" s="142">
        <f>IF(OR(ISNUMBER('A-5'!S156),ISNUMBER('A-5'!S108),ISNUMBER('A-5'!S204)),SUM('A-5'!S156,'A-5'!S108,'A-5'!S204),IF(OR('A-5'!S156="--",'A-5'!S108="--",'A-5'!S204="--"),"--","-"))</f>
        <v>1422</v>
      </c>
      <c r="T108" s="142">
        <f>IF(OR(ISNUMBER('A-5'!T156),ISNUMBER('A-5'!T108),ISNUMBER('A-5'!T204)),SUM('A-5'!T156,'A-5'!T108,'A-5'!T204),IF(OR('A-5'!T156="--",'A-5'!T108="--",'A-5'!T204="--"),"--","-"))</f>
        <v>267</v>
      </c>
      <c r="U108" s="142">
        <f>IF(OR(ISNUMBER('A-5'!U156),ISNUMBER('A-5'!U108),ISNUMBER('A-5'!U204)),SUM('A-5'!U156,'A-5'!U108,'A-5'!U204),IF(OR('A-5'!U156="--",'A-5'!U108="--",'A-5'!U204="--"),"--","-"))</f>
        <v>0</v>
      </c>
      <c r="V108" s="142">
        <f>IF(OR(ISNUMBER('A-5'!V156),ISNUMBER('A-5'!V108),ISNUMBER('A-5'!V204)),SUM('A-5'!V156,'A-5'!V108,'A-5'!V204),IF(OR('A-5'!V156="--",'A-5'!V108="--",'A-5'!V204="--"),"--","-"))</f>
        <v>0</v>
      </c>
      <c r="W108" s="142">
        <f>IF(OR(ISNUMBER('A-5'!W156),ISNUMBER('A-5'!W108),ISNUMBER('A-5'!W204)),SUM('A-5'!W156,'A-5'!W108,'A-5'!W204),IF(OR('A-5'!W156="--",'A-5'!W108="--",'A-5'!W204="--"),"--","-"))</f>
        <v>0</v>
      </c>
      <c r="X108" s="142">
        <f>IF(AND('A-5'!X108="-",'A-5'!X156="-",'A-5'!X204="-"),"-",SUM('A-5'!X108,'A-5'!X156,'A-5'!X204))</f>
        <v>2344</v>
      </c>
    </row>
    <row r="109" spans="1:24" ht="11.25" customHeight="1">
      <c r="A109" s="99">
        <v>1984</v>
      </c>
      <c r="B109" s="142">
        <f>IF(AND('A-5'!B109="-",'A-5'!B157="-",'A-5'!B205="-"),"-",SUM('A-5'!B109,'A-5'!B157,'A-5'!B205))</f>
        <v>392</v>
      </c>
      <c r="C109" s="142">
        <f>IF(AND('A-5'!C109="-",'A-5'!C157="-",'A-5'!C205="-"),"-",SUM('A-5'!C109,'A-5'!C157,'A-5'!C205))</f>
        <v>758</v>
      </c>
      <c r="D109" s="142">
        <f>IF(AND('A-5'!D109="-",'A-5'!D157="-",'A-5'!D205="-"),"-",SUM('A-5'!D109,'A-5'!D157,'A-5'!D205))</f>
        <v>5932</v>
      </c>
      <c r="E109" s="142">
        <f>IF(AND('A-5'!E109="-",'A-5'!E157="-",'A-5'!E205="-"),"-",SUM('A-5'!E109,'A-5'!E157,'A-5'!E205))</f>
        <v>7415</v>
      </c>
      <c r="F109" s="142">
        <f>IF(AND('A-5'!F109="-",'A-5'!F157="-",'A-5'!F205="-"),"-",SUM('A-5'!F109,'A-5'!F157,'A-5'!F205))</f>
        <v>17136</v>
      </c>
      <c r="G109" s="142">
        <f>IF(AND('A-5'!G109="-",'A-5'!G157="-",'A-5'!G205="-"),"-",SUM('A-5'!G109,'A-5'!G157,'A-5'!G205))</f>
        <v>20904</v>
      </c>
      <c r="H109" s="142">
        <f>IF(AND('A-5'!H109="-",'A-5'!H157="-",'A-5'!H205="-"),"-",SUM('A-5'!H109,'A-5'!H157,'A-5'!H205))</f>
        <v>16696</v>
      </c>
      <c r="I109" s="142">
        <f>IF(AND('A-5'!I109="-",'A-5'!I157="-",'A-5'!I205="-"),"-",SUM('A-5'!I109,'A-5'!I157,'A-5'!I205))</f>
        <v>7365</v>
      </c>
      <c r="J109" s="142">
        <f>IF(AND('A-5'!J109="-",'A-5'!J157="-",'A-5'!J205="-"),"-",SUM('A-5'!J109,'A-5'!J157,'A-5'!J205))</f>
        <v>2312</v>
      </c>
      <c r="K109" s="142">
        <f>IF(AND('A-5'!K109="-",'A-5'!K157="-",'A-5'!K205="-"),"-",SUM('A-5'!K109,'A-5'!K157,'A-5'!K205))</f>
        <v>759</v>
      </c>
      <c r="L109" s="142">
        <f>IF(AND('A-5'!L109="-",'A-5'!L157="-",'A-5'!L205="-"),"-",SUM('A-5'!L109,'A-5'!L157,'A-5'!L205))</f>
        <v>79669</v>
      </c>
      <c r="N109" s="142">
        <f>IF(OR(ISNUMBER('A-5'!N157),ISNUMBER('A-5'!N109),ISNUMBER('A-5'!N205)),SUM('A-5'!N157,'A-5'!N109,'A-5'!N205),IF(OR('A-5'!N157="--",'A-5'!N109="--",'A-5'!N205="--"),"--","-"))</f>
        <v>0</v>
      </c>
      <c r="O109" s="142">
        <f>IF(OR(ISNUMBER('A-5'!O157),ISNUMBER('A-5'!O109),ISNUMBER('A-5'!O205)),SUM('A-5'!O157,'A-5'!O109,'A-5'!O205),IF(OR('A-5'!O157="--",'A-5'!O109="--",'A-5'!O205="--"),"--","-"))</f>
        <v>0</v>
      </c>
      <c r="P109" s="142">
        <f>IF(OR(ISNUMBER('A-5'!P157),ISNUMBER('A-5'!P109),ISNUMBER('A-5'!P205)),SUM('A-5'!P157,'A-5'!P109,'A-5'!P205),IF(OR('A-5'!P157="--",'A-5'!P109="--",'A-5'!P205="--"),"--","-"))</f>
        <v>2</v>
      </c>
      <c r="Q109" s="142">
        <f>IF(OR(ISNUMBER('A-5'!Q157),ISNUMBER('A-5'!Q109),ISNUMBER('A-5'!Q205)),SUM('A-5'!Q157,'A-5'!Q109,'A-5'!Q205),IF(OR('A-5'!Q157="--",'A-5'!Q109="--",'A-5'!Q205="--"),"--","-"))</f>
        <v>79</v>
      </c>
      <c r="R109" s="142">
        <f>IF(OR(ISNUMBER('A-5'!R157),ISNUMBER('A-5'!R109),ISNUMBER('A-5'!R205)),SUM('A-5'!R157,'A-5'!R109,'A-5'!R205),IF(OR('A-5'!R157="--",'A-5'!R109="--",'A-5'!R205="--"),"--","-"))</f>
        <v>116</v>
      </c>
      <c r="S109" s="142">
        <f>IF(OR(ISNUMBER('A-5'!S157),ISNUMBER('A-5'!S109),ISNUMBER('A-5'!S205)),SUM('A-5'!S157,'A-5'!S109,'A-5'!S205),IF(OR('A-5'!S157="--",'A-5'!S109="--",'A-5'!S205="--"),"--","-"))</f>
        <v>919</v>
      </c>
      <c r="T109" s="142">
        <f>IF(OR(ISNUMBER('A-5'!T157),ISNUMBER('A-5'!T109),ISNUMBER('A-5'!T205)),SUM('A-5'!T157,'A-5'!T109,'A-5'!T205),IF(OR('A-5'!T157="--",'A-5'!T109="--",'A-5'!T205="--"),"--","-"))</f>
        <v>313</v>
      </c>
      <c r="U109" s="142">
        <f>IF(OR(ISNUMBER('A-5'!U157),ISNUMBER('A-5'!U109),ISNUMBER('A-5'!U205)),SUM('A-5'!U157,'A-5'!U109,'A-5'!U205),IF(OR('A-5'!U157="--",'A-5'!U109="--",'A-5'!U205="--"),"--","-"))</f>
        <v>0</v>
      </c>
      <c r="V109" s="142">
        <f>IF(OR(ISNUMBER('A-5'!V157),ISNUMBER('A-5'!V109),ISNUMBER('A-5'!V205)),SUM('A-5'!V157,'A-5'!V109,'A-5'!V205),IF(OR('A-5'!V157="--",'A-5'!V109="--",'A-5'!V205="--"),"--","-"))</f>
        <v>0</v>
      </c>
      <c r="W109" s="142">
        <f>IF(OR(ISNUMBER('A-5'!W157),ISNUMBER('A-5'!W109),ISNUMBER('A-5'!W205)),SUM('A-5'!W157,'A-5'!W109,'A-5'!W205),IF(OR('A-5'!W157="--",'A-5'!W109="--",'A-5'!W205="--"),"--","-"))</f>
        <v>0</v>
      </c>
      <c r="X109" s="142">
        <f>IF(AND('A-5'!X109="-",'A-5'!X157="-",'A-5'!X205="-"),"-",SUM('A-5'!X109,'A-5'!X157,'A-5'!X205))</f>
        <v>1429</v>
      </c>
    </row>
    <row r="110" spans="1:24" ht="11.25" customHeight="1">
      <c r="A110" s="99">
        <v>1985</v>
      </c>
      <c r="B110" s="142">
        <f>IF(AND('A-5'!B110="-",'A-5'!B158="-",'A-5'!B206="-"),"-",SUM('A-5'!B110,'A-5'!B158,'A-5'!B206))</f>
        <v>12134</v>
      </c>
      <c r="C110" s="142">
        <f>IF(AND('A-5'!C110="-",'A-5'!C158="-",'A-5'!C206="-"),"-",SUM('A-5'!C110,'A-5'!C158,'A-5'!C206))</f>
        <v>17970</v>
      </c>
      <c r="D110" s="142">
        <f>IF(AND('A-5'!D110="-",'A-5'!D158="-",'A-5'!D206="-"),"-",SUM('A-5'!D110,'A-5'!D158,'A-5'!D206))</f>
        <v>11945</v>
      </c>
      <c r="E110" s="142">
        <f>IF(AND('A-5'!E110="-",'A-5'!E158="-",'A-5'!E206="-"),"-",SUM('A-5'!E110,'A-5'!E158,'A-5'!E206))</f>
        <v>8709</v>
      </c>
      <c r="F110" s="142">
        <f>IF(AND('A-5'!F110="-",'A-5'!F158="-",'A-5'!F206="-"),"-",SUM('A-5'!F110,'A-5'!F158,'A-5'!F206))</f>
        <v>19063</v>
      </c>
      <c r="G110" s="142">
        <f>IF(AND('A-5'!G110="-",'A-5'!G158="-",'A-5'!G206="-"),"-",SUM('A-5'!G110,'A-5'!G158,'A-5'!G206))</f>
        <v>23793</v>
      </c>
      <c r="H110" s="142">
        <f>IF(AND('A-5'!H110="-",'A-5'!H158="-",'A-5'!H206="-"),"-",SUM('A-5'!H110,'A-5'!H158,'A-5'!H206))</f>
        <v>19449</v>
      </c>
      <c r="I110" s="142">
        <f>IF(AND('A-5'!I110="-",'A-5'!I158="-",'A-5'!I206="-"),"-",SUM('A-5'!I110,'A-5'!I158,'A-5'!I206))</f>
        <v>7056</v>
      </c>
      <c r="J110" s="142">
        <f>IF(AND('A-5'!J110="-",'A-5'!J158="-",'A-5'!J206="-"),"-",SUM('A-5'!J110,'A-5'!J158,'A-5'!J206))</f>
        <v>4898</v>
      </c>
      <c r="K110" s="142">
        <f>IF(AND('A-5'!K110="-",'A-5'!K158="-",'A-5'!K206="-"),"-",SUM('A-5'!K110,'A-5'!K158,'A-5'!K206))</f>
        <v>1719</v>
      </c>
      <c r="L110" s="142">
        <f>IF(AND('A-5'!L110="-",'A-5'!L158="-",'A-5'!L206="-"),"-",SUM('A-5'!L110,'A-5'!L158,'A-5'!L206))</f>
        <v>126736</v>
      </c>
      <c r="N110" s="142">
        <f>IF(OR(ISNUMBER('A-5'!N158),ISNUMBER('A-5'!N110),ISNUMBER('A-5'!N206)),SUM('A-5'!N158,'A-5'!N110,'A-5'!N206),IF(OR('A-5'!N158="--",'A-5'!N110="--",'A-5'!N206="--"),"--","-"))</f>
        <v>0</v>
      </c>
      <c r="O110" s="142">
        <f>IF(OR(ISNUMBER('A-5'!O158),ISNUMBER('A-5'!O110),ISNUMBER('A-5'!O206)),SUM('A-5'!O158,'A-5'!O110,'A-5'!O206),IF(OR('A-5'!O158="--",'A-5'!O110="--",'A-5'!O206="--"),"--","-"))</f>
        <v>0</v>
      </c>
      <c r="P110" s="142">
        <f>IF(OR(ISNUMBER('A-5'!P158),ISNUMBER('A-5'!P110),ISNUMBER('A-5'!P206)),SUM('A-5'!P158,'A-5'!P110,'A-5'!P206),IF(OR('A-5'!P158="--",'A-5'!P110="--",'A-5'!P206="--"),"--","-"))</f>
        <v>48</v>
      </c>
      <c r="Q110" s="142">
        <f>IF(OR(ISNUMBER('A-5'!Q158),ISNUMBER('A-5'!Q110),ISNUMBER('A-5'!Q206)),SUM('A-5'!Q158,'A-5'!Q110,'A-5'!Q206),IF(OR('A-5'!Q158="--",'A-5'!Q110="--",'A-5'!Q206="--"),"--","-"))</f>
        <v>83</v>
      </c>
      <c r="R110" s="142">
        <f>IF(OR(ISNUMBER('A-5'!R158),ISNUMBER('A-5'!R110),ISNUMBER('A-5'!R206)),SUM('A-5'!R158,'A-5'!R110,'A-5'!R206),IF(OR('A-5'!R158="--",'A-5'!R110="--",'A-5'!R206="--"),"--","-"))</f>
        <v>601</v>
      </c>
      <c r="S110" s="142">
        <f>IF(OR(ISNUMBER('A-5'!S158),ISNUMBER('A-5'!S110),ISNUMBER('A-5'!S206)),SUM('A-5'!S158,'A-5'!S110,'A-5'!S206),IF(OR('A-5'!S158="--",'A-5'!S110="--",'A-5'!S206="--"),"--","-"))</f>
        <v>312</v>
      </c>
      <c r="T110" s="142">
        <f>IF(OR(ISNUMBER('A-5'!T158),ISNUMBER('A-5'!T110),ISNUMBER('A-5'!T206)),SUM('A-5'!T158,'A-5'!T110,'A-5'!T206),IF(OR('A-5'!T158="--",'A-5'!T110="--",'A-5'!T206="--"),"--","-"))</f>
        <v>21</v>
      </c>
      <c r="U110" s="142">
        <f>IF(OR(ISNUMBER('A-5'!U158),ISNUMBER('A-5'!U110),ISNUMBER('A-5'!U206)),SUM('A-5'!U158,'A-5'!U110,'A-5'!U206),IF(OR('A-5'!U158="--",'A-5'!U110="--",'A-5'!U206="--"),"--","-"))</f>
        <v>14</v>
      </c>
      <c r="V110" s="142">
        <f>IF(OR(ISNUMBER('A-5'!V158),ISNUMBER('A-5'!V110),ISNUMBER('A-5'!V206)),SUM('A-5'!V158,'A-5'!V110,'A-5'!V206),IF(OR('A-5'!V158="--",'A-5'!V110="--",'A-5'!V206="--"),"--","-"))</f>
        <v>0</v>
      </c>
      <c r="W110" s="142">
        <f>IF(OR(ISNUMBER('A-5'!W158),ISNUMBER('A-5'!W110),ISNUMBER('A-5'!W206)),SUM('A-5'!W158,'A-5'!W110,'A-5'!W206),IF(OR('A-5'!W158="--",'A-5'!W110="--",'A-5'!W206="--"),"--","-"))</f>
        <v>0</v>
      </c>
      <c r="X110" s="142">
        <f>IF(AND('A-5'!X110="-",'A-5'!X158="-",'A-5'!X206="-"),"-",SUM('A-5'!X110,'A-5'!X158,'A-5'!X206))</f>
        <v>1079</v>
      </c>
    </row>
    <row r="111" spans="1:24" ht="11.25" customHeight="1">
      <c r="A111" s="99">
        <v>1986</v>
      </c>
      <c r="B111" s="142">
        <f>IF(AND('A-5'!B111="-",'A-5'!B159="-",'A-5'!B207="-"),"-",SUM('A-5'!B111,'A-5'!B159,'A-5'!B207))</f>
        <v>1183</v>
      </c>
      <c r="C111" s="142">
        <f>IF(AND('A-5'!C111="-",'A-5'!C159="-",'A-5'!C207="-"),"-",SUM('A-5'!C111,'A-5'!C159,'A-5'!C207))</f>
        <v>16091</v>
      </c>
      <c r="D111" s="142">
        <f>IF(AND('A-5'!D111="-",'A-5'!D159="-",'A-5'!D207="-"),"-",SUM('A-5'!D111,'A-5'!D159,'A-5'!D207))</f>
        <v>23458</v>
      </c>
      <c r="E111" s="142">
        <f>IF(AND('A-5'!E111="-",'A-5'!E159="-",'A-5'!E207="-"),"-",SUM('A-5'!E111,'A-5'!E159,'A-5'!E207))</f>
        <v>8781</v>
      </c>
      <c r="F111" s="142">
        <f>IF(AND('A-5'!F111="-",'A-5'!F159="-",'A-5'!F207="-"),"-",SUM('A-5'!F111,'A-5'!F159,'A-5'!F207))</f>
        <v>20584</v>
      </c>
      <c r="G111" s="142">
        <f>IF(AND('A-5'!G111="-",'A-5'!G159="-",'A-5'!G207="-"),"-",SUM('A-5'!G111,'A-5'!G159,'A-5'!G207))</f>
        <v>31513</v>
      </c>
      <c r="H111" s="142">
        <f>IF(AND('A-5'!H111="-",'A-5'!H159="-",'A-5'!H207="-"),"-",SUM('A-5'!H111,'A-5'!H159,'A-5'!H207))</f>
        <v>16000</v>
      </c>
      <c r="I111" s="142">
        <f>IF(AND('A-5'!I111="-",'A-5'!I159="-",'A-5'!I207="-"),"-",SUM('A-5'!I111,'A-5'!I159,'A-5'!I207))</f>
        <v>5241</v>
      </c>
      <c r="J111" s="142">
        <f>IF(AND('A-5'!J111="-",'A-5'!J159="-",'A-5'!J207="-"),"-",SUM('A-5'!J111,'A-5'!J159,'A-5'!J207))</f>
        <v>1962</v>
      </c>
      <c r="K111" s="142">
        <f>IF(AND('A-5'!K111="-",'A-5'!K159="-",'A-5'!K207="-"),"-",SUM('A-5'!K111,'A-5'!K159,'A-5'!K207))</f>
        <v>584</v>
      </c>
      <c r="L111" s="142">
        <f>IF(AND('A-5'!L111="-",'A-5'!L159="-",'A-5'!L207="-"),"-",SUM('A-5'!L111,'A-5'!L159,'A-5'!L207))</f>
        <v>125397</v>
      </c>
      <c r="N111" s="142">
        <f>IF(OR(ISNUMBER('A-5'!N159),ISNUMBER('A-5'!N111),ISNUMBER('A-5'!N207)),SUM('A-5'!N159,'A-5'!N111,'A-5'!N207),IF(OR('A-5'!N159="--",'A-5'!N111="--",'A-5'!N207="--"),"--","-"))</f>
        <v>0</v>
      </c>
      <c r="O111" s="142">
        <f>IF(OR(ISNUMBER('A-5'!O159),ISNUMBER('A-5'!O111),ISNUMBER('A-5'!O207)),SUM('A-5'!O159,'A-5'!O111,'A-5'!O207),IF(OR('A-5'!O159="--",'A-5'!O111="--",'A-5'!O207="--"),"--","-"))</f>
        <v>2</v>
      </c>
      <c r="P111" s="142">
        <f>IF(OR(ISNUMBER('A-5'!P159),ISNUMBER('A-5'!P111),ISNUMBER('A-5'!P207)),SUM('A-5'!P159,'A-5'!P111,'A-5'!P207),IF(OR('A-5'!P159="--",'A-5'!P111="--",'A-5'!P207="--"),"--","-"))</f>
        <v>0</v>
      </c>
      <c r="Q111" s="142">
        <f>IF(OR(ISNUMBER('A-5'!Q159),ISNUMBER('A-5'!Q111),ISNUMBER('A-5'!Q207)),SUM('A-5'!Q159,'A-5'!Q111,'A-5'!Q207),IF(OR('A-5'!Q159="--",'A-5'!Q111="--",'A-5'!Q207="--"),"--","-"))</f>
        <v>79</v>
      </c>
      <c r="R111" s="142">
        <f>IF(OR(ISNUMBER('A-5'!R159),ISNUMBER('A-5'!R111),ISNUMBER('A-5'!R207)),SUM('A-5'!R159,'A-5'!R111,'A-5'!R207),IF(OR('A-5'!R159="--",'A-5'!R111="--",'A-5'!R207="--"),"--","-"))</f>
        <v>346</v>
      </c>
      <c r="S111" s="142">
        <f>IF(OR(ISNUMBER('A-5'!S159),ISNUMBER('A-5'!S111),ISNUMBER('A-5'!S207)),SUM('A-5'!S159,'A-5'!S111,'A-5'!S207),IF(OR('A-5'!S159="--",'A-5'!S111="--",'A-5'!S207="--"),"--","-"))</f>
        <v>1276</v>
      </c>
      <c r="T111" s="142">
        <f>IF(OR(ISNUMBER('A-5'!T159),ISNUMBER('A-5'!T111),ISNUMBER('A-5'!T207)),SUM('A-5'!T159,'A-5'!T111,'A-5'!T207),IF(OR('A-5'!T159="--",'A-5'!T111="--",'A-5'!T207="--"),"--","-"))</f>
        <v>264</v>
      </c>
      <c r="U111" s="142">
        <f>IF(OR(ISNUMBER('A-5'!U159),ISNUMBER('A-5'!U111),ISNUMBER('A-5'!U207)),SUM('A-5'!U159,'A-5'!U111,'A-5'!U207),IF(OR('A-5'!U159="--",'A-5'!U111="--",'A-5'!U207="--"),"--","-"))</f>
        <v>9</v>
      </c>
      <c r="V111" s="142">
        <f>IF(OR(ISNUMBER('A-5'!V159),ISNUMBER('A-5'!V111),ISNUMBER('A-5'!V207)),SUM('A-5'!V159,'A-5'!V111,'A-5'!V207),IF(OR('A-5'!V159="--",'A-5'!V111="--",'A-5'!V207="--"),"--","-"))</f>
        <v>2</v>
      </c>
      <c r="W111" s="142">
        <f>IF(OR(ISNUMBER('A-5'!W159),ISNUMBER('A-5'!W111),ISNUMBER('A-5'!W207)),SUM('A-5'!W159,'A-5'!W111,'A-5'!W207),IF(OR('A-5'!W159="--",'A-5'!W111="--",'A-5'!W207="--"),"--","-"))</f>
        <v>0</v>
      </c>
      <c r="X111" s="142">
        <f>IF(AND('A-5'!X111="-",'A-5'!X159="-",'A-5'!X207="-"),"-",SUM('A-5'!X111,'A-5'!X159,'A-5'!X207))</f>
        <v>1978</v>
      </c>
    </row>
    <row r="112" spans="1:24" ht="11.25" customHeight="1">
      <c r="A112" s="99">
        <v>1987</v>
      </c>
      <c r="B112" s="142">
        <f>IF(AND('A-5'!B112="-",'A-5'!B160="-",'A-5'!B208="-"),"-",SUM('A-5'!B112,'A-5'!B160,'A-5'!B208))</f>
        <v>5520</v>
      </c>
      <c r="C112" s="142">
        <f>IF(AND('A-5'!C112="-",'A-5'!C160="-",'A-5'!C208="-"),"-",SUM('A-5'!C112,'A-5'!C160,'A-5'!C208))</f>
        <v>14084</v>
      </c>
      <c r="D112" s="142">
        <f>IF(AND('A-5'!D112="-",'A-5'!D160="-",'A-5'!D208="-"),"-",SUM('A-5'!D112,'A-5'!D160,'A-5'!D208))</f>
        <v>19211</v>
      </c>
      <c r="E112" s="142">
        <f>IF(AND('A-5'!E112="-",'A-5'!E160="-",'A-5'!E208="-"),"-",SUM('A-5'!E112,'A-5'!E160,'A-5'!E208))</f>
        <v>10970</v>
      </c>
      <c r="F112" s="142">
        <f>IF(AND('A-5'!F112="-",'A-5'!F160="-",'A-5'!F208="-"),"-",SUM('A-5'!F112,'A-5'!F160,'A-5'!F208))</f>
        <v>15662</v>
      </c>
      <c r="G112" s="142">
        <f>IF(AND('A-5'!G112="-",'A-5'!G160="-",'A-5'!G208="-"),"-",SUM('A-5'!G112,'A-5'!G160,'A-5'!G208))</f>
        <v>40257</v>
      </c>
      <c r="H112" s="142">
        <f>IF(AND('A-5'!H112="-",'A-5'!H160="-",'A-5'!H208="-"),"-",SUM('A-5'!H112,'A-5'!H160,'A-5'!H208))</f>
        <v>35265</v>
      </c>
      <c r="I112" s="142">
        <f>IF(AND('A-5'!I112="-",'A-5'!I160="-",'A-5'!I208="-"),"-",SUM('A-5'!I112,'A-5'!I160,'A-5'!I208))</f>
        <v>12869</v>
      </c>
      <c r="J112" s="142">
        <f>IF(AND('A-5'!J112="-",'A-5'!J160="-",'A-5'!J208="-"),"-",SUM('A-5'!J112,'A-5'!J160,'A-5'!J208))</f>
        <v>7126</v>
      </c>
      <c r="K112" s="142">
        <f>IF(AND('A-5'!K112="-",'A-5'!K160="-",'A-5'!K208="-"),"-",SUM('A-5'!K112,'A-5'!K160,'A-5'!K208))</f>
        <v>1083</v>
      </c>
      <c r="L112" s="142">
        <f>IF(AND('A-5'!L112="-",'A-5'!L160="-",'A-5'!L208="-"),"-",SUM('A-5'!L112,'A-5'!L160,'A-5'!L208))</f>
        <v>162047</v>
      </c>
      <c r="N112" s="142">
        <f>IF(OR(ISNUMBER('A-5'!N160),ISNUMBER('A-5'!N112),ISNUMBER('A-5'!N208)),SUM('A-5'!N160,'A-5'!N112,'A-5'!N208),IF(OR('A-5'!N160="--",'A-5'!N112="--",'A-5'!N208="--"),"--","-"))</f>
        <v>0</v>
      </c>
      <c r="O112" s="142">
        <f>IF(OR(ISNUMBER('A-5'!O160),ISNUMBER('A-5'!O112),ISNUMBER('A-5'!O208)),SUM('A-5'!O160,'A-5'!O112,'A-5'!O208),IF(OR('A-5'!O160="--",'A-5'!O112="--",'A-5'!O208="--"),"--","-"))</f>
        <v>0</v>
      </c>
      <c r="P112" s="142">
        <f>IF(OR(ISNUMBER('A-5'!P160),ISNUMBER('A-5'!P112),ISNUMBER('A-5'!P208)),SUM('A-5'!P160,'A-5'!P112,'A-5'!P208),IF(OR('A-5'!P160="--",'A-5'!P112="--",'A-5'!P208="--"),"--","-"))</f>
        <v>0</v>
      </c>
      <c r="Q112" s="142">
        <f>IF(OR(ISNUMBER('A-5'!Q160),ISNUMBER('A-5'!Q112),ISNUMBER('A-5'!Q208)),SUM('A-5'!Q160,'A-5'!Q112,'A-5'!Q208),IF(OR('A-5'!Q160="--",'A-5'!Q112="--",'A-5'!Q208="--"),"--","-"))</f>
        <v>4</v>
      </c>
      <c r="R112" s="142">
        <f>IF(OR(ISNUMBER('A-5'!R160),ISNUMBER('A-5'!R112),ISNUMBER('A-5'!R208)),SUM('A-5'!R160,'A-5'!R112,'A-5'!R208),IF(OR('A-5'!R160="--",'A-5'!R112="--",'A-5'!R208="--"),"--","-"))</f>
        <v>685</v>
      </c>
      <c r="S112" s="142">
        <f>IF(OR(ISNUMBER('A-5'!S160),ISNUMBER('A-5'!S112),ISNUMBER('A-5'!S208)),SUM('A-5'!S160,'A-5'!S112,'A-5'!S208),IF(OR('A-5'!S160="--",'A-5'!S112="--",'A-5'!S208="--"),"--","-"))</f>
        <v>1149</v>
      </c>
      <c r="T112" s="142">
        <f>IF(OR(ISNUMBER('A-5'!T160),ISNUMBER('A-5'!T112),ISNUMBER('A-5'!T208)),SUM('A-5'!T160,'A-5'!T112,'A-5'!T208),IF(OR('A-5'!T160="--",'A-5'!T112="--",'A-5'!T208="--"),"--","-"))</f>
        <v>480</v>
      </c>
      <c r="U112" s="142">
        <f>IF(OR(ISNUMBER('A-5'!U160),ISNUMBER('A-5'!U112),ISNUMBER('A-5'!U208)),SUM('A-5'!U160,'A-5'!U112,'A-5'!U208),IF(OR('A-5'!U160="--",'A-5'!U112="--",'A-5'!U208="--"),"--","-"))</f>
        <v>250</v>
      </c>
      <c r="V112" s="142">
        <f>IF(OR(ISNUMBER('A-5'!V160),ISNUMBER('A-5'!V112),ISNUMBER('A-5'!V208)),SUM('A-5'!V160,'A-5'!V112,'A-5'!V208),IF(OR('A-5'!V160="--",'A-5'!V112="--",'A-5'!V208="--"),"--","-"))</f>
        <v>0</v>
      </c>
      <c r="W112" s="142">
        <f>IF(OR(ISNUMBER('A-5'!W160),ISNUMBER('A-5'!W112),ISNUMBER('A-5'!W208)),SUM('A-5'!W160,'A-5'!W112,'A-5'!W208),IF(OR('A-5'!W160="--",'A-5'!W112="--",'A-5'!W208="--"),"--","-"))</f>
        <v>0</v>
      </c>
      <c r="X112" s="142">
        <f>IF(AND('A-5'!X112="-",'A-5'!X160="-",'A-5'!X208="-"),"-",SUM('A-5'!X112,'A-5'!X160,'A-5'!X208))</f>
        <v>2568</v>
      </c>
    </row>
    <row r="113" spans="1:24" ht="11.25" customHeight="1">
      <c r="A113" s="99">
        <v>1988</v>
      </c>
      <c r="B113" s="142">
        <f>IF(AND('A-5'!B113="-",'A-5'!B161="-",'A-5'!B209="-"),"-",SUM('A-5'!B113,'A-5'!B161,'A-5'!B209))</f>
        <v>6808</v>
      </c>
      <c r="C113" s="142">
        <f>IF(AND('A-5'!C113="-",'A-5'!C161="-",'A-5'!C209="-"),"-",SUM('A-5'!C113,'A-5'!C161,'A-5'!C209))</f>
        <v>15934</v>
      </c>
      <c r="D113" s="142">
        <f>IF(AND('A-5'!D113="-",'A-5'!D161="-",'A-5'!D209="-"),"-",SUM('A-5'!D113,'A-5'!D161,'A-5'!D209))</f>
        <v>24943</v>
      </c>
      <c r="E113" s="142">
        <f>IF(AND('A-5'!E113="-",'A-5'!E161="-",'A-5'!E209="-"),"-",SUM('A-5'!E113,'A-5'!E161,'A-5'!E209))</f>
        <v>18904</v>
      </c>
      <c r="F113" s="142">
        <f>IF(AND('A-5'!F113="-",'A-5'!F161="-",'A-5'!F209="-"),"-",SUM('A-5'!F113,'A-5'!F161,'A-5'!F209))</f>
        <v>25112</v>
      </c>
      <c r="G113" s="142">
        <f>IF(AND('A-5'!G113="-",'A-5'!G161="-",'A-5'!G209="-"),"-",SUM('A-5'!G113,'A-5'!G161,'A-5'!G209))</f>
        <v>28751</v>
      </c>
      <c r="H113" s="142">
        <f>IF(AND('A-5'!H113="-",'A-5'!H161="-",'A-5'!H209="-"),"-",SUM('A-5'!H113,'A-5'!H161,'A-5'!H209))</f>
        <v>10045</v>
      </c>
      <c r="I113" s="142">
        <f>IF(AND('A-5'!I113="-",'A-5'!I161="-",'A-5'!I209="-"),"-",SUM('A-5'!I113,'A-5'!I161,'A-5'!I209))</f>
        <v>3859</v>
      </c>
      <c r="J113" s="142">
        <f>IF(AND('A-5'!J113="-",'A-5'!J161="-",'A-5'!J209="-"),"-",SUM('A-5'!J113,'A-5'!J161,'A-5'!J209))</f>
        <v>4610</v>
      </c>
      <c r="K113" s="142">
        <f>IF(AND('A-5'!K113="-",'A-5'!K161="-",'A-5'!K209="-"),"-",SUM('A-5'!K113,'A-5'!K161,'A-5'!K209))</f>
        <v>814</v>
      </c>
      <c r="L113" s="142">
        <f>IF(AND('A-5'!L113="-",'A-5'!L161="-",'A-5'!L209="-"),"-",SUM('A-5'!L113,'A-5'!L161,'A-5'!L209))</f>
        <v>139780</v>
      </c>
      <c r="N113" s="142">
        <f>IF(OR(ISNUMBER('A-5'!N161),ISNUMBER('A-5'!N113),ISNUMBER('A-5'!N209)),SUM('A-5'!N161,'A-5'!N113,'A-5'!N209),IF(OR('A-5'!N161="--",'A-5'!N113="--",'A-5'!N209="--"),"--","-"))</f>
        <v>0</v>
      </c>
      <c r="O113" s="142">
        <f>IF(OR(ISNUMBER('A-5'!O161),ISNUMBER('A-5'!O113),ISNUMBER('A-5'!O209)),SUM('A-5'!O161,'A-5'!O113,'A-5'!O209),IF(OR('A-5'!O161="--",'A-5'!O113="--",'A-5'!O209="--"),"--","-"))</f>
        <v>1</v>
      </c>
      <c r="P113" s="142">
        <f>IF(OR(ISNUMBER('A-5'!P161),ISNUMBER('A-5'!P113),ISNUMBER('A-5'!P209)),SUM('A-5'!P161,'A-5'!P113,'A-5'!P209),IF(OR('A-5'!P161="--",'A-5'!P113="--",'A-5'!P209="--"),"--","-"))</f>
        <v>21</v>
      </c>
      <c r="Q113" s="142">
        <f>IF(OR(ISNUMBER('A-5'!Q161),ISNUMBER('A-5'!Q113),ISNUMBER('A-5'!Q209)),SUM('A-5'!Q161,'A-5'!Q113,'A-5'!Q209),IF(OR('A-5'!Q161="--",'A-5'!Q113="--",'A-5'!Q209="--"),"--","-"))</f>
        <v>197</v>
      </c>
      <c r="R113" s="142">
        <f>IF(OR(ISNUMBER('A-5'!R161),ISNUMBER('A-5'!R113),ISNUMBER('A-5'!R209)),SUM('A-5'!R161,'A-5'!R113,'A-5'!R209),IF(OR('A-5'!R161="--",'A-5'!R113="--",'A-5'!R209="--"),"--","-"))</f>
        <v>279</v>
      </c>
      <c r="S113" s="142">
        <f>IF(OR(ISNUMBER('A-5'!S161),ISNUMBER('A-5'!S113),ISNUMBER('A-5'!S209)),SUM('A-5'!S161,'A-5'!S113,'A-5'!S209),IF(OR('A-5'!S161="--",'A-5'!S113="--",'A-5'!S209="--"),"--","-"))</f>
        <v>2910</v>
      </c>
      <c r="T113" s="142">
        <f>IF(OR(ISNUMBER('A-5'!T161),ISNUMBER('A-5'!T113),ISNUMBER('A-5'!T209)),SUM('A-5'!T161,'A-5'!T113,'A-5'!T209),IF(OR('A-5'!T161="--",'A-5'!T113="--",'A-5'!T209="--"),"--","-"))</f>
        <v>114</v>
      </c>
      <c r="U113" s="142">
        <f>IF(OR(ISNUMBER('A-5'!U161),ISNUMBER('A-5'!U113),ISNUMBER('A-5'!U209)),SUM('A-5'!U161,'A-5'!U113,'A-5'!U209),IF(OR('A-5'!U161="--",'A-5'!U113="--",'A-5'!U209="--"),"--","-"))</f>
        <v>2</v>
      </c>
      <c r="V113" s="142">
        <f>IF(OR(ISNUMBER('A-5'!V161),ISNUMBER('A-5'!V113),ISNUMBER('A-5'!V209)),SUM('A-5'!V161,'A-5'!V113,'A-5'!V209),IF(OR('A-5'!V161="--",'A-5'!V113="--",'A-5'!V209="--"),"--","-"))</f>
        <v>0</v>
      </c>
      <c r="W113" s="142">
        <f>IF(OR(ISNUMBER('A-5'!W161),ISNUMBER('A-5'!W113),ISNUMBER('A-5'!W209)),SUM('A-5'!W161,'A-5'!W113,'A-5'!W209),IF(OR('A-5'!W161="--",'A-5'!W113="--",'A-5'!W209="--"),"--","-"))</f>
        <v>0</v>
      </c>
      <c r="X113" s="142">
        <f>IF(AND('A-5'!X113="-",'A-5'!X161="-",'A-5'!X209="-"),"-",SUM('A-5'!X113,'A-5'!X161,'A-5'!X209))</f>
        <v>3524</v>
      </c>
    </row>
    <row r="114" spans="1:24" ht="11.25" customHeight="1">
      <c r="A114" s="99">
        <v>1989</v>
      </c>
      <c r="B114" s="142">
        <f>IF(AND('A-5'!B114="-",'A-5'!B162="-",'A-5'!B210="-"),"-",SUM('A-5'!B114,'A-5'!B162,'A-5'!B210))</f>
        <v>7950</v>
      </c>
      <c r="C114" s="142">
        <f>IF(AND('A-5'!C114="-",'A-5'!C162="-",'A-5'!C210="-"),"-",SUM('A-5'!C114,'A-5'!C162,'A-5'!C210))</f>
        <v>12734</v>
      </c>
      <c r="D114" s="142">
        <f>IF(AND('A-5'!D114="-",'A-5'!D162="-",'A-5'!D210="-"),"-",SUM('A-5'!D114,'A-5'!D162,'A-5'!D210))</f>
        <v>42566</v>
      </c>
      <c r="E114" s="142">
        <f>IF(AND('A-5'!E114="-",'A-5'!E162="-",'A-5'!E210="-"),"-",SUM('A-5'!E114,'A-5'!E162,'A-5'!E210))</f>
        <v>6492</v>
      </c>
      <c r="F114" s="142">
        <f>IF(AND('A-5'!F114="-",'A-5'!F162="-",'A-5'!F210="-"),"-",SUM('A-5'!F114,'A-5'!F162,'A-5'!F210))</f>
        <v>16747</v>
      </c>
      <c r="G114" s="142">
        <f>IF(AND('A-5'!G114="-",'A-5'!G162="-",'A-5'!G210="-"),"-",SUM('A-5'!G114,'A-5'!G162,'A-5'!G210))</f>
        <v>18527</v>
      </c>
      <c r="H114" s="142">
        <f>IF(AND('A-5'!H114="-",'A-5'!H162="-",'A-5'!H210="-"),"-",SUM('A-5'!H114,'A-5'!H162,'A-5'!H210))</f>
        <v>13321</v>
      </c>
      <c r="I114" s="142">
        <f>IF(AND('A-5'!I114="-",'A-5'!I162="-",'A-5'!I210="-"),"-",SUM('A-5'!I114,'A-5'!I162,'A-5'!I210))</f>
        <v>12219</v>
      </c>
      <c r="J114" s="142">
        <f>IF(AND('A-5'!J114="-",'A-5'!J162="-",'A-5'!J210="-"),"-",SUM('A-5'!J114,'A-5'!J162,'A-5'!J210))</f>
        <v>3744</v>
      </c>
      <c r="K114" s="142">
        <f>IF(AND('A-5'!K114="-",'A-5'!K162="-",'A-5'!K210="-"),"-",SUM('A-5'!K114,'A-5'!K162,'A-5'!K210))</f>
        <v>2410</v>
      </c>
      <c r="L114" s="142">
        <f>IF(AND('A-5'!L114="-",'A-5'!L162="-",'A-5'!L210="-"),"-",SUM('A-5'!L114,'A-5'!L162,'A-5'!L210))</f>
        <v>136710</v>
      </c>
      <c r="N114" s="142">
        <f>IF(OR(ISNUMBER('A-5'!N162),ISNUMBER('A-5'!N114),ISNUMBER('A-5'!N210)),SUM('A-5'!N162,'A-5'!N114,'A-5'!N210),IF(OR('A-5'!N162="--",'A-5'!N114="--",'A-5'!N210="--"),"--","-"))</f>
        <v>0</v>
      </c>
      <c r="O114" s="142">
        <f>IF(OR(ISNUMBER('A-5'!O162),ISNUMBER('A-5'!O114),ISNUMBER('A-5'!O210)),SUM('A-5'!O162,'A-5'!O114,'A-5'!O210),IF(OR('A-5'!O162="--",'A-5'!O114="--",'A-5'!O210="--"),"--","-"))</f>
        <v>0</v>
      </c>
      <c r="P114" s="142">
        <f>IF(OR(ISNUMBER('A-5'!P162),ISNUMBER('A-5'!P114),ISNUMBER('A-5'!P210)),SUM('A-5'!P162,'A-5'!P114,'A-5'!P210),IF(OR('A-5'!P162="--",'A-5'!P114="--",'A-5'!P210="--"),"--","-"))</f>
        <v>115</v>
      </c>
      <c r="Q114" s="142">
        <f>IF(OR(ISNUMBER('A-5'!Q162),ISNUMBER('A-5'!Q114),ISNUMBER('A-5'!Q210)),SUM('A-5'!Q162,'A-5'!Q114,'A-5'!Q210),IF(OR('A-5'!Q162="--",'A-5'!Q114="--",'A-5'!Q210="--"),"--","-"))</f>
        <v>212</v>
      </c>
      <c r="R114" s="142">
        <f>IF(OR(ISNUMBER('A-5'!R162),ISNUMBER('A-5'!R114),ISNUMBER('A-5'!R210)),SUM('A-5'!R162,'A-5'!R114,'A-5'!R210),IF(OR('A-5'!R162="--",'A-5'!R114="--",'A-5'!R210="--"),"--","-"))</f>
        <v>1688</v>
      </c>
      <c r="S114" s="142">
        <f>IF(OR(ISNUMBER('A-5'!S162),ISNUMBER('A-5'!S114),ISNUMBER('A-5'!S210)),SUM('A-5'!S162,'A-5'!S114,'A-5'!S210),IF(OR('A-5'!S162="--",'A-5'!S114="--",'A-5'!S210="--"),"--","-"))</f>
        <v>2170</v>
      </c>
      <c r="T114" s="142">
        <f>IF(OR(ISNUMBER('A-5'!T162),ISNUMBER('A-5'!T114),ISNUMBER('A-5'!T210)),SUM('A-5'!T162,'A-5'!T114,'A-5'!T210),IF(OR('A-5'!T162="--",'A-5'!T114="--",'A-5'!T210="--"),"--","-"))</f>
        <v>494</v>
      </c>
      <c r="U114" s="142">
        <f>IF(OR(ISNUMBER('A-5'!U162),ISNUMBER('A-5'!U114),ISNUMBER('A-5'!U210)),SUM('A-5'!U162,'A-5'!U114,'A-5'!U210),IF(OR('A-5'!U162="--",'A-5'!U114="--",'A-5'!U210="--"),"--","-"))</f>
        <v>79</v>
      </c>
      <c r="V114" s="142">
        <f>IF(OR(ISNUMBER('A-5'!V162),ISNUMBER('A-5'!V114),ISNUMBER('A-5'!V210)),SUM('A-5'!V162,'A-5'!V114,'A-5'!V210),IF(OR('A-5'!V162="--",'A-5'!V114="--",'A-5'!V210="--"),"--","-"))</f>
        <v>0</v>
      </c>
      <c r="W114" s="142">
        <f>IF(OR(ISNUMBER('A-5'!W162),ISNUMBER('A-5'!W114),ISNUMBER('A-5'!W210)),SUM('A-5'!W162,'A-5'!W114,'A-5'!W210),IF(OR('A-5'!W162="--",'A-5'!W114="--",'A-5'!W210="--"),"--","-"))</f>
        <v>0</v>
      </c>
      <c r="X114" s="142">
        <f>IF(AND('A-5'!X114="-",'A-5'!X162="-",'A-5'!X210="-"),"-",SUM('A-5'!X114,'A-5'!X162,'A-5'!X210))</f>
        <v>4758</v>
      </c>
    </row>
    <row r="115" spans="1:24" ht="11.25" customHeight="1">
      <c r="A115" s="99">
        <v>1990</v>
      </c>
      <c r="B115" s="142">
        <f>IF(AND('A-5'!B115="-",'A-5'!B163="-",'A-5'!B211="-"),"-",SUM('A-5'!B115,'A-5'!B163,'A-5'!B211))</f>
        <v>6690</v>
      </c>
      <c r="C115" s="142">
        <f>IF(AND('A-5'!C115="-",'A-5'!C163="-",'A-5'!C211="-"),"-",SUM('A-5'!C115,'A-5'!C163,'A-5'!C211))</f>
        <v>17599</v>
      </c>
      <c r="D115" s="142">
        <f>IF(AND('A-5'!D115="-",'A-5'!D163="-",'A-5'!D211="-"),"-",SUM('A-5'!D115,'A-5'!D163,'A-5'!D211))</f>
        <v>21645</v>
      </c>
      <c r="E115" s="142">
        <f>IF(AND('A-5'!E115="-",'A-5'!E163="-",'A-5'!E211="-"),"-",SUM('A-5'!E115,'A-5'!E163,'A-5'!E211))</f>
        <v>5039</v>
      </c>
      <c r="F115" s="142">
        <f>IF(AND('A-5'!F115="-",'A-5'!F163="-",'A-5'!F211="-"),"-",SUM('A-5'!F115,'A-5'!F163,'A-5'!F211))</f>
        <v>16518</v>
      </c>
      <c r="G115" s="142">
        <f>IF(AND('A-5'!G115="-",'A-5'!G163="-",'A-5'!G211="-"),"-",SUM('A-5'!G115,'A-5'!G163,'A-5'!G211))</f>
        <v>23409</v>
      </c>
      <c r="H115" s="142">
        <f>IF(AND('A-5'!H115="-",'A-5'!H163="-",'A-5'!H211="-"),"-",SUM('A-5'!H115,'A-5'!H163,'A-5'!H211))</f>
        <v>14660</v>
      </c>
      <c r="I115" s="142">
        <f>IF(AND('A-5'!I115="-",'A-5'!I163="-",'A-5'!I211="-"),"-",SUM('A-5'!I115,'A-5'!I163,'A-5'!I211))</f>
        <v>4984</v>
      </c>
      <c r="J115" s="142">
        <f>IF(AND('A-5'!J115="-",'A-5'!J163="-",'A-5'!J211="-"),"-",SUM('A-5'!J115,'A-5'!J163,'A-5'!J211))</f>
        <v>3756</v>
      </c>
      <c r="K115" s="142">
        <f>IF(AND('A-5'!K115="-",'A-5'!K163="-",'A-5'!K211="-"),"-",SUM('A-5'!K115,'A-5'!K163,'A-5'!K211))</f>
        <v>1703</v>
      </c>
      <c r="L115" s="142">
        <f>IF(AND('A-5'!L115="-",'A-5'!L163="-",'A-5'!L211="-"),"-",SUM('A-5'!L115,'A-5'!L163,'A-5'!L211))</f>
        <v>116003</v>
      </c>
      <c r="N115" s="142">
        <f>IF(OR(ISNUMBER('A-5'!N163),ISNUMBER('A-5'!N115),ISNUMBER('A-5'!N211)),SUM('A-5'!N163,'A-5'!N115,'A-5'!N211),IF(OR('A-5'!N163="--",'A-5'!N115="--",'A-5'!N211="--"),"--","-"))</f>
        <v>0</v>
      </c>
      <c r="O115" s="142">
        <f>IF(OR(ISNUMBER('A-5'!O163),ISNUMBER('A-5'!O115),ISNUMBER('A-5'!O211)),SUM('A-5'!O163,'A-5'!O115,'A-5'!O211),IF(OR('A-5'!O163="--",'A-5'!O115="--",'A-5'!O211="--"),"--","-"))</f>
        <v>0</v>
      </c>
      <c r="P115" s="142">
        <f>IF(OR(ISNUMBER('A-5'!P163),ISNUMBER('A-5'!P115),ISNUMBER('A-5'!P211)),SUM('A-5'!P163,'A-5'!P115,'A-5'!P211),IF(OR('A-5'!P163="--",'A-5'!P115="--",'A-5'!P211="--"),"--","-"))</f>
        <v>144</v>
      </c>
      <c r="Q115" s="142">
        <f>IF(OR(ISNUMBER('A-5'!Q163),ISNUMBER('A-5'!Q115),ISNUMBER('A-5'!Q211)),SUM('A-5'!Q163,'A-5'!Q115,'A-5'!Q211),IF(OR('A-5'!Q163="--",'A-5'!Q115="--",'A-5'!Q211="--"),"--","-"))</f>
        <v>568</v>
      </c>
      <c r="R115" s="142">
        <f>IF(OR(ISNUMBER('A-5'!R163),ISNUMBER('A-5'!R115),ISNUMBER('A-5'!R211)),SUM('A-5'!R163,'A-5'!R115,'A-5'!R211),IF(OR('A-5'!R163="--",'A-5'!R115="--",'A-5'!R211="--"),"--","-"))</f>
        <v>3502</v>
      </c>
      <c r="S115" s="142">
        <f>IF(OR(ISNUMBER('A-5'!S163),ISNUMBER('A-5'!S115),ISNUMBER('A-5'!S211)),SUM('A-5'!S163,'A-5'!S115,'A-5'!S211),IF(OR('A-5'!S163="--",'A-5'!S115="--",'A-5'!S211="--"),"--","-"))</f>
        <v>4416</v>
      </c>
      <c r="T115" s="142">
        <f>IF(OR(ISNUMBER('A-5'!T163),ISNUMBER('A-5'!T115),ISNUMBER('A-5'!T211)),SUM('A-5'!T163,'A-5'!T115,'A-5'!T211),IF(OR('A-5'!T163="--",'A-5'!T115="--",'A-5'!T211="--"),"--","-"))</f>
        <v>2507</v>
      </c>
      <c r="U115" s="142">
        <f>IF(OR(ISNUMBER('A-5'!U163),ISNUMBER('A-5'!U115),ISNUMBER('A-5'!U211)),SUM('A-5'!U163,'A-5'!U115,'A-5'!U211),IF(OR('A-5'!U163="--",'A-5'!U115="--",'A-5'!U211="--"),"--","-"))</f>
        <v>426</v>
      </c>
      <c r="V115" s="142">
        <f>IF(OR(ISNUMBER('A-5'!V163),ISNUMBER('A-5'!V115),ISNUMBER('A-5'!V211)),SUM('A-5'!V163,'A-5'!V115,'A-5'!V211),IF(OR('A-5'!V163="--",'A-5'!V115="--",'A-5'!V211="--"),"--","-"))</f>
        <v>59</v>
      </c>
      <c r="W115" s="142">
        <f>IF(OR(ISNUMBER('A-5'!W163),ISNUMBER('A-5'!W115),ISNUMBER('A-5'!W211)),SUM('A-5'!W163,'A-5'!W115,'A-5'!W211),IF(OR('A-5'!W163="--",'A-5'!W115="--",'A-5'!W211="--"),"--","-"))</f>
        <v>0</v>
      </c>
      <c r="X115" s="142">
        <f>IF(AND('A-5'!X115="-",'A-5'!X163="-",'A-5'!X211="-"),"-",SUM('A-5'!X115,'A-5'!X163,'A-5'!X211))</f>
        <v>11622</v>
      </c>
    </row>
    <row r="116" spans="1:24" ht="11.25" customHeight="1">
      <c r="A116" s="99">
        <v>1991</v>
      </c>
      <c r="B116" s="142">
        <f>IF(AND('A-5'!B116="-",'A-5'!B164="-",'A-5'!B212="-"),"-",SUM('A-5'!B116,'A-5'!B164,'A-5'!B212))</f>
        <v>53</v>
      </c>
      <c r="C116" s="142">
        <f>IF(AND('A-5'!C116="-",'A-5'!C164="-",'A-5'!C212="-"),"-",SUM('A-5'!C116,'A-5'!C164,'A-5'!C212))</f>
        <v>7948</v>
      </c>
      <c r="D116" s="142">
        <f>IF(AND('A-5'!D116="-",'A-5'!D164="-",'A-5'!D212="-"),"-",SUM('A-5'!D116,'A-5'!D164,'A-5'!D212))</f>
        <v>13029</v>
      </c>
      <c r="E116" s="142">
        <f>IF(AND('A-5'!E116="-",'A-5'!E164="-",'A-5'!E212="-"),"-",SUM('A-5'!E116,'A-5'!E164,'A-5'!E212))</f>
        <v>4761</v>
      </c>
      <c r="F116" s="142">
        <f>IF(AND('A-5'!F116="-",'A-5'!F164="-",'A-5'!F212="-"),"-",SUM('A-5'!F116,'A-5'!F164,'A-5'!F212))</f>
        <v>12203</v>
      </c>
      <c r="G116" s="142">
        <f>IF(AND('A-5'!G116="-",'A-5'!G164="-",'A-5'!G212="-"),"-",SUM('A-5'!G116,'A-5'!G164,'A-5'!G212))</f>
        <v>20392</v>
      </c>
      <c r="H116" s="142">
        <f>IF(AND('A-5'!H116="-",'A-5'!H164="-",'A-5'!H212="-"),"-",SUM('A-5'!H116,'A-5'!H164,'A-5'!H212))</f>
        <v>5694</v>
      </c>
      <c r="I116" s="142">
        <f>IF(AND('A-5'!I116="-",'A-5'!I164="-",'A-5'!I212="-"),"-",SUM('A-5'!I116,'A-5'!I164,'A-5'!I212))</f>
        <v>1624</v>
      </c>
      <c r="J116" s="142">
        <f>IF(AND('A-5'!J116="-",'A-5'!J164="-",'A-5'!J212="-"),"-",SUM('A-5'!J116,'A-5'!J164,'A-5'!J212))</f>
        <v>2231</v>
      </c>
      <c r="K116" s="142">
        <f>IF(AND('A-5'!K116="-",'A-5'!K164="-",'A-5'!K212="-"),"-",SUM('A-5'!K116,'A-5'!K164,'A-5'!K212))</f>
        <v>23</v>
      </c>
      <c r="L116" s="142">
        <f>IF(AND('A-5'!L116="-",'A-5'!L164="-",'A-5'!L212="-"),"-",SUM('A-5'!L116,'A-5'!L164,'A-5'!L212))</f>
        <v>67958</v>
      </c>
      <c r="N116" s="142">
        <f>IF(OR(ISNUMBER('A-5'!N164),ISNUMBER('A-5'!N116),ISNUMBER('A-5'!N212)),SUM('A-5'!N164,'A-5'!N116,'A-5'!N212),IF(OR('A-5'!N164="--",'A-5'!N116="--",'A-5'!N212="--"),"--","-"))</f>
        <v>0</v>
      </c>
      <c r="O116" s="142">
        <f>IF(OR(ISNUMBER('A-5'!O164),ISNUMBER('A-5'!O116),ISNUMBER('A-5'!O212)),SUM('A-5'!O164,'A-5'!O116,'A-5'!O212),IF(OR('A-5'!O164="--",'A-5'!O116="--",'A-5'!O212="--"),"--","-"))</f>
        <v>2</v>
      </c>
      <c r="P116" s="142">
        <f>IF(OR(ISNUMBER('A-5'!P164),ISNUMBER('A-5'!P116),ISNUMBER('A-5'!P212)),SUM('A-5'!P164,'A-5'!P116,'A-5'!P212),IF(OR('A-5'!P164="--",'A-5'!P116="--",'A-5'!P212="--"),"--","-"))</f>
        <v>11</v>
      </c>
      <c r="Q116" s="142">
        <f>IF(OR(ISNUMBER('A-5'!Q164),ISNUMBER('A-5'!Q116),ISNUMBER('A-5'!Q212)),SUM('A-5'!Q164,'A-5'!Q116,'A-5'!Q212),IF(OR('A-5'!Q164="--",'A-5'!Q116="--",'A-5'!Q212="--"),"--","-"))</f>
        <v>619</v>
      </c>
      <c r="R116" s="142">
        <f>IF(OR(ISNUMBER('A-5'!R164),ISNUMBER('A-5'!R116),ISNUMBER('A-5'!R212)),SUM('A-5'!R164,'A-5'!R116,'A-5'!R212),IF(OR('A-5'!R164="--",'A-5'!R116="--",'A-5'!R212="--"),"--","-"))</f>
        <v>13125</v>
      </c>
      <c r="S116" s="142">
        <f>IF(OR(ISNUMBER('A-5'!S164),ISNUMBER('A-5'!S116),ISNUMBER('A-5'!S212)),SUM('A-5'!S164,'A-5'!S116,'A-5'!S212),IF(OR('A-5'!S164="--",'A-5'!S116="--",'A-5'!S212="--"),"--","-"))</f>
        <v>13995</v>
      </c>
      <c r="T116" s="142">
        <f>IF(OR(ISNUMBER('A-5'!T164),ISNUMBER('A-5'!T116),ISNUMBER('A-5'!T212)),SUM('A-5'!T164,'A-5'!T116,'A-5'!T212),IF(OR('A-5'!T164="--",'A-5'!T116="--",'A-5'!T212="--"),"--","-"))</f>
        <v>1305</v>
      </c>
      <c r="U116" s="142">
        <f>IF(OR(ISNUMBER('A-5'!U164),ISNUMBER('A-5'!U116),ISNUMBER('A-5'!U212)),SUM('A-5'!U164,'A-5'!U116,'A-5'!U212),IF(OR('A-5'!U164="--",'A-5'!U116="--",'A-5'!U212="--"),"--","-"))</f>
        <v>70</v>
      </c>
      <c r="V116" s="142">
        <f>IF(OR(ISNUMBER('A-5'!V164),ISNUMBER('A-5'!V116),ISNUMBER('A-5'!V212)),SUM('A-5'!V164,'A-5'!V116,'A-5'!V212),IF(OR('A-5'!V164="--",'A-5'!V116="--",'A-5'!V212="--"),"--","-"))</f>
        <v>47</v>
      </c>
      <c r="W116" s="142">
        <f>IF(OR(ISNUMBER('A-5'!W164),ISNUMBER('A-5'!W116),ISNUMBER('A-5'!W212)),SUM('A-5'!W164,'A-5'!W116,'A-5'!W212),IF(OR('A-5'!W164="--",'A-5'!W116="--",'A-5'!W212="--"),"--","-"))</f>
        <v>0</v>
      </c>
      <c r="X116" s="142">
        <f>IF(AND('A-5'!X116="-",'A-5'!X164="-",'A-5'!X212="-"),"-",SUM('A-5'!X116,'A-5'!X164,'A-5'!X212))</f>
        <v>29174</v>
      </c>
    </row>
    <row r="117" spans="1:24" ht="11.25" customHeight="1">
      <c r="A117" s="99">
        <v>1992</v>
      </c>
      <c r="B117" s="142">
        <f>IF(AND('A-5'!B117="-",'A-5'!B165="-",'A-5'!B213="-"),"-",SUM('A-5'!B117,'A-5'!B165,'A-5'!B213))</f>
        <v>473</v>
      </c>
      <c r="C117" s="142">
        <f>IF(AND('A-5'!C117="-",'A-5'!C165="-",'A-5'!C213="-"),"-",SUM('A-5'!C117,'A-5'!C165,'A-5'!C213))</f>
        <v>3407</v>
      </c>
      <c r="D117" s="142">
        <f>IF(AND('A-5'!D117="-",'A-5'!D165="-",'A-5'!D213="-"),"-",SUM('A-5'!D117,'A-5'!D165,'A-5'!D213))</f>
        <v>5410</v>
      </c>
      <c r="E117" s="142">
        <f>IF(AND('A-5'!E117="-",'A-5'!E165="-",'A-5'!E213="-"),"-",SUM('A-5'!E117,'A-5'!E165,'A-5'!E213))</f>
        <v>6325</v>
      </c>
      <c r="F117" s="142">
        <f>IF(AND('A-5'!F117="-",'A-5'!F165="-",'A-5'!F213="-"),"-",SUM('A-5'!F117,'A-5'!F165,'A-5'!F213))</f>
        <v>9460</v>
      </c>
      <c r="G117" s="142">
        <f>IF(AND('A-5'!G117="-",'A-5'!G165="-",'A-5'!G213="-"),"-",SUM('A-5'!G117,'A-5'!G165,'A-5'!G213))</f>
        <v>22101</v>
      </c>
      <c r="H117" s="142">
        <f>IF(AND('A-5'!H117="-",'A-5'!H165="-",'A-5'!H213="-"),"-",SUM('A-5'!H117,'A-5'!H165,'A-5'!H213))</f>
        <v>10106</v>
      </c>
      <c r="I117" s="142">
        <f>IF(AND('A-5'!I117="-",'A-5'!I165="-",'A-5'!I213="-"),"-",SUM('A-5'!I117,'A-5'!I165,'A-5'!I213))</f>
        <v>9924</v>
      </c>
      <c r="J117" s="142">
        <f>IF(AND('A-5'!J117="-",'A-5'!J165="-",'A-5'!J213="-"),"-",SUM('A-5'!J117,'A-5'!J165,'A-5'!J213))</f>
        <v>3322</v>
      </c>
      <c r="K117" s="142">
        <f>IF(AND('A-5'!K117="-",'A-5'!K165="-",'A-5'!K213="-"),"-",SUM('A-5'!K117,'A-5'!K165,'A-5'!K213))</f>
        <v>454</v>
      </c>
      <c r="L117" s="142">
        <f>IF(AND('A-5'!L117="-",'A-5'!L165="-",'A-5'!L213="-"),"-",SUM('A-5'!L117,'A-5'!L165,'A-5'!L213))</f>
        <v>70982</v>
      </c>
      <c r="N117" s="142">
        <f>IF(OR(ISNUMBER('A-5'!N165),ISNUMBER('A-5'!N117),ISNUMBER('A-5'!N213)),SUM('A-5'!N165,'A-5'!N117,'A-5'!N213),IF(OR('A-5'!N165="--",'A-5'!N117="--",'A-5'!N213="--"),"--","-"))</f>
        <v>1</v>
      </c>
      <c r="O117" s="142">
        <f>IF(OR(ISNUMBER('A-5'!O165),ISNUMBER('A-5'!O117),ISNUMBER('A-5'!O213)),SUM('A-5'!O165,'A-5'!O117,'A-5'!O213),IF(OR('A-5'!O165="--",'A-5'!O117="--",'A-5'!O213="--"),"--","-"))</f>
        <v>8</v>
      </c>
      <c r="P117" s="142">
        <f>IF(OR(ISNUMBER('A-5'!P165),ISNUMBER('A-5'!P117),ISNUMBER('A-5'!P213)),SUM('A-5'!P165,'A-5'!P117,'A-5'!P213),IF(OR('A-5'!P165="--",'A-5'!P117="--",'A-5'!P213="--"),"--","-"))</f>
        <v>10</v>
      </c>
      <c r="Q117" s="142">
        <f>IF(OR(ISNUMBER('A-5'!Q165),ISNUMBER('A-5'!Q117),ISNUMBER('A-5'!Q213)),SUM('A-5'!Q165,'A-5'!Q117,'A-5'!Q213),IF(OR('A-5'!Q165="--",'A-5'!Q117="--",'A-5'!Q213="--"),"--","-"))</f>
        <v>388</v>
      </c>
      <c r="R117" s="142">
        <f>IF(OR(ISNUMBER('A-5'!R165),ISNUMBER('A-5'!R117),ISNUMBER('A-5'!R213)),SUM('A-5'!R165,'A-5'!R117,'A-5'!R213),IF(OR('A-5'!R165="--",'A-5'!R117="--",'A-5'!R213="--"),"--","-"))</f>
        <v>446</v>
      </c>
      <c r="S117" s="142">
        <f>IF(OR(ISNUMBER('A-5'!S165),ISNUMBER('A-5'!S117),ISNUMBER('A-5'!S213)),SUM('A-5'!S165,'A-5'!S117,'A-5'!S213),IF(OR('A-5'!S165="--",'A-5'!S117="--",'A-5'!S213="--"),"--","-"))</f>
        <v>3579</v>
      </c>
      <c r="T117" s="142">
        <f>IF(OR(ISNUMBER('A-5'!T165),ISNUMBER('A-5'!T117),ISNUMBER('A-5'!T213)),SUM('A-5'!T165,'A-5'!T117,'A-5'!T213),IF(OR('A-5'!T165="--",'A-5'!T117="--",'A-5'!T213="--"),"--","-"))</f>
        <v>149</v>
      </c>
      <c r="U117" s="142">
        <f>IF(OR(ISNUMBER('A-5'!U165),ISNUMBER('A-5'!U117),ISNUMBER('A-5'!U213)),SUM('A-5'!U165,'A-5'!U117,'A-5'!U213),IF(OR('A-5'!U165="--",'A-5'!U117="--",'A-5'!U213="--"),"--","-"))</f>
        <v>460</v>
      </c>
      <c r="V117" s="142">
        <f>IF(OR(ISNUMBER('A-5'!V165),ISNUMBER('A-5'!V117),ISNUMBER('A-5'!V213)),SUM('A-5'!V165,'A-5'!V117,'A-5'!V213),IF(OR('A-5'!V165="--",'A-5'!V117="--",'A-5'!V213="--"),"--","-"))</f>
        <v>49</v>
      </c>
      <c r="W117" s="142">
        <f>IF(OR(ISNUMBER('A-5'!W165),ISNUMBER('A-5'!W117),ISNUMBER('A-5'!W213)),SUM('A-5'!W165,'A-5'!W117,'A-5'!W213),IF(OR('A-5'!W165="--",'A-5'!W117="--",'A-5'!W213="--"),"--","-"))</f>
        <v>0</v>
      </c>
      <c r="X117" s="142">
        <f>IF(AND('A-5'!X117="-",'A-5'!X165="-",'A-5'!X213="-"),"-",SUM('A-5'!X117,'A-5'!X165,'A-5'!X213))</f>
        <v>5090</v>
      </c>
    </row>
    <row r="118" spans="1:24" ht="11.25" customHeight="1">
      <c r="A118" s="99">
        <v>1993</v>
      </c>
      <c r="B118" s="142">
        <f>IF(AND('A-5'!B118="-",'A-5'!B166="-",'A-5'!B214="-"),"-",SUM('A-5'!B118,'A-5'!B166,'A-5'!B214))</f>
        <v>439</v>
      </c>
      <c r="C118" s="142">
        <f>IF(AND('A-5'!C118="-",'A-5'!C166="-",'A-5'!C214="-"),"-",SUM('A-5'!C118,'A-5'!C166,'A-5'!C214))</f>
        <v>9855</v>
      </c>
      <c r="D118" s="142">
        <f>IF(AND('A-5'!D118="-",'A-5'!D166="-",'A-5'!D214="-"),"-",SUM('A-5'!D118,'A-5'!D166,'A-5'!D214))</f>
        <v>15023</v>
      </c>
      <c r="E118" s="142">
        <f>IF(AND('A-5'!E118="-",'A-5'!E166="-",'A-5'!E214="-"),"-",SUM('A-5'!E118,'A-5'!E166,'A-5'!E214))</f>
        <v>8547</v>
      </c>
      <c r="F118" s="142">
        <f>IF(AND('A-5'!F118="-",'A-5'!F166="-",'A-5'!F214="-"),"-",SUM('A-5'!F118,'A-5'!F166,'A-5'!F214))</f>
        <v>7326</v>
      </c>
      <c r="G118" s="142">
        <f>IF(AND('A-5'!G118="-",'A-5'!G166="-",'A-5'!G214="-"),"-",SUM('A-5'!G118,'A-5'!G166,'A-5'!G214))</f>
        <v>38388</v>
      </c>
      <c r="H118" s="142">
        <f>IF(AND('A-5'!H118="-",'A-5'!H166="-",'A-5'!H214="-"),"-",SUM('A-5'!H118,'A-5'!H166,'A-5'!H214))</f>
        <v>17209</v>
      </c>
      <c r="I118" s="142">
        <f>IF(AND('A-5'!I118="-",'A-5'!I166="-",'A-5'!I214="-"),"-",SUM('A-5'!I118,'A-5'!I166,'A-5'!I214))</f>
        <v>4757</v>
      </c>
      <c r="J118" s="142">
        <f>IF(AND('A-5'!J118="-",'A-5'!J166="-",'A-5'!J214="-"),"-",SUM('A-5'!J118,'A-5'!J166,'A-5'!J214))</f>
        <v>3594</v>
      </c>
      <c r="K118" s="142">
        <f>IF(AND('A-5'!K118="-",'A-5'!K166="-",'A-5'!K214="-"),"-",SUM('A-5'!K118,'A-5'!K166,'A-5'!K214))</f>
        <v>0</v>
      </c>
      <c r="L118" s="142">
        <f>IF(AND('A-5'!L118="-",'A-5'!L166="-",'A-5'!L214="-"),"-",SUM('A-5'!L118,'A-5'!L166,'A-5'!L214))</f>
        <v>105138</v>
      </c>
      <c r="N118" s="142">
        <f>IF(OR(ISNUMBER('A-5'!N166),ISNUMBER('A-5'!N118),ISNUMBER('A-5'!N214)),SUM('A-5'!N166,'A-5'!N118,'A-5'!N214),IF(OR('A-5'!N166="--",'A-5'!N118="--",'A-5'!N214="--"),"--","-"))</f>
        <v>0</v>
      </c>
      <c r="O118" s="142">
        <f>IF(OR(ISNUMBER('A-5'!O166),ISNUMBER('A-5'!O118),ISNUMBER('A-5'!O214)),SUM('A-5'!O166,'A-5'!O118,'A-5'!O214),IF(OR('A-5'!O166="--",'A-5'!O118="--",'A-5'!O214="--"),"--","-"))</f>
        <v>37</v>
      </c>
      <c r="P118" s="142">
        <f>IF(OR(ISNUMBER('A-5'!P166),ISNUMBER('A-5'!P118),ISNUMBER('A-5'!P214)),SUM('A-5'!P166,'A-5'!P118,'A-5'!P214),IF(OR('A-5'!P166="--",'A-5'!P118="--",'A-5'!P214="--"),"--","-"))</f>
        <v>58</v>
      </c>
      <c r="Q118" s="142">
        <f>IF(OR(ISNUMBER('A-5'!Q166),ISNUMBER('A-5'!Q118),ISNUMBER('A-5'!Q214)),SUM('A-5'!Q166,'A-5'!Q118,'A-5'!Q214),IF(OR('A-5'!Q166="--",'A-5'!Q118="--",'A-5'!Q214="--"),"--","-"))</f>
        <v>279</v>
      </c>
      <c r="R118" s="142">
        <f>IF(OR(ISNUMBER('A-5'!R166),ISNUMBER('A-5'!R118),ISNUMBER('A-5'!R214)),SUM('A-5'!R166,'A-5'!R118,'A-5'!R214),IF(OR('A-5'!R166="--",'A-5'!R118="--",'A-5'!R214="--"),"--","-"))</f>
        <v>1491</v>
      </c>
      <c r="S118" s="142">
        <f>IF(OR(ISNUMBER('A-5'!S166),ISNUMBER('A-5'!S118),ISNUMBER('A-5'!S214)),SUM('A-5'!S166,'A-5'!S118,'A-5'!S214),IF(OR('A-5'!S166="--",'A-5'!S118="--",'A-5'!S214="--"),"--","-"))</f>
        <v>11367</v>
      </c>
      <c r="T118" s="142">
        <f>IF(OR(ISNUMBER('A-5'!T166),ISNUMBER('A-5'!T118),ISNUMBER('A-5'!T214)),SUM('A-5'!T166,'A-5'!T118,'A-5'!T214),IF(OR('A-5'!T166="--",'A-5'!T118="--",'A-5'!T214="--"),"--","-"))</f>
        <v>2048</v>
      </c>
      <c r="U118" s="142">
        <f>IF(OR(ISNUMBER('A-5'!U166),ISNUMBER('A-5'!U118),ISNUMBER('A-5'!U214)),SUM('A-5'!U166,'A-5'!U118,'A-5'!U214),IF(OR('A-5'!U166="--",'A-5'!U118="--",'A-5'!U214="--"),"--","-"))</f>
        <v>144</v>
      </c>
      <c r="V118" s="142">
        <f>IF(OR(ISNUMBER('A-5'!V166),ISNUMBER('A-5'!V118),ISNUMBER('A-5'!V214)),SUM('A-5'!V166,'A-5'!V118,'A-5'!V214),IF(OR('A-5'!V166="--",'A-5'!V118="--",'A-5'!V214="--"),"--","-"))</f>
        <v>11</v>
      </c>
      <c r="W118" s="142">
        <f>IF(OR(ISNUMBER('A-5'!W166),ISNUMBER('A-5'!W118),ISNUMBER('A-5'!W214)),SUM('A-5'!W166,'A-5'!W118,'A-5'!W214),IF(OR('A-5'!W166="--",'A-5'!W118="--",'A-5'!W214="--"),"--","-"))</f>
        <v>0</v>
      </c>
      <c r="X118" s="142">
        <f>IF(AND('A-5'!X118="-",'A-5'!X166="-",'A-5'!X214="-"),"-",SUM('A-5'!X118,'A-5'!X166,'A-5'!X214))</f>
        <v>15435</v>
      </c>
    </row>
    <row r="119" spans="1:24" ht="11.25" customHeight="1">
      <c r="A119" s="99">
        <v>1994</v>
      </c>
      <c r="B119" s="142">
        <f>IF(AND('A-5'!B119="-",'A-5'!B167="-",'A-5'!B215="-"),"-",SUM('A-5'!B119,'A-5'!B167,'A-5'!B215))</f>
        <v>1228</v>
      </c>
      <c r="C119" s="142">
        <f>IF(AND('A-5'!C119="-",'A-5'!C167="-",'A-5'!C215="-"),"-",SUM('A-5'!C119,'A-5'!C167,'A-5'!C215))</f>
        <v>7133</v>
      </c>
      <c r="D119" s="142">
        <f>IF(AND('A-5'!D119="-",'A-5'!D167="-",'A-5'!D215="-"),"-",SUM('A-5'!D119,'A-5'!D167,'A-5'!D215))</f>
        <v>16428</v>
      </c>
      <c r="E119" s="142">
        <f>IF(AND('A-5'!E119="-",'A-5'!E167="-",'A-5'!E215="-"),"-",SUM('A-5'!E119,'A-5'!E167,'A-5'!E215))</f>
        <v>12334</v>
      </c>
      <c r="F119" s="142">
        <f>IF(AND('A-5'!F119="-",'A-5'!F167="-",'A-5'!F215="-"),"-",SUM('A-5'!F119,'A-5'!F167,'A-5'!F215))</f>
        <v>35976</v>
      </c>
      <c r="G119" s="142">
        <f>IF(AND('A-5'!G119="-",'A-5'!G167="-",'A-5'!G215="-"),"-",SUM('A-5'!G119,'A-5'!G167,'A-5'!G215))</f>
        <v>54545</v>
      </c>
      <c r="H119" s="142">
        <f>IF(AND('A-5'!H119="-",'A-5'!H167="-",'A-5'!H215="-"),"-",SUM('A-5'!H119,'A-5'!H167,'A-5'!H215))</f>
        <v>26266</v>
      </c>
      <c r="I119" s="142">
        <f>IF(AND('A-5'!I119="-",'A-5'!I167="-",'A-5'!I215="-"),"-",SUM('A-5'!I119,'A-5'!I167,'A-5'!I215))</f>
        <v>14933</v>
      </c>
      <c r="J119" s="142">
        <f>IF(AND('A-5'!J119="-",'A-5'!J167="-",'A-5'!J215="-"),"-",SUM('A-5'!J119,'A-5'!J167,'A-5'!J215))</f>
        <v>10987</v>
      </c>
      <c r="K119" s="48" t="s">
        <v>106</v>
      </c>
      <c r="L119" s="142">
        <f>IF(AND('A-5'!L119="-",'A-5'!L167="-",'A-5'!L215="-"),"-",SUM('A-5'!L119,'A-5'!L167,'A-5'!L215))</f>
        <v>179830</v>
      </c>
      <c r="N119" s="142">
        <f>IF(OR(ISNUMBER('A-5'!N167),ISNUMBER('A-5'!N119),ISNUMBER('A-5'!N215)),SUM('A-5'!N167,'A-5'!N119,'A-5'!N215),IF(OR('A-5'!N167="--",'A-5'!N119="--",'A-5'!N215="--"),"--","-"))</f>
        <v>0</v>
      </c>
      <c r="O119" s="142">
        <f>IF(OR(ISNUMBER('A-5'!O167),ISNUMBER('A-5'!O119),ISNUMBER('A-5'!O215)),SUM('A-5'!O167,'A-5'!O119,'A-5'!O215),IF(OR('A-5'!O167="--",'A-5'!O119="--",'A-5'!O215="--"),"--","-"))</f>
        <v>0</v>
      </c>
      <c r="P119" s="142">
        <f>IF(OR(ISNUMBER('A-5'!P167),ISNUMBER('A-5'!P119),ISNUMBER('A-5'!P215)),SUM('A-5'!P167,'A-5'!P119,'A-5'!P215),IF(OR('A-5'!P167="--",'A-5'!P119="--",'A-5'!P215="--"),"--","-"))</f>
        <v>20</v>
      </c>
      <c r="Q119" s="142">
        <f>IF(OR(ISNUMBER('A-5'!Q167),ISNUMBER('A-5'!Q119),ISNUMBER('A-5'!Q215)),SUM('A-5'!Q167,'A-5'!Q119,'A-5'!Q215),IF(OR('A-5'!Q167="--",'A-5'!Q119="--",'A-5'!Q215="--"),"--","-"))</f>
        <v>7</v>
      </c>
      <c r="R119" s="142">
        <f>IF(OR(ISNUMBER('A-5'!R167),ISNUMBER('A-5'!R119),ISNUMBER('A-5'!R215)),SUM('A-5'!R167,'A-5'!R119,'A-5'!R215),IF(OR('A-5'!R167="--",'A-5'!R119="--",'A-5'!R215="--"),"--","-"))</f>
        <v>228</v>
      </c>
      <c r="S119" s="142">
        <f>IF(OR(ISNUMBER('A-5'!S167),ISNUMBER('A-5'!S119),ISNUMBER('A-5'!S215)),SUM('A-5'!S167,'A-5'!S119,'A-5'!S215),IF(OR('A-5'!S167="--",'A-5'!S119="--",'A-5'!S215="--"),"--","-"))</f>
        <v>110</v>
      </c>
      <c r="T119" s="142">
        <f>IF(OR(ISNUMBER('A-5'!T167),ISNUMBER('A-5'!T119),ISNUMBER('A-5'!T215)),SUM('A-5'!T167,'A-5'!T119,'A-5'!T215),IF(OR('A-5'!T167="--",'A-5'!T119="--",'A-5'!T215="--"),"--","-"))</f>
        <v>43</v>
      </c>
      <c r="U119" s="142">
        <f>IF(OR(ISNUMBER('A-5'!U167),ISNUMBER('A-5'!U119),ISNUMBER('A-5'!U215)),SUM('A-5'!U167,'A-5'!U119,'A-5'!U215),IF(OR('A-5'!U167="--",'A-5'!U119="--",'A-5'!U215="--"),"--","-"))</f>
        <v>11</v>
      </c>
      <c r="V119" s="142">
        <f>IF(OR(ISNUMBER('A-5'!V167),ISNUMBER('A-5'!V119),ISNUMBER('A-5'!V215)),SUM('A-5'!V167,'A-5'!V119,'A-5'!V215),IF(OR('A-5'!V167="--",'A-5'!V119="--",'A-5'!V215="--"),"--","-"))</f>
        <v>8</v>
      </c>
      <c r="W119" s="142" t="str">
        <f>IF(OR(ISNUMBER('A-5'!W167),ISNUMBER('A-5'!W119),ISNUMBER('A-5'!W215)),SUM('A-5'!W167,'A-5'!W119,'A-5'!W215),IF(OR('A-5'!W167="--",'A-5'!W119="--",'A-5'!W215="--"),"--","-"))</f>
        <v>--</v>
      </c>
      <c r="X119" s="142">
        <f>IF(AND('A-5'!X119="-",'A-5'!X167="-",'A-5'!X215="-"),"-",SUM('A-5'!X119,'A-5'!X167,'A-5'!X215))</f>
        <v>427</v>
      </c>
    </row>
    <row r="120" spans="1:24" ht="11.25" customHeight="1">
      <c r="A120" s="99">
        <v>1995</v>
      </c>
      <c r="B120" s="142">
        <f>IF(AND('A-5'!B120="-",'A-5'!B168="-",'A-5'!B216="-"),"-",SUM('A-5'!B120,'A-5'!B168,'A-5'!B216))</f>
        <v>229</v>
      </c>
      <c r="C120" s="142">
        <f>IF(AND('A-5'!C120="-",'A-5'!C168="-",'A-5'!C216="-"),"-",SUM('A-5'!C120,'A-5'!C168,'A-5'!C216))</f>
        <v>27335</v>
      </c>
      <c r="D120" s="142">
        <f>IF(AND('A-5'!D120="-",'A-5'!D168="-",'A-5'!D216="-"),"-",SUM('A-5'!D120,'A-5'!D168,'A-5'!D216))</f>
        <v>57929</v>
      </c>
      <c r="E120" s="142">
        <f>IF(AND('A-5'!E120="-",'A-5'!E168="-",'A-5'!E216="-"),"-",SUM('A-5'!E120,'A-5'!E168,'A-5'!E216))</f>
        <v>45836</v>
      </c>
      <c r="F120" s="142">
        <f>IF(AND('A-5'!F120="-",'A-5'!F168="-",'A-5'!F216="-"),"-",SUM('A-5'!F120,'A-5'!F168,'A-5'!F216))</f>
        <v>73351</v>
      </c>
      <c r="G120" s="142">
        <f>IF(AND('A-5'!G120="-",'A-5'!G168="-",'A-5'!G216="-"),"-",SUM('A-5'!G120,'A-5'!G168,'A-5'!G216))</f>
        <v>133651</v>
      </c>
      <c r="H120" s="142">
        <f>IF(AND('A-5'!H120="-",'A-5'!H168="-",'A-5'!H216="-"),"-",SUM('A-5'!H120,'A-5'!H168,'A-5'!H216))</f>
        <v>29762</v>
      </c>
      <c r="I120" s="142">
        <f>IF(AND('A-5'!I120="-",'A-5'!I168="-",'A-5'!I216="-"),"-",SUM('A-5'!I120,'A-5'!I168,'A-5'!I216))</f>
        <v>13388</v>
      </c>
      <c r="J120" s="142">
        <f>IF(AND('A-5'!J120="-",'A-5'!J168="-",'A-5'!J216="-"),"-",SUM('A-5'!J120,'A-5'!J168,'A-5'!J216))</f>
        <v>2119</v>
      </c>
      <c r="K120" s="48" t="s">
        <v>106</v>
      </c>
      <c r="L120" s="142">
        <f>IF(AND('A-5'!L120="-",'A-5'!L168="-",'A-5'!L216="-"),"-",SUM('A-5'!L120,'A-5'!L168,'A-5'!L216))</f>
        <v>383600</v>
      </c>
      <c r="N120" s="142">
        <f>IF(OR(ISNUMBER('A-5'!N168),ISNUMBER('A-5'!N120),ISNUMBER('A-5'!N216)),SUM('A-5'!N168,'A-5'!N120,'A-5'!N216),IF(OR('A-5'!N168="--",'A-5'!N120="--",'A-5'!N216="--"),"--","-"))</f>
        <v>0</v>
      </c>
      <c r="O120" s="142">
        <f>IF(OR(ISNUMBER('A-5'!O168),ISNUMBER('A-5'!O120),ISNUMBER('A-5'!O216)),SUM('A-5'!O168,'A-5'!O120,'A-5'!O216),IF(OR('A-5'!O168="--",'A-5'!O120="--",'A-5'!O216="--"),"--","-"))</f>
        <v>0</v>
      </c>
      <c r="P120" s="142">
        <f>IF(OR(ISNUMBER('A-5'!P168),ISNUMBER('A-5'!P120),ISNUMBER('A-5'!P216)),SUM('A-5'!P168,'A-5'!P120,'A-5'!P216),IF(OR('A-5'!P168="--",'A-5'!P120="--",'A-5'!P216="--"),"--","-"))</f>
        <v>16</v>
      </c>
      <c r="Q120" s="142">
        <f>IF(OR(ISNUMBER('A-5'!Q168),ISNUMBER('A-5'!Q120),ISNUMBER('A-5'!Q216)),SUM('A-5'!Q168,'A-5'!Q120,'A-5'!Q216),IF(OR('A-5'!Q168="--",'A-5'!Q120="--",'A-5'!Q216="--"),"--","-"))</f>
        <v>6</v>
      </c>
      <c r="R120" s="142">
        <f>IF(OR(ISNUMBER('A-5'!R168),ISNUMBER('A-5'!R120),ISNUMBER('A-5'!R216)),SUM('A-5'!R168,'A-5'!R120,'A-5'!R216),IF(OR('A-5'!R168="--",'A-5'!R120="--",'A-5'!R216="--"),"--","-"))</f>
        <v>349</v>
      </c>
      <c r="S120" s="142">
        <f>IF(OR(ISNUMBER('A-5'!S168),ISNUMBER('A-5'!S120),ISNUMBER('A-5'!S216)),SUM('A-5'!S168,'A-5'!S120,'A-5'!S216),IF(OR('A-5'!S168="--",'A-5'!S120="--",'A-5'!S216="--"),"--","-"))</f>
        <v>143</v>
      </c>
      <c r="T120" s="142">
        <f>IF(OR(ISNUMBER('A-5'!T168),ISNUMBER('A-5'!T120),ISNUMBER('A-5'!T216)),SUM('A-5'!T168,'A-5'!T120,'A-5'!T216),IF(OR('A-5'!T168="--",'A-5'!T120="--",'A-5'!T216="--"),"--","-"))</f>
        <v>121</v>
      </c>
      <c r="U120" s="142">
        <f>IF(OR(ISNUMBER('A-5'!U168),ISNUMBER('A-5'!U120),ISNUMBER('A-5'!U216)),SUM('A-5'!U168,'A-5'!U120,'A-5'!U216),IF(OR('A-5'!U168="--",'A-5'!U120="--",'A-5'!U216="--"),"--","-"))</f>
        <v>26</v>
      </c>
      <c r="V120" s="142">
        <f>IF(OR(ISNUMBER('A-5'!V168),ISNUMBER('A-5'!V120),ISNUMBER('A-5'!V216)),SUM('A-5'!V168,'A-5'!V120,'A-5'!V216),IF(OR('A-5'!V168="--",'A-5'!V120="--",'A-5'!V216="--"),"--","-"))</f>
        <v>9</v>
      </c>
      <c r="W120" s="142" t="str">
        <f>IF(OR(ISNUMBER('A-5'!W168),ISNUMBER('A-5'!W120),ISNUMBER('A-5'!W216)),SUM('A-5'!W168,'A-5'!W120,'A-5'!W216),IF(OR('A-5'!W168="--",'A-5'!W120="--",'A-5'!W216="--"),"--","-"))</f>
        <v>--</v>
      </c>
      <c r="X120" s="142">
        <f>IF(AND('A-5'!X120="-",'A-5'!X168="-",'A-5'!X216="-"),"-",SUM('A-5'!X120,'A-5'!X168,'A-5'!X216))</f>
        <v>670</v>
      </c>
    </row>
    <row r="121" spans="1:24" ht="11.25" customHeight="1">
      <c r="A121" s="99">
        <v>1996</v>
      </c>
      <c r="B121" s="142">
        <f>IF(AND('A-5'!B121="-",'A-5'!B169="-",'A-5'!B217="-"),"-",SUM('A-5'!B121,'A-5'!B169,'A-5'!B217))</f>
        <v>11</v>
      </c>
      <c r="C121" s="142">
        <f>IF(AND('A-5'!C121="-",'A-5'!C169="-",'A-5'!C217="-"),"-",SUM('A-5'!C121,'A-5'!C169,'A-5'!C217))</f>
        <v>31966</v>
      </c>
      <c r="D121" s="142">
        <f>IF(AND('A-5'!D121="-",'A-5'!D169="-",'A-5'!D217="-"),"-",SUM('A-5'!D121,'A-5'!D169,'A-5'!D217))</f>
        <v>31658</v>
      </c>
      <c r="E121" s="142">
        <f>IF(AND('A-5'!E121="-",'A-5'!E169="-",'A-5'!E217="-"),"-",SUM('A-5'!E121,'A-5'!E169,'A-5'!E217))</f>
        <v>13223</v>
      </c>
      <c r="F121" s="142">
        <f>IF(AND('A-5'!F121="-",'A-5'!F169="-",'A-5'!F217="-"),"-",SUM('A-5'!F121,'A-5'!F169,'A-5'!F217))</f>
        <v>27212</v>
      </c>
      <c r="G121" s="142">
        <f>IF(AND('A-5'!G121="-",'A-5'!G169="-",'A-5'!G217="-"),"-",SUM('A-5'!G121,'A-5'!G169,'A-5'!G217))</f>
        <v>32339</v>
      </c>
      <c r="H121" s="142">
        <f>IF(AND('A-5'!H121="-",'A-5'!H169="-",'A-5'!H217="-"),"-",SUM('A-5'!H121,'A-5'!H169,'A-5'!H217))</f>
        <v>11163</v>
      </c>
      <c r="I121" s="142">
        <f>IF(AND('A-5'!I121="-",'A-5'!I169="-",'A-5'!I217="-"),"-",SUM('A-5'!I121,'A-5'!I169,'A-5'!I217))</f>
        <v>4371</v>
      </c>
      <c r="J121" s="142">
        <f>IF(AND('A-5'!J121="-",'A-5'!J169="-",'A-5'!J217="-"),"-",SUM('A-5'!J121,'A-5'!J169,'A-5'!J217))</f>
        <v>1342</v>
      </c>
      <c r="K121" s="48" t="s">
        <v>106</v>
      </c>
      <c r="L121" s="142">
        <f>IF(AND('A-5'!L121="-",'A-5'!L169="-",'A-5'!L217="-"),"-",SUM('A-5'!L121,'A-5'!L169,'A-5'!L217))</f>
        <v>153285</v>
      </c>
      <c r="N121" s="142" t="str">
        <f>IF(OR(ISNUMBER('A-5'!N169),ISNUMBER('A-5'!N121),ISNUMBER('A-5'!N217)),SUM('A-5'!N169,'A-5'!N121,'A-5'!N217),IF(OR('A-5'!N169="--",'A-5'!N121="--",'A-5'!N217="--"),"--","-"))</f>
        <v>-</v>
      </c>
      <c r="O121" s="142" t="str">
        <f>IF(OR(ISNUMBER('A-5'!O169),ISNUMBER('A-5'!O121),ISNUMBER('A-5'!O217)),SUM('A-5'!O169,'A-5'!O121,'A-5'!O217),IF(OR('A-5'!O169="--",'A-5'!O121="--",'A-5'!O217="--"),"--","-"))</f>
        <v>-</v>
      </c>
      <c r="P121" s="142">
        <f>IF(OR(ISNUMBER('A-5'!P169),ISNUMBER('A-5'!P121),ISNUMBER('A-5'!P217)),SUM('A-5'!P169,'A-5'!P121,'A-5'!P217),IF(OR('A-5'!P169="--",'A-5'!P121="--",'A-5'!P217="--"),"--","-"))</f>
        <v>3</v>
      </c>
      <c r="Q121" s="142">
        <f>IF(OR(ISNUMBER('A-5'!Q169),ISNUMBER('A-5'!Q121),ISNUMBER('A-5'!Q217)),SUM('A-5'!Q169,'A-5'!Q121,'A-5'!Q217),IF(OR('A-5'!Q169="--",'A-5'!Q121="--",'A-5'!Q217="--"),"--","-"))</f>
        <v>2</v>
      </c>
      <c r="R121" s="142">
        <f>IF(OR(ISNUMBER('A-5'!R169),ISNUMBER('A-5'!R121),ISNUMBER('A-5'!R217)),SUM('A-5'!R169,'A-5'!R121,'A-5'!R217),IF(OR('A-5'!R169="--",'A-5'!R121="--",'A-5'!R217="--"),"--","-"))</f>
        <v>187</v>
      </c>
      <c r="S121" s="142">
        <f>IF(OR(ISNUMBER('A-5'!S169),ISNUMBER('A-5'!S121),ISNUMBER('A-5'!S217)),SUM('A-5'!S169,'A-5'!S121,'A-5'!S217),IF(OR('A-5'!S169="--",'A-5'!S121="--",'A-5'!S217="--"),"--","-"))</f>
        <v>44</v>
      </c>
      <c r="T121" s="142">
        <f>IF(OR(ISNUMBER('A-5'!T169),ISNUMBER('A-5'!T121),ISNUMBER('A-5'!T217)),SUM('A-5'!T169,'A-5'!T121,'A-5'!T217),IF(OR('A-5'!T169="--",'A-5'!T121="--",'A-5'!T217="--"),"--","-"))</f>
        <v>124</v>
      </c>
      <c r="U121" s="142">
        <f>IF(OR(ISNUMBER('A-5'!U169),ISNUMBER('A-5'!U121),ISNUMBER('A-5'!U217)),SUM('A-5'!U169,'A-5'!U121,'A-5'!U217),IF(OR('A-5'!U169="--",'A-5'!U121="--",'A-5'!U217="--"),"--","-"))</f>
        <v>30</v>
      </c>
      <c r="V121" s="142" t="str">
        <f>IF(OR(ISNUMBER('A-5'!V169),ISNUMBER('A-5'!V121),ISNUMBER('A-5'!V217)),SUM('A-5'!V169,'A-5'!V121,'A-5'!V217),IF(OR('A-5'!V169="--",'A-5'!V121="--",'A-5'!V217="--"),"--","-"))</f>
        <v>-</v>
      </c>
      <c r="W121" s="142" t="str">
        <f>IF(OR(ISNUMBER('A-5'!W169),ISNUMBER('A-5'!W121),ISNUMBER('A-5'!W217)),SUM('A-5'!W169,'A-5'!W121,'A-5'!W217),IF(OR('A-5'!W169="--",'A-5'!W121="--",'A-5'!W217="--"),"--","-"))</f>
        <v>-</v>
      </c>
      <c r="X121" s="142">
        <f>IF(AND('A-5'!X121="-",'A-5'!X169="-",'A-5'!X217="-"),"-",SUM('A-5'!X121,'A-5'!X169,'A-5'!X217))</f>
        <v>390</v>
      </c>
    </row>
    <row r="122" spans="1:24" ht="11.25" customHeight="1">
      <c r="A122" s="99">
        <v>1997</v>
      </c>
      <c r="B122" s="48" t="s">
        <v>106</v>
      </c>
      <c r="C122" s="142">
        <f>IF(AND('A-5'!C122="-",'A-5'!C170="-",'A-5'!C218="-"),"-",SUM('A-5'!C122,'A-5'!C170,'A-5'!C218))</f>
        <v>20090</v>
      </c>
      <c r="D122" s="142">
        <f>IF(AND('A-5'!D122="-",'A-5'!D170="-",'A-5'!D218="-"),"-",SUM('A-5'!D122,'A-5'!D170,'A-5'!D218))</f>
        <v>26939</v>
      </c>
      <c r="E122" s="142">
        <f>IF(AND('A-5'!E122="-",'A-5'!E170="-",'A-5'!E218="-"),"-",SUM('A-5'!E122,'A-5'!E170,'A-5'!E218))</f>
        <v>25745</v>
      </c>
      <c r="F122" s="142">
        <f>IF(AND('A-5'!F122="-",'A-5'!F170="-",'A-5'!F218="-"),"-",SUM('A-5'!F122,'A-5'!F170,'A-5'!F218))</f>
        <v>45656</v>
      </c>
      <c r="G122" s="142">
        <f>IF(AND('A-5'!G122="-",'A-5'!G170="-",'A-5'!G218="-"),"-",SUM('A-5'!G122,'A-5'!G170,'A-5'!G218))</f>
        <v>72545</v>
      </c>
      <c r="H122" s="142">
        <f>IF(AND('A-5'!H122="-",'A-5'!H170="-",'A-5'!H218="-"),"-",SUM('A-5'!H122,'A-5'!H170,'A-5'!H218))</f>
        <v>23558</v>
      </c>
      <c r="I122" s="142">
        <f>IF(AND('A-5'!I122="-",'A-5'!I170="-",'A-5'!I218="-"),"-",SUM('A-5'!I122,'A-5'!I170,'A-5'!I218))</f>
        <v>3010</v>
      </c>
      <c r="J122" s="142">
        <f>IF(AND('A-5'!J122="-",'A-5'!J170="-",'A-5'!J218="-"),"-",SUM('A-5'!J122,'A-5'!J170,'A-5'!J218))</f>
        <v>2384</v>
      </c>
      <c r="K122" s="142">
        <f>IF(AND('A-5'!K122="-",'A-5'!K170="-",'A-5'!K218="-"),"-",SUM('A-5'!K122,'A-5'!K170,'A-5'!K218))</f>
        <v>58</v>
      </c>
      <c r="L122" s="142">
        <f>IF(AND('A-5'!L122="-",'A-5'!L170="-",'A-5'!L218="-"),"-",SUM('A-5'!L122,'A-5'!L170,'A-5'!L218))</f>
        <v>219985</v>
      </c>
      <c r="N122" s="142" t="str">
        <f>IF(OR(ISNUMBER('A-5'!N170),ISNUMBER('A-5'!N122),ISNUMBER('A-5'!N218)),SUM('A-5'!N170,'A-5'!N122,'A-5'!N218),IF(OR('A-5'!N170="--",'A-5'!N122="--",'A-5'!N218="--"),"--","-"))</f>
        <v>-</v>
      </c>
      <c r="O122" s="142" t="str">
        <f>IF(OR(ISNUMBER('A-5'!O170),ISNUMBER('A-5'!O122),ISNUMBER('A-5'!O218)),SUM('A-5'!O170,'A-5'!O122,'A-5'!O218),IF(OR('A-5'!O170="--",'A-5'!O122="--",'A-5'!O218="--"),"--","-"))</f>
        <v>-</v>
      </c>
      <c r="P122" s="142" t="str">
        <f>IF(OR(ISNUMBER('A-5'!P170),ISNUMBER('A-5'!P122),ISNUMBER('A-5'!P218)),SUM('A-5'!P170,'A-5'!P122,'A-5'!P218),IF(OR('A-5'!P170="--",'A-5'!P122="--",'A-5'!P218="--"),"--","-"))</f>
        <v>-</v>
      </c>
      <c r="Q122" s="142">
        <f>IF(OR(ISNUMBER('A-5'!Q170),ISNUMBER('A-5'!Q122),ISNUMBER('A-5'!Q218)),SUM('A-5'!Q170,'A-5'!Q122,'A-5'!Q218),IF(OR('A-5'!Q170="--",'A-5'!Q122="--",'A-5'!Q218="--"),"--","-"))</f>
        <v>18</v>
      </c>
      <c r="R122" s="142">
        <f>IF(OR(ISNUMBER('A-5'!R170),ISNUMBER('A-5'!R122),ISNUMBER('A-5'!R218)),SUM('A-5'!R170,'A-5'!R122,'A-5'!R218),IF(OR('A-5'!R170="--",'A-5'!R122="--",'A-5'!R218="--"),"--","-"))</f>
        <v>30</v>
      </c>
      <c r="S122" s="142">
        <f>IF(OR(ISNUMBER('A-5'!S170),ISNUMBER('A-5'!S122),ISNUMBER('A-5'!S218)),SUM('A-5'!S170,'A-5'!S122,'A-5'!S218),IF(OR('A-5'!S170="--",'A-5'!S122="--",'A-5'!S218="--"),"--","-"))</f>
        <v>203</v>
      </c>
      <c r="T122" s="142">
        <f>IF(OR(ISNUMBER('A-5'!T170),ISNUMBER('A-5'!T122),ISNUMBER('A-5'!T218)),SUM('A-5'!T170,'A-5'!T122,'A-5'!T218),IF(OR('A-5'!T170="--",'A-5'!T122="--",'A-5'!T218="--"),"--","-"))</f>
        <v>17</v>
      </c>
      <c r="U122" s="142">
        <f>IF(OR(ISNUMBER('A-5'!U170),ISNUMBER('A-5'!U122),ISNUMBER('A-5'!U218)),SUM('A-5'!U170,'A-5'!U122,'A-5'!U218),IF(OR('A-5'!U170="--",'A-5'!U122="--",'A-5'!U218="--"),"--","-"))</f>
        <v>17</v>
      </c>
      <c r="V122" s="142" t="str">
        <f>IF(OR(ISNUMBER('A-5'!V170),ISNUMBER('A-5'!V122),ISNUMBER('A-5'!V218)),SUM('A-5'!V170,'A-5'!V122,'A-5'!V218),IF(OR('A-5'!V170="--",'A-5'!V122="--",'A-5'!V218="--"),"--","-"))</f>
        <v>-</v>
      </c>
      <c r="W122" s="142" t="str">
        <f>IF(OR(ISNUMBER('A-5'!W170),ISNUMBER('A-5'!W122),ISNUMBER('A-5'!W218)),SUM('A-5'!W170,'A-5'!W122,'A-5'!W218),IF(OR('A-5'!W170="--",'A-5'!W122="--",'A-5'!W218="--"),"--","-"))</f>
        <v>-</v>
      </c>
      <c r="X122" s="142">
        <f>IF(AND('A-5'!X122="-",'A-5'!X170="-",'A-5'!X218="-"),"-",SUM('A-5'!X122,'A-5'!X170,'A-5'!X218))</f>
        <v>285</v>
      </c>
    </row>
    <row r="123" spans="1:24" ht="11.25" customHeight="1">
      <c r="A123" s="99">
        <v>1998</v>
      </c>
      <c r="B123" s="48" t="s">
        <v>106</v>
      </c>
      <c r="C123" s="142">
        <f>IF(AND('A-5'!C123="-",'A-5'!C171="-",'A-5'!C219="-"),"-",SUM('A-5'!C123,'A-5'!C171,'A-5'!C219))</f>
        <v>2989</v>
      </c>
      <c r="D123" s="142">
        <f>IF(AND('A-5'!D123="-",'A-5'!D171="-",'A-5'!D219="-"),"-",SUM('A-5'!D123,'A-5'!D171,'A-5'!D219))</f>
        <v>13130</v>
      </c>
      <c r="E123" s="142">
        <f>IF(AND('A-5'!E123="-",'A-5'!E171="-",'A-5'!E219="-"),"-",SUM('A-5'!E123,'A-5'!E171,'A-5'!E219))</f>
        <v>15270</v>
      </c>
      <c r="F123" s="142">
        <f>IF(AND('A-5'!F123="-",'A-5'!F171="-",'A-5'!F219="-"),"-",SUM('A-5'!F123,'A-5'!F171,'A-5'!F219))</f>
        <v>23741</v>
      </c>
      <c r="G123" s="142">
        <f>IF(AND('A-5'!G123="-",'A-5'!G171="-",'A-5'!G219="-"),"-",SUM('A-5'!G123,'A-5'!G171,'A-5'!G219))</f>
        <v>37085</v>
      </c>
      <c r="H123" s="142">
        <f>IF(AND('A-5'!H123="-",'A-5'!H171="-",'A-5'!H219="-"),"-",SUM('A-5'!H123,'A-5'!H171,'A-5'!H219))</f>
        <v>20675</v>
      </c>
      <c r="I123" s="142">
        <f>IF(AND('A-5'!I123="-",'A-5'!I171="-",'A-5'!I219="-"),"-",SUM('A-5'!I123,'A-5'!I171,'A-5'!I219))</f>
        <v>4421</v>
      </c>
      <c r="J123" s="142">
        <f>IF(AND('A-5'!J123="-",'A-5'!J171="-",'A-5'!J219="-"),"-",SUM('A-5'!J123,'A-5'!J171,'A-5'!J219))</f>
        <v>1789</v>
      </c>
      <c r="K123" s="48" t="s">
        <v>106</v>
      </c>
      <c r="L123" s="142">
        <f>IF(AND('A-5'!L123="-",'A-5'!L171="-",'A-5'!L219="-"),"-",SUM('A-5'!L123,'A-5'!L171,'A-5'!L219))</f>
        <v>119100</v>
      </c>
      <c r="N123" s="142" t="str">
        <f>IF(OR(ISNUMBER('A-5'!N171),ISNUMBER('A-5'!N123),ISNUMBER('A-5'!N219)),SUM('A-5'!N171,'A-5'!N123,'A-5'!N219),IF(OR('A-5'!N171="--",'A-5'!N123="--",'A-5'!N219="--"),"--","-"))</f>
        <v>-</v>
      </c>
      <c r="O123" s="142" t="str">
        <f>IF(OR(ISNUMBER('A-5'!O171),ISNUMBER('A-5'!O123),ISNUMBER('A-5'!O219)),SUM('A-5'!O171,'A-5'!O123,'A-5'!O219),IF(OR('A-5'!O171="--",'A-5'!O123="--",'A-5'!O219="--"),"--","-"))</f>
        <v>-</v>
      </c>
      <c r="P123" s="142" t="str">
        <f>IF(OR(ISNUMBER('A-5'!P171),ISNUMBER('A-5'!P123),ISNUMBER('A-5'!P219)),SUM('A-5'!P171,'A-5'!P123,'A-5'!P219),IF(OR('A-5'!P171="--",'A-5'!P123="--",'A-5'!P219="--"),"--","-"))</f>
        <v>-</v>
      </c>
      <c r="Q123" s="142" t="str">
        <f>IF(OR(ISNUMBER('A-5'!Q171),ISNUMBER('A-5'!Q123),ISNUMBER('A-5'!Q219)),SUM('A-5'!Q171,'A-5'!Q123,'A-5'!Q219),IF(OR('A-5'!Q171="--",'A-5'!Q123="--",'A-5'!Q219="--"),"--","-"))</f>
        <v>-</v>
      </c>
      <c r="R123" s="142">
        <f>IF(OR(ISNUMBER('A-5'!R171),ISNUMBER('A-5'!R123),ISNUMBER('A-5'!R219)),SUM('A-5'!R171,'A-5'!R123,'A-5'!R219),IF(OR('A-5'!R171="--",'A-5'!R123="--",'A-5'!R219="--"),"--","-"))</f>
        <v>12</v>
      </c>
      <c r="S123" s="142">
        <f>IF(OR(ISNUMBER('A-5'!S171),ISNUMBER('A-5'!S123),ISNUMBER('A-5'!S219)),SUM('A-5'!S171,'A-5'!S123,'A-5'!S219),IF(OR('A-5'!S171="--",'A-5'!S123="--",'A-5'!S219="--"),"--","-"))</f>
        <v>21</v>
      </c>
      <c r="T123" s="142">
        <f>IF(OR(ISNUMBER('A-5'!T171),ISNUMBER('A-5'!T123),ISNUMBER('A-5'!T219)),SUM('A-5'!T171,'A-5'!T123,'A-5'!T219),IF(OR('A-5'!T171="--",'A-5'!T123="--",'A-5'!T219="--"),"--","-"))</f>
        <v>7</v>
      </c>
      <c r="U123" s="142" t="str">
        <f>IF(OR(ISNUMBER('A-5'!U171),ISNUMBER('A-5'!U123),ISNUMBER('A-5'!U219)),SUM('A-5'!U171,'A-5'!U123,'A-5'!U219),IF(OR('A-5'!U171="--",'A-5'!U123="--",'A-5'!U219="--"),"--","-"))</f>
        <v>-</v>
      </c>
      <c r="V123" s="142" t="str">
        <f>IF(OR(ISNUMBER('A-5'!V171),ISNUMBER('A-5'!V123),ISNUMBER('A-5'!V219)),SUM('A-5'!V171,'A-5'!V123,'A-5'!V219),IF(OR('A-5'!V171="--",'A-5'!V123="--",'A-5'!V219="--"),"--","-"))</f>
        <v>-</v>
      </c>
      <c r="W123" s="142" t="str">
        <f>IF(OR(ISNUMBER('A-5'!W171),ISNUMBER('A-5'!W123),ISNUMBER('A-5'!W219)),SUM('A-5'!W171,'A-5'!W123,'A-5'!W219),IF(OR('A-5'!W171="--",'A-5'!W123="--",'A-5'!W219="--"),"--","-"))</f>
        <v>-</v>
      </c>
      <c r="X123" s="142">
        <f>IF(AND('A-5'!X123="-",'A-5'!X171="-",'A-5'!X219="-"),"-",SUM('A-5'!X123,'A-5'!X171,'A-5'!X219))</f>
        <v>40</v>
      </c>
    </row>
    <row r="124" spans="1:24" ht="11.25" customHeight="1">
      <c r="A124" s="99">
        <v>1999</v>
      </c>
      <c r="B124" s="142">
        <f>IF(AND('A-5'!B124="-",'A-5'!B172="-",'A-5'!B220="-"),"-",SUM('A-5'!B124,'A-5'!B172,'A-5'!B220))</f>
        <v>0</v>
      </c>
      <c r="C124" s="142">
        <f>IF(AND('A-5'!C124="-",'A-5'!C172="-",'A-5'!C220="-"),"-",SUM('A-5'!C124,'A-5'!C172,'A-5'!C220))</f>
        <v>1691</v>
      </c>
      <c r="D124" s="142">
        <f>IF(AND('A-5'!D124="-",'A-5'!D172="-",'A-5'!D220="-"),"-",SUM('A-5'!D124,'A-5'!D172,'A-5'!D220))</f>
        <v>6631</v>
      </c>
      <c r="E124" s="142">
        <f>IF(AND('A-5'!E124="-",'A-5'!E172="-",'A-5'!E220="-"),"-",SUM('A-5'!E124,'A-5'!E172,'A-5'!E220))</f>
        <v>1633</v>
      </c>
      <c r="F124" s="142">
        <f>IF(AND('A-5'!F124="-",'A-5'!F172="-",'A-5'!F220="-"),"-",SUM('A-5'!F124,'A-5'!F172,'A-5'!F220))</f>
        <v>13444</v>
      </c>
      <c r="G124" s="142">
        <f>IF(AND('A-5'!G124="-",'A-5'!G172="-",'A-5'!G220="-"),"-",SUM('A-5'!G124,'A-5'!G172,'A-5'!G220))</f>
        <v>33990</v>
      </c>
      <c r="H124" s="142">
        <f>IF(AND('A-5'!H124="-",'A-5'!H172="-",'A-5'!H220="-"),"-",SUM('A-5'!H124,'A-5'!H172,'A-5'!H220))</f>
        <v>15172</v>
      </c>
      <c r="I124" s="142">
        <f>IF(AND('A-5'!I124="-",'A-5'!I172="-",'A-5'!I220="-"),"-",SUM('A-5'!I124,'A-5'!I172,'A-5'!I220))</f>
        <v>6538</v>
      </c>
      <c r="J124" s="142">
        <f>IF(AND('A-5'!J124="-",'A-5'!J172="-",'A-5'!J220="-"),"-",SUM('A-5'!J124,'A-5'!J172,'A-5'!J220))</f>
        <v>2555</v>
      </c>
      <c r="K124" s="48" t="s">
        <v>106</v>
      </c>
      <c r="L124" s="142">
        <f>IF(AND('A-5'!L124="-",'A-5'!L172="-",'A-5'!L220="-"),"-",SUM('A-5'!L124,'A-5'!L172,'A-5'!L220))</f>
        <v>81654</v>
      </c>
      <c r="N124" s="142" t="str">
        <f>IF(OR(ISNUMBER('A-5'!N172),ISNUMBER('A-5'!N124),ISNUMBER('A-5'!N220)),SUM('A-5'!N172,'A-5'!N124,'A-5'!N220),IF(OR('A-5'!N172="--",'A-5'!N124="--",'A-5'!N220="--"),"--","-"))</f>
        <v>-</v>
      </c>
      <c r="O124" s="142" t="str">
        <f>IF(OR(ISNUMBER('A-5'!O172),ISNUMBER('A-5'!O124),ISNUMBER('A-5'!O220)),SUM('A-5'!O172,'A-5'!O124,'A-5'!O220),IF(OR('A-5'!O172="--",'A-5'!O124="--",'A-5'!O220="--"),"--","-"))</f>
        <v>-</v>
      </c>
      <c r="P124" s="142" t="str">
        <f>IF(OR(ISNUMBER('A-5'!P172),ISNUMBER('A-5'!P124),ISNUMBER('A-5'!P220)),SUM('A-5'!P172,'A-5'!P124,'A-5'!P220),IF(OR('A-5'!P172="--",'A-5'!P124="--",'A-5'!P220="--"),"--","-"))</f>
        <v>-</v>
      </c>
      <c r="Q124" s="142">
        <f>IF(OR(ISNUMBER('A-5'!Q172),ISNUMBER('A-5'!Q124),ISNUMBER('A-5'!Q220)),SUM('A-5'!Q172,'A-5'!Q124,'A-5'!Q220),IF(OR('A-5'!Q172="--",'A-5'!Q124="--",'A-5'!Q220="--"),"--","-"))</f>
        <v>12</v>
      </c>
      <c r="R124" s="142">
        <f>IF(OR(ISNUMBER('A-5'!R172),ISNUMBER('A-5'!R124),ISNUMBER('A-5'!R220)),SUM('A-5'!R172,'A-5'!R124,'A-5'!R220),IF(OR('A-5'!R172="--",'A-5'!R124="--",'A-5'!R220="--"),"--","-"))</f>
        <v>190</v>
      </c>
      <c r="S124" s="142">
        <f>IF(OR(ISNUMBER('A-5'!S172),ISNUMBER('A-5'!S124),ISNUMBER('A-5'!S220)),SUM('A-5'!S172,'A-5'!S124,'A-5'!S220),IF(OR('A-5'!S172="--",'A-5'!S124="--",'A-5'!S220="--"),"--","-"))</f>
        <v>134</v>
      </c>
      <c r="T124" s="142">
        <f>IF(OR(ISNUMBER('A-5'!T172),ISNUMBER('A-5'!T124),ISNUMBER('A-5'!T220)),SUM('A-5'!T172,'A-5'!T124,'A-5'!T220),IF(OR('A-5'!T172="--",'A-5'!T124="--",'A-5'!T220="--"),"--","-"))</f>
        <v>123</v>
      </c>
      <c r="U124" s="142">
        <f>IF(OR(ISNUMBER('A-5'!U172),ISNUMBER('A-5'!U124),ISNUMBER('A-5'!U220)),SUM('A-5'!U172,'A-5'!U124,'A-5'!U220),IF(OR('A-5'!U172="--",'A-5'!U124="--",'A-5'!U220="--"),"--","-"))</f>
        <v>12</v>
      </c>
      <c r="V124" s="142">
        <f>IF(OR(ISNUMBER('A-5'!V172),ISNUMBER('A-5'!V124),ISNUMBER('A-5'!V220)),SUM('A-5'!V172,'A-5'!V124,'A-5'!V220),IF(OR('A-5'!V172="--",'A-5'!V124="--",'A-5'!V220="--"),"--","-"))</f>
        <v>6</v>
      </c>
      <c r="W124" s="142" t="str">
        <f>IF(OR(ISNUMBER('A-5'!W172),ISNUMBER('A-5'!W124),ISNUMBER('A-5'!W220)),SUM('A-5'!W172,'A-5'!W124,'A-5'!W220),IF(OR('A-5'!W172="--",'A-5'!W124="--",'A-5'!W220="--"),"--","-"))</f>
        <v>-</v>
      </c>
      <c r="X124" s="142">
        <f>IF(AND('A-5'!X124="-",'A-5'!X172="-",'A-5'!X220="-"),"-",SUM('A-5'!X124,'A-5'!X172,'A-5'!X220))</f>
        <v>477</v>
      </c>
    </row>
    <row r="125" spans="1:24" ht="11.25" customHeight="1">
      <c r="A125" s="99">
        <v>2000</v>
      </c>
      <c r="B125" s="48" t="s">
        <v>106</v>
      </c>
      <c r="C125" s="48" t="s">
        <v>106</v>
      </c>
      <c r="D125" s="142">
        <f>IF(AND('A-5'!D125="-",'A-5'!D173="-",'A-5'!D221="-"),"-",SUM('A-5'!D125,'A-5'!D173,'A-5'!D221))</f>
        <v>40311</v>
      </c>
      <c r="E125" s="142">
        <f>IF(AND('A-5'!E125="-",'A-5'!E173="-",'A-5'!E221="-"),"-",SUM('A-5'!E125,'A-5'!E173,'A-5'!E221))</f>
        <v>32110</v>
      </c>
      <c r="F125" s="142">
        <f>IF(AND('A-5'!F125="-",'A-5'!F173="-",'A-5'!F221="-"),"-",SUM('A-5'!F125,'A-5'!F173,'A-5'!F221))</f>
        <v>35298</v>
      </c>
      <c r="G125" s="142">
        <f>IF(AND('A-5'!G125="-",'A-5'!G173="-",'A-5'!G221="-"),"-",SUM('A-5'!G125,'A-5'!G173,'A-5'!G221))</f>
        <v>27377</v>
      </c>
      <c r="H125" s="142">
        <f>IF(AND('A-5'!H125="-",'A-5'!H173="-",'A-5'!H221="-"),"-",SUM('A-5'!H125,'A-5'!H173,'A-5'!H221))</f>
        <v>17509</v>
      </c>
      <c r="I125" s="142">
        <f>IF(AND('A-5'!I125="-",'A-5'!I173="-",'A-5'!I221="-"),"-",SUM('A-5'!I125,'A-5'!I173,'A-5'!I221))</f>
        <v>11052</v>
      </c>
      <c r="J125" s="142">
        <f>IF(AND('A-5'!J125="-",'A-5'!J173="-",'A-5'!J221="-"),"-",SUM('A-5'!J125,'A-5'!J173,'A-5'!J221))</f>
        <v>6815</v>
      </c>
      <c r="K125" s="142">
        <f>IF(AND('A-5'!K125="-",'A-5'!K173="-",'A-5'!K221="-"),"-",SUM('A-5'!K125,'A-5'!K173,'A-5'!K221))</f>
        <v>1905</v>
      </c>
      <c r="L125" s="142">
        <f>IF(AND('A-5'!L125="-",'A-5'!L173="-",'A-5'!L221="-"),"-",SUM('A-5'!L125,'A-5'!L173,'A-5'!L221))</f>
        <v>172377</v>
      </c>
      <c r="N125" s="142" t="str">
        <f>IF(OR(ISNUMBER('A-5'!N173),ISNUMBER('A-5'!N125),ISNUMBER('A-5'!N221)),SUM('A-5'!N173,'A-5'!N125,'A-5'!N221),IF(OR('A-5'!N173="--",'A-5'!N125="--",'A-5'!N221="--"),"--","-"))</f>
        <v>-</v>
      </c>
      <c r="O125" s="142" t="str">
        <f>IF(OR(ISNUMBER('A-5'!O173),ISNUMBER('A-5'!O125),ISNUMBER('A-5'!O221)),SUM('A-5'!O173,'A-5'!O125,'A-5'!O221),IF(OR('A-5'!O173="--",'A-5'!O125="--",'A-5'!O221="--"),"--","-"))</f>
        <v>-</v>
      </c>
      <c r="P125" s="142" t="str">
        <f>IF(OR(ISNUMBER('A-5'!P173),ISNUMBER('A-5'!P125),ISNUMBER('A-5'!P221)),SUM('A-5'!P173,'A-5'!P125,'A-5'!P221),IF(OR('A-5'!P173="--",'A-5'!P125="--",'A-5'!P221="--"),"--","-"))</f>
        <v>-</v>
      </c>
      <c r="Q125" s="142" t="str">
        <f>IF(OR(ISNUMBER('A-5'!Q173),ISNUMBER('A-5'!Q125),ISNUMBER('A-5'!Q221)),SUM('A-5'!Q173,'A-5'!Q125,'A-5'!Q221),IF(OR('A-5'!Q173="--",'A-5'!Q125="--",'A-5'!Q221="--"),"--","-"))</f>
        <v>-</v>
      </c>
      <c r="R125" s="142">
        <f>IF(OR(ISNUMBER('A-5'!R173),ISNUMBER('A-5'!R125),ISNUMBER('A-5'!R221)),SUM('A-5'!R173,'A-5'!R125,'A-5'!R221),IF(OR('A-5'!R173="--",'A-5'!R125="--",'A-5'!R221="--"),"--","-"))</f>
        <v>141</v>
      </c>
      <c r="S125" s="142">
        <f>IF(OR(ISNUMBER('A-5'!S173),ISNUMBER('A-5'!S125),ISNUMBER('A-5'!S221)),SUM('A-5'!S173,'A-5'!S125,'A-5'!S221),IF(OR('A-5'!S173="--",'A-5'!S125="--",'A-5'!S221="--"),"--","-"))</f>
        <v>54</v>
      </c>
      <c r="T125" s="142">
        <f>IF(OR(ISNUMBER('A-5'!T173),ISNUMBER('A-5'!T125),ISNUMBER('A-5'!T221)),SUM('A-5'!T173,'A-5'!T125,'A-5'!T221),IF(OR('A-5'!T173="--",'A-5'!T125="--",'A-5'!T221="--"),"--","-"))</f>
        <v>25</v>
      </c>
      <c r="U125" s="142">
        <f>IF(OR(ISNUMBER('A-5'!U173),ISNUMBER('A-5'!U125),ISNUMBER('A-5'!U221)),SUM('A-5'!U173,'A-5'!U125,'A-5'!U221),IF(OR('A-5'!U173="--",'A-5'!U125="--",'A-5'!U221="--"),"--","-"))</f>
        <v>3</v>
      </c>
      <c r="V125" s="142" t="str">
        <f>IF(OR(ISNUMBER('A-5'!V173),ISNUMBER('A-5'!V125),ISNUMBER('A-5'!V221)),SUM('A-5'!V173,'A-5'!V125,'A-5'!V221),IF(OR('A-5'!V173="--",'A-5'!V125="--",'A-5'!V221="--"),"--","-"))</f>
        <v>-</v>
      </c>
      <c r="W125" s="142" t="str">
        <f>IF(OR(ISNUMBER('A-5'!W173),ISNUMBER('A-5'!W125),ISNUMBER('A-5'!W221)),SUM('A-5'!W173,'A-5'!W125,'A-5'!W221),IF(OR('A-5'!W173="--",'A-5'!W125="--",'A-5'!W221="--"),"--","-"))</f>
        <v>-</v>
      </c>
      <c r="X125" s="142">
        <f>IF(AND('A-5'!X125="-",'A-5'!X173="-",'A-5'!X221="-"),"-",SUM('A-5'!X125,'A-5'!X173,'A-5'!X221))</f>
        <v>223</v>
      </c>
    </row>
    <row r="126" spans="1:24" ht="11.25" customHeight="1">
      <c r="A126" s="99">
        <v>2001</v>
      </c>
      <c r="B126" s="48" t="s">
        <v>106</v>
      </c>
      <c r="C126" s="142">
        <f>IF(AND('A-5'!C126="-",'A-5'!C174="-",'A-5'!C222="-"),"-",SUM('A-5'!C126,'A-5'!C174,'A-5'!C222))</f>
        <v>1256</v>
      </c>
      <c r="D126" s="142">
        <f>IF(AND('A-5'!D126="-",'A-5'!D174="-",'A-5'!D222="-"),"-",SUM('A-5'!D126,'A-5'!D174,'A-5'!D222))</f>
        <v>18059</v>
      </c>
      <c r="E126" s="142">
        <f>IF(AND('A-5'!E126="-",'A-5'!E174="-",'A-5'!E222="-"),"-",SUM('A-5'!E126,'A-5'!E174,'A-5'!E222))</f>
        <v>11892</v>
      </c>
      <c r="F126" s="142">
        <f>IF(AND('A-5'!F126="-",'A-5'!F174="-",'A-5'!F222="-"),"-",SUM('A-5'!F126,'A-5'!F174,'A-5'!F222))</f>
        <v>8153</v>
      </c>
      <c r="G126" s="142">
        <f>IF(AND('A-5'!G126="-",'A-5'!G174="-",'A-5'!G222="-"),"-",SUM('A-5'!G126,'A-5'!G174,'A-5'!G222))</f>
        <v>23121</v>
      </c>
      <c r="H126" s="142">
        <f>IF(AND('A-5'!H126="-",'A-5'!H174="-",'A-5'!H222="-"),"-",SUM('A-5'!H126,'A-5'!H174,'A-5'!H222))</f>
        <v>12154</v>
      </c>
      <c r="I126" s="142">
        <f>IF(AND('A-5'!I126="-",'A-5'!I174="-",'A-5'!I222="-"),"-",SUM('A-5'!I126,'A-5'!I174,'A-5'!I222))</f>
        <v>7030</v>
      </c>
      <c r="J126" s="142">
        <f>IF(AND('A-5'!J126="-",'A-5'!J174="-",'A-5'!J222="-"),"-",SUM('A-5'!J126,'A-5'!J174,'A-5'!J222))</f>
        <v>3071</v>
      </c>
      <c r="K126" s="142">
        <f>IF(AND('A-5'!K126="-",'A-5'!K174="-",'A-5'!K222="-"),"-",SUM('A-5'!K126,'A-5'!K174,'A-5'!K222))</f>
        <v>1223</v>
      </c>
      <c r="L126" s="142">
        <f>IF(AND('A-5'!L126="-",'A-5'!L174="-",'A-5'!L222="-"),"-",SUM('A-5'!L126,'A-5'!L174,'A-5'!L222))</f>
        <v>85959</v>
      </c>
      <c r="N126" s="142" t="str">
        <f>IF(OR(ISNUMBER('A-5'!N174),ISNUMBER('A-5'!N126),ISNUMBER('A-5'!N222)),SUM('A-5'!N174,'A-5'!N126,'A-5'!N222),IF(OR('A-5'!N174="--",'A-5'!N126="--",'A-5'!N222="--"),"--","-"))</f>
        <v>-</v>
      </c>
      <c r="O126" s="142" t="str">
        <f>IF(OR(ISNUMBER('A-5'!O174),ISNUMBER('A-5'!O126),ISNUMBER('A-5'!O222)),SUM('A-5'!O174,'A-5'!O126,'A-5'!O222),IF(OR('A-5'!O174="--",'A-5'!O126="--",'A-5'!O222="--"),"--","-"))</f>
        <v>-</v>
      </c>
      <c r="P126" s="142">
        <f>IF(OR(ISNUMBER('A-5'!P174),ISNUMBER('A-5'!P126),ISNUMBER('A-5'!P222)),SUM('A-5'!P174,'A-5'!P126,'A-5'!P222),IF(OR('A-5'!P174="--",'A-5'!P126="--",'A-5'!P222="--"),"--","-"))</f>
        <v>4</v>
      </c>
      <c r="Q126" s="142">
        <f>IF(OR(ISNUMBER('A-5'!Q174),ISNUMBER('A-5'!Q126),ISNUMBER('A-5'!Q222)),SUM('A-5'!Q174,'A-5'!Q126,'A-5'!Q222),IF(OR('A-5'!Q174="--",'A-5'!Q126="--",'A-5'!Q222="--"),"--","-"))</f>
        <v>420</v>
      </c>
      <c r="R126" s="142">
        <f>IF(OR(ISNUMBER('A-5'!R174),ISNUMBER('A-5'!R126),ISNUMBER('A-5'!R222)),SUM('A-5'!R174,'A-5'!R126,'A-5'!R222),IF(OR('A-5'!R174="--",'A-5'!R126="--",'A-5'!R222="--"),"--","-"))</f>
        <v>211</v>
      </c>
      <c r="S126" s="142">
        <f>IF(OR(ISNUMBER('A-5'!S174),ISNUMBER('A-5'!S126),ISNUMBER('A-5'!S222)),SUM('A-5'!S174,'A-5'!S126,'A-5'!S222),IF(OR('A-5'!S174="--",'A-5'!S126="--",'A-5'!S222="--"),"--","-"))</f>
        <v>462</v>
      </c>
      <c r="T126" s="142">
        <f>IF(OR(ISNUMBER('A-5'!T174),ISNUMBER('A-5'!T126),ISNUMBER('A-5'!T222)),SUM('A-5'!T174,'A-5'!T126,'A-5'!T222),IF(OR('A-5'!T174="--",'A-5'!T126="--",'A-5'!T222="--"),"--","-"))</f>
        <v>46</v>
      </c>
      <c r="U126" s="142" t="str">
        <f>IF(OR(ISNUMBER('A-5'!U174),ISNUMBER('A-5'!U126),ISNUMBER('A-5'!U222)),SUM('A-5'!U174,'A-5'!U126,'A-5'!U222),IF(OR('A-5'!U174="--",'A-5'!U126="--",'A-5'!U222="--"),"--","-"))</f>
        <v>-</v>
      </c>
      <c r="V126" s="142" t="str">
        <f>IF(OR(ISNUMBER('A-5'!V174),ISNUMBER('A-5'!V126),ISNUMBER('A-5'!V222)),SUM('A-5'!V174,'A-5'!V126,'A-5'!V222),IF(OR('A-5'!V174="--",'A-5'!V126="--",'A-5'!V222="--"),"--","-"))</f>
        <v>-</v>
      </c>
      <c r="W126" s="142" t="str">
        <f>IF(OR(ISNUMBER('A-5'!W174),ISNUMBER('A-5'!W126),ISNUMBER('A-5'!W222)),SUM('A-5'!W174,'A-5'!W126,'A-5'!W222),IF(OR('A-5'!W174="--",'A-5'!W126="--",'A-5'!W222="--"),"--","-"))</f>
        <v>-</v>
      </c>
      <c r="X126" s="142">
        <f>IF(AND('A-5'!X126="-",'A-5'!X174="-",'A-5'!X222="-"),"-",SUM('A-5'!X126,'A-5'!X174,'A-5'!X222))</f>
        <v>1143</v>
      </c>
    </row>
    <row r="127" spans="1:24" ht="11.25" customHeight="1">
      <c r="A127" s="99">
        <v>2002</v>
      </c>
      <c r="B127" s="142">
        <f>IF(AND('A-5'!B127="-",'A-5'!B175="-",'A-5'!B223="-"),"-",SUM('A-5'!B127,'A-5'!B175,'A-5'!B223))</f>
        <v>14</v>
      </c>
      <c r="C127" s="142">
        <f>IF(AND('A-5'!C127="-",'A-5'!C175="-",'A-5'!C223="-"),"-",SUM('A-5'!C127,'A-5'!C175,'A-5'!C223))</f>
        <v>2979</v>
      </c>
      <c r="D127" s="142">
        <f>IF(AND('A-5'!D127="-",'A-5'!D175="-",'A-5'!D223="-"),"-",SUM('A-5'!D127,'A-5'!D175,'A-5'!D223))</f>
        <v>37759</v>
      </c>
      <c r="E127" s="142">
        <f>IF(AND('A-5'!E127="-",'A-5'!E175="-",'A-5'!E223="-"),"-",SUM('A-5'!E127,'A-5'!E175,'A-5'!E223))</f>
        <v>21933</v>
      </c>
      <c r="F127" s="142">
        <f>IF(AND('A-5'!F127="-",'A-5'!F175="-",'A-5'!F223="-"),"-",SUM('A-5'!F127,'A-5'!F175,'A-5'!F223))</f>
        <v>30342</v>
      </c>
      <c r="G127" s="142">
        <f>IF(AND('A-5'!G127="-",'A-5'!G175="-",'A-5'!G223="-"),"-",SUM('A-5'!G127,'A-5'!G175,'A-5'!G223))</f>
        <v>51328</v>
      </c>
      <c r="H127" s="142">
        <f>IF(AND('A-5'!H127="-",'A-5'!H175="-",'A-5'!H223="-"),"-",SUM('A-5'!H127,'A-5'!H175,'A-5'!H223))</f>
        <v>17859</v>
      </c>
      <c r="I127" s="142">
        <f>IF(AND('A-5'!I127="-",'A-5'!I175="-",'A-5'!I223="-"),"-",SUM('A-5'!I127,'A-5'!I175,'A-5'!I223))</f>
        <v>3290</v>
      </c>
      <c r="J127" s="142">
        <f>IF(AND('A-5'!J127="-",'A-5'!J175="-",'A-5'!J223="-"),"-",SUM('A-5'!J127,'A-5'!J175,'A-5'!J223))</f>
        <v>348</v>
      </c>
      <c r="K127" s="142">
        <f>IF(AND('A-5'!K127="-",'A-5'!K175="-",'A-5'!K223="-"),"-",SUM('A-5'!K127,'A-5'!K175,'A-5'!K223))</f>
        <v>61</v>
      </c>
      <c r="L127" s="142">
        <f>IF(AND('A-5'!L127="-",'A-5'!L175="-",'A-5'!L223="-"),"-",SUM('A-5'!L127,'A-5'!L175,'A-5'!L223))</f>
        <v>165913</v>
      </c>
      <c r="N127" s="142" t="str">
        <f>IF(OR(ISNUMBER('A-5'!N175),ISNUMBER('A-5'!N127),ISNUMBER('A-5'!N223)),SUM('A-5'!N175,'A-5'!N127,'A-5'!N223),IF(OR('A-5'!N175="--",'A-5'!N127="--",'A-5'!N223="--"),"--","-"))</f>
        <v>-</v>
      </c>
      <c r="O127" s="142" t="str">
        <f>IF(OR(ISNUMBER('A-5'!O175),ISNUMBER('A-5'!O127),ISNUMBER('A-5'!O223)),SUM('A-5'!O175,'A-5'!O127,'A-5'!O223),IF(OR('A-5'!O175="--",'A-5'!O127="--",'A-5'!O223="--"),"--","-"))</f>
        <v>-</v>
      </c>
      <c r="P127" s="142">
        <f>IF(OR(ISNUMBER('A-5'!P175),ISNUMBER('A-5'!P127),ISNUMBER('A-5'!P223)),SUM('A-5'!P175,'A-5'!P127,'A-5'!P223),IF(OR('A-5'!P175="--",'A-5'!P127="--",'A-5'!P223="--"),"--","-"))</f>
        <v>2</v>
      </c>
      <c r="Q127" s="142">
        <f>IF(OR(ISNUMBER('A-5'!Q175),ISNUMBER('A-5'!Q127),ISNUMBER('A-5'!Q223)),SUM('A-5'!Q175,'A-5'!Q127,'A-5'!Q223),IF(OR('A-5'!Q175="--",'A-5'!Q127="--",'A-5'!Q223="--"),"--","-"))</f>
        <v>22</v>
      </c>
      <c r="R127" s="142">
        <f>IF(OR(ISNUMBER('A-5'!R175),ISNUMBER('A-5'!R127),ISNUMBER('A-5'!R223)),SUM('A-5'!R175,'A-5'!R127,'A-5'!R223),IF(OR('A-5'!R175="--",'A-5'!R127="--",'A-5'!R223="--"),"--","-"))</f>
        <v>130</v>
      </c>
      <c r="S127" s="142">
        <f>IF(OR(ISNUMBER('A-5'!S175),ISNUMBER('A-5'!S127),ISNUMBER('A-5'!S223)),SUM('A-5'!S175,'A-5'!S127,'A-5'!S223),IF(OR('A-5'!S175="--",'A-5'!S127="--",'A-5'!S223="--"),"--","-"))</f>
        <v>333</v>
      </c>
      <c r="T127" s="142">
        <f>IF(OR(ISNUMBER('A-5'!T175),ISNUMBER('A-5'!T127),ISNUMBER('A-5'!T223)),SUM('A-5'!T175,'A-5'!T127,'A-5'!T223),IF(OR('A-5'!T175="--",'A-5'!T127="--",'A-5'!T223="--"),"--","-"))</f>
        <v>46</v>
      </c>
      <c r="U127" s="142" t="str">
        <f>IF(OR(ISNUMBER('A-5'!U175),ISNUMBER('A-5'!U127),ISNUMBER('A-5'!U223)),SUM('A-5'!U175,'A-5'!U127,'A-5'!U223),IF(OR('A-5'!U175="--",'A-5'!U127="--",'A-5'!U223="--"),"--","-"))</f>
        <v>-</v>
      </c>
      <c r="V127" s="142" t="str">
        <f>IF(OR(ISNUMBER('A-5'!V175),ISNUMBER('A-5'!V127),ISNUMBER('A-5'!V223)),SUM('A-5'!V175,'A-5'!V127,'A-5'!V223),IF(OR('A-5'!V175="--",'A-5'!V127="--",'A-5'!V223="--"),"--","-"))</f>
        <v>-</v>
      </c>
      <c r="W127" s="142" t="str">
        <f>IF(OR(ISNUMBER('A-5'!W175),ISNUMBER('A-5'!W127),ISNUMBER('A-5'!W223)),SUM('A-5'!W175,'A-5'!W127,'A-5'!W223),IF(OR('A-5'!W175="--",'A-5'!W127="--",'A-5'!W223="--"),"--","-"))</f>
        <v>-</v>
      </c>
      <c r="X127" s="142">
        <f>IF(AND('A-5'!X127="-",'A-5'!X175="-",'A-5'!X223="-"),"-",SUM('A-5'!X127,'A-5'!X175,'A-5'!X223))</f>
        <v>533</v>
      </c>
    </row>
    <row r="128" spans="1:24" ht="11.25" customHeight="1">
      <c r="A128" s="99">
        <v>2003</v>
      </c>
      <c r="B128" s="142">
        <f>IF(AND('A-5'!B128="-",'A-5'!B176="-",'A-5'!B224="-"),"-",SUM('A-5'!B128,'A-5'!B176,'A-5'!B224))</f>
        <v>444</v>
      </c>
      <c r="C128" s="142">
        <f>IF(AND('A-5'!C128="-",'A-5'!C176="-",'A-5'!C224="-"),"-",SUM('A-5'!C128,'A-5'!C176,'A-5'!C224))</f>
        <v>3978</v>
      </c>
      <c r="D128" s="142">
        <f>IF(AND('A-5'!D128="-",'A-5'!D176="-",'A-5'!D224="-"),"-",SUM('A-5'!D128,'A-5'!D176,'A-5'!D224))</f>
        <v>9569</v>
      </c>
      <c r="E128" s="142">
        <f>IF(AND('A-5'!E128="-",'A-5'!E176="-",'A-5'!E224="-"),"-",SUM('A-5'!E128,'A-5'!E176,'A-5'!E224))</f>
        <v>12209</v>
      </c>
      <c r="F128" s="142">
        <f>IF(AND('A-5'!F128="-",'A-5'!F176="-",'A-5'!F224="-"),"-",SUM('A-5'!F128,'A-5'!F176,'A-5'!F224))</f>
        <v>19043</v>
      </c>
      <c r="G128" s="142">
        <f>IF(AND('A-5'!G128="-",'A-5'!G176="-",'A-5'!G224="-"),"-",SUM('A-5'!G128,'A-5'!G176,'A-5'!G224))</f>
        <v>29442</v>
      </c>
      <c r="H128" s="142">
        <f>IF(AND('A-5'!H128="-",'A-5'!H176="-",'A-5'!H224="-"),"-",SUM('A-5'!H128,'A-5'!H176,'A-5'!H224))</f>
        <v>6501</v>
      </c>
      <c r="I128" s="142">
        <f>IF(AND('A-5'!I128="-",'A-5'!I176="-",'A-5'!I224="-"),"-",SUM('A-5'!I128,'A-5'!I176,'A-5'!I224))</f>
        <v>3688</v>
      </c>
      <c r="J128" s="142">
        <f>IF(AND('A-5'!J128="-",'A-5'!J176="-",'A-5'!J224="-"),"-",SUM('A-5'!J128,'A-5'!J176,'A-5'!J224))</f>
        <v>1048</v>
      </c>
      <c r="K128" s="142">
        <f>IF(AND('A-5'!K128="-",'A-5'!K176="-",'A-5'!K224="-"),"-",SUM('A-5'!K128,'A-5'!K176,'A-5'!K224))</f>
        <v>0</v>
      </c>
      <c r="L128" s="142">
        <f>IF(AND('A-5'!L128="-",'A-5'!L176="-",'A-5'!L224="-"),"-",SUM('A-5'!L128,'A-5'!L176,'A-5'!L224))</f>
        <v>85922</v>
      </c>
      <c r="N128" s="142" t="str">
        <f>IF(OR(ISNUMBER('A-5'!N176),ISNUMBER('A-5'!N128),ISNUMBER('A-5'!N224)),SUM('A-5'!N176,'A-5'!N128,'A-5'!N224),IF(OR('A-5'!N176="--",'A-5'!N128="--",'A-5'!N224="--"),"--","-"))</f>
        <v>-</v>
      </c>
      <c r="O128" s="142" t="str">
        <f>IF(OR(ISNUMBER('A-5'!O176),ISNUMBER('A-5'!O128),ISNUMBER('A-5'!O224)),SUM('A-5'!O176,'A-5'!O128,'A-5'!O224),IF(OR('A-5'!O176="--",'A-5'!O128="--",'A-5'!O224="--"),"--","-"))</f>
        <v>-</v>
      </c>
      <c r="P128" s="142" t="str">
        <f>IF(OR(ISNUMBER('A-5'!P176),ISNUMBER('A-5'!P128),ISNUMBER('A-5'!P224)),SUM('A-5'!P176,'A-5'!P128,'A-5'!P224),IF(OR('A-5'!P176="--",'A-5'!P128="--",'A-5'!P224="--"),"--","-"))</f>
        <v>-</v>
      </c>
      <c r="Q128" s="142">
        <f>IF(OR(ISNUMBER('A-5'!Q176),ISNUMBER('A-5'!Q128),ISNUMBER('A-5'!Q224)),SUM('A-5'!Q176,'A-5'!Q128,'A-5'!Q224),IF(OR('A-5'!Q176="--",'A-5'!Q128="--",'A-5'!Q224="--"),"--","-"))</f>
        <v>70</v>
      </c>
      <c r="R128" s="142">
        <f>IF(OR(ISNUMBER('A-5'!R176),ISNUMBER('A-5'!R128),ISNUMBER('A-5'!R224)),SUM('A-5'!R176,'A-5'!R128,'A-5'!R224),IF(OR('A-5'!R176="--",'A-5'!R128="--",'A-5'!R224="--"),"--","-"))</f>
        <v>197</v>
      </c>
      <c r="S128" s="142">
        <f>IF(OR(ISNUMBER('A-5'!S176),ISNUMBER('A-5'!S128),ISNUMBER('A-5'!S224)),SUM('A-5'!S176,'A-5'!S128,'A-5'!S224),IF(OR('A-5'!S176="--",'A-5'!S128="--",'A-5'!S224="--"),"--","-"))</f>
        <v>189</v>
      </c>
      <c r="T128" s="142">
        <f>IF(OR(ISNUMBER('A-5'!T176),ISNUMBER('A-5'!T128),ISNUMBER('A-5'!T224)),SUM('A-5'!T176,'A-5'!T128,'A-5'!T224),IF(OR('A-5'!T176="--",'A-5'!T128="--",'A-5'!T224="--"),"--","-"))</f>
        <v>11</v>
      </c>
      <c r="U128" s="142">
        <f>IF(OR(ISNUMBER('A-5'!U176),ISNUMBER('A-5'!U128),ISNUMBER('A-5'!U224)),SUM('A-5'!U176,'A-5'!U128,'A-5'!U224),IF(OR('A-5'!U176="--",'A-5'!U128="--",'A-5'!U224="--"),"--","-"))</f>
        <v>9</v>
      </c>
      <c r="V128" s="142" t="str">
        <f>IF(OR(ISNUMBER('A-5'!V176),ISNUMBER('A-5'!V128),ISNUMBER('A-5'!V224)),SUM('A-5'!V176,'A-5'!V128,'A-5'!V224),IF(OR('A-5'!V176="--",'A-5'!V128="--",'A-5'!V224="--"),"--","-"))</f>
        <v>-</v>
      </c>
      <c r="W128" s="142" t="str">
        <f>IF(OR(ISNUMBER('A-5'!W176),ISNUMBER('A-5'!W128),ISNUMBER('A-5'!W224)),SUM('A-5'!W176,'A-5'!W128,'A-5'!W224),IF(OR('A-5'!W176="--",'A-5'!W128="--",'A-5'!W224="--"),"--","-"))</f>
        <v>-</v>
      </c>
      <c r="X128" s="142">
        <f>IF(AND('A-5'!X128="-",'A-5'!X176="-",'A-5'!X224="-"),"-",SUM('A-5'!X128,'A-5'!X176,'A-5'!X224))</f>
        <v>476</v>
      </c>
    </row>
    <row r="129" spans="1:25" ht="11.25" customHeight="1">
      <c r="A129" s="99">
        <v>2004</v>
      </c>
      <c r="B129" s="142">
        <f>IF(AND('A-5'!B129="-",'A-5'!B177="-",'A-5'!B225="-"),"-",SUM('A-5'!B129,'A-5'!B177,'A-5'!B225))</f>
        <v>41</v>
      </c>
      <c r="C129" s="142">
        <f>IF(AND('A-5'!C129="-",'A-5'!C177="-",'A-5'!C225="-"),"-",SUM('A-5'!C129,'A-5'!C177,'A-5'!C225))</f>
        <v>510</v>
      </c>
      <c r="D129" s="142">
        <f>IF(AND('A-5'!D129="-",'A-5'!D177="-",'A-5'!D225="-"),"-",SUM('A-5'!D129,'A-5'!D177,'A-5'!D225))</f>
        <v>31470</v>
      </c>
      <c r="E129" s="142">
        <f>IF(AND('A-5'!E129="-",'A-5'!E177="-",'A-5'!E225="-"),"-",SUM('A-5'!E129,'A-5'!E177,'A-5'!E225))</f>
        <v>24847</v>
      </c>
      <c r="F129" s="142">
        <f>IF(AND('A-5'!F129="-",'A-5'!F177="-",'A-5'!F225="-"),"-",SUM('A-5'!F129,'A-5'!F177,'A-5'!F225))</f>
        <v>33948</v>
      </c>
      <c r="G129" s="142">
        <f>IF(AND('A-5'!G129="-",'A-5'!G177="-",'A-5'!G225="-"),"-",SUM('A-5'!G129,'A-5'!G177,'A-5'!G225))</f>
        <v>70611</v>
      </c>
      <c r="H129" s="142">
        <f>IF(AND('A-5'!H129="-",'A-5'!H177="-",'A-5'!H225="-"),"-",SUM('A-5'!H129,'A-5'!H177,'A-5'!H225))</f>
        <v>24970</v>
      </c>
      <c r="I129" s="142">
        <f>IF(AND('A-5'!I129="-",'A-5'!I177="-",'A-5'!I225="-"),"-",SUM('A-5'!I129,'A-5'!I177,'A-5'!I225))</f>
        <v>8717</v>
      </c>
      <c r="J129" s="142">
        <f>IF(AND('A-5'!J129="-",'A-5'!J177="-",'A-5'!J225="-"),"-",SUM('A-5'!J129,'A-5'!J177,'A-5'!J225))</f>
        <v>2818</v>
      </c>
      <c r="K129" s="142">
        <f>IF(AND('A-5'!K129="-",'A-5'!K177="-",'A-5'!K225="-"),"-",SUM('A-5'!K129,'A-5'!K177,'A-5'!K225))</f>
        <v>338</v>
      </c>
      <c r="L129" s="142">
        <f>IF(AND('A-5'!L129="-",'A-5'!L177="-",'A-5'!L225="-"),"-",SUM('A-5'!L129,'A-5'!L177,'A-5'!L225))</f>
        <v>198270</v>
      </c>
      <c r="N129" s="142" t="str">
        <f>IF(OR(ISNUMBER('A-5'!N177),ISNUMBER('A-5'!N129),ISNUMBER('A-5'!N225)),SUM('A-5'!N177,'A-5'!N129,'A-5'!N225),IF(OR('A-5'!N177="--",'A-5'!N129="--",'A-5'!N225="--"),"--","-"))</f>
        <v>-</v>
      </c>
      <c r="O129" s="142" t="str">
        <f>IF(OR(ISNUMBER('A-5'!O177),ISNUMBER('A-5'!O129),ISNUMBER('A-5'!O225)),SUM('A-5'!O177,'A-5'!O129,'A-5'!O225),IF(OR('A-5'!O177="--",'A-5'!O129="--",'A-5'!O225="--"),"--","-"))</f>
        <v>-</v>
      </c>
      <c r="P129" s="142" t="str">
        <f>IF(OR(ISNUMBER('A-5'!P177),ISNUMBER('A-5'!P129),ISNUMBER('A-5'!P225)),SUM('A-5'!P177,'A-5'!P129,'A-5'!P225),IF(OR('A-5'!P177="--",'A-5'!P129="--",'A-5'!P225="--"),"--","-"))</f>
        <v>-</v>
      </c>
      <c r="Q129" s="142">
        <f>IF(OR(ISNUMBER('A-5'!Q177),ISNUMBER('A-5'!Q129),ISNUMBER('A-5'!Q225)),SUM('A-5'!Q177,'A-5'!Q129,'A-5'!Q225),IF(OR('A-5'!Q177="--",'A-5'!Q129="--",'A-5'!Q225="--"),"--","-"))</f>
        <v>41</v>
      </c>
      <c r="R129" s="142">
        <f>IF(OR(ISNUMBER('A-5'!R177),ISNUMBER('A-5'!R129),ISNUMBER('A-5'!R225)),SUM('A-5'!R177,'A-5'!R129,'A-5'!R225),IF(OR('A-5'!R177="--",'A-5'!R129="--",'A-5'!R225="--"),"--","-"))</f>
        <v>113</v>
      </c>
      <c r="S129" s="142">
        <f>IF(OR(ISNUMBER('A-5'!S177),ISNUMBER('A-5'!S129),ISNUMBER('A-5'!S225)),SUM('A-5'!S177,'A-5'!S129,'A-5'!S225),IF(OR('A-5'!S177="--",'A-5'!S129="--",'A-5'!S225="--"),"--","-"))</f>
        <v>475</v>
      </c>
      <c r="T129" s="142">
        <f>IF(OR(ISNUMBER('A-5'!T177),ISNUMBER('A-5'!T129),ISNUMBER('A-5'!T225)),SUM('A-5'!T177,'A-5'!T129,'A-5'!T225),IF(OR('A-5'!T177="--",'A-5'!T129="--",'A-5'!T225="--"),"--","-"))</f>
        <v>201</v>
      </c>
      <c r="U129" s="142">
        <f>IF(OR(ISNUMBER('A-5'!U177),ISNUMBER('A-5'!U129),ISNUMBER('A-5'!U225)),SUM('A-5'!U177,'A-5'!U129,'A-5'!U225),IF(OR('A-5'!U177="--",'A-5'!U129="--",'A-5'!U225="--"),"--","-"))</f>
        <v>34</v>
      </c>
      <c r="V129" s="142" t="str">
        <f>IF(OR(ISNUMBER('A-5'!V177),ISNUMBER('A-5'!V129),ISNUMBER('A-5'!V225)),SUM('A-5'!V177,'A-5'!V129,'A-5'!V225),IF(OR('A-5'!V177="--",'A-5'!V129="--",'A-5'!V225="--"),"--","-"))</f>
        <v>-</v>
      </c>
      <c r="W129" s="142" t="str">
        <f>IF(OR(ISNUMBER('A-5'!W177),ISNUMBER('A-5'!W129),ISNUMBER('A-5'!W225)),SUM('A-5'!W177,'A-5'!W129,'A-5'!W225),IF(OR('A-5'!W177="--",'A-5'!W129="--",'A-5'!W225="--"),"--","-"))</f>
        <v>-</v>
      </c>
      <c r="X129" s="142">
        <f>IF(AND('A-5'!X129="-",'A-5'!X177="-",'A-5'!X225="-"),"-",SUM('A-5'!X129,'A-5'!X177,'A-5'!X225))</f>
        <v>864</v>
      </c>
    </row>
    <row r="130" spans="1:25" ht="11.25" customHeight="1">
      <c r="A130" s="99">
        <v>2005</v>
      </c>
      <c r="B130" s="142">
        <f>IF(AND('A-5'!B130="-",'A-5'!B178="-",'A-5'!B226="-"),"-",SUM('A-5'!B130,'A-5'!B178,'A-5'!B226))</f>
        <v>285</v>
      </c>
      <c r="C130" s="142">
        <f>IF(AND('A-5'!C130="-",'A-5'!C178="-",'A-5'!C226="-"),"-",SUM('A-5'!C130,'A-5'!C178,'A-5'!C226))</f>
        <v>111</v>
      </c>
      <c r="D130" s="142">
        <f>IF(AND('A-5'!D130="-",'A-5'!D178="-",'A-5'!D226="-"),"-",SUM('A-5'!D130,'A-5'!D178,'A-5'!D226))</f>
        <v>14255</v>
      </c>
      <c r="E130" s="142">
        <f>IF(AND('A-5'!E130="-",'A-5'!E178="-",'A-5'!E226="-"),"-",SUM('A-5'!E130,'A-5'!E178,'A-5'!E226))</f>
        <v>14272</v>
      </c>
      <c r="F130" s="142">
        <f>IF(AND('A-5'!F130="-",'A-5'!F178="-",'A-5'!F226="-"),"-",SUM('A-5'!F130,'A-5'!F178,'A-5'!F226))</f>
        <v>31351</v>
      </c>
      <c r="G130" s="142">
        <f>IF(AND('A-5'!G130="-",'A-5'!G178="-",'A-5'!G226="-"),"-",SUM('A-5'!G130,'A-5'!G178,'A-5'!G226))</f>
        <v>34094</v>
      </c>
      <c r="H130" s="142">
        <f>IF(AND('A-5'!H130="-",'A-5'!H178="-",'A-5'!H226="-"),"-",SUM('A-5'!H130,'A-5'!H178,'A-5'!H226))</f>
        <v>16015</v>
      </c>
      <c r="I130" s="142">
        <f>IF(AND('A-5'!I130="-",'A-5'!I178="-",'A-5'!I226="-"),"-",SUM('A-5'!I130,'A-5'!I178,'A-5'!I226))</f>
        <v>11020</v>
      </c>
      <c r="J130" s="142">
        <f>IF(AND('A-5'!J130="-",'A-5'!J178="-",'A-5'!J226="-"),"-",SUM('A-5'!J130,'A-5'!J178,'A-5'!J226))</f>
        <v>3955</v>
      </c>
      <c r="K130" s="142">
        <f>IF(AND('A-5'!K130="-",'A-5'!K178="-",'A-5'!K226="-"),"-",SUM('A-5'!K130,'A-5'!K178,'A-5'!K226))</f>
        <v>355</v>
      </c>
      <c r="L130" s="142">
        <f>IF(AND('A-5'!L130="-",'A-5'!L178="-",'A-5'!L226="-"),"-",SUM('A-5'!L130,'A-5'!L178,'A-5'!L226))</f>
        <v>125713</v>
      </c>
      <c r="M130" s="24"/>
      <c r="N130" s="142" t="str">
        <f>IF(OR(ISNUMBER('A-5'!N178),ISNUMBER('A-5'!N130),ISNUMBER('A-5'!N226)),SUM('A-5'!N178,'A-5'!N130,'A-5'!N226),IF(OR('A-5'!N178="--",'A-5'!N130="--",'A-5'!N226="--"),"--","-"))</f>
        <v>-</v>
      </c>
      <c r="O130" s="142" t="str">
        <f>IF(OR(ISNUMBER('A-5'!O178),ISNUMBER('A-5'!O130),ISNUMBER('A-5'!O226)),SUM('A-5'!O178,'A-5'!O130,'A-5'!O226),IF(OR('A-5'!O178="--",'A-5'!O130="--",'A-5'!O226="--"),"--","-"))</f>
        <v>-</v>
      </c>
      <c r="P130" s="142" t="str">
        <f>IF(OR(ISNUMBER('A-5'!P178),ISNUMBER('A-5'!P130),ISNUMBER('A-5'!P226)),SUM('A-5'!P178,'A-5'!P130,'A-5'!P226),IF(OR('A-5'!P178="--",'A-5'!P130="--",'A-5'!P226="--"),"--","-"))</f>
        <v>-</v>
      </c>
      <c r="Q130" s="142">
        <f>IF(OR(ISNUMBER('A-5'!Q178),ISNUMBER('A-5'!Q130),ISNUMBER('A-5'!Q226)),SUM('A-5'!Q178,'A-5'!Q130,'A-5'!Q226),IF(OR('A-5'!Q178="--",'A-5'!Q130="--",'A-5'!Q226="--"),"--","-"))</f>
        <v>35</v>
      </c>
      <c r="R130" s="142">
        <f>IF(OR(ISNUMBER('A-5'!R178),ISNUMBER('A-5'!R130),ISNUMBER('A-5'!R226)),SUM('A-5'!R178,'A-5'!R130,'A-5'!R226),IF(OR('A-5'!R178="--",'A-5'!R130="--",'A-5'!R226="--"),"--","-"))</f>
        <v>242</v>
      </c>
      <c r="S130" s="142">
        <f>IF(OR(ISNUMBER('A-5'!S178),ISNUMBER('A-5'!S130),ISNUMBER('A-5'!S226)),SUM('A-5'!S178,'A-5'!S130,'A-5'!S226),IF(OR('A-5'!S178="--",'A-5'!S130="--",'A-5'!S226="--"),"--","-"))</f>
        <v>243</v>
      </c>
      <c r="T130" s="142">
        <f>IF(OR(ISNUMBER('A-5'!T178),ISNUMBER('A-5'!T130),ISNUMBER('A-5'!T226)),SUM('A-5'!T178,'A-5'!T130,'A-5'!T226),IF(OR('A-5'!T178="--",'A-5'!T130="--",'A-5'!T226="--"),"--","-"))</f>
        <v>28</v>
      </c>
      <c r="U130" s="142" t="str">
        <f>IF(OR(ISNUMBER('A-5'!U178),ISNUMBER('A-5'!U130),ISNUMBER('A-5'!U226)),SUM('A-5'!U178,'A-5'!U130,'A-5'!U226),IF(OR('A-5'!U178="--",'A-5'!U130="--",'A-5'!U226="--"),"--","-"))</f>
        <v>-</v>
      </c>
      <c r="V130" s="142" t="str">
        <f>IF(OR(ISNUMBER('A-5'!V178),ISNUMBER('A-5'!V130),ISNUMBER('A-5'!V226)),SUM('A-5'!V178,'A-5'!V130,'A-5'!V226),IF(OR('A-5'!V178="--",'A-5'!V130="--",'A-5'!V226="--"),"--","-"))</f>
        <v>-</v>
      </c>
      <c r="W130" s="142" t="str">
        <f>IF(OR(ISNUMBER('A-5'!W178),ISNUMBER('A-5'!W130),ISNUMBER('A-5'!W226)),SUM('A-5'!W178,'A-5'!W130,'A-5'!W226),IF(OR('A-5'!W178="--",'A-5'!W130="--",'A-5'!W226="--"),"--","-"))</f>
        <v>-</v>
      </c>
      <c r="X130" s="142">
        <f>IF(AND('A-5'!X130="-",'A-5'!X178="-",'A-5'!X226="-"),"-",SUM('A-5'!X130,'A-5'!X178,'A-5'!X226))</f>
        <v>548</v>
      </c>
    </row>
    <row r="131" spans="1:25" ht="11.25" customHeight="1">
      <c r="A131" s="99">
        <v>2006</v>
      </c>
      <c r="B131" s="142">
        <f>IF(AND('A-5'!B131="-",'A-5'!B179="-",'A-5'!B227="-"),"-",SUM('A-5'!B131,'A-5'!B179,'A-5'!B227))</f>
        <v>55</v>
      </c>
      <c r="C131" s="142">
        <f>IF(AND('A-5'!C131="-",'A-5'!C179="-",'A-5'!C227="-"),"-",SUM('A-5'!C131,'A-5'!C179,'A-5'!C227))</f>
        <v>109</v>
      </c>
      <c r="D131" s="142">
        <f>IF(AND('A-5'!D131="-",'A-5'!D179="-",'A-5'!D227="-"),"-",SUM('A-5'!D131,'A-5'!D179,'A-5'!D227))</f>
        <v>9408</v>
      </c>
      <c r="E131" s="142">
        <f>IF(AND('A-5'!E131="-",'A-5'!E179="-",'A-5'!E227="-"),"-",SUM('A-5'!E131,'A-5'!E179,'A-5'!E227))</f>
        <v>14233</v>
      </c>
      <c r="F131" s="142">
        <f>IF(AND('A-5'!F131="-",'A-5'!F179="-",'A-5'!F227="-"),"-",SUM('A-5'!F131,'A-5'!F179,'A-5'!F227))</f>
        <v>24099</v>
      </c>
      <c r="G131" s="142">
        <f>IF(AND('A-5'!G131="-",'A-5'!G179="-",'A-5'!G227="-"),"-",SUM('A-5'!G131,'A-5'!G179,'A-5'!G227))</f>
        <v>26657</v>
      </c>
      <c r="H131" s="142">
        <f>IF(AND('A-5'!H131="-",'A-5'!H179="-",'A-5'!H227="-"),"-",SUM('A-5'!H131,'A-5'!H179,'A-5'!H227))</f>
        <v>4023</v>
      </c>
      <c r="I131" s="142">
        <f>IF(AND('A-5'!I131="-",'A-5'!I179="-",'A-5'!I227="-"),"-",SUM('A-5'!I131,'A-5'!I179,'A-5'!I227))</f>
        <v>982</v>
      </c>
      <c r="J131" s="142">
        <f>IF(AND('A-5'!J131="-",'A-5'!J179="-",'A-5'!J227="-"),"-",SUM('A-5'!J131,'A-5'!J179,'A-5'!J227))</f>
        <v>256</v>
      </c>
      <c r="K131" s="142">
        <f>IF(AND('A-5'!K131="-",'A-5'!K179="-",'A-5'!K227="-"),"-",SUM('A-5'!K131,'A-5'!K179,'A-5'!K227))</f>
        <v>67</v>
      </c>
      <c r="L131" s="142">
        <f>IF(AND('A-5'!L131="-",'A-5'!L179="-",'A-5'!L227="-"),"-",SUM('A-5'!L131,'A-5'!L179,'A-5'!L227))</f>
        <v>79889</v>
      </c>
      <c r="N131" s="142" t="str">
        <f>IF(OR(ISNUMBER('A-5'!N179),ISNUMBER('A-5'!N131),ISNUMBER('A-5'!N227)),SUM('A-5'!N179,'A-5'!N131,'A-5'!N227),IF(OR('A-5'!N179="--",'A-5'!N131="--",'A-5'!N227="--"),"--","-"))</f>
        <v>-</v>
      </c>
      <c r="O131" s="142" t="str">
        <f>IF(OR(ISNUMBER('A-5'!O179),ISNUMBER('A-5'!O131),ISNUMBER('A-5'!O227)),SUM('A-5'!O179,'A-5'!O131,'A-5'!O227),IF(OR('A-5'!O179="--",'A-5'!O131="--",'A-5'!O227="--"),"--","-"))</f>
        <v>-</v>
      </c>
      <c r="P131" s="142" t="str">
        <f>IF(OR(ISNUMBER('A-5'!P179),ISNUMBER('A-5'!P131),ISNUMBER('A-5'!P227)),SUM('A-5'!P179,'A-5'!P131,'A-5'!P227),IF(OR('A-5'!P179="--",'A-5'!P131="--",'A-5'!P227="--"),"--","-"))</f>
        <v>-</v>
      </c>
      <c r="Q131" s="142">
        <f>IF(OR(ISNUMBER('A-5'!Q179),ISNUMBER('A-5'!Q131),ISNUMBER('A-5'!Q227)),SUM('A-5'!Q179,'A-5'!Q131,'A-5'!Q227),IF(OR('A-5'!Q179="--",'A-5'!Q131="--",'A-5'!Q227="--"),"--","-"))</f>
        <v>108</v>
      </c>
      <c r="R131" s="142">
        <f>IF(OR(ISNUMBER('A-5'!R179),ISNUMBER('A-5'!R131),ISNUMBER('A-5'!R227)),SUM('A-5'!R179,'A-5'!R131,'A-5'!R227),IF(OR('A-5'!R179="--",'A-5'!R131="--",'A-5'!R227="--"),"--","-"))</f>
        <v>640</v>
      </c>
      <c r="S131" s="142">
        <f>IF(OR(ISNUMBER('A-5'!S179),ISNUMBER('A-5'!S131),ISNUMBER('A-5'!S227)),SUM('A-5'!S179,'A-5'!S131,'A-5'!S227),IF(OR('A-5'!S179="--",'A-5'!S131="--",'A-5'!S227="--"),"--","-"))</f>
        <v>588</v>
      </c>
      <c r="T131" s="142">
        <f>IF(OR(ISNUMBER('A-5'!T179),ISNUMBER('A-5'!T131),ISNUMBER('A-5'!T227)),SUM('A-5'!T179,'A-5'!T131,'A-5'!T227),IF(OR('A-5'!T179="--",'A-5'!T131="--",'A-5'!T227="--"),"--","-"))</f>
        <v>49</v>
      </c>
      <c r="U131" s="142" t="str">
        <f>IF(OR(ISNUMBER('A-5'!U179),ISNUMBER('A-5'!U131),ISNUMBER('A-5'!U227)),SUM('A-5'!U179,'A-5'!U131,'A-5'!U227),IF(OR('A-5'!U179="--",'A-5'!U131="--",'A-5'!U227="--"),"--","-"))</f>
        <v>-</v>
      </c>
      <c r="V131" s="142" t="str">
        <f>IF(OR(ISNUMBER('A-5'!V179),ISNUMBER('A-5'!V131),ISNUMBER('A-5'!V227)),SUM('A-5'!V179,'A-5'!V131,'A-5'!V227),IF(OR('A-5'!V179="--",'A-5'!V131="--",'A-5'!V227="--"),"--","-"))</f>
        <v>-</v>
      </c>
      <c r="W131" s="142" t="str">
        <f>IF(OR(ISNUMBER('A-5'!W179),ISNUMBER('A-5'!W131),ISNUMBER('A-5'!W227)),SUM('A-5'!W179,'A-5'!W131,'A-5'!W227),IF(OR('A-5'!W179="--",'A-5'!W131="--",'A-5'!W227="--"),"--","-"))</f>
        <v>-</v>
      </c>
      <c r="X131" s="142">
        <f>IF(AND('A-5'!X131="-",'A-5'!X179="-",'A-5'!X227="-"),"-",SUM('A-5'!X131,'A-5'!X179,'A-5'!X227))</f>
        <v>1385</v>
      </c>
    </row>
    <row r="132" spans="1:25" ht="11.25" customHeight="1">
      <c r="A132" s="99">
        <v>2007</v>
      </c>
      <c r="B132" s="142">
        <f>IF(AND('A-5'!B132="-",'A-5'!B180="-",'A-5'!B228="-"),"-",SUM('A-5'!B132,'A-5'!B180,'A-5'!B228))</f>
        <v>48</v>
      </c>
      <c r="C132" s="142">
        <f>IF(AND('A-5'!C132="-",'A-5'!C180="-",'A-5'!C228="-"),"-",SUM('A-5'!C132,'A-5'!C180,'A-5'!C228))</f>
        <v>200</v>
      </c>
      <c r="D132" s="142">
        <f>IF(AND('A-5'!D132="-",'A-5'!D180="-",'A-5'!D228="-"),"-",SUM('A-5'!D132,'A-5'!D180,'A-5'!D228))</f>
        <v>3152</v>
      </c>
      <c r="E132" s="142">
        <f>IF(AND('A-5'!E132="-",'A-5'!E180="-",'A-5'!E228="-"),"-",SUM('A-5'!E132,'A-5'!E180,'A-5'!E228))</f>
        <v>6405</v>
      </c>
      <c r="F132" s="142">
        <f>IF(AND('A-5'!F132="-",'A-5'!F180="-",'A-5'!F228="-"),"-",SUM('A-5'!F132,'A-5'!F180,'A-5'!F228))</f>
        <v>8613</v>
      </c>
      <c r="G132" s="142">
        <f>IF(AND('A-5'!G132="-",'A-5'!G180="-",'A-5'!G228="-"),"-",SUM('A-5'!G132,'A-5'!G180,'A-5'!G228))</f>
        <v>8080</v>
      </c>
      <c r="H132" s="142">
        <f>IF(AND('A-5'!H132="-",'A-5'!H180="-",'A-5'!H228="-"),"-",SUM('A-5'!H132,'A-5'!H180,'A-5'!H228))</f>
        <v>1154</v>
      </c>
      <c r="I132" s="142">
        <f>IF(AND('A-5'!I132="-",'A-5'!I180="-",'A-5'!I228="-"),"-",SUM('A-5'!I132,'A-5'!I180,'A-5'!I228))</f>
        <v>390</v>
      </c>
      <c r="J132" s="142">
        <f>IF(AND('A-5'!J132="-",'A-5'!J180="-",'A-5'!J228="-"),"-",SUM('A-5'!J132,'A-5'!J180,'A-5'!J228))</f>
        <v>441</v>
      </c>
      <c r="K132" s="142">
        <f>IF(AND('A-5'!K132="-",'A-5'!K180="-",'A-5'!K228="-"),"-",SUM('A-5'!K132,'A-5'!K180,'A-5'!K228))</f>
        <v>325</v>
      </c>
      <c r="L132" s="142">
        <f>IF(AND('A-5'!L132="-",'A-5'!L180="-",'A-5'!L228="-"),"-",SUM('A-5'!L132,'A-5'!L180,'A-5'!L228))</f>
        <v>28808</v>
      </c>
      <c r="M132" s="24"/>
      <c r="N132" s="142" t="str">
        <f>IF(OR(ISNUMBER('A-5'!N180),ISNUMBER('A-5'!N132),ISNUMBER('A-5'!N228)),SUM('A-5'!N180,'A-5'!N132,'A-5'!N228),IF(OR('A-5'!N180="--",'A-5'!N132="--",'A-5'!N228="--"),"--","-"))</f>
        <v>-</v>
      </c>
      <c r="O132" s="142" t="str">
        <f>IF(OR(ISNUMBER('A-5'!O180),ISNUMBER('A-5'!O132),ISNUMBER('A-5'!O228)),SUM('A-5'!O180,'A-5'!O132,'A-5'!O228),IF(OR('A-5'!O180="--",'A-5'!O132="--",'A-5'!O228="--"),"--","-"))</f>
        <v>-</v>
      </c>
      <c r="P132" s="142" t="str">
        <f>IF(OR(ISNUMBER('A-5'!P180),ISNUMBER('A-5'!P132),ISNUMBER('A-5'!P228)),SUM('A-5'!P180,'A-5'!P132,'A-5'!P228),IF(OR('A-5'!P180="--",'A-5'!P132="--",'A-5'!P228="--"),"--","-"))</f>
        <v>-</v>
      </c>
      <c r="Q132" s="142">
        <f>IF(OR(ISNUMBER('A-5'!Q180),ISNUMBER('A-5'!Q132),ISNUMBER('A-5'!Q228)),SUM('A-5'!Q180,'A-5'!Q132,'A-5'!Q228),IF(OR('A-5'!Q180="--",'A-5'!Q132="--",'A-5'!Q228="--"),"--","-"))</f>
        <v>53</v>
      </c>
      <c r="R132" s="142">
        <f>IF(OR(ISNUMBER('A-5'!R180),ISNUMBER('A-5'!R132),ISNUMBER('A-5'!R228)),SUM('A-5'!R180,'A-5'!R132,'A-5'!R228),IF(OR('A-5'!R180="--",'A-5'!R132="--",'A-5'!R228="--"),"--","-"))</f>
        <v>104</v>
      </c>
      <c r="S132" s="142">
        <f>IF(OR(ISNUMBER('A-5'!S180),ISNUMBER('A-5'!S132),ISNUMBER('A-5'!S228)),SUM('A-5'!S180,'A-5'!S132,'A-5'!S228),IF(OR('A-5'!S180="--",'A-5'!S132="--",'A-5'!S228="--"),"--","-"))</f>
        <v>149</v>
      </c>
      <c r="T132" s="142">
        <f>IF(OR(ISNUMBER('A-5'!T180),ISNUMBER('A-5'!T132),ISNUMBER('A-5'!T228)),SUM('A-5'!T180,'A-5'!T132,'A-5'!T228),IF(OR('A-5'!T180="--",'A-5'!T132="--",'A-5'!T228="--"),"--","-"))</f>
        <v>25</v>
      </c>
      <c r="U132" s="142">
        <f>IF(OR(ISNUMBER('A-5'!U180),ISNUMBER('A-5'!U132),ISNUMBER('A-5'!U228)),SUM('A-5'!U180,'A-5'!U132,'A-5'!U228),IF(OR('A-5'!U180="--",'A-5'!U132="--",'A-5'!U228="--"),"--","-"))</f>
        <v>14</v>
      </c>
      <c r="V132" s="142" t="str">
        <f>IF(OR(ISNUMBER('A-5'!V180),ISNUMBER('A-5'!V132),ISNUMBER('A-5'!V228)),SUM('A-5'!V180,'A-5'!V132,'A-5'!V228),IF(OR('A-5'!V180="--",'A-5'!V132="--",'A-5'!V228="--"),"--","-"))</f>
        <v>-</v>
      </c>
      <c r="W132" s="142" t="str">
        <f>IF(OR(ISNUMBER('A-5'!W180),ISNUMBER('A-5'!W132),ISNUMBER('A-5'!W228)),SUM('A-5'!W180,'A-5'!W132,'A-5'!W228),IF(OR('A-5'!W180="--",'A-5'!W132="--",'A-5'!W228="--"),"--","-"))</f>
        <v>-</v>
      </c>
      <c r="X132" s="142">
        <f>IF(AND('A-5'!X132="-",'A-5'!X180="-",'A-5'!X228="-"),"-",SUM('A-5'!X132,'A-5'!X180,'A-5'!X228))</f>
        <v>345</v>
      </c>
      <c r="Y132" s="1" t="b">
        <f>ISNUMBER(X129:X131)</f>
        <v>0</v>
      </c>
    </row>
    <row r="133" spans="1:25" ht="11.25" customHeight="1">
      <c r="A133" s="99">
        <v>2009</v>
      </c>
      <c r="B133" s="142">
        <f>IF(AND('A-5'!B133="-",'A-5'!B181="-",'A-5'!B229="-"),"-",SUM('A-5'!B133,'A-5'!B181,'A-5'!B229))</f>
        <v>0</v>
      </c>
      <c r="C133" s="142">
        <f>IF(AND('A-5'!C133="-",'A-5'!C181="-",'A-5'!C229="-"),"-",SUM('A-5'!C133,'A-5'!C181,'A-5'!C229))</f>
        <v>6</v>
      </c>
      <c r="D133" s="142" t="str">
        <f>IF(AND('A-5'!D133="-",'A-5'!D181="-",'A-5'!D229="-"),"-",SUM('A-5'!D133,'A-5'!D181,'A-5'!D229))</f>
        <v>-</v>
      </c>
      <c r="E133" s="142" t="str">
        <f>IF(AND('A-5'!E133="-",'A-5'!E181="-",'A-5'!E229="-"),"-",SUM('A-5'!E133,'A-5'!E181,'A-5'!E229))</f>
        <v>-</v>
      </c>
      <c r="F133" s="142" t="str">
        <f>IF(AND('A-5'!F133="-",'A-5'!F181="-",'A-5'!F229="-"),"-",SUM('A-5'!F133,'A-5'!F181,'A-5'!F229))</f>
        <v>-</v>
      </c>
      <c r="G133" s="142" t="str">
        <f>IF(AND('A-5'!G133="-",'A-5'!G181="-",'A-5'!G229="-"),"-",SUM('A-5'!G133,'A-5'!G181,'A-5'!G229))</f>
        <v>-</v>
      </c>
      <c r="H133" s="142" t="str">
        <f>IF(AND('A-5'!H133="-",'A-5'!H181="-",'A-5'!H229="-"),"-",SUM('A-5'!H133,'A-5'!H181,'A-5'!H229))</f>
        <v>-</v>
      </c>
      <c r="I133" s="142" t="str">
        <f>IF(AND('A-5'!I133="-",'A-5'!I181="-",'A-5'!I229="-"),"-",SUM('A-5'!I133,'A-5'!I181,'A-5'!I229))</f>
        <v>-</v>
      </c>
      <c r="J133" s="142" t="str">
        <f>IF(AND('A-5'!J133="-",'A-5'!J181="-",'A-5'!J229="-"),"-",SUM('A-5'!J133,'A-5'!J181,'A-5'!J229))</f>
        <v>-</v>
      </c>
      <c r="K133" s="142" t="str">
        <f>IF(AND('A-5'!K133="-",'A-5'!K181="-",'A-5'!K229="-"),"-",SUM('A-5'!K133,'A-5'!K181,'A-5'!K229))</f>
        <v>-</v>
      </c>
      <c r="L133" s="142">
        <f>IF(AND('A-5'!L133="-",'A-5'!L181="-",'A-5'!L229="-"),"-",SUM('A-5'!L133,'A-5'!L181,'A-5'!L229))</f>
        <v>6</v>
      </c>
      <c r="M133" s="24"/>
      <c r="N133" s="142" t="str">
        <f>IF(OR(ISNUMBER('A-5'!N181),ISNUMBER('A-5'!N133),ISNUMBER('A-5'!N229)),SUM('A-5'!N181,'A-5'!N133,'A-5'!N229),IF(OR('A-5'!N181="--",'A-5'!N133="--",'A-5'!N229="--"),"--","-"))</f>
        <v>-</v>
      </c>
      <c r="O133" s="142" t="str">
        <f>IF(OR(ISNUMBER('A-5'!O181),ISNUMBER('A-5'!O133),ISNUMBER('A-5'!O229)),SUM('A-5'!O181,'A-5'!O133,'A-5'!O229),IF(OR('A-5'!O181="--",'A-5'!O133="--",'A-5'!O229="--"),"--","-"))</f>
        <v>-</v>
      </c>
      <c r="P133" s="142" t="str">
        <f>IF(OR(ISNUMBER('A-5'!P181),ISNUMBER('A-5'!P133),ISNUMBER('A-5'!P229)),SUM('A-5'!P181,'A-5'!P133,'A-5'!P229),IF(OR('A-5'!P181="--",'A-5'!P133="--",'A-5'!P229="--"),"--","-"))</f>
        <v>-</v>
      </c>
      <c r="Q133" s="142" t="str">
        <f>IF(OR(ISNUMBER('A-5'!Q181),ISNUMBER('A-5'!Q133),ISNUMBER('A-5'!Q229)),SUM('A-5'!Q181,'A-5'!Q133,'A-5'!Q229),IF(OR('A-5'!Q181="--",'A-5'!Q133="--",'A-5'!Q229="--"),"--","-"))</f>
        <v>-</v>
      </c>
      <c r="R133" s="142" t="str">
        <f>IF(OR(ISNUMBER('A-5'!R181),ISNUMBER('A-5'!R133),ISNUMBER('A-5'!R229)),SUM('A-5'!R181,'A-5'!R133,'A-5'!R229),IF(OR('A-5'!R181="--",'A-5'!R133="--",'A-5'!R229="--"),"--","-"))</f>
        <v>-</v>
      </c>
      <c r="S133" s="142" t="str">
        <f>IF(OR(ISNUMBER('A-5'!S181),ISNUMBER('A-5'!S133),ISNUMBER('A-5'!S229)),SUM('A-5'!S181,'A-5'!S133,'A-5'!S229),IF(OR('A-5'!S181="--",'A-5'!S133="--",'A-5'!S229="--"),"--","-"))</f>
        <v>-</v>
      </c>
      <c r="T133" s="142" t="str">
        <f>IF(OR(ISNUMBER('A-5'!T181),ISNUMBER('A-5'!T133),ISNUMBER('A-5'!T229)),SUM('A-5'!T181,'A-5'!T133,'A-5'!T229),IF(OR('A-5'!T181="--",'A-5'!T133="--",'A-5'!T229="--"),"--","-"))</f>
        <v>-</v>
      </c>
      <c r="U133" s="142" t="str">
        <f>IF(OR(ISNUMBER('A-5'!U181),ISNUMBER('A-5'!U133),ISNUMBER('A-5'!U229)),SUM('A-5'!U181,'A-5'!U133,'A-5'!U229),IF(OR('A-5'!U181="--",'A-5'!U133="--",'A-5'!U229="--"),"--","-"))</f>
        <v>-</v>
      </c>
      <c r="V133" s="142" t="str">
        <f>IF(OR(ISNUMBER('A-5'!V181),ISNUMBER('A-5'!V133),ISNUMBER('A-5'!V229)),SUM('A-5'!V181,'A-5'!V133,'A-5'!V229),IF(OR('A-5'!V181="--",'A-5'!V133="--",'A-5'!V229="--"),"--","-"))</f>
        <v>-</v>
      </c>
      <c r="W133" s="142" t="str">
        <f>IF(OR(ISNUMBER('A-5'!W181),ISNUMBER('A-5'!W133),ISNUMBER('A-5'!W229)),SUM('A-5'!W181,'A-5'!W133,'A-5'!W229),IF(OR('A-5'!W181="--",'A-5'!W133="--",'A-5'!W229="--"),"--","-"))</f>
        <v>-</v>
      </c>
      <c r="X133" s="142" t="str">
        <f>IF(AND('A-5'!X133="-",'A-5'!X181="-",'A-5'!X229="-"),"-",SUM('A-5'!X133,'A-5'!X181,'A-5'!X229))</f>
        <v>-</v>
      </c>
    </row>
    <row r="134" spans="1:25" ht="11.25" customHeight="1">
      <c r="A134" s="99">
        <v>2009</v>
      </c>
      <c r="B134" s="142" t="str">
        <f>IF(AND('A-5'!B134="-",'A-5'!B182="-",'A-5'!B230="-"),"-",SUM('A-5'!B134,'A-5'!B182,'A-5'!B230))</f>
        <v>-</v>
      </c>
      <c r="C134" s="142" t="str">
        <f>IF(AND('A-5'!C134="-",'A-5'!C182="-",'A-5'!C230="-"),"-",SUM('A-5'!C134,'A-5'!C182,'A-5'!C230))</f>
        <v>-</v>
      </c>
      <c r="D134" s="142" t="str">
        <f>IF(AND('A-5'!D134="-",'A-5'!D182="-",'A-5'!D230="-"),"-",SUM('A-5'!D134,'A-5'!D182,'A-5'!D230))</f>
        <v>-</v>
      </c>
      <c r="E134" s="142" t="str">
        <f>IF(AND('A-5'!E134="-",'A-5'!E182="-",'A-5'!E230="-"),"-",SUM('A-5'!E134,'A-5'!E182,'A-5'!E230))</f>
        <v>-</v>
      </c>
      <c r="F134" s="142" t="str">
        <f>IF(AND('A-5'!F134="-",'A-5'!F182="-",'A-5'!F230="-"),"-",SUM('A-5'!F134,'A-5'!F182,'A-5'!F230))</f>
        <v>-</v>
      </c>
      <c r="G134" s="142" t="str">
        <f>IF(AND('A-5'!G134="-",'A-5'!G182="-",'A-5'!G230="-"),"-",SUM('A-5'!G134,'A-5'!G182,'A-5'!G230))</f>
        <v>-</v>
      </c>
      <c r="H134" s="142" t="str">
        <f>IF(AND('A-5'!H134="-",'A-5'!H182="-",'A-5'!H230="-"),"-",SUM('A-5'!H134,'A-5'!H182,'A-5'!H230))</f>
        <v>-</v>
      </c>
      <c r="I134" s="142" t="str">
        <f>IF(AND('A-5'!I134="-",'A-5'!I182="-",'A-5'!I230="-"),"-",SUM('A-5'!I134,'A-5'!I182,'A-5'!I230))</f>
        <v>-</v>
      </c>
      <c r="J134" s="142" t="str">
        <f>IF(AND('A-5'!J134="-",'A-5'!J182="-",'A-5'!J230="-"),"-",SUM('A-5'!J134,'A-5'!J182,'A-5'!J230))</f>
        <v>-</v>
      </c>
      <c r="K134" s="142" t="str">
        <f>IF(AND('A-5'!K134="-",'A-5'!K182="-",'A-5'!K230="-"),"-",SUM('A-5'!K134,'A-5'!K182,'A-5'!K230))</f>
        <v>-</v>
      </c>
      <c r="L134" s="142" t="s">
        <v>23</v>
      </c>
      <c r="M134" s="24"/>
      <c r="N134" s="142" t="str">
        <f>IF(OR(ISNUMBER('A-5'!N182),ISNUMBER('A-5'!N134),ISNUMBER('A-5'!N230)),SUM('A-5'!N182,'A-5'!N134,'A-5'!N230),IF(OR('A-5'!N182="--",'A-5'!N134="--",'A-5'!N230="--"),"--","-"))</f>
        <v>-</v>
      </c>
      <c r="O134" s="142" t="str">
        <f>IF(OR(ISNUMBER('A-5'!O182),ISNUMBER('A-5'!O134),ISNUMBER('A-5'!O230)),SUM('A-5'!O182,'A-5'!O134,'A-5'!O230),IF(OR('A-5'!O182="--",'A-5'!O134="--",'A-5'!O230="--"),"--","-"))</f>
        <v>-</v>
      </c>
      <c r="P134" s="142" t="str">
        <f>IF(OR(ISNUMBER('A-5'!P182),ISNUMBER('A-5'!P134),ISNUMBER('A-5'!P230)),SUM('A-5'!P182,'A-5'!P134,'A-5'!P230),IF(OR('A-5'!P182="--",'A-5'!P134="--",'A-5'!P230="--"),"--","-"))</f>
        <v>-</v>
      </c>
      <c r="Q134" s="142" t="str">
        <f>IF(OR(ISNUMBER('A-5'!Q182),ISNUMBER('A-5'!Q134),ISNUMBER('A-5'!Q230)),SUM('A-5'!Q182,'A-5'!Q134,'A-5'!Q230),IF(OR('A-5'!Q182="--",'A-5'!Q134="--",'A-5'!Q230="--"),"--","-"))</f>
        <v>-</v>
      </c>
      <c r="R134" s="142" t="str">
        <f>IF(OR(ISNUMBER('A-5'!R182),ISNUMBER('A-5'!R134),ISNUMBER('A-5'!R230)),SUM('A-5'!R182,'A-5'!R134,'A-5'!R230),IF(OR('A-5'!R182="--",'A-5'!R134="--",'A-5'!R230="--"),"--","-"))</f>
        <v>-</v>
      </c>
      <c r="S134" s="142" t="str">
        <f>IF(OR(ISNUMBER('A-5'!S182),ISNUMBER('A-5'!S134),ISNUMBER('A-5'!S230)),SUM('A-5'!S182,'A-5'!S134,'A-5'!S230),IF(OR('A-5'!S182="--",'A-5'!S134="--",'A-5'!S230="--"),"--","-"))</f>
        <v>-</v>
      </c>
      <c r="T134" s="142" t="str">
        <f>IF(OR(ISNUMBER('A-5'!T182),ISNUMBER('A-5'!T134),ISNUMBER('A-5'!T230)),SUM('A-5'!T182,'A-5'!T134,'A-5'!T230),IF(OR('A-5'!T182="--",'A-5'!T134="--",'A-5'!T230="--"),"--","-"))</f>
        <v>-</v>
      </c>
      <c r="U134" s="142" t="str">
        <f>IF(OR(ISNUMBER('A-5'!U182),ISNUMBER('A-5'!U134),ISNUMBER('A-5'!U230)),SUM('A-5'!U182,'A-5'!U134,'A-5'!U230),IF(OR('A-5'!U182="--",'A-5'!U134="--",'A-5'!U230="--"),"--","-"))</f>
        <v>-</v>
      </c>
      <c r="V134" s="142" t="str">
        <f>IF(OR(ISNUMBER('A-5'!V182),ISNUMBER('A-5'!V134),ISNUMBER('A-5'!V230)),SUM('A-5'!V182,'A-5'!V134,'A-5'!V230),IF(OR('A-5'!V182="--",'A-5'!V134="--",'A-5'!V230="--"),"--","-"))</f>
        <v>-</v>
      </c>
      <c r="W134" s="142" t="str">
        <f>IF(OR(ISNUMBER('A-5'!W182),ISNUMBER('A-5'!W134),ISNUMBER('A-5'!W230)),SUM('A-5'!W182,'A-5'!W134,'A-5'!W230),IF(OR('A-5'!W182="--",'A-5'!W134="--",'A-5'!W230="--"),"--","-"))</f>
        <v>-</v>
      </c>
      <c r="X134" s="142" t="str">
        <f>IF(AND('A-5'!X134="-",'A-5'!X182="-",'A-5'!X230="-"),"-",SUM('A-5'!X134,'A-5'!X182,'A-5'!X230))</f>
        <v>-</v>
      </c>
    </row>
    <row r="135" spans="1:25" ht="11.25" customHeight="1">
      <c r="A135" s="99">
        <v>2010</v>
      </c>
      <c r="B135" s="142" t="str">
        <f>IF(AND('A-5'!B135="-",'A-5'!B183="-",'A-5'!B231="-"),"-",SUM('A-5'!B135,'A-5'!B183,'A-5'!B231))</f>
        <v>-</v>
      </c>
      <c r="C135" s="142" t="str">
        <f>IF(AND('A-5'!C135="-",'A-5'!C183="-",'A-5'!C231="-"),"-",SUM('A-5'!C135,'A-5'!C183,'A-5'!C231))</f>
        <v>-</v>
      </c>
      <c r="D135" s="142">
        <f>IF(AND('A-5'!D135="-",'A-5'!D183="-",'A-5'!D231="-"),"-",SUM('A-5'!D135,'A-5'!D183,'A-5'!D231))</f>
        <v>5265</v>
      </c>
      <c r="E135" s="142">
        <f>IF(AND('A-5'!E135="-",'A-5'!E183="-",'A-5'!E231="-"),"-",SUM('A-5'!E135,'A-5'!E183,'A-5'!E231))</f>
        <v>2408</v>
      </c>
      <c r="F135" s="142">
        <f>IF(AND('A-5'!F135="-",'A-5'!F183="-",'A-5'!F231="-"),"-",SUM('A-5'!F135,'A-5'!F183,'A-5'!F231))</f>
        <v>630</v>
      </c>
      <c r="G135" s="142">
        <f>IF(AND('A-5'!G135="-",'A-5'!G183="-",'A-5'!G231="-"),"-",SUM('A-5'!G135,'A-5'!G183,'A-5'!G231))</f>
        <v>2568</v>
      </c>
      <c r="H135" s="142">
        <f>IF(AND('A-5'!H135="-",'A-5'!H183="-",'A-5'!H231="-"),"-",SUM('A-5'!H135,'A-5'!H183,'A-5'!H231))</f>
        <v>2823</v>
      </c>
      <c r="I135" s="142">
        <f>IF(AND('A-5'!I135="-",'A-5'!I183="-",'A-5'!I231="-"),"-",SUM('A-5'!I135,'A-5'!I183,'A-5'!I231))</f>
        <v>395</v>
      </c>
      <c r="J135" s="142" t="str">
        <f>IF(AND('A-5'!J135="-",'A-5'!J183="-",'A-5'!J231="-"),"-",SUM('A-5'!J135,'A-5'!J183,'A-5'!J231))</f>
        <v>-</v>
      </c>
      <c r="K135" s="142" t="str">
        <f>IF(AND('A-5'!K135="-",'A-5'!K183="-",'A-5'!K231="-"),"-",SUM('A-5'!K135,'A-5'!K183,'A-5'!K231))</f>
        <v>-</v>
      </c>
      <c r="L135" s="142">
        <f>IF(AND('A-5'!L135="-",'A-5'!L183="-",'A-5'!L231="-"),"-",SUM('A-5'!L135,'A-5'!L183,'A-5'!L231))</f>
        <v>14089</v>
      </c>
      <c r="M135" s="24"/>
      <c r="N135" s="142" t="str">
        <f>IF(OR(ISNUMBER('A-5'!N183),ISNUMBER('A-5'!N135),ISNUMBER('A-5'!N231)),SUM('A-5'!N183,'A-5'!N135,'A-5'!N231),IF(OR('A-5'!N183="--",'A-5'!N135="--",'A-5'!N231="--"),"--","-"))</f>
        <v>-</v>
      </c>
      <c r="O135" s="142" t="str">
        <f>IF(OR(ISNUMBER('A-5'!O183),ISNUMBER('A-5'!O135),ISNUMBER('A-5'!O231)),SUM('A-5'!O183,'A-5'!O135,'A-5'!O231),IF(OR('A-5'!O183="--",'A-5'!O135="--",'A-5'!O231="--"),"--","-"))</f>
        <v>-</v>
      </c>
      <c r="P135" s="142">
        <f>IF(OR(ISNUMBER('A-5'!P183),ISNUMBER('A-5'!P135),ISNUMBER('A-5'!P231)),SUM('A-5'!P183,'A-5'!P135,'A-5'!P231),IF(OR('A-5'!P183="--",'A-5'!P135="--",'A-5'!P231="--"),"--","-"))</f>
        <v>8</v>
      </c>
      <c r="Q135" s="142">
        <f>IF(OR(ISNUMBER('A-5'!Q183),ISNUMBER('A-5'!Q135),ISNUMBER('A-5'!Q231)),SUM('A-5'!Q183,'A-5'!Q135,'A-5'!Q231),IF(OR('A-5'!Q183="--",'A-5'!Q135="--",'A-5'!Q231="--"),"--","-"))</f>
        <v>7</v>
      </c>
      <c r="R135" s="142">
        <f>IF(OR(ISNUMBER('A-5'!R183),ISNUMBER('A-5'!R135),ISNUMBER('A-5'!R231)),SUM('A-5'!R183,'A-5'!R135,'A-5'!R231),IF(OR('A-5'!R183="--",'A-5'!R135="--",'A-5'!R231="--"),"--","-"))</f>
        <v>68</v>
      </c>
      <c r="S135" s="142">
        <f>IF(OR(ISNUMBER('A-5'!S183),ISNUMBER('A-5'!S135),ISNUMBER('A-5'!S231)),SUM('A-5'!S183,'A-5'!S135,'A-5'!S231),IF(OR('A-5'!S183="--",'A-5'!S135="--",'A-5'!S231="--"),"--","-"))</f>
        <v>15</v>
      </c>
      <c r="T135" s="142">
        <f>IF(OR(ISNUMBER('A-5'!T183),ISNUMBER('A-5'!T135),ISNUMBER('A-5'!T231)),SUM('A-5'!T183,'A-5'!T135,'A-5'!T231),IF(OR('A-5'!T183="--",'A-5'!T135="--",'A-5'!T231="--"),"--","-"))</f>
        <v>19</v>
      </c>
      <c r="U135" s="142">
        <f>IF(OR(ISNUMBER('A-5'!U183),ISNUMBER('A-5'!U135),ISNUMBER('A-5'!U231)),SUM('A-5'!U183,'A-5'!U135,'A-5'!U231),IF(OR('A-5'!U183="--",'A-5'!U135="--",'A-5'!U231="--"),"--","-"))</f>
        <v>8</v>
      </c>
      <c r="V135" s="142" t="str">
        <f>IF(OR(ISNUMBER('A-5'!V183),ISNUMBER('A-5'!V135),ISNUMBER('A-5'!V231)),SUM('A-5'!V183,'A-5'!V135,'A-5'!V231),IF(OR('A-5'!V183="--",'A-5'!V135="--",'A-5'!V231="--"),"--","-"))</f>
        <v>-</v>
      </c>
      <c r="W135" s="142" t="str">
        <f>IF(OR(ISNUMBER('A-5'!W183),ISNUMBER('A-5'!W135),ISNUMBER('A-5'!W231)),SUM('A-5'!W183,'A-5'!W135,'A-5'!W231),IF(OR('A-5'!W183="--",'A-5'!W135="--",'A-5'!W231="--"),"--","-"))</f>
        <v>-</v>
      </c>
      <c r="X135" s="142">
        <f>IF(AND('A-5'!X135="-",'A-5'!X183="-",'A-5'!X231="-"),"-",SUM('A-5'!X135,'A-5'!X183,'A-5'!X231))</f>
        <v>125</v>
      </c>
    </row>
    <row r="136" spans="1:25" ht="11.25" customHeight="1">
      <c r="A136" s="99">
        <v>2011</v>
      </c>
      <c r="B136" s="142" t="str">
        <f>IF(AND('A-5'!B136="-",'A-5'!B184="-",'A-5'!B232="-"),"-",SUM('A-5'!B136,'A-5'!B184,'A-5'!B232))</f>
        <v>-</v>
      </c>
      <c r="C136" s="142" t="str">
        <f>IF(AND('A-5'!C136="-",'A-5'!C184="-",'A-5'!C232="-"),"-",SUM('A-5'!C136,'A-5'!C184,'A-5'!C232))</f>
        <v>-</v>
      </c>
      <c r="D136" s="142">
        <f>IF(AND('A-5'!D136="-",'A-5'!D184="-",'A-5'!D232="-"),"-",SUM('A-5'!D136,'A-5'!D184,'A-5'!D232))</f>
        <v>5522</v>
      </c>
      <c r="E136" s="142">
        <f>IF(AND('A-5'!E136="-",'A-5'!E184="-",'A-5'!E232="-"),"-",SUM('A-5'!E136,'A-5'!E184,'A-5'!E232))</f>
        <v>1919</v>
      </c>
      <c r="F136" s="142">
        <f>IF(AND('A-5'!F136="-",'A-5'!F184="-",'A-5'!F232="-"),"-",SUM('A-5'!F136,'A-5'!F184,'A-5'!F232))</f>
        <v>2434</v>
      </c>
      <c r="G136" s="142">
        <f>IF(AND('A-5'!G136="-",'A-5'!G184="-",'A-5'!G232="-"),"-",SUM('A-5'!G136,'A-5'!G184,'A-5'!G232))</f>
        <v>12498</v>
      </c>
      <c r="H136" s="142">
        <f>IF(AND('A-5'!H136="-",'A-5'!H184="-",'A-5'!H232="-"),"-",SUM('A-5'!H136,'A-5'!H184,'A-5'!H232))</f>
        <v>9410</v>
      </c>
      <c r="I136" s="142">
        <f>IF(AND('A-5'!I136="-",'A-5'!I184="-",'A-5'!I232="-"),"-",SUM('A-5'!I136,'A-5'!I184,'A-5'!I232))</f>
        <v>6794</v>
      </c>
      <c r="J136" s="142">
        <f>IF(AND('A-5'!J136="-",'A-5'!J184="-",'A-5'!J232="-"),"-",SUM('A-5'!J136,'A-5'!J184,'A-5'!J232))</f>
        <v>1258</v>
      </c>
      <c r="K136" s="142" t="str">
        <f>IF(AND('A-5'!K136="-",'A-5'!K184="-",'A-5'!K232="-"),"-",SUM('A-5'!K136,'A-5'!K184,'A-5'!K232))</f>
        <v>-</v>
      </c>
      <c r="L136" s="142">
        <f>IF(AND('A-5'!L136="-",'A-5'!L184="-",'A-5'!L232="-"),"-",SUM('A-5'!L136,'A-5'!L184,'A-5'!L232))</f>
        <v>39835</v>
      </c>
      <c r="M136" s="24"/>
      <c r="N136" s="142" t="str">
        <f>IF(OR(ISNUMBER('A-5'!N184),ISNUMBER('A-5'!N136),ISNUMBER('A-5'!N232)),SUM('A-5'!N184,'A-5'!N136,'A-5'!N232),IF(OR('A-5'!N184="--",'A-5'!N136="--",'A-5'!N232="--"),"--","-"))</f>
        <v>-</v>
      </c>
      <c r="O136" s="142" t="str">
        <f>IF(OR(ISNUMBER('A-5'!O184),ISNUMBER('A-5'!O136),ISNUMBER('A-5'!O232)),SUM('A-5'!O184,'A-5'!O136,'A-5'!O232),IF(OR('A-5'!O184="--",'A-5'!O136="--",'A-5'!O232="--"),"--","-"))</f>
        <v>-</v>
      </c>
      <c r="P136" s="142">
        <f>IF(OR(ISNUMBER('A-5'!P184),ISNUMBER('A-5'!P136),ISNUMBER('A-5'!P232)),SUM('A-5'!P184,'A-5'!P136,'A-5'!P232),IF(OR('A-5'!P184="--",'A-5'!P136="--",'A-5'!P232="--"),"--","-"))</f>
        <v>8</v>
      </c>
      <c r="Q136" s="142">
        <f>IF(OR(ISNUMBER('A-5'!Q184),ISNUMBER('A-5'!Q136),ISNUMBER('A-5'!Q232)),SUM('A-5'!Q184,'A-5'!Q136,'A-5'!Q232),IF(OR('A-5'!Q184="--",'A-5'!Q136="--",'A-5'!Q232="--"),"--","-"))</f>
        <v>10</v>
      </c>
      <c r="R136" s="142">
        <f>IF(OR(ISNUMBER('A-5'!R184),ISNUMBER('A-5'!R136),ISNUMBER('A-5'!R232)),SUM('A-5'!R184,'A-5'!R136,'A-5'!R232),IF(OR('A-5'!R184="--",'A-5'!R136="--",'A-5'!R232="--"),"--","-"))</f>
        <v>62</v>
      </c>
      <c r="S136" s="142">
        <f>IF(OR(ISNUMBER('A-5'!S184),ISNUMBER('A-5'!S136),ISNUMBER('A-5'!S232)),SUM('A-5'!S184,'A-5'!S136,'A-5'!S232),IF(OR('A-5'!S184="--",'A-5'!S136="--",'A-5'!S232="--"),"--","-"))</f>
        <v>116</v>
      </c>
      <c r="T136" s="142">
        <f>IF(OR(ISNUMBER('A-5'!T184),ISNUMBER('A-5'!T136),ISNUMBER('A-5'!T232)),SUM('A-5'!T184,'A-5'!T136,'A-5'!T232),IF(OR('A-5'!T184="--",'A-5'!T136="--",'A-5'!T232="--"),"--","-"))</f>
        <v>17</v>
      </c>
      <c r="U136" s="142" t="str">
        <f>IF(OR(ISNUMBER('A-5'!U184),ISNUMBER('A-5'!U136),ISNUMBER('A-5'!U232)),SUM('A-5'!U184,'A-5'!U136,'A-5'!U232),IF(OR('A-5'!U184="--",'A-5'!U136="--",'A-5'!U232="--"),"--","-"))</f>
        <v>-</v>
      </c>
      <c r="V136" s="142">
        <f>IF(OR(ISNUMBER('A-5'!V184),ISNUMBER('A-5'!V136),ISNUMBER('A-5'!V232)),SUM('A-5'!V184,'A-5'!V136,'A-5'!V232),IF(OR('A-5'!V184="--",'A-5'!V136="--",'A-5'!V232="--"),"--","-"))</f>
        <v>5</v>
      </c>
      <c r="W136" s="142" t="str">
        <f>IF(OR(ISNUMBER('A-5'!W184),ISNUMBER('A-5'!W136),ISNUMBER('A-5'!W232)),SUM('A-5'!W184,'A-5'!W136,'A-5'!W232),IF(OR('A-5'!W184="--",'A-5'!W136="--",'A-5'!W232="--"),"--","-"))</f>
        <v>-</v>
      </c>
      <c r="X136" s="142">
        <f>IF(AND('A-5'!X136="-",'A-5'!X184="-",'A-5'!X232="-"),"-",SUM('A-5'!X136,'A-5'!X184,'A-5'!X232))</f>
        <v>218</v>
      </c>
    </row>
    <row r="137" spans="1:25" ht="11.25" customHeight="1">
      <c r="A137" s="99">
        <v>2012</v>
      </c>
      <c r="B137" s="142" t="str">
        <f>IF(AND('A-5'!B137="-",'A-5'!B185="-",'A-5'!B233="-"),"-",SUM('A-5'!B137,'A-5'!B185,'A-5'!B233))</f>
        <v>-</v>
      </c>
      <c r="C137" s="142" t="str">
        <f>IF(AND('A-5'!C137="-",'A-5'!C185="-",'A-5'!C233="-"),"-",SUM('A-5'!C137,'A-5'!C185,'A-5'!C233))</f>
        <v>-</v>
      </c>
      <c r="D137" s="142">
        <f>IF(AND('A-5'!D137="-",'A-5'!D185="-",'A-5'!D233="-"),"-",SUM('A-5'!D137,'A-5'!D185,'A-5'!D233))</f>
        <v>18786</v>
      </c>
      <c r="E137" s="142">
        <f>IF(AND('A-5'!E137="-",'A-5'!E185="-",'A-5'!E233="-"),"-",SUM('A-5'!E137,'A-5'!E185,'A-5'!E233))</f>
        <v>11146</v>
      </c>
      <c r="F137" s="142">
        <f>IF(AND('A-5'!F137="-",'A-5'!F185="-",'A-5'!F233="-"),"-",SUM('A-5'!F137,'A-5'!F185,'A-5'!F233))</f>
        <v>17027</v>
      </c>
      <c r="G137" s="142">
        <f>IF(AND('A-5'!G137="-",'A-5'!G185="-",'A-5'!G233="-"),"-",SUM('A-5'!G137,'A-5'!G185,'A-5'!G233))</f>
        <v>23897</v>
      </c>
      <c r="H137" s="142">
        <f>IF(AND('A-5'!H137="-",'A-5'!H185="-",'A-5'!H233="-"),"-",SUM('A-5'!H137,'A-5'!H185,'A-5'!H233))</f>
        <v>6987</v>
      </c>
      <c r="I137" s="142">
        <f>IF(AND('A-5'!I137="-",'A-5'!I185="-",'A-5'!I233="-"),"-",SUM('A-5'!I137,'A-5'!I185,'A-5'!I233))</f>
        <v>4385</v>
      </c>
      <c r="J137" s="142">
        <f>IF(AND('A-5'!J137="-",'A-5'!J185="-",'A-5'!J233="-"),"-",SUM('A-5'!J137,'A-5'!J185,'A-5'!J233))</f>
        <v>2094</v>
      </c>
      <c r="K137" s="142">
        <f>IF(AND('A-5'!K137="-",'A-5'!K185="-",'A-5'!K233="-"),"-",SUM('A-5'!K137,'A-5'!K185,'A-5'!K233))</f>
        <v>160</v>
      </c>
      <c r="L137" s="142">
        <f>IF(AND('A-5'!L137="-",'A-5'!L185="-",'A-5'!L233="-"),"-",SUM('A-5'!L137,'A-5'!L185,'A-5'!L233))</f>
        <v>84482</v>
      </c>
      <c r="M137" s="24"/>
      <c r="N137" s="142" t="str">
        <f>IF(OR(ISNUMBER('A-5'!N185),ISNUMBER('A-5'!N137),ISNUMBER('A-5'!N233)),SUM('A-5'!N185,'A-5'!N137,'A-5'!N233),IF(OR('A-5'!N185="--",'A-5'!N137="--",'A-5'!N233="--"),"--","-"))</f>
        <v>-</v>
      </c>
      <c r="O137" s="142" t="str">
        <f>IF(OR(ISNUMBER('A-5'!O185),ISNUMBER('A-5'!O137),ISNUMBER('A-5'!O233)),SUM('A-5'!O185,'A-5'!O137,'A-5'!O233),IF(OR('A-5'!O185="--",'A-5'!O137="--",'A-5'!O233="--"),"--","-"))</f>
        <v>-</v>
      </c>
      <c r="P137" s="142" t="str">
        <f>IF(OR(ISNUMBER('A-5'!P185),ISNUMBER('A-5'!P137),ISNUMBER('A-5'!P233)),SUM('A-5'!P185,'A-5'!P137,'A-5'!P233),IF(OR('A-5'!P185="--",'A-5'!P137="--",'A-5'!P233="--"),"--","-"))</f>
        <v>-</v>
      </c>
      <c r="Q137" s="142">
        <f>IF(OR(ISNUMBER('A-5'!Q185),ISNUMBER('A-5'!Q137),ISNUMBER('A-5'!Q233)),SUM('A-5'!Q185,'A-5'!Q137,'A-5'!Q233),IF(OR('A-5'!Q185="--",'A-5'!Q137="--",'A-5'!Q233="--"),"--","-"))</f>
        <v>3</v>
      </c>
      <c r="R137" s="142">
        <f>IF(OR(ISNUMBER('A-5'!R185),ISNUMBER('A-5'!R137),ISNUMBER('A-5'!R233)),SUM('A-5'!R185,'A-5'!R137,'A-5'!R233),IF(OR('A-5'!R185="--",'A-5'!R137="--",'A-5'!R233="--"),"--","-"))</f>
        <v>14</v>
      </c>
      <c r="S137" s="142">
        <f>IF(OR(ISNUMBER('A-5'!S185),ISNUMBER('A-5'!S137),ISNUMBER('A-5'!S233)),SUM('A-5'!S185,'A-5'!S137,'A-5'!S233),IF(OR('A-5'!S185="--",'A-5'!S137="--",'A-5'!S233="--"),"--","-"))</f>
        <v>14</v>
      </c>
      <c r="T137" s="142" t="str">
        <f>IF(OR(ISNUMBER('A-5'!T185),ISNUMBER('A-5'!T137),ISNUMBER('A-5'!T233)),SUM('A-5'!T185,'A-5'!T137,'A-5'!T233),IF(OR('A-5'!T185="--",'A-5'!T137="--",'A-5'!T233="--"),"--","-"))</f>
        <v>-</v>
      </c>
      <c r="U137" s="142">
        <f>IF(OR(ISNUMBER('A-5'!U185),ISNUMBER('A-5'!U137),ISNUMBER('A-5'!U233)),SUM('A-5'!U185,'A-5'!U137,'A-5'!U233),IF(OR('A-5'!U185="--",'A-5'!U137="--",'A-5'!U233="--"),"--","-"))</f>
        <v>3</v>
      </c>
      <c r="V137" s="142" t="str">
        <f>IF(OR(ISNUMBER('A-5'!V185),ISNUMBER('A-5'!V137),ISNUMBER('A-5'!V233)),SUM('A-5'!V185,'A-5'!V137,'A-5'!V233),IF(OR('A-5'!V185="--",'A-5'!V137="--",'A-5'!V233="--"),"--","-"))</f>
        <v>-</v>
      </c>
      <c r="W137" s="142" t="str">
        <f>IF(OR(ISNUMBER('A-5'!W185),ISNUMBER('A-5'!W137),ISNUMBER('A-5'!W233)),SUM('A-5'!W185,'A-5'!W137,'A-5'!W233),IF(OR('A-5'!W185="--",'A-5'!W137="--",'A-5'!W233="--"),"--","-"))</f>
        <v>-</v>
      </c>
      <c r="X137" s="142">
        <f>IF(AND('A-5'!X137="-",'A-5'!X185="-",'A-5'!X233="-"),"-",SUM('A-5'!X137,'A-5'!X185,'A-5'!X233))</f>
        <v>34</v>
      </c>
    </row>
    <row r="138" spans="1:25" ht="11.25" customHeight="1">
      <c r="A138" s="99">
        <v>2013</v>
      </c>
      <c r="B138" s="142" t="str">
        <f>IF(AND('A-5'!B138="-",'A-5'!B186="-",'A-5'!B234="-"),"-",SUM('A-5'!B138,'A-5'!B186,'A-5'!B234))</f>
        <v>-</v>
      </c>
      <c r="C138" s="142" t="str">
        <f>IF(AND('A-5'!C138="-",'A-5'!C186="-",'A-5'!C234="-"),"-",SUM('A-5'!C138,'A-5'!C186,'A-5'!C234))</f>
        <v>-</v>
      </c>
      <c r="D138" s="142">
        <f>IF(AND('A-5'!D138="-",'A-5'!D186="-",'A-5'!D234="-"),"-",SUM('A-5'!D138,'A-5'!D186,'A-5'!D234))</f>
        <v>13656</v>
      </c>
      <c r="E138" s="142">
        <f>IF(AND('A-5'!E138="-",'A-5'!E186="-",'A-5'!E234="-"),"-",SUM('A-5'!E138,'A-5'!E186,'A-5'!E234))</f>
        <v>11337</v>
      </c>
      <c r="F138" s="142">
        <f>IF(AND('A-5'!F138="-",'A-5'!F186="-",'A-5'!F234="-"),"-",SUM('A-5'!F138,'A-5'!F186,'A-5'!F234))</f>
        <v>15729</v>
      </c>
      <c r="G138" s="142">
        <f>IF(AND('A-5'!G138="-",'A-5'!G186="-",'A-5'!G234="-"),"-",SUM('A-5'!G138,'A-5'!G186,'A-5'!G234))</f>
        <v>29204</v>
      </c>
      <c r="H138" s="142">
        <f>IF(AND('A-5'!H138="-",'A-5'!H186="-",'A-5'!H234="-"),"-",SUM('A-5'!H138,'A-5'!H186,'A-5'!H234))</f>
        <v>8554</v>
      </c>
      <c r="I138" s="142">
        <f>IF(AND('A-5'!I138="-",'A-5'!I186="-",'A-5'!I234="-"),"-",SUM('A-5'!I138,'A-5'!I186,'A-5'!I234))</f>
        <v>2167</v>
      </c>
      <c r="J138" s="142">
        <f>IF(AND('A-5'!J138="-",'A-5'!J186="-",'A-5'!J234="-"),"-",SUM('A-5'!J138,'A-5'!J186,'A-5'!J234))</f>
        <v>1359</v>
      </c>
      <c r="K138" s="142">
        <f>IF(AND('A-5'!K138="-",'A-5'!K186="-",'A-5'!K234="-"),"-",SUM('A-5'!K138,'A-5'!K186,'A-5'!K234))</f>
        <v>87</v>
      </c>
      <c r="L138" s="142">
        <f>IF(AND('A-5'!L138="-",'A-5'!L186="-",'A-5'!L234="-"),"-",SUM('A-5'!L138,'A-5'!L186,'A-5'!L234))</f>
        <v>82093</v>
      </c>
      <c r="M138" s="24"/>
      <c r="N138" s="142" t="str">
        <f>IF(OR(ISNUMBER('A-5'!N186),ISNUMBER('A-5'!N138),ISNUMBER('A-5'!N234)),SUM('A-5'!N186,'A-5'!N138,'A-5'!N234),IF(OR('A-5'!N186="--",'A-5'!N138="--",'A-5'!N234="--"),"--","-"))</f>
        <v>-</v>
      </c>
      <c r="O138" s="142" t="str">
        <f>IF(OR(ISNUMBER('A-5'!O186),ISNUMBER('A-5'!O138),ISNUMBER('A-5'!O234)),SUM('A-5'!O186,'A-5'!O138,'A-5'!O234),IF(OR('A-5'!O186="--",'A-5'!O138="--",'A-5'!O234="--"),"--","-"))</f>
        <v>-</v>
      </c>
      <c r="P138" s="142" t="str">
        <f>IF(OR(ISNUMBER('A-5'!P186),ISNUMBER('A-5'!P138),ISNUMBER('A-5'!P234)),SUM('A-5'!P186,'A-5'!P138,'A-5'!P234),IF(OR('A-5'!P186="--",'A-5'!P138="--",'A-5'!P234="--"),"--","-"))</f>
        <v>-</v>
      </c>
      <c r="Q138" s="142" t="str">
        <f>IF(OR(ISNUMBER('A-5'!Q186),ISNUMBER('A-5'!Q138),ISNUMBER('A-5'!Q234)),SUM('A-5'!Q186,'A-5'!Q138,'A-5'!Q234),IF(OR('A-5'!Q186="--",'A-5'!Q138="--",'A-5'!Q234="--"),"--","-"))</f>
        <v>-</v>
      </c>
      <c r="R138" s="142">
        <f>IF(OR(ISNUMBER('A-5'!R186),ISNUMBER('A-5'!R138),ISNUMBER('A-5'!R234)),SUM('A-5'!R186,'A-5'!R138,'A-5'!R234),IF(OR('A-5'!R186="--",'A-5'!R138="--",'A-5'!R234="--"),"--","-"))</f>
        <v>34</v>
      </c>
      <c r="S138" s="142">
        <f>IF(OR(ISNUMBER('A-5'!S186),ISNUMBER('A-5'!S138),ISNUMBER('A-5'!S234)),SUM('A-5'!S186,'A-5'!S138,'A-5'!S234),IF(OR('A-5'!S186="--",'A-5'!S138="--",'A-5'!S234="--"),"--","-"))</f>
        <v>86</v>
      </c>
      <c r="T138" s="142">
        <f>IF(OR(ISNUMBER('A-5'!T186),ISNUMBER('A-5'!T138),ISNUMBER('A-5'!T234)),SUM('A-5'!T186,'A-5'!T138,'A-5'!T234),IF(OR('A-5'!T186="--",'A-5'!T138="--",'A-5'!T234="--"),"--","-"))</f>
        <v>4</v>
      </c>
      <c r="U138" s="142" t="str">
        <f>IF(OR(ISNUMBER('A-5'!U186),ISNUMBER('A-5'!U138),ISNUMBER('A-5'!U234)),SUM('A-5'!U186,'A-5'!U138,'A-5'!U234),IF(OR('A-5'!U186="--",'A-5'!U138="--",'A-5'!U234="--"),"--","-"))</f>
        <v>-</v>
      </c>
      <c r="V138" s="142" t="str">
        <f>IF(OR(ISNUMBER('A-5'!V186),ISNUMBER('A-5'!V138),ISNUMBER('A-5'!V234)),SUM('A-5'!V186,'A-5'!V138,'A-5'!V234),IF(OR('A-5'!V186="--",'A-5'!V138="--",'A-5'!V234="--"),"--","-"))</f>
        <v>-</v>
      </c>
      <c r="W138" s="142" t="str">
        <f>IF(OR(ISNUMBER('A-5'!W186),ISNUMBER('A-5'!W138),ISNUMBER('A-5'!W234)),SUM('A-5'!W186,'A-5'!W138,'A-5'!W234),IF(OR('A-5'!W186="--",'A-5'!W138="--",'A-5'!W234="--"),"--","-"))</f>
        <v>-</v>
      </c>
      <c r="X138" s="142">
        <f>IF(AND('A-5'!X138="-",'A-5'!X186="-",'A-5'!X234="-"),"-",SUM('A-5'!X138,'A-5'!X186,'A-5'!X234))</f>
        <v>124</v>
      </c>
    </row>
    <row r="139" spans="1:25" ht="11.25" customHeight="1">
      <c r="A139" s="99">
        <v>2014</v>
      </c>
      <c r="B139" s="142" t="str">
        <f>IF(AND('A-5'!B139="-",'A-5'!B187="-",'A-5'!B235="-"),"-",SUM('A-5'!B139,'A-5'!B187,'A-5'!B235))</f>
        <v>-</v>
      </c>
      <c r="C139" s="142" t="str">
        <f>IF(AND('A-5'!C139="-",'A-5'!C187="-",'A-5'!C235="-"),"-",SUM('A-5'!C139,'A-5'!C187,'A-5'!C235))</f>
        <v>-</v>
      </c>
      <c r="D139" s="142">
        <f>IF(AND('A-5'!D139="-",'A-5'!D187="-",'A-5'!D235="-"),"-",SUM('A-5'!D139,'A-5'!D187,'A-5'!D235))</f>
        <v>13924</v>
      </c>
      <c r="E139" s="142">
        <f>IF(AND('A-5'!E139="-",'A-5'!E187="-",'A-5'!E235="-"),"-",SUM('A-5'!E139,'A-5'!E187,'A-5'!E235))</f>
        <v>3912</v>
      </c>
      <c r="F139" s="142">
        <f>IF(AND('A-5'!F139="-",'A-5'!F187="-",'A-5'!F235="-"),"-",SUM('A-5'!F139,'A-5'!F187,'A-5'!F235))</f>
        <v>2699</v>
      </c>
      <c r="G139" s="142">
        <f>IF(AND('A-5'!G139="-",'A-5'!G187="-",'A-5'!G235="-"),"-",SUM('A-5'!G139,'A-5'!G187,'A-5'!G235))</f>
        <v>15235</v>
      </c>
      <c r="H139" s="142">
        <f>IF(AND('A-5'!H139="-",'A-5'!H187="-",'A-5'!H235="-"),"-",SUM('A-5'!H139,'A-5'!H187,'A-5'!H235))</f>
        <v>13642</v>
      </c>
      <c r="I139" s="142">
        <f>IF(AND('A-5'!I139="-",'A-5'!I187="-",'A-5'!I235="-"),"-",SUM('A-5'!I139,'A-5'!I187,'A-5'!I235))</f>
        <v>6403</v>
      </c>
      <c r="J139" s="142">
        <f>IF(AND('A-5'!J139="-",'A-5'!J187="-",'A-5'!J235="-"),"-",SUM('A-5'!J139,'A-5'!J187,'A-5'!J235))</f>
        <v>3073</v>
      </c>
      <c r="K139" s="142">
        <f>IF(AND('A-5'!K139="-",'A-5'!K187="-",'A-5'!K235="-"),"-",SUM('A-5'!K139,'A-5'!K187,'A-5'!K235))</f>
        <v>125</v>
      </c>
      <c r="L139" s="142">
        <f>IF(AND('A-5'!L139="-",'A-5'!L187="-",'A-5'!L235="-"),"-",SUM('A-5'!L139,'A-5'!L187,'A-5'!L235))</f>
        <v>59013</v>
      </c>
      <c r="M139" s="24"/>
      <c r="N139" s="142" t="str">
        <f>IF(OR(ISNUMBER('A-5'!N187),ISNUMBER('A-5'!N139),ISNUMBER('A-5'!N235)),SUM('A-5'!N187,'A-5'!N139,'A-5'!N235),IF(OR('A-5'!N187="--",'A-5'!N139="--",'A-5'!N235="--"),"--","-"))</f>
        <v>-</v>
      </c>
      <c r="O139" s="142" t="str">
        <f>IF(OR(ISNUMBER('A-5'!O187),ISNUMBER('A-5'!O139),ISNUMBER('A-5'!O235)),SUM('A-5'!O187,'A-5'!O139,'A-5'!O235),IF(OR('A-5'!O187="--",'A-5'!O139="--",'A-5'!O235="--"),"--","-"))</f>
        <v>-</v>
      </c>
      <c r="P139" s="142" t="str">
        <f>IF(OR(ISNUMBER('A-5'!P187),ISNUMBER('A-5'!P139),ISNUMBER('A-5'!P235)),SUM('A-5'!P187,'A-5'!P139,'A-5'!P235),IF(OR('A-5'!P187="--",'A-5'!P139="--",'A-5'!P235="--"),"--","-"))</f>
        <v>-</v>
      </c>
      <c r="Q139" s="142">
        <f>IF(OR(ISNUMBER('A-5'!Q187),ISNUMBER('A-5'!Q139),ISNUMBER('A-5'!Q235)),SUM('A-5'!Q187,'A-5'!Q139,'A-5'!Q235),IF(OR('A-5'!Q187="--",'A-5'!Q139="--",'A-5'!Q235="--"),"--","-"))</f>
        <v>4</v>
      </c>
      <c r="R139" s="142">
        <f>IF(OR(ISNUMBER('A-5'!R187),ISNUMBER('A-5'!R139),ISNUMBER('A-5'!R235)),SUM('A-5'!R187,'A-5'!R139,'A-5'!R235),IF(OR('A-5'!R187="--",'A-5'!R139="--",'A-5'!R235="--"),"--","-"))</f>
        <v>30</v>
      </c>
      <c r="S139" s="142">
        <f>IF(OR(ISNUMBER('A-5'!S187),ISNUMBER('A-5'!S139),ISNUMBER('A-5'!S235)),SUM('A-5'!S187,'A-5'!S139,'A-5'!S235),IF(OR('A-5'!S187="--",'A-5'!S139="--",'A-5'!S235="--"),"--","-"))</f>
        <v>163</v>
      </c>
      <c r="T139" s="142" t="str">
        <f>IF(OR(ISNUMBER('A-5'!T187),ISNUMBER('A-5'!T139),ISNUMBER('A-5'!T235)),SUM('A-5'!T187,'A-5'!T139,'A-5'!T235),IF(OR('A-5'!T187="--",'A-5'!T139="--",'A-5'!T235="--"),"--","-"))</f>
        <v>-</v>
      </c>
      <c r="U139" s="142" t="str">
        <f>IF(OR(ISNUMBER('A-5'!U187),ISNUMBER('A-5'!U139),ISNUMBER('A-5'!U235)),SUM('A-5'!U187,'A-5'!U139,'A-5'!U235),IF(OR('A-5'!U187="--",'A-5'!U139="--",'A-5'!U235="--"),"--","-"))</f>
        <v>-</v>
      </c>
      <c r="V139" s="142" t="str">
        <f>IF(OR(ISNUMBER('A-5'!V187),ISNUMBER('A-5'!V139),ISNUMBER('A-5'!V235)),SUM('A-5'!V187,'A-5'!V139,'A-5'!V235),IF(OR('A-5'!V187="--",'A-5'!V139="--",'A-5'!V235="--"),"--","-"))</f>
        <v>-</v>
      </c>
      <c r="W139" s="142" t="str">
        <f>IF(OR(ISNUMBER('A-5'!W187),ISNUMBER('A-5'!W139),ISNUMBER('A-5'!W235)),SUM('A-5'!W187,'A-5'!W139,'A-5'!W235),IF(OR('A-5'!W187="--",'A-5'!W139="--",'A-5'!W235="--"),"--","-"))</f>
        <v>-</v>
      </c>
      <c r="X139" s="142">
        <f>IF(AND('A-5'!X139="-",'A-5'!X187="-",'A-5'!X235="-"),"-",SUM('A-5'!X139,'A-5'!X187,'A-5'!X235))</f>
        <v>197</v>
      </c>
    </row>
    <row r="140" spans="1:25" ht="11.25" customHeight="1">
      <c r="A140" s="99">
        <v>2015</v>
      </c>
      <c r="B140" s="142" t="str">
        <f>IF(AND('A-5'!B140="-",'A-5'!B188="-",'A-5'!B236="-"),"-",SUM('A-5'!B140,'A-5'!B188,'A-5'!B236))</f>
        <v>-</v>
      </c>
      <c r="C140" s="142" t="str">
        <f>IF(AND('A-5'!C140="-",'A-5'!C188="-",'A-5'!C236="-"),"-",SUM('A-5'!C140,'A-5'!C188,'A-5'!C236))</f>
        <v>-</v>
      </c>
      <c r="D140" s="142">
        <f>IF(AND('A-5'!D140="-",'A-5'!D188="-",'A-5'!D236="-"),"-",SUM('A-5'!D140,'A-5'!D188,'A-5'!D236))</f>
        <v>3024</v>
      </c>
      <c r="E140" s="142">
        <f>IF(AND('A-5'!E140="-",'A-5'!E188="-",'A-5'!E236="-"),"-",SUM('A-5'!E140,'A-5'!E188,'A-5'!E236))</f>
        <v>1893</v>
      </c>
      <c r="F140" s="142">
        <f>IF(AND('A-5'!F140="-",'A-5'!F188="-",'A-5'!F236="-"),"-",SUM('A-5'!F140,'A-5'!F188,'A-5'!F236))</f>
        <v>3154</v>
      </c>
      <c r="G140" s="142">
        <f>IF(AND('A-5'!G140="-",'A-5'!G188="-",'A-5'!G236="-"),"-",SUM('A-5'!G140,'A-5'!G188,'A-5'!G236))</f>
        <v>8510</v>
      </c>
      <c r="H140" s="142">
        <f>IF(AND('A-5'!H140="-",'A-5'!H188="-",'A-5'!H236="-"),"-",SUM('A-5'!H140,'A-5'!H188,'A-5'!H236))</f>
        <v>7435</v>
      </c>
      <c r="I140" s="142">
        <f>IF(AND('A-5'!I140="-",'A-5'!I188="-",'A-5'!I236="-"),"-",SUM('A-5'!I140,'A-5'!I188,'A-5'!I236))</f>
        <v>8197</v>
      </c>
      <c r="J140" s="142">
        <f>IF(AND('A-5'!J140="-",'A-5'!J188="-",'A-5'!J236="-"),"-",SUM('A-5'!J140,'A-5'!J188,'A-5'!J236))</f>
        <v>1577</v>
      </c>
      <c r="K140" s="142">
        <f>IF(AND('A-5'!K140="-",'A-5'!K188="-",'A-5'!K236="-"),"-",SUM('A-5'!K140,'A-5'!K188,'A-5'!K236))</f>
        <v>0</v>
      </c>
      <c r="L140" s="142">
        <f>IF(AND('A-5'!L140="-",'A-5'!L188="-",'A-5'!L236="-"),"-",SUM('A-5'!L140,'A-5'!L188,'A-5'!L236))</f>
        <v>33790</v>
      </c>
      <c r="M140" s="24"/>
      <c r="N140" s="142" t="str">
        <f>IF(OR(ISNUMBER('A-5'!N188),ISNUMBER('A-5'!N140),ISNUMBER('A-5'!N236)),SUM('A-5'!N188,'A-5'!N140,'A-5'!N236),IF(OR('A-5'!N188="--",'A-5'!N140="--",'A-5'!N236="--"),"--","-"))</f>
        <v>-</v>
      </c>
      <c r="O140" s="142" t="str">
        <f>IF(OR(ISNUMBER('A-5'!O188),ISNUMBER('A-5'!O140),ISNUMBER('A-5'!O236)),SUM('A-5'!O188,'A-5'!O140,'A-5'!O236),IF(OR('A-5'!O188="--",'A-5'!O140="--",'A-5'!O236="--"),"--","-"))</f>
        <v>-</v>
      </c>
      <c r="P140" s="142" t="str">
        <f>IF(OR(ISNUMBER('A-5'!P188),ISNUMBER('A-5'!P140),ISNUMBER('A-5'!P236)),SUM('A-5'!P188,'A-5'!P140,'A-5'!P236),IF(OR('A-5'!P188="--",'A-5'!P140="--",'A-5'!P236="--"),"--","-"))</f>
        <v>-</v>
      </c>
      <c r="Q140" s="142">
        <f>IF(OR(ISNUMBER('A-5'!Q188),ISNUMBER('A-5'!Q140),ISNUMBER('A-5'!Q236)),SUM('A-5'!Q188,'A-5'!Q140,'A-5'!Q236),IF(OR('A-5'!Q188="--",'A-5'!Q140="--",'A-5'!Q236="--"),"--","-"))</f>
        <v>5</v>
      </c>
      <c r="R140" s="142">
        <f>IF(OR(ISNUMBER('A-5'!R188),ISNUMBER('A-5'!R140),ISNUMBER('A-5'!R236)),SUM('A-5'!R188,'A-5'!R140,'A-5'!R236),IF(OR('A-5'!R188="--",'A-5'!R140="--",'A-5'!R236="--"),"--","-"))</f>
        <v>4</v>
      </c>
      <c r="S140" s="142">
        <f>IF(OR(ISNUMBER('A-5'!S188),ISNUMBER('A-5'!S140),ISNUMBER('A-5'!S236)),SUM('A-5'!S188,'A-5'!S140,'A-5'!S236),IF(OR('A-5'!S188="--",'A-5'!S140="--",'A-5'!S236="--"),"--","-"))</f>
        <v>15</v>
      </c>
      <c r="T140" s="142">
        <f>IF(OR(ISNUMBER('A-5'!T188),ISNUMBER('A-5'!T140),ISNUMBER('A-5'!T236)),SUM('A-5'!T188,'A-5'!T140,'A-5'!T236),IF(OR('A-5'!T188="--",'A-5'!T140="--",'A-5'!T236="--"),"--","-"))</f>
        <v>5</v>
      </c>
      <c r="U140" s="142" t="str">
        <f>IF(OR(ISNUMBER('A-5'!U188),ISNUMBER('A-5'!U140),ISNUMBER('A-5'!U236)),SUM('A-5'!U188,'A-5'!U140,'A-5'!U236),IF(OR('A-5'!U188="--",'A-5'!U140="--",'A-5'!U236="--"),"--","-"))</f>
        <v>-</v>
      </c>
      <c r="V140" s="142" t="str">
        <f>IF(OR(ISNUMBER('A-5'!V188),ISNUMBER('A-5'!V140),ISNUMBER('A-5'!V236)),SUM('A-5'!V188,'A-5'!V140,'A-5'!V236),IF(OR('A-5'!V188="--",'A-5'!V140="--",'A-5'!V236="--"),"--","-"))</f>
        <v>-</v>
      </c>
      <c r="W140" s="142" t="str">
        <f>IF(OR(ISNUMBER('A-5'!W188),ISNUMBER('A-5'!W140),ISNUMBER('A-5'!W236)),SUM('A-5'!W188,'A-5'!W140,'A-5'!W236),IF(OR('A-5'!W188="--",'A-5'!W140="--",'A-5'!W236="--"),"--","-"))</f>
        <v>-</v>
      </c>
      <c r="X140" s="142">
        <f>IF(AND('A-5'!X140="-",'A-5'!X188="-",'A-5'!X236="-"),"-",SUM('A-5'!X140,'A-5'!X188,'A-5'!X236))</f>
        <v>29</v>
      </c>
    </row>
    <row r="141" spans="1:25" ht="11.25" customHeight="1">
      <c r="A141" s="99">
        <v>2016</v>
      </c>
      <c r="B141" s="142" t="str">
        <f>IF(AND('A-5'!B141="-",'A-5'!B189="-",'A-5'!B237="-"),"-",SUM('A-5'!B141,'A-5'!B189,'A-5'!B237))</f>
        <v>-</v>
      </c>
      <c r="C141" s="142" t="str">
        <f>IF(AND('A-5'!C141="-",'A-5'!C189="-",'A-5'!C237="-"),"-",SUM('A-5'!C141,'A-5'!C189,'A-5'!C237))</f>
        <v>-</v>
      </c>
      <c r="D141" s="142">
        <f>IF(AND('A-5'!D141="-",'A-5'!D189="-",'A-5'!D237="-"),"-",SUM('A-5'!D141,'A-5'!D189,'A-5'!D237))</f>
        <v>2030</v>
      </c>
      <c r="E141" s="142">
        <f>IF(AND('A-5'!E141="-",'A-5'!E189="-",'A-5'!E237="-"),"-",SUM('A-5'!E141,'A-5'!E189,'A-5'!E237))</f>
        <v>4239</v>
      </c>
      <c r="F141" s="142">
        <f>IF(AND('A-5'!F141="-",'A-5'!F189="-",'A-5'!F237="-"),"-",SUM('A-5'!F141,'A-5'!F189,'A-5'!F237))</f>
        <v>1522</v>
      </c>
      <c r="G141" s="142">
        <f>IF(AND('A-5'!G141="-",'A-5'!G189="-",'A-5'!G237="-"),"-",SUM('A-5'!G141,'A-5'!G189,'A-5'!G237))</f>
        <v>11549</v>
      </c>
      <c r="H141" s="142">
        <f>IF(AND('A-5'!H141="-",'A-5'!H189="-",'A-5'!H237="-"),"-",SUM('A-5'!H141,'A-5'!H189,'A-5'!H237))</f>
        <v>7101</v>
      </c>
      <c r="I141" s="142">
        <f>IF(AND('A-5'!I141="-",'A-5'!I189="-",'A-5'!I237="-"),"-",SUM('A-5'!I141,'A-5'!I189,'A-5'!I237))</f>
        <v>5933</v>
      </c>
      <c r="J141" s="142">
        <f>IF(AND('A-5'!J141="-",'A-5'!J189="-",'A-5'!J237="-"),"-",SUM('A-5'!J141,'A-5'!J189,'A-5'!J237))</f>
        <v>638</v>
      </c>
      <c r="K141" s="142">
        <f>IF(AND('A-5'!K141="-",'A-5'!K189="-",'A-5'!K237="-"),"-",SUM('A-5'!K141,'A-5'!K189,'A-5'!K237))</f>
        <v>0</v>
      </c>
      <c r="L141" s="142">
        <f>IF(AND('A-5'!L141="-",'A-5'!L189="-",'A-5'!L237="-"),"-",SUM('A-5'!L141,'A-5'!L189,'A-5'!L237))</f>
        <v>33012</v>
      </c>
      <c r="M141" s="24"/>
      <c r="N141" s="142" t="str">
        <f>IF(OR(ISNUMBER('A-5'!N189),ISNUMBER('A-5'!N141),ISNUMBER('A-5'!N237)),SUM('A-5'!N189,'A-5'!N141,'A-5'!N237),IF(OR('A-5'!N189="--",'A-5'!N141="--",'A-5'!N237="--"),"--","-"))</f>
        <v>-</v>
      </c>
      <c r="O141" s="142" t="str">
        <f>IF(OR(ISNUMBER('A-5'!O189),ISNUMBER('A-5'!O141),ISNUMBER('A-5'!O237)),SUM('A-5'!O189,'A-5'!O141,'A-5'!O237),IF(OR('A-5'!O189="--",'A-5'!O141="--",'A-5'!O237="--"),"--","-"))</f>
        <v>-</v>
      </c>
      <c r="P141" s="142" t="str">
        <f>IF(OR(ISNUMBER('A-5'!P189),ISNUMBER('A-5'!P141),ISNUMBER('A-5'!P237)),SUM('A-5'!P189,'A-5'!P141,'A-5'!P237),IF(OR('A-5'!P189="--",'A-5'!P141="--",'A-5'!P237="--"),"--","-"))</f>
        <v>-</v>
      </c>
      <c r="Q141" s="142" t="str">
        <f>IF(OR(ISNUMBER('A-5'!Q189),ISNUMBER('A-5'!Q141),ISNUMBER('A-5'!Q237)),SUM('A-5'!Q189,'A-5'!Q141,'A-5'!Q237),IF(OR('A-5'!Q189="--",'A-5'!Q141="--",'A-5'!Q237="--"),"--","-"))</f>
        <v>-</v>
      </c>
      <c r="R141" s="142" t="str">
        <f>IF(OR(ISNUMBER('A-5'!R189),ISNUMBER('A-5'!R141),ISNUMBER('A-5'!R237)),SUM('A-5'!R189,'A-5'!R141,'A-5'!R237),IF(OR('A-5'!R189="--",'A-5'!R141="--",'A-5'!R237="--"),"--","-"))</f>
        <v>-</v>
      </c>
      <c r="S141" s="142">
        <f>IF(OR(ISNUMBER('A-5'!S189),ISNUMBER('A-5'!S141),ISNUMBER('A-5'!S237)),SUM('A-5'!S189,'A-5'!S141,'A-5'!S237),IF(OR('A-5'!S189="--",'A-5'!S141="--",'A-5'!S237="--"),"--","-"))</f>
        <v>35</v>
      </c>
      <c r="T141" s="142">
        <f>IF(OR(ISNUMBER('A-5'!T189),ISNUMBER('A-5'!T141),ISNUMBER('A-5'!T237)),SUM('A-5'!T189,'A-5'!T141,'A-5'!T237),IF(OR('A-5'!T189="--",'A-5'!T141="--",'A-5'!T237="--"),"--","-"))</f>
        <v>8</v>
      </c>
      <c r="U141" s="142" t="str">
        <f>IF(OR(ISNUMBER('A-5'!U189),ISNUMBER('A-5'!U141),ISNUMBER('A-5'!U237)),SUM('A-5'!U189,'A-5'!U141,'A-5'!U237),IF(OR('A-5'!U189="--",'A-5'!U141="--",'A-5'!U237="--"),"--","-"))</f>
        <v>-</v>
      </c>
      <c r="V141" s="142" t="str">
        <f>IF(OR(ISNUMBER('A-5'!V189),ISNUMBER('A-5'!V141),ISNUMBER('A-5'!V237)),SUM('A-5'!V189,'A-5'!V141,'A-5'!V237),IF(OR('A-5'!V189="--",'A-5'!V141="--",'A-5'!V237="--"),"--","-"))</f>
        <v>-</v>
      </c>
      <c r="W141" s="142" t="str">
        <f>IF(OR(ISNUMBER('A-5'!W189),ISNUMBER('A-5'!W141),ISNUMBER('A-5'!W237)),SUM('A-5'!W189,'A-5'!W141,'A-5'!W237),IF(OR('A-5'!W189="--",'A-5'!W141="--",'A-5'!W237="--"),"--","-"))</f>
        <v>-</v>
      </c>
      <c r="X141" s="142">
        <f>IF(AND('A-5'!X141="-",'A-5'!X189="-",'A-5'!X237="-"),"-",SUM('A-5'!X141,'A-5'!X189,'A-5'!X237))</f>
        <v>43</v>
      </c>
    </row>
    <row r="142" spans="1:25" ht="11.25" customHeight="1">
      <c r="A142" s="99">
        <v>2017</v>
      </c>
      <c r="B142" s="142" t="str">
        <f>IF(AND('A-5'!B142="-",'A-5'!B190="-",'A-5'!B238="-"),"-",SUM('A-5'!B142,'A-5'!B190,'A-5'!B238))</f>
        <v>-</v>
      </c>
      <c r="C142" s="142" t="str">
        <f>IF(AND('A-5'!C142="-",'A-5'!C190="-",'A-5'!C238="-"),"-",SUM('A-5'!C142,'A-5'!C190,'A-5'!C238))</f>
        <v>-</v>
      </c>
      <c r="D142" s="142">
        <f>IF(AND('A-5'!D142="-",'A-5'!D190="-",'A-5'!D238="-"),"-",SUM('A-5'!D142,'A-5'!D190,'A-5'!D238))</f>
        <v>4298</v>
      </c>
      <c r="E142" s="142">
        <f>IF(AND('A-5'!E142="-",'A-5'!E190="-",'A-5'!E238="-"),"-",SUM('A-5'!E142,'A-5'!E190,'A-5'!E238))</f>
        <v>2305</v>
      </c>
      <c r="F142" s="142">
        <f>IF(AND('A-5'!F142="-",'A-5'!F190="-",'A-5'!F238="-"),"-",SUM('A-5'!F142,'A-5'!F190,'A-5'!F238))</f>
        <v>5433</v>
      </c>
      <c r="G142" s="142">
        <f>IF(AND('A-5'!G142="-",'A-5'!G190="-",'A-5'!G238="-"),"-",SUM('A-5'!G142,'A-5'!G190,'A-5'!G238))</f>
        <v>26241</v>
      </c>
      <c r="H142" s="142">
        <f>IF(AND('A-5'!H142="-",'A-5'!H190="-",'A-5'!H238="-"),"-",SUM('A-5'!H142,'A-5'!H190,'A-5'!H238))</f>
        <v>18809</v>
      </c>
      <c r="I142" s="142">
        <f>IF(AND('A-5'!I142="-",'A-5'!I190="-",'A-5'!I238="-"),"-",SUM('A-5'!I142,'A-5'!I190,'A-5'!I238))</f>
        <v>4260</v>
      </c>
      <c r="J142" s="142">
        <f>IF(AND('A-5'!J142="-",'A-5'!J190="-",'A-5'!J238="-"),"-",SUM('A-5'!J142,'A-5'!J190,'A-5'!J238))</f>
        <v>851</v>
      </c>
      <c r="K142" s="142">
        <f>IF(AND('A-5'!K142="-",'A-5'!K190="-",'A-5'!K238="-"),"-",SUM('A-5'!K142,'A-5'!K190,'A-5'!K238))</f>
        <v>0</v>
      </c>
      <c r="L142" s="142">
        <f>IF(AND('A-5'!L142="-",'A-5'!L190="-",'A-5'!L238="-"),"-",SUM('A-5'!L142,'A-5'!L190,'A-5'!L238))</f>
        <v>62197</v>
      </c>
      <c r="M142" s="24"/>
      <c r="N142" s="142" t="str">
        <f>IF(OR(ISNUMBER('A-5'!N190),ISNUMBER('A-5'!N142),ISNUMBER('A-5'!N238)),SUM('A-5'!N190,'A-5'!N142,'A-5'!N238),IF(OR('A-5'!N190="--",'A-5'!N142="--",'A-5'!N238="--"),"--","-"))</f>
        <v>-</v>
      </c>
      <c r="O142" s="142" t="str">
        <f>IF(OR(ISNUMBER('A-5'!O190),ISNUMBER('A-5'!O142),ISNUMBER('A-5'!O238)),SUM('A-5'!O190,'A-5'!O142,'A-5'!O238),IF(OR('A-5'!O190="--",'A-5'!O142="--",'A-5'!O238="--"),"--","-"))</f>
        <v>-</v>
      </c>
      <c r="P142" s="142" t="str">
        <f>IF(OR(ISNUMBER('A-5'!P190),ISNUMBER('A-5'!P142),ISNUMBER('A-5'!P238)),SUM('A-5'!P190,'A-5'!P142,'A-5'!P238),IF(OR('A-5'!P190="--",'A-5'!P142="--",'A-5'!P238="--"),"--","-"))</f>
        <v>-</v>
      </c>
      <c r="Q142" s="142">
        <f>IF(OR(ISNUMBER('A-5'!Q190),ISNUMBER('A-5'!Q142),ISNUMBER('A-5'!Q238)),SUM('A-5'!Q190,'A-5'!Q142,'A-5'!Q238),IF(OR('A-5'!Q190="--",'A-5'!Q142="--",'A-5'!Q238="--"),"--","-"))</f>
        <v>3</v>
      </c>
      <c r="R142" s="142" t="str">
        <f>IF(OR(ISNUMBER('A-5'!R190),ISNUMBER('A-5'!R142),ISNUMBER('A-5'!R238)),SUM('A-5'!R190,'A-5'!R142,'A-5'!R238),IF(OR('A-5'!R190="--",'A-5'!R142="--",'A-5'!R238="--"),"--","-"))</f>
        <v>-</v>
      </c>
      <c r="S142" s="142">
        <f>IF(OR(ISNUMBER('A-5'!S190),ISNUMBER('A-5'!S142),ISNUMBER('A-5'!S238)),SUM('A-5'!S190,'A-5'!S142,'A-5'!S238),IF(OR('A-5'!S190="--",'A-5'!S142="--",'A-5'!S238="--"),"--","-"))</f>
        <v>418</v>
      </c>
      <c r="T142" s="142">
        <f>IF(OR(ISNUMBER('A-5'!T190),ISNUMBER('A-5'!T142),ISNUMBER('A-5'!T238)),SUM('A-5'!T190,'A-5'!T142,'A-5'!T238),IF(OR('A-5'!T190="--",'A-5'!T142="--",'A-5'!T238="--"),"--","-"))</f>
        <v>44</v>
      </c>
      <c r="U142" s="142" t="str">
        <f>IF(OR(ISNUMBER('A-5'!U190),ISNUMBER('A-5'!U142),ISNUMBER('A-5'!U238)),SUM('A-5'!U190,'A-5'!U142,'A-5'!U238),IF(OR('A-5'!U190="--",'A-5'!U142="--",'A-5'!U238="--"),"--","-"))</f>
        <v>-</v>
      </c>
      <c r="V142" s="142" t="str">
        <f>IF(OR(ISNUMBER('A-5'!V190),ISNUMBER('A-5'!V142),ISNUMBER('A-5'!V238)),SUM('A-5'!V190,'A-5'!V142,'A-5'!V238),IF(OR('A-5'!V190="--",'A-5'!V142="--",'A-5'!V238="--"),"--","-"))</f>
        <v>-</v>
      </c>
      <c r="W142" s="142" t="str">
        <f>IF(OR(ISNUMBER('A-5'!W190),ISNUMBER('A-5'!W142),ISNUMBER('A-5'!W238)),SUM('A-5'!W190,'A-5'!W142,'A-5'!W238),IF(OR('A-5'!W190="--",'A-5'!W142="--",'A-5'!W238="--"),"--","-"))</f>
        <v>-</v>
      </c>
      <c r="X142" s="142">
        <f>IF(AND('A-5'!X142="-",'A-5'!X190="-",'A-5'!X238="-"),"-",SUM('A-5'!X142,'A-5'!X190,'A-5'!X238))</f>
        <v>465</v>
      </c>
    </row>
    <row r="143" spans="1:25" ht="11.25" customHeight="1">
      <c r="A143" s="99">
        <v>2018</v>
      </c>
      <c r="B143" s="142" t="str">
        <f>IF(AND('A-5'!B143="-",'A-5'!B191="-",'A-5'!B239="-"),"-",SUM('A-5'!B143,'A-5'!B191,'A-5'!B239))</f>
        <v>-</v>
      </c>
      <c r="C143" s="142" t="str">
        <f>IF(AND('A-5'!C143="-",'A-5'!C191="-",'A-5'!C239="-"),"-",SUM('A-5'!C143,'A-5'!C191,'A-5'!C239))</f>
        <v>-</v>
      </c>
      <c r="D143" s="142">
        <f>IF(AND('A-5'!D143="-",'A-5'!D191="-",'A-5'!D239="-"),"-",SUM('A-5'!D143,'A-5'!D191,'A-5'!D239))</f>
        <v>3935</v>
      </c>
      <c r="E143" s="142">
        <f>IF(AND('A-5'!E143="-",'A-5'!E191="-",'A-5'!E239="-"),"-",SUM('A-5'!E143,'A-5'!E191,'A-5'!E239))</f>
        <v>476</v>
      </c>
      <c r="F143" s="142">
        <f>IF(AND('A-5'!F143="-",'A-5'!F191="-",'A-5'!F239="-"),"-",SUM('A-5'!F143,'A-5'!F191,'A-5'!F239))</f>
        <v>13058</v>
      </c>
      <c r="G143" s="142">
        <f>IF(AND('A-5'!G143="-",'A-5'!G191="-",'A-5'!G239="-"),"-",SUM('A-5'!G143,'A-5'!G191,'A-5'!G239))</f>
        <v>41588</v>
      </c>
      <c r="H143" s="142">
        <f>IF(AND('A-5'!H143="-",'A-5'!H191="-",'A-5'!H239="-"),"-",SUM('A-5'!H143,'A-5'!H191,'A-5'!H239))</f>
        <v>13563</v>
      </c>
      <c r="I143" s="142">
        <f>IF(AND('A-5'!I143="-",'A-5'!I191="-",'A-5'!I239="-"),"-",SUM('A-5'!I143,'A-5'!I191,'A-5'!I239))</f>
        <v>6784</v>
      </c>
      <c r="J143" s="142">
        <f>IF(AND('A-5'!J143="-",'A-5'!J191="-",'A-5'!J239="-"),"-",SUM('A-5'!J143,'A-5'!J191,'A-5'!J239))</f>
        <v>4172</v>
      </c>
      <c r="K143" s="142" t="str">
        <f>IF(AND('A-5'!K143="-",'A-5'!K191="-",'A-5'!K239="-"),"-",SUM('A-5'!K143,'A-5'!K191,'A-5'!K239))</f>
        <v>-</v>
      </c>
      <c r="L143" s="142">
        <f>IF(AND('A-5'!L143="-",'A-5'!L191="-",'A-5'!L239="-"),"-",SUM('A-5'!L143,'A-5'!L191,'A-5'!L239))</f>
        <v>83576</v>
      </c>
      <c r="N143" s="142" t="str">
        <f>IF(OR(ISNUMBER('A-5'!N191),ISNUMBER('A-5'!N143),ISNUMBER('A-5'!N239)),SUM('A-5'!N191,'A-5'!N143,'A-5'!N239),IF(OR('A-5'!N191="--",'A-5'!N143="--",'A-5'!N239="--"),"--","-"))</f>
        <v>-</v>
      </c>
      <c r="O143" s="142" t="str">
        <f>IF(OR(ISNUMBER('A-5'!O191),ISNUMBER('A-5'!O143),ISNUMBER('A-5'!O239)),SUM('A-5'!O191,'A-5'!O143,'A-5'!O239),IF(OR('A-5'!O191="--",'A-5'!O143="--",'A-5'!O239="--"),"--","-"))</f>
        <v>-</v>
      </c>
      <c r="P143" s="142" t="str">
        <f>IF(OR(ISNUMBER('A-5'!P191),ISNUMBER('A-5'!P143),ISNUMBER('A-5'!P239)),SUM('A-5'!P191,'A-5'!P143,'A-5'!P239),IF(OR('A-5'!P191="--",'A-5'!P143="--",'A-5'!P239="--"),"--","-"))</f>
        <v>-</v>
      </c>
      <c r="Q143" s="142" t="str">
        <f>IF(OR(ISNUMBER('A-5'!Q191),ISNUMBER('A-5'!Q143),ISNUMBER('A-5'!Q239)),SUM('A-5'!Q191,'A-5'!Q143,'A-5'!Q239),IF(OR('A-5'!Q191="--",'A-5'!Q143="--",'A-5'!Q239="--"),"--","-"))</f>
        <v>-</v>
      </c>
      <c r="R143" s="142">
        <f>IF(OR(ISNUMBER('A-5'!R191),ISNUMBER('A-5'!R143),ISNUMBER('A-5'!R239)),SUM('A-5'!R191,'A-5'!R143,'A-5'!R239),IF(OR('A-5'!R191="--",'A-5'!R143="--",'A-5'!R239="--"),"--","-"))</f>
        <v>5</v>
      </c>
      <c r="S143" s="142">
        <f>IF(OR(ISNUMBER('A-5'!S191),ISNUMBER('A-5'!S143),ISNUMBER('A-5'!S239)),SUM('A-5'!S191,'A-5'!S143,'A-5'!S239),IF(OR('A-5'!S191="--",'A-5'!S143="--",'A-5'!S239="--"),"--","-"))</f>
        <v>76</v>
      </c>
      <c r="T143" s="142">
        <f>IF(OR(ISNUMBER('A-5'!T191),ISNUMBER('A-5'!T143),ISNUMBER('A-5'!T239)),SUM('A-5'!T191,'A-5'!T143,'A-5'!T239),IF(OR('A-5'!T191="--",'A-5'!T143="--",'A-5'!T239="--"),"--","-"))</f>
        <v>4</v>
      </c>
      <c r="U143" s="142">
        <f>IF(OR(ISNUMBER('A-5'!U191),ISNUMBER('A-5'!U143),ISNUMBER('A-5'!U239)),SUM('A-5'!U191,'A-5'!U143,'A-5'!U239),IF(OR('A-5'!U191="--",'A-5'!U143="--",'A-5'!U239="--"),"--","-"))</f>
        <v>8</v>
      </c>
      <c r="V143" s="142" t="str">
        <f>IF(OR(ISNUMBER('A-5'!V191),ISNUMBER('A-5'!V143),ISNUMBER('A-5'!V239)),SUM('A-5'!V191,'A-5'!V143,'A-5'!V239),IF(OR('A-5'!V191="--",'A-5'!V143="--",'A-5'!V239="--"),"--","-"))</f>
        <v>-</v>
      </c>
      <c r="W143" s="142" t="str">
        <f>IF(OR(ISNUMBER('A-5'!W191),ISNUMBER('A-5'!W143),ISNUMBER('A-5'!W239)),SUM('A-5'!W191,'A-5'!W143,'A-5'!W239),IF(OR('A-5'!W191="--",'A-5'!W143="--",'A-5'!W239="--"),"--","-"))</f>
        <v>-</v>
      </c>
      <c r="X143" s="142">
        <f>IF(AND('A-5'!X143="-",'A-5'!X191="-",'A-5'!X239="-"),"-",SUM('A-5'!X143,'A-5'!X191,'A-5'!X239))</f>
        <v>93</v>
      </c>
    </row>
    <row r="144" spans="1:25" ht="11.25" customHeight="1">
      <c r="A144" s="99">
        <v>2019</v>
      </c>
      <c r="B144" s="142" t="str">
        <f>IF(AND('A-5'!B144="-",'A-5'!B192="-",'A-5'!B240="-"),"-",SUM('A-5'!B144,'A-5'!B192,'A-5'!B240))</f>
        <v>-</v>
      </c>
      <c r="C144" s="142" t="str">
        <f>IF(AND('A-5'!C144="-",'A-5'!C192="-",'A-5'!C240="-"),"-",SUM('A-5'!C144,'A-5'!C192,'A-5'!C240))</f>
        <v>-</v>
      </c>
      <c r="D144" s="142">
        <f>IF(AND('A-5'!D144="-",'A-5'!D192="-",'A-5'!D240="-"),"-",SUM('A-5'!D144,'A-5'!D192,'A-5'!D240))</f>
        <v>16780</v>
      </c>
      <c r="E144" s="142">
        <f>IF(AND('A-5'!E144="-",'A-5'!E192="-",'A-5'!E240="-"),"-",SUM('A-5'!E144,'A-5'!E192,'A-5'!E240))</f>
        <v>3163</v>
      </c>
      <c r="F144" s="142">
        <f>IF(AND('A-5'!F144="-",'A-5'!F192="-",'A-5'!F240="-"),"-",SUM('A-5'!F144,'A-5'!F192,'A-5'!F240))</f>
        <v>18565</v>
      </c>
      <c r="G144" s="142">
        <f>IF(AND('A-5'!G144="-",'A-5'!G192="-",'A-5'!G240="-"),"-",SUM('A-5'!G144,'A-5'!G192,'A-5'!G240))</f>
        <v>20891</v>
      </c>
      <c r="H144" s="142">
        <f>IF(AND('A-5'!H144="-",'A-5'!H192="-",'A-5'!H240="-"),"-",SUM('A-5'!H144,'A-5'!H192,'A-5'!H240))</f>
        <v>19965</v>
      </c>
      <c r="I144" s="142">
        <f>IF(AND('A-5'!I144="-",'A-5'!I192="-",'A-5'!I240="-"),"-",SUM('A-5'!I144,'A-5'!I192,'A-5'!I240))</f>
        <v>3671</v>
      </c>
      <c r="J144" s="142">
        <f>IF(AND('A-5'!J144="-",'A-5'!J192="-",'A-5'!J240="-"),"-",SUM('A-5'!J144,'A-5'!J192,'A-5'!J240))</f>
        <v>468</v>
      </c>
      <c r="K144" s="142" t="str">
        <f>IF(AND('A-5'!K144="-",'A-5'!K192="-",'A-5'!K240="-"),"-",SUM('A-5'!K144,'A-5'!K192,'A-5'!K240))</f>
        <v>-</v>
      </c>
      <c r="L144" s="142">
        <f>IF(AND('A-5'!L144="-",'A-5'!L192="-",'A-5'!L240="-"),"-",SUM('A-5'!L144,'A-5'!L192,'A-5'!L240))</f>
        <v>83503</v>
      </c>
      <c r="N144" s="142" t="str">
        <f>IF(OR(ISNUMBER('A-5'!N192),ISNUMBER('A-5'!N144),ISNUMBER('A-5'!N240)),SUM('A-5'!N192,'A-5'!N144,'A-5'!N240),IF(OR('A-5'!N192="--",'A-5'!N144="--",'A-5'!N240="--"),"--","-"))</f>
        <v>-</v>
      </c>
      <c r="O144" s="142" t="str">
        <f>IF(OR(ISNUMBER('A-5'!O192),ISNUMBER('A-5'!O144),ISNUMBER('A-5'!O240)),SUM('A-5'!O192,'A-5'!O144,'A-5'!O240),IF(OR('A-5'!O192="--",'A-5'!O144="--",'A-5'!O240="--"),"--","-"))</f>
        <v>-</v>
      </c>
      <c r="P144" s="142" t="str">
        <f>IF(OR(ISNUMBER('A-5'!P192),ISNUMBER('A-5'!P144),ISNUMBER('A-5'!P240)),SUM('A-5'!P192,'A-5'!P144,'A-5'!P240),IF(OR('A-5'!P192="--",'A-5'!P144="--",'A-5'!P240="--"),"--","-"))</f>
        <v>-</v>
      </c>
      <c r="Q144" s="142">
        <f>IF(OR(ISNUMBER('A-5'!Q192),ISNUMBER('A-5'!Q144),ISNUMBER('A-5'!Q240)),SUM('A-5'!Q192,'A-5'!Q144,'A-5'!Q240),IF(OR('A-5'!Q192="--",'A-5'!Q144="--",'A-5'!Q240="--"),"--","-"))</f>
        <v>2</v>
      </c>
      <c r="R144" s="142">
        <f>IF(OR(ISNUMBER('A-5'!R192),ISNUMBER('A-5'!R144),ISNUMBER('A-5'!R240)),SUM('A-5'!R192,'A-5'!R144,'A-5'!R240),IF(OR('A-5'!R192="--",'A-5'!R144="--",'A-5'!R240="--"),"--","-"))</f>
        <v>115</v>
      </c>
      <c r="S144" s="142">
        <f>IF(OR(ISNUMBER('A-5'!S192),ISNUMBER('A-5'!S144),ISNUMBER('A-5'!S240)),SUM('A-5'!S192,'A-5'!S144,'A-5'!S240),IF(OR('A-5'!S192="--",'A-5'!S144="--",'A-5'!S240="--"),"--","-"))</f>
        <v>52</v>
      </c>
      <c r="T144" s="142">
        <f>IF(OR(ISNUMBER('A-5'!T192),ISNUMBER('A-5'!T144),ISNUMBER('A-5'!T240)),SUM('A-5'!T192,'A-5'!T144,'A-5'!T240),IF(OR('A-5'!T192="--",'A-5'!T144="--",'A-5'!T240="--"),"--","-"))</f>
        <v>353</v>
      </c>
      <c r="U144" s="142">
        <f>IF(OR(ISNUMBER('A-5'!U192),ISNUMBER('A-5'!U144),ISNUMBER('A-5'!U240)),SUM('A-5'!U192,'A-5'!U144,'A-5'!U240),IF(OR('A-5'!U192="--",'A-5'!U144="--",'A-5'!U240="--"),"--","-"))</f>
        <v>14</v>
      </c>
      <c r="V144" s="142">
        <f>IF(OR(ISNUMBER('A-5'!V192),ISNUMBER('A-5'!V144),ISNUMBER('A-5'!V240)),SUM('A-5'!V192,'A-5'!V144,'A-5'!V240),IF(OR('A-5'!V192="--",'A-5'!V144="--",'A-5'!V240="--"),"--","-"))</f>
        <v>5</v>
      </c>
      <c r="W144" s="142" t="str">
        <f>IF(OR(ISNUMBER('A-5'!W192),ISNUMBER('A-5'!W144),ISNUMBER('A-5'!W240)),SUM('A-5'!W192,'A-5'!W144,'A-5'!W240),IF(OR('A-5'!W192="--",'A-5'!W144="--",'A-5'!W240="--"),"--","-"))</f>
        <v>-</v>
      </c>
      <c r="X144" s="142">
        <f>IF(AND('A-5'!X144="-",'A-5'!X192="-",'A-5'!X240="-"),"-",SUM('A-5'!X144,'A-5'!X192,'A-5'!X240))</f>
        <v>541</v>
      </c>
    </row>
    <row r="145" spans="1:24" ht="11.25" customHeight="1">
      <c r="A145" s="99" t="s">
        <v>311</v>
      </c>
      <c r="B145" s="142" t="str">
        <f>IF(AND('A-5'!B145="-",'A-5'!B193="-",'A-5'!B241="-"),"-",SUM('A-5'!B145,'A-5'!B193,'A-5'!B241))</f>
        <v>-</v>
      </c>
      <c r="C145" s="142" t="str">
        <f>IF(AND('A-5'!C145="-",'A-5'!C193="-",'A-5'!C241="-"),"-",SUM('A-5'!C145,'A-5'!C193,'A-5'!C241))</f>
        <v>-</v>
      </c>
      <c r="D145" s="142" t="str">
        <f>IF(AND('A-5'!D145="-",'A-5'!D193="-",'A-5'!D241="-"),"-",SUM('A-5'!D145,'A-5'!D193,'A-5'!D241))</f>
        <v>-</v>
      </c>
      <c r="E145" s="48" t="s">
        <v>106</v>
      </c>
      <c r="F145" s="48" t="s">
        <v>106</v>
      </c>
      <c r="G145" s="142">
        <f>IF(AND('A-5'!G145="-",'A-5'!G193="-",'A-5'!G241="-"),"-",SUM('A-5'!G145,'A-5'!G193,'A-5'!G241))</f>
        <v>22102</v>
      </c>
      <c r="H145" s="142">
        <f>IF(AND('A-5'!H145="-",'A-5'!H193="-",'A-5'!H241="-"),"-",SUM('A-5'!H145,'A-5'!H193,'A-5'!H241))</f>
        <v>9738</v>
      </c>
      <c r="I145" s="142">
        <f>IF(AND('A-5'!I145="-",'A-5'!I193="-",'A-5'!I241="-"),"-",SUM('A-5'!I145,'A-5'!I193,'A-5'!I241))</f>
        <v>4077</v>
      </c>
      <c r="J145" s="142">
        <f>IF(AND('A-5'!J145="-",'A-5'!J193="-",'A-5'!J241="-"),"-",SUM('A-5'!J145,'A-5'!J193,'A-5'!J241))</f>
        <v>2364</v>
      </c>
      <c r="K145" s="142">
        <f>IF(AND('A-5'!K145="-",'A-5'!K193="-",'A-5'!K241="-"),"-",SUM('A-5'!K145,'A-5'!K193,'A-5'!K241))</f>
        <v>29</v>
      </c>
      <c r="L145" s="142">
        <f>IF(AND('A-5'!L145="-",'A-5'!L193="-",'A-5'!L241="-"),"-",SUM('A-5'!L145,'A-5'!L193,'A-5'!L241))</f>
        <v>38310</v>
      </c>
      <c r="N145" s="142" t="str">
        <f>IF(OR(ISNUMBER('A-5'!N193),ISNUMBER('A-5'!N145),ISNUMBER('A-5'!N241)),SUM('A-5'!N193,'A-5'!N145,'A-5'!N241),IF(OR('A-5'!N193="--",'A-5'!N145="--",'A-5'!N241="--"),"--","-"))</f>
        <v>-</v>
      </c>
      <c r="O145" s="142" t="str">
        <f>IF(OR(ISNUMBER('A-5'!O193),ISNUMBER('A-5'!O145),ISNUMBER('A-5'!O241)),SUM('A-5'!O193,'A-5'!O145,'A-5'!O241),IF(OR('A-5'!O193="--",'A-5'!O145="--",'A-5'!O241="--"),"--","-"))</f>
        <v>-</v>
      </c>
      <c r="P145" s="142" t="str">
        <f>IF(OR(ISNUMBER('A-5'!P193),ISNUMBER('A-5'!P145),ISNUMBER('A-5'!P241)),SUM('A-5'!P193,'A-5'!P145,'A-5'!P241),IF(OR('A-5'!P193="--",'A-5'!P145="--",'A-5'!P241="--"),"--","-"))</f>
        <v>-</v>
      </c>
      <c r="Q145" s="142" t="str">
        <f>IF(OR(ISNUMBER('A-5'!Q193),ISNUMBER('A-5'!Q145),ISNUMBER('A-5'!Q241)),SUM('A-5'!Q193,'A-5'!Q145,'A-5'!Q241),IF(OR('A-5'!Q193="--",'A-5'!Q145="--",'A-5'!Q241="--"),"--","-"))</f>
        <v>-</v>
      </c>
      <c r="R145" s="142" t="str">
        <f>IF(OR(ISNUMBER('A-5'!R193),ISNUMBER('A-5'!R145),ISNUMBER('A-5'!R241)),SUM('A-5'!R193,'A-5'!R145,'A-5'!R241),IF(OR('A-5'!R193="--",'A-5'!R145="--",'A-5'!R241="--"),"--","-"))</f>
        <v>-</v>
      </c>
      <c r="S145" s="142">
        <f>IF(OR(ISNUMBER('A-5'!S193),ISNUMBER('A-5'!S145),ISNUMBER('A-5'!S241)),SUM('A-5'!S193,'A-5'!S145,'A-5'!S241),IF(OR('A-5'!S193="--",'A-5'!S145="--",'A-5'!S241="--"),"--","-"))</f>
        <v>30</v>
      </c>
      <c r="T145" s="142" t="str">
        <f>IF(OR(ISNUMBER('A-5'!T193),ISNUMBER('A-5'!T145),ISNUMBER('A-5'!T241)),SUM('A-5'!T193,'A-5'!T145,'A-5'!T241),IF(OR('A-5'!T193="--",'A-5'!T145="--",'A-5'!T241="--"),"--","-"))</f>
        <v>-</v>
      </c>
      <c r="U145" s="142">
        <f>IF(OR(ISNUMBER('A-5'!U193),ISNUMBER('A-5'!U145),ISNUMBER('A-5'!U241)),SUM('A-5'!U193,'A-5'!U145,'A-5'!U241),IF(OR('A-5'!U193="--",'A-5'!U145="--",'A-5'!U241="--"),"--","-"))</f>
        <v>4</v>
      </c>
      <c r="V145" s="142" t="str">
        <f>IF(OR(ISNUMBER('A-5'!V193),ISNUMBER('A-5'!V145),ISNUMBER('A-5'!V241)),SUM('A-5'!V193,'A-5'!V145,'A-5'!V241),IF(OR('A-5'!V193="--",'A-5'!V145="--",'A-5'!V241="--"),"--","-"))</f>
        <v>-</v>
      </c>
      <c r="W145" s="142" t="str">
        <f>IF(OR(ISNUMBER('A-5'!W193),ISNUMBER('A-5'!W145),ISNUMBER('A-5'!W241)),SUM('A-5'!W193,'A-5'!W145,'A-5'!W241),IF(OR('A-5'!W193="--",'A-5'!W145="--",'A-5'!W241="--"),"--","-"))</f>
        <v>-</v>
      </c>
      <c r="X145" s="142">
        <f>IF(AND('A-5'!X145="-",'A-5'!X193="-",'A-5'!X241="-"),"-",SUM('A-5'!X145,'A-5'!X193,'A-5'!X241))</f>
        <v>34</v>
      </c>
    </row>
    <row r="146" spans="1:24" ht="11.25" customHeight="1">
      <c r="A146" s="99" t="s">
        <v>317</v>
      </c>
      <c r="B146" s="142" t="str">
        <f>IF(AND('A-5'!B146="-",'A-5'!B194="-",'A-5'!B242="-"),"-",SUM('A-5'!B146,'A-5'!B194,'A-5'!B242))</f>
        <v>-</v>
      </c>
      <c r="C146" s="142" t="str">
        <f>IF(AND('A-5'!C146="-",'A-5'!C194="-",'A-5'!C242="-"),"-",SUM('A-5'!C146,'A-5'!C194,'A-5'!C242))</f>
        <v>-</v>
      </c>
      <c r="D146" s="142">
        <f>IF(AND('A-5'!D146="-",'A-5'!D194="-",'A-5'!D242="-"),"-",SUM('A-5'!D146,'A-5'!D194,'A-5'!D242))</f>
        <v>7626</v>
      </c>
      <c r="E146" s="48">
        <v>4184</v>
      </c>
      <c r="F146" s="48">
        <v>7213</v>
      </c>
      <c r="G146" s="142">
        <f>IF(AND('A-5'!G146="-",'A-5'!G194="-",'A-5'!G242="-"),"-",SUM('A-5'!G146,'A-5'!G194,'A-5'!G242))</f>
        <v>20024</v>
      </c>
      <c r="H146" s="142">
        <f>IF(AND('A-5'!H146="-",'A-5'!H194="-",'A-5'!H242="-"),"-",SUM('A-5'!H146,'A-5'!H194,'A-5'!H242))</f>
        <v>10069</v>
      </c>
      <c r="I146" s="142">
        <f>IF(AND('A-5'!I146="-",'A-5'!I194="-",'A-5'!I242="-"),"-",SUM('A-5'!I146,'A-5'!I194,'A-5'!I242))</f>
        <v>4002</v>
      </c>
      <c r="J146" s="142">
        <f>IF(AND('A-5'!J146="-",'A-5'!J194="-",'A-5'!J242="-"),"-",SUM('A-5'!J146,'A-5'!J194,'A-5'!J242))</f>
        <v>1522</v>
      </c>
      <c r="K146" s="142" t="str">
        <f>IF(AND('A-5'!K146="-",'A-5'!K194="-",'A-5'!K242="-"),"-",SUM('A-5'!K146,'A-5'!K194,'A-5'!K242))</f>
        <v>-</v>
      </c>
      <c r="L146" s="142">
        <f>IF(AND('A-5'!L146="-",'A-5'!L194="-",'A-5'!L242="-"),"-",SUM('A-5'!L146,'A-5'!L194,'A-5'!L242))</f>
        <v>54640</v>
      </c>
      <c r="N146" s="142" t="str">
        <f>IF(OR(ISNUMBER('A-5'!N194),ISNUMBER('A-5'!N146),ISNUMBER('A-5'!N242)),SUM('A-5'!N194,'A-5'!N146,'A-5'!N242),IF(OR('A-5'!N194="--",'A-5'!N146="--",'A-5'!N242="--"),"--","-"))</f>
        <v>-</v>
      </c>
      <c r="O146" s="142" t="str">
        <f>IF(OR(ISNUMBER('A-5'!O194),ISNUMBER('A-5'!O146),ISNUMBER('A-5'!O242)),SUM('A-5'!O194,'A-5'!O146,'A-5'!O242),IF(OR('A-5'!O194="--",'A-5'!O146="--",'A-5'!O242="--"),"--","-"))</f>
        <v>-</v>
      </c>
      <c r="P146" s="142" t="str">
        <f>IF(OR(ISNUMBER('A-5'!P194),ISNUMBER('A-5'!P146),ISNUMBER('A-5'!P242)),SUM('A-5'!P194,'A-5'!P146,'A-5'!P242),IF(OR('A-5'!P194="--",'A-5'!P146="--",'A-5'!P242="--"),"--","-"))</f>
        <v>-</v>
      </c>
      <c r="Q146" s="142">
        <f>IF(OR(ISNUMBER('A-5'!Q194),ISNUMBER('A-5'!Q146),ISNUMBER('A-5'!Q242)),SUM('A-5'!Q194,'A-5'!Q146,'A-5'!Q242),IF(OR('A-5'!Q194="--",'A-5'!Q146="--",'A-5'!Q242="--"),"--","-"))</f>
        <v>210</v>
      </c>
      <c r="R146" s="142">
        <f>IF(OR(ISNUMBER('A-5'!R194),ISNUMBER('A-5'!R146),ISNUMBER('A-5'!R242)),SUM('A-5'!R194,'A-5'!R146,'A-5'!R242),IF(OR('A-5'!R194="--",'A-5'!R146="--",'A-5'!R242="--"),"--","-"))</f>
        <v>84</v>
      </c>
      <c r="S146" s="142">
        <f>IF(OR(ISNUMBER('A-5'!S194),ISNUMBER('A-5'!S146),ISNUMBER('A-5'!S242)),SUM('A-5'!S194,'A-5'!S146,'A-5'!S242),IF(OR('A-5'!S194="--",'A-5'!S146="--",'A-5'!S242="--"),"--","-"))</f>
        <v>215</v>
      </c>
      <c r="T146" s="142">
        <f>IF(OR(ISNUMBER('A-5'!T194),ISNUMBER('A-5'!T146),ISNUMBER('A-5'!T242)),SUM('A-5'!T194,'A-5'!T146,'A-5'!T242),IF(OR('A-5'!T194="--",'A-5'!T146="--",'A-5'!T242="--"),"--","-"))</f>
        <v>18</v>
      </c>
      <c r="U146" s="142" t="str">
        <f>IF(OR(ISNUMBER('A-5'!U194),ISNUMBER('A-5'!U146),ISNUMBER('A-5'!U242)),SUM('A-5'!U194,'A-5'!U146,'A-5'!U242),IF(OR('A-5'!U194="--",'A-5'!U146="--",'A-5'!U242="--"),"--","-"))</f>
        <v>-</v>
      </c>
      <c r="V146" s="142">
        <f>IF(OR(ISNUMBER('A-5'!V194),ISNUMBER('A-5'!V146),ISNUMBER('A-5'!V242)),SUM('A-5'!V194,'A-5'!V146,'A-5'!V242),IF(OR('A-5'!V194="--",'A-5'!V146="--",'A-5'!V242="--"),"--","-"))</f>
        <v>4</v>
      </c>
      <c r="W146" s="142" t="str">
        <f>IF(OR(ISNUMBER('A-5'!W194),ISNUMBER('A-5'!W146),ISNUMBER('A-5'!W242)),SUM('A-5'!W194,'A-5'!W146,'A-5'!W242),IF(OR('A-5'!W194="--",'A-5'!W146="--",'A-5'!W242="--"),"--","-"))</f>
        <v>-</v>
      </c>
      <c r="X146" s="142">
        <f>IF(AND('A-5'!X146="-",'A-5'!X194="-",'A-5'!X242="-"),"-",SUM('A-5'!X146,'A-5'!X194,'A-5'!X242))</f>
        <v>531</v>
      </c>
    </row>
    <row r="147" spans="1:24" ht="11.25" customHeight="1">
      <c r="A147" s="99"/>
    </row>
    <row r="148" spans="1:24" ht="11.25" customHeight="1">
      <c r="A148" s="97" t="s">
        <v>77</v>
      </c>
    </row>
    <row r="149" spans="1:24" ht="11.25" customHeight="1">
      <c r="A149" s="99">
        <v>1976</v>
      </c>
      <c r="B149" s="142">
        <f>IF(AND(B101="-",B53="-",B5="-"),"-",SUM(B101,B53,B5))</f>
        <v>2686</v>
      </c>
      <c r="C149" s="142">
        <f t="shared" ref="C149:L149" si="5">IF(AND(C101="-",C53="-",C5="-"),"-",SUM(C101,C53,C5))</f>
        <v>1221</v>
      </c>
      <c r="D149" s="142">
        <f t="shared" si="5"/>
        <v>6634</v>
      </c>
      <c r="E149" s="142">
        <f t="shared" si="5"/>
        <v>14650</v>
      </c>
      <c r="F149" s="142">
        <f t="shared" si="5"/>
        <v>18708</v>
      </c>
      <c r="G149" s="142">
        <f t="shared" si="5"/>
        <v>19980</v>
      </c>
      <c r="H149" s="142">
        <f t="shared" si="5"/>
        <v>28812</v>
      </c>
      <c r="I149" s="142">
        <f t="shared" si="5"/>
        <v>8623</v>
      </c>
      <c r="J149" s="142">
        <f t="shared" si="5"/>
        <v>11425</v>
      </c>
      <c r="K149" s="142">
        <f t="shared" si="5"/>
        <v>2742</v>
      </c>
      <c r="L149" s="142">
        <f t="shared" si="5"/>
        <v>115481</v>
      </c>
      <c r="N149" s="142">
        <f>IF(AND(N101="-",N53="-",N5="-"),"-",IF(OR(ISNUMBER(N101),ISNUMBER(N53),ISNUMBER(N5)),SUM(N101,N53,N5),"--"))</f>
        <v>29</v>
      </c>
      <c r="O149" s="142">
        <f t="shared" ref="O149:W149" si="6">IF(AND(O101="-",O53="-",O5="-"),"-",IF(OR(ISNUMBER(O101),ISNUMBER(O53),ISNUMBER(O5)),SUM(O101,O53,O5),"--"))</f>
        <v>32</v>
      </c>
      <c r="P149" s="142">
        <f t="shared" si="6"/>
        <v>805</v>
      </c>
      <c r="Q149" s="142">
        <f t="shared" si="6"/>
        <v>24676</v>
      </c>
      <c r="R149" s="142">
        <f t="shared" si="6"/>
        <v>76856</v>
      </c>
      <c r="S149" s="142">
        <f t="shared" si="6"/>
        <v>159909</v>
      </c>
      <c r="T149" s="142">
        <f t="shared" si="6"/>
        <v>159834</v>
      </c>
      <c r="U149" s="142">
        <f t="shared" si="6"/>
        <v>15584</v>
      </c>
      <c r="V149" s="142">
        <f t="shared" si="6"/>
        <v>3516</v>
      </c>
      <c r="W149" s="142">
        <f t="shared" si="6"/>
        <v>0</v>
      </c>
      <c r="X149" s="142">
        <f t="shared" ref="X149:X192" si="7">IF(AND(X101="-",X53="-",X5="-"),"-",SUM(X101,X53,X5))</f>
        <v>441241</v>
      </c>
    </row>
    <row r="150" spans="1:24" ht="11.25" customHeight="1">
      <c r="A150" s="99">
        <v>1977</v>
      </c>
      <c r="B150" s="142">
        <f t="shared" ref="B150:L150" si="8">IF(AND(B102="-",B54="-",B6="-"),"-",SUM(B102,B54,B6))</f>
        <v>4096</v>
      </c>
      <c r="C150" s="142">
        <f t="shared" si="8"/>
        <v>5510</v>
      </c>
      <c r="D150" s="142">
        <f t="shared" si="8"/>
        <v>15525</v>
      </c>
      <c r="E150" s="142">
        <f t="shared" si="8"/>
        <v>6023</v>
      </c>
      <c r="F150" s="142">
        <f t="shared" si="8"/>
        <v>14109</v>
      </c>
      <c r="G150" s="142">
        <f t="shared" si="8"/>
        <v>47824</v>
      </c>
      <c r="H150" s="142">
        <f t="shared" si="8"/>
        <v>27884</v>
      </c>
      <c r="I150" s="142">
        <f t="shared" si="8"/>
        <v>13484</v>
      </c>
      <c r="J150" s="142">
        <f t="shared" si="8"/>
        <v>5480</v>
      </c>
      <c r="K150" s="142">
        <f t="shared" si="8"/>
        <v>1592</v>
      </c>
      <c r="L150" s="142">
        <f t="shared" si="8"/>
        <v>141527</v>
      </c>
      <c r="N150" s="142">
        <f t="shared" ref="N150:W150" si="9">IF(AND(N102="-",N54="-",N6="-"),"-",IF(OR(ISNUMBER(N102),ISNUMBER(N54),ISNUMBER(N6)),SUM(N102,N54,N6),"--"))</f>
        <v>12</v>
      </c>
      <c r="O150" s="142">
        <f t="shared" si="9"/>
        <v>0</v>
      </c>
      <c r="P150" s="142">
        <f t="shared" si="9"/>
        <v>348</v>
      </c>
      <c r="Q150" s="142">
        <f t="shared" si="9"/>
        <v>16250</v>
      </c>
      <c r="R150" s="142">
        <f t="shared" si="9"/>
        <v>20199</v>
      </c>
      <c r="S150" s="142">
        <f t="shared" si="9"/>
        <v>65683</v>
      </c>
      <c r="T150" s="142">
        <f t="shared" si="9"/>
        <v>37527</v>
      </c>
      <c r="U150" s="142">
        <f t="shared" si="9"/>
        <v>6134</v>
      </c>
      <c r="V150" s="142">
        <f t="shared" si="9"/>
        <v>411</v>
      </c>
      <c r="W150" s="142">
        <f t="shared" si="9"/>
        <v>6</v>
      </c>
      <c r="X150" s="142">
        <f t="shared" si="7"/>
        <v>146570</v>
      </c>
    </row>
    <row r="151" spans="1:24" ht="11.25" customHeight="1">
      <c r="A151" s="99">
        <v>1978</v>
      </c>
      <c r="B151" s="142">
        <f t="shared" ref="B151:L151" si="10">IF(AND(B103="-",B55="-",B7="-"),"-",SUM(B103,B55,B7))</f>
        <v>9790</v>
      </c>
      <c r="C151" s="142">
        <f t="shared" si="10"/>
        <v>8594</v>
      </c>
      <c r="D151" s="142">
        <f t="shared" si="10"/>
        <v>3149</v>
      </c>
      <c r="E151" s="142">
        <f t="shared" si="10"/>
        <v>3684</v>
      </c>
      <c r="F151" s="142">
        <f t="shared" si="10"/>
        <v>12133</v>
      </c>
      <c r="G151" s="142">
        <f t="shared" si="10"/>
        <v>18671</v>
      </c>
      <c r="H151" s="142">
        <f t="shared" si="10"/>
        <v>14392</v>
      </c>
      <c r="I151" s="142">
        <f t="shared" si="10"/>
        <v>6011</v>
      </c>
      <c r="J151" s="142">
        <f t="shared" si="10"/>
        <v>8518</v>
      </c>
      <c r="K151" s="142">
        <f t="shared" si="10"/>
        <v>2685</v>
      </c>
      <c r="L151" s="142">
        <f t="shared" si="10"/>
        <v>87627</v>
      </c>
      <c r="N151" s="142">
        <f t="shared" ref="N151:W151" si="11">IF(AND(N103="-",N55="-",N7="-"),"-",IF(OR(ISNUMBER(N103),ISNUMBER(N55),ISNUMBER(N7)),SUM(N103,N55,N7),"--"))</f>
        <v>0</v>
      </c>
      <c r="O151" s="142">
        <f t="shared" si="11"/>
        <v>0</v>
      </c>
      <c r="P151" s="142">
        <f t="shared" si="11"/>
        <v>1</v>
      </c>
      <c r="Q151" s="142">
        <f t="shared" si="11"/>
        <v>4416</v>
      </c>
      <c r="R151" s="142">
        <f t="shared" si="11"/>
        <v>99603</v>
      </c>
      <c r="S151" s="142">
        <f t="shared" si="11"/>
        <v>75852</v>
      </c>
      <c r="T151" s="142">
        <f t="shared" si="11"/>
        <v>53581</v>
      </c>
      <c r="U151" s="142">
        <f t="shared" si="11"/>
        <v>7099</v>
      </c>
      <c r="V151" s="142">
        <f t="shared" si="11"/>
        <v>298</v>
      </c>
      <c r="W151" s="142">
        <f t="shared" si="11"/>
        <v>0</v>
      </c>
      <c r="X151" s="142">
        <f t="shared" si="7"/>
        <v>240850</v>
      </c>
    </row>
    <row r="152" spans="1:24" ht="11.25" customHeight="1">
      <c r="A152" s="99">
        <v>1979</v>
      </c>
      <c r="B152" s="142">
        <f t="shared" ref="B152:L152" si="12">IF(AND(B104="-",B56="-",B8="-"),"-",SUM(B104,B56,B8))</f>
        <v>7876</v>
      </c>
      <c r="C152" s="142">
        <f t="shared" si="12"/>
        <v>15161</v>
      </c>
      <c r="D152" s="142">
        <f t="shared" si="12"/>
        <v>11597</v>
      </c>
      <c r="E152" s="142">
        <f t="shared" si="12"/>
        <v>5573</v>
      </c>
      <c r="F152" s="142">
        <f t="shared" si="12"/>
        <v>19617</v>
      </c>
      <c r="G152" s="142">
        <f t="shared" si="12"/>
        <v>33036</v>
      </c>
      <c r="H152" s="142">
        <f t="shared" si="12"/>
        <v>18967</v>
      </c>
      <c r="I152" s="142">
        <f t="shared" si="12"/>
        <v>13537</v>
      </c>
      <c r="J152" s="142">
        <f t="shared" si="12"/>
        <v>7564</v>
      </c>
      <c r="K152" s="142">
        <f t="shared" si="12"/>
        <v>60</v>
      </c>
      <c r="L152" s="142">
        <f t="shared" si="12"/>
        <v>132988</v>
      </c>
      <c r="N152" s="142">
        <f t="shared" ref="N152:W152" si="13">IF(AND(N104="-",N56="-",N8="-"),"-",IF(OR(ISNUMBER(N104),ISNUMBER(N56),ISNUMBER(N8)),SUM(N104,N56,N8),"--"))</f>
        <v>10</v>
      </c>
      <c r="O152" s="142">
        <f t="shared" si="13"/>
        <v>39</v>
      </c>
      <c r="P152" s="142">
        <f t="shared" si="13"/>
        <v>23</v>
      </c>
      <c r="Q152" s="142">
        <f t="shared" si="13"/>
        <v>5460</v>
      </c>
      <c r="R152" s="142">
        <f t="shared" si="13"/>
        <v>33902</v>
      </c>
      <c r="S152" s="142">
        <f t="shared" si="13"/>
        <v>84370</v>
      </c>
      <c r="T152" s="142">
        <f t="shared" si="13"/>
        <v>40132</v>
      </c>
      <c r="U152" s="142">
        <f t="shared" si="13"/>
        <v>142</v>
      </c>
      <c r="V152" s="142">
        <f t="shared" si="13"/>
        <v>0</v>
      </c>
      <c r="W152" s="142" t="str">
        <f t="shared" si="13"/>
        <v>-</v>
      </c>
      <c r="X152" s="142">
        <f t="shared" si="7"/>
        <v>164078</v>
      </c>
    </row>
    <row r="153" spans="1:24" ht="11.25" customHeight="1">
      <c r="A153" s="99">
        <v>1980</v>
      </c>
      <c r="B153" s="142">
        <f t="shared" ref="B153:L153" si="14">IF(AND(B105="-",B57="-",B9="-"),"-",SUM(B105,B57,B9))</f>
        <v>4703</v>
      </c>
      <c r="C153" s="142">
        <f t="shared" si="14"/>
        <v>12033</v>
      </c>
      <c r="D153" s="142">
        <f t="shared" si="14"/>
        <v>6671</v>
      </c>
      <c r="E153" s="142">
        <f t="shared" si="14"/>
        <v>6022</v>
      </c>
      <c r="F153" s="142">
        <f t="shared" si="14"/>
        <v>21730</v>
      </c>
      <c r="G153" s="142">
        <f t="shared" si="14"/>
        <v>24917</v>
      </c>
      <c r="H153" s="142">
        <f t="shared" si="14"/>
        <v>11836</v>
      </c>
      <c r="I153" s="142">
        <f t="shared" si="14"/>
        <v>6354</v>
      </c>
      <c r="J153" s="142">
        <f t="shared" si="14"/>
        <v>4367</v>
      </c>
      <c r="K153" s="142">
        <f t="shared" si="14"/>
        <v>63</v>
      </c>
      <c r="L153" s="142">
        <f t="shared" si="14"/>
        <v>98696</v>
      </c>
      <c r="N153" s="142">
        <f t="shared" ref="N153:W153" si="15">IF(AND(N105="-",N57="-",N9="-"),"-",IF(OR(ISNUMBER(N105),ISNUMBER(N57),ISNUMBER(N9)),SUM(N105,N57,N9),"--"))</f>
        <v>0</v>
      </c>
      <c r="O153" s="142">
        <f t="shared" si="15"/>
        <v>0</v>
      </c>
      <c r="P153" s="142">
        <f t="shared" si="15"/>
        <v>17</v>
      </c>
      <c r="Q153" s="142">
        <f t="shared" si="15"/>
        <v>4302</v>
      </c>
      <c r="R153" s="142">
        <f t="shared" si="15"/>
        <v>100750</v>
      </c>
      <c r="S153" s="142">
        <f t="shared" si="15"/>
        <v>151347</v>
      </c>
      <c r="T153" s="142">
        <f t="shared" si="15"/>
        <v>31571</v>
      </c>
      <c r="U153" s="142">
        <f t="shared" si="15"/>
        <v>3372</v>
      </c>
      <c r="V153" s="142">
        <f t="shared" si="15"/>
        <v>8</v>
      </c>
      <c r="W153" s="142" t="str">
        <f t="shared" si="15"/>
        <v>-</v>
      </c>
      <c r="X153" s="142">
        <f t="shared" si="7"/>
        <v>291367</v>
      </c>
    </row>
    <row r="154" spans="1:24" ht="11.25" customHeight="1">
      <c r="A154" s="99">
        <v>1981</v>
      </c>
      <c r="B154" s="142">
        <f t="shared" ref="B154:L154" si="16">IF(AND(B106="-",B58="-",B10="-"),"-",SUM(B106,B58,B10))</f>
        <v>3393</v>
      </c>
      <c r="C154" s="142">
        <f t="shared" si="16"/>
        <v>3141</v>
      </c>
      <c r="D154" s="142">
        <f t="shared" si="16"/>
        <v>8471</v>
      </c>
      <c r="E154" s="142">
        <f t="shared" si="16"/>
        <v>4043</v>
      </c>
      <c r="F154" s="142">
        <f t="shared" si="16"/>
        <v>13407</v>
      </c>
      <c r="G154" s="142">
        <f t="shared" si="16"/>
        <v>30851</v>
      </c>
      <c r="H154" s="142">
        <f t="shared" si="16"/>
        <v>21839</v>
      </c>
      <c r="I154" s="142">
        <f t="shared" si="16"/>
        <v>9930</v>
      </c>
      <c r="J154" s="142">
        <f t="shared" si="16"/>
        <v>5282</v>
      </c>
      <c r="K154" s="142">
        <f t="shared" si="16"/>
        <v>1329</v>
      </c>
      <c r="L154" s="142">
        <f t="shared" si="16"/>
        <v>101686</v>
      </c>
      <c r="N154" s="142">
        <f t="shared" ref="N154:W154" si="17">IF(AND(N106="-",N58="-",N10="-"),"-",IF(OR(ISNUMBER(N106),ISNUMBER(N58),ISNUMBER(N10)),SUM(N106,N58,N10),"--"))</f>
        <v>0</v>
      </c>
      <c r="O154" s="142">
        <f t="shared" si="17"/>
        <v>0</v>
      </c>
      <c r="P154" s="142">
        <f t="shared" si="17"/>
        <v>0</v>
      </c>
      <c r="Q154" s="142">
        <f t="shared" si="17"/>
        <v>7482</v>
      </c>
      <c r="R154" s="142">
        <f t="shared" si="17"/>
        <v>18988</v>
      </c>
      <c r="S154" s="142">
        <f t="shared" si="17"/>
        <v>57980</v>
      </c>
      <c r="T154" s="142">
        <f t="shared" si="17"/>
        <v>64360</v>
      </c>
      <c r="U154" s="142">
        <f t="shared" si="17"/>
        <v>7142</v>
      </c>
      <c r="V154" s="142">
        <f t="shared" si="17"/>
        <v>147</v>
      </c>
      <c r="W154" s="142">
        <f t="shared" si="17"/>
        <v>0</v>
      </c>
      <c r="X154" s="142">
        <f t="shared" si="7"/>
        <v>156099</v>
      </c>
    </row>
    <row r="155" spans="1:24" ht="11.25" customHeight="1">
      <c r="A155" s="99">
        <v>1982</v>
      </c>
      <c r="B155" s="142">
        <f t="shared" ref="B155:L155" si="18">IF(AND(B107="-",B59="-",B11="-"),"-",SUM(B107,B59,B11))</f>
        <v>11187</v>
      </c>
      <c r="C155" s="142">
        <f t="shared" si="18"/>
        <v>11379</v>
      </c>
      <c r="D155" s="142">
        <f t="shared" si="18"/>
        <v>5052</v>
      </c>
      <c r="E155" s="142">
        <f t="shared" si="18"/>
        <v>7413</v>
      </c>
      <c r="F155" s="142">
        <f t="shared" si="18"/>
        <v>18415</v>
      </c>
      <c r="G155" s="142">
        <f t="shared" si="18"/>
        <v>50254</v>
      </c>
      <c r="H155" s="142">
        <f t="shared" si="18"/>
        <v>32764</v>
      </c>
      <c r="I155" s="142">
        <f t="shared" si="18"/>
        <v>15339</v>
      </c>
      <c r="J155" s="142">
        <f t="shared" si="18"/>
        <v>14188</v>
      </c>
      <c r="K155" s="142">
        <f t="shared" si="18"/>
        <v>3214</v>
      </c>
      <c r="L155" s="142">
        <f t="shared" si="18"/>
        <v>169205</v>
      </c>
      <c r="N155" s="142">
        <f t="shared" ref="N155:W155" si="19">IF(AND(N107="-",N59="-",N11="-"),"-",IF(OR(ISNUMBER(N107),ISNUMBER(N59),ISNUMBER(N11)),SUM(N107,N59,N11),"--"))</f>
        <v>0</v>
      </c>
      <c r="O155" s="142">
        <f t="shared" si="19"/>
        <v>0</v>
      </c>
      <c r="P155" s="142">
        <f t="shared" si="19"/>
        <v>0</v>
      </c>
      <c r="Q155" s="142">
        <f t="shared" si="19"/>
        <v>537</v>
      </c>
      <c r="R155" s="142">
        <f t="shared" si="19"/>
        <v>29488</v>
      </c>
      <c r="S155" s="142">
        <f t="shared" si="19"/>
        <v>132940</v>
      </c>
      <c r="T155" s="142">
        <f t="shared" si="19"/>
        <v>3242</v>
      </c>
      <c r="U155" s="142">
        <f t="shared" si="19"/>
        <v>139</v>
      </c>
      <c r="V155" s="142">
        <f t="shared" si="19"/>
        <v>0</v>
      </c>
      <c r="W155" s="142">
        <f t="shared" si="19"/>
        <v>0</v>
      </c>
      <c r="X155" s="142">
        <f t="shared" si="7"/>
        <v>166346</v>
      </c>
    </row>
    <row r="156" spans="1:24" ht="11.25" customHeight="1">
      <c r="A156" s="99">
        <v>1983</v>
      </c>
      <c r="B156" s="142">
        <f t="shared" ref="B156:L156" si="20">IF(AND(B108="-",B60="-",B12="-"),"-",SUM(B108,B60,B12))</f>
        <v>2627</v>
      </c>
      <c r="C156" s="142">
        <f t="shared" si="20"/>
        <v>3080</v>
      </c>
      <c r="D156" s="142">
        <f t="shared" si="20"/>
        <v>4790</v>
      </c>
      <c r="E156" s="142">
        <f t="shared" si="20"/>
        <v>11893</v>
      </c>
      <c r="F156" s="142">
        <f t="shared" si="20"/>
        <v>17521</v>
      </c>
      <c r="G156" s="142">
        <f t="shared" si="20"/>
        <v>23600</v>
      </c>
      <c r="H156" s="142">
        <f t="shared" si="20"/>
        <v>11288</v>
      </c>
      <c r="I156" s="142">
        <f t="shared" si="20"/>
        <v>7578</v>
      </c>
      <c r="J156" s="142">
        <f t="shared" si="20"/>
        <v>2609</v>
      </c>
      <c r="K156" s="142">
        <f t="shared" si="20"/>
        <v>73</v>
      </c>
      <c r="L156" s="142">
        <f t="shared" si="20"/>
        <v>85059</v>
      </c>
      <c r="N156" s="142">
        <f t="shared" ref="N156:W156" si="21">IF(AND(N108="-",N60="-",N12="-"),"-",IF(OR(ISNUMBER(N108),ISNUMBER(N60),ISNUMBER(N12)),SUM(N108,N60,N12),"--"))</f>
        <v>0</v>
      </c>
      <c r="O156" s="142">
        <f t="shared" si="21"/>
        <v>3</v>
      </c>
      <c r="P156" s="142">
        <f t="shared" si="21"/>
        <v>56</v>
      </c>
      <c r="Q156" s="142">
        <f t="shared" si="21"/>
        <v>507</v>
      </c>
      <c r="R156" s="142">
        <f t="shared" si="21"/>
        <v>36093</v>
      </c>
      <c r="S156" s="142">
        <f t="shared" si="21"/>
        <v>70012</v>
      </c>
      <c r="T156" s="142">
        <f t="shared" si="21"/>
        <v>20636</v>
      </c>
      <c r="U156" s="142">
        <f t="shared" si="21"/>
        <v>9598</v>
      </c>
      <c r="V156" s="142">
        <f t="shared" si="21"/>
        <v>0</v>
      </c>
      <c r="W156" s="142">
        <f t="shared" si="21"/>
        <v>0</v>
      </c>
      <c r="X156" s="142">
        <f t="shared" si="7"/>
        <v>136905</v>
      </c>
    </row>
    <row r="157" spans="1:24" ht="11.25" customHeight="1">
      <c r="A157" s="99">
        <v>1984</v>
      </c>
      <c r="B157" s="142">
        <f t="shared" ref="B157:L157" si="22">IF(AND(B109="-",B61="-",B13="-"),"-",SUM(B109,B61,B13))</f>
        <v>392</v>
      </c>
      <c r="C157" s="142">
        <f t="shared" si="22"/>
        <v>758</v>
      </c>
      <c r="D157" s="142">
        <f t="shared" si="22"/>
        <v>5932</v>
      </c>
      <c r="E157" s="142">
        <f t="shared" si="22"/>
        <v>7434</v>
      </c>
      <c r="F157" s="142">
        <f t="shared" si="22"/>
        <v>17264</v>
      </c>
      <c r="G157" s="142">
        <f t="shared" si="22"/>
        <v>32402</v>
      </c>
      <c r="H157" s="142">
        <f t="shared" si="22"/>
        <v>28402</v>
      </c>
      <c r="I157" s="142">
        <f t="shared" si="22"/>
        <v>8626</v>
      </c>
      <c r="J157" s="142">
        <f t="shared" si="22"/>
        <v>2765</v>
      </c>
      <c r="K157" s="142">
        <f t="shared" si="22"/>
        <v>759</v>
      </c>
      <c r="L157" s="142">
        <f t="shared" si="22"/>
        <v>104734</v>
      </c>
      <c r="N157" s="142">
        <f t="shared" ref="N157:W157" si="23">IF(AND(N109="-",N61="-",N13="-"),"-",IF(OR(ISNUMBER(N109),ISNUMBER(N61),ISNUMBER(N13)),SUM(N109,N61,N13),"--"))</f>
        <v>0</v>
      </c>
      <c r="O157" s="142">
        <f t="shared" si="23"/>
        <v>0</v>
      </c>
      <c r="P157" s="142">
        <f t="shared" si="23"/>
        <v>2</v>
      </c>
      <c r="Q157" s="142">
        <f t="shared" si="23"/>
        <v>79</v>
      </c>
      <c r="R157" s="142">
        <f t="shared" si="23"/>
        <v>175</v>
      </c>
      <c r="S157" s="142">
        <f t="shared" si="23"/>
        <v>76818</v>
      </c>
      <c r="T157" s="142">
        <f t="shared" si="23"/>
        <v>52711</v>
      </c>
      <c r="U157" s="142">
        <f t="shared" si="23"/>
        <v>958</v>
      </c>
      <c r="V157" s="142">
        <f t="shared" si="23"/>
        <v>0</v>
      </c>
      <c r="W157" s="142">
        <f t="shared" si="23"/>
        <v>0</v>
      </c>
      <c r="X157" s="142">
        <f t="shared" si="7"/>
        <v>130743</v>
      </c>
    </row>
    <row r="158" spans="1:24" ht="11.25" customHeight="1">
      <c r="A158" s="99">
        <v>1985</v>
      </c>
      <c r="B158" s="142">
        <f t="shared" ref="B158:L158" si="24">IF(AND(B110="-",B62="-",B14="-"),"-",SUM(B110,B62,B14))</f>
        <v>12134</v>
      </c>
      <c r="C158" s="142">
        <f t="shared" si="24"/>
        <v>17970</v>
      </c>
      <c r="D158" s="142">
        <f t="shared" si="24"/>
        <v>11950</v>
      </c>
      <c r="E158" s="142">
        <f t="shared" si="24"/>
        <v>20025</v>
      </c>
      <c r="F158" s="142">
        <f t="shared" si="24"/>
        <v>28587</v>
      </c>
      <c r="G158" s="142">
        <f t="shared" si="24"/>
        <v>75459</v>
      </c>
      <c r="H158" s="142">
        <f t="shared" si="24"/>
        <v>42159</v>
      </c>
      <c r="I158" s="142">
        <f t="shared" si="24"/>
        <v>7902</v>
      </c>
      <c r="J158" s="142">
        <f t="shared" si="24"/>
        <v>5504</v>
      </c>
      <c r="K158" s="142">
        <f t="shared" si="24"/>
        <v>1719</v>
      </c>
      <c r="L158" s="142">
        <f t="shared" si="24"/>
        <v>223409</v>
      </c>
      <c r="N158" s="142">
        <f t="shared" ref="N158:W158" si="25">IF(AND(N110="-",N62="-",N14="-"),"-",IF(OR(ISNUMBER(N110),ISNUMBER(N62),ISNUMBER(N14)),SUM(N110,N62,N14),"--"))</f>
        <v>0</v>
      </c>
      <c r="O158" s="142">
        <f t="shared" si="25"/>
        <v>0</v>
      </c>
      <c r="P158" s="142">
        <f t="shared" si="25"/>
        <v>48</v>
      </c>
      <c r="Q158" s="142">
        <f t="shared" si="25"/>
        <v>989</v>
      </c>
      <c r="R158" s="142">
        <f t="shared" si="25"/>
        <v>1023</v>
      </c>
      <c r="S158" s="142">
        <f t="shared" si="25"/>
        <v>68390</v>
      </c>
      <c r="T158" s="142">
        <f t="shared" si="25"/>
        <v>93896</v>
      </c>
      <c r="U158" s="142">
        <f t="shared" si="25"/>
        <v>2954</v>
      </c>
      <c r="V158" s="142">
        <f t="shared" si="25"/>
        <v>4</v>
      </c>
      <c r="W158" s="142">
        <f t="shared" si="25"/>
        <v>0</v>
      </c>
      <c r="X158" s="142">
        <f t="shared" si="7"/>
        <v>167304</v>
      </c>
    </row>
    <row r="159" spans="1:24" ht="11.25" customHeight="1">
      <c r="A159" s="99">
        <v>1986</v>
      </c>
      <c r="B159" s="142">
        <f t="shared" ref="B159:L159" si="26">IF(AND(B111="-",B63="-",B15="-"),"-",SUM(B111,B63,B15))</f>
        <v>1183</v>
      </c>
      <c r="C159" s="142">
        <f t="shared" si="26"/>
        <v>16091</v>
      </c>
      <c r="D159" s="142">
        <f t="shared" si="26"/>
        <v>23458</v>
      </c>
      <c r="E159" s="142">
        <f t="shared" si="26"/>
        <v>10731</v>
      </c>
      <c r="F159" s="142">
        <f t="shared" si="26"/>
        <v>28698</v>
      </c>
      <c r="G159" s="142">
        <f t="shared" si="26"/>
        <v>47387</v>
      </c>
      <c r="H159" s="142">
        <f t="shared" si="26"/>
        <v>26089</v>
      </c>
      <c r="I159" s="142">
        <f t="shared" si="26"/>
        <v>5295</v>
      </c>
      <c r="J159" s="142">
        <f t="shared" si="26"/>
        <v>2573</v>
      </c>
      <c r="K159" s="142">
        <f t="shared" si="26"/>
        <v>584</v>
      </c>
      <c r="L159" s="142">
        <f t="shared" si="26"/>
        <v>162089</v>
      </c>
      <c r="N159" s="142">
        <f t="shared" ref="N159:W159" si="27">IF(AND(N111="-",N63="-",N15="-"),"-",IF(OR(ISNUMBER(N111),ISNUMBER(N63),ISNUMBER(N15)),SUM(N111,N63,N15),"--"))</f>
        <v>0</v>
      </c>
      <c r="O159" s="142">
        <f t="shared" si="27"/>
        <v>2</v>
      </c>
      <c r="P159" s="142">
        <f t="shared" si="27"/>
        <v>0</v>
      </c>
      <c r="Q159" s="142">
        <f t="shared" si="27"/>
        <v>4530</v>
      </c>
      <c r="R159" s="142">
        <f t="shared" si="27"/>
        <v>26435</v>
      </c>
      <c r="S159" s="142">
        <f t="shared" si="27"/>
        <v>132402</v>
      </c>
      <c r="T159" s="142">
        <f t="shared" si="27"/>
        <v>30525</v>
      </c>
      <c r="U159" s="142">
        <f t="shared" si="27"/>
        <v>15</v>
      </c>
      <c r="V159" s="142">
        <f t="shared" si="27"/>
        <v>5</v>
      </c>
      <c r="W159" s="142">
        <f t="shared" si="27"/>
        <v>0</v>
      </c>
      <c r="X159" s="142">
        <f t="shared" si="7"/>
        <v>193914</v>
      </c>
    </row>
    <row r="160" spans="1:24" ht="11.25" customHeight="1">
      <c r="A160" s="99">
        <v>1987</v>
      </c>
      <c r="B160" s="142">
        <f t="shared" ref="B160:L160" si="28">IF(AND(B112="-",B64="-",B16="-"),"-",SUM(B112,B64,B16))</f>
        <v>5520</v>
      </c>
      <c r="C160" s="142">
        <f t="shared" si="28"/>
        <v>14084</v>
      </c>
      <c r="D160" s="142">
        <f t="shared" si="28"/>
        <v>19211</v>
      </c>
      <c r="E160" s="142">
        <f t="shared" si="28"/>
        <v>12483</v>
      </c>
      <c r="F160" s="142">
        <f t="shared" si="28"/>
        <v>27961</v>
      </c>
      <c r="G160" s="142">
        <f t="shared" si="28"/>
        <v>74791</v>
      </c>
      <c r="H160" s="142">
        <f t="shared" si="28"/>
        <v>58314</v>
      </c>
      <c r="I160" s="142">
        <f t="shared" si="28"/>
        <v>25969</v>
      </c>
      <c r="J160" s="142">
        <f t="shared" si="28"/>
        <v>8259</v>
      </c>
      <c r="K160" s="142">
        <f t="shared" si="28"/>
        <v>1083</v>
      </c>
      <c r="L160" s="142">
        <f t="shared" si="28"/>
        <v>247675</v>
      </c>
      <c r="N160" s="142">
        <f t="shared" ref="N160:W160" si="29">IF(AND(N112="-",N64="-",N16="-"),"-",IF(OR(ISNUMBER(N112),ISNUMBER(N64),ISNUMBER(N16)),SUM(N112,N64,N16),"--"))</f>
        <v>0</v>
      </c>
      <c r="O160" s="142">
        <f t="shared" si="29"/>
        <v>0</v>
      </c>
      <c r="P160" s="142">
        <f t="shared" si="29"/>
        <v>0</v>
      </c>
      <c r="Q160" s="142">
        <f t="shared" si="29"/>
        <v>86</v>
      </c>
      <c r="R160" s="142">
        <f t="shared" si="29"/>
        <v>8499</v>
      </c>
      <c r="S160" s="142">
        <f t="shared" si="29"/>
        <v>145028</v>
      </c>
      <c r="T160" s="142">
        <f t="shared" si="29"/>
        <v>36474</v>
      </c>
      <c r="U160" s="142">
        <f t="shared" si="29"/>
        <v>12025</v>
      </c>
      <c r="V160" s="142">
        <f t="shared" si="29"/>
        <v>28</v>
      </c>
      <c r="W160" s="142">
        <f t="shared" si="29"/>
        <v>0</v>
      </c>
      <c r="X160" s="142">
        <f t="shared" si="7"/>
        <v>202140</v>
      </c>
    </row>
    <row r="161" spans="1:24" ht="11.25" customHeight="1">
      <c r="A161" s="99">
        <v>1988</v>
      </c>
      <c r="B161" s="142">
        <f t="shared" ref="B161:L161" si="30">IF(AND(B113="-",B65="-",B17="-"),"-",SUM(B113,B65,B17))</f>
        <v>6808</v>
      </c>
      <c r="C161" s="142">
        <f t="shared" si="30"/>
        <v>15934</v>
      </c>
      <c r="D161" s="142">
        <f t="shared" si="30"/>
        <v>24943</v>
      </c>
      <c r="E161" s="142">
        <f t="shared" si="30"/>
        <v>20833</v>
      </c>
      <c r="F161" s="142">
        <f t="shared" si="30"/>
        <v>53183</v>
      </c>
      <c r="G161" s="142">
        <f t="shared" si="30"/>
        <v>55245</v>
      </c>
      <c r="H161" s="142">
        <f t="shared" si="30"/>
        <v>20918</v>
      </c>
      <c r="I161" s="142">
        <f t="shared" si="30"/>
        <v>5912</v>
      </c>
      <c r="J161" s="142">
        <f t="shared" si="30"/>
        <v>4610</v>
      </c>
      <c r="K161" s="142">
        <f t="shared" si="30"/>
        <v>814</v>
      </c>
      <c r="L161" s="142">
        <f t="shared" si="30"/>
        <v>209200</v>
      </c>
      <c r="N161" s="142">
        <f t="shared" ref="N161:W161" si="31">IF(AND(N113="-",N65="-",N17="-"),"-",IF(OR(ISNUMBER(N113),ISNUMBER(N65),ISNUMBER(N17)),SUM(N113,N65,N17),"--"))</f>
        <v>0</v>
      </c>
      <c r="O161" s="142">
        <f t="shared" si="31"/>
        <v>1</v>
      </c>
      <c r="P161" s="142">
        <f t="shared" si="31"/>
        <v>21</v>
      </c>
      <c r="Q161" s="142">
        <f t="shared" si="31"/>
        <v>1201</v>
      </c>
      <c r="R161" s="142">
        <f t="shared" si="31"/>
        <v>24305</v>
      </c>
      <c r="S161" s="142">
        <f t="shared" si="31"/>
        <v>133653</v>
      </c>
      <c r="T161" s="142">
        <f t="shared" si="31"/>
        <v>79803</v>
      </c>
      <c r="U161" s="142">
        <f t="shared" si="31"/>
        <v>12772</v>
      </c>
      <c r="V161" s="142">
        <f t="shared" si="31"/>
        <v>0</v>
      </c>
      <c r="W161" s="142">
        <f t="shared" si="31"/>
        <v>0</v>
      </c>
      <c r="X161" s="142">
        <f t="shared" si="7"/>
        <v>251756</v>
      </c>
    </row>
    <row r="162" spans="1:24" ht="11.25" customHeight="1">
      <c r="A162" s="99">
        <v>1989</v>
      </c>
      <c r="B162" s="142">
        <f t="shared" ref="B162:L162" si="32">IF(AND(B114="-",B66="-",B18="-"),"-",SUM(B114,B66,B18))</f>
        <v>7950</v>
      </c>
      <c r="C162" s="142">
        <f t="shared" si="32"/>
        <v>12734</v>
      </c>
      <c r="D162" s="142">
        <f t="shared" si="32"/>
        <v>42566</v>
      </c>
      <c r="E162" s="142">
        <f t="shared" si="32"/>
        <v>9140</v>
      </c>
      <c r="F162" s="142">
        <f t="shared" si="32"/>
        <v>34052</v>
      </c>
      <c r="G162" s="142">
        <f t="shared" si="32"/>
        <v>63230</v>
      </c>
      <c r="H162" s="142">
        <f t="shared" si="32"/>
        <v>27935</v>
      </c>
      <c r="I162" s="142">
        <f t="shared" si="32"/>
        <v>13528</v>
      </c>
      <c r="J162" s="142">
        <f t="shared" si="32"/>
        <v>3744</v>
      </c>
      <c r="K162" s="142">
        <f t="shared" si="32"/>
        <v>2410</v>
      </c>
      <c r="L162" s="142">
        <f t="shared" si="32"/>
        <v>217289</v>
      </c>
      <c r="N162" s="142">
        <f t="shared" ref="N162:W162" si="33">IF(AND(N114="-",N66="-",N18="-"),"-",IF(OR(ISNUMBER(N114),ISNUMBER(N66),ISNUMBER(N18)),SUM(N114,N66,N18),"--"))</f>
        <v>0</v>
      </c>
      <c r="O162" s="142">
        <f t="shared" si="33"/>
        <v>0</v>
      </c>
      <c r="P162" s="142">
        <f t="shared" si="33"/>
        <v>115</v>
      </c>
      <c r="Q162" s="142">
        <f t="shared" si="33"/>
        <v>3468</v>
      </c>
      <c r="R162" s="142">
        <f t="shared" si="33"/>
        <v>68290</v>
      </c>
      <c r="S162" s="142">
        <f t="shared" si="33"/>
        <v>153122</v>
      </c>
      <c r="T162" s="142">
        <f t="shared" si="33"/>
        <v>61882</v>
      </c>
      <c r="U162" s="142">
        <f t="shared" si="33"/>
        <v>1725</v>
      </c>
      <c r="V162" s="142">
        <f t="shared" si="33"/>
        <v>0</v>
      </c>
      <c r="W162" s="142">
        <f t="shared" si="33"/>
        <v>0</v>
      </c>
      <c r="X162" s="142">
        <f t="shared" si="7"/>
        <v>288602</v>
      </c>
    </row>
    <row r="163" spans="1:24" ht="11.25" customHeight="1">
      <c r="A163" s="99">
        <v>1990</v>
      </c>
      <c r="B163" s="142">
        <f t="shared" ref="B163:L163" si="34">IF(AND(B115="-",B67="-",B19="-"),"-",SUM(B115,B67,B19))</f>
        <v>6690</v>
      </c>
      <c r="C163" s="142">
        <f t="shared" si="34"/>
        <v>17599</v>
      </c>
      <c r="D163" s="142">
        <f t="shared" si="34"/>
        <v>21645</v>
      </c>
      <c r="E163" s="142">
        <f t="shared" si="34"/>
        <v>6508</v>
      </c>
      <c r="F163" s="142">
        <f t="shared" si="34"/>
        <v>33740</v>
      </c>
      <c r="G163" s="142">
        <f t="shared" si="34"/>
        <v>45227</v>
      </c>
      <c r="H163" s="142">
        <f t="shared" si="34"/>
        <v>19850</v>
      </c>
      <c r="I163" s="142">
        <f t="shared" si="34"/>
        <v>6340</v>
      </c>
      <c r="J163" s="142">
        <f t="shared" si="34"/>
        <v>3756</v>
      </c>
      <c r="K163" s="142">
        <f t="shared" si="34"/>
        <v>1703</v>
      </c>
      <c r="L163" s="142">
        <f t="shared" si="34"/>
        <v>163058</v>
      </c>
      <c r="N163" s="142">
        <f t="shared" ref="N163:W163" si="35">IF(AND(N115="-",N67="-",N19="-"),"-",IF(OR(ISNUMBER(N115),ISNUMBER(N67),ISNUMBER(N19)),SUM(N115,N67,N19),"--"))</f>
        <v>0</v>
      </c>
      <c r="O163" s="142">
        <f t="shared" si="35"/>
        <v>0</v>
      </c>
      <c r="P163" s="142">
        <f t="shared" si="35"/>
        <v>144</v>
      </c>
      <c r="Q163" s="142">
        <f t="shared" si="35"/>
        <v>1726</v>
      </c>
      <c r="R163" s="142">
        <f t="shared" si="35"/>
        <v>50584</v>
      </c>
      <c r="S163" s="142">
        <f t="shared" si="35"/>
        <v>96682</v>
      </c>
      <c r="T163" s="142">
        <f t="shared" si="35"/>
        <v>61079</v>
      </c>
      <c r="U163" s="142">
        <f t="shared" si="35"/>
        <v>5907</v>
      </c>
      <c r="V163" s="142">
        <f t="shared" si="35"/>
        <v>59</v>
      </c>
      <c r="W163" s="142">
        <f t="shared" si="35"/>
        <v>0</v>
      </c>
      <c r="X163" s="142">
        <f t="shared" si="7"/>
        <v>216181</v>
      </c>
    </row>
    <row r="164" spans="1:24" ht="11.25" customHeight="1">
      <c r="A164" s="99">
        <v>1991</v>
      </c>
      <c r="B164" s="142">
        <f t="shared" ref="B164:L164" si="36">IF(AND(B116="-",B68="-",B20="-"),"-",SUM(B116,B68,B20))</f>
        <v>53</v>
      </c>
      <c r="C164" s="142">
        <f t="shared" si="36"/>
        <v>7948</v>
      </c>
      <c r="D164" s="142">
        <f t="shared" si="36"/>
        <v>13029</v>
      </c>
      <c r="E164" s="142">
        <f t="shared" si="36"/>
        <v>5028</v>
      </c>
      <c r="F164" s="142">
        <f t="shared" si="36"/>
        <v>26801</v>
      </c>
      <c r="G164" s="142">
        <f t="shared" si="36"/>
        <v>31096</v>
      </c>
      <c r="H164" s="142">
        <f t="shared" si="36"/>
        <v>5806</v>
      </c>
      <c r="I164" s="142">
        <f t="shared" si="36"/>
        <v>2250</v>
      </c>
      <c r="J164" s="142">
        <f t="shared" si="36"/>
        <v>2232</v>
      </c>
      <c r="K164" s="142">
        <f t="shared" si="36"/>
        <v>23</v>
      </c>
      <c r="L164" s="142">
        <f t="shared" si="36"/>
        <v>94266</v>
      </c>
      <c r="N164" s="142">
        <f t="shared" ref="N164:W164" si="37">IF(AND(N116="-",N68="-",N20="-"),"-",IF(OR(ISNUMBER(N116),ISNUMBER(N68),ISNUMBER(N20)),SUM(N116,N68,N20),"--"))</f>
        <v>0</v>
      </c>
      <c r="O164" s="142">
        <f t="shared" si="37"/>
        <v>2</v>
      </c>
      <c r="P164" s="142">
        <f t="shared" si="37"/>
        <v>11</v>
      </c>
      <c r="Q164" s="142">
        <f t="shared" si="37"/>
        <v>1547</v>
      </c>
      <c r="R164" s="142">
        <f t="shared" si="37"/>
        <v>85901</v>
      </c>
      <c r="S164" s="142">
        <f t="shared" si="37"/>
        <v>197926</v>
      </c>
      <c r="T164" s="142">
        <f t="shared" si="37"/>
        <v>2112</v>
      </c>
      <c r="U164" s="142">
        <f t="shared" si="37"/>
        <v>1438</v>
      </c>
      <c r="V164" s="142">
        <f t="shared" si="37"/>
        <v>49</v>
      </c>
      <c r="W164" s="142">
        <f t="shared" si="37"/>
        <v>0</v>
      </c>
      <c r="X164" s="142">
        <f t="shared" si="7"/>
        <v>288986</v>
      </c>
    </row>
    <row r="165" spans="1:24" ht="11.25" customHeight="1">
      <c r="A165" s="99">
        <v>1992</v>
      </c>
      <c r="B165" s="142">
        <f t="shared" ref="B165:L165" si="38">IF(AND(B117="-",B69="-",B21="-"),"-",SUM(B117,B69,B21))</f>
        <v>473</v>
      </c>
      <c r="C165" s="142">
        <f t="shared" si="38"/>
        <v>3407</v>
      </c>
      <c r="D165" s="142">
        <f t="shared" si="38"/>
        <v>5410</v>
      </c>
      <c r="E165" s="142">
        <f t="shared" si="38"/>
        <v>6573</v>
      </c>
      <c r="F165" s="142">
        <f t="shared" si="38"/>
        <v>11991</v>
      </c>
      <c r="G165" s="142">
        <f t="shared" si="38"/>
        <v>30243</v>
      </c>
      <c r="H165" s="142">
        <f t="shared" si="38"/>
        <v>11612</v>
      </c>
      <c r="I165" s="142">
        <f t="shared" si="38"/>
        <v>11453</v>
      </c>
      <c r="J165" s="142">
        <f t="shared" si="38"/>
        <v>4026</v>
      </c>
      <c r="K165" s="142">
        <f t="shared" si="38"/>
        <v>454</v>
      </c>
      <c r="L165" s="142">
        <f t="shared" si="38"/>
        <v>85642</v>
      </c>
      <c r="N165" s="142">
        <f t="shared" ref="N165:W165" si="39">IF(AND(N117="-",N69="-",N21="-"),"-",IF(OR(ISNUMBER(N117),ISNUMBER(N69),ISNUMBER(N21)),SUM(N117,N69,N21),"--"))</f>
        <v>1</v>
      </c>
      <c r="O165" s="142">
        <f t="shared" si="39"/>
        <v>8</v>
      </c>
      <c r="P165" s="142">
        <f t="shared" si="39"/>
        <v>10</v>
      </c>
      <c r="Q165" s="142">
        <f t="shared" si="39"/>
        <v>1003</v>
      </c>
      <c r="R165" s="142">
        <f t="shared" si="39"/>
        <v>25131</v>
      </c>
      <c r="S165" s="142">
        <f t="shared" si="39"/>
        <v>101661</v>
      </c>
      <c r="T165" s="142">
        <f t="shared" si="39"/>
        <v>38886</v>
      </c>
      <c r="U165" s="142">
        <f t="shared" si="39"/>
        <v>8335</v>
      </c>
      <c r="V165" s="142">
        <f t="shared" si="39"/>
        <v>51</v>
      </c>
      <c r="W165" s="142">
        <f t="shared" si="39"/>
        <v>0</v>
      </c>
      <c r="X165" s="142">
        <f t="shared" si="7"/>
        <v>175086</v>
      </c>
    </row>
    <row r="166" spans="1:24" ht="11.25" customHeight="1">
      <c r="A166" s="99">
        <v>1993</v>
      </c>
      <c r="B166" s="142">
        <f t="shared" ref="B166:L166" si="40">IF(AND(B118="-",B70="-",B22="-"),"-",SUM(B118,B70,B22))</f>
        <v>439</v>
      </c>
      <c r="C166" s="142">
        <f t="shared" si="40"/>
        <v>9855</v>
      </c>
      <c r="D166" s="142">
        <f t="shared" si="40"/>
        <v>15023</v>
      </c>
      <c r="E166" s="142">
        <f t="shared" si="40"/>
        <v>10223</v>
      </c>
      <c r="F166" s="142">
        <f t="shared" si="40"/>
        <v>7833</v>
      </c>
      <c r="G166" s="142">
        <f t="shared" si="40"/>
        <v>42072</v>
      </c>
      <c r="H166" s="142">
        <f t="shared" si="40"/>
        <v>20714</v>
      </c>
      <c r="I166" s="142">
        <f t="shared" si="40"/>
        <v>5855</v>
      </c>
      <c r="J166" s="142">
        <f t="shared" si="40"/>
        <v>3594</v>
      </c>
      <c r="K166" s="48" t="s">
        <v>106</v>
      </c>
      <c r="L166" s="142">
        <f t="shared" si="40"/>
        <v>115608</v>
      </c>
      <c r="N166" s="142">
        <f t="shared" ref="N166:W166" si="41">IF(AND(N118="-",N70="-",N22="-"),"-",IF(OR(ISNUMBER(N118),ISNUMBER(N70),ISNUMBER(N22)),SUM(N118,N70,N22),"--"))</f>
        <v>0</v>
      </c>
      <c r="O166" s="142">
        <f t="shared" si="41"/>
        <v>37</v>
      </c>
      <c r="P166" s="142">
        <f t="shared" si="41"/>
        <v>58</v>
      </c>
      <c r="Q166" s="142">
        <f t="shared" si="41"/>
        <v>1033</v>
      </c>
      <c r="R166" s="142">
        <f t="shared" si="41"/>
        <v>2510</v>
      </c>
      <c r="S166" s="142">
        <f t="shared" si="41"/>
        <v>38724</v>
      </c>
      <c r="T166" s="142">
        <f t="shared" si="41"/>
        <v>22752</v>
      </c>
      <c r="U166" s="142">
        <f t="shared" si="41"/>
        <v>1560</v>
      </c>
      <c r="V166" s="142">
        <f t="shared" si="41"/>
        <v>11</v>
      </c>
      <c r="W166" s="142">
        <f t="shared" si="41"/>
        <v>0</v>
      </c>
      <c r="X166" s="142">
        <f t="shared" si="7"/>
        <v>66685</v>
      </c>
    </row>
    <row r="167" spans="1:24" ht="11.25" customHeight="1">
      <c r="A167" s="99">
        <v>1994</v>
      </c>
      <c r="B167" s="142">
        <f t="shared" ref="B167:L167" si="42">IF(AND(B119="-",B71="-",B23="-"),"-",SUM(B119,B71,B23))</f>
        <v>1228</v>
      </c>
      <c r="C167" s="142">
        <f t="shared" si="42"/>
        <v>7133</v>
      </c>
      <c r="D167" s="142">
        <f t="shared" si="42"/>
        <v>16428</v>
      </c>
      <c r="E167" s="142">
        <f t="shared" si="42"/>
        <v>20194</v>
      </c>
      <c r="F167" s="142">
        <f t="shared" si="42"/>
        <v>39279</v>
      </c>
      <c r="G167" s="142">
        <f t="shared" si="42"/>
        <v>54545</v>
      </c>
      <c r="H167" s="142">
        <f t="shared" si="42"/>
        <v>27338</v>
      </c>
      <c r="I167" s="142">
        <f t="shared" si="42"/>
        <v>15438</v>
      </c>
      <c r="J167" s="142">
        <f t="shared" si="42"/>
        <v>14269</v>
      </c>
      <c r="K167" s="142">
        <f t="shared" si="42"/>
        <v>0</v>
      </c>
      <c r="L167" s="142">
        <f t="shared" si="42"/>
        <v>195852</v>
      </c>
      <c r="N167" s="142">
        <f t="shared" ref="N167:W167" si="43">IF(AND(N119="-",N71="-",N23="-"),"-",IF(OR(ISNUMBER(N119),ISNUMBER(N71),ISNUMBER(N23)),SUM(N119,N71,N23),"--"))</f>
        <v>0</v>
      </c>
      <c r="O167" s="142">
        <f t="shared" si="43"/>
        <v>0</v>
      </c>
      <c r="P167" s="142">
        <f t="shared" si="43"/>
        <v>20</v>
      </c>
      <c r="Q167" s="142">
        <f t="shared" si="43"/>
        <v>10</v>
      </c>
      <c r="R167" s="142">
        <f t="shared" si="43"/>
        <v>231</v>
      </c>
      <c r="S167" s="142">
        <f t="shared" si="43"/>
        <v>110</v>
      </c>
      <c r="T167" s="142">
        <f t="shared" si="43"/>
        <v>136</v>
      </c>
      <c r="U167" s="142">
        <f t="shared" si="43"/>
        <v>18</v>
      </c>
      <c r="V167" s="142">
        <f t="shared" si="43"/>
        <v>8</v>
      </c>
      <c r="W167" s="142" t="str">
        <f t="shared" si="43"/>
        <v>--</v>
      </c>
      <c r="X167" s="142">
        <f t="shared" si="7"/>
        <v>533</v>
      </c>
    </row>
    <row r="168" spans="1:24" ht="11.25" customHeight="1">
      <c r="A168" s="99">
        <v>1995</v>
      </c>
      <c r="B168" s="142">
        <f t="shared" ref="B168:L168" si="44">IF(AND(B120="-",B72="-",B24="-"),"-",SUM(B120,B72,B24))</f>
        <v>229</v>
      </c>
      <c r="C168" s="142">
        <f t="shared" si="44"/>
        <v>27335</v>
      </c>
      <c r="D168" s="142">
        <f t="shared" si="44"/>
        <v>57929</v>
      </c>
      <c r="E168" s="142">
        <f t="shared" si="44"/>
        <v>47521</v>
      </c>
      <c r="F168" s="142">
        <f t="shared" si="44"/>
        <v>82152</v>
      </c>
      <c r="G168" s="142">
        <f t="shared" si="44"/>
        <v>133651</v>
      </c>
      <c r="H168" s="142">
        <f t="shared" si="44"/>
        <v>31890</v>
      </c>
      <c r="I168" s="142">
        <f t="shared" si="44"/>
        <v>19805</v>
      </c>
      <c r="J168" s="142">
        <f t="shared" si="44"/>
        <v>3252</v>
      </c>
      <c r="K168" s="142">
        <f t="shared" si="44"/>
        <v>84</v>
      </c>
      <c r="L168" s="142">
        <f t="shared" si="44"/>
        <v>403848</v>
      </c>
      <c r="N168" s="142">
        <f t="shared" ref="N168:W168" si="45">IF(AND(N120="-",N72="-",N24="-"),"-",IF(OR(ISNUMBER(N120),ISNUMBER(N72),ISNUMBER(N24)),SUM(N120,N72,N24),"--"))</f>
        <v>0</v>
      </c>
      <c r="O168" s="142">
        <f t="shared" si="45"/>
        <v>0</v>
      </c>
      <c r="P168" s="142">
        <f t="shared" si="45"/>
        <v>16</v>
      </c>
      <c r="Q168" s="142">
        <f t="shared" si="45"/>
        <v>15</v>
      </c>
      <c r="R168" s="142">
        <f t="shared" si="45"/>
        <v>511</v>
      </c>
      <c r="S168" s="142">
        <f t="shared" si="45"/>
        <v>143</v>
      </c>
      <c r="T168" s="142">
        <f t="shared" si="45"/>
        <v>141</v>
      </c>
      <c r="U168" s="142">
        <f t="shared" si="45"/>
        <v>242</v>
      </c>
      <c r="V168" s="142">
        <f t="shared" si="45"/>
        <v>12</v>
      </c>
      <c r="W168" s="142" t="str">
        <f t="shared" si="45"/>
        <v>--</v>
      </c>
      <c r="X168" s="142">
        <f t="shared" si="7"/>
        <v>1080</v>
      </c>
    </row>
    <row r="169" spans="1:24" ht="11.25" customHeight="1">
      <c r="A169" s="99">
        <v>1996</v>
      </c>
      <c r="B169" s="142">
        <f t="shared" ref="B169:L169" si="46">IF(AND(B121="-",B73="-",B25="-"),"-",SUM(B121,B73,B25))</f>
        <v>11</v>
      </c>
      <c r="C169" s="142">
        <f t="shared" si="46"/>
        <v>31966</v>
      </c>
      <c r="D169" s="142">
        <f t="shared" si="46"/>
        <v>31658</v>
      </c>
      <c r="E169" s="142">
        <f t="shared" si="46"/>
        <v>15961</v>
      </c>
      <c r="F169" s="142">
        <f t="shared" si="46"/>
        <v>35957</v>
      </c>
      <c r="G169" s="142">
        <f t="shared" si="46"/>
        <v>33902</v>
      </c>
      <c r="H169" s="142">
        <f t="shared" si="46"/>
        <v>15921</v>
      </c>
      <c r="I169" s="142">
        <f t="shared" si="46"/>
        <v>6482</v>
      </c>
      <c r="J169" s="142">
        <f t="shared" si="46"/>
        <v>3356</v>
      </c>
      <c r="K169" s="48" t="s">
        <v>106</v>
      </c>
      <c r="L169" s="142">
        <f t="shared" si="46"/>
        <v>175214</v>
      </c>
      <c r="N169" s="142" t="str">
        <f t="shared" ref="N169:W169" si="47">IF(AND(N121="-",N73="-",N25="-"),"-",IF(OR(ISNUMBER(N121),ISNUMBER(N73),ISNUMBER(N25)),SUM(N121,N73,N25),"--"))</f>
        <v>-</v>
      </c>
      <c r="O169" s="142" t="str">
        <f t="shared" si="47"/>
        <v>-</v>
      </c>
      <c r="P169" s="142">
        <f t="shared" si="47"/>
        <v>3</v>
      </c>
      <c r="Q169" s="142">
        <f t="shared" si="47"/>
        <v>2</v>
      </c>
      <c r="R169" s="142">
        <f t="shared" si="47"/>
        <v>362</v>
      </c>
      <c r="S169" s="142">
        <f t="shared" si="47"/>
        <v>93</v>
      </c>
      <c r="T169" s="142">
        <f t="shared" si="47"/>
        <v>229</v>
      </c>
      <c r="U169" s="142">
        <f t="shared" si="47"/>
        <v>108</v>
      </c>
      <c r="V169" s="142">
        <f t="shared" si="47"/>
        <v>12</v>
      </c>
      <c r="W169" s="142" t="str">
        <f t="shared" si="47"/>
        <v>-</v>
      </c>
      <c r="X169" s="142">
        <f t="shared" si="7"/>
        <v>809</v>
      </c>
    </row>
    <row r="170" spans="1:24" ht="11.25" customHeight="1">
      <c r="A170" s="99">
        <v>1997</v>
      </c>
      <c r="B170" s="142">
        <f t="shared" ref="B170:L170" si="48">IF(AND(B122="-",B74="-",B26="-"),"-",SUM(B122,B74,B26))</f>
        <v>0</v>
      </c>
      <c r="C170" s="142">
        <f t="shared" si="48"/>
        <v>20090</v>
      </c>
      <c r="D170" s="142">
        <f t="shared" si="48"/>
        <v>26941</v>
      </c>
      <c r="E170" s="142">
        <f t="shared" si="48"/>
        <v>28441</v>
      </c>
      <c r="F170" s="142">
        <f t="shared" si="48"/>
        <v>48869</v>
      </c>
      <c r="G170" s="142">
        <f t="shared" si="48"/>
        <v>75741</v>
      </c>
      <c r="H170" s="142">
        <f t="shared" si="48"/>
        <v>29425</v>
      </c>
      <c r="I170" s="142">
        <f t="shared" si="48"/>
        <v>3552</v>
      </c>
      <c r="J170" s="142">
        <f t="shared" si="48"/>
        <v>3346</v>
      </c>
      <c r="K170" s="142">
        <f t="shared" si="48"/>
        <v>58</v>
      </c>
      <c r="L170" s="142">
        <f t="shared" si="48"/>
        <v>236463</v>
      </c>
      <c r="N170" s="142" t="str">
        <f t="shared" ref="N170:W170" si="49">IF(AND(N122="-",N74="-",N26="-"),"-",IF(OR(ISNUMBER(N122),ISNUMBER(N74),ISNUMBER(N26)),SUM(N122,N74,N26),"--"))</f>
        <v>-</v>
      </c>
      <c r="O170" s="142" t="str">
        <f t="shared" si="49"/>
        <v>-</v>
      </c>
      <c r="P170" s="142" t="str">
        <f t="shared" si="49"/>
        <v>-</v>
      </c>
      <c r="Q170" s="142">
        <f t="shared" si="49"/>
        <v>51</v>
      </c>
      <c r="R170" s="142">
        <f t="shared" si="49"/>
        <v>96</v>
      </c>
      <c r="S170" s="142">
        <f t="shared" si="49"/>
        <v>324</v>
      </c>
      <c r="T170" s="142">
        <f t="shared" si="49"/>
        <v>148</v>
      </c>
      <c r="U170" s="142">
        <f t="shared" si="49"/>
        <v>32</v>
      </c>
      <c r="V170" s="142" t="str">
        <f t="shared" si="49"/>
        <v>-</v>
      </c>
      <c r="W170" s="142" t="str">
        <f t="shared" si="49"/>
        <v>-</v>
      </c>
      <c r="X170" s="142">
        <f t="shared" si="7"/>
        <v>651</v>
      </c>
    </row>
    <row r="171" spans="1:24" ht="11.25" customHeight="1">
      <c r="A171" s="99">
        <v>1998</v>
      </c>
      <c r="B171" s="142">
        <f t="shared" ref="B171:L171" si="50">IF(AND(B123="-",B75="-",B27="-"),"-",SUM(B123,B75,B27))</f>
        <v>0</v>
      </c>
      <c r="C171" s="142">
        <f t="shared" si="50"/>
        <v>2989</v>
      </c>
      <c r="D171" s="142">
        <f t="shared" si="50"/>
        <v>13130</v>
      </c>
      <c r="E171" s="142">
        <f t="shared" si="50"/>
        <v>16345</v>
      </c>
      <c r="F171" s="142">
        <f t="shared" si="50"/>
        <v>25322</v>
      </c>
      <c r="G171" s="142">
        <f t="shared" si="50"/>
        <v>37944</v>
      </c>
      <c r="H171" s="142">
        <f t="shared" si="50"/>
        <v>22252</v>
      </c>
      <c r="I171" s="142">
        <f t="shared" si="50"/>
        <v>5298</v>
      </c>
      <c r="J171" s="142">
        <f t="shared" si="50"/>
        <v>2714</v>
      </c>
      <c r="K171" s="48" t="s">
        <v>106</v>
      </c>
      <c r="L171" s="142">
        <f t="shared" si="50"/>
        <v>125994</v>
      </c>
      <c r="N171" s="142" t="str">
        <f t="shared" ref="N171:W171" si="51">IF(AND(N123="-",N75="-",N27="-"),"-",IF(OR(ISNUMBER(N123),ISNUMBER(N75),ISNUMBER(N27)),SUM(N123,N75,N27),"--"))</f>
        <v>-</v>
      </c>
      <c r="O171" s="142" t="str">
        <f t="shared" si="51"/>
        <v>-</v>
      </c>
      <c r="P171" s="142" t="str">
        <f t="shared" si="51"/>
        <v>-</v>
      </c>
      <c r="Q171" s="142" t="str">
        <f t="shared" si="51"/>
        <v>-</v>
      </c>
      <c r="R171" s="142">
        <f t="shared" si="51"/>
        <v>33</v>
      </c>
      <c r="S171" s="142">
        <f t="shared" si="51"/>
        <v>44</v>
      </c>
      <c r="T171" s="142">
        <f t="shared" si="51"/>
        <v>137</v>
      </c>
      <c r="U171" s="142">
        <f t="shared" si="51"/>
        <v>11</v>
      </c>
      <c r="V171" s="142">
        <f t="shared" si="51"/>
        <v>8</v>
      </c>
      <c r="W171" s="142" t="str">
        <f t="shared" si="51"/>
        <v>-</v>
      </c>
      <c r="X171" s="142">
        <f t="shared" si="7"/>
        <v>233</v>
      </c>
    </row>
    <row r="172" spans="1:24" ht="11.25" customHeight="1">
      <c r="A172" s="99">
        <v>1999</v>
      </c>
      <c r="B172" s="142">
        <f t="shared" ref="B172:L172" si="52">IF(AND(B124="-",B76="-",B28="-"),"-",SUM(B124,B76,B28))</f>
        <v>0</v>
      </c>
      <c r="C172" s="142">
        <f t="shared" si="52"/>
        <v>1691</v>
      </c>
      <c r="D172" s="142">
        <f t="shared" si="52"/>
        <v>6631</v>
      </c>
      <c r="E172" s="142">
        <f t="shared" si="52"/>
        <v>1775</v>
      </c>
      <c r="F172" s="142">
        <f t="shared" si="52"/>
        <v>16005</v>
      </c>
      <c r="G172" s="142">
        <f t="shared" si="52"/>
        <v>37469</v>
      </c>
      <c r="H172" s="142">
        <f t="shared" si="52"/>
        <v>19756</v>
      </c>
      <c r="I172" s="142">
        <f t="shared" si="52"/>
        <v>7867</v>
      </c>
      <c r="J172" s="142">
        <f t="shared" si="52"/>
        <v>3430</v>
      </c>
      <c r="K172" s="142">
        <f t="shared" si="52"/>
        <v>8</v>
      </c>
      <c r="L172" s="142">
        <f t="shared" si="52"/>
        <v>94632</v>
      </c>
      <c r="N172" s="142" t="str">
        <f t="shared" ref="N172:W172" si="53">IF(AND(N124="-",N76="-",N28="-"),"-",IF(OR(ISNUMBER(N124),ISNUMBER(N76),ISNUMBER(N28)),SUM(N124,N76,N28),"--"))</f>
        <v>-</v>
      </c>
      <c r="O172" s="142" t="str">
        <f t="shared" si="53"/>
        <v>-</v>
      </c>
      <c r="P172" s="142" t="str">
        <f t="shared" si="53"/>
        <v>-</v>
      </c>
      <c r="Q172" s="142">
        <f t="shared" si="53"/>
        <v>12</v>
      </c>
      <c r="R172" s="142">
        <f t="shared" si="53"/>
        <v>226</v>
      </c>
      <c r="S172" s="142">
        <f t="shared" si="53"/>
        <v>6207</v>
      </c>
      <c r="T172" s="142">
        <f t="shared" si="53"/>
        <v>220</v>
      </c>
      <c r="U172" s="142">
        <f t="shared" si="53"/>
        <v>27</v>
      </c>
      <c r="V172" s="142">
        <f t="shared" si="53"/>
        <v>8</v>
      </c>
      <c r="W172" s="142" t="str">
        <f t="shared" si="53"/>
        <v>-</v>
      </c>
      <c r="X172" s="142">
        <f t="shared" si="7"/>
        <v>6700</v>
      </c>
    </row>
    <row r="173" spans="1:24" ht="11.25" customHeight="1">
      <c r="A173" s="99">
        <v>2000</v>
      </c>
      <c r="B173" s="142">
        <f t="shared" ref="B173:L173" si="54">IF(AND(B125="-",B77="-",B29="-"),"-",SUM(B125,B77,B29))</f>
        <v>0</v>
      </c>
      <c r="C173" s="142">
        <f t="shared" si="54"/>
        <v>0</v>
      </c>
      <c r="D173" s="142">
        <f t="shared" si="54"/>
        <v>40315</v>
      </c>
      <c r="E173" s="142">
        <f t="shared" si="54"/>
        <v>32485</v>
      </c>
      <c r="F173" s="142">
        <f t="shared" si="54"/>
        <v>38095</v>
      </c>
      <c r="G173" s="142">
        <f t="shared" si="54"/>
        <v>41196</v>
      </c>
      <c r="H173" s="142">
        <f t="shared" si="54"/>
        <v>34998</v>
      </c>
      <c r="I173" s="142">
        <f t="shared" si="54"/>
        <v>13430</v>
      </c>
      <c r="J173" s="142">
        <f t="shared" si="54"/>
        <v>8060</v>
      </c>
      <c r="K173" s="142">
        <f t="shared" si="54"/>
        <v>1968</v>
      </c>
      <c r="L173" s="142">
        <f t="shared" si="54"/>
        <v>210547</v>
      </c>
      <c r="N173" s="142" t="str">
        <f t="shared" ref="N173:W173" si="55">IF(AND(N125="-",N77="-",N29="-"),"-",IF(OR(ISNUMBER(N125),ISNUMBER(N77),ISNUMBER(N29)),SUM(N125,N77,N29),"--"))</f>
        <v>-</v>
      </c>
      <c r="O173" s="142" t="str">
        <f t="shared" si="55"/>
        <v>-</v>
      </c>
      <c r="P173" s="142" t="str">
        <f t="shared" si="55"/>
        <v>-</v>
      </c>
      <c r="Q173" s="142" t="str">
        <f t="shared" si="55"/>
        <v>-</v>
      </c>
      <c r="R173" s="142">
        <f t="shared" si="55"/>
        <v>160</v>
      </c>
      <c r="S173" s="142">
        <f t="shared" si="55"/>
        <v>19420</v>
      </c>
      <c r="T173" s="142">
        <f t="shared" si="55"/>
        <v>262</v>
      </c>
      <c r="U173" s="142">
        <f t="shared" si="55"/>
        <v>31</v>
      </c>
      <c r="V173" s="142">
        <f t="shared" si="55"/>
        <v>8</v>
      </c>
      <c r="W173" s="142" t="str">
        <f t="shared" si="55"/>
        <v>-</v>
      </c>
      <c r="X173" s="142">
        <f t="shared" si="7"/>
        <v>19881</v>
      </c>
    </row>
    <row r="174" spans="1:24" ht="11.25" customHeight="1">
      <c r="A174" s="99">
        <v>2001</v>
      </c>
      <c r="B174" s="142">
        <f t="shared" ref="B174:L174" si="56">IF(AND(B126="-",B78="-",B30="-"),"-",SUM(B126,B78,B30))</f>
        <v>0</v>
      </c>
      <c r="C174" s="142">
        <f t="shared" si="56"/>
        <v>1256</v>
      </c>
      <c r="D174" s="142">
        <f t="shared" si="56"/>
        <v>18059</v>
      </c>
      <c r="E174" s="142">
        <f t="shared" si="56"/>
        <v>14799</v>
      </c>
      <c r="F174" s="142">
        <f t="shared" si="56"/>
        <v>15416</v>
      </c>
      <c r="G174" s="142">
        <f t="shared" si="56"/>
        <v>34796</v>
      </c>
      <c r="H174" s="142">
        <f t="shared" si="56"/>
        <v>22429</v>
      </c>
      <c r="I174" s="142">
        <f t="shared" si="56"/>
        <v>10843</v>
      </c>
      <c r="J174" s="142">
        <f t="shared" si="56"/>
        <v>4521</v>
      </c>
      <c r="K174" s="142">
        <f t="shared" si="56"/>
        <v>1246</v>
      </c>
      <c r="L174" s="142">
        <f t="shared" si="56"/>
        <v>123365</v>
      </c>
      <c r="N174" s="142" t="str">
        <f t="shared" ref="N174:W174" si="57">IF(AND(N126="-",N78="-",N30="-"),"-",IF(OR(ISNUMBER(N126),ISNUMBER(N78),ISNUMBER(N30)),SUM(N126,N78,N30),"--"))</f>
        <v>-</v>
      </c>
      <c r="O174" s="142" t="str">
        <f t="shared" si="57"/>
        <v>-</v>
      </c>
      <c r="P174" s="142">
        <f t="shared" si="57"/>
        <v>4</v>
      </c>
      <c r="Q174" s="142">
        <f t="shared" si="57"/>
        <v>452</v>
      </c>
      <c r="R174" s="142">
        <f t="shared" si="57"/>
        <v>18000</v>
      </c>
      <c r="S174" s="142">
        <f t="shared" si="57"/>
        <v>37610</v>
      </c>
      <c r="T174" s="142">
        <f t="shared" si="57"/>
        <v>309</v>
      </c>
      <c r="U174" s="142">
        <f t="shared" si="57"/>
        <v>76</v>
      </c>
      <c r="V174" s="142">
        <f t="shared" si="57"/>
        <v>35</v>
      </c>
      <c r="W174" s="142" t="str">
        <f t="shared" si="57"/>
        <v>-</v>
      </c>
      <c r="X174" s="142">
        <f t="shared" si="7"/>
        <v>56486</v>
      </c>
    </row>
    <row r="175" spans="1:24" ht="11.25" customHeight="1">
      <c r="A175" s="99">
        <v>2002</v>
      </c>
      <c r="B175" s="142">
        <f t="shared" ref="B175:L175" si="58">IF(AND(B127="-",B79="-",B31="-"),"-",SUM(B127,B79,B31))</f>
        <v>14</v>
      </c>
      <c r="C175" s="142">
        <f t="shared" si="58"/>
        <v>2979</v>
      </c>
      <c r="D175" s="142">
        <f t="shared" si="58"/>
        <v>37914</v>
      </c>
      <c r="E175" s="142">
        <f t="shared" si="58"/>
        <v>25311</v>
      </c>
      <c r="F175" s="142">
        <f t="shared" si="58"/>
        <v>43254</v>
      </c>
      <c r="G175" s="142">
        <f t="shared" si="58"/>
        <v>68567</v>
      </c>
      <c r="H175" s="142">
        <f t="shared" si="58"/>
        <v>32387</v>
      </c>
      <c r="I175" s="142">
        <f t="shared" si="58"/>
        <v>12998</v>
      </c>
      <c r="J175" s="142">
        <f t="shared" si="58"/>
        <v>3285</v>
      </c>
      <c r="K175" s="142">
        <f t="shared" si="58"/>
        <v>61</v>
      </c>
      <c r="L175" s="142">
        <f t="shared" si="58"/>
        <v>226770</v>
      </c>
      <c r="N175" s="142" t="str">
        <f t="shared" ref="N175:W175" si="59">IF(AND(N127="-",N79="-",N31="-"),"-",IF(OR(ISNUMBER(N127),ISNUMBER(N79),ISNUMBER(N31)),SUM(N127,N79,N31),"--"))</f>
        <v>-</v>
      </c>
      <c r="O175" s="142" t="str">
        <f t="shared" si="59"/>
        <v>-</v>
      </c>
      <c r="P175" s="142">
        <f t="shared" si="59"/>
        <v>2</v>
      </c>
      <c r="Q175" s="142">
        <f t="shared" si="59"/>
        <v>32</v>
      </c>
      <c r="R175" s="142">
        <f t="shared" si="59"/>
        <v>418</v>
      </c>
      <c r="S175" s="142">
        <f t="shared" si="59"/>
        <v>20076</v>
      </c>
      <c r="T175" s="142">
        <f t="shared" si="59"/>
        <v>2266</v>
      </c>
      <c r="U175" s="142">
        <f t="shared" si="59"/>
        <v>144</v>
      </c>
      <c r="V175" s="142">
        <f t="shared" si="59"/>
        <v>24</v>
      </c>
      <c r="W175" s="142" t="str">
        <f t="shared" si="59"/>
        <v>-</v>
      </c>
      <c r="X175" s="142">
        <f t="shared" si="7"/>
        <v>22962</v>
      </c>
    </row>
    <row r="176" spans="1:24" ht="11.25" customHeight="1">
      <c r="A176" s="99">
        <v>2003</v>
      </c>
      <c r="B176" s="142">
        <f t="shared" ref="B176:L176" si="60">IF(AND(B128="-",B80="-",B32="-"),"-",SUM(B128,B80,B32))</f>
        <v>444</v>
      </c>
      <c r="C176" s="142">
        <f t="shared" si="60"/>
        <v>3980</v>
      </c>
      <c r="D176" s="142">
        <f t="shared" si="60"/>
        <v>9591</v>
      </c>
      <c r="E176" s="142">
        <f t="shared" si="60"/>
        <v>15862</v>
      </c>
      <c r="F176" s="142">
        <f t="shared" si="60"/>
        <v>24135</v>
      </c>
      <c r="G176" s="142">
        <f t="shared" si="60"/>
        <v>47196</v>
      </c>
      <c r="H176" s="142">
        <f t="shared" si="60"/>
        <v>18866</v>
      </c>
      <c r="I176" s="142">
        <f t="shared" si="60"/>
        <v>9987</v>
      </c>
      <c r="J176" s="142">
        <f t="shared" si="60"/>
        <v>2873</v>
      </c>
      <c r="K176" s="142">
        <f t="shared" si="60"/>
        <v>64</v>
      </c>
      <c r="L176" s="142">
        <f t="shared" si="60"/>
        <v>132998</v>
      </c>
      <c r="M176" s="24"/>
      <c r="N176" s="142" t="str">
        <f t="shared" ref="N176:W176" si="61">IF(AND(N128="-",N80="-",N32="-"),"-",IF(OR(ISNUMBER(N128),ISNUMBER(N80),ISNUMBER(N32)),SUM(N128,N80,N32),"--"))</f>
        <v>-</v>
      </c>
      <c r="O176" s="142" t="str">
        <f t="shared" si="61"/>
        <v>-</v>
      </c>
      <c r="P176" s="142" t="str">
        <f t="shared" si="61"/>
        <v>-</v>
      </c>
      <c r="Q176" s="142">
        <f t="shared" si="61"/>
        <v>101</v>
      </c>
      <c r="R176" s="142">
        <f t="shared" si="61"/>
        <v>7834</v>
      </c>
      <c r="S176" s="142">
        <f t="shared" si="61"/>
        <v>51075</v>
      </c>
      <c r="T176" s="142">
        <f t="shared" si="61"/>
        <v>25392</v>
      </c>
      <c r="U176" s="142">
        <f t="shared" si="61"/>
        <v>85</v>
      </c>
      <c r="V176" s="142">
        <f t="shared" si="61"/>
        <v>14</v>
      </c>
      <c r="W176" s="142" t="str">
        <f t="shared" si="61"/>
        <v>-</v>
      </c>
      <c r="X176" s="142">
        <f t="shared" si="7"/>
        <v>84501</v>
      </c>
    </row>
    <row r="177" spans="1:256" ht="11.25" customHeight="1">
      <c r="A177" s="99">
        <v>2004</v>
      </c>
      <c r="B177" s="142">
        <f t="shared" ref="B177:L177" si="62">IF(AND(B129="-",B81="-",B33="-"),"-",SUM(B129,B81,B33))</f>
        <v>41</v>
      </c>
      <c r="C177" s="142">
        <f t="shared" si="62"/>
        <v>512</v>
      </c>
      <c r="D177" s="142">
        <f t="shared" si="62"/>
        <v>31494</v>
      </c>
      <c r="E177" s="142">
        <f t="shared" si="62"/>
        <v>31676</v>
      </c>
      <c r="F177" s="142">
        <f t="shared" si="62"/>
        <v>42382</v>
      </c>
      <c r="G177" s="142">
        <f t="shared" si="62"/>
        <v>98194</v>
      </c>
      <c r="H177" s="142">
        <f t="shared" si="62"/>
        <v>48716</v>
      </c>
      <c r="I177" s="142">
        <f t="shared" si="62"/>
        <v>16984</v>
      </c>
      <c r="J177" s="142">
        <f t="shared" si="62"/>
        <v>4958</v>
      </c>
      <c r="K177" s="142">
        <f t="shared" si="62"/>
        <v>407</v>
      </c>
      <c r="L177" s="142">
        <f t="shared" si="62"/>
        <v>275364</v>
      </c>
      <c r="M177" s="24"/>
      <c r="N177" s="142" t="str">
        <f t="shared" ref="N177:W177" si="63">IF(AND(N129="-",N81="-",N33="-"),"-",IF(OR(ISNUMBER(N129),ISNUMBER(N81),ISNUMBER(N33)),SUM(N129,N81,N33),"--"))</f>
        <v>-</v>
      </c>
      <c r="O177" s="142" t="str">
        <f t="shared" si="63"/>
        <v>-</v>
      </c>
      <c r="P177" s="142" t="str">
        <f t="shared" si="63"/>
        <v>-</v>
      </c>
      <c r="Q177" s="142">
        <f t="shared" si="63"/>
        <v>237</v>
      </c>
      <c r="R177" s="142">
        <f t="shared" si="63"/>
        <v>5508</v>
      </c>
      <c r="S177" s="142">
        <f t="shared" si="63"/>
        <v>32211</v>
      </c>
      <c r="T177" s="142">
        <f t="shared" si="63"/>
        <v>12237</v>
      </c>
      <c r="U177" s="142">
        <f t="shared" si="63"/>
        <v>542</v>
      </c>
      <c r="V177" s="142">
        <f t="shared" si="63"/>
        <v>26</v>
      </c>
      <c r="W177" s="142" t="str">
        <f t="shared" si="63"/>
        <v>-</v>
      </c>
      <c r="X177" s="142">
        <f t="shared" si="7"/>
        <v>50761</v>
      </c>
    </row>
    <row r="178" spans="1:256" ht="11.25" customHeight="1">
      <c r="A178" s="99">
        <v>2005</v>
      </c>
      <c r="B178" s="142">
        <f t="shared" ref="B178:L178" si="64">IF(AND(B130="-",B82="-",B34="-"),"-",SUM(B130,B82,B34))</f>
        <v>285</v>
      </c>
      <c r="C178" s="142">
        <f t="shared" si="64"/>
        <v>117</v>
      </c>
      <c r="D178" s="142">
        <f t="shared" si="64"/>
        <v>14359</v>
      </c>
      <c r="E178" s="142">
        <f t="shared" si="64"/>
        <v>15679</v>
      </c>
      <c r="F178" s="142">
        <f t="shared" si="64"/>
        <v>45265</v>
      </c>
      <c r="G178" s="142">
        <f t="shared" si="64"/>
        <v>40639</v>
      </c>
      <c r="H178" s="142">
        <f t="shared" si="64"/>
        <v>25828</v>
      </c>
      <c r="I178" s="142">
        <f t="shared" si="64"/>
        <v>20401</v>
      </c>
      <c r="J178" s="142">
        <f t="shared" si="64"/>
        <v>4639</v>
      </c>
      <c r="K178" s="142">
        <f t="shared" si="64"/>
        <v>355</v>
      </c>
      <c r="L178" s="142">
        <f t="shared" si="64"/>
        <v>167567</v>
      </c>
      <c r="M178" s="24"/>
      <c r="N178" s="142" t="str">
        <f t="shared" ref="N178:W178" si="65">IF(AND(N130="-",N82="-",N34="-"),"-",IF(OR(ISNUMBER(N130),ISNUMBER(N82),ISNUMBER(N34)),SUM(N130,N82,N34),"--"))</f>
        <v>-</v>
      </c>
      <c r="O178" s="142" t="str">
        <f t="shared" si="65"/>
        <v>-</v>
      </c>
      <c r="P178" s="142" t="str">
        <f t="shared" si="65"/>
        <v>-</v>
      </c>
      <c r="Q178" s="142">
        <f t="shared" si="65"/>
        <v>59</v>
      </c>
      <c r="R178" s="142">
        <f t="shared" si="65"/>
        <v>2443</v>
      </c>
      <c r="S178" s="142">
        <f t="shared" si="65"/>
        <v>1668</v>
      </c>
      <c r="T178" s="142">
        <f t="shared" si="65"/>
        <v>105</v>
      </c>
      <c r="U178" s="142">
        <f t="shared" si="65"/>
        <v>164</v>
      </c>
      <c r="V178" s="142" t="str">
        <f t="shared" si="65"/>
        <v>-</v>
      </c>
      <c r="W178" s="142" t="str">
        <f t="shared" si="65"/>
        <v>-</v>
      </c>
      <c r="X178" s="142">
        <f t="shared" si="7"/>
        <v>4439</v>
      </c>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c r="AX178" s="142"/>
      <c r="AY178" s="142"/>
      <c r="AZ178" s="142"/>
      <c r="BA178" s="142"/>
      <c r="BB178" s="142"/>
      <c r="BC178" s="142"/>
      <c r="BD178" s="142"/>
      <c r="BE178" s="142"/>
      <c r="BF178" s="142"/>
      <c r="BG178" s="142"/>
      <c r="BH178" s="142"/>
      <c r="BI178" s="142"/>
      <c r="BJ178" s="142"/>
      <c r="BK178" s="142"/>
      <c r="BL178" s="142"/>
      <c r="BM178" s="142"/>
      <c r="BN178" s="142"/>
      <c r="BO178" s="142"/>
      <c r="BP178" s="142"/>
      <c r="BQ178" s="142"/>
      <c r="BR178" s="142"/>
      <c r="BS178" s="142"/>
      <c r="BT178" s="142"/>
      <c r="BU178" s="142"/>
      <c r="BV178" s="142"/>
      <c r="BW178" s="142"/>
      <c r="BX178" s="142"/>
      <c r="BY178" s="142"/>
      <c r="BZ178" s="142"/>
      <c r="CA178" s="142"/>
      <c r="CB178" s="142"/>
      <c r="CC178" s="142"/>
      <c r="CD178" s="142"/>
      <c r="CE178" s="142"/>
      <c r="CF178" s="142"/>
      <c r="CG178" s="142"/>
      <c r="CH178" s="142"/>
      <c r="CI178" s="142"/>
      <c r="CJ178" s="142"/>
      <c r="CK178" s="142"/>
      <c r="CL178" s="142"/>
      <c r="CM178" s="142"/>
      <c r="CN178" s="142"/>
      <c r="CO178" s="142"/>
      <c r="CP178" s="142"/>
      <c r="CQ178" s="142"/>
      <c r="CR178" s="142"/>
      <c r="CS178" s="142"/>
      <c r="CT178" s="142"/>
      <c r="CU178" s="142"/>
      <c r="CV178" s="142"/>
      <c r="CW178" s="142"/>
      <c r="CX178" s="142"/>
      <c r="CY178" s="142"/>
      <c r="CZ178" s="142"/>
      <c r="DA178" s="142"/>
      <c r="DB178" s="142"/>
      <c r="DC178" s="142"/>
      <c r="DD178" s="142"/>
      <c r="DE178" s="142"/>
      <c r="DF178" s="142"/>
      <c r="DG178" s="142"/>
      <c r="DH178" s="142"/>
      <c r="DI178" s="142"/>
      <c r="DJ178" s="142"/>
      <c r="DK178" s="142"/>
      <c r="DL178" s="142"/>
      <c r="DM178" s="142"/>
      <c r="DN178" s="142"/>
      <c r="DO178" s="142"/>
      <c r="DP178" s="142"/>
      <c r="DQ178" s="142"/>
      <c r="DR178" s="142"/>
      <c r="DS178" s="142"/>
      <c r="DT178" s="142"/>
      <c r="DU178" s="142"/>
      <c r="DV178" s="142"/>
      <c r="DW178" s="142"/>
      <c r="DX178" s="142"/>
      <c r="DY178" s="142"/>
      <c r="DZ178" s="142"/>
      <c r="EA178" s="142"/>
      <c r="EB178" s="142"/>
      <c r="EC178" s="142"/>
      <c r="ED178" s="142"/>
      <c r="EE178" s="142"/>
      <c r="EF178" s="142"/>
      <c r="EG178" s="142"/>
      <c r="EH178" s="142"/>
      <c r="EI178" s="142"/>
      <c r="EJ178" s="142"/>
      <c r="EK178" s="142"/>
      <c r="EL178" s="142"/>
      <c r="EM178" s="142"/>
      <c r="EN178" s="142"/>
      <c r="EO178" s="142"/>
      <c r="EP178" s="142"/>
      <c r="EQ178" s="142"/>
      <c r="ER178" s="142"/>
      <c r="ES178" s="142"/>
      <c r="ET178" s="142"/>
      <c r="EU178" s="142"/>
      <c r="EV178" s="142"/>
      <c r="EW178" s="142"/>
      <c r="EX178" s="142"/>
      <c r="EY178" s="142"/>
      <c r="EZ178" s="142"/>
      <c r="FA178" s="142"/>
      <c r="FB178" s="142"/>
      <c r="FC178" s="142"/>
      <c r="FD178" s="142"/>
      <c r="FE178" s="142"/>
      <c r="FF178" s="142"/>
      <c r="FG178" s="142"/>
      <c r="FH178" s="142"/>
      <c r="FI178" s="142"/>
      <c r="FJ178" s="142"/>
      <c r="FK178" s="142"/>
      <c r="FL178" s="142"/>
      <c r="FM178" s="142"/>
      <c r="FN178" s="142"/>
      <c r="FO178" s="142"/>
      <c r="FP178" s="142"/>
      <c r="FQ178" s="142"/>
      <c r="FR178" s="142"/>
      <c r="FS178" s="142"/>
      <c r="FT178" s="142"/>
      <c r="FU178" s="142"/>
      <c r="FV178" s="142"/>
      <c r="FW178" s="142"/>
      <c r="FX178" s="142"/>
      <c r="FY178" s="142"/>
      <c r="FZ178" s="142"/>
      <c r="GA178" s="142"/>
      <c r="GB178" s="142"/>
      <c r="GC178" s="142"/>
      <c r="GD178" s="142"/>
      <c r="GE178" s="142"/>
      <c r="GF178" s="142"/>
      <c r="GG178" s="142"/>
      <c r="GH178" s="142"/>
      <c r="GI178" s="142"/>
      <c r="GJ178" s="142"/>
      <c r="GK178" s="142"/>
      <c r="GL178" s="142"/>
      <c r="GM178" s="142"/>
      <c r="GN178" s="142"/>
      <c r="GO178" s="142"/>
      <c r="GP178" s="142"/>
      <c r="GQ178" s="142"/>
      <c r="GR178" s="142"/>
      <c r="GS178" s="142"/>
      <c r="GT178" s="142"/>
      <c r="GU178" s="142"/>
      <c r="GV178" s="142"/>
      <c r="GW178" s="142"/>
      <c r="GX178" s="142"/>
      <c r="GY178" s="142"/>
      <c r="GZ178" s="142"/>
      <c r="HA178" s="142"/>
      <c r="HB178" s="142"/>
      <c r="HC178" s="142"/>
      <c r="HD178" s="142"/>
      <c r="HE178" s="142"/>
      <c r="HF178" s="142"/>
      <c r="HG178" s="142"/>
      <c r="HH178" s="142"/>
      <c r="HI178" s="142"/>
      <c r="HJ178" s="142"/>
      <c r="HK178" s="142"/>
      <c r="HL178" s="142"/>
      <c r="HM178" s="142"/>
      <c r="HN178" s="142"/>
      <c r="HO178" s="142"/>
      <c r="HP178" s="142"/>
      <c r="HQ178" s="142"/>
      <c r="HR178" s="142"/>
      <c r="HS178" s="142"/>
      <c r="HT178" s="142"/>
      <c r="HU178" s="142"/>
      <c r="HV178" s="142"/>
      <c r="HW178" s="142"/>
      <c r="HX178" s="142"/>
      <c r="HY178" s="142"/>
      <c r="HZ178" s="142"/>
      <c r="IA178" s="142"/>
      <c r="IB178" s="142"/>
      <c r="IC178" s="142"/>
      <c r="ID178" s="142"/>
      <c r="IE178" s="142"/>
      <c r="IF178" s="142"/>
      <c r="IG178" s="142"/>
      <c r="IH178" s="142"/>
      <c r="II178" s="142"/>
      <c r="IJ178" s="142"/>
      <c r="IK178" s="142"/>
      <c r="IL178" s="142"/>
      <c r="IM178" s="142"/>
      <c r="IN178" s="142"/>
      <c r="IO178" s="142"/>
      <c r="IP178" s="142"/>
      <c r="IQ178" s="142"/>
      <c r="IR178" s="142"/>
      <c r="IS178" s="142"/>
      <c r="IT178" s="142"/>
      <c r="IU178" s="142"/>
      <c r="IV178" s="142"/>
    </row>
    <row r="179" spans="1:256" ht="11.25" customHeight="1">
      <c r="A179" s="99">
        <v>2006</v>
      </c>
      <c r="B179" s="142">
        <f t="shared" ref="B179:L179" si="66">IF(AND(B131="-",B83="-",B35="-"),"-",SUM(B131,B83,B35))</f>
        <v>55</v>
      </c>
      <c r="C179" s="142">
        <f t="shared" si="66"/>
        <v>111</v>
      </c>
      <c r="D179" s="142">
        <f t="shared" si="66"/>
        <v>9412</v>
      </c>
      <c r="E179" s="142">
        <f t="shared" si="66"/>
        <v>18921</v>
      </c>
      <c r="F179" s="142">
        <f t="shared" si="66"/>
        <v>30838</v>
      </c>
      <c r="G179" s="142">
        <f t="shared" si="66"/>
        <v>32927</v>
      </c>
      <c r="H179" s="142">
        <f t="shared" si="66"/>
        <v>5005</v>
      </c>
      <c r="I179" s="142">
        <f t="shared" si="66"/>
        <v>7309</v>
      </c>
      <c r="J179" s="142">
        <f t="shared" si="66"/>
        <v>2677</v>
      </c>
      <c r="K179" s="142">
        <f t="shared" si="66"/>
        <v>116</v>
      </c>
      <c r="L179" s="142">
        <f t="shared" si="66"/>
        <v>107371</v>
      </c>
      <c r="M179" s="24"/>
      <c r="N179" s="142" t="str">
        <f t="shared" ref="N179:W179" si="67">IF(AND(N131="-",N83="-",N35="-"),"-",IF(OR(ISNUMBER(N131),ISNUMBER(N83),ISNUMBER(N35)),SUM(N131,N83,N35),"--"))</f>
        <v>-</v>
      </c>
      <c r="O179" s="142" t="str">
        <f t="shared" si="67"/>
        <v>-</v>
      </c>
      <c r="P179" s="142" t="str">
        <f t="shared" si="67"/>
        <v>-</v>
      </c>
      <c r="Q179" s="142">
        <f t="shared" si="67"/>
        <v>201</v>
      </c>
      <c r="R179" s="142">
        <f t="shared" si="67"/>
        <v>1612</v>
      </c>
      <c r="S179" s="142">
        <f t="shared" si="67"/>
        <v>9084</v>
      </c>
      <c r="T179" s="142">
        <f t="shared" si="67"/>
        <v>85</v>
      </c>
      <c r="U179" s="142">
        <f t="shared" si="67"/>
        <v>803</v>
      </c>
      <c r="V179" s="142">
        <f t="shared" si="67"/>
        <v>7</v>
      </c>
      <c r="W179" s="142" t="str">
        <f t="shared" si="67"/>
        <v>-</v>
      </c>
      <c r="X179" s="142">
        <f t="shared" si="7"/>
        <v>11792</v>
      </c>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c r="AX179" s="142"/>
      <c r="AY179" s="142"/>
      <c r="AZ179" s="142"/>
      <c r="BA179" s="142"/>
      <c r="BB179" s="142"/>
      <c r="BC179" s="142"/>
      <c r="BD179" s="142"/>
      <c r="BE179" s="142"/>
      <c r="BF179" s="142"/>
      <c r="BG179" s="142"/>
      <c r="BH179" s="142"/>
      <c r="BI179" s="142"/>
      <c r="BJ179" s="142"/>
      <c r="BK179" s="142"/>
      <c r="BL179" s="142"/>
      <c r="BM179" s="142"/>
      <c r="BN179" s="142"/>
      <c r="BO179" s="142"/>
      <c r="BP179" s="142"/>
      <c r="BQ179" s="142"/>
      <c r="BR179" s="142"/>
      <c r="BS179" s="142"/>
      <c r="BT179" s="142"/>
      <c r="BU179" s="142"/>
      <c r="BV179" s="142"/>
      <c r="BW179" s="142"/>
      <c r="BX179" s="142"/>
      <c r="BY179" s="142"/>
      <c r="BZ179" s="142"/>
      <c r="CA179" s="142"/>
      <c r="CB179" s="142"/>
      <c r="CC179" s="142"/>
      <c r="CD179" s="142"/>
      <c r="CE179" s="142"/>
      <c r="CF179" s="142"/>
      <c r="CG179" s="142"/>
      <c r="CH179" s="142"/>
      <c r="CI179" s="142"/>
      <c r="CJ179" s="142"/>
      <c r="CK179" s="142"/>
      <c r="CL179" s="142"/>
      <c r="CM179" s="142"/>
      <c r="CN179" s="142"/>
      <c r="CO179" s="142"/>
      <c r="CP179" s="142"/>
      <c r="CQ179" s="142"/>
      <c r="CR179" s="142"/>
      <c r="CS179" s="142"/>
      <c r="CT179" s="142"/>
      <c r="CU179" s="142"/>
      <c r="CV179" s="142"/>
      <c r="CW179" s="142"/>
      <c r="CX179" s="142"/>
      <c r="CY179" s="142"/>
      <c r="CZ179" s="142"/>
      <c r="DA179" s="142"/>
      <c r="DB179" s="142"/>
      <c r="DC179" s="142"/>
      <c r="DD179" s="142"/>
      <c r="DE179" s="142"/>
      <c r="DF179" s="142"/>
      <c r="DG179" s="142"/>
      <c r="DH179" s="142"/>
      <c r="DI179" s="142"/>
      <c r="DJ179" s="142"/>
      <c r="DK179" s="142"/>
      <c r="DL179" s="142"/>
      <c r="DM179" s="142"/>
      <c r="DN179" s="142"/>
      <c r="DO179" s="142"/>
      <c r="DP179" s="142"/>
      <c r="DQ179" s="142"/>
      <c r="DR179" s="142"/>
      <c r="DS179" s="142"/>
      <c r="DT179" s="142"/>
      <c r="DU179" s="142"/>
      <c r="DV179" s="142"/>
      <c r="DW179" s="142"/>
      <c r="DX179" s="142"/>
      <c r="DY179" s="142"/>
      <c r="DZ179" s="142"/>
      <c r="EA179" s="142"/>
      <c r="EB179" s="142"/>
      <c r="EC179" s="142"/>
      <c r="ED179" s="142"/>
      <c r="EE179" s="142"/>
      <c r="EF179" s="142"/>
      <c r="EG179" s="142"/>
      <c r="EH179" s="142"/>
      <c r="EI179" s="142"/>
      <c r="EJ179" s="142"/>
      <c r="EK179" s="142"/>
      <c r="EL179" s="142"/>
      <c r="EM179" s="142"/>
      <c r="EN179" s="142"/>
      <c r="EO179" s="142"/>
      <c r="EP179" s="142"/>
      <c r="EQ179" s="142"/>
      <c r="ER179" s="142"/>
      <c r="ES179" s="142"/>
      <c r="ET179" s="142"/>
      <c r="EU179" s="142"/>
      <c r="EV179" s="142"/>
      <c r="EW179" s="142"/>
      <c r="EX179" s="142"/>
      <c r="EY179" s="142"/>
      <c r="EZ179" s="142"/>
      <c r="FA179" s="142"/>
      <c r="FB179" s="142"/>
      <c r="FC179" s="142"/>
      <c r="FD179" s="142"/>
      <c r="FE179" s="142"/>
      <c r="FF179" s="142"/>
      <c r="FG179" s="142"/>
      <c r="FH179" s="142"/>
      <c r="FI179" s="142"/>
      <c r="FJ179" s="142"/>
      <c r="FK179" s="142"/>
      <c r="FL179" s="142"/>
      <c r="FM179" s="142"/>
      <c r="FN179" s="142"/>
      <c r="FO179" s="142"/>
      <c r="FP179" s="142"/>
      <c r="FQ179" s="142"/>
      <c r="FR179" s="142"/>
      <c r="FS179" s="142"/>
      <c r="FT179" s="142"/>
      <c r="FU179" s="142"/>
      <c r="FV179" s="142"/>
      <c r="FW179" s="142"/>
      <c r="FX179" s="142"/>
      <c r="FY179" s="142"/>
      <c r="FZ179" s="142"/>
      <c r="GA179" s="142"/>
      <c r="GB179" s="142"/>
      <c r="GC179" s="142"/>
      <c r="GD179" s="142"/>
      <c r="GE179" s="142"/>
      <c r="GF179" s="142"/>
      <c r="GG179" s="142"/>
      <c r="GH179" s="142"/>
      <c r="GI179" s="142"/>
      <c r="GJ179" s="142"/>
      <c r="GK179" s="142"/>
      <c r="GL179" s="142"/>
      <c r="GM179" s="142"/>
      <c r="GN179" s="142"/>
      <c r="GO179" s="142"/>
      <c r="GP179" s="142"/>
      <c r="GQ179" s="142"/>
      <c r="GR179" s="142"/>
      <c r="GS179" s="142"/>
      <c r="GT179" s="142"/>
      <c r="GU179" s="142"/>
      <c r="GV179" s="142"/>
      <c r="GW179" s="142"/>
      <c r="GX179" s="142"/>
      <c r="GY179" s="142"/>
      <c r="GZ179" s="142"/>
      <c r="HA179" s="142"/>
      <c r="HB179" s="142"/>
      <c r="HC179" s="142"/>
      <c r="HD179" s="142"/>
      <c r="HE179" s="142"/>
      <c r="HF179" s="142"/>
      <c r="HG179" s="142"/>
      <c r="HH179" s="142"/>
      <c r="HI179" s="142"/>
      <c r="HJ179" s="142"/>
      <c r="HK179" s="142"/>
      <c r="HL179" s="142"/>
      <c r="HM179" s="142"/>
      <c r="HN179" s="142"/>
      <c r="HO179" s="142"/>
      <c r="HP179" s="142"/>
      <c r="HQ179" s="142"/>
      <c r="HR179" s="142"/>
      <c r="HS179" s="142"/>
      <c r="HT179" s="142"/>
      <c r="HU179" s="142"/>
      <c r="HV179" s="142"/>
      <c r="HW179" s="142"/>
      <c r="HX179" s="142"/>
      <c r="HY179" s="142"/>
      <c r="HZ179" s="142"/>
      <c r="IA179" s="142"/>
      <c r="IB179" s="142"/>
      <c r="IC179" s="142"/>
      <c r="ID179" s="142"/>
      <c r="IE179" s="142"/>
      <c r="IF179" s="142"/>
      <c r="IG179" s="142"/>
      <c r="IH179" s="142"/>
      <c r="II179" s="142"/>
      <c r="IJ179" s="142"/>
      <c r="IK179" s="142"/>
      <c r="IL179" s="142"/>
      <c r="IM179" s="142"/>
      <c r="IN179" s="142"/>
      <c r="IO179" s="142"/>
      <c r="IP179" s="142"/>
      <c r="IQ179" s="142"/>
      <c r="IR179" s="142"/>
      <c r="IS179" s="142"/>
      <c r="IT179" s="142"/>
      <c r="IU179" s="142"/>
      <c r="IV179" s="142"/>
    </row>
    <row r="180" spans="1:256" ht="11.25" customHeight="1">
      <c r="A180" s="99">
        <v>2007</v>
      </c>
      <c r="B180" s="142">
        <f t="shared" ref="B180:L180" si="68">IF(AND(B132="-",B84="-",B36="-"),"-",SUM(B132,B84,B36))</f>
        <v>48</v>
      </c>
      <c r="C180" s="142">
        <f t="shared" si="68"/>
        <v>203</v>
      </c>
      <c r="D180" s="142">
        <f t="shared" si="68"/>
        <v>3152</v>
      </c>
      <c r="E180" s="142">
        <f t="shared" si="68"/>
        <v>7318</v>
      </c>
      <c r="F180" s="142">
        <f t="shared" si="68"/>
        <v>14158</v>
      </c>
      <c r="G180" s="142">
        <f t="shared" si="68"/>
        <v>13885</v>
      </c>
      <c r="H180" s="142">
        <f t="shared" si="68"/>
        <v>10294</v>
      </c>
      <c r="I180" s="142">
        <f t="shared" si="68"/>
        <v>3202</v>
      </c>
      <c r="J180" s="142">
        <f t="shared" si="68"/>
        <v>1450</v>
      </c>
      <c r="K180" s="142">
        <f t="shared" si="68"/>
        <v>341</v>
      </c>
      <c r="L180" s="142">
        <f t="shared" si="68"/>
        <v>54051</v>
      </c>
      <c r="M180" s="24"/>
      <c r="N180" s="142" t="str">
        <f t="shared" ref="N180:W180" si="69">IF(AND(N132="-",N84="-",N36="-"),"-",IF(OR(ISNUMBER(N132),ISNUMBER(N84),ISNUMBER(N36)),SUM(N132,N84,N36),"--"))</f>
        <v>-</v>
      </c>
      <c r="O180" s="142" t="str">
        <f t="shared" si="69"/>
        <v>-</v>
      </c>
      <c r="P180" s="142" t="str">
        <f t="shared" si="69"/>
        <v>-</v>
      </c>
      <c r="Q180" s="142">
        <f t="shared" si="69"/>
        <v>55</v>
      </c>
      <c r="R180" s="142">
        <f t="shared" si="69"/>
        <v>5083</v>
      </c>
      <c r="S180" s="142">
        <f t="shared" si="69"/>
        <v>20117</v>
      </c>
      <c r="T180" s="142">
        <f t="shared" si="69"/>
        <v>17359</v>
      </c>
      <c r="U180" s="142">
        <f t="shared" si="69"/>
        <v>385</v>
      </c>
      <c r="V180" s="142">
        <f t="shared" si="69"/>
        <v>3</v>
      </c>
      <c r="W180" s="142" t="str">
        <f t="shared" si="69"/>
        <v>-</v>
      </c>
      <c r="X180" s="142">
        <f t="shared" si="7"/>
        <v>43002</v>
      </c>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c r="AX180" s="142"/>
      <c r="AY180" s="142"/>
      <c r="AZ180" s="142"/>
      <c r="BA180" s="142"/>
      <c r="BB180" s="142"/>
      <c r="BC180" s="142"/>
      <c r="BD180" s="142"/>
      <c r="BE180" s="142"/>
      <c r="BF180" s="142"/>
      <c r="BG180" s="142"/>
      <c r="BH180" s="142"/>
      <c r="BI180" s="142"/>
      <c r="BJ180" s="142"/>
      <c r="BK180" s="142"/>
      <c r="BL180" s="142"/>
      <c r="BM180" s="142"/>
      <c r="BN180" s="142"/>
      <c r="BO180" s="142"/>
      <c r="BP180" s="142"/>
      <c r="BQ180" s="142"/>
      <c r="BR180" s="142"/>
      <c r="BS180" s="142"/>
      <c r="BT180" s="142"/>
      <c r="BU180" s="142"/>
      <c r="BV180" s="142"/>
      <c r="BW180" s="142"/>
      <c r="BX180" s="142"/>
      <c r="BY180" s="142"/>
      <c r="BZ180" s="142"/>
      <c r="CA180" s="142"/>
      <c r="CB180" s="142"/>
      <c r="CC180" s="142"/>
      <c r="CD180" s="142"/>
      <c r="CE180" s="142"/>
      <c r="CF180" s="142"/>
      <c r="CG180" s="142"/>
      <c r="CH180" s="142"/>
      <c r="CI180" s="142"/>
      <c r="CJ180" s="142"/>
      <c r="CK180" s="142"/>
      <c r="CL180" s="142"/>
      <c r="CM180" s="142"/>
      <c r="CN180" s="142"/>
      <c r="CO180" s="142"/>
      <c r="CP180" s="142"/>
      <c r="CQ180" s="142"/>
      <c r="CR180" s="142"/>
      <c r="CS180" s="142"/>
      <c r="CT180" s="142"/>
      <c r="CU180" s="142"/>
      <c r="CV180" s="142"/>
      <c r="CW180" s="142"/>
      <c r="CX180" s="142"/>
      <c r="CY180" s="142"/>
      <c r="CZ180" s="142"/>
      <c r="DA180" s="142"/>
      <c r="DB180" s="142"/>
      <c r="DC180" s="142"/>
      <c r="DD180" s="142"/>
      <c r="DE180" s="142"/>
      <c r="DF180" s="142"/>
      <c r="DG180" s="142"/>
      <c r="DH180" s="142"/>
      <c r="DI180" s="142"/>
      <c r="DJ180" s="142"/>
      <c r="DK180" s="142"/>
      <c r="DL180" s="142"/>
      <c r="DM180" s="142"/>
      <c r="DN180" s="142"/>
      <c r="DO180" s="142"/>
      <c r="DP180" s="142"/>
      <c r="DQ180" s="142"/>
      <c r="DR180" s="142"/>
      <c r="DS180" s="142"/>
      <c r="DT180" s="142"/>
      <c r="DU180" s="142"/>
      <c r="DV180" s="142"/>
      <c r="DW180" s="142"/>
      <c r="DX180" s="142"/>
      <c r="DY180" s="142"/>
      <c r="DZ180" s="142"/>
      <c r="EA180" s="142"/>
      <c r="EB180" s="142"/>
      <c r="EC180" s="142"/>
      <c r="ED180" s="142"/>
      <c r="EE180" s="142"/>
      <c r="EF180" s="142"/>
      <c r="EG180" s="142"/>
      <c r="EH180" s="142"/>
      <c r="EI180" s="142"/>
      <c r="EJ180" s="142"/>
      <c r="EK180" s="142"/>
      <c r="EL180" s="142"/>
      <c r="EM180" s="142"/>
      <c r="EN180" s="142"/>
      <c r="EO180" s="142"/>
      <c r="EP180" s="142"/>
      <c r="EQ180" s="142"/>
      <c r="ER180" s="142"/>
      <c r="ES180" s="142"/>
      <c r="ET180" s="142"/>
      <c r="EU180" s="142"/>
      <c r="EV180" s="142"/>
      <c r="EW180" s="142"/>
      <c r="EX180" s="142"/>
      <c r="EY180" s="142"/>
      <c r="EZ180" s="142"/>
      <c r="FA180" s="142"/>
      <c r="FB180" s="142"/>
      <c r="FC180" s="142"/>
      <c r="FD180" s="142"/>
      <c r="FE180" s="142"/>
      <c r="FF180" s="142"/>
      <c r="FG180" s="142"/>
      <c r="FH180" s="142"/>
      <c r="FI180" s="142"/>
      <c r="FJ180" s="142"/>
      <c r="FK180" s="142"/>
      <c r="FL180" s="142"/>
      <c r="FM180" s="142"/>
      <c r="FN180" s="142"/>
      <c r="FO180" s="142"/>
      <c r="FP180" s="142"/>
      <c r="FQ180" s="142"/>
      <c r="FR180" s="142"/>
      <c r="FS180" s="142"/>
      <c r="FT180" s="142"/>
      <c r="FU180" s="142"/>
      <c r="FV180" s="142"/>
      <c r="FW180" s="142"/>
      <c r="FX180" s="142"/>
      <c r="FY180" s="142"/>
      <c r="FZ180" s="142"/>
      <c r="GA180" s="142"/>
      <c r="GB180" s="142"/>
      <c r="GC180" s="142"/>
      <c r="GD180" s="142"/>
      <c r="GE180" s="142"/>
      <c r="GF180" s="142"/>
      <c r="GG180" s="142"/>
      <c r="GH180" s="142"/>
      <c r="GI180" s="142"/>
      <c r="GJ180" s="142"/>
      <c r="GK180" s="142"/>
      <c r="GL180" s="142"/>
      <c r="GM180" s="142"/>
      <c r="GN180" s="142"/>
      <c r="GO180" s="142"/>
      <c r="GP180" s="142"/>
      <c r="GQ180" s="142"/>
      <c r="GR180" s="142"/>
      <c r="GS180" s="142"/>
      <c r="GT180" s="142"/>
      <c r="GU180" s="142"/>
      <c r="GV180" s="142"/>
      <c r="GW180" s="142"/>
      <c r="GX180" s="142"/>
      <c r="GY180" s="142"/>
      <c r="GZ180" s="142"/>
      <c r="HA180" s="142"/>
      <c r="HB180" s="142"/>
      <c r="HC180" s="142"/>
      <c r="HD180" s="142"/>
      <c r="HE180" s="142"/>
      <c r="HF180" s="142"/>
      <c r="HG180" s="142"/>
      <c r="HH180" s="142"/>
      <c r="HI180" s="142"/>
      <c r="HJ180" s="142"/>
      <c r="HK180" s="142"/>
      <c r="HL180" s="142"/>
      <c r="HM180" s="142"/>
      <c r="HN180" s="142"/>
      <c r="HO180" s="142"/>
      <c r="HP180" s="142"/>
      <c r="HQ180" s="142"/>
      <c r="HR180" s="142"/>
      <c r="HS180" s="142"/>
      <c r="HT180" s="142"/>
      <c r="HU180" s="142"/>
      <c r="HV180" s="142"/>
      <c r="HW180" s="142"/>
      <c r="HX180" s="142"/>
      <c r="HY180" s="142"/>
      <c r="HZ180" s="142"/>
      <c r="IA180" s="142"/>
      <c r="IB180" s="142"/>
      <c r="IC180" s="142"/>
      <c r="ID180" s="142"/>
      <c r="IE180" s="142"/>
      <c r="IF180" s="142"/>
      <c r="IG180" s="142"/>
      <c r="IH180" s="142"/>
      <c r="II180" s="142"/>
      <c r="IJ180" s="142"/>
      <c r="IK180" s="142"/>
      <c r="IL180" s="142"/>
      <c r="IM180" s="142"/>
      <c r="IN180" s="142"/>
      <c r="IO180" s="142"/>
      <c r="IP180" s="142"/>
      <c r="IQ180" s="142"/>
      <c r="IR180" s="142"/>
      <c r="IS180" s="142"/>
      <c r="IT180" s="142"/>
      <c r="IU180" s="142"/>
      <c r="IV180" s="142"/>
    </row>
    <row r="181" spans="1:256" ht="11.25" customHeight="1">
      <c r="A181" s="99">
        <v>2008</v>
      </c>
      <c r="B181" s="142">
        <f t="shared" ref="B181:J181" si="70">IF(AND(B133="-",B85="-",B37="-"),"-",SUM(B133,B85,B37))</f>
        <v>0</v>
      </c>
      <c r="C181" s="142">
        <f t="shared" si="70"/>
        <v>6</v>
      </c>
      <c r="D181" s="142" t="str">
        <f t="shared" si="70"/>
        <v>-</v>
      </c>
      <c r="E181" s="142" t="str">
        <f t="shared" si="70"/>
        <v>-</v>
      </c>
      <c r="F181" s="142">
        <f t="shared" si="70"/>
        <v>9</v>
      </c>
      <c r="G181" s="142">
        <f t="shared" si="70"/>
        <v>6</v>
      </c>
      <c r="H181" s="142">
        <f t="shared" si="70"/>
        <v>3</v>
      </c>
      <c r="I181" s="142">
        <f t="shared" si="70"/>
        <v>262</v>
      </c>
      <c r="J181" s="142">
        <f t="shared" si="70"/>
        <v>481</v>
      </c>
      <c r="K181" s="48" t="s">
        <v>106</v>
      </c>
      <c r="L181" s="142">
        <f t="shared" ref="L181:L192" si="71">IF(AND(L133="-",L85="-",L37="-"),"-",SUM(L133,L85,L37))</f>
        <v>767</v>
      </c>
      <c r="M181" s="24"/>
      <c r="N181" s="142" t="str">
        <f t="shared" ref="N181:W181" si="72">IF(AND(N133="-",N85="-",N37="-"),"-",IF(OR(ISNUMBER(N133),ISNUMBER(N85),ISNUMBER(N37)),SUM(N133,N85,N37),"--"))</f>
        <v>-</v>
      </c>
      <c r="O181" s="142" t="str">
        <f t="shared" si="72"/>
        <v>-</v>
      </c>
      <c r="P181" s="142" t="str">
        <f t="shared" si="72"/>
        <v>-</v>
      </c>
      <c r="Q181" s="142" t="str">
        <f t="shared" si="72"/>
        <v>-</v>
      </c>
      <c r="R181" s="142">
        <f t="shared" si="72"/>
        <v>1219</v>
      </c>
      <c r="S181" s="142">
        <f t="shared" si="72"/>
        <v>4084</v>
      </c>
      <c r="T181" s="142">
        <f t="shared" si="72"/>
        <v>4540</v>
      </c>
      <c r="U181" s="142">
        <f t="shared" si="72"/>
        <v>45</v>
      </c>
      <c r="V181" s="142">
        <f t="shared" si="72"/>
        <v>6</v>
      </c>
      <c r="W181" s="142" t="str">
        <f t="shared" si="72"/>
        <v>-</v>
      </c>
      <c r="X181" s="142">
        <f t="shared" si="7"/>
        <v>9894</v>
      </c>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c r="AX181" s="142"/>
      <c r="AY181" s="142"/>
      <c r="AZ181" s="142"/>
      <c r="BA181" s="142"/>
      <c r="BB181" s="142"/>
      <c r="BC181" s="142"/>
      <c r="BD181" s="142"/>
      <c r="BE181" s="142"/>
      <c r="BF181" s="142"/>
      <c r="BG181" s="142"/>
      <c r="BH181" s="142"/>
      <c r="BI181" s="142"/>
      <c r="BJ181" s="142"/>
      <c r="BK181" s="142"/>
      <c r="BL181" s="142"/>
      <c r="BM181" s="142"/>
      <c r="BN181" s="142"/>
      <c r="BO181" s="142"/>
      <c r="BP181" s="142"/>
      <c r="BQ181" s="142"/>
      <c r="BR181" s="142"/>
      <c r="BS181" s="142"/>
      <c r="BT181" s="142"/>
      <c r="BU181" s="142"/>
      <c r="BV181" s="142"/>
      <c r="BW181" s="142"/>
      <c r="BX181" s="142"/>
      <c r="BY181" s="142"/>
      <c r="BZ181" s="142"/>
      <c r="CA181" s="142"/>
      <c r="CB181" s="142"/>
      <c r="CC181" s="142"/>
      <c r="CD181" s="142"/>
      <c r="CE181" s="142"/>
      <c r="CF181" s="142"/>
      <c r="CG181" s="142"/>
      <c r="CH181" s="142"/>
      <c r="CI181" s="142"/>
      <c r="CJ181" s="142"/>
      <c r="CK181" s="142"/>
      <c r="CL181" s="142"/>
      <c r="CM181" s="142"/>
      <c r="CN181" s="142"/>
      <c r="CO181" s="142"/>
      <c r="CP181" s="142"/>
      <c r="CQ181" s="142"/>
      <c r="CR181" s="142"/>
      <c r="CS181" s="142"/>
      <c r="CT181" s="142"/>
      <c r="CU181" s="142"/>
      <c r="CV181" s="142"/>
      <c r="CW181" s="142"/>
      <c r="CX181" s="142"/>
      <c r="CY181" s="142"/>
      <c r="CZ181" s="142"/>
      <c r="DA181" s="142"/>
      <c r="DB181" s="142"/>
      <c r="DC181" s="142"/>
      <c r="DD181" s="142"/>
      <c r="DE181" s="142"/>
      <c r="DF181" s="142"/>
      <c r="DG181" s="142"/>
      <c r="DH181" s="142"/>
      <c r="DI181" s="142"/>
      <c r="DJ181" s="142"/>
      <c r="DK181" s="142"/>
      <c r="DL181" s="142"/>
      <c r="DM181" s="142"/>
      <c r="DN181" s="142"/>
      <c r="DO181" s="142"/>
      <c r="DP181" s="142"/>
      <c r="DQ181" s="142"/>
      <c r="DR181" s="142"/>
      <c r="DS181" s="142"/>
      <c r="DT181" s="142"/>
      <c r="DU181" s="142"/>
      <c r="DV181" s="142"/>
      <c r="DW181" s="142"/>
      <c r="DX181" s="142"/>
      <c r="DY181" s="142"/>
      <c r="DZ181" s="142"/>
      <c r="EA181" s="142"/>
      <c r="EB181" s="142"/>
      <c r="EC181" s="142"/>
      <c r="ED181" s="142"/>
      <c r="EE181" s="142"/>
      <c r="EF181" s="142"/>
      <c r="EG181" s="142"/>
      <c r="EH181" s="142"/>
      <c r="EI181" s="142"/>
      <c r="EJ181" s="142"/>
      <c r="EK181" s="142"/>
      <c r="EL181" s="142"/>
      <c r="EM181" s="142"/>
      <c r="EN181" s="142"/>
      <c r="EO181" s="142"/>
      <c r="EP181" s="142"/>
      <c r="EQ181" s="142"/>
      <c r="ER181" s="142"/>
      <c r="ES181" s="142"/>
      <c r="ET181" s="142"/>
      <c r="EU181" s="142"/>
      <c r="EV181" s="142"/>
      <c r="EW181" s="142"/>
      <c r="EX181" s="142"/>
      <c r="EY181" s="142"/>
      <c r="EZ181" s="142"/>
      <c r="FA181" s="142"/>
      <c r="FB181" s="142"/>
      <c r="FC181" s="142"/>
      <c r="FD181" s="142"/>
      <c r="FE181" s="142"/>
      <c r="FF181" s="142"/>
      <c r="FG181" s="142"/>
      <c r="FH181" s="142"/>
      <c r="FI181" s="142"/>
      <c r="FJ181" s="142"/>
      <c r="FK181" s="142"/>
      <c r="FL181" s="142"/>
      <c r="FM181" s="142"/>
      <c r="FN181" s="142"/>
      <c r="FO181" s="142"/>
      <c r="FP181" s="142"/>
      <c r="FQ181" s="142"/>
      <c r="FR181" s="142"/>
      <c r="FS181" s="142"/>
      <c r="FT181" s="142"/>
      <c r="FU181" s="142"/>
      <c r="FV181" s="142"/>
      <c r="FW181" s="142"/>
      <c r="FX181" s="142"/>
      <c r="FY181" s="142"/>
      <c r="FZ181" s="142"/>
      <c r="GA181" s="142"/>
      <c r="GB181" s="142"/>
      <c r="GC181" s="142"/>
      <c r="GD181" s="142"/>
      <c r="GE181" s="142"/>
      <c r="GF181" s="142"/>
      <c r="GG181" s="142"/>
      <c r="GH181" s="142"/>
      <c r="GI181" s="142"/>
      <c r="GJ181" s="142"/>
      <c r="GK181" s="142"/>
      <c r="GL181" s="142"/>
      <c r="GM181" s="142"/>
      <c r="GN181" s="142"/>
      <c r="GO181" s="142"/>
      <c r="GP181" s="142"/>
      <c r="GQ181" s="142"/>
      <c r="GR181" s="142"/>
      <c r="GS181" s="142"/>
      <c r="GT181" s="142"/>
      <c r="GU181" s="142"/>
      <c r="GV181" s="142"/>
      <c r="GW181" s="142"/>
      <c r="GX181" s="142"/>
      <c r="GY181" s="142"/>
      <c r="GZ181" s="142"/>
      <c r="HA181" s="142"/>
      <c r="HB181" s="142"/>
      <c r="HC181" s="142"/>
      <c r="HD181" s="142"/>
      <c r="HE181" s="142"/>
      <c r="HF181" s="142"/>
      <c r="HG181" s="142"/>
      <c r="HH181" s="142"/>
      <c r="HI181" s="142"/>
      <c r="HJ181" s="142"/>
      <c r="HK181" s="142"/>
      <c r="HL181" s="142"/>
      <c r="HM181" s="142"/>
      <c r="HN181" s="142"/>
      <c r="HO181" s="142"/>
      <c r="HP181" s="142"/>
      <c r="HQ181" s="142"/>
      <c r="HR181" s="142"/>
      <c r="HS181" s="142"/>
      <c r="HT181" s="142"/>
      <c r="HU181" s="142"/>
      <c r="HV181" s="142"/>
      <c r="HW181" s="142"/>
      <c r="HX181" s="142"/>
      <c r="HY181" s="142"/>
      <c r="HZ181" s="142"/>
      <c r="IA181" s="142"/>
      <c r="IB181" s="142"/>
      <c r="IC181" s="142"/>
      <c r="ID181" s="142"/>
      <c r="IE181" s="142"/>
      <c r="IF181" s="142"/>
      <c r="IG181" s="142"/>
      <c r="IH181" s="142"/>
      <c r="II181" s="142"/>
      <c r="IJ181" s="142"/>
      <c r="IK181" s="142"/>
      <c r="IL181" s="142"/>
      <c r="IM181" s="142"/>
      <c r="IN181" s="142"/>
      <c r="IO181" s="142"/>
      <c r="IP181" s="142"/>
      <c r="IQ181" s="142"/>
      <c r="IR181" s="142"/>
      <c r="IS181" s="142"/>
      <c r="IT181" s="142"/>
      <c r="IU181" s="142"/>
      <c r="IV181" s="142"/>
    </row>
    <row r="182" spans="1:256" ht="11.25" customHeight="1">
      <c r="A182" s="99">
        <v>2009</v>
      </c>
      <c r="B182" s="142" t="str">
        <f t="shared" ref="B182:J182" si="73">IF(AND(B134="-",B86="-",B38="-"),"-",SUM(B134,B86,B38))</f>
        <v>-</v>
      </c>
      <c r="C182" s="142" t="str">
        <f t="shared" si="73"/>
        <v>-</v>
      </c>
      <c r="D182" s="142" t="str">
        <f t="shared" si="73"/>
        <v>-</v>
      </c>
      <c r="E182" s="142" t="str">
        <f t="shared" si="73"/>
        <v>-</v>
      </c>
      <c r="F182" s="142">
        <f t="shared" si="73"/>
        <v>9</v>
      </c>
      <c r="G182" s="142">
        <f t="shared" si="73"/>
        <v>45</v>
      </c>
      <c r="H182" s="142">
        <f t="shared" si="73"/>
        <v>372</v>
      </c>
      <c r="I182" s="142">
        <f t="shared" si="73"/>
        <v>625</v>
      </c>
      <c r="J182" s="142">
        <f t="shared" si="73"/>
        <v>226</v>
      </c>
      <c r="K182" s="48" t="s">
        <v>106</v>
      </c>
      <c r="L182" s="142">
        <f t="shared" si="71"/>
        <v>1277</v>
      </c>
      <c r="M182" s="24"/>
      <c r="N182" s="142" t="str">
        <f t="shared" ref="N182:W182" si="74">IF(AND(N134="-",N86="-",N38="-"),"-",IF(OR(ISNUMBER(N134),ISNUMBER(N86),ISNUMBER(N38)),SUM(N134,N86,N38),"--"))</f>
        <v>-</v>
      </c>
      <c r="O182" s="142" t="str">
        <f t="shared" si="74"/>
        <v>-</v>
      </c>
      <c r="P182" s="142" t="str">
        <f t="shared" si="74"/>
        <v>-</v>
      </c>
      <c r="Q182" s="142" t="str">
        <f t="shared" si="74"/>
        <v>-</v>
      </c>
      <c r="R182" s="142">
        <f t="shared" si="74"/>
        <v>4865</v>
      </c>
      <c r="S182" s="142">
        <f t="shared" si="74"/>
        <v>39124</v>
      </c>
      <c r="T182" s="142">
        <f t="shared" si="74"/>
        <v>25384</v>
      </c>
      <c r="U182" s="142">
        <f t="shared" si="74"/>
        <v>816</v>
      </c>
      <c r="V182" s="142">
        <f t="shared" si="74"/>
        <v>6</v>
      </c>
      <c r="W182" s="142" t="str">
        <f t="shared" si="74"/>
        <v>-</v>
      </c>
      <c r="X182" s="142">
        <f t="shared" si="7"/>
        <v>70195</v>
      </c>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c r="AX182" s="142"/>
      <c r="AY182" s="142"/>
      <c r="AZ182" s="142"/>
      <c r="BA182" s="142"/>
      <c r="BB182" s="142"/>
      <c r="BC182" s="142"/>
      <c r="BD182" s="142"/>
      <c r="BE182" s="142"/>
      <c r="BF182" s="142"/>
      <c r="BG182" s="142"/>
      <c r="BH182" s="142"/>
      <c r="BI182" s="142"/>
      <c r="BJ182" s="142"/>
      <c r="BK182" s="142"/>
      <c r="BL182" s="142"/>
      <c r="BM182" s="142"/>
      <c r="BN182" s="142"/>
      <c r="BO182" s="142"/>
      <c r="BP182" s="142"/>
      <c r="BQ182" s="142"/>
      <c r="BR182" s="142"/>
      <c r="BS182" s="142"/>
      <c r="BT182" s="142"/>
      <c r="BU182" s="142"/>
      <c r="BV182" s="142"/>
      <c r="BW182" s="142"/>
      <c r="BX182" s="142"/>
      <c r="BY182" s="142"/>
      <c r="BZ182" s="142"/>
      <c r="CA182" s="142"/>
      <c r="CB182" s="142"/>
      <c r="CC182" s="142"/>
      <c r="CD182" s="142"/>
      <c r="CE182" s="142"/>
      <c r="CF182" s="142"/>
      <c r="CG182" s="142"/>
      <c r="CH182" s="142"/>
      <c r="CI182" s="142"/>
      <c r="CJ182" s="142"/>
      <c r="CK182" s="142"/>
      <c r="CL182" s="142"/>
      <c r="CM182" s="142"/>
      <c r="CN182" s="142"/>
      <c r="CO182" s="142"/>
      <c r="CP182" s="142"/>
      <c r="CQ182" s="142"/>
      <c r="CR182" s="142"/>
      <c r="CS182" s="142"/>
      <c r="CT182" s="142"/>
      <c r="CU182" s="142"/>
      <c r="CV182" s="142"/>
      <c r="CW182" s="142"/>
      <c r="CX182" s="142"/>
      <c r="CY182" s="142"/>
      <c r="CZ182" s="142"/>
      <c r="DA182" s="142"/>
      <c r="DB182" s="142"/>
      <c r="DC182" s="142"/>
      <c r="DD182" s="142"/>
      <c r="DE182" s="142"/>
      <c r="DF182" s="142"/>
      <c r="DG182" s="142"/>
      <c r="DH182" s="142"/>
      <c r="DI182" s="142"/>
      <c r="DJ182" s="142"/>
      <c r="DK182" s="142"/>
      <c r="DL182" s="142"/>
      <c r="DM182" s="142"/>
      <c r="DN182" s="142"/>
      <c r="DO182" s="142"/>
      <c r="DP182" s="142"/>
      <c r="DQ182" s="142"/>
      <c r="DR182" s="142"/>
      <c r="DS182" s="142"/>
      <c r="DT182" s="142"/>
      <c r="DU182" s="142"/>
      <c r="DV182" s="142"/>
      <c r="DW182" s="142"/>
      <c r="DX182" s="142"/>
      <c r="DY182" s="142"/>
      <c r="DZ182" s="142"/>
      <c r="EA182" s="142"/>
      <c r="EB182" s="142"/>
      <c r="EC182" s="142"/>
      <c r="ED182" s="142"/>
      <c r="EE182" s="142"/>
      <c r="EF182" s="142"/>
      <c r="EG182" s="142"/>
      <c r="EH182" s="142"/>
      <c r="EI182" s="142"/>
      <c r="EJ182" s="142"/>
      <c r="EK182" s="142"/>
      <c r="EL182" s="142"/>
      <c r="EM182" s="142"/>
      <c r="EN182" s="142"/>
      <c r="EO182" s="142"/>
      <c r="EP182" s="142"/>
      <c r="EQ182" s="142"/>
      <c r="ER182" s="142"/>
      <c r="ES182" s="142"/>
      <c r="ET182" s="142"/>
      <c r="EU182" s="142"/>
      <c r="EV182" s="142"/>
      <c r="EW182" s="142"/>
      <c r="EX182" s="142"/>
      <c r="EY182" s="142"/>
      <c r="EZ182" s="142"/>
      <c r="FA182" s="142"/>
      <c r="FB182" s="142"/>
      <c r="FC182" s="142"/>
      <c r="FD182" s="142"/>
      <c r="FE182" s="142"/>
      <c r="FF182" s="142"/>
      <c r="FG182" s="142"/>
      <c r="FH182" s="142"/>
      <c r="FI182" s="142"/>
      <c r="FJ182" s="142"/>
      <c r="FK182" s="142"/>
      <c r="FL182" s="142"/>
      <c r="FM182" s="142"/>
      <c r="FN182" s="142"/>
      <c r="FO182" s="142"/>
      <c r="FP182" s="142"/>
      <c r="FQ182" s="142"/>
      <c r="FR182" s="142"/>
      <c r="FS182" s="142"/>
      <c r="FT182" s="142"/>
      <c r="FU182" s="142"/>
      <c r="FV182" s="142"/>
      <c r="FW182" s="142"/>
      <c r="FX182" s="142"/>
      <c r="FY182" s="142"/>
      <c r="FZ182" s="142"/>
      <c r="GA182" s="142"/>
      <c r="GB182" s="142"/>
      <c r="GC182" s="142"/>
      <c r="GD182" s="142"/>
      <c r="GE182" s="142"/>
      <c r="GF182" s="142"/>
      <c r="GG182" s="142"/>
      <c r="GH182" s="142"/>
      <c r="GI182" s="142"/>
      <c r="GJ182" s="142"/>
      <c r="GK182" s="142"/>
      <c r="GL182" s="142"/>
      <c r="GM182" s="142"/>
      <c r="GN182" s="142"/>
      <c r="GO182" s="142"/>
      <c r="GP182" s="142"/>
      <c r="GQ182" s="142"/>
      <c r="GR182" s="142"/>
      <c r="GS182" s="142"/>
      <c r="GT182" s="142"/>
      <c r="GU182" s="142"/>
      <c r="GV182" s="142"/>
      <c r="GW182" s="142"/>
      <c r="GX182" s="142"/>
      <c r="GY182" s="142"/>
      <c r="GZ182" s="142"/>
      <c r="HA182" s="142"/>
      <c r="HB182" s="142"/>
      <c r="HC182" s="142"/>
      <c r="HD182" s="142"/>
      <c r="HE182" s="142"/>
      <c r="HF182" s="142"/>
      <c r="HG182" s="142"/>
      <c r="HH182" s="142"/>
      <c r="HI182" s="142"/>
      <c r="HJ182" s="142"/>
      <c r="HK182" s="142"/>
      <c r="HL182" s="142"/>
      <c r="HM182" s="142"/>
      <c r="HN182" s="142"/>
      <c r="HO182" s="142"/>
      <c r="HP182" s="142"/>
      <c r="HQ182" s="142"/>
      <c r="HR182" s="142"/>
      <c r="HS182" s="142"/>
      <c r="HT182" s="142"/>
      <c r="HU182" s="142"/>
      <c r="HV182" s="142"/>
      <c r="HW182" s="142"/>
      <c r="HX182" s="142"/>
      <c r="HY182" s="142"/>
      <c r="HZ182" s="142"/>
      <c r="IA182" s="142"/>
      <c r="IB182" s="142"/>
      <c r="IC182" s="142"/>
      <c r="ID182" s="142"/>
      <c r="IE182" s="142"/>
      <c r="IF182" s="142"/>
      <c r="IG182" s="142"/>
      <c r="IH182" s="142"/>
      <c r="II182" s="142"/>
      <c r="IJ182" s="142"/>
      <c r="IK182" s="142"/>
      <c r="IL182" s="142"/>
      <c r="IM182" s="142"/>
      <c r="IN182" s="142"/>
      <c r="IO182" s="142"/>
      <c r="IP182" s="142"/>
      <c r="IQ182" s="142"/>
      <c r="IR182" s="142"/>
      <c r="IS182" s="142"/>
      <c r="IT182" s="142"/>
      <c r="IU182" s="142"/>
      <c r="IV182" s="142"/>
    </row>
    <row r="183" spans="1:256" ht="11.25" customHeight="1">
      <c r="A183" s="99">
        <v>2010</v>
      </c>
      <c r="B183" s="142" t="str">
        <f t="shared" ref="B183:J183" si="75">IF(AND(B135="-",B87="-",B39="-"),"-",SUM(B135,B87,B39))</f>
        <v>-</v>
      </c>
      <c r="C183" s="142" t="str">
        <f t="shared" si="75"/>
        <v>-</v>
      </c>
      <c r="D183" s="142">
        <f t="shared" si="75"/>
        <v>5265</v>
      </c>
      <c r="E183" s="142">
        <f t="shared" si="75"/>
        <v>2507</v>
      </c>
      <c r="F183" s="142">
        <f t="shared" si="75"/>
        <v>997</v>
      </c>
      <c r="G183" s="142">
        <f t="shared" si="75"/>
        <v>2988</v>
      </c>
      <c r="H183" s="142">
        <f t="shared" si="75"/>
        <v>4432</v>
      </c>
      <c r="I183" s="142">
        <f t="shared" si="75"/>
        <v>1112</v>
      </c>
      <c r="J183" s="142">
        <f t="shared" si="75"/>
        <v>663</v>
      </c>
      <c r="K183" s="48" t="s">
        <v>106</v>
      </c>
      <c r="L183" s="142">
        <f t="shared" si="71"/>
        <v>17964</v>
      </c>
      <c r="M183" s="24"/>
      <c r="N183" s="142" t="str">
        <f t="shared" ref="N183:W183" si="76">IF(AND(N135="-",N87="-",N39="-"),"-",IF(OR(ISNUMBER(N135),ISNUMBER(N87),ISNUMBER(N39)),SUM(N135,N87,N39),"--"))</f>
        <v>-</v>
      </c>
      <c r="O183" s="142" t="str">
        <f t="shared" si="76"/>
        <v>-</v>
      </c>
      <c r="P183" s="142">
        <f t="shared" si="76"/>
        <v>8</v>
      </c>
      <c r="Q183" s="142">
        <f t="shared" si="76"/>
        <v>7</v>
      </c>
      <c r="R183" s="142">
        <f t="shared" si="76"/>
        <v>436</v>
      </c>
      <c r="S183" s="142">
        <f t="shared" si="76"/>
        <v>2215</v>
      </c>
      <c r="T183" s="142">
        <f t="shared" si="76"/>
        <v>8430</v>
      </c>
      <c r="U183" s="142">
        <f t="shared" si="76"/>
        <v>1266</v>
      </c>
      <c r="V183" s="142" t="str">
        <f t="shared" si="76"/>
        <v>-</v>
      </c>
      <c r="W183" s="142" t="str">
        <f t="shared" si="76"/>
        <v>-</v>
      </c>
      <c r="X183" s="142">
        <f t="shared" si="7"/>
        <v>12362</v>
      </c>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c r="AX183" s="142"/>
      <c r="AY183" s="142"/>
      <c r="AZ183" s="142"/>
      <c r="BA183" s="142"/>
      <c r="BB183" s="142"/>
      <c r="BC183" s="142"/>
      <c r="BD183" s="142"/>
      <c r="BE183" s="142"/>
      <c r="BF183" s="142"/>
      <c r="BG183" s="142"/>
      <c r="BH183" s="142"/>
      <c r="BI183" s="142"/>
      <c r="BJ183" s="142"/>
      <c r="BK183" s="142"/>
      <c r="BL183" s="142"/>
      <c r="BM183" s="142"/>
      <c r="BN183" s="142"/>
      <c r="BO183" s="142"/>
      <c r="BP183" s="142"/>
      <c r="BQ183" s="142"/>
      <c r="BR183" s="142"/>
      <c r="BS183" s="142"/>
      <c r="BT183" s="142"/>
      <c r="BU183" s="142"/>
      <c r="BV183" s="142"/>
      <c r="BW183" s="142"/>
      <c r="BX183" s="142"/>
      <c r="BY183" s="142"/>
      <c r="BZ183" s="142"/>
      <c r="CA183" s="142"/>
      <c r="CB183" s="142"/>
      <c r="CC183" s="142"/>
      <c r="CD183" s="142"/>
      <c r="CE183" s="142"/>
      <c r="CF183" s="142"/>
      <c r="CG183" s="142"/>
      <c r="CH183" s="142"/>
      <c r="CI183" s="142"/>
      <c r="CJ183" s="142"/>
      <c r="CK183" s="142"/>
      <c r="CL183" s="142"/>
      <c r="CM183" s="142"/>
      <c r="CN183" s="142"/>
      <c r="CO183" s="142"/>
      <c r="CP183" s="142"/>
      <c r="CQ183" s="142"/>
      <c r="CR183" s="142"/>
      <c r="CS183" s="142"/>
      <c r="CT183" s="142"/>
      <c r="CU183" s="142"/>
      <c r="CV183" s="142"/>
      <c r="CW183" s="142"/>
      <c r="CX183" s="142"/>
      <c r="CY183" s="142"/>
      <c r="CZ183" s="142"/>
      <c r="DA183" s="142"/>
      <c r="DB183" s="142"/>
      <c r="DC183" s="142"/>
      <c r="DD183" s="142"/>
      <c r="DE183" s="142"/>
      <c r="DF183" s="142"/>
      <c r="DG183" s="142"/>
      <c r="DH183" s="142"/>
      <c r="DI183" s="142"/>
      <c r="DJ183" s="142"/>
      <c r="DK183" s="142"/>
      <c r="DL183" s="142"/>
      <c r="DM183" s="142"/>
      <c r="DN183" s="142"/>
      <c r="DO183" s="142"/>
      <c r="DP183" s="142"/>
      <c r="DQ183" s="142"/>
      <c r="DR183" s="142"/>
      <c r="DS183" s="142"/>
      <c r="DT183" s="142"/>
      <c r="DU183" s="142"/>
      <c r="DV183" s="142"/>
      <c r="DW183" s="142"/>
      <c r="DX183" s="142"/>
      <c r="DY183" s="142"/>
      <c r="DZ183" s="142"/>
      <c r="EA183" s="142"/>
      <c r="EB183" s="142"/>
      <c r="EC183" s="142"/>
      <c r="ED183" s="142"/>
      <c r="EE183" s="142"/>
      <c r="EF183" s="142"/>
      <c r="EG183" s="142"/>
      <c r="EH183" s="142"/>
      <c r="EI183" s="142"/>
      <c r="EJ183" s="142"/>
      <c r="EK183" s="142"/>
      <c r="EL183" s="142"/>
      <c r="EM183" s="142"/>
      <c r="EN183" s="142"/>
      <c r="EO183" s="142"/>
      <c r="EP183" s="142"/>
      <c r="EQ183" s="142"/>
      <c r="ER183" s="142"/>
      <c r="ES183" s="142"/>
      <c r="ET183" s="142"/>
      <c r="EU183" s="142"/>
      <c r="EV183" s="142"/>
      <c r="EW183" s="142"/>
      <c r="EX183" s="142"/>
      <c r="EY183" s="142"/>
      <c r="EZ183" s="142"/>
      <c r="FA183" s="142"/>
      <c r="FB183" s="142"/>
      <c r="FC183" s="142"/>
      <c r="FD183" s="142"/>
      <c r="FE183" s="142"/>
      <c r="FF183" s="142"/>
      <c r="FG183" s="142"/>
      <c r="FH183" s="142"/>
      <c r="FI183" s="142"/>
      <c r="FJ183" s="142"/>
      <c r="FK183" s="142"/>
      <c r="FL183" s="142"/>
      <c r="FM183" s="142"/>
      <c r="FN183" s="142"/>
      <c r="FO183" s="142"/>
      <c r="FP183" s="142"/>
      <c r="FQ183" s="142"/>
      <c r="FR183" s="142"/>
      <c r="FS183" s="142"/>
      <c r="FT183" s="142"/>
      <c r="FU183" s="142"/>
      <c r="FV183" s="142"/>
      <c r="FW183" s="142"/>
      <c r="FX183" s="142"/>
      <c r="FY183" s="142"/>
      <c r="FZ183" s="142"/>
      <c r="GA183" s="142"/>
      <c r="GB183" s="142"/>
      <c r="GC183" s="142"/>
      <c r="GD183" s="142"/>
      <c r="GE183" s="142"/>
      <c r="GF183" s="142"/>
      <c r="GG183" s="142"/>
      <c r="GH183" s="142"/>
      <c r="GI183" s="142"/>
      <c r="GJ183" s="142"/>
      <c r="GK183" s="142"/>
      <c r="GL183" s="142"/>
      <c r="GM183" s="142"/>
      <c r="GN183" s="142"/>
      <c r="GO183" s="142"/>
      <c r="GP183" s="142"/>
      <c r="GQ183" s="142"/>
      <c r="GR183" s="142"/>
      <c r="GS183" s="142"/>
      <c r="GT183" s="142"/>
      <c r="GU183" s="142"/>
      <c r="GV183" s="142"/>
      <c r="GW183" s="142"/>
      <c r="GX183" s="142"/>
      <c r="GY183" s="142"/>
      <c r="GZ183" s="142"/>
      <c r="HA183" s="142"/>
      <c r="HB183" s="142"/>
      <c r="HC183" s="142"/>
      <c r="HD183" s="142"/>
      <c r="HE183" s="142"/>
      <c r="HF183" s="142"/>
      <c r="HG183" s="142"/>
      <c r="HH183" s="142"/>
      <c r="HI183" s="142"/>
      <c r="HJ183" s="142"/>
      <c r="HK183" s="142"/>
      <c r="HL183" s="142"/>
      <c r="HM183" s="142"/>
      <c r="HN183" s="142"/>
      <c r="HO183" s="142"/>
      <c r="HP183" s="142"/>
      <c r="HQ183" s="142"/>
      <c r="HR183" s="142"/>
      <c r="HS183" s="142"/>
      <c r="HT183" s="142"/>
      <c r="HU183" s="142"/>
      <c r="HV183" s="142"/>
      <c r="HW183" s="142"/>
      <c r="HX183" s="142"/>
      <c r="HY183" s="142"/>
      <c r="HZ183" s="142"/>
      <c r="IA183" s="142"/>
      <c r="IB183" s="142"/>
      <c r="IC183" s="142"/>
      <c r="ID183" s="142"/>
      <c r="IE183" s="142"/>
      <c r="IF183" s="142"/>
      <c r="IG183" s="142"/>
      <c r="IH183" s="142"/>
      <c r="II183" s="142"/>
      <c r="IJ183" s="142"/>
      <c r="IK183" s="142"/>
      <c r="IL183" s="142"/>
      <c r="IM183" s="142"/>
      <c r="IN183" s="142"/>
      <c r="IO183" s="142"/>
      <c r="IP183" s="142"/>
      <c r="IQ183" s="142"/>
      <c r="IR183" s="142"/>
      <c r="IS183" s="142"/>
      <c r="IT183" s="142"/>
      <c r="IU183" s="142"/>
      <c r="IV183" s="142"/>
    </row>
    <row r="184" spans="1:256" ht="11.25" customHeight="1">
      <c r="A184" s="99">
        <v>2011</v>
      </c>
      <c r="B184" s="142" t="str">
        <f t="shared" ref="B184:K184" si="77">IF(AND(B136="-",B88="-",B40="-"),"-",SUM(B136,B88,B40))</f>
        <v>-</v>
      </c>
      <c r="C184" s="142">
        <f t="shared" si="77"/>
        <v>0</v>
      </c>
      <c r="D184" s="142">
        <f t="shared" si="77"/>
        <v>5529</v>
      </c>
      <c r="E184" s="142">
        <f t="shared" si="77"/>
        <v>2789</v>
      </c>
      <c r="F184" s="142">
        <f t="shared" si="77"/>
        <v>3565</v>
      </c>
      <c r="G184" s="142">
        <f t="shared" si="77"/>
        <v>17382</v>
      </c>
      <c r="H184" s="142">
        <f t="shared" si="77"/>
        <v>14051</v>
      </c>
      <c r="I184" s="142">
        <f t="shared" si="77"/>
        <v>8347</v>
      </c>
      <c r="J184" s="142">
        <f t="shared" si="77"/>
        <v>1698</v>
      </c>
      <c r="K184" s="142">
        <f t="shared" si="77"/>
        <v>6</v>
      </c>
      <c r="L184" s="142">
        <f t="shared" si="71"/>
        <v>53367</v>
      </c>
      <c r="M184" s="24"/>
      <c r="N184" s="142" t="str">
        <f t="shared" ref="N184:W184" si="78">IF(AND(N136="-",N88="-",N40="-"),"-",IF(OR(ISNUMBER(N136),ISNUMBER(N88),ISNUMBER(N40)),SUM(N136,N88,N40),"--"))</f>
        <v>-</v>
      </c>
      <c r="O184" s="142" t="str">
        <f t="shared" si="78"/>
        <v>-</v>
      </c>
      <c r="P184" s="142">
        <f t="shared" si="78"/>
        <v>8</v>
      </c>
      <c r="Q184" s="142">
        <f t="shared" si="78"/>
        <v>15</v>
      </c>
      <c r="R184" s="142">
        <f t="shared" si="78"/>
        <v>628</v>
      </c>
      <c r="S184" s="142">
        <f t="shared" si="78"/>
        <v>3746</v>
      </c>
      <c r="T184" s="142">
        <f t="shared" si="78"/>
        <v>2065</v>
      </c>
      <c r="U184" s="142">
        <f t="shared" si="78"/>
        <v>6635</v>
      </c>
      <c r="V184" s="142">
        <f t="shared" si="78"/>
        <v>5</v>
      </c>
      <c r="W184" s="142" t="str">
        <f t="shared" si="78"/>
        <v>-</v>
      </c>
      <c r="X184" s="142">
        <f t="shared" si="7"/>
        <v>13102</v>
      </c>
      <c r="Y184" s="142"/>
      <c r="Z184" s="142"/>
      <c r="AA184" s="142"/>
      <c r="AB184" s="142"/>
      <c r="AC184" s="142"/>
      <c r="AD184" s="142"/>
      <c r="AE184" s="142"/>
      <c r="AF184" s="142"/>
      <c r="AG184" s="142"/>
      <c r="AH184" s="142"/>
      <c r="AI184" s="142"/>
      <c r="AJ184" s="142"/>
      <c r="AK184" s="142"/>
      <c r="AL184" s="142"/>
      <c r="AM184" s="142"/>
      <c r="AN184" s="142"/>
      <c r="AO184" s="142"/>
      <c r="AP184" s="142"/>
      <c r="AQ184" s="142"/>
      <c r="AR184" s="142"/>
      <c r="AS184" s="142"/>
      <c r="AT184" s="142"/>
      <c r="AU184" s="142"/>
      <c r="AV184" s="142"/>
      <c r="AW184" s="142"/>
      <c r="AX184" s="142"/>
      <c r="AY184" s="142"/>
      <c r="AZ184" s="142"/>
      <c r="BA184" s="142"/>
      <c r="BB184" s="142"/>
      <c r="BC184" s="142"/>
      <c r="BD184" s="142"/>
      <c r="BE184" s="142"/>
      <c r="BF184" s="142"/>
      <c r="BG184" s="142"/>
      <c r="BH184" s="142"/>
      <c r="BI184" s="142"/>
      <c r="BJ184" s="142"/>
      <c r="BK184" s="142"/>
      <c r="BL184" s="142"/>
      <c r="BM184" s="142"/>
      <c r="BN184" s="142"/>
      <c r="BO184" s="142"/>
      <c r="BP184" s="142"/>
      <c r="BQ184" s="142"/>
      <c r="BR184" s="142"/>
      <c r="BS184" s="142"/>
      <c r="BT184" s="142"/>
      <c r="BU184" s="142"/>
      <c r="BV184" s="142"/>
      <c r="BW184" s="142"/>
      <c r="BX184" s="142"/>
      <c r="BY184" s="142"/>
      <c r="BZ184" s="142"/>
      <c r="CA184" s="142"/>
      <c r="CB184" s="142"/>
      <c r="CC184" s="142"/>
      <c r="CD184" s="142"/>
      <c r="CE184" s="142"/>
      <c r="CF184" s="142"/>
      <c r="CG184" s="142"/>
      <c r="CH184" s="142"/>
      <c r="CI184" s="142"/>
      <c r="CJ184" s="142"/>
      <c r="CK184" s="142"/>
      <c r="CL184" s="142"/>
      <c r="CM184" s="142"/>
      <c r="CN184" s="142"/>
      <c r="CO184" s="142"/>
      <c r="CP184" s="142"/>
      <c r="CQ184" s="142"/>
      <c r="CR184" s="142"/>
      <c r="CS184" s="142"/>
      <c r="CT184" s="142"/>
      <c r="CU184" s="142"/>
      <c r="CV184" s="142"/>
      <c r="CW184" s="142"/>
      <c r="CX184" s="142"/>
      <c r="CY184" s="142"/>
      <c r="CZ184" s="142"/>
      <c r="DA184" s="142"/>
      <c r="DB184" s="142"/>
      <c r="DC184" s="142"/>
      <c r="DD184" s="142"/>
      <c r="DE184" s="142"/>
      <c r="DF184" s="142"/>
      <c r="DG184" s="142"/>
      <c r="DH184" s="142"/>
      <c r="DI184" s="142"/>
      <c r="DJ184" s="142"/>
      <c r="DK184" s="142"/>
      <c r="DL184" s="142"/>
      <c r="DM184" s="142"/>
      <c r="DN184" s="142"/>
      <c r="DO184" s="142"/>
      <c r="DP184" s="142"/>
      <c r="DQ184" s="142"/>
      <c r="DR184" s="142"/>
      <c r="DS184" s="142"/>
      <c r="DT184" s="142"/>
      <c r="DU184" s="142"/>
      <c r="DV184" s="142"/>
      <c r="DW184" s="142"/>
      <c r="DX184" s="142"/>
      <c r="DY184" s="142"/>
      <c r="DZ184" s="142"/>
      <c r="EA184" s="142"/>
      <c r="EB184" s="142"/>
      <c r="EC184" s="142"/>
      <c r="ED184" s="142"/>
      <c r="EE184" s="142"/>
      <c r="EF184" s="142"/>
      <c r="EG184" s="142"/>
      <c r="EH184" s="142"/>
      <c r="EI184" s="142"/>
      <c r="EJ184" s="142"/>
      <c r="EK184" s="142"/>
      <c r="EL184" s="142"/>
      <c r="EM184" s="142"/>
      <c r="EN184" s="142"/>
      <c r="EO184" s="142"/>
      <c r="EP184" s="142"/>
      <c r="EQ184" s="142"/>
      <c r="ER184" s="142"/>
      <c r="ES184" s="142"/>
      <c r="ET184" s="142"/>
      <c r="EU184" s="142"/>
      <c r="EV184" s="142"/>
      <c r="EW184" s="142"/>
      <c r="EX184" s="142"/>
      <c r="EY184" s="142"/>
      <c r="EZ184" s="142"/>
      <c r="FA184" s="142"/>
      <c r="FB184" s="142"/>
      <c r="FC184" s="142"/>
      <c r="FD184" s="142"/>
      <c r="FE184" s="142"/>
      <c r="FF184" s="142"/>
      <c r="FG184" s="142"/>
      <c r="FH184" s="142"/>
      <c r="FI184" s="142"/>
      <c r="FJ184" s="142"/>
      <c r="FK184" s="142"/>
      <c r="FL184" s="142"/>
      <c r="FM184" s="142"/>
      <c r="FN184" s="142"/>
      <c r="FO184" s="142"/>
      <c r="FP184" s="142"/>
      <c r="FQ184" s="142"/>
      <c r="FR184" s="142"/>
      <c r="FS184" s="142"/>
      <c r="FT184" s="142"/>
      <c r="FU184" s="142"/>
      <c r="FV184" s="142"/>
      <c r="FW184" s="142"/>
      <c r="FX184" s="142"/>
      <c r="FY184" s="142"/>
      <c r="FZ184" s="142"/>
      <c r="GA184" s="142"/>
      <c r="GB184" s="142"/>
      <c r="GC184" s="142"/>
      <c r="GD184" s="142"/>
      <c r="GE184" s="142"/>
      <c r="GF184" s="142"/>
      <c r="GG184" s="142"/>
      <c r="GH184" s="142"/>
      <c r="GI184" s="142"/>
      <c r="GJ184" s="142"/>
      <c r="GK184" s="142"/>
      <c r="GL184" s="142"/>
      <c r="GM184" s="142"/>
      <c r="GN184" s="142"/>
      <c r="GO184" s="142"/>
      <c r="GP184" s="142"/>
      <c r="GQ184" s="142"/>
      <c r="GR184" s="142"/>
      <c r="GS184" s="142"/>
      <c r="GT184" s="142"/>
      <c r="GU184" s="142"/>
      <c r="GV184" s="142"/>
      <c r="GW184" s="142"/>
      <c r="GX184" s="142"/>
      <c r="GY184" s="142"/>
      <c r="GZ184" s="142"/>
      <c r="HA184" s="142"/>
      <c r="HB184" s="142"/>
      <c r="HC184" s="142"/>
      <c r="HD184" s="142"/>
      <c r="HE184" s="142"/>
      <c r="HF184" s="142"/>
      <c r="HG184" s="142"/>
      <c r="HH184" s="142"/>
      <c r="HI184" s="142"/>
      <c r="HJ184" s="142"/>
      <c r="HK184" s="142"/>
      <c r="HL184" s="142"/>
      <c r="HM184" s="142"/>
      <c r="HN184" s="142"/>
      <c r="HO184" s="142"/>
      <c r="HP184" s="142"/>
      <c r="HQ184" s="142"/>
      <c r="HR184" s="142"/>
      <c r="HS184" s="142"/>
      <c r="HT184" s="142"/>
      <c r="HU184" s="142"/>
      <c r="HV184" s="142"/>
      <c r="HW184" s="142"/>
      <c r="HX184" s="142"/>
      <c r="HY184" s="142"/>
      <c r="HZ184" s="142"/>
      <c r="IA184" s="142"/>
      <c r="IB184" s="142"/>
      <c r="IC184" s="142"/>
      <c r="ID184" s="142"/>
      <c r="IE184" s="142"/>
      <c r="IF184" s="142"/>
      <c r="IG184" s="142"/>
      <c r="IH184" s="142"/>
      <c r="II184" s="142"/>
      <c r="IJ184" s="142"/>
      <c r="IK184" s="142"/>
      <c r="IL184" s="142"/>
      <c r="IM184" s="142"/>
      <c r="IN184" s="142"/>
      <c r="IO184" s="142"/>
      <c r="IP184" s="142"/>
      <c r="IQ184" s="142"/>
      <c r="IR184" s="142"/>
      <c r="IS184" s="142"/>
      <c r="IT184" s="142"/>
      <c r="IU184" s="142"/>
      <c r="IV184" s="142"/>
    </row>
    <row r="185" spans="1:256" ht="11.25" customHeight="1">
      <c r="A185" s="99">
        <v>2012</v>
      </c>
      <c r="B185" s="142" t="str">
        <f t="shared" ref="B185:K185" si="79">IF(AND(B137="-",B89="-",B41="-"),"-",SUM(B137,B89,B41))</f>
        <v>-</v>
      </c>
      <c r="C185" s="142">
        <f t="shared" si="79"/>
        <v>21</v>
      </c>
      <c r="D185" s="142">
        <f t="shared" si="79"/>
        <v>18894</v>
      </c>
      <c r="E185" s="142">
        <f t="shared" si="79"/>
        <v>15587</v>
      </c>
      <c r="F185" s="142">
        <f t="shared" si="79"/>
        <v>29483</v>
      </c>
      <c r="G185" s="142">
        <f t="shared" si="79"/>
        <v>38894</v>
      </c>
      <c r="H185" s="142">
        <f t="shared" si="79"/>
        <v>23747</v>
      </c>
      <c r="I185" s="142">
        <f t="shared" si="79"/>
        <v>11088</v>
      </c>
      <c r="J185" s="142">
        <f t="shared" si="79"/>
        <v>3134</v>
      </c>
      <c r="K185" s="142">
        <f t="shared" si="79"/>
        <v>168</v>
      </c>
      <c r="L185" s="142">
        <f t="shared" si="71"/>
        <v>141016</v>
      </c>
      <c r="M185" s="24"/>
      <c r="N185" s="142" t="str">
        <f t="shared" ref="N185:W185" si="80">IF(AND(N137="-",N89="-",N41="-"),"-",IF(OR(ISNUMBER(N137),ISNUMBER(N89),ISNUMBER(N41)),SUM(N137,N89,N41),"--"))</f>
        <v>-</v>
      </c>
      <c r="O185" s="142" t="str">
        <f t="shared" si="80"/>
        <v>-</v>
      </c>
      <c r="P185" s="142" t="str">
        <f t="shared" si="80"/>
        <v>-</v>
      </c>
      <c r="Q185" s="142">
        <f t="shared" si="80"/>
        <v>3</v>
      </c>
      <c r="R185" s="142">
        <f t="shared" si="80"/>
        <v>119</v>
      </c>
      <c r="S185" s="142">
        <f t="shared" si="80"/>
        <v>2441</v>
      </c>
      <c r="T185" s="142">
        <f t="shared" si="80"/>
        <v>4975</v>
      </c>
      <c r="U185" s="142">
        <f t="shared" si="80"/>
        <v>6968</v>
      </c>
      <c r="V185" s="142">
        <f t="shared" si="80"/>
        <v>2</v>
      </c>
      <c r="W185" s="142" t="str">
        <f t="shared" si="80"/>
        <v>-</v>
      </c>
      <c r="X185" s="142">
        <f t="shared" si="7"/>
        <v>14508</v>
      </c>
      <c r="Y185" s="142"/>
      <c r="Z185" s="142"/>
      <c r="AA185" s="142"/>
      <c r="AB185" s="142"/>
      <c r="AC185" s="142"/>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c r="AX185" s="142"/>
      <c r="AY185" s="142"/>
      <c r="AZ185" s="142"/>
      <c r="BA185" s="142"/>
      <c r="BB185" s="142"/>
      <c r="BC185" s="142"/>
      <c r="BD185" s="142"/>
      <c r="BE185" s="142"/>
      <c r="BF185" s="142"/>
      <c r="BG185" s="142"/>
      <c r="BH185" s="142"/>
      <c r="BI185" s="142"/>
      <c r="BJ185" s="142"/>
      <c r="BK185" s="142"/>
      <c r="BL185" s="142"/>
      <c r="BM185" s="142"/>
      <c r="BN185" s="142"/>
      <c r="BO185" s="142"/>
      <c r="BP185" s="142"/>
      <c r="BQ185" s="142"/>
      <c r="BR185" s="142"/>
      <c r="BS185" s="142"/>
      <c r="BT185" s="142"/>
      <c r="BU185" s="142"/>
      <c r="BV185" s="142"/>
      <c r="BW185" s="142"/>
      <c r="BX185" s="142"/>
      <c r="BY185" s="142"/>
      <c r="BZ185" s="142"/>
      <c r="CA185" s="142"/>
      <c r="CB185" s="142"/>
      <c r="CC185" s="142"/>
      <c r="CD185" s="142"/>
      <c r="CE185" s="142"/>
      <c r="CF185" s="142"/>
      <c r="CG185" s="142"/>
      <c r="CH185" s="142"/>
      <c r="CI185" s="142"/>
      <c r="CJ185" s="142"/>
      <c r="CK185" s="142"/>
      <c r="CL185" s="142"/>
      <c r="CM185" s="142"/>
      <c r="CN185" s="142"/>
      <c r="CO185" s="142"/>
      <c r="CP185" s="142"/>
      <c r="CQ185" s="142"/>
      <c r="CR185" s="142"/>
      <c r="CS185" s="142"/>
      <c r="CT185" s="142"/>
      <c r="CU185" s="142"/>
      <c r="CV185" s="142"/>
      <c r="CW185" s="142"/>
      <c r="CX185" s="142"/>
      <c r="CY185" s="142"/>
      <c r="CZ185" s="142"/>
      <c r="DA185" s="142"/>
      <c r="DB185" s="142"/>
      <c r="DC185" s="142"/>
      <c r="DD185" s="142"/>
      <c r="DE185" s="142"/>
      <c r="DF185" s="142"/>
      <c r="DG185" s="142"/>
      <c r="DH185" s="142"/>
      <c r="DI185" s="142"/>
      <c r="DJ185" s="142"/>
      <c r="DK185" s="142"/>
      <c r="DL185" s="142"/>
      <c r="DM185" s="142"/>
      <c r="DN185" s="142"/>
      <c r="DO185" s="142"/>
      <c r="DP185" s="142"/>
      <c r="DQ185" s="142"/>
      <c r="DR185" s="142"/>
      <c r="DS185" s="142"/>
      <c r="DT185" s="142"/>
      <c r="DU185" s="142"/>
      <c r="DV185" s="142"/>
      <c r="DW185" s="142"/>
      <c r="DX185" s="142"/>
      <c r="DY185" s="142"/>
      <c r="DZ185" s="142"/>
      <c r="EA185" s="142"/>
      <c r="EB185" s="142"/>
      <c r="EC185" s="142"/>
      <c r="ED185" s="142"/>
      <c r="EE185" s="142"/>
      <c r="EF185" s="142"/>
      <c r="EG185" s="142"/>
      <c r="EH185" s="142"/>
      <c r="EI185" s="142"/>
      <c r="EJ185" s="142"/>
      <c r="EK185" s="142"/>
      <c r="EL185" s="142"/>
      <c r="EM185" s="142"/>
      <c r="EN185" s="142"/>
      <c r="EO185" s="142"/>
      <c r="EP185" s="142"/>
      <c r="EQ185" s="142"/>
      <c r="ER185" s="142"/>
      <c r="ES185" s="142"/>
      <c r="ET185" s="142"/>
      <c r="EU185" s="142"/>
      <c r="EV185" s="142"/>
      <c r="EW185" s="142"/>
      <c r="EX185" s="142"/>
      <c r="EY185" s="142"/>
      <c r="EZ185" s="142"/>
      <c r="FA185" s="142"/>
      <c r="FB185" s="142"/>
      <c r="FC185" s="142"/>
      <c r="FD185" s="142"/>
      <c r="FE185" s="142"/>
      <c r="FF185" s="142"/>
      <c r="FG185" s="142"/>
      <c r="FH185" s="142"/>
      <c r="FI185" s="142"/>
      <c r="FJ185" s="142"/>
      <c r="FK185" s="142"/>
      <c r="FL185" s="142"/>
      <c r="FM185" s="142"/>
      <c r="FN185" s="142"/>
      <c r="FO185" s="142"/>
      <c r="FP185" s="142"/>
      <c r="FQ185" s="142"/>
      <c r="FR185" s="142"/>
      <c r="FS185" s="142"/>
      <c r="FT185" s="142"/>
      <c r="FU185" s="142"/>
      <c r="FV185" s="142"/>
      <c r="FW185" s="142"/>
      <c r="FX185" s="142"/>
      <c r="FY185" s="142"/>
      <c r="FZ185" s="142"/>
      <c r="GA185" s="142"/>
      <c r="GB185" s="142"/>
      <c r="GC185" s="142"/>
      <c r="GD185" s="142"/>
      <c r="GE185" s="142"/>
      <c r="GF185" s="142"/>
      <c r="GG185" s="142"/>
      <c r="GH185" s="142"/>
      <c r="GI185" s="142"/>
      <c r="GJ185" s="142"/>
      <c r="GK185" s="142"/>
      <c r="GL185" s="142"/>
      <c r="GM185" s="142"/>
      <c r="GN185" s="142"/>
      <c r="GO185" s="142"/>
      <c r="GP185" s="142"/>
      <c r="GQ185" s="142"/>
      <c r="GR185" s="142"/>
      <c r="GS185" s="142"/>
      <c r="GT185" s="142"/>
      <c r="GU185" s="142"/>
      <c r="GV185" s="142"/>
      <c r="GW185" s="142"/>
      <c r="GX185" s="142"/>
      <c r="GY185" s="142"/>
      <c r="GZ185" s="142"/>
      <c r="HA185" s="142"/>
      <c r="HB185" s="142"/>
      <c r="HC185" s="142"/>
      <c r="HD185" s="142"/>
      <c r="HE185" s="142"/>
      <c r="HF185" s="142"/>
      <c r="HG185" s="142"/>
      <c r="HH185" s="142"/>
      <c r="HI185" s="142"/>
      <c r="HJ185" s="142"/>
      <c r="HK185" s="142"/>
      <c r="HL185" s="142"/>
      <c r="HM185" s="142"/>
      <c r="HN185" s="142"/>
      <c r="HO185" s="142"/>
      <c r="HP185" s="142"/>
      <c r="HQ185" s="142"/>
      <c r="HR185" s="142"/>
      <c r="HS185" s="142"/>
      <c r="HT185" s="142"/>
      <c r="HU185" s="142"/>
      <c r="HV185" s="142"/>
      <c r="HW185" s="142"/>
      <c r="HX185" s="142"/>
      <c r="HY185" s="142"/>
      <c r="HZ185" s="142"/>
      <c r="IA185" s="142"/>
      <c r="IB185" s="142"/>
      <c r="IC185" s="142"/>
      <c r="ID185" s="142"/>
      <c r="IE185" s="142"/>
      <c r="IF185" s="142"/>
      <c r="IG185" s="142"/>
      <c r="IH185" s="142"/>
      <c r="II185" s="142"/>
      <c r="IJ185" s="142"/>
      <c r="IK185" s="142"/>
      <c r="IL185" s="142"/>
      <c r="IM185" s="142"/>
      <c r="IN185" s="142"/>
      <c r="IO185" s="142"/>
      <c r="IP185" s="142"/>
      <c r="IQ185" s="142"/>
      <c r="IR185" s="142"/>
      <c r="IS185" s="142"/>
      <c r="IT185" s="142"/>
      <c r="IU185" s="142"/>
      <c r="IV185" s="142"/>
    </row>
    <row r="186" spans="1:256" ht="11.25" customHeight="1">
      <c r="A186" s="99">
        <v>2013</v>
      </c>
      <c r="B186" s="142" t="str">
        <f t="shared" ref="B186:K186" si="81">IF(AND(B138="-",B90="-",B42="-"),"-",SUM(B138,B90,B42))</f>
        <v>-</v>
      </c>
      <c r="C186" s="142">
        <f t="shared" si="81"/>
        <v>257</v>
      </c>
      <c r="D186" s="142">
        <f t="shared" si="81"/>
        <v>13852</v>
      </c>
      <c r="E186" s="142">
        <f t="shared" si="81"/>
        <v>14113</v>
      </c>
      <c r="F186" s="142">
        <f t="shared" si="81"/>
        <v>29455</v>
      </c>
      <c r="G186" s="142">
        <f t="shared" si="81"/>
        <v>46928</v>
      </c>
      <c r="H186" s="142">
        <f t="shared" si="81"/>
        <v>32436</v>
      </c>
      <c r="I186" s="142">
        <f t="shared" si="81"/>
        <v>4297</v>
      </c>
      <c r="J186" s="142">
        <f t="shared" si="81"/>
        <v>2965</v>
      </c>
      <c r="K186" s="142">
        <f t="shared" si="81"/>
        <v>87</v>
      </c>
      <c r="L186" s="142">
        <f t="shared" si="71"/>
        <v>144390</v>
      </c>
      <c r="M186" s="24"/>
      <c r="N186" s="142" t="str">
        <f t="shared" ref="N186:W186" si="82">IF(AND(N138="-",N90="-",N42="-"),"-",IF(OR(ISNUMBER(N138),ISNUMBER(N90),ISNUMBER(N42)),SUM(N138,N90,N42),"--"))</f>
        <v>-</v>
      </c>
      <c r="O186" s="142" t="str">
        <f t="shared" si="82"/>
        <v>-</v>
      </c>
      <c r="P186" s="142" t="str">
        <f t="shared" si="82"/>
        <v>-</v>
      </c>
      <c r="Q186" s="142" t="str">
        <f t="shared" si="82"/>
        <v>-</v>
      </c>
      <c r="R186" s="142">
        <f t="shared" si="82"/>
        <v>108</v>
      </c>
      <c r="S186" s="142">
        <f t="shared" si="82"/>
        <v>5194</v>
      </c>
      <c r="T186" s="142">
        <f t="shared" si="82"/>
        <v>2899</v>
      </c>
      <c r="U186" s="142">
        <f t="shared" si="82"/>
        <v>2658</v>
      </c>
      <c r="V186" s="142">
        <f t="shared" si="82"/>
        <v>25</v>
      </c>
      <c r="W186" s="142" t="str">
        <f t="shared" si="82"/>
        <v>-</v>
      </c>
      <c r="X186" s="142">
        <f t="shared" si="7"/>
        <v>10884</v>
      </c>
      <c r="Y186" s="142"/>
      <c r="Z186" s="142"/>
      <c r="AA186" s="142"/>
      <c r="AB186" s="142"/>
      <c r="AC186" s="142"/>
      <c r="AD186" s="142"/>
      <c r="AE186" s="142"/>
      <c r="AF186" s="142"/>
      <c r="AG186" s="142"/>
      <c r="AH186" s="142"/>
      <c r="AI186" s="142"/>
      <c r="AJ186" s="142"/>
      <c r="AK186" s="142"/>
      <c r="AL186" s="142"/>
      <c r="AM186" s="142"/>
      <c r="AN186" s="142"/>
      <c r="AO186" s="142"/>
      <c r="AP186" s="142"/>
      <c r="AQ186" s="142"/>
      <c r="AR186" s="142"/>
      <c r="AS186" s="142"/>
      <c r="AT186" s="142"/>
      <c r="AU186" s="142"/>
      <c r="AV186" s="142"/>
      <c r="AW186" s="142"/>
      <c r="AX186" s="142"/>
      <c r="AY186" s="142"/>
      <c r="AZ186" s="142"/>
      <c r="BA186" s="142"/>
      <c r="BB186" s="142"/>
      <c r="BC186" s="142"/>
      <c r="BD186" s="142"/>
      <c r="BE186" s="142"/>
      <c r="BF186" s="142"/>
      <c r="BG186" s="142"/>
      <c r="BH186" s="142"/>
      <c r="BI186" s="142"/>
      <c r="BJ186" s="142"/>
      <c r="BK186" s="142"/>
      <c r="BL186" s="142"/>
      <c r="BM186" s="142"/>
      <c r="BN186" s="142"/>
      <c r="BO186" s="142"/>
      <c r="BP186" s="142"/>
      <c r="BQ186" s="142"/>
      <c r="BR186" s="142"/>
      <c r="BS186" s="142"/>
      <c r="BT186" s="142"/>
      <c r="BU186" s="142"/>
      <c r="BV186" s="142"/>
      <c r="BW186" s="142"/>
      <c r="BX186" s="142"/>
      <c r="BY186" s="142"/>
      <c r="BZ186" s="142"/>
      <c r="CA186" s="142"/>
      <c r="CB186" s="142"/>
      <c r="CC186" s="142"/>
      <c r="CD186" s="142"/>
      <c r="CE186" s="142"/>
      <c r="CF186" s="142"/>
      <c r="CG186" s="142"/>
      <c r="CH186" s="142"/>
      <c r="CI186" s="142"/>
      <c r="CJ186" s="142"/>
      <c r="CK186" s="142"/>
      <c r="CL186" s="142"/>
      <c r="CM186" s="142"/>
      <c r="CN186" s="142"/>
      <c r="CO186" s="142"/>
      <c r="CP186" s="142"/>
      <c r="CQ186" s="142"/>
      <c r="CR186" s="142"/>
      <c r="CS186" s="142"/>
      <c r="CT186" s="142"/>
      <c r="CU186" s="142"/>
      <c r="CV186" s="142"/>
      <c r="CW186" s="142"/>
      <c r="CX186" s="142"/>
      <c r="CY186" s="142"/>
      <c r="CZ186" s="142"/>
      <c r="DA186" s="142"/>
      <c r="DB186" s="142"/>
      <c r="DC186" s="142"/>
      <c r="DD186" s="142"/>
      <c r="DE186" s="142"/>
      <c r="DF186" s="142"/>
      <c r="DG186" s="142"/>
      <c r="DH186" s="142"/>
      <c r="DI186" s="142"/>
      <c r="DJ186" s="142"/>
      <c r="DK186" s="142"/>
      <c r="DL186" s="142"/>
      <c r="DM186" s="142"/>
      <c r="DN186" s="142"/>
      <c r="DO186" s="142"/>
      <c r="DP186" s="142"/>
      <c r="DQ186" s="142"/>
      <c r="DR186" s="142"/>
      <c r="DS186" s="142"/>
      <c r="DT186" s="142"/>
      <c r="DU186" s="142"/>
      <c r="DV186" s="142"/>
      <c r="DW186" s="142"/>
      <c r="DX186" s="142"/>
      <c r="DY186" s="142"/>
      <c r="DZ186" s="142"/>
      <c r="EA186" s="142"/>
      <c r="EB186" s="142"/>
      <c r="EC186" s="142"/>
      <c r="ED186" s="142"/>
      <c r="EE186" s="142"/>
      <c r="EF186" s="142"/>
      <c r="EG186" s="142"/>
      <c r="EH186" s="142"/>
      <c r="EI186" s="142"/>
      <c r="EJ186" s="142"/>
      <c r="EK186" s="142"/>
      <c r="EL186" s="142"/>
      <c r="EM186" s="142"/>
      <c r="EN186" s="142"/>
      <c r="EO186" s="142"/>
      <c r="EP186" s="142"/>
      <c r="EQ186" s="142"/>
      <c r="ER186" s="142"/>
      <c r="ES186" s="142"/>
      <c r="ET186" s="142"/>
      <c r="EU186" s="142"/>
      <c r="EV186" s="142"/>
      <c r="EW186" s="142"/>
      <c r="EX186" s="142"/>
      <c r="EY186" s="142"/>
      <c r="EZ186" s="142"/>
      <c r="FA186" s="142"/>
      <c r="FB186" s="142"/>
      <c r="FC186" s="142"/>
      <c r="FD186" s="142"/>
      <c r="FE186" s="142"/>
      <c r="FF186" s="142"/>
      <c r="FG186" s="142"/>
      <c r="FH186" s="142"/>
      <c r="FI186" s="142"/>
      <c r="FJ186" s="142"/>
      <c r="FK186" s="142"/>
      <c r="FL186" s="142"/>
      <c r="FM186" s="142"/>
      <c r="FN186" s="142"/>
      <c r="FO186" s="142"/>
      <c r="FP186" s="142"/>
      <c r="FQ186" s="142"/>
      <c r="FR186" s="142"/>
      <c r="FS186" s="142"/>
      <c r="FT186" s="142"/>
      <c r="FU186" s="142"/>
      <c r="FV186" s="142"/>
      <c r="FW186" s="142"/>
      <c r="FX186" s="142"/>
      <c r="FY186" s="142"/>
      <c r="FZ186" s="142"/>
      <c r="GA186" s="142"/>
      <c r="GB186" s="142"/>
      <c r="GC186" s="142"/>
      <c r="GD186" s="142"/>
      <c r="GE186" s="142"/>
      <c r="GF186" s="142"/>
      <c r="GG186" s="142"/>
      <c r="GH186" s="142"/>
      <c r="GI186" s="142"/>
      <c r="GJ186" s="142"/>
      <c r="GK186" s="142"/>
      <c r="GL186" s="142"/>
      <c r="GM186" s="142"/>
      <c r="GN186" s="142"/>
      <c r="GO186" s="142"/>
      <c r="GP186" s="142"/>
      <c r="GQ186" s="142"/>
      <c r="GR186" s="142"/>
      <c r="GS186" s="142"/>
      <c r="GT186" s="142"/>
      <c r="GU186" s="142"/>
      <c r="GV186" s="142"/>
      <c r="GW186" s="142"/>
      <c r="GX186" s="142"/>
      <c r="GY186" s="142"/>
      <c r="GZ186" s="142"/>
      <c r="HA186" s="142"/>
      <c r="HB186" s="142"/>
      <c r="HC186" s="142"/>
      <c r="HD186" s="142"/>
      <c r="HE186" s="142"/>
      <c r="HF186" s="142"/>
      <c r="HG186" s="142"/>
      <c r="HH186" s="142"/>
      <c r="HI186" s="142"/>
      <c r="HJ186" s="142"/>
      <c r="HK186" s="142"/>
      <c r="HL186" s="142"/>
      <c r="HM186" s="142"/>
      <c r="HN186" s="142"/>
      <c r="HO186" s="142"/>
      <c r="HP186" s="142"/>
      <c r="HQ186" s="142"/>
      <c r="HR186" s="142"/>
      <c r="HS186" s="142"/>
      <c r="HT186" s="142"/>
      <c r="HU186" s="142"/>
      <c r="HV186" s="142"/>
      <c r="HW186" s="142"/>
      <c r="HX186" s="142"/>
      <c r="HY186" s="142"/>
      <c r="HZ186" s="142"/>
      <c r="IA186" s="142"/>
      <c r="IB186" s="142"/>
      <c r="IC186" s="142"/>
      <c r="ID186" s="142"/>
      <c r="IE186" s="142"/>
      <c r="IF186" s="142"/>
      <c r="IG186" s="142"/>
      <c r="IH186" s="142"/>
      <c r="II186" s="142"/>
      <c r="IJ186" s="142"/>
      <c r="IK186" s="142"/>
      <c r="IL186" s="142"/>
      <c r="IM186" s="142"/>
      <c r="IN186" s="142"/>
      <c r="IO186" s="142"/>
      <c r="IP186" s="142"/>
      <c r="IQ186" s="142"/>
      <c r="IR186" s="142"/>
      <c r="IS186" s="142"/>
      <c r="IT186" s="142"/>
      <c r="IU186" s="142"/>
      <c r="IV186" s="142"/>
    </row>
    <row r="187" spans="1:256" ht="11.25" customHeight="1">
      <c r="A187" s="99">
        <v>2014</v>
      </c>
      <c r="B187" s="142" t="str">
        <f t="shared" ref="B187:K187" si="83">IF(AND(B139="-",B91="-",B43="-"),"-",SUM(B139,B91,B43))</f>
        <v>-</v>
      </c>
      <c r="C187" s="142">
        <f t="shared" si="83"/>
        <v>10</v>
      </c>
      <c r="D187" s="142">
        <f t="shared" si="83"/>
        <v>13956</v>
      </c>
      <c r="E187" s="142">
        <f t="shared" si="83"/>
        <v>8591</v>
      </c>
      <c r="F187" s="142">
        <f t="shared" si="83"/>
        <v>9281</v>
      </c>
      <c r="G187" s="142">
        <f t="shared" si="83"/>
        <v>25992</v>
      </c>
      <c r="H187" s="142">
        <f t="shared" si="83"/>
        <v>20142</v>
      </c>
      <c r="I187" s="142">
        <f t="shared" si="83"/>
        <v>8592</v>
      </c>
      <c r="J187" s="142">
        <f t="shared" si="83"/>
        <v>4325</v>
      </c>
      <c r="K187" s="142">
        <f t="shared" si="83"/>
        <v>125</v>
      </c>
      <c r="L187" s="142">
        <f t="shared" si="71"/>
        <v>91014</v>
      </c>
      <c r="M187" s="24"/>
      <c r="N187" s="142" t="str">
        <f t="shared" ref="N187:W187" si="84">IF(AND(N139="-",N91="-",N43="-"),"-",IF(OR(ISNUMBER(N139),ISNUMBER(N91),ISNUMBER(N43)),SUM(N139,N91,N43),"--"))</f>
        <v>-</v>
      </c>
      <c r="O187" s="142" t="str">
        <f t="shared" si="84"/>
        <v>-</v>
      </c>
      <c r="P187" s="142" t="str">
        <f t="shared" si="84"/>
        <v>-</v>
      </c>
      <c r="Q187" s="142">
        <f t="shared" si="84"/>
        <v>27</v>
      </c>
      <c r="R187" s="142">
        <f t="shared" si="84"/>
        <v>3679</v>
      </c>
      <c r="S187" s="142">
        <f t="shared" si="84"/>
        <v>33710</v>
      </c>
      <c r="T187" s="142">
        <f t="shared" si="84"/>
        <v>19284</v>
      </c>
      <c r="U187" s="142">
        <f t="shared" si="84"/>
        <v>26497</v>
      </c>
      <c r="V187" s="142">
        <f t="shared" si="84"/>
        <v>49</v>
      </c>
      <c r="W187" s="142" t="str">
        <f t="shared" si="84"/>
        <v>-</v>
      </c>
      <c r="X187" s="142">
        <f t="shared" si="7"/>
        <v>83246</v>
      </c>
      <c r="Y187" s="142"/>
      <c r="Z187" s="142"/>
      <c r="AA187" s="142"/>
      <c r="AB187" s="142"/>
      <c r="AC187" s="142"/>
      <c r="AD187" s="142"/>
      <c r="AE187" s="142"/>
      <c r="AF187" s="142"/>
      <c r="AG187" s="142"/>
      <c r="AH187" s="142"/>
      <c r="AI187" s="142"/>
      <c r="AJ187" s="142"/>
      <c r="AK187" s="142"/>
      <c r="AL187" s="142"/>
      <c r="AM187" s="142"/>
      <c r="AN187" s="142"/>
      <c r="AO187" s="142"/>
      <c r="AP187" s="142"/>
      <c r="AQ187" s="142"/>
      <c r="AR187" s="142"/>
      <c r="AS187" s="142"/>
      <c r="AT187" s="142"/>
      <c r="AU187" s="142"/>
      <c r="AV187" s="142"/>
      <c r="AW187" s="142"/>
      <c r="AX187" s="142"/>
      <c r="AY187" s="142"/>
      <c r="AZ187" s="142"/>
      <c r="BA187" s="142"/>
      <c r="BB187" s="142"/>
      <c r="BC187" s="142"/>
      <c r="BD187" s="142"/>
      <c r="BE187" s="142"/>
      <c r="BF187" s="142"/>
      <c r="BG187" s="142"/>
      <c r="BH187" s="142"/>
      <c r="BI187" s="142"/>
      <c r="BJ187" s="142"/>
      <c r="BK187" s="142"/>
      <c r="BL187" s="142"/>
      <c r="BM187" s="142"/>
      <c r="BN187" s="142"/>
      <c r="BO187" s="142"/>
      <c r="BP187" s="142"/>
      <c r="BQ187" s="142"/>
      <c r="BR187" s="142"/>
      <c r="BS187" s="142"/>
      <c r="BT187" s="142"/>
      <c r="BU187" s="142"/>
      <c r="BV187" s="142"/>
      <c r="BW187" s="142"/>
      <c r="BX187" s="142"/>
      <c r="BY187" s="142"/>
      <c r="BZ187" s="142"/>
      <c r="CA187" s="142"/>
      <c r="CB187" s="142"/>
      <c r="CC187" s="142"/>
      <c r="CD187" s="142"/>
      <c r="CE187" s="142"/>
      <c r="CF187" s="142"/>
      <c r="CG187" s="142"/>
      <c r="CH187" s="142"/>
      <c r="CI187" s="142"/>
      <c r="CJ187" s="142"/>
      <c r="CK187" s="142"/>
      <c r="CL187" s="142"/>
      <c r="CM187" s="142"/>
      <c r="CN187" s="142"/>
      <c r="CO187" s="142"/>
      <c r="CP187" s="142"/>
      <c r="CQ187" s="142"/>
      <c r="CR187" s="142"/>
      <c r="CS187" s="142"/>
      <c r="CT187" s="142"/>
      <c r="CU187" s="142"/>
      <c r="CV187" s="142"/>
      <c r="CW187" s="142"/>
      <c r="CX187" s="142"/>
      <c r="CY187" s="142"/>
      <c r="CZ187" s="142"/>
      <c r="DA187" s="142"/>
      <c r="DB187" s="142"/>
      <c r="DC187" s="142"/>
      <c r="DD187" s="142"/>
      <c r="DE187" s="142"/>
      <c r="DF187" s="142"/>
      <c r="DG187" s="142"/>
      <c r="DH187" s="142"/>
      <c r="DI187" s="142"/>
      <c r="DJ187" s="142"/>
      <c r="DK187" s="142"/>
      <c r="DL187" s="142"/>
      <c r="DM187" s="142"/>
      <c r="DN187" s="142"/>
      <c r="DO187" s="142"/>
      <c r="DP187" s="142"/>
      <c r="DQ187" s="142"/>
      <c r="DR187" s="142"/>
      <c r="DS187" s="142"/>
      <c r="DT187" s="142"/>
      <c r="DU187" s="142"/>
      <c r="DV187" s="142"/>
      <c r="DW187" s="142"/>
      <c r="DX187" s="142"/>
      <c r="DY187" s="142"/>
      <c r="DZ187" s="142"/>
      <c r="EA187" s="142"/>
      <c r="EB187" s="142"/>
      <c r="EC187" s="142"/>
      <c r="ED187" s="142"/>
      <c r="EE187" s="142"/>
      <c r="EF187" s="142"/>
      <c r="EG187" s="142"/>
      <c r="EH187" s="142"/>
      <c r="EI187" s="142"/>
      <c r="EJ187" s="142"/>
      <c r="EK187" s="142"/>
      <c r="EL187" s="142"/>
      <c r="EM187" s="142"/>
      <c r="EN187" s="142"/>
      <c r="EO187" s="142"/>
      <c r="EP187" s="142"/>
      <c r="EQ187" s="142"/>
      <c r="ER187" s="142"/>
      <c r="ES187" s="142"/>
      <c r="ET187" s="142"/>
      <c r="EU187" s="142"/>
      <c r="EV187" s="142"/>
      <c r="EW187" s="142"/>
      <c r="EX187" s="142"/>
      <c r="EY187" s="142"/>
      <c r="EZ187" s="142"/>
      <c r="FA187" s="142"/>
      <c r="FB187" s="142"/>
      <c r="FC187" s="142"/>
      <c r="FD187" s="142"/>
      <c r="FE187" s="142"/>
      <c r="FF187" s="142"/>
      <c r="FG187" s="142"/>
      <c r="FH187" s="142"/>
      <c r="FI187" s="142"/>
      <c r="FJ187" s="142"/>
      <c r="FK187" s="142"/>
      <c r="FL187" s="142"/>
      <c r="FM187" s="142"/>
      <c r="FN187" s="142"/>
      <c r="FO187" s="142"/>
      <c r="FP187" s="142"/>
      <c r="FQ187" s="142"/>
      <c r="FR187" s="142"/>
      <c r="FS187" s="142"/>
      <c r="FT187" s="142"/>
      <c r="FU187" s="142"/>
      <c r="FV187" s="142"/>
      <c r="FW187" s="142"/>
      <c r="FX187" s="142"/>
      <c r="FY187" s="142"/>
      <c r="FZ187" s="142"/>
      <c r="GA187" s="142"/>
      <c r="GB187" s="142"/>
      <c r="GC187" s="142"/>
      <c r="GD187" s="142"/>
      <c r="GE187" s="142"/>
      <c r="GF187" s="142"/>
      <c r="GG187" s="142"/>
      <c r="GH187" s="142"/>
      <c r="GI187" s="142"/>
      <c r="GJ187" s="142"/>
      <c r="GK187" s="142"/>
      <c r="GL187" s="142"/>
      <c r="GM187" s="142"/>
      <c r="GN187" s="142"/>
      <c r="GO187" s="142"/>
      <c r="GP187" s="142"/>
      <c r="GQ187" s="142"/>
      <c r="GR187" s="142"/>
      <c r="GS187" s="142"/>
      <c r="GT187" s="142"/>
      <c r="GU187" s="142"/>
      <c r="GV187" s="142"/>
      <c r="GW187" s="142"/>
      <c r="GX187" s="142"/>
      <c r="GY187" s="142"/>
      <c r="GZ187" s="142"/>
      <c r="HA187" s="142"/>
      <c r="HB187" s="142"/>
      <c r="HC187" s="142"/>
      <c r="HD187" s="142"/>
      <c r="HE187" s="142"/>
      <c r="HF187" s="142"/>
      <c r="HG187" s="142"/>
      <c r="HH187" s="142"/>
      <c r="HI187" s="142"/>
      <c r="HJ187" s="142"/>
      <c r="HK187" s="142"/>
      <c r="HL187" s="142"/>
      <c r="HM187" s="142"/>
      <c r="HN187" s="142"/>
      <c r="HO187" s="142"/>
      <c r="HP187" s="142"/>
      <c r="HQ187" s="142"/>
      <c r="HR187" s="142"/>
      <c r="HS187" s="142"/>
      <c r="HT187" s="142"/>
      <c r="HU187" s="142"/>
      <c r="HV187" s="142"/>
      <c r="HW187" s="142"/>
      <c r="HX187" s="142"/>
      <c r="HY187" s="142"/>
      <c r="HZ187" s="142"/>
      <c r="IA187" s="142"/>
      <c r="IB187" s="142"/>
      <c r="IC187" s="142"/>
      <c r="ID187" s="142"/>
      <c r="IE187" s="142"/>
      <c r="IF187" s="142"/>
      <c r="IG187" s="142"/>
      <c r="IH187" s="142"/>
      <c r="II187" s="142"/>
      <c r="IJ187" s="142"/>
      <c r="IK187" s="142"/>
      <c r="IL187" s="142"/>
      <c r="IM187" s="142"/>
      <c r="IN187" s="142"/>
      <c r="IO187" s="142"/>
      <c r="IP187" s="142"/>
      <c r="IQ187" s="142"/>
      <c r="IR187" s="142"/>
      <c r="IS187" s="142"/>
      <c r="IT187" s="142"/>
      <c r="IU187" s="142"/>
      <c r="IV187" s="142"/>
    </row>
    <row r="188" spans="1:256" ht="11.25" customHeight="1">
      <c r="A188" s="99">
        <v>2015</v>
      </c>
      <c r="B188" s="142" t="str">
        <f t="shared" ref="B188:K188" si="85">IF(AND(B140="-",B92="-",B44="-"),"-",SUM(B140,B92,B44))</f>
        <v>-</v>
      </c>
      <c r="C188" s="142">
        <f t="shared" si="85"/>
        <v>30</v>
      </c>
      <c r="D188" s="142">
        <f t="shared" si="85"/>
        <v>3032</v>
      </c>
      <c r="E188" s="142">
        <f t="shared" si="85"/>
        <v>2974</v>
      </c>
      <c r="F188" s="142">
        <f t="shared" si="85"/>
        <v>3797</v>
      </c>
      <c r="G188" s="142">
        <f t="shared" si="85"/>
        <v>10148</v>
      </c>
      <c r="H188" s="142">
        <f t="shared" si="85"/>
        <v>9265</v>
      </c>
      <c r="I188" s="142">
        <f t="shared" si="85"/>
        <v>11096</v>
      </c>
      <c r="J188" s="142">
        <f t="shared" si="85"/>
        <v>3823</v>
      </c>
      <c r="K188" s="142">
        <f t="shared" si="85"/>
        <v>0</v>
      </c>
      <c r="L188" s="142">
        <f t="shared" si="71"/>
        <v>44165</v>
      </c>
      <c r="M188" s="24"/>
      <c r="N188" s="142" t="str">
        <f t="shared" ref="N188:W188" si="86">IF(AND(N140="-",N92="-",N44="-"),"-",IF(OR(ISNUMBER(N140),ISNUMBER(N92),ISNUMBER(N44)),SUM(N140,N92,N44),"--"))</f>
        <v>-</v>
      </c>
      <c r="O188" s="142" t="str">
        <f t="shared" si="86"/>
        <v>-</v>
      </c>
      <c r="P188" s="142" t="str">
        <f t="shared" si="86"/>
        <v>-</v>
      </c>
      <c r="Q188" s="142">
        <f t="shared" si="86"/>
        <v>5</v>
      </c>
      <c r="R188" s="142">
        <f t="shared" si="86"/>
        <v>475</v>
      </c>
      <c r="S188" s="142">
        <f t="shared" si="86"/>
        <v>11978</v>
      </c>
      <c r="T188" s="142">
        <f t="shared" si="86"/>
        <v>2567</v>
      </c>
      <c r="U188" s="142">
        <f t="shared" si="86"/>
        <v>4430</v>
      </c>
      <c r="V188" s="142">
        <f t="shared" si="86"/>
        <v>28</v>
      </c>
      <c r="W188" s="142" t="str">
        <f t="shared" si="86"/>
        <v>-</v>
      </c>
      <c r="X188" s="142">
        <f t="shared" si="7"/>
        <v>19483</v>
      </c>
      <c r="Y188" s="142"/>
      <c r="Z188" s="142"/>
      <c r="AA188" s="142"/>
      <c r="AB188" s="142"/>
      <c r="AC188" s="142"/>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c r="AX188" s="142"/>
      <c r="AY188" s="142"/>
      <c r="AZ188" s="142"/>
      <c r="BA188" s="142"/>
      <c r="BB188" s="142"/>
      <c r="BC188" s="142"/>
      <c r="BD188" s="142"/>
      <c r="BE188" s="142"/>
      <c r="BF188" s="142"/>
      <c r="BG188" s="142"/>
      <c r="BH188" s="142"/>
      <c r="BI188" s="142"/>
      <c r="BJ188" s="142"/>
      <c r="BK188" s="142"/>
      <c r="BL188" s="142"/>
      <c r="BM188" s="142"/>
      <c r="BN188" s="142"/>
      <c r="BO188" s="142"/>
      <c r="BP188" s="142"/>
      <c r="BQ188" s="142"/>
      <c r="BR188" s="142"/>
      <c r="BS188" s="142"/>
      <c r="BT188" s="142"/>
      <c r="BU188" s="142"/>
      <c r="BV188" s="142"/>
      <c r="BW188" s="142"/>
      <c r="BX188" s="142"/>
      <c r="BY188" s="142"/>
      <c r="BZ188" s="142"/>
      <c r="CA188" s="142"/>
      <c r="CB188" s="142"/>
      <c r="CC188" s="142"/>
      <c r="CD188" s="142"/>
      <c r="CE188" s="142"/>
      <c r="CF188" s="142"/>
      <c r="CG188" s="142"/>
      <c r="CH188" s="142"/>
      <c r="CI188" s="142"/>
      <c r="CJ188" s="142"/>
      <c r="CK188" s="142"/>
      <c r="CL188" s="142"/>
      <c r="CM188" s="142"/>
      <c r="CN188" s="142"/>
      <c r="CO188" s="142"/>
      <c r="CP188" s="142"/>
      <c r="CQ188" s="142"/>
      <c r="CR188" s="142"/>
      <c r="CS188" s="142"/>
      <c r="CT188" s="142"/>
      <c r="CU188" s="142"/>
      <c r="CV188" s="142"/>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c r="DY188" s="142"/>
      <c r="DZ188" s="142"/>
      <c r="EA188" s="142"/>
      <c r="EB188" s="142"/>
      <c r="EC188" s="142"/>
      <c r="ED188" s="142"/>
      <c r="EE188" s="142"/>
      <c r="EF188" s="142"/>
      <c r="EG188" s="142"/>
      <c r="EH188" s="142"/>
      <c r="EI188" s="142"/>
      <c r="EJ188" s="142"/>
      <c r="EK188" s="142"/>
      <c r="EL188" s="142"/>
      <c r="EM188" s="142"/>
      <c r="EN188" s="142"/>
      <c r="EO188" s="142"/>
      <c r="EP188" s="142"/>
      <c r="EQ188" s="142"/>
      <c r="ER188" s="142"/>
      <c r="ES188" s="142"/>
      <c r="ET188" s="142"/>
      <c r="EU188" s="142"/>
      <c r="EV188" s="142"/>
      <c r="EW188" s="142"/>
      <c r="EX188" s="142"/>
      <c r="EY188" s="142"/>
      <c r="EZ188" s="142"/>
      <c r="FA188" s="142"/>
      <c r="FB188" s="142"/>
      <c r="FC188" s="142"/>
      <c r="FD188" s="142"/>
      <c r="FE188" s="142"/>
      <c r="FF188" s="142"/>
      <c r="FG188" s="142"/>
      <c r="FH188" s="142"/>
      <c r="FI188" s="142"/>
      <c r="FJ188" s="142"/>
      <c r="FK188" s="142"/>
      <c r="FL188" s="142"/>
      <c r="FM188" s="142"/>
      <c r="FN188" s="142"/>
      <c r="FO188" s="142"/>
      <c r="FP188" s="142"/>
      <c r="FQ188" s="142"/>
      <c r="FR188" s="142"/>
      <c r="FS188" s="142"/>
      <c r="FT188" s="142"/>
      <c r="FU188" s="142"/>
      <c r="FV188" s="142"/>
      <c r="FW188" s="142"/>
      <c r="FX188" s="142"/>
      <c r="FY188" s="142"/>
      <c r="FZ188" s="142"/>
      <c r="GA188" s="142"/>
      <c r="GB188" s="142"/>
      <c r="GC188" s="142"/>
      <c r="GD188" s="142"/>
      <c r="GE188" s="142"/>
      <c r="GF188" s="142"/>
      <c r="GG188" s="142"/>
      <c r="GH188" s="142"/>
      <c r="GI188" s="142"/>
      <c r="GJ188" s="142"/>
      <c r="GK188" s="142"/>
      <c r="GL188" s="142"/>
      <c r="GM188" s="142"/>
      <c r="GN188" s="142"/>
      <c r="GO188" s="142"/>
      <c r="GP188" s="142"/>
      <c r="GQ188" s="142"/>
      <c r="GR188" s="142"/>
      <c r="GS188" s="142"/>
      <c r="GT188" s="142"/>
      <c r="GU188" s="142"/>
      <c r="GV188" s="142"/>
      <c r="GW188" s="142"/>
      <c r="GX188" s="142"/>
      <c r="GY188" s="142"/>
      <c r="GZ188" s="142"/>
      <c r="HA188" s="142"/>
      <c r="HB188" s="142"/>
      <c r="HC188" s="142"/>
      <c r="HD188" s="142"/>
      <c r="HE188" s="142"/>
      <c r="HF188" s="142"/>
      <c r="HG188" s="142"/>
      <c r="HH188" s="142"/>
      <c r="HI188" s="142"/>
      <c r="HJ188" s="142"/>
      <c r="HK188" s="142"/>
      <c r="HL188" s="142"/>
      <c r="HM188" s="142"/>
      <c r="HN188" s="142"/>
      <c r="HO188" s="142"/>
      <c r="HP188" s="142"/>
      <c r="HQ188" s="142"/>
      <c r="HR188" s="142"/>
      <c r="HS188" s="142"/>
      <c r="HT188" s="142"/>
      <c r="HU188" s="142"/>
      <c r="HV188" s="142"/>
      <c r="HW188" s="142"/>
      <c r="HX188" s="142"/>
      <c r="HY188" s="142"/>
      <c r="HZ188" s="142"/>
      <c r="IA188" s="142"/>
      <c r="IB188" s="142"/>
      <c r="IC188" s="142"/>
      <c r="ID188" s="142"/>
      <c r="IE188" s="142"/>
      <c r="IF188" s="142"/>
      <c r="IG188" s="142"/>
      <c r="IH188" s="142"/>
      <c r="II188" s="142"/>
      <c r="IJ188" s="142"/>
      <c r="IK188" s="142"/>
      <c r="IL188" s="142"/>
      <c r="IM188" s="142"/>
      <c r="IN188" s="142"/>
      <c r="IO188" s="142"/>
      <c r="IP188" s="142"/>
      <c r="IQ188" s="142"/>
      <c r="IR188" s="142"/>
      <c r="IS188" s="142"/>
      <c r="IT188" s="142"/>
      <c r="IU188" s="142"/>
      <c r="IV188" s="142"/>
    </row>
    <row r="189" spans="1:256" ht="11.25" customHeight="1">
      <c r="A189" s="99">
        <v>2016</v>
      </c>
      <c r="B189" s="142" t="str">
        <f t="shared" ref="B189:K189" si="87">IF(AND(B141="-",B93="-",B45="-"),"-",SUM(B141,B93,B45))</f>
        <v>-</v>
      </c>
      <c r="C189" s="142">
        <f t="shared" si="87"/>
        <v>32</v>
      </c>
      <c r="D189" s="142">
        <f t="shared" si="87"/>
        <v>2039</v>
      </c>
      <c r="E189" s="142">
        <f t="shared" si="87"/>
        <v>5821</v>
      </c>
      <c r="F189" s="142">
        <f t="shared" si="87"/>
        <v>2784</v>
      </c>
      <c r="G189" s="142">
        <f t="shared" si="87"/>
        <v>13293</v>
      </c>
      <c r="H189" s="142">
        <f t="shared" si="87"/>
        <v>8442</v>
      </c>
      <c r="I189" s="142">
        <f t="shared" si="87"/>
        <v>7655</v>
      </c>
      <c r="J189" s="142">
        <f t="shared" si="87"/>
        <v>1001</v>
      </c>
      <c r="K189" s="142">
        <f t="shared" si="87"/>
        <v>0</v>
      </c>
      <c r="L189" s="142">
        <f t="shared" si="71"/>
        <v>41067</v>
      </c>
      <c r="M189" s="24"/>
      <c r="N189" s="142" t="str">
        <f t="shared" ref="N189:W189" si="88">IF(AND(N141="-",N93="-",N45="-"),"-",IF(OR(ISNUMBER(N141),ISNUMBER(N93),ISNUMBER(N45)),SUM(N141,N93,N45),"--"))</f>
        <v>-</v>
      </c>
      <c r="O189" s="142" t="str">
        <f t="shared" si="88"/>
        <v>-</v>
      </c>
      <c r="P189" s="142" t="str">
        <f t="shared" si="88"/>
        <v>-</v>
      </c>
      <c r="Q189" s="142" t="str">
        <f t="shared" si="88"/>
        <v>-</v>
      </c>
      <c r="R189" s="142">
        <f t="shared" si="88"/>
        <v>274</v>
      </c>
      <c r="S189" s="142">
        <f t="shared" si="88"/>
        <v>1260</v>
      </c>
      <c r="T189" s="142">
        <f t="shared" si="88"/>
        <v>90</v>
      </c>
      <c r="U189" s="142">
        <f t="shared" si="88"/>
        <v>4180</v>
      </c>
      <c r="V189" s="142">
        <f t="shared" si="88"/>
        <v>22</v>
      </c>
      <c r="W189" s="142" t="str">
        <f t="shared" si="88"/>
        <v>-</v>
      </c>
      <c r="X189" s="142">
        <f t="shared" si="7"/>
        <v>5826</v>
      </c>
      <c r="Y189" s="142"/>
      <c r="Z189" s="142"/>
      <c r="AA189" s="142"/>
      <c r="AB189" s="142"/>
      <c r="AC189" s="142"/>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c r="AX189" s="142"/>
      <c r="AY189" s="142"/>
      <c r="AZ189" s="142"/>
      <c r="BA189" s="142"/>
      <c r="BB189" s="142"/>
      <c r="BC189" s="142"/>
      <c r="BD189" s="142"/>
      <c r="BE189" s="142"/>
      <c r="BF189" s="142"/>
      <c r="BG189" s="142"/>
      <c r="BH189" s="142"/>
      <c r="BI189" s="142"/>
      <c r="BJ189" s="142"/>
      <c r="BK189" s="142"/>
      <c r="BL189" s="142"/>
      <c r="BM189" s="142"/>
      <c r="BN189" s="142"/>
      <c r="BO189" s="142"/>
      <c r="BP189" s="142"/>
      <c r="BQ189" s="142"/>
      <c r="BR189" s="142"/>
      <c r="BS189" s="142"/>
      <c r="BT189" s="142"/>
      <c r="BU189" s="142"/>
      <c r="BV189" s="142"/>
      <c r="BW189" s="142"/>
      <c r="BX189" s="142"/>
      <c r="BY189" s="142"/>
      <c r="BZ189" s="142"/>
      <c r="CA189" s="142"/>
      <c r="CB189" s="142"/>
      <c r="CC189" s="142"/>
      <c r="CD189" s="142"/>
      <c r="CE189" s="142"/>
      <c r="CF189" s="142"/>
      <c r="CG189" s="142"/>
      <c r="CH189" s="142"/>
      <c r="CI189" s="142"/>
      <c r="CJ189" s="142"/>
      <c r="CK189" s="142"/>
      <c r="CL189" s="142"/>
      <c r="CM189" s="142"/>
      <c r="CN189" s="142"/>
      <c r="CO189" s="142"/>
      <c r="CP189" s="142"/>
      <c r="CQ189" s="142"/>
      <c r="CR189" s="142"/>
      <c r="CS189" s="142"/>
      <c r="CT189" s="142"/>
      <c r="CU189" s="142"/>
      <c r="CV189" s="142"/>
      <c r="CW189" s="142"/>
      <c r="CX189" s="142"/>
      <c r="CY189" s="142"/>
      <c r="CZ189" s="142"/>
      <c r="DA189" s="142"/>
      <c r="DB189" s="142"/>
      <c r="DC189" s="142"/>
      <c r="DD189" s="142"/>
      <c r="DE189" s="142"/>
      <c r="DF189" s="142"/>
      <c r="DG189" s="142"/>
      <c r="DH189" s="142"/>
      <c r="DI189" s="142"/>
      <c r="DJ189" s="142"/>
      <c r="DK189" s="142"/>
      <c r="DL189" s="142"/>
      <c r="DM189" s="142"/>
      <c r="DN189" s="142"/>
      <c r="DO189" s="142"/>
      <c r="DP189" s="142"/>
      <c r="DQ189" s="142"/>
      <c r="DR189" s="142"/>
      <c r="DS189" s="142"/>
      <c r="DT189" s="142"/>
      <c r="DU189" s="142"/>
      <c r="DV189" s="142"/>
      <c r="DW189" s="142"/>
      <c r="DX189" s="142"/>
      <c r="DY189" s="142"/>
      <c r="DZ189" s="142"/>
      <c r="EA189" s="142"/>
      <c r="EB189" s="142"/>
      <c r="EC189" s="142"/>
      <c r="ED189" s="142"/>
      <c r="EE189" s="142"/>
      <c r="EF189" s="142"/>
      <c r="EG189" s="142"/>
      <c r="EH189" s="142"/>
      <c r="EI189" s="142"/>
      <c r="EJ189" s="142"/>
      <c r="EK189" s="142"/>
      <c r="EL189" s="142"/>
      <c r="EM189" s="142"/>
      <c r="EN189" s="142"/>
      <c r="EO189" s="142"/>
      <c r="EP189" s="142"/>
      <c r="EQ189" s="142"/>
      <c r="ER189" s="142"/>
      <c r="ES189" s="142"/>
      <c r="ET189" s="142"/>
      <c r="EU189" s="142"/>
      <c r="EV189" s="142"/>
      <c r="EW189" s="142"/>
      <c r="EX189" s="142"/>
      <c r="EY189" s="142"/>
      <c r="EZ189" s="142"/>
      <c r="FA189" s="142"/>
      <c r="FB189" s="142"/>
      <c r="FC189" s="142"/>
      <c r="FD189" s="142"/>
      <c r="FE189" s="142"/>
      <c r="FF189" s="142"/>
      <c r="FG189" s="142"/>
      <c r="FH189" s="142"/>
      <c r="FI189" s="142"/>
      <c r="FJ189" s="142"/>
      <c r="FK189" s="142"/>
      <c r="FL189" s="142"/>
      <c r="FM189" s="142"/>
      <c r="FN189" s="142"/>
      <c r="FO189" s="142"/>
      <c r="FP189" s="142"/>
      <c r="FQ189" s="142"/>
      <c r="FR189" s="142"/>
      <c r="FS189" s="142"/>
      <c r="FT189" s="142"/>
      <c r="FU189" s="142"/>
      <c r="FV189" s="142"/>
      <c r="FW189" s="142"/>
      <c r="FX189" s="142"/>
      <c r="FY189" s="142"/>
      <c r="FZ189" s="142"/>
      <c r="GA189" s="142"/>
      <c r="GB189" s="142"/>
      <c r="GC189" s="142"/>
      <c r="GD189" s="142"/>
      <c r="GE189" s="142"/>
      <c r="GF189" s="142"/>
      <c r="GG189" s="142"/>
      <c r="GH189" s="142"/>
      <c r="GI189" s="142"/>
      <c r="GJ189" s="142"/>
      <c r="GK189" s="142"/>
      <c r="GL189" s="142"/>
      <c r="GM189" s="142"/>
      <c r="GN189" s="142"/>
      <c r="GO189" s="142"/>
      <c r="GP189" s="142"/>
      <c r="GQ189" s="142"/>
      <c r="GR189" s="142"/>
      <c r="GS189" s="142"/>
      <c r="GT189" s="142"/>
      <c r="GU189" s="142"/>
      <c r="GV189" s="142"/>
      <c r="GW189" s="142"/>
      <c r="GX189" s="142"/>
      <c r="GY189" s="142"/>
      <c r="GZ189" s="142"/>
      <c r="HA189" s="142"/>
      <c r="HB189" s="142"/>
      <c r="HC189" s="142"/>
      <c r="HD189" s="142"/>
      <c r="HE189" s="142"/>
      <c r="HF189" s="142"/>
      <c r="HG189" s="142"/>
      <c r="HH189" s="142"/>
      <c r="HI189" s="142"/>
      <c r="HJ189" s="142"/>
      <c r="HK189" s="142"/>
      <c r="HL189" s="142"/>
      <c r="HM189" s="142"/>
      <c r="HN189" s="142"/>
      <c r="HO189" s="142"/>
      <c r="HP189" s="142"/>
      <c r="HQ189" s="142"/>
      <c r="HR189" s="142"/>
      <c r="HS189" s="142"/>
      <c r="HT189" s="142"/>
      <c r="HU189" s="142"/>
      <c r="HV189" s="142"/>
      <c r="HW189" s="142"/>
      <c r="HX189" s="142"/>
      <c r="HY189" s="142"/>
      <c r="HZ189" s="142"/>
      <c r="IA189" s="142"/>
      <c r="IB189" s="142"/>
      <c r="IC189" s="142"/>
      <c r="ID189" s="142"/>
      <c r="IE189" s="142"/>
      <c r="IF189" s="142"/>
      <c r="IG189" s="142"/>
      <c r="IH189" s="142"/>
      <c r="II189" s="142"/>
      <c r="IJ189" s="142"/>
      <c r="IK189" s="142"/>
      <c r="IL189" s="142"/>
      <c r="IM189" s="142"/>
      <c r="IN189" s="142"/>
      <c r="IO189" s="142"/>
      <c r="IP189" s="142"/>
      <c r="IQ189" s="142"/>
      <c r="IR189" s="142"/>
      <c r="IS189" s="142"/>
      <c r="IT189" s="142"/>
      <c r="IU189" s="142"/>
      <c r="IV189" s="142"/>
    </row>
    <row r="190" spans="1:256" ht="11.25" customHeight="1">
      <c r="A190" s="99">
        <v>2017</v>
      </c>
      <c r="B190" s="142" t="str">
        <f t="shared" ref="B190:K190" si="89">IF(AND(B142="-",B94="-",B46="-"),"-",SUM(B142,B94,B46))</f>
        <v>-</v>
      </c>
      <c r="C190" s="142">
        <f t="shared" si="89"/>
        <v>0</v>
      </c>
      <c r="D190" s="142">
        <f t="shared" si="89"/>
        <v>4304</v>
      </c>
      <c r="E190" s="142">
        <f t="shared" si="89"/>
        <v>2394</v>
      </c>
      <c r="F190" s="142">
        <f t="shared" si="89"/>
        <v>5572</v>
      </c>
      <c r="G190" s="142">
        <f t="shared" si="89"/>
        <v>26749</v>
      </c>
      <c r="H190" s="142">
        <f t="shared" si="89"/>
        <v>19616</v>
      </c>
      <c r="I190" s="142">
        <f t="shared" si="89"/>
        <v>4852</v>
      </c>
      <c r="J190" s="142">
        <f t="shared" si="89"/>
        <v>1396</v>
      </c>
      <c r="K190" s="142">
        <f t="shared" si="89"/>
        <v>0</v>
      </c>
      <c r="L190" s="142">
        <f t="shared" si="71"/>
        <v>64883</v>
      </c>
      <c r="M190" s="24"/>
      <c r="N190" s="142" t="str">
        <f t="shared" ref="N190:W190" si="90">IF(AND(N142="-",N94="-",N46="-"),"-",IF(OR(ISNUMBER(N142),ISNUMBER(N94),ISNUMBER(N46)),SUM(N142,N94,N46),"--"))</f>
        <v>-</v>
      </c>
      <c r="O190" s="142" t="str">
        <f t="shared" si="90"/>
        <v>-</v>
      </c>
      <c r="P190" s="142" t="str">
        <f t="shared" si="90"/>
        <v>-</v>
      </c>
      <c r="Q190" s="142">
        <f t="shared" si="90"/>
        <v>3</v>
      </c>
      <c r="R190" s="142">
        <f t="shared" si="90"/>
        <v>363</v>
      </c>
      <c r="S190" s="142">
        <f t="shared" si="90"/>
        <v>6190</v>
      </c>
      <c r="T190" s="142">
        <f t="shared" si="90"/>
        <v>3984</v>
      </c>
      <c r="U190" s="142">
        <f t="shared" si="90"/>
        <v>4590</v>
      </c>
      <c r="V190" s="142" t="str">
        <f t="shared" si="90"/>
        <v>-</v>
      </c>
      <c r="W190" s="142" t="str">
        <f t="shared" si="90"/>
        <v>-</v>
      </c>
      <c r="X190" s="142">
        <f t="shared" si="7"/>
        <v>15130</v>
      </c>
      <c r="Y190" s="142"/>
      <c r="Z190" s="142"/>
      <c r="AA190" s="142"/>
      <c r="AB190" s="142"/>
      <c r="AC190" s="142"/>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c r="AX190" s="142"/>
      <c r="AY190" s="142"/>
      <c r="AZ190" s="142"/>
      <c r="BA190" s="142"/>
      <c r="BB190" s="142"/>
      <c r="BC190" s="142"/>
      <c r="BD190" s="142"/>
      <c r="BE190" s="142"/>
      <c r="BF190" s="142"/>
      <c r="BG190" s="142"/>
      <c r="BH190" s="142"/>
      <c r="BI190" s="142"/>
      <c r="BJ190" s="142"/>
      <c r="BK190" s="142"/>
      <c r="BL190" s="142"/>
      <c r="BM190" s="142"/>
      <c r="BN190" s="142"/>
      <c r="BO190" s="142"/>
      <c r="BP190" s="142"/>
      <c r="BQ190" s="142"/>
      <c r="BR190" s="142"/>
      <c r="BS190" s="142"/>
      <c r="BT190" s="142"/>
      <c r="BU190" s="142"/>
      <c r="BV190" s="142"/>
      <c r="BW190" s="142"/>
      <c r="BX190" s="142"/>
      <c r="BY190" s="142"/>
      <c r="BZ190" s="142"/>
      <c r="CA190" s="142"/>
      <c r="CB190" s="142"/>
      <c r="CC190" s="142"/>
      <c r="CD190" s="142"/>
      <c r="CE190" s="142"/>
      <c r="CF190" s="142"/>
      <c r="CG190" s="142"/>
      <c r="CH190" s="142"/>
      <c r="CI190" s="142"/>
      <c r="CJ190" s="142"/>
      <c r="CK190" s="142"/>
      <c r="CL190" s="142"/>
      <c r="CM190" s="142"/>
      <c r="CN190" s="142"/>
      <c r="CO190" s="142"/>
      <c r="CP190" s="142"/>
      <c r="CQ190" s="142"/>
      <c r="CR190" s="142"/>
      <c r="CS190" s="142"/>
      <c r="CT190" s="142"/>
      <c r="CU190" s="142"/>
      <c r="CV190" s="142"/>
      <c r="CW190" s="142"/>
      <c r="CX190" s="142"/>
      <c r="CY190" s="142"/>
      <c r="CZ190" s="142"/>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c r="DY190" s="142"/>
      <c r="DZ190" s="142"/>
      <c r="EA190" s="142"/>
      <c r="EB190" s="142"/>
      <c r="EC190" s="142"/>
      <c r="ED190" s="142"/>
      <c r="EE190" s="142"/>
      <c r="EF190" s="142"/>
      <c r="EG190" s="142"/>
      <c r="EH190" s="142"/>
      <c r="EI190" s="142"/>
      <c r="EJ190" s="142"/>
      <c r="EK190" s="142"/>
      <c r="EL190" s="142"/>
      <c r="EM190" s="142"/>
      <c r="EN190" s="142"/>
      <c r="EO190" s="142"/>
      <c r="EP190" s="142"/>
      <c r="EQ190" s="142"/>
      <c r="ER190" s="142"/>
      <c r="ES190" s="142"/>
      <c r="ET190" s="142"/>
      <c r="EU190" s="142"/>
      <c r="EV190" s="142"/>
      <c r="EW190" s="142"/>
      <c r="EX190" s="142"/>
      <c r="EY190" s="142"/>
      <c r="EZ190" s="142"/>
      <c r="FA190" s="142"/>
      <c r="FB190" s="142"/>
      <c r="FC190" s="142"/>
      <c r="FD190" s="142"/>
      <c r="FE190" s="142"/>
      <c r="FF190" s="142"/>
      <c r="FG190" s="142"/>
      <c r="FH190" s="142"/>
      <c r="FI190" s="142"/>
      <c r="FJ190" s="142"/>
      <c r="FK190" s="142"/>
      <c r="FL190" s="142"/>
      <c r="FM190" s="142"/>
      <c r="FN190" s="142"/>
      <c r="FO190" s="142"/>
      <c r="FP190" s="142"/>
      <c r="FQ190" s="142"/>
      <c r="FR190" s="142"/>
      <c r="FS190" s="142"/>
      <c r="FT190" s="142"/>
      <c r="FU190" s="142"/>
      <c r="FV190" s="142"/>
      <c r="FW190" s="142"/>
      <c r="FX190" s="142"/>
      <c r="FY190" s="142"/>
      <c r="FZ190" s="142"/>
      <c r="GA190" s="142"/>
      <c r="GB190" s="142"/>
      <c r="GC190" s="142"/>
      <c r="GD190" s="142"/>
      <c r="GE190" s="142"/>
      <c r="GF190" s="142"/>
      <c r="GG190" s="142"/>
      <c r="GH190" s="142"/>
      <c r="GI190" s="142"/>
      <c r="GJ190" s="142"/>
      <c r="GK190" s="142"/>
      <c r="GL190" s="142"/>
      <c r="GM190" s="142"/>
      <c r="GN190" s="142"/>
      <c r="GO190" s="142"/>
      <c r="GP190" s="142"/>
      <c r="GQ190" s="142"/>
      <c r="GR190" s="142"/>
      <c r="GS190" s="142"/>
      <c r="GT190" s="142"/>
      <c r="GU190" s="142"/>
      <c r="GV190" s="142"/>
      <c r="GW190" s="142"/>
      <c r="GX190" s="142"/>
      <c r="GY190" s="142"/>
      <c r="GZ190" s="142"/>
      <c r="HA190" s="142"/>
      <c r="HB190" s="142"/>
      <c r="HC190" s="142"/>
      <c r="HD190" s="142"/>
      <c r="HE190" s="142"/>
      <c r="HF190" s="142"/>
      <c r="HG190" s="142"/>
      <c r="HH190" s="142"/>
      <c r="HI190" s="142"/>
      <c r="HJ190" s="142"/>
      <c r="HK190" s="142"/>
      <c r="HL190" s="142"/>
      <c r="HM190" s="142"/>
      <c r="HN190" s="142"/>
      <c r="HO190" s="142"/>
      <c r="HP190" s="142"/>
      <c r="HQ190" s="142"/>
      <c r="HR190" s="142"/>
      <c r="HS190" s="142"/>
      <c r="HT190" s="142"/>
      <c r="HU190" s="142"/>
      <c r="HV190" s="142"/>
      <c r="HW190" s="142"/>
      <c r="HX190" s="142"/>
      <c r="HY190" s="142"/>
      <c r="HZ190" s="142"/>
      <c r="IA190" s="142"/>
      <c r="IB190" s="142"/>
      <c r="IC190" s="142"/>
      <c r="ID190" s="142"/>
      <c r="IE190" s="142"/>
      <c r="IF190" s="142"/>
      <c r="IG190" s="142"/>
      <c r="IH190" s="142"/>
      <c r="II190" s="142"/>
      <c r="IJ190" s="142"/>
      <c r="IK190" s="142"/>
      <c r="IL190" s="142"/>
      <c r="IM190" s="142"/>
      <c r="IN190" s="142"/>
      <c r="IO190" s="142"/>
      <c r="IP190" s="142"/>
      <c r="IQ190" s="142"/>
      <c r="IR190" s="142"/>
      <c r="IS190" s="142"/>
      <c r="IT190" s="142"/>
      <c r="IU190" s="142"/>
      <c r="IV190" s="142"/>
    </row>
    <row r="191" spans="1:256" ht="11.25" customHeight="1">
      <c r="A191" s="99">
        <v>2018</v>
      </c>
      <c r="B191" s="142" t="str">
        <f t="shared" ref="B191:K191" si="91">IF(AND(B143="-",B95="-",B47="-"),"-",SUM(B143,B95,B47))</f>
        <v>-</v>
      </c>
      <c r="C191" s="142">
        <f t="shared" si="91"/>
        <v>0</v>
      </c>
      <c r="D191" s="142">
        <f t="shared" si="91"/>
        <v>3939</v>
      </c>
      <c r="E191" s="142">
        <f t="shared" si="91"/>
        <v>629</v>
      </c>
      <c r="F191" s="142">
        <f t="shared" si="91"/>
        <v>15060</v>
      </c>
      <c r="G191" s="142">
        <f t="shared" si="91"/>
        <v>43563</v>
      </c>
      <c r="H191" s="142">
        <f t="shared" si="91"/>
        <v>16313</v>
      </c>
      <c r="I191" s="142">
        <f t="shared" si="91"/>
        <v>7436</v>
      </c>
      <c r="J191" s="142">
        <f t="shared" si="91"/>
        <v>4675</v>
      </c>
      <c r="K191" s="142">
        <f t="shared" si="91"/>
        <v>0</v>
      </c>
      <c r="L191" s="142">
        <f t="shared" si="71"/>
        <v>91615</v>
      </c>
      <c r="M191" s="24"/>
      <c r="N191" s="142" t="str">
        <f t="shared" ref="N191:W191" si="92">IF(AND(N143="-",N95="-",N47="-"),"-",IF(OR(ISNUMBER(N143),ISNUMBER(N95),ISNUMBER(N47)),SUM(N143,N95,N47),"--"))</f>
        <v>-</v>
      </c>
      <c r="O191" s="142" t="str">
        <f t="shared" si="92"/>
        <v>-</v>
      </c>
      <c r="P191" s="142" t="str">
        <f t="shared" si="92"/>
        <v>-</v>
      </c>
      <c r="Q191" s="142" t="str">
        <f t="shared" si="92"/>
        <v>-</v>
      </c>
      <c r="R191" s="142">
        <f t="shared" si="92"/>
        <v>88</v>
      </c>
      <c r="S191" s="142">
        <f t="shared" si="92"/>
        <v>3077</v>
      </c>
      <c r="T191" s="142">
        <f t="shared" si="92"/>
        <v>8630</v>
      </c>
      <c r="U191" s="142">
        <f t="shared" si="92"/>
        <v>6944</v>
      </c>
      <c r="V191" s="142" t="str">
        <f t="shared" si="92"/>
        <v>-</v>
      </c>
      <c r="W191" s="142" t="str">
        <f t="shared" si="92"/>
        <v>-</v>
      </c>
      <c r="X191" s="142">
        <f t="shared" si="7"/>
        <v>18739</v>
      </c>
      <c r="Y191" s="142"/>
      <c r="Z191" s="142"/>
      <c r="AA191" s="142"/>
      <c r="AB191" s="142"/>
      <c r="AC191" s="142"/>
      <c r="AD191" s="142"/>
      <c r="AE191" s="142"/>
      <c r="AF191" s="142"/>
      <c r="AG191" s="142"/>
      <c r="AH191" s="142"/>
      <c r="AI191" s="142"/>
      <c r="AJ191" s="142"/>
      <c r="AK191" s="142"/>
      <c r="AL191" s="142"/>
      <c r="AM191" s="142"/>
      <c r="AN191" s="142"/>
      <c r="AO191" s="142"/>
      <c r="AP191" s="142"/>
      <c r="AQ191" s="142"/>
      <c r="AR191" s="142"/>
      <c r="AS191" s="142"/>
      <c r="AT191" s="142"/>
      <c r="AU191" s="142"/>
      <c r="AV191" s="142"/>
      <c r="AW191" s="142"/>
      <c r="AX191" s="142"/>
      <c r="AY191" s="142"/>
      <c r="AZ191" s="142"/>
      <c r="BA191" s="142"/>
      <c r="BB191" s="142"/>
      <c r="BC191" s="142"/>
      <c r="BD191" s="142"/>
      <c r="BE191" s="142"/>
      <c r="BF191" s="142"/>
      <c r="BG191" s="142"/>
      <c r="BH191" s="142"/>
      <c r="BI191" s="142"/>
      <c r="BJ191" s="142"/>
      <c r="BK191" s="142"/>
      <c r="BL191" s="142"/>
      <c r="BM191" s="142"/>
      <c r="BN191" s="142"/>
      <c r="BO191" s="142"/>
      <c r="BP191" s="142"/>
      <c r="BQ191" s="142"/>
      <c r="BR191" s="142"/>
      <c r="BS191" s="142"/>
      <c r="BT191" s="142"/>
      <c r="BU191" s="142"/>
      <c r="BV191" s="142"/>
      <c r="BW191" s="142"/>
      <c r="BX191" s="142"/>
      <c r="BY191" s="142"/>
      <c r="BZ191" s="142"/>
      <c r="CA191" s="142"/>
      <c r="CB191" s="142"/>
      <c r="CC191" s="142"/>
      <c r="CD191" s="142"/>
      <c r="CE191" s="142"/>
      <c r="CF191" s="142"/>
      <c r="CG191" s="142"/>
      <c r="CH191" s="142"/>
      <c r="CI191" s="142"/>
      <c r="CJ191" s="142"/>
      <c r="CK191" s="142"/>
      <c r="CL191" s="142"/>
      <c r="CM191" s="142"/>
      <c r="CN191" s="142"/>
      <c r="CO191" s="142"/>
      <c r="CP191" s="142"/>
      <c r="CQ191" s="142"/>
      <c r="CR191" s="142"/>
      <c r="CS191" s="142"/>
      <c r="CT191" s="142"/>
      <c r="CU191" s="142"/>
      <c r="CV191" s="142"/>
      <c r="CW191" s="142"/>
      <c r="CX191" s="142"/>
      <c r="CY191" s="142"/>
      <c r="CZ191" s="142"/>
      <c r="DA191" s="142"/>
      <c r="DB191" s="142"/>
      <c r="DC191" s="142"/>
      <c r="DD191" s="142"/>
      <c r="DE191" s="142"/>
      <c r="DF191" s="142"/>
      <c r="DG191" s="142"/>
      <c r="DH191" s="142"/>
      <c r="DI191" s="142"/>
      <c r="DJ191" s="142"/>
      <c r="DK191" s="142"/>
      <c r="DL191" s="142"/>
      <c r="DM191" s="142"/>
      <c r="DN191" s="142"/>
      <c r="DO191" s="142"/>
      <c r="DP191" s="142"/>
      <c r="DQ191" s="142"/>
      <c r="DR191" s="142"/>
      <c r="DS191" s="142"/>
      <c r="DT191" s="142"/>
      <c r="DU191" s="142"/>
      <c r="DV191" s="142"/>
      <c r="DW191" s="142"/>
      <c r="DX191" s="142"/>
      <c r="DY191" s="142"/>
      <c r="DZ191" s="142"/>
      <c r="EA191" s="142"/>
      <c r="EB191" s="142"/>
      <c r="EC191" s="142"/>
      <c r="ED191" s="142"/>
      <c r="EE191" s="142"/>
      <c r="EF191" s="142"/>
      <c r="EG191" s="142"/>
      <c r="EH191" s="142"/>
      <c r="EI191" s="142"/>
      <c r="EJ191" s="142"/>
      <c r="EK191" s="142"/>
      <c r="EL191" s="142"/>
      <c r="EM191" s="142"/>
      <c r="EN191" s="142"/>
      <c r="EO191" s="142"/>
      <c r="EP191" s="142"/>
      <c r="EQ191" s="142"/>
      <c r="ER191" s="142"/>
      <c r="ES191" s="142"/>
      <c r="ET191" s="142"/>
      <c r="EU191" s="142"/>
      <c r="EV191" s="142"/>
      <c r="EW191" s="142"/>
      <c r="EX191" s="142"/>
      <c r="EY191" s="142"/>
      <c r="EZ191" s="142"/>
      <c r="FA191" s="142"/>
      <c r="FB191" s="142"/>
      <c r="FC191" s="142"/>
      <c r="FD191" s="142"/>
      <c r="FE191" s="142"/>
      <c r="FF191" s="142"/>
      <c r="FG191" s="142"/>
      <c r="FH191" s="142"/>
      <c r="FI191" s="142"/>
      <c r="FJ191" s="142"/>
      <c r="FK191" s="142"/>
      <c r="FL191" s="142"/>
      <c r="FM191" s="142"/>
      <c r="FN191" s="142"/>
      <c r="FO191" s="142"/>
      <c r="FP191" s="142"/>
      <c r="FQ191" s="142"/>
      <c r="FR191" s="142"/>
      <c r="FS191" s="142"/>
      <c r="FT191" s="142"/>
      <c r="FU191" s="142"/>
      <c r="FV191" s="142"/>
      <c r="FW191" s="142"/>
      <c r="FX191" s="142"/>
      <c r="FY191" s="142"/>
      <c r="FZ191" s="142"/>
      <c r="GA191" s="142"/>
      <c r="GB191" s="142"/>
      <c r="GC191" s="142"/>
      <c r="GD191" s="142"/>
      <c r="GE191" s="142"/>
      <c r="GF191" s="142"/>
      <c r="GG191" s="142"/>
      <c r="GH191" s="142"/>
      <c r="GI191" s="142"/>
      <c r="GJ191" s="142"/>
      <c r="GK191" s="142"/>
      <c r="GL191" s="142"/>
      <c r="GM191" s="142"/>
      <c r="GN191" s="142"/>
      <c r="GO191" s="142"/>
      <c r="GP191" s="142"/>
      <c r="GQ191" s="142"/>
      <c r="GR191" s="142"/>
      <c r="GS191" s="142"/>
      <c r="GT191" s="142"/>
      <c r="GU191" s="142"/>
      <c r="GV191" s="142"/>
      <c r="GW191" s="142"/>
      <c r="GX191" s="142"/>
      <c r="GY191" s="142"/>
      <c r="GZ191" s="142"/>
      <c r="HA191" s="142"/>
      <c r="HB191" s="142"/>
      <c r="HC191" s="142"/>
      <c r="HD191" s="142"/>
      <c r="HE191" s="142"/>
      <c r="HF191" s="142"/>
      <c r="HG191" s="142"/>
      <c r="HH191" s="142"/>
      <c r="HI191" s="142"/>
      <c r="HJ191" s="142"/>
      <c r="HK191" s="142"/>
      <c r="HL191" s="142"/>
      <c r="HM191" s="142"/>
      <c r="HN191" s="142"/>
      <c r="HO191" s="142"/>
      <c r="HP191" s="142"/>
      <c r="HQ191" s="142"/>
      <c r="HR191" s="142"/>
      <c r="HS191" s="142"/>
      <c r="HT191" s="142"/>
      <c r="HU191" s="142"/>
      <c r="HV191" s="142"/>
      <c r="HW191" s="142"/>
      <c r="HX191" s="142"/>
      <c r="HY191" s="142"/>
      <c r="HZ191" s="142"/>
      <c r="IA191" s="142"/>
      <c r="IB191" s="142"/>
      <c r="IC191" s="142"/>
      <c r="ID191" s="142"/>
      <c r="IE191" s="142"/>
      <c r="IF191" s="142"/>
      <c r="IG191" s="142"/>
      <c r="IH191" s="142"/>
      <c r="II191" s="142"/>
      <c r="IJ191" s="142"/>
      <c r="IK191" s="142"/>
      <c r="IL191" s="142"/>
      <c r="IM191" s="142"/>
      <c r="IN191" s="142"/>
      <c r="IO191" s="142"/>
      <c r="IP191" s="142"/>
      <c r="IQ191" s="142"/>
      <c r="IR191" s="142"/>
      <c r="IS191" s="142"/>
      <c r="IT191" s="142"/>
      <c r="IU191" s="142"/>
      <c r="IV191" s="142"/>
    </row>
    <row r="192" spans="1:256" ht="11.25" customHeight="1">
      <c r="A192" s="99">
        <v>2019</v>
      </c>
      <c r="B192" s="142" t="str">
        <f t="shared" ref="B192:K192" si="93">IF(AND(B144="-",B96="-",B48="-"),"-",SUM(B144,B96,B48))</f>
        <v>-</v>
      </c>
      <c r="C192" s="142">
        <f t="shared" si="93"/>
        <v>10</v>
      </c>
      <c r="D192" s="142">
        <f t="shared" si="93"/>
        <v>16783</v>
      </c>
      <c r="E192" s="142">
        <f t="shared" si="93"/>
        <v>3591</v>
      </c>
      <c r="F192" s="142">
        <f t="shared" si="93"/>
        <v>21518</v>
      </c>
      <c r="G192" s="142">
        <f t="shared" si="93"/>
        <v>24851</v>
      </c>
      <c r="H192" s="142">
        <f t="shared" si="93"/>
        <v>21867</v>
      </c>
      <c r="I192" s="142">
        <f t="shared" si="93"/>
        <v>4427</v>
      </c>
      <c r="J192" s="142">
        <f t="shared" si="93"/>
        <v>724</v>
      </c>
      <c r="K192" s="142" t="str">
        <f t="shared" si="93"/>
        <v>-</v>
      </c>
      <c r="L192" s="142">
        <f t="shared" si="71"/>
        <v>93771</v>
      </c>
      <c r="M192" s="24"/>
      <c r="N192" s="142" t="str">
        <f t="shared" ref="N192:W192" si="94">IF(AND(N144="-",N96="-",N48="-"),"-",IF(OR(ISNUMBER(N144),ISNUMBER(N96),ISNUMBER(N48)),SUM(N144,N96,N48),"--"))</f>
        <v>-</v>
      </c>
      <c r="O192" s="142" t="str">
        <f t="shared" si="94"/>
        <v>-</v>
      </c>
      <c r="P192" s="142" t="str">
        <f t="shared" si="94"/>
        <v>-</v>
      </c>
      <c r="Q192" s="142">
        <f t="shared" si="94"/>
        <v>2</v>
      </c>
      <c r="R192" s="142">
        <f t="shared" si="94"/>
        <v>4106</v>
      </c>
      <c r="S192" s="142">
        <f t="shared" si="94"/>
        <v>27761</v>
      </c>
      <c r="T192" s="142">
        <f t="shared" si="94"/>
        <v>12822</v>
      </c>
      <c r="U192" s="142">
        <f t="shared" si="94"/>
        <v>5084</v>
      </c>
      <c r="V192" s="142">
        <f t="shared" si="94"/>
        <v>10</v>
      </c>
      <c r="W192" s="142" t="str">
        <f t="shared" si="94"/>
        <v>-</v>
      </c>
      <c r="X192" s="142">
        <f t="shared" si="7"/>
        <v>49785</v>
      </c>
      <c r="Y192" s="142"/>
      <c r="Z192" s="142"/>
      <c r="AA192" s="142"/>
      <c r="AB192" s="142"/>
      <c r="AC192" s="142"/>
      <c r="AD192" s="142"/>
      <c r="AE192" s="142"/>
      <c r="AF192" s="142"/>
      <c r="AG192" s="142"/>
      <c r="AH192" s="142"/>
      <c r="AI192" s="142"/>
      <c r="AJ192" s="142"/>
      <c r="AK192" s="142"/>
      <c r="AL192" s="142"/>
      <c r="AM192" s="142"/>
      <c r="AN192" s="142"/>
      <c r="AO192" s="142"/>
      <c r="AP192" s="142"/>
      <c r="AQ192" s="142"/>
      <c r="AR192" s="142"/>
      <c r="AS192" s="142"/>
      <c r="AT192" s="142"/>
      <c r="AU192" s="142"/>
      <c r="AV192" s="142"/>
      <c r="AW192" s="142"/>
      <c r="AX192" s="142"/>
      <c r="AY192" s="142"/>
      <c r="AZ192" s="142"/>
      <c r="BA192" s="142"/>
      <c r="BB192" s="142"/>
      <c r="BC192" s="142"/>
      <c r="BD192" s="142"/>
      <c r="BE192" s="142"/>
      <c r="BF192" s="142"/>
      <c r="BG192" s="142"/>
      <c r="BH192" s="142"/>
      <c r="BI192" s="142"/>
      <c r="BJ192" s="142"/>
      <c r="BK192" s="142"/>
      <c r="BL192" s="142"/>
      <c r="BM192" s="142"/>
      <c r="BN192" s="142"/>
      <c r="BO192" s="142"/>
      <c r="BP192" s="142"/>
      <c r="BQ192" s="142"/>
      <c r="BR192" s="142"/>
      <c r="BS192" s="142"/>
      <c r="BT192" s="142"/>
      <c r="BU192" s="142"/>
      <c r="BV192" s="142"/>
      <c r="BW192" s="142"/>
      <c r="BX192" s="142"/>
      <c r="BY192" s="142"/>
      <c r="BZ192" s="142"/>
      <c r="CA192" s="142"/>
      <c r="CB192" s="142"/>
      <c r="CC192" s="142"/>
      <c r="CD192" s="142"/>
      <c r="CE192" s="142"/>
      <c r="CF192" s="142"/>
      <c r="CG192" s="142"/>
      <c r="CH192" s="142"/>
      <c r="CI192" s="142"/>
      <c r="CJ192" s="142"/>
      <c r="CK192" s="142"/>
      <c r="CL192" s="142"/>
      <c r="CM192" s="142"/>
      <c r="CN192" s="142"/>
      <c r="CO192" s="142"/>
      <c r="CP192" s="142"/>
      <c r="CQ192" s="142"/>
      <c r="CR192" s="142"/>
      <c r="CS192" s="142"/>
      <c r="CT192" s="142"/>
      <c r="CU192" s="142"/>
      <c r="CV192" s="142"/>
      <c r="CW192" s="142"/>
      <c r="CX192" s="142"/>
      <c r="CY192" s="142"/>
      <c r="CZ192" s="142"/>
      <c r="DA192" s="142"/>
      <c r="DB192" s="142"/>
      <c r="DC192" s="142"/>
      <c r="DD192" s="142"/>
      <c r="DE192" s="142"/>
      <c r="DF192" s="142"/>
      <c r="DG192" s="142"/>
      <c r="DH192" s="142"/>
      <c r="DI192" s="142"/>
      <c r="DJ192" s="142"/>
      <c r="DK192" s="142"/>
      <c r="DL192" s="142"/>
      <c r="DM192" s="142"/>
      <c r="DN192" s="142"/>
      <c r="DO192" s="142"/>
      <c r="DP192" s="142"/>
      <c r="DQ192" s="142"/>
      <c r="DR192" s="142"/>
      <c r="DS192" s="142"/>
      <c r="DT192" s="142"/>
      <c r="DU192" s="142"/>
      <c r="DV192" s="142"/>
      <c r="DW192" s="142"/>
      <c r="DX192" s="142"/>
      <c r="DY192" s="142"/>
      <c r="DZ192" s="142"/>
      <c r="EA192" s="142"/>
      <c r="EB192" s="142"/>
      <c r="EC192" s="142"/>
      <c r="ED192" s="142"/>
      <c r="EE192" s="142"/>
      <c r="EF192" s="142"/>
      <c r="EG192" s="142"/>
      <c r="EH192" s="142"/>
      <c r="EI192" s="142"/>
      <c r="EJ192" s="142"/>
      <c r="EK192" s="142"/>
      <c r="EL192" s="142"/>
      <c r="EM192" s="142"/>
      <c r="EN192" s="142"/>
      <c r="EO192" s="142"/>
      <c r="EP192" s="142"/>
      <c r="EQ192" s="142"/>
      <c r="ER192" s="142"/>
      <c r="ES192" s="142"/>
      <c r="ET192" s="142"/>
      <c r="EU192" s="142"/>
      <c r="EV192" s="142"/>
      <c r="EW192" s="142"/>
      <c r="EX192" s="142"/>
      <c r="EY192" s="142"/>
      <c r="EZ192" s="142"/>
      <c r="FA192" s="142"/>
      <c r="FB192" s="142"/>
      <c r="FC192" s="142"/>
      <c r="FD192" s="142"/>
      <c r="FE192" s="142"/>
      <c r="FF192" s="142"/>
      <c r="FG192" s="142"/>
      <c r="FH192" s="142"/>
      <c r="FI192" s="142"/>
      <c r="FJ192" s="142"/>
      <c r="FK192" s="142"/>
      <c r="FL192" s="142"/>
      <c r="FM192" s="142"/>
      <c r="FN192" s="142"/>
      <c r="FO192" s="142"/>
      <c r="FP192" s="142"/>
      <c r="FQ192" s="142"/>
      <c r="FR192" s="142"/>
      <c r="FS192" s="142"/>
      <c r="FT192" s="142"/>
      <c r="FU192" s="142"/>
      <c r="FV192" s="142"/>
      <c r="FW192" s="142"/>
      <c r="FX192" s="142"/>
      <c r="FY192" s="142"/>
      <c r="FZ192" s="142"/>
      <c r="GA192" s="142"/>
      <c r="GB192" s="142"/>
      <c r="GC192" s="142"/>
      <c r="GD192" s="142"/>
      <c r="GE192" s="142"/>
      <c r="GF192" s="142"/>
      <c r="GG192" s="142"/>
      <c r="GH192" s="142"/>
      <c r="GI192" s="142"/>
      <c r="GJ192" s="142"/>
      <c r="GK192" s="142"/>
      <c r="GL192" s="142"/>
      <c r="GM192" s="142"/>
      <c r="GN192" s="142"/>
      <c r="GO192" s="142"/>
      <c r="GP192" s="142"/>
      <c r="GQ192" s="142"/>
      <c r="GR192" s="142"/>
      <c r="GS192" s="142"/>
      <c r="GT192" s="142"/>
      <c r="GU192" s="142"/>
      <c r="GV192" s="142"/>
      <c r="GW192" s="142"/>
      <c r="GX192" s="142"/>
      <c r="GY192" s="142"/>
      <c r="GZ192" s="142"/>
      <c r="HA192" s="142"/>
      <c r="HB192" s="142"/>
      <c r="HC192" s="142"/>
      <c r="HD192" s="142"/>
      <c r="HE192" s="142"/>
      <c r="HF192" s="142"/>
      <c r="HG192" s="142"/>
      <c r="HH192" s="142"/>
      <c r="HI192" s="142"/>
      <c r="HJ192" s="142"/>
      <c r="HK192" s="142"/>
      <c r="HL192" s="142"/>
      <c r="HM192" s="142"/>
      <c r="HN192" s="142"/>
      <c r="HO192" s="142"/>
      <c r="HP192" s="142"/>
      <c r="HQ192" s="142"/>
      <c r="HR192" s="142"/>
      <c r="HS192" s="142"/>
      <c r="HT192" s="142"/>
      <c r="HU192" s="142"/>
      <c r="HV192" s="142"/>
      <c r="HW192" s="142"/>
      <c r="HX192" s="142"/>
      <c r="HY192" s="142"/>
      <c r="HZ192" s="142"/>
      <c r="IA192" s="142"/>
      <c r="IB192" s="142"/>
      <c r="IC192" s="142"/>
      <c r="ID192" s="142"/>
      <c r="IE192" s="142"/>
      <c r="IF192" s="142"/>
      <c r="IG192" s="142"/>
      <c r="IH192" s="142"/>
      <c r="II192" s="142"/>
      <c r="IJ192" s="142"/>
      <c r="IK192" s="142"/>
      <c r="IL192" s="142"/>
      <c r="IM192" s="142"/>
      <c r="IN192" s="142"/>
      <c r="IO192" s="142"/>
      <c r="IP192" s="142"/>
      <c r="IQ192" s="142"/>
      <c r="IR192" s="142"/>
      <c r="IS192" s="142"/>
      <c r="IT192" s="142"/>
      <c r="IU192" s="142"/>
      <c r="IV192" s="142"/>
    </row>
    <row r="193" spans="1:256" ht="11.25" customHeight="1">
      <c r="A193" s="99" t="s">
        <v>311</v>
      </c>
      <c r="B193" s="142" t="str">
        <f t="shared" ref="B193:L194" si="95">IF(AND(B145="-",B97="-",B49="-"),"-",SUM(B145,B97,B49))</f>
        <v>-</v>
      </c>
      <c r="C193" s="142">
        <f t="shared" si="95"/>
        <v>0</v>
      </c>
      <c r="D193" s="142">
        <f t="shared" si="95"/>
        <v>4</v>
      </c>
      <c r="E193" s="142">
        <f t="shared" si="95"/>
        <v>38</v>
      </c>
      <c r="F193" s="142">
        <f t="shared" si="95"/>
        <v>655</v>
      </c>
      <c r="G193" s="142">
        <f t="shared" si="95"/>
        <v>27462</v>
      </c>
      <c r="H193" s="142">
        <f t="shared" si="95"/>
        <v>10983</v>
      </c>
      <c r="I193" s="142">
        <f t="shared" si="95"/>
        <v>5422</v>
      </c>
      <c r="J193" s="142">
        <f t="shared" si="95"/>
        <v>2583</v>
      </c>
      <c r="K193" s="142">
        <f t="shared" si="95"/>
        <v>29</v>
      </c>
      <c r="L193" s="142">
        <f t="shared" si="95"/>
        <v>47176</v>
      </c>
      <c r="M193" s="24"/>
      <c r="N193" s="142" t="str">
        <f t="shared" ref="N193:W194" si="96">IF(AND(N145="-",N97="-",N49="-"),"-",IF(OR(ISNUMBER(N145),ISNUMBER(N97),ISNUMBER(N49)),SUM(N145,N97,N49),"--"))</f>
        <v>-</v>
      </c>
      <c r="O193" s="142" t="str">
        <f t="shared" si="96"/>
        <v>-</v>
      </c>
      <c r="P193" s="142" t="str">
        <f t="shared" si="96"/>
        <v>-</v>
      </c>
      <c r="Q193" s="142" t="str">
        <f t="shared" si="96"/>
        <v>-</v>
      </c>
      <c r="R193" s="142">
        <f t="shared" si="96"/>
        <v>0</v>
      </c>
      <c r="S193" s="142">
        <f t="shared" si="96"/>
        <v>7762</v>
      </c>
      <c r="T193" s="142">
        <f t="shared" si="96"/>
        <v>5126</v>
      </c>
      <c r="U193" s="142">
        <f t="shared" si="96"/>
        <v>4243</v>
      </c>
      <c r="V193" s="142" t="str">
        <f t="shared" si="96"/>
        <v>-</v>
      </c>
      <c r="W193" s="142" t="str">
        <f t="shared" si="96"/>
        <v>-</v>
      </c>
      <c r="X193" s="142">
        <f t="shared" ref="X193:X194" si="97">IF(AND(X145="-",X97="-",X49="-"),"-",SUM(X145,X97,X49))</f>
        <v>17131</v>
      </c>
      <c r="Y193" s="142"/>
      <c r="Z193" s="142"/>
      <c r="AA193" s="142"/>
      <c r="AB193" s="142"/>
      <c r="AC193" s="142"/>
      <c r="AD193" s="142"/>
      <c r="AE193" s="142"/>
      <c r="AF193" s="142"/>
      <c r="AG193" s="142"/>
      <c r="AH193" s="142"/>
      <c r="AI193" s="142"/>
      <c r="AJ193" s="142"/>
      <c r="AK193" s="142"/>
      <c r="AL193" s="142"/>
      <c r="AM193" s="142"/>
      <c r="AN193" s="142"/>
      <c r="AO193" s="142"/>
      <c r="AP193" s="142"/>
      <c r="AQ193" s="142"/>
      <c r="AR193" s="142"/>
      <c r="AS193" s="142"/>
      <c r="AT193" s="142"/>
      <c r="AU193" s="142"/>
      <c r="AV193" s="142"/>
      <c r="AW193" s="142"/>
      <c r="AX193" s="142"/>
      <c r="AY193" s="142"/>
      <c r="AZ193" s="142"/>
      <c r="BA193" s="142"/>
      <c r="BB193" s="142"/>
      <c r="BC193" s="142"/>
      <c r="BD193" s="142"/>
      <c r="BE193" s="142"/>
      <c r="BF193" s="142"/>
      <c r="BG193" s="142"/>
      <c r="BH193" s="142"/>
      <c r="BI193" s="142"/>
      <c r="BJ193" s="142"/>
      <c r="BK193" s="142"/>
      <c r="BL193" s="142"/>
      <c r="BM193" s="142"/>
      <c r="BN193" s="142"/>
      <c r="BO193" s="142"/>
      <c r="BP193" s="142"/>
      <c r="BQ193" s="142"/>
      <c r="BR193" s="142"/>
      <c r="BS193" s="142"/>
      <c r="BT193" s="142"/>
      <c r="BU193" s="142"/>
      <c r="BV193" s="142"/>
      <c r="BW193" s="142"/>
      <c r="BX193" s="142"/>
      <c r="BY193" s="142"/>
      <c r="BZ193" s="142"/>
      <c r="CA193" s="142"/>
      <c r="CB193" s="142"/>
      <c r="CC193" s="142"/>
      <c r="CD193" s="142"/>
      <c r="CE193" s="142"/>
      <c r="CF193" s="142"/>
      <c r="CG193" s="142"/>
      <c r="CH193" s="142"/>
      <c r="CI193" s="142"/>
      <c r="CJ193" s="142"/>
      <c r="CK193" s="142"/>
      <c r="CL193" s="142"/>
      <c r="CM193" s="142"/>
      <c r="CN193" s="142"/>
      <c r="CO193" s="142"/>
      <c r="CP193" s="142"/>
      <c r="CQ193" s="142"/>
      <c r="CR193" s="142"/>
      <c r="CS193" s="142"/>
      <c r="CT193" s="142"/>
      <c r="CU193" s="142"/>
      <c r="CV193" s="142"/>
      <c r="CW193" s="142"/>
      <c r="CX193" s="142"/>
      <c r="CY193" s="142"/>
      <c r="CZ193" s="142"/>
      <c r="DA193" s="142"/>
      <c r="DB193" s="142"/>
      <c r="DC193" s="142"/>
      <c r="DD193" s="142"/>
      <c r="DE193" s="142"/>
      <c r="DF193" s="142"/>
      <c r="DG193" s="142"/>
      <c r="DH193" s="142"/>
      <c r="DI193" s="142"/>
      <c r="DJ193" s="142"/>
      <c r="DK193" s="142"/>
      <c r="DL193" s="142"/>
      <c r="DM193" s="142"/>
      <c r="DN193" s="142"/>
      <c r="DO193" s="142"/>
      <c r="DP193" s="142"/>
      <c r="DQ193" s="142"/>
      <c r="DR193" s="142"/>
      <c r="DS193" s="142"/>
      <c r="DT193" s="142"/>
      <c r="DU193" s="142"/>
      <c r="DV193" s="142"/>
      <c r="DW193" s="142"/>
      <c r="DX193" s="142"/>
      <c r="DY193" s="142"/>
      <c r="DZ193" s="142"/>
      <c r="EA193" s="142"/>
      <c r="EB193" s="142"/>
      <c r="EC193" s="142"/>
      <c r="ED193" s="142"/>
      <c r="EE193" s="142"/>
      <c r="EF193" s="142"/>
      <c r="EG193" s="142"/>
      <c r="EH193" s="142"/>
      <c r="EI193" s="142"/>
      <c r="EJ193" s="142"/>
      <c r="EK193" s="142"/>
      <c r="EL193" s="142"/>
      <c r="EM193" s="142"/>
      <c r="EN193" s="142"/>
      <c r="EO193" s="142"/>
      <c r="EP193" s="142"/>
      <c r="EQ193" s="142"/>
      <c r="ER193" s="142"/>
      <c r="ES193" s="142"/>
      <c r="ET193" s="142"/>
      <c r="EU193" s="142"/>
      <c r="EV193" s="142"/>
      <c r="EW193" s="142"/>
      <c r="EX193" s="142"/>
      <c r="EY193" s="142"/>
      <c r="EZ193" s="142"/>
      <c r="FA193" s="142"/>
      <c r="FB193" s="142"/>
      <c r="FC193" s="142"/>
      <c r="FD193" s="142"/>
      <c r="FE193" s="142"/>
      <c r="FF193" s="142"/>
      <c r="FG193" s="142"/>
      <c r="FH193" s="142"/>
      <c r="FI193" s="142"/>
      <c r="FJ193" s="142"/>
      <c r="FK193" s="142"/>
      <c r="FL193" s="142"/>
      <c r="FM193" s="142"/>
      <c r="FN193" s="142"/>
      <c r="FO193" s="142"/>
      <c r="FP193" s="142"/>
      <c r="FQ193" s="142"/>
      <c r="FR193" s="142"/>
      <c r="FS193" s="142"/>
      <c r="FT193" s="142"/>
      <c r="FU193" s="142"/>
      <c r="FV193" s="142"/>
      <c r="FW193" s="142"/>
      <c r="FX193" s="142"/>
      <c r="FY193" s="142"/>
      <c r="FZ193" s="142"/>
      <c r="GA193" s="142"/>
      <c r="GB193" s="142"/>
      <c r="GC193" s="142"/>
      <c r="GD193" s="142"/>
      <c r="GE193" s="142"/>
      <c r="GF193" s="142"/>
      <c r="GG193" s="142"/>
      <c r="GH193" s="142"/>
      <c r="GI193" s="142"/>
      <c r="GJ193" s="142"/>
      <c r="GK193" s="142"/>
      <c r="GL193" s="142"/>
      <c r="GM193" s="142"/>
      <c r="GN193" s="142"/>
      <c r="GO193" s="142"/>
      <c r="GP193" s="142"/>
      <c r="GQ193" s="142"/>
      <c r="GR193" s="142"/>
      <c r="GS193" s="142"/>
      <c r="GT193" s="142"/>
      <c r="GU193" s="142"/>
      <c r="GV193" s="142"/>
      <c r="GW193" s="142"/>
      <c r="GX193" s="142"/>
      <c r="GY193" s="142"/>
      <c r="GZ193" s="142"/>
      <c r="HA193" s="142"/>
      <c r="HB193" s="142"/>
      <c r="HC193" s="142"/>
      <c r="HD193" s="142"/>
      <c r="HE193" s="142"/>
      <c r="HF193" s="142"/>
      <c r="HG193" s="142"/>
      <c r="HH193" s="142"/>
      <c r="HI193" s="142"/>
      <c r="HJ193" s="142"/>
      <c r="HK193" s="142"/>
      <c r="HL193" s="142"/>
      <c r="HM193" s="142"/>
      <c r="HN193" s="142"/>
      <c r="HO193" s="142"/>
      <c r="HP193" s="142"/>
      <c r="HQ193" s="142"/>
      <c r="HR193" s="142"/>
      <c r="HS193" s="142"/>
      <c r="HT193" s="142"/>
      <c r="HU193" s="142"/>
      <c r="HV193" s="142"/>
      <c r="HW193" s="142"/>
      <c r="HX193" s="142"/>
      <c r="HY193" s="142"/>
      <c r="HZ193" s="142"/>
      <c r="IA193" s="142"/>
      <c r="IB193" s="142"/>
      <c r="IC193" s="142"/>
      <c r="ID193" s="142"/>
      <c r="IE193" s="142"/>
      <c r="IF193" s="142"/>
      <c r="IG193" s="142"/>
      <c r="IH193" s="142"/>
      <c r="II193" s="142"/>
      <c r="IJ193" s="142"/>
      <c r="IK193" s="142"/>
      <c r="IL193" s="142"/>
      <c r="IM193" s="142"/>
      <c r="IN193" s="142"/>
      <c r="IO193" s="142"/>
      <c r="IP193" s="142"/>
      <c r="IQ193" s="142"/>
      <c r="IR193" s="142"/>
      <c r="IS193" s="142"/>
      <c r="IT193" s="142"/>
      <c r="IU193" s="142"/>
      <c r="IV193" s="142"/>
    </row>
    <row r="194" spans="1:256" ht="11.25" customHeight="1">
      <c r="A194" s="99" t="s">
        <v>317</v>
      </c>
      <c r="B194" s="142" t="str">
        <f t="shared" si="95"/>
        <v>-</v>
      </c>
      <c r="C194" s="142">
        <f t="shared" si="95"/>
        <v>12</v>
      </c>
      <c r="D194" s="142">
        <f t="shared" si="95"/>
        <v>7762</v>
      </c>
      <c r="E194" s="142">
        <f t="shared" si="95"/>
        <v>4358</v>
      </c>
      <c r="F194" s="142">
        <f t="shared" si="95"/>
        <v>8093</v>
      </c>
      <c r="G194" s="142">
        <f t="shared" si="95"/>
        <v>23771</v>
      </c>
      <c r="H194" s="142">
        <f t="shared" si="95"/>
        <v>11300</v>
      </c>
      <c r="I194" s="142">
        <f t="shared" si="95"/>
        <v>4865</v>
      </c>
      <c r="J194" s="142">
        <f t="shared" si="95"/>
        <v>1531</v>
      </c>
      <c r="K194" s="142" t="str">
        <f t="shared" si="95"/>
        <v>-</v>
      </c>
      <c r="L194" s="142">
        <f t="shared" si="95"/>
        <v>61692</v>
      </c>
      <c r="M194" s="24"/>
      <c r="N194" s="142" t="str">
        <f t="shared" si="96"/>
        <v>-</v>
      </c>
      <c r="O194" s="142" t="str">
        <f t="shared" si="96"/>
        <v>-</v>
      </c>
      <c r="P194" s="142" t="str">
        <f t="shared" si="96"/>
        <v>-</v>
      </c>
      <c r="Q194" s="142">
        <f t="shared" si="96"/>
        <v>210</v>
      </c>
      <c r="R194" s="142">
        <f t="shared" si="96"/>
        <v>2321</v>
      </c>
      <c r="S194" s="142">
        <f t="shared" si="96"/>
        <v>38159</v>
      </c>
      <c r="T194" s="142">
        <f t="shared" si="96"/>
        <v>28124</v>
      </c>
      <c r="U194" s="142">
        <f t="shared" si="96"/>
        <v>10766</v>
      </c>
      <c r="V194" s="142">
        <f t="shared" si="96"/>
        <v>8</v>
      </c>
      <c r="W194" s="142" t="str">
        <f t="shared" si="96"/>
        <v>-</v>
      </c>
      <c r="X194" s="142">
        <f t="shared" si="97"/>
        <v>79588</v>
      </c>
      <c r="Y194" s="142"/>
      <c r="Z194" s="142"/>
      <c r="AA194" s="142"/>
      <c r="AB194" s="142"/>
      <c r="AC194" s="142"/>
      <c r="AD194" s="142"/>
      <c r="AE194" s="142"/>
      <c r="AF194" s="142"/>
      <c r="AG194" s="142"/>
      <c r="AH194" s="142"/>
      <c r="AI194" s="142"/>
      <c r="AJ194" s="142"/>
      <c r="AK194" s="142"/>
      <c r="AL194" s="142"/>
      <c r="AM194" s="142"/>
      <c r="AN194" s="142"/>
      <c r="AO194" s="142"/>
      <c r="AP194" s="142"/>
      <c r="AQ194" s="142"/>
      <c r="AR194" s="142"/>
      <c r="AS194" s="142"/>
      <c r="AT194" s="142"/>
      <c r="AU194" s="142"/>
      <c r="AV194" s="142"/>
      <c r="AW194" s="142"/>
      <c r="AX194" s="142"/>
      <c r="AY194" s="142"/>
      <c r="AZ194" s="142"/>
      <c r="BA194" s="142"/>
      <c r="BB194" s="142"/>
      <c r="BC194" s="142"/>
      <c r="BD194" s="142"/>
      <c r="BE194" s="142"/>
      <c r="BF194" s="142"/>
      <c r="BG194" s="142"/>
      <c r="BH194" s="142"/>
      <c r="BI194" s="142"/>
      <c r="BJ194" s="142"/>
      <c r="BK194" s="142"/>
      <c r="BL194" s="142"/>
      <c r="BM194" s="142"/>
      <c r="BN194" s="142"/>
      <c r="BO194" s="142"/>
      <c r="BP194" s="142"/>
      <c r="BQ194" s="142"/>
      <c r="BR194" s="142"/>
      <c r="BS194" s="142"/>
      <c r="BT194" s="142"/>
      <c r="BU194" s="142"/>
      <c r="BV194" s="142"/>
      <c r="BW194" s="142"/>
      <c r="BX194" s="142"/>
      <c r="BY194" s="142"/>
      <c r="BZ194" s="142"/>
      <c r="CA194" s="142"/>
      <c r="CB194" s="142"/>
      <c r="CC194" s="142"/>
      <c r="CD194" s="142"/>
      <c r="CE194" s="142"/>
      <c r="CF194" s="142"/>
      <c r="CG194" s="142"/>
      <c r="CH194" s="142"/>
      <c r="CI194" s="142"/>
      <c r="CJ194" s="142"/>
      <c r="CK194" s="142"/>
      <c r="CL194" s="142"/>
      <c r="CM194" s="142"/>
      <c r="CN194" s="142"/>
      <c r="CO194" s="142"/>
      <c r="CP194" s="142"/>
      <c r="CQ194" s="142"/>
      <c r="CR194" s="142"/>
      <c r="CS194" s="142"/>
      <c r="CT194" s="142"/>
      <c r="CU194" s="142"/>
      <c r="CV194" s="142"/>
      <c r="CW194" s="142"/>
      <c r="CX194" s="142"/>
      <c r="CY194" s="142"/>
      <c r="CZ194" s="142"/>
      <c r="DA194" s="142"/>
      <c r="DB194" s="142"/>
      <c r="DC194" s="142"/>
      <c r="DD194" s="142"/>
      <c r="DE194" s="142"/>
      <c r="DF194" s="142"/>
      <c r="DG194" s="142"/>
      <c r="DH194" s="142"/>
      <c r="DI194" s="142"/>
      <c r="DJ194" s="142"/>
      <c r="DK194" s="142"/>
      <c r="DL194" s="142"/>
      <c r="DM194" s="142"/>
      <c r="DN194" s="142"/>
      <c r="DO194" s="142"/>
      <c r="DP194" s="142"/>
      <c r="DQ194" s="142"/>
      <c r="DR194" s="142"/>
      <c r="DS194" s="142"/>
      <c r="DT194" s="142"/>
      <c r="DU194" s="142"/>
      <c r="DV194" s="142"/>
      <c r="DW194" s="142"/>
      <c r="DX194" s="142"/>
      <c r="DY194" s="142"/>
      <c r="DZ194" s="142"/>
      <c r="EA194" s="142"/>
      <c r="EB194" s="142"/>
      <c r="EC194" s="142"/>
      <c r="ED194" s="142"/>
      <c r="EE194" s="142"/>
      <c r="EF194" s="142"/>
      <c r="EG194" s="142"/>
      <c r="EH194" s="142"/>
      <c r="EI194" s="142"/>
      <c r="EJ194" s="142"/>
      <c r="EK194" s="142"/>
      <c r="EL194" s="142"/>
      <c r="EM194" s="142"/>
      <c r="EN194" s="142"/>
      <c r="EO194" s="142"/>
      <c r="EP194" s="142"/>
      <c r="EQ194" s="142"/>
      <c r="ER194" s="142"/>
      <c r="ES194" s="142"/>
      <c r="ET194" s="142"/>
      <c r="EU194" s="142"/>
      <c r="EV194" s="142"/>
      <c r="EW194" s="142"/>
      <c r="EX194" s="142"/>
      <c r="EY194" s="142"/>
      <c r="EZ194" s="142"/>
      <c r="FA194" s="142"/>
      <c r="FB194" s="142"/>
      <c r="FC194" s="142"/>
      <c r="FD194" s="142"/>
      <c r="FE194" s="142"/>
      <c r="FF194" s="142"/>
      <c r="FG194" s="142"/>
      <c r="FH194" s="142"/>
      <c r="FI194" s="142"/>
      <c r="FJ194" s="142"/>
      <c r="FK194" s="142"/>
      <c r="FL194" s="142"/>
      <c r="FM194" s="142"/>
      <c r="FN194" s="142"/>
      <c r="FO194" s="142"/>
      <c r="FP194" s="142"/>
      <c r="FQ194" s="142"/>
      <c r="FR194" s="142"/>
      <c r="FS194" s="142"/>
      <c r="FT194" s="142"/>
      <c r="FU194" s="142"/>
      <c r="FV194" s="142"/>
      <c r="FW194" s="142"/>
      <c r="FX194" s="142"/>
      <c r="FY194" s="142"/>
      <c r="FZ194" s="142"/>
      <c r="GA194" s="142"/>
      <c r="GB194" s="142"/>
      <c r="GC194" s="142"/>
      <c r="GD194" s="142"/>
      <c r="GE194" s="142"/>
      <c r="GF194" s="142"/>
      <c r="GG194" s="142"/>
      <c r="GH194" s="142"/>
      <c r="GI194" s="142"/>
      <c r="GJ194" s="142"/>
      <c r="GK194" s="142"/>
      <c r="GL194" s="142"/>
      <c r="GM194" s="142"/>
      <c r="GN194" s="142"/>
      <c r="GO194" s="142"/>
      <c r="GP194" s="142"/>
      <c r="GQ194" s="142"/>
      <c r="GR194" s="142"/>
      <c r="GS194" s="142"/>
      <c r="GT194" s="142"/>
      <c r="GU194" s="142"/>
      <c r="GV194" s="142"/>
      <c r="GW194" s="142"/>
      <c r="GX194" s="142"/>
      <c r="GY194" s="142"/>
      <c r="GZ194" s="142"/>
      <c r="HA194" s="142"/>
      <c r="HB194" s="142"/>
      <c r="HC194" s="142"/>
      <c r="HD194" s="142"/>
      <c r="HE194" s="142"/>
      <c r="HF194" s="142"/>
      <c r="HG194" s="142"/>
      <c r="HH194" s="142"/>
      <c r="HI194" s="142"/>
      <c r="HJ194" s="142"/>
      <c r="HK194" s="142"/>
      <c r="HL194" s="142"/>
      <c r="HM194" s="142"/>
      <c r="HN194" s="142"/>
      <c r="HO194" s="142"/>
      <c r="HP194" s="142"/>
      <c r="HQ194" s="142"/>
      <c r="HR194" s="142"/>
      <c r="HS194" s="142"/>
      <c r="HT194" s="142"/>
      <c r="HU194" s="142"/>
      <c r="HV194" s="142"/>
      <c r="HW194" s="142"/>
      <c r="HX194" s="142"/>
      <c r="HY194" s="142"/>
      <c r="HZ194" s="142"/>
      <c r="IA194" s="142"/>
      <c r="IB194" s="142"/>
      <c r="IC194" s="142"/>
      <c r="ID194" s="142"/>
      <c r="IE194" s="142"/>
      <c r="IF194" s="142"/>
      <c r="IG194" s="142"/>
      <c r="IH194" s="142"/>
      <c r="II194" s="142"/>
      <c r="IJ194" s="142"/>
      <c r="IK194" s="142"/>
      <c r="IL194" s="142"/>
      <c r="IM194" s="142"/>
      <c r="IN194" s="142"/>
      <c r="IO194" s="142"/>
      <c r="IP194" s="142"/>
      <c r="IQ194" s="142"/>
      <c r="IR194" s="142"/>
      <c r="IS194" s="142"/>
      <c r="IT194" s="142"/>
      <c r="IU194" s="142"/>
      <c r="IV194" s="142"/>
    </row>
    <row r="195" spans="1:256" ht="11.25" customHeight="1">
      <c r="A195" s="344" t="s">
        <v>148</v>
      </c>
      <c r="B195" s="344"/>
      <c r="C195" s="344"/>
      <c r="D195" s="344"/>
      <c r="E195" s="344"/>
      <c r="F195" s="344"/>
      <c r="G195" s="344"/>
      <c r="H195" s="344"/>
      <c r="I195" s="344"/>
      <c r="J195" s="344"/>
      <c r="K195" s="344"/>
      <c r="L195" s="344"/>
      <c r="M195" s="344"/>
      <c r="N195" s="344"/>
      <c r="O195" s="344"/>
      <c r="P195" s="344"/>
      <c r="Q195" s="344"/>
      <c r="R195" s="344"/>
      <c r="S195" s="344"/>
      <c r="T195" s="344"/>
      <c r="U195" s="344"/>
      <c r="V195" s="344"/>
      <c r="W195" s="344"/>
      <c r="X195" s="344"/>
    </row>
    <row r="196" spans="1:256" ht="11.25" customHeight="1">
      <c r="A196" s="280" t="s">
        <v>42</v>
      </c>
      <c r="B196" s="280"/>
      <c r="C196" s="280"/>
      <c r="D196" s="280"/>
      <c r="E196" s="280"/>
      <c r="F196" s="280"/>
      <c r="G196" s="280"/>
      <c r="H196" s="280"/>
      <c r="I196" s="280"/>
      <c r="J196" s="280"/>
      <c r="K196" s="280"/>
      <c r="L196" s="280"/>
      <c r="M196" s="280"/>
      <c r="N196" s="280"/>
      <c r="O196" s="280"/>
      <c r="P196" s="280"/>
      <c r="Q196" s="280"/>
      <c r="R196" s="280"/>
      <c r="S196" s="280"/>
      <c r="T196" s="280"/>
      <c r="U196" s="280"/>
      <c r="V196" s="280"/>
      <c r="W196" s="280"/>
      <c r="X196" s="280"/>
    </row>
    <row r="197" spans="1:256" ht="11.25" customHeight="1">
      <c r="A197" s="280" t="s">
        <v>353</v>
      </c>
      <c r="B197" s="280"/>
      <c r="C197" s="280"/>
      <c r="D197" s="280"/>
      <c r="E197" s="280"/>
      <c r="F197" s="280"/>
      <c r="G197" s="280"/>
      <c r="H197" s="280"/>
      <c r="I197" s="280"/>
      <c r="J197" s="280"/>
      <c r="K197" s="280"/>
      <c r="L197" s="280"/>
      <c r="M197" s="280"/>
      <c r="N197" s="280"/>
      <c r="O197" s="280"/>
      <c r="P197" s="280"/>
      <c r="Q197" s="280"/>
      <c r="R197" s="280"/>
      <c r="S197" s="280"/>
      <c r="T197" s="280"/>
      <c r="U197" s="280"/>
      <c r="V197" s="280"/>
      <c r="W197" s="280"/>
      <c r="X197" s="280"/>
    </row>
    <row r="198" spans="1:256" ht="11.25" customHeight="1">
      <c r="A198" s="280" t="s">
        <v>351</v>
      </c>
      <c r="B198" s="280"/>
      <c r="C198" s="280"/>
      <c r="D198" s="280"/>
      <c r="E198" s="280"/>
      <c r="F198" s="280"/>
      <c r="G198" s="280"/>
      <c r="H198" s="280"/>
      <c r="I198" s="280"/>
      <c r="J198" s="280"/>
      <c r="K198" s="280"/>
      <c r="L198" s="280"/>
      <c r="M198" s="280"/>
      <c r="N198" s="280"/>
      <c r="O198" s="280"/>
      <c r="P198" s="280"/>
      <c r="Q198" s="280"/>
      <c r="R198" s="280"/>
      <c r="S198" s="280"/>
      <c r="T198" s="280"/>
      <c r="U198" s="280"/>
      <c r="V198" s="280"/>
      <c r="W198" s="280"/>
      <c r="X198" s="280"/>
    </row>
    <row r="199" spans="1:256" ht="11.25" customHeight="1">
      <c r="A199" s="158"/>
      <c r="B199" s="159"/>
      <c r="C199" s="159"/>
      <c r="D199" s="159"/>
      <c r="E199" s="159"/>
      <c r="F199" s="159"/>
      <c r="G199" s="159"/>
      <c r="H199" s="159"/>
      <c r="I199" s="159"/>
      <c r="J199" s="159"/>
      <c r="K199" s="159"/>
      <c r="L199" s="159"/>
      <c r="M199" s="160"/>
      <c r="N199" s="159"/>
      <c r="O199" s="159"/>
      <c r="P199" s="159"/>
      <c r="Q199" s="159"/>
      <c r="R199" s="159"/>
      <c r="S199" s="159"/>
      <c r="T199" s="159"/>
      <c r="U199" s="159"/>
      <c r="V199" s="159"/>
      <c r="W199" s="159"/>
      <c r="X199" s="159"/>
    </row>
    <row r="200" spans="1:256" ht="11.25" customHeight="1"/>
    <row r="201" spans="1:256" ht="11.25" customHeight="1">
      <c r="A201" s="1" t="s">
        <v>142</v>
      </c>
      <c r="B201" s="1"/>
      <c r="C201" s="1"/>
      <c r="D201" s="1"/>
      <c r="E201" s="1"/>
      <c r="F201" s="1"/>
      <c r="G201" s="1"/>
      <c r="H201" s="1"/>
      <c r="I201" s="1"/>
      <c r="J201" s="1"/>
      <c r="K201" s="1"/>
      <c r="L201" s="1"/>
      <c r="M201" s="1"/>
      <c r="N201" s="1"/>
      <c r="O201" s="1"/>
      <c r="P201" s="1"/>
      <c r="Q201" s="1"/>
      <c r="R201" s="1"/>
      <c r="S201" s="1"/>
      <c r="T201" s="1"/>
      <c r="U201" s="1"/>
      <c r="V201" s="1"/>
      <c r="W201" s="1"/>
      <c r="X201" s="1"/>
    </row>
    <row r="202" spans="1:256" ht="11.25" customHeight="1">
      <c r="A202" s="98" t="s">
        <v>27</v>
      </c>
      <c r="B202" s="46" t="s">
        <v>36</v>
      </c>
      <c r="C202" s="46" t="s">
        <v>37</v>
      </c>
      <c r="D202" s="46" t="s">
        <v>28</v>
      </c>
      <c r="E202" s="46" t="s">
        <v>29</v>
      </c>
      <c r="F202" s="46" t="s">
        <v>30</v>
      </c>
      <c r="G202" s="46" t="s">
        <v>31</v>
      </c>
      <c r="H202" s="46" t="s">
        <v>32</v>
      </c>
      <c r="I202" s="46" t="s">
        <v>33</v>
      </c>
      <c r="J202" s="46" t="s">
        <v>34</v>
      </c>
      <c r="K202" s="46" t="s">
        <v>38</v>
      </c>
      <c r="L202" s="46" t="s">
        <v>22</v>
      </c>
      <c r="M202" s="196"/>
      <c r="N202" s="46" t="s">
        <v>36</v>
      </c>
      <c r="O202" s="46" t="s">
        <v>37</v>
      </c>
      <c r="P202" s="46" t="s">
        <v>28</v>
      </c>
      <c r="Q202" s="46" t="s">
        <v>29</v>
      </c>
      <c r="R202" s="46" t="s">
        <v>30</v>
      </c>
      <c r="S202" s="46" t="s">
        <v>31</v>
      </c>
      <c r="T202" s="46" t="s">
        <v>32</v>
      </c>
      <c r="U202" s="46" t="s">
        <v>33</v>
      </c>
      <c r="V202" s="46" t="s">
        <v>34</v>
      </c>
      <c r="W202" s="46" t="s">
        <v>38</v>
      </c>
      <c r="X202" s="46" t="s">
        <v>22</v>
      </c>
    </row>
    <row r="203" spans="1:256" ht="11.25" customHeight="1">
      <c r="A203" s="99"/>
      <c r="B203" s="334" t="s">
        <v>61</v>
      </c>
      <c r="C203" s="334"/>
      <c r="D203" s="334"/>
      <c r="E203" s="334"/>
      <c r="F203" s="334"/>
      <c r="G203" s="334"/>
      <c r="H203" s="334"/>
      <c r="I203" s="334"/>
      <c r="J203" s="334"/>
      <c r="K203" s="334"/>
      <c r="L203" s="334"/>
      <c r="M203" s="6"/>
      <c r="N203" s="334" t="s">
        <v>62</v>
      </c>
      <c r="O203" s="334"/>
      <c r="P203" s="334"/>
      <c r="Q203" s="334"/>
      <c r="R203" s="334"/>
      <c r="S203" s="334"/>
      <c r="T203" s="334"/>
      <c r="U203" s="334"/>
      <c r="V203" s="334"/>
      <c r="W203" s="334"/>
      <c r="X203" s="334"/>
    </row>
    <row r="204" spans="1:256" ht="17.25" customHeight="1">
      <c r="A204" s="270" t="s">
        <v>225</v>
      </c>
      <c r="B204" s="142"/>
      <c r="C204" s="142"/>
      <c r="D204" s="142"/>
      <c r="E204" s="142"/>
      <c r="F204" s="142"/>
      <c r="G204" s="142"/>
      <c r="H204" s="142"/>
      <c r="I204" s="142"/>
      <c r="J204" s="142"/>
      <c r="K204" s="142"/>
      <c r="L204" s="142"/>
      <c r="M204" s="31"/>
      <c r="N204" s="142"/>
      <c r="O204" s="142"/>
      <c r="P204" s="142"/>
      <c r="Q204" s="142"/>
      <c r="R204" s="142"/>
      <c r="S204" s="142"/>
      <c r="T204" s="142"/>
      <c r="U204" s="142"/>
      <c r="V204" s="142"/>
      <c r="W204" s="142"/>
      <c r="X204" s="142"/>
    </row>
    <row r="205" spans="1:256" ht="11.25" customHeight="1">
      <c r="A205" s="99" t="s">
        <v>24</v>
      </c>
      <c r="B205" s="142" t="str">
        <f t="shared" ref="B205:D207" si="98">B18</f>
        <v>-</v>
      </c>
      <c r="C205" s="142" t="str">
        <f t="shared" si="98"/>
        <v>-</v>
      </c>
      <c r="D205" s="142" t="str">
        <f t="shared" si="98"/>
        <v>-</v>
      </c>
      <c r="E205" s="142">
        <f t="shared" ref="E205:L205" si="99">AVERAGE(E10:E14)</f>
        <v>54.75</v>
      </c>
      <c r="F205" s="142">
        <f t="shared" si="99"/>
        <v>787</v>
      </c>
      <c r="G205" s="142">
        <f t="shared" si="99"/>
        <v>6327.2</v>
      </c>
      <c r="H205" s="142">
        <f t="shared" si="99"/>
        <v>3518</v>
      </c>
      <c r="I205" s="142">
        <f t="shared" si="99"/>
        <v>642</v>
      </c>
      <c r="J205" s="142">
        <f t="shared" si="99"/>
        <v>42</v>
      </c>
      <c r="K205" s="48" t="s">
        <v>106</v>
      </c>
      <c r="L205" s="142">
        <f t="shared" si="99"/>
        <v>11326.4</v>
      </c>
      <c r="M205" s="31"/>
      <c r="N205" s="142" t="str">
        <f t="shared" ref="N205:P207" si="100">N18</f>
        <v>-</v>
      </c>
      <c r="O205" s="142" t="str">
        <f t="shared" si="100"/>
        <v>-</v>
      </c>
      <c r="P205" s="142" t="str">
        <f t="shared" si="100"/>
        <v>-</v>
      </c>
      <c r="Q205" s="142">
        <f t="shared" ref="Q205:X205" si="101">AVERAGE(Q10:Q14)</f>
        <v>2320.6666666666665</v>
      </c>
      <c r="R205" s="142">
        <f t="shared" si="101"/>
        <v>18009.666666666668</v>
      </c>
      <c r="S205" s="142">
        <f t="shared" si="101"/>
        <v>62625.8</v>
      </c>
      <c r="T205" s="142">
        <f t="shared" si="101"/>
        <v>40922.400000000001</v>
      </c>
      <c r="U205" s="142">
        <f t="shared" si="101"/>
        <v>4705.75</v>
      </c>
      <c r="V205" s="142" t="str">
        <f t="shared" ref="V205:W207" si="102">V18</f>
        <v>-</v>
      </c>
      <c r="W205" s="142" t="str">
        <f t="shared" si="102"/>
        <v>-</v>
      </c>
      <c r="X205" s="142">
        <f t="shared" si="101"/>
        <v>119511</v>
      </c>
    </row>
    <row r="206" spans="1:256" ht="11.25" customHeight="1">
      <c r="A206" s="99" t="s">
        <v>78</v>
      </c>
      <c r="B206" s="142" t="str">
        <f t="shared" si="98"/>
        <v>-</v>
      </c>
      <c r="C206" s="142" t="str">
        <f t="shared" si="98"/>
        <v>-</v>
      </c>
      <c r="D206" s="142" t="str">
        <f t="shared" si="98"/>
        <v>-</v>
      </c>
      <c r="E206" s="142">
        <f t="shared" ref="E206:L206" si="103">AVERAGE(E15:E19)</f>
        <v>150.25</v>
      </c>
      <c r="F206" s="142">
        <f t="shared" si="103"/>
        <v>1678</v>
      </c>
      <c r="G206" s="142">
        <f t="shared" si="103"/>
        <v>7127.8</v>
      </c>
      <c r="H206" s="142">
        <f t="shared" si="103"/>
        <v>4098.8</v>
      </c>
      <c r="I206" s="142">
        <f t="shared" si="103"/>
        <v>1639</v>
      </c>
      <c r="J206" s="48" t="s">
        <v>106</v>
      </c>
      <c r="K206" s="48" t="s">
        <v>106</v>
      </c>
      <c r="L206" s="142">
        <f t="shared" si="103"/>
        <v>14663.8</v>
      </c>
      <c r="M206" s="31"/>
      <c r="N206" s="142" t="str">
        <f t="shared" si="100"/>
        <v>-</v>
      </c>
      <c r="O206" s="142" t="str">
        <f t="shared" si="100"/>
        <v>-</v>
      </c>
      <c r="P206" s="142" t="str">
        <f t="shared" si="100"/>
        <v>-</v>
      </c>
      <c r="Q206" s="142">
        <f t="shared" ref="Q206:X206" si="104">AVERAGE(Q15:Q19)</f>
        <v>1136.25</v>
      </c>
      <c r="R206" s="142">
        <f t="shared" si="104"/>
        <v>21864.799999999999</v>
      </c>
      <c r="S206" s="142">
        <f t="shared" si="104"/>
        <v>97504.6</v>
      </c>
      <c r="T206" s="142">
        <f t="shared" si="104"/>
        <v>45530.400000000001</v>
      </c>
      <c r="U206" s="142">
        <f t="shared" si="104"/>
        <v>6823.5</v>
      </c>
      <c r="V206" s="142" t="str">
        <f t="shared" si="102"/>
        <v>-</v>
      </c>
      <c r="W206" s="142" t="str">
        <f t="shared" si="102"/>
        <v>-</v>
      </c>
      <c r="X206" s="142">
        <f t="shared" si="104"/>
        <v>171267.6</v>
      </c>
    </row>
    <row r="207" spans="1:256" ht="11.25" customHeight="1">
      <c r="A207" s="99" t="s">
        <v>10</v>
      </c>
      <c r="B207" s="142" t="str">
        <f t="shared" si="98"/>
        <v>-</v>
      </c>
      <c r="C207" s="142" t="str">
        <f t="shared" si="98"/>
        <v>-</v>
      </c>
      <c r="D207" s="142" t="str">
        <f t="shared" si="98"/>
        <v>-</v>
      </c>
      <c r="E207" s="142">
        <f>AVERAGE(E20:E24)</f>
        <v>146</v>
      </c>
      <c r="F207" s="142">
        <f t="shared" ref="F207:X207" si="105">AVERAGE(F20:F24)</f>
        <v>1144.4000000000001</v>
      </c>
      <c r="G207" s="142">
        <f t="shared" si="105"/>
        <v>3029.6666666666665</v>
      </c>
      <c r="H207" s="142">
        <f t="shared" si="105"/>
        <v>1043.5</v>
      </c>
      <c r="I207" s="142">
        <f t="shared" si="105"/>
        <v>464.5</v>
      </c>
      <c r="J207" s="48">
        <f t="shared" si="105"/>
        <v>1254</v>
      </c>
      <c r="K207" s="48">
        <f t="shared" si="105"/>
        <v>42</v>
      </c>
      <c r="L207" s="142">
        <f t="shared" si="105"/>
        <v>4229.8</v>
      </c>
      <c r="M207" s="31"/>
      <c r="N207" s="142" t="str">
        <f t="shared" si="100"/>
        <v>-</v>
      </c>
      <c r="O207" s="142" t="str">
        <f t="shared" si="100"/>
        <v>-</v>
      </c>
      <c r="P207" s="142" t="str">
        <f t="shared" si="100"/>
        <v>-</v>
      </c>
      <c r="Q207" s="142">
        <f t="shared" si="105"/>
        <v>522</v>
      </c>
      <c r="R207" s="142">
        <f t="shared" si="105"/>
        <v>21985</v>
      </c>
      <c r="S207" s="142">
        <f t="shared" si="105"/>
        <v>87767.333333333328</v>
      </c>
      <c r="T207" s="142">
        <f t="shared" si="105"/>
        <v>25733.5</v>
      </c>
      <c r="U207" s="142">
        <f t="shared" si="105"/>
        <v>3192</v>
      </c>
      <c r="V207" s="142" t="str">
        <f t="shared" si="102"/>
        <v>-</v>
      </c>
      <c r="W207" s="142" t="str">
        <f t="shared" si="102"/>
        <v>-</v>
      </c>
      <c r="X207" s="142">
        <f t="shared" si="105"/>
        <v>97168.5</v>
      </c>
    </row>
    <row r="208" spans="1:256" ht="11.25" customHeight="1">
      <c r="A208" s="99" t="s">
        <v>144</v>
      </c>
      <c r="B208" s="142" t="str">
        <f>B25</f>
        <v>-</v>
      </c>
      <c r="C208" s="142" t="str">
        <f>C25</f>
        <v>-</v>
      </c>
      <c r="D208" s="142" t="str">
        <f>D25</f>
        <v>-</v>
      </c>
      <c r="E208" s="142">
        <f>AVERAGE(E25:E29)</f>
        <v>107.2</v>
      </c>
      <c r="F208" s="142">
        <f t="shared" ref="F208:X208" si="106">AVERAGE(F25:F29)</f>
        <v>142.4</v>
      </c>
      <c r="G208" s="142">
        <f t="shared" si="106"/>
        <v>1987</v>
      </c>
      <c r="H208" s="142">
        <f t="shared" si="106"/>
        <v>1233</v>
      </c>
      <c r="I208" s="142">
        <f t="shared" si="106"/>
        <v>738.4</v>
      </c>
      <c r="J208" s="48">
        <f t="shared" si="106"/>
        <v>502.6</v>
      </c>
      <c r="K208" s="48">
        <f t="shared" si="106"/>
        <v>35.5</v>
      </c>
      <c r="L208" s="142">
        <f t="shared" si="106"/>
        <v>4726</v>
      </c>
      <c r="M208" s="31"/>
      <c r="N208" s="142" t="str">
        <f>N25</f>
        <v>-</v>
      </c>
      <c r="O208" s="142" t="str">
        <f>O25</f>
        <v>-</v>
      </c>
      <c r="P208" s="142" t="str">
        <f>P25</f>
        <v>-</v>
      </c>
      <c r="Q208" s="142" t="s">
        <v>23</v>
      </c>
      <c r="R208" s="142" t="s">
        <v>23</v>
      </c>
      <c r="S208" s="142">
        <f t="shared" si="106"/>
        <v>8451.6666666666661</v>
      </c>
      <c r="T208" s="142">
        <f t="shared" si="106"/>
        <v>42</v>
      </c>
      <c r="U208" s="142">
        <f t="shared" si="106"/>
        <v>11.8</v>
      </c>
      <c r="V208" s="142">
        <f>V25</f>
        <v>1</v>
      </c>
      <c r="W208" s="142" t="str">
        <f>W25</f>
        <v>-</v>
      </c>
      <c r="X208" s="142">
        <f t="shared" si="106"/>
        <v>5127.3999999999996</v>
      </c>
    </row>
    <row r="209" spans="1:24" ht="11.25" customHeight="1">
      <c r="A209" s="99" t="s">
        <v>166</v>
      </c>
      <c r="B209" s="142" t="str">
        <f>B30</f>
        <v>-</v>
      </c>
      <c r="C209" s="142">
        <f>AVERAGE(C30:C34)</f>
        <v>3.3333333333333335</v>
      </c>
      <c r="D209" s="142">
        <f>AVERAGE(D30:D34)</f>
        <v>61</v>
      </c>
      <c r="E209" s="142">
        <f>AVERAGE(E30:E34)</f>
        <v>266.2</v>
      </c>
      <c r="F209" s="142">
        <f>AVERAGE(F30:F34)</f>
        <v>3543.6</v>
      </c>
      <c r="G209" s="142">
        <f t="shared" ref="G209:L209" si="107">AVERAGE(G30:G34)</f>
        <v>13052.4</v>
      </c>
      <c r="H209" s="142">
        <f t="shared" si="107"/>
        <v>7832.2</v>
      </c>
      <c r="I209" s="142">
        <f t="shared" si="107"/>
        <v>4085</v>
      </c>
      <c r="J209" s="142">
        <f t="shared" si="107"/>
        <v>1338</v>
      </c>
      <c r="K209" s="142">
        <f t="shared" si="107"/>
        <v>31.2</v>
      </c>
      <c r="L209" s="142">
        <f t="shared" si="107"/>
        <v>30211.599999999999</v>
      </c>
      <c r="M209" s="31"/>
      <c r="N209" s="142" t="str">
        <f>N30</f>
        <v>-</v>
      </c>
      <c r="O209" s="142" t="str">
        <f>O30</f>
        <v>-</v>
      </c>
      <c r="P209" s="142" t="str">
        <f>P30</f>
        <v>-</v>
      </c>
      <c r="Q209" s="142">
        <f t="shared" ref="Q209:V209" si="108">AVERAGE(Q30:Q34)</f>
        <v>8.3333333333333339</v>
      </c>
      <c r="R209" s="142">
        <f t="shared" si="108"/>
        <v>6460.6</v>
      </c>
      <c r="S209" s="142">
        <f t="shared" si="108"/>
        <v>28005.200000000001</v>
      </c>
      <c r="T209" s="142">
        <f t="shared" si="108"/>
        <v>7878</v>
      </c>
      <c r="U209" s="142">
        <f t="shared" si="108"/>
        <v>163.19999999999999</v>
      </c>
      <c r="V209" s="142">
        <f t="shared" si="108"/>
        <v>20.75</v>
      </c>
      <c r="W209" s="142" t="str">
        <f>W30</f>
        <v>-</v>
      </c>
      <c r="X209" s="142">
        <f>AVERAGE(X30:X34)</f>
        <v>42528.6</v>
      </c>
    </row>
    <row r="210" spans="1:24" ht="11.25" customHeight="1">
      <c r="A210" s="99" t="s">
        <v>315</v>
      </c>
      <c r="B210" s="142" t="str">
        <f>B35</f>
        <v>-</v>
      </c>
      <c r="C210" s="142">
        <f>AVERAGE(C35:C39)</f>
        <v>2.5</v>
      </c>
      <c r="D210" s="142">
        <f t="shared" ref="D210:L210" si="109">AVERAGE(D35:D39)</f>
        <v>2</v>
      </c>
      <c r="E210" s="142">
        <f t="shared" si="109"/>
        <v>71.666666666666671</v>
      </c>
      <c r="F210" s="142">
        <f t="shared" si="109"/>
        <v>204</v>
      </c>
      <c r="G210" s="142">
        <f t="shared" si="109"/>
        <v>996.2</v>
      </c>
      <c r="H210" s="142">
        <f t="shared" si="109"/>
        <v>643.20000000000005</v>
      </c>
      <c r="I210" s="142">
        <f t="shared" si="109"/>
        <v>650.6</v>
      </c>
      <c r="J210" s="142">
        <f t="shared" si="109"/>
        <v>609.4</v>
      </c>
      <c r="K210" s="142">
        <f t="shared" si="109"/>
        <v>32.5</v>
      </c>
      <c r="L210" s="142">
        <f t="shared" si="109"/>
        <v>3161.2</v>
      </c>
      <c r="M210" s="31"/>
      <c r="N210" s="142" t="str">
        <f t="shared" ref="N210:P210" si="110">N35</f>
        <v>-</v>
      </c>
      <c r="O210" s="142" t="str">
        <f t="shared" si="110"/>
        <v>-</v>
      </c>
      <c r="P210" s="142" t="str">
        <f t="shared" si="110"/>
        <v>-</v>
      </c>
      <c r="Q210" s="142">
        <f t="shared" ref="Q210:X210" si="111">AVERAGE(Q35:Q39)</f>
        <v>2</v>
      </c>
      <c r="R210" s="142">
        <f t="shared" si="111"/>
        <v>2240</v>
      </c>
      <c r="S210" s="142">
        <f t="shared" si="111"/>
        <v>14112.4</v>
      </c>
      <c r="T210" s="142">
        <f t="shared" si="111"/>
        <v>10849</v>
      </c>
      <c r="U210" s="142">
        <f t="shared" si="111"/>
        <v>606.20000000000005</v>
      </c>
      <c r="V210" s="142">
        <f t="shared" si="111"/>
        <v>4.5</v>
      </c>
      <c r="W210" s="142" t="str">
        <f t="shared" ref="W210" si="112">W35</f>
        <v>-</v>
      </c>
      <c r="X210" s="142">
        <f t="shared" si="111"/>
        <v>27809.8</v>
      </c>
    </row>
    <row r="211" spans="1:24" ht="11.25" customHeight="1">
      <c r="A211" s="99">
        <v>2011</v>
      </c>
      <c r="B211" s="142" t="str">
        <f t="shared" ref="B211:L211" si="113">B40</f>
        <v>-</v>
      </c>
      <c r="C211" s="142">
        <f t="shared" si="113"/>
        <v>0</v>
      </c>
      <c r="D211" s="142">
        <f t="shared" si="113"/>
        <v>7</v>
      </c>
      <c r="E211" s="142">
        <f t="shared" si="113"/>
        <v>56</v>
      </c>
      <c r="F211" s="142">
        <f t="shared" si="113"/>
        <v>161</v>
      </c>
      <c r="G211" s="142">
        <f t="shared" si="113"/>
        <v>493</v>
      </c>
      <c r="H211" s="142">
        <f t="shared" si="113"/>
        <v>623</v>
      </c>
      <c r="I211" s="142">
        <f t="shared" si="113"/>
        <v>1056</v>
      </c>
      <c r="J211" s="142">
        <f t="shared" si="113"/>
        <v>207</v>
      </c>
      <c r="K211" s="142">
        <f t="shared" si="113"/>
        <v>6</v>
      </c>
      <c r="L211" s="142">
        <f t="shared" si="113"/>
        <v>2609</v>
      </c>
      <c r="M211" s="31"/>
      <c r="N211" s="142" t="str">
        <f t="shared" ref="N211:X211" si="114">N40</f>
        <v>-</v>
      </c>
      <c r="O211" s="142" t="str">
        <f t="shared" si="114"/>
        <v>-</v>
      </c>
      <c r="P211" s="142" t="str">
        <f t="shared" si="114"/>
        <v>-</v>
      </c>
      <c r="Q211" s="142" t="str">
        <f t="shared" si="114"/>
        <v>-</v>
      </c>
      <c r="R211" s="142">
        <f t="shared" si="114"/>
        <v>556</v>
      </c>
      <c r="S211" s="142">
        <f t="shared" si="114"/>
        <v>3568</v>
      </c>
      <c r="T211" s="142">
        <f t="shared" si="114"/>
        <v>2011</v>
      </c>
      <c r="U211" s="142">
        <f t="shared" si="114"/>
        <v>6623</v>
      </c>
      <c r="V211" s="142" t="str">
        <f t="shared" si="114"/>
        <v>-</v>
      </c>
      <c r="W211" s="142" t="str">
        <f t="shared" si="114"/>
        <v>-</v>
      </c>
      <c r="X211" s="142">
        <f t="shared" si="114"/>
        <v>12758</v>
      </c>
    </row>
    <row r="212" spans="1:24" ht="11.25" customHeight="1">
      <c r="A212" s="99">
        <v>2012</v>
      </c>
      <c r="B212" s="142" t="str">
        <f t="shared" ref="B212:L212" si="115">B41</f>
        <v>-</v>
      </c>
      <c r="C212" s="142">
        <f t="shared" si="115"/>
        <v>21</v>
      </c>
      <c r="D212" s="142">
        <f t="shared" si="115"/>
        <v>108</v>
      </c>
      <c r="E212" s="142">
        <f t="shared" si="115"/>
        <v>530</v>
      </c>
      <c r="F212" s="142">
        <f t="shared" si="115"/>
        <v>687</v>
      </c>
      <c r="G212" s="142">
        <f t="shared" si="115"/>
        <v>858</v>
      </c>
      <c r="H212" s="142">
        <f t="shared" si="115"/>
        <v>2258</v>
      </c>
      <c r="I212" s="142">
        <f t="shared" si="115"/>
        <v>2791</v>
      </c>
      <c r="J212" s="142">
        <f t="shared" si="115"/>
        <v>506</v>
      </c>
      <c r="K212" s="142">
        <f t="shared" si="115"/>
        <v>8</v>
      </c>
      <c r="L212" s="142">
        <f t="shared" si="115"/>
        <v>7767</v>
      </c>
      <c r="M212" s="31"/>
      <c r="N212" s="142" t="str">
        <f t="shared" ref="N212:X212" si="116">N41</f>
        <v>-</v>
      </c>
      <c r="O212" s="142" t="str">
        <f t="shared" si="116"/>
        <v>-</v>
      </c>
      <c r="P212" s="142" t="str">
        <f t="shared" si="116"/>
        <v>-</v>
      </c>
      <c r="Q212" s="142" t="str">
        <f t="shared" si="116"/>
        <v>-</v>
      </c>
      <c r="R212" s="142">
        <f t="shared" si="116"/>
        <v>55</v>
      </c>
      <c r="S212" s="142">
        <f t="shared" si="116"/>
        <v>2251</v>
      </c>
      <c r="T212" s="142">
        <f t="shared" si="116"/>
        <v>4927</v>
      </c>
      <c r="U212" s="142">
        <f t="shared" si="116"/>
        <v>6965</v>
      </c>
      <c r="V212" s="142" t="str">
        <f t="shared" si="116"/>
        <v>-</v>
      </c>
      <c r="W212" s="142" t="str">
        <f t="shared" si="116"/>
        <v>-</v>
      </c>
      <c r="X212" s="142">
        <f t="shared" si="116"/>
        <v>14198</v>
      </c>
    </row>
    <row r="213" spans="1:24" ht="11.25" customHeight="1">
      <c r="A213" s="99">
        <v>2013</v>
      </c>
      <c r="B213" s="142" t="str">
        <f t="shared" ref="B213:L213" si="117">B42</f>
        <v>-</v>
      </c>
      <c r="C213" s="142">
        <f t="shared" si="117"/>
        <v>257</v>
      </c>
      <c r="D213" s="142">
        <f t="shared" si="117"/>
        <v>196</v>
      </c>
      <c r="E213" s="142">
        <f t="shared" si="117"/>
        <v>191</v>
      </c>
      <c r="F213" s="142">
        <f t="shared" si="117"/>
        <v>1397</v>
      </c>
      <c r="G213" s="142">
        <f t="shared" si="117"/>
        <v>1477</v>
      </c>
      <c r="H213" s="142">
        <f t="shared" si="117"/>
        <v>11886</v>
      </c>
      <c r="I213" s="142">
        <f t="shared" si="117"/>
        <v>1671</v>
      </c>
      <c r="J213" s="142">
        <f t="shared" si="117"/>
        <v>792</v>
      </c>
      <c r="K213" s="142" t="str">
        <f t="shared" si="117"/>
        <v>--</v>
      </c>
      <c r="L213" s="142">
        <f t="shared" si="117"/>
        <v>17867</v>
      </c>
      <c r="M213" s="31"/>
      <c r="N213" s="142" t="str">
        <f t="shared" ref="N213:X213" si="118">N42</f>
        <v>-</v>
      </c>
      <c r="O213" s="142" t="str">
        <f t="shared" si="118"/>
        <v>-</v>
      </c>
      <c r="P213" s="142" t="str">
        <f t="shared" si="118"/>
        <v>-</v>
      </c>
      <c r="Q213" s="142" t="str">
        <f t="shared" si="118"/>
        <v>-</v>
      </c>
      <c r="R213" s="142">
        <f t="shared" si="118"/>
        <v>9</v>
      </c>
      <c r="S213" s="142">
        <f t="shared" si="118"/>
        <v>4748</v>
      </c>
      <c r="T213" s="142">
        <f t="shared" si="118"/>
        <v>2650</v>
      </c>
      <c r="U213" s="142">
        <f t="shared" si="118"/>
        <v>2658</v>
      </c>
      <c r="V213" s="142">
        <f t="shared" si="118"/>
        <v>19</v>
      </c>
      <c r="W213" s="142" t="str">
        <f t="shared" si="118"/>
        <v>-</v>
      </c>
      <c r="X213" s="142">
        <f t="shared" si="118"/>
        <v>10084</v>
      </c>
    </row>
    <row r="214" spans="1:24" ht="11.25" customHeight="1">
      <c r="A214" s="99">
        <v>2014</v>
      </c>
      <c r="B214" s="142" t="str">
        <f t="shared" ref="B214:L214" si="119">B43</f>
        <v>-</v>
      </c>
      <c r="C214" s="142">
        <f t="shared" si="119"/>
        <v>10</v>
      </c>
      <c r="D214" s="142">
        <f t="shared" si="119"/>
        <v>32</v>
      </c>
      <c r="E214" s="142">
        <f t="shared" si="119"/>
        <v>266</v>
      </c>
      <c r="F214" s="142">
        <f t="shared" si="119"/>
        <v>826</v>
      </c>
      <c r="G214" s="142">
        <f t="shared" si="119"/>
        <v>2973</v>
      </c>
      <c r="H214" s="142">
        <f t="shared" si="119"/>
        <v>3241</v>
      </c>
      <c r="I214" s="142">
        <f t="shared" si="119"/>
        <v>1870</v>
      </c>
      <c r="J214" s="142">
        <f t="shared" si="119"/>
        <v>137</v>
      </c>
      <c r="K214" s="142" t="str">
        <f t="shared" si="119"/>
        <v>--</v>
      </c>
      <c r="L214" s="142">
        <f t="shared" si="119"/>
        <v>9355</v>
      </c>
      <c r="M214" s="31"/>
      <c r="N214" s="142" t="str">
        <f t="shared" ref="N214:X214" si="120">N43</f>
        <v>-</v>
      </c>
      <c r="O214" s="142" t="str">
        <f t="shared" si="120"/>
        <v>-</v>
      </c>
      <c r="P214" s="142" t="str">
        <f t="shared" si="120"/>
        <v>-</v>
      </c>
      <c r="Q214" s="142">
        <f t="shared" si="120"/>
        <v>1</v>
      </c>
      <c r="R214" s="142">
        <f t="shared" si="120"/>
        <v>3530</v>
      </c>
      <c r="S214" s="142">
        <f t="shared" si="120"/>
        <v>32851</v>
      </c>
      <c r="T214" s="142">
        <f t="shared" si="120"/>
        <v>19275</v>
      </c>
      <c r="U214" s="142">
        <f t="shared" si="120"/>
        <v>26494</v>
      </c>
      <c r="V214" s="142">
        <f t="shared" si="120"/>
        <v>49</v>
      </c>
      <c r="W214" s="142" t="str">
        <f t="shared" si="120"/>
        <v>-</v>
      </c>
      <c r="X214" s="142">
        <f t="shared" si="120"/>
        <v>82200</v>
      </c>
    </row>
    <row r="215" spans="1:24" ht="11.25" customHeight="1">
      <c r="A215" s="99">
        <v>2015</v>
      </c>
      <c r="B215" s="142" t="str">
        <f t="shared" ref="B215:L215" si="121">B44</f>
        <v>-</v>
      </c>
      <c r="C215" s="142">
        <f t="shared" si="121"/>
        <v>30</v>
      </c>
      <c r="D215" s="142">
        <f t="shared" si="121"/>
        <v>8</v>
      </c>
      <c r="E215" s="142">
        <f t="shared" si="121"/>
        <v>151</v>
      </c>
      <c r="F215" s="142">
        <f t="shared" si="121"/>
        <v>267</v>
      </c>
      <c r="G215" s="142">
        <f t="shared" si="121"/>
        <v>401</v>
      </c>
      <c r="H215" s="142">
        <f t="shared" si="121"/>
        <v>376</v>
      </c>
      <c r="I215" s="142">
        <f t="shared" si="121"/>
        <v>2814</v>
      </c>
      <c r="J215" s="142">
        <f t="shared" si="121"/>
        <v>1454</v>
      </c>
      <c r="K215" s="142" t="str">
        <f t="shared" si="121"/>
        <v>--</v>
      </c>
      <c r="L215" s="142">
        <f t="shared" si="121"/>
        <v>5501</v>
      </c>
      <c r="M215" s="31"/>
      <c r="N215" s="142" t="str">
        <f t="shared" ref="N215:X215" si="122">N44</f>
        <v>-</v>
      </c>
      <c r="O215" s="142" t="str">
        <f t="shared" si="122"/>
        <v>-</v>
      </c>
      <c r="P215" s="142" t="str">
        <f t="shared" si="122"/>
        <v>-</v>
      </c>
      <c r="Q215" s="142" t="str">
        <f t="shared" si="122"/>
        <v>-</v>
      </c>
      <c r="R215" s="142">
        <f t="shared" si="122"/>
        <v>458</v>
      </c>
      <c r="S215" s="142">
        <f t="shared" si="122"/>
        <v>11841</v>
      </c>
      <c r="T215" s="142">
        <f t="shared" si="122"/>
        <v>2557</v>
      </c>
      <c r="U215" s="142">
        <f t="shared" si="122"/>
        <v>4426</v>
      </c>
      <c r="V215" s="142">
        <f t="shared" si="122"/>
        <v>22</v>
      </c>
      <c r="W215" s="142" t="str">
        <f t="shared" si="122"/>
        <v>-</v>
      </c>
      <c r="X215" s="142">
        <f t="shared" si="122"/>
        <v>19304</v>
      </c>
    </row>
    <row r="216" spans="1:24" ht="11.25" customHeight="1">
      <c r="A216" s="99">
        <v>2016</v>
      </c>
      <c r="B216" s="142" t="str">
        <f t="shared" ref="B216:L216" si="123">B45</f>
        <v>-</v>
      </c>
      <c r="C216" s="142">
        <f t="shared" si="123"/>
        <v>32</v>
      </c>
      <c r="D216" s="142">
        <f t="shared" si="123"/>
        <v>9</v>
      </c>
      <c r="E216" s="142">
        <f t="shared" si="123"/>
        <v>128</v>
      </c>
      <c r="F216" s="142">
        <f t="shared" si="123"/>
        <v>237</v>
      </c>
      <c r="G216" s="142">
        <f t="shared" si="123"/>
        <v>238</v>
      </c>
      <c r="H216" s="142">
        <f t="shared" si="123"/>
        <v>692</v>
      </c>
      <c r="I216" s="142">
        <f t="shared" si="123"/>
        <v>1140</v>
      </c>
      <c r="J216" s="142">
        <f t="shared" si="123"/>
        <v>76</v>
      </c>
      <c r="K216" s="142" t="str">
        <f t="shared" si="123"/>
        <v>--</v>
      </c>
      <c r="L216" s="142">
        <f t="shared" si="123"/>
        <v>2552</v>
      </c>
      <c r="M216" s="31"/>
      <c r="N216" s="142" t="str">
        <f t="shared" ref="N216:X216" si="124">N45</f>
        <v>-</v>
      </c>
      <c r="O216" s="142" t="str">
        <f t="shared" si="124"/>
        <v>-</v>
      </c>
      <c r="P216" s="142" t="str">
        <f t="shared" si="124"/>
        <v>-</v>
      </c>
      <c r="Q216" s="142" t="str">
        <f t="shared" si="124"/>
        <v>-</v>
      </c>
      <c r="R216" s="142">
        <f t="shared" si="124"/>
        <v>245</v>
      </c>
      <c r="S216" s="142">
        <f t="shared" si="124"/>
        <v>1180</v>
      </c>
      <c r="T216" s="142">
        <f t="shared" si="124"/>
        <v>79</v>
      </c>
      <c r="U216" s="142">
        <f t="shared" si="124"/>
        <v>4178</v>
      </c>
      <c r="V216" s="142">
        <f t="shared" si="124"/>
        <v>22</v>
      </c>
      <c r="W216" s="142" t="str">
        <f t="shared" si="124"/>
        <v>-</v>
      </c>
      <c r="X216" s="142">
        <f t="shared" si="124"/>
        <v>5704</v>
      </c>
    </row>
    <row r="217" spans="1:24" ht="11.25" customHeight="1">
      <c r="A217" s="99">
        <v>2017</v>
      </c>
      <c r="B217" s="142" t="str">
        <f t="shared" ref="B217:L217" si="125">B46</f>
        <v>-</v>
      </c>
      <c r="C217" s="142">
        <f t="shared" si="125"/>
        <v>0</v>
      </c>
      <c r="D217" s="142">
        <f t="shared" si="125"/>
        <v>6</v>
      </c>
      <c r="E217" s="142">
        <f t="shared" si="125"/>
        <v>89</v>
      </c>
      <c r="F217" s="142">
        <f t="shared" si="125"/>
        <v>139</v>
      </c>
      <c r="G217" s="142">
        <f t="shared" si="125"/>
        <v>508</v>
      </c>
      <c r="H217" s="142">
        <f t="shared" si="125"/>
        <v>807</v>
      </c>
      <c r="I217" s="142">
        <f t="shared" si="125"/>
        <v>592</v>
      </c>
      <c r="J217" s="142">
        <f t="shared" si="125"/>
        <v>39</v>
      </c>
      <c r="K217" s="142" t="str">
        <f t="shared" si="125"/>
        <v>--</v>
      </c>
      <c r="L217" s="142">
        <f t="shared" si="125"/>
        <v>2180</v>
      </c>
      <c r="M217" s="31"/>
      <c r="N217" s="142" t="str">
        <f t="shared" ref="N217:X217" si="126">N46</f>
        <v>-</v>
      </c>
      <c r="O217" s="142" t="str">
        <f t="shared" si="126"/>
        <v>-</v>
      </c>
      <c r="P217" s="142" t="str">
        <f t="shared" si="126"/>
        <v>-</v>
      </c>
      <c r="Q217" s="142" t="str">
        <f t="shared" si="126"/>
        <v>-</v>
      </c>
      <c r="R217" s="142">
        <f t="shared" si="126"/>
        <v>363</v>
      </c>
      <c r="S217" s="142">
        <f t="shared" si="126"/>
        <v>5772</v>
      </c>
      <c r="T217" s="142">
        <f t="shared" si="126"/>
        <v>3940</v>
      </c>
      <c r="U217" s="142">
        <f t="shared" si="126"/>
        <v>4590</v>
      </c>
      <c r="V217" s="142" t="str">
        <f t="shared" si="126"/>
        <v>-</v>
      </c>
      <c r="W217" s="142" t="str">
        <f t="shared" si="126"/>
        <v>-</v>
      </c>
      <c r="X217" s="142">
        <f t="shared" si="126"/>
        <v>14665</v>
      </c>
    </row>
    <row r="218" spans="1:24" ht="11.25" customHeight="1">
      <c r="A218" s="99">
        <v>2018</v>
      </c>
      <c r="B218" s="142" t="str">
        <f t="shared" ref="B218:L218" si="127">B47</f>
        <v>-</v>
      </c>
      <c r="C218" s="142">
        <f t="shared" si="127"/>
        <v>0</v>
      </c>
      <c r="D218" s="142">
        <f t="shared" si="127"/>
        <v>4</v>
      </c>
      <c r="E218" s="142">
        <f t="shared" si="127"/>
        <v>48</v>
      </c>
      <c r="F218" s="142">
        <f t="shared" si="127"/>
        <v>139</v>
      </c>
      <c r="G218" s="142">
        <f t="shared" si="127"/>
        <v>655</v>
      </c>
      <c r="H218" s="142">
        <f t="shared" si="127"/>
        <v>1167</v>
      </c>
      <c r="I218" s="142">
        <f t="shared" si="127"/>
        <v>621</v>
      </c>
      <c r="J218" s="142">
        <f t="shared" si="127"/>
        <v>74</v>
      </c>
      <c r="K218" s="142" t="str">
        <f t="shared" si="127"/>
        <v>--</v>
      </c>
      <c r="L218" s="142">
        <f t="shared" si="127"/>
        <v>2708</v>
      </c>
      <c r="M218" s="31"/>
      <c r="N218" s="142" t="str">
        <f t="shared" ref="N218:X218" si="128">N47</f>
        <v>-</v>
      </c>
      <c r="O218" s="142" t="str">
        <f t="shared" si="128"/>
        <v>-</v>
      </c>
      <c r="P218" s="142" t="str">
        <f t="shared" si="128"/>
        <v>-</v>
      </c>
      <c r="Q218" s="142" t="str">
        <f t="shared" si="128"/>
        <v>-</v>
      </c>
      <c r="R218" s="142">
        <f t="shared" si="128"/>
        <v>31</v>
      </c>
      <c r="S218" s="142">
        <f t="shared" si="128"/>
        <v>2978</v>
      </c>
      <c r="T218" s="142">
        <f t="shared" si="128"/>
        <v>8581</v>
      </c>
      <c r="U218" s="142">
        <f t="shared" si="128"/>
        <v>6936</v>
      </c>
      <c r="V218" s="142" t="str">
        <f t="shared" si="128"/>
        <v>-</v>
      </c>
      <c r="W218" s="142" t="str">
        <f t="shared" si="128"/>
        <v>-</v>
      </c>
      <c r="X218" s="142">
        <f t="shared" si="128"/>
        <v>18526</v>
      </c>
    </row>
    <row r="219" spans="1:24" ht="11.25" customHeight="1">
      <c r="A219" s="99">
        <v>2019</v>
      </c>
      <c r="B219" s="142" t="str">
        <f t="shared" ref="B219:L219" si="129">B48</f>
        <v>-</v>
      </c>
      <c r="C219" s="142">
        <f t="shared" si="129"/>
        <v>10</v>
      </c>
      <c r="D219" s="142">
        <f t="shared" si="129"/>
        <v>3</v>
      </c>
      <c r="E219" s="142">
        <f t="shared" si="129"/>
        <v>103</v>
      </c>
      <c r="F219" s="142">
        <f t="shared" si="129"/>
        <v>530</v>
      </c>
      <c r="G219" s="142">
        <f t="shared" si="129"/>
        <v>2430</v>
      </c>
      <c r="H219" s="142">
        <f t="shared" si="129"/>
        <v>725</v>
      </c>
      <c r="I219" s="142">
        <f t="shared" si="129"/>
        <v>682</v>
      </c>
      <c r="J219" s="142">
        <f t="shared" si="129"/>
        <v>256</v>
      </c>
      <c r="K219" s="142" t="str">
        <f t="shared" si="129"/>
        <v>-</v>
      </c>
      <c r="L219" s="142">
        <f t="shared" si="129"/>
        <v>4739</v>
      </c>
      <c r="M219" s="31"/>
      <c r="N219" s="142" t="str">
        <f t="shared" ref="N219:X219" si="130">N48</f>
        <v>-</v>
      </c>
      <c r="O219" s="142" t="str">
        <f t="shared" si="130"/>
        <v>-</v>
      </c>
      <c r="P219" s="142" t="str">
        <f t="shared" si="130"/>
        <v>-</v>
      </c>
      <c r="Q219" s="142" t="str">
        <f t="shared" si="130"/>
        <v>-</v>
      </c>
      <c r="R219" s="142">
        <f t="shared" si="130"/>
        <v>3805</v>
      </c>
      <c r="S219" s="142">
        <f t="shared" si="130"/>
        <v>27301</v>
      </c>
      <c r="T219" s="142">
        <f t="shared" si="130"/>
        <v>12366</v>
      </c>
      <c r="U219" s="142">
        <f t="shared" si="130"/>
        <v>5070</v>
      </c>
      <c r="V219" s="142">
        <f t="shared" si="130"/>
        <v>5</v>
      </c>
      <c r="W219" s="142" t="str">
        <f t="shared" si="130"/>
        <v>-</v>
      </c>
      <c r="X219" s="142">
        <f t="shared" si="130"/>
        <v>48547</v>
      </c>
    </row>
    <row r="220" spans="1:24" ht="11.25" customHeight="1">
      <c r="A220" s="99">
        <v>2020</v>
      </c>
      <c r="B220" s="142" t="str">
        <f>B49</f>
        <v>-</v>
      </c>
      <c r="C220" s="142">
        <f t="shared" ref="C220:L221" si="131">C49</f>
        <v>0</v>
      </c>
      <c r="D220" s="142">
        <f t="shared" si="131"/>
        <v>4</v>
      </c>
      <c r="E220" s="142">
        <f t="shared" si="131"/>
        <v>38</v>
      </c>
      <c r="F220" s="142">
        <f t="shared" si="131"/>
        <v>89</v>
      </c>
      <c r="G220" s="142">
        <f t="shared" si="131"/>
        <v>2842</v>
      </c>
      <c r="H220" s="142">
        <f t="shared" si="131"/>
        <v>863</v>
      </c>
      <c r="I220" s="142">
        <f t="shared" si="131"/>
        <v>1345</v>
      </c>
      <c r="J220" s="142">
        <f t="shared" si="131"/>
        <v>219</v>
      </c>
      <c r="K220" s="142" t="str">
        <f t="shared" si="131"/>
        <v>-</v>
      </c>
      <c r="L220" s="142">
        <f t="shared" si="131"/>
        <v>5400</v>
      </c>
      <c r="M220" s="31"/>
      <c r="N220" s="142" t="str">
        <f t="shared" ref="N220:X221" si="132">N49</f>
        <v>-</v>
      </c>
      <c r="O220" s="142" t="str">
        <f t="shared" si="132"/>
        <v>-</v>
      </c>
      <c r="P220" s="142" t="str">
        <f t="shared" si="132"/>
        <v>-</v>
      </c>
      <c r="Q220" s="142" t="str">
        <f t="shared" si="132"/>
        <v>-</v>
      </c>
      <c r="R220" s="142">
        <f t="shared" si="132"/>
        <v>0</v>
      </c>
      <c r="S220" s="142">
        <f t="shared" si="132"/>
        <v>7714</v>
      </c>
      <c r="T220" s="142">
        <f t="shared" si="132"/>
        <v>5126</v>
      </c>
      <c r="U220" s="142">
        <f t="shared" si="132"/>
        <v>4239</v>
      </c>
      <c r="V220" s="142" t="str">
        <f t="shared" si="132"/>
        <v>-</v>
      </c>
      <c r="W220" s="142" t="str">
        <f t="shared" si="132"/>
        <v>-</v>
      </c>
      <c r="X220" s="142">
        <f t="shared" si="132"/>
        <v>17079</v>
      </c>
    </row>
    <row r="221" spans="1:24" ht="11.25" customHeight="1">
      <c r="A221" s="99" t="s">
        <v>317</v>
      </c>
      <c r="B221" s="142" t="str">
        <f>B50</f>
        <v>-</v>
      </c>
      <c r="C221" s="142">
        <f t="shared" si="131"/>
        <v>12</v>
      </c>
      <c r="D221" s="142">
        <f t="shared" si="131"/>
        <v>136</v>
      </c>
      <c r="E221" s="142">
        <f t="shared" si="131"/>
        <v>174</v>
      </c>
      <c r="F221" s="142">
        <f t="shared" si="131"/>
        <v>604</v>
      </c>
      <c r="G221" s="142">
        <f t="shared" si="131"/>
        <v>2665</v>
      </c>
      <c r="H221" s="142">
        <f t="shared" si="131"/>
        <v>1053</v>
      </c>
      <c r="I221" s="142">
        <f t="shared" si="131"/>
        <v>863</v>
      </c>
      <c r="J221" s="142">
        <f t="shared" si="131"/>
        <v>9</v>
      </c>
      <c r="K221" s="142" t="str">
        <f t="shared" si="131"/>
        <v>-</v>
      </c>
      <c r="L221" s="142">
        <f t="shared" si="131"/>
        <v>5516</v>
      </c>
      <c r="M221" s="31"/>
      <c r="N221" s="142" t="str">
        <f t="shared" si="132"/>
        <v>-</v>
      </c>
      <c r="O221" s="142" t="str">
        <f t="shared" si="132"/>
        <v>-</v>
      </c>
      <c r="P221" s="142" t="str">
        <f t="shared" si="132"/>
        <v>-</v>
      </c>
      <c r="Q221" s="142" t="str">
        <f t="shared" si="132"/>
        <v>-</v>
      </c>
      <c r="R221" s="142">
        <f t="shared" si="132"/>
        <v>1787</v>
      </c>
      <c r="S221" s="142">
        <f t="shared" si="132"/>
        <v>37814</v>
      </c>
      <c r="T221" s="142">
        <f t="shared" si="132"/>
        <v>27911</v>
      </c>
      <c r="U221" s="142">
        <f t="shared" si="132"/>
        <v>10766</v>
      </c>
      <c r="V221" s="142">
        <f t="shared" si="132"/>
        <v>4</v>
      </c>
      <c r="W221" s="142" t="str">
        <f t="shared" si="132"/>
        <v>-</v>
      </c>
      <c r="X221" s="142">
        <f t="shared" si="132"/>
        <v>78282</v>
      </c>
    </row>
    <row r="222" spans="1:24" ht="11.25" customHeight="1">
      <c r="A222" s="99"/>
      <c r="B222" s="142"/>
      <c r="C222" s="142"/>
      <c r="D222" s="142"/>
      <c r="E222" s="142"/>
      <c r="F222" s="142"/>
      <c r="G222" s="142"/>
      <c r="H222" s="142"/>
      <c r="I222" s="142"/>
      <c r="J222" s="142"/>
      <c r="K222" s="142"/>
      <c r="L222" s="142"/>
      <c r="M222" s="31"/>
      <c r="N222" s="142"/>
      <c r="O222" s="142"/>
      <c r="P222" s="142"/>
      <c r="Q222" s="142"/>
      <c r="R222" s="142"/>
      <c r="S222" s="142"/>
      <c r="T222" s="142"/>
      <c r="U222" s="142"/>
      <c r="V222" s="142"/>
      <c r="W222" s="142"/>
      <c r="X222" s="142"/>
    </row>
    <row r="223" spans="1:24" ht="15.75" customHeight="1">
      <c r="A223" s="123" t="s">
        <v>346</v>
      </c>
      <c r="B223" s="142"/>
      <c r="C223" s="142"/>
      <c r="D223" s="264"/>
      <c r="E223" s="142"/>
      <c r="F223" s="142"/>
      <c r="G223" s="142"/>
      <c r="H223" s="142"/>
      <c r="I223" s="142"/>
      <c r="J223" s="142"/>
      <c r="K223" s="142"/>
      <c r="L223" s="142"/>
      <c r="M223" s="31"/>
      <c r="N223" s="142"/>
      <c r="O223" s="142"/>
      <c r="P223" s="142"/>
      <c r="Q223" s="142"/>
      <c r="R223" s="142"/>
      <c r="S223" s="142"/>
      <c r="T223" s="142"/>
      <c r="U223" s="142"/>
      <c r="V223" s="142"/>
      <c r="W223" s="142"/>
      <c r="X223" s="142"/>
    </row>
    <row r="224" spans="1:24" ht="11.25" customHeight="1">
      <c r="A224" s="99" t="s">
        <v>24</v>
      </c>
      <c r="B224" s="142" t="str">
        <f>B66</f>
        <v>-</v>
      </c>
      <c r="C224" s="142">
        <f t="shared" ref="C224:L224" si="133">AVERAGE(C58:C62)</f>
        <v>0</v>
      </c>
      <c r="D224" s="142">
        <f t="shared" si="133"/>
        <v>1</v>
      </c>
      <c r="E224" s="142">
        <f t="shared" si="133"/>
        <v>2463.4</v>
      </c>
      <c r="F224" s="142">
        <f t="shared" si="133"/>
        <v>4948.6000000000004</v>
      </c>
      <c r="G224" s="142">
        <f t="shared" si="133"/>
        <v>17195.8</v>
      </c>
      <c r="H224" s="142">
        <f t="shared" si="133"/>
        <v>7185.4</v>
      </c>
      <c r="I224" s="142">
        <f t="shared" si="133"/>
        <v>703.2</v>
      </c>
      <c r="J224" s="142">
        <f t="shared" si="133"/>
        <v>515</v>
      </c>
      <c r="K224" s="142">
        <f t="shared" si="133"/>
        <v>8.6</v>
      </c>
      <c r="L224" s="142">
        <f t="shared" si="133"/>
        <v>33021</v>
      </c>
      <c r="M224" s="31"/>
      <c r="N224" s="48" t="s">
        <v>106</v>
      </c>
      <c r="O224" s="48" t="s">
        <v>106</v>
      </c>
      <c r="P224" s="142">
        <f t="shared" ref="P224:X224" si="134">AVERAGE(P58:P62)</f>
        <v>0</v>
      </c>
      <c r="Q224" s="142">
        <f t="shared" si="134"/>
        <v>377.8</v>
      </c>
      <c r="R224" s="142">
        <f t="shared" si="134"/>
        <v>5667.6</v>
      </c>
      <c r="S224" s="142">
        <f t="shared" si="134"/>
        <v>17699.599999999999</v>
      </c>
      <c r="T224" s="142">
        <f t="shared" si="134"/>
        <v>5744</v>
      </c>
      <c r="U224" s="142">
        <f t="shared" si="134"/>
        <v>354</v>
      </c>
      <c r="V224" s="142">
        <f t="shared" si="134"/>
        <v>0.8</v>
      </c>
      <c r="W224" s="142">
        <f t="shared" si="134"/>
        <v>0</v>
      </c>
      <c r="X224" s="142">
        <f t="shared" si="134"/>
        <v>29843.8</v>
      </c>
    </row>
    <row r="225" spans="1:24" ht="11.25" customHeight="1">
      <c r="A225" s="99" t="s">
        <v>78</v>
      </c>
      <c r="B225" s="142" t="str">
        <f>B67</f>
        <v>-</v>
      </c>
      <c r="C225" s="142">
        <f t="shared" ref="C225:L225" si="135">AVERAGE(C63:C67)</f>
        <v>0</v>
      </c>
      <c r="D225" s="142" t="str">
        <f>D67</f>
        <v>-</v>
      </c>
      <c r="E225" s="142">
        <f t="shared" si="135"/>
        <v>1781.6</v>
      </c>
      <c r="F225" s="142">
        <f t="shared" si="135"/>
        <v>14924.2</v>
      </c>
      <c r="G225" s="142">
        <f t="shared" si="135"/>
        <v>21556.799999999999</v>
      </c>
      <c r="H225" s="142">
        <f t="shared" si="135"/>
        <v>8664.2000000000007</v>
      </c>
      <c r="I225" s="142">
        <f t="shared" si="135"/>
        <v>1935.4</v>
      </c>
      <c r="J225" s="142">
        <f t="shared" si="135"/>
        <v>581.33333333333337</v>
      </c>
      <c r="K225" s="142" t="str">
        <f>K67</f>
        <v>-</v>
      </c>
      <c r="L225" s="142">
        <f t="shared" si="135"/>
        <v>49211</v>
      </c>
      <c r="M225" s="31"/>
      <c r="N225" s="48" t="s">
        <v>106</v>
      </c>
      <c r="O225" s="48" t="s">
        <v>106</v>
      </c>
      <c r="P225" s="142" t="s">
        <v>23</v>
      </c>
      <c r="Q225" s="142">
        <f t="shared" ref="Q225:X225" si="136">AVERAGE(Q63:Q67)</f>
        <v>1081.2</v>
      </c>
      <c r="R225" s="142">
        <f t="shared" si="136"/>
        <v>12457.8</v>
      </c>
      <c r="S225" s="142">
        <f t="shared" si="136"/>
        <v>32288.6</v>
      </c>
      <c r="T225" s="142">
        <f t="shared" si="136"/>
        <v>7650.4</v>
      </c>
      <c r="U225" s="142">
        <f t="shared" si="136"/>
        <v>876.8</v>
      </c>
      <c r="V225" s="142">
        <f t="shared" si="136"/>
        <v>10.333333333333334</v>
      </c>
      <c r="W225" s="142" t="s">
        <v>23</v>
      </c>
      <c r="X225" s="142">
        <f t="shared" si="136"/>
        <v>54361</v>
      </c>
    </row>
    <row r="226" spans="1:24" ht="11.25" customHeight="1">
      <c r="A226" s="99" t="s">
        <v>10</v>
      </c>
      <c r="B226" s="142" t="str">
        <f>B68</f>
        <v>-</v>
      </c>
      <c r="C226" s="142" t="str">
        <f>C68</f>
        <v>-</v>
      </c>
      <c r="D226" s="142" t="str">
        <f>D68</f>
        <v>-</v>
      </c>
      <c r="E226" s="142">
        <f>AVERAGE(E68:E72)</f>
        <v>2751.5</v>
      </c>
      <c r="F226" s="142">
        <f t="shared" ref="F226:X226" si="137">AVERAGE(F68:F72)</f>
        <v>6004.5</v>
      </c>
      <c r="G226" s="142">
        <f t="shared" si="137"/>
        <v>4480.333333333333</v>
      </c>
      <c r="H226" s="142">
        <f t="shared" si="137"/>
        <v>1559</v>
      </c>
      <c r="I226" s="142">
        <f t="shared" si="137"/>
        <v>1849.2</v>
      </c>
      <c r="J226" s="142">
        <f t="shared" si="137"/>
        <v>653</v>
      </c>
      <c r="K226" s="142" t="str">
        <f>K68</f>
        <v>-</v>
      </c>
      <c r="L226" s="142">
        <f t="shared" si="137"/>
        <v>13311.8</v>
      </c>
      <c r="M226" s="31"/>
      <c r="N226" s="142" t="s">
        <v>23</v>
      </c>
      <c r="O226" s="142" t="s">
        <v>23</v>
      </c>
      <c r="P226" s="142" t="s">
        <v>23</v>
      </c>
      <c r="Q226" s="142">
        <f t="shared" si="137"/>
        <v>185.75</v>
      </c>
      <c r="R226" s="142">
        <f t="shared" si="137"/>
        <v>8172.5</v>
      </c>
      <c r="S226" s="142">
        <f t="shared" si="137"/>
        <v>15356</v>
      </c>
      <c r="T226" s="142">
        <f t="shared" si="137"/>
        <v>2223.5</v>
      </c>
      <c r="U226" s="142">
        <f t="shared" si="137"/>
        <v>899.6</v>
      </c>
      <c r="V226" s="142">
        <f t="shared" si="137"/>
        <v>2.3333333333333335</v>
      </c>
      <c r="W226" s="142" t="s">
        <v>23</v>
      </c>
      <c r="X226" s="142">
        <f t="shared" si="137"/>
        <v>18580</v>
      </c>
    </row>
    <row r="227" spans="1:24" ht="11.25" customHeight="1">
      <c r="A227" s="99" t="s">
        <v>144</v>
      </c>
      <c r="B227" s="142" t="str">
        <f>B73</f>
        <v>-</v>
      </c>
      <c r="C227" s="142" t="str">
        <f>C73</f>
        <v>-</v>
      </c>
      <c r="D227" s="142" t="str">
        <f>D73</f>
        <v>-</v>
      </c>
      <c r="E227" s="142">
        <f>AVERAGE(E73:E77)</f>
        <v>1298</v>
      </c>
      <c r="F227" s="142">
        <f t="shared" ref="F227:X227" si="138">AVERAGE(F73:F77)</f>
        <v>3637</v>
      </c>
      <c r="G227" s="142">
        <f t="shared" si="138"/>
        <v>2596.1999999999998</v>
      </c>
      <c r="H227" s="142">
        <f t="shared" si="138"/>
        <v>5622</v>
      </c>
      <c r="I227" s="142">
        <f t="shared" si="138"/>
        <v>709</v>
      </c>
      <c r="J227" s="142">
        <f t="shared" si="138"/>
        <v>701.6</v>
      </c>
      <c r="K227" s="142" t="str">
        <f>K73</f>
        <v>-</v>
      </c>
      <c r="L227" s="142">
        <f t="shared" si="138"/>
        <v>14563.8</v>
      </c>
      <c r="M227" s="31"/>
      <c r="N227" s="142" t="s">
        <v>23</v>
      </c>
      <c r="O227" s="142" t="s">
        <v>23</v>
      </c>
      <c r="P227" s="142" t="s">
        <v>23</v>
      </c>
      <c r="Q227" s="142">
        <f t="shared" si="138"/>
        <v>33</v>
      </c>
      <c r="R227" s="142">
        <f t="shared" si="138"/>
        <v>63.4</v>
      </c>
      <c r="S227" s="142">
        <f t="shared" si="138"/>
        <v>55.4</v>
      </c>
      <c r="T227" s="142">
        <f t="shared" si="138"/>
        <v>98</v>
      </c>
      <c r="U227" s="142">
        <f t="shared" si="138"/>
        <v>22</v>
      </c>
      <c r="V227" s="142">
        <f t="shared" si="138"/>
        <v>8.5</v>
      </c>
      <c r="W227" s="142" t="s">
        <v>23</v>
      </c>
      <c r="X227" s="142">
        <f t="shared" si="138"/>
        <v>244.4</v>
      </c>
    </row>
    <row r="228" spans="1:24" ht="11.25" customHeight="1">
      <c r="A228" s="99" t="s">
        <v>166</v>
      </c>
      <c r="B228" s="142" t="str">
        <f>B78</f>
        <v>-</v>
      </c>
      <c r="C228" s="142" t="str">
        <f>C78</f>
        <v>-</v>
      </c>
      <c r="D228" s="142" t="str">
        <f>D78</f>
        <v>-</v>
      </c>
      <c r="E228" s="142">
        <f t="shared" ref="E228:J228" si="139">AVERAGE(E78:E82)</f>
        <v>3368.6</v>
      </c>
      <c r="F228" s="142">
        <f t="shared" si="139"/>
        <v>5979.4</v>
      </c>
      <c r="G228" s="142">
        <f t="shared" si="139"/>
        <v>3106.8</v>
      </c>
      <c r="H228" s="142">
        <f t="shared" si="139"/>
        <v>6313.2</v>
      </c>
      <c r="I228" s="142">
        <f t="shared" si="139"/>
        <v>3408.6</v>
      </c>
      <c r="J228" s="142">
        <f t="shared" si="139"/>
        <v>469.2</v>
      </c>
      <c r="K228" s="142" t="str">
        <f>K78</f>
        <v>-</v>
      </c>
      <c r="L228" s="142">
        <f>AVERAGE(L78:L82)</f>
        <v>22645.8</v>
      </c>
      <c r="M228" s="31"/>
      <c r="N228" s="142" t="str">
        <f>N78</f>
        <v>-</v>
      </c>
      <c r="O228" s="142" t="str">
        <f>O78</f>
        <v>-</v>
      </c>
      <c r="P228" s="142" t="str">
        <f>P78</f>
        <v>-</v>
      </c>
      <c r="Q228" s="142">
        <f t="shared" ref="Q228:V228" si="140">AVERAGE(Q78:Q82)</f>
        <v>53.6</v>
      </c>
      <c r="R228" s="142">
        <f t="shared" si="140"/>
        <v>201.4</v>
      </c>
      <c r="S228" s="142">
        <f t="shared" si="140"/>
        <v>182.4</v>
      </c>
      <c r="T228" s="142">
        <f t="shared" si="140"/>
        <v>117.4</v>
      </c>
      <c r="U228" s="142">
        <f t="shared" si="140"/>
        <v>38</v>
      </c>
      <c r="V228" s="142">
        <f t="shared" si="140"/>
        <v>8</v>
      </c>
      <c r="W228" s="142" t="str">
        <f>W78</f>
        <v>-</v>
      </c>
      <c r="X228" s="142">
        <f>AVERAGE(X78:X82)</f>
        <v>588.4</v>
      </c>
    </row>
    <row r="229" spans="1:24" ht="11.25" customHeight="1">
      <c r="A229" s="99" t="s">
        <v>315</v>
      </c>
      <c r="B229" s="142" t="str">
        <f>B83</f>
        <v>-</v>
      </c>
      <c r="C229" s="142" t="str">
        <f t="shared" ref="C229:D229" si="141">C83</f>
        <v>-</v>
      </c>
      <c r="D229" s="142" t="str">
        <f t="shared" si="141"/>
        <v>-</v>
      </c>
      <c r="E229" s="142">
        <f>AVERAGE(E83:E87)</f>
        <v>1828.3333333333333</v>
      </c>
      <c r="F229" s="142">
        <f t="shared" ref="F229:L229" si="142">AVERAGE(F83:F87)</f>
        <v>3883</v>
      </c>
      <c r="G229" s="142">
        <f t="shared" si="142"/>
        <v>1891.25</v>
      </c>
      <c r="H229" s="142">
        <f t="shared" si="142"/>
        <v>2963.3333333333335</v>
      </c>
      <c r="I229" s="142">
        <f t="shared" si="142"/>
        <v>1872.5</v>
      </c>
      <c r="J229" s="142">
        <f t="shared" si="142"/>
        <v>438.25</v>
      </c>
      <c r="K229" s="142" t="str">
        <f t="shared" ref="K229" si="143">K83</f>
        <v>-</v>
      </c>
      <c r="L229" s="142">
        <f t="shared" si="142"/>
        <v>8566.4</v>
      </c>
      <c r="M229" s="31"/>
      <c r="N229" s="142" t="str">
        <f t="shared" ref="N229:P229" si="144">N83</f>
        <v>-</v>
      </c>
      <c r="O229" s="142" t="str">
        <f t="shared" si="144"/>
        <v>-</v>
      </c>
      <c r="P229" s="142" t="str">
        <f t="shared" si="144"/>
        <v>-</v>
      </c>
      <c r="Q229" s="142">
        <f t="shared" ref="Q229:X229" si="145">AVERAGE(Q83:Q87)</f>
        <v>93</v>
      </c>
      <c r="R229" s="142">
        <f t="shared" si="145"/>
        <v>300.75</v>
      </c>
      <c r="S229" s="142">
        <f t="shared" si="145"/>
        <v>662</v>
      </c>
      <c r="T229" s="142">
        <f t="shared" si="145"/>
        <v>365</v>
      </c>
      <c r="U229" s="142">
        <f t="shared" si="145"/>
        <v>65.5</v>
      </c>
      <c r="V229" s="142">
        <f t="shared" si="145"/>
        <v>4.333333333333333</v>
      </c>
      <c r="W229" s="142" t="str">
        <f t="shared" ref="W229" si="146">W83</f>
        <v>-</v>
      </c>
      <c r="X229" s="142">
        <f t="shared" si="145"/>
        <v>1268.2</v>
      </c>
    </row>
    <row r="230" spans="1:24" ht="11.25" customHeight="1">
      <c r="A230" s="99">
        <v>2011</v>
      </c>
      <c r="B230" s="142" t="str">
        <f t="shared" ref="B230:L230" si="147">B88</f>
        <v>-</v>
      </c>
      <c r="C230" s="142" t="str">
        <f t="shared" si="147"/>
        <v>-</v>
      </c>
      <c r="D230" s="142" t="str">
        <f t="shared" si="147"/>
        <v>-</v>
      </c>
      <c r="E230" s="142">
        <f t="shared" si="147"/>
        <v>814</v>
      </c>
      <c r="F230" s="142">
        <f t="shared" si="147"/>
        <v>970</v>
      </c>
      <c r="G230" s="142">
        <f t="shared" si="147"/>
        <v>4391</v>
      </c>
      <c r="H230" s="142">
        <f t="shared" si="147"/>
        <v>4018</v>
      </c>
      <c r="I230" s="142">
        <f t="shared" si="147"/>
        <v>497</v>
      </c>
      <c r="J230" s="142">
        <f t="shared" si="147"/>
        <v>233</v>
      </c>
      <c r="K230" s="142" t="str">
        <f t="shared" si="147"/>
        <v>-</v>
      </c>
      <c r="L230" s="142">
        <f t="shared" si="147"/>
        <v>10923</v>
      </c>
      <c r="M230" s="31"/>
      <c r="N230" s="142" t="str">
        <f t="shared" ref="N230:X230" si="148">N88</f>
        <v>-</v>
      </c>
      <c r="O230" s="142" t="str">
        <f t="shared" si="148"/>
        <v>-</v>
      </c>
      <c r="P230" s="142" t="str">
        <f t="shared" si="148"/>
        <v>-</v>
      </c>
      <c r="Q230" s="142">
        <f t="shared" si="148"/>
        <v>5</v>
      </c>
      <c r="R230" s="142">
        <f t="shared" si="148"/>
        <v>10</v>
      </c>
      <c r="S230" s="142">
        <f t="shared" si="148"/>
        <v>62</v>
      </c>
      <c r="T230" s="142">
        <f t="shared" si="148"/>
        <v>37</v>
      </c>
      <c r="U230" s="142">
        <f t="shared" si="148"/>
        <v>12</v>
      </c>
      <c r="V230" s="142" t="str">
        <f t="shared" si="148"/>
        <v>-</v>
      </c>
      <c r="W230" s="142" t="str">
        <f t="shared" si="148"/>
        <v>-</v>
      </c>
      <c r="X230" s="142">
        <f t="shared" si="148"/>
        <v>126</v>
      </c>
    </row>
    <row r="231" spans="1:24" ht="11.25" customHeight="1">
      <c r="A231" s="99">
        <v>2012</v>
      </c>
      <c r="B231" s="142" t="str">
        <f t="shared" ref="B231:L231" si="149">B89</f>
        <v>-</v>
      </c>
      <c r="C231" s="142" t="str">
        <f t="shared" si="149"/>
        <v>-</v>
      </c>
      <c r="D231" s="142" t="str">
        <f t="shared" si="149"/>
        <v>-</v>
      </c>
      <c r="E231" s="142">
        <f t="shared" si="149"/>
        <v>3911</v>
      </c>
      <c r="F231" s="142">
        <f t="shared" si="149"/>
        <v>11769</v>
      </c>
      <c r="G231" s="142">
        <f t="shared" si="149"/>
        <v>14139</v>
      </c>
      <c r="H231" s="142">
        <f t="shared" si="149"/>
        <v>14502</v>
      </c>
      <c r="I231" s="142">
        <f t="shared" si="149"/>
        <v>3912</v>
      </c>
      <c r="J231" s="142">
        <f t="shared" si="149"/>
        <v>534</v>
      </c>
      <c r="K231" s="142" t="str">
        <f t="shared" si="149"/>
        <v>-</v>
      </c>
      <c r="L231" s="142">
        <f t="shared" si="149"/>
        <v>48767</v>
      </c>
      <c r="M231" s="31"/>
      <c r="N231" s="142" t="str">
        <f t="shared" ref="N231:X231" si="150">N89</f>
        <v>-</v>
      </c>
      <c r="O231" s="142" t="str">
        <f t="shared" si="150"/>
        <v>-</v>
      </c>
      <c r="P231" s="142" t="str">
        <f t="shared" si="150"/>
        <v>-</v>
      </c>
      <c r="Q231" s="142" t="str">
        <f t="shared" si="150"/>
        <v>-</v>
      </c>
      <c r="R231" s="142">
        <f t="shared" si="150"/>
        <v>50</v>
      </c>
      <c r="S231" s="142">
        <f t="shared" si="150"/>
        <v>176</v>
      </c>
      <c r="T231" s="142">
        <f t="shared" si="150"/>
        <v>48</v>
      </c>
      <c r="U231" s="142" t="str">
        <f t="shared" si="150"/>
        <v>-</v>
      </c>
      <c r="V231" s="142">
        <f t="shared" si="150"/>
        <v>2</v>
      </c>
      <c r="W231" s="142" t="str">
        <f t="shared" si="150"/>
        <v>-</v>
      </c>
      <c r="X231" s="142">
        <f t="shared" si="150"/>
        <v>276</v>
      </c>
    </row>
    <row r="232" spans="1:24" ht="11.25" customHeight="1">
      <c r="A232" s="99">
        <v>2013</v>
      </c>
      <c r="B232" s="142" t="str">
        <f t="shared" ref="B232:L232" si="151">B90</f>
        <v>-</v>
      </c>
      <c r="C232" s="142" t="str">
        <f t="shared" si="151"/>
        <v>-</v>
      </c>
      <c r="D232" s="142" t="str">
        <f t="shared" si="151"/>
        <v>-</v>
      </c>
      <c r="E232" s="142">
        <f t="shared" si="151"/>
        <v>2585</v>
      </c>
      <c r="F232" s="142">
        <f t="shared" si="151"/>
        <v>12329</v>
      </c>
      <c r="G232" s="142">
        <f t="shared" si="151"/>
        <v>16247</v>
      </c>
      <c r="H232" s="142">
        <f t="shared" si="151"/>
        <v>11996</v>
      </c>
      <c r="I232" s="142">
        <f t="shared" si="151"/>
        <v>459</v>
      </c>
      <c r="J232" s="142">
        <f t="shared" si="151"/>
        <v>814</v>
      </c>
      <c r="K232" s="142" t="str">
        <f t="shared" si="151"/>
        <v>-</v>
      </c>
      <c r="L232" s="142">
        <f t="shared" si="151"/>
        <v>44430</v>
      </c>
      <c r="M232" s="31"/>
      <c r="N232" s="142" t="str">
        <f t="shared" ref="N232:X232" si="152">N90</f>
        <v>-</v>
      </c>
      <c r="O232" s="142" t="str">
        <f t="shared" si="152"/>
        <v>-</v>
      </c>
      <c r="P232" s="142" t="str">
        <f t="shared" si="152"/>
        <v>-</v>
      </c>
      <c r="Q232" s="142" t="str">
        <f t="shared" si="152"/>
        <v>-</v>
      </c>
      <c r="R232" s="142">
        <f t="shared" si="152"/>
        <v>65</v>
      </c>
      <c r="S232" s="142">
        <f t="shared" si="152"/>
        <v>360</v>
      </c>
      <c r="T232" s="142">
        <f t="shared" si="152"/>
        <v>245</v>
      </c>
      <c r="U232" s="142" t="str">
        <f t="shared" si="152"/>
        <v>-</v>
      </c>
      <c r="V232" s="142">
        <f t="shared" si="152"/>
        <v>6</v>
      </c>
      <c r="W232" s="142" t="str">
        <f t="shared" si="152"/>
        <v>-</v>
      </c>
      <c r="X232" s="142">
        <f t="shared" si="152"/>
        <v>676</v>
      </c>
    </row>
    <row r="233" spans="1:24" ht="11.25" customHeight="1">
      <c r="A233" s="99">
        <v>2014</v>
      </c>
      <c r="B233" s="142" t="str">
        <f t="shared" ref="B233:L233" si="153">B91</f>
        <v>-</v>
      </c>
      <c r="C233" s="142" t="str">
        <f t="shared" si="153"/>
        <v>-</v>
      </c>
      <c r="D233" s="142" t="str">
        <f t="shared" si="153"/>
        <v>-</v>
      </c>
      <c r="E233" s="142">
        <f t="shared" si="153"/>
        <v>4413</v>
      </c>
      <c r="F233" s="142">
        <f t="shared" si="153"/>
        <v>5756</v>
      </c>
      <c r="G233" s="142">
        <f t="shared" si="153"/>
        <v>7784</v>
      </c>
      <c r="H233" s="142">
        <f t="shared" si="153"/>
        <v>3259</v>
      </c>
      <c r="I233" s="142">
        <f t="shared" si="153"/>
        <v>319</v>
      </c>
      <c r="J233" s="142">
        <f t="shared" si="153"/>
        <v>1115</v>
      </c>
      <c r="K233" s="142" t="str">
        <f t="shared" si="153"/>
        <v>-</v>
      </c>
      <c r="L233" s="142">
        <f t="shared" si="153"/>
        <v>22646</v>
      </c>
      <c r="M233" s="31"/>
      <c r="N233" s="142" t="str">
        <f t="shared" ref="N233:X233" si="154">N91</f>
        <v>-</v>
      </c>
      <c r="O233" s="142" t="str">
        <f t="shared" si="154"/>
        <v>-</v>
      </c>
      <c r="P233" s="142" t="str">
        <f t="shared" si="154"/>
        <v>-</v>
      </c>
      <c r="Q233" s="142">
        <f t="shared" si="154"/>
        <v>22</v>
      </c>
      <c r="R233" s="142">
        <f t="shared" si="154"/>
        <v>119</v>
      </c>
      <c r="S233" s="142">
        <f t="shared" si="154"/>
        <v>696</v>
      </c>
      <c r="T233" s="142">
        <f t="shared" si="154"/>
        <v>9</v>
      </c>
      <c r="U233" s="142">
        <f t="shared" si="154"/>
        <v>3</v>
      </c>
      <c r="V233" s="142" t="str">
        <f t="shared" si="154"/>
        <v>-</v>
      </c>
      <c r="W233" s="142" t="str">
        <f t="shared" si="154"/>
        <v>-</v>
      </c>
      <c r="X233" s="142">
        <f t="shared" si="154"/>
        <v>849</v>
      </c>
    </row>
    <row r="234" spans="1:24" ht="11.25" customHeight="1">
      <c r="A234" s="99">
        <v>2015</v>
      </c>
      <c r="B234" s="142" t="str">
        <f t="shared" ref="B234:L234" si="155">B92</f>
        <v>-</v>
      </c>
      <c r="C234" s="142" t="str">
        <f t="shared" si="155"/>
        <v>-</v>
      </c>
      <c r="D234" s="142" t="str">
        <f t="shared" si="155"/>
        <v>-</v>
      </c>
      <c r="E234" s="142">
        <f t="shared" si="155"/>
        <v>930</v>
      </c>
      <c r="F234" s="142">
        <f t="shared" si="155"/>
        <v>376</v>
      </c>
      <c r="G234" s="142">
        <f t="shared" si="155"/>
        <v>1237</v>
      </c>
      <c r="H234" s="142">
        <f t="shared" si="155"/>
        <v>1454</v>
      </c>
      <c r="I234" s="142">
        <f t="shared" si="155"/>
        <v>85</v>
      </c>
      <c r="J234" s="142">
        <f t="shared" si="155"/>
        <v>792</v>
      </c>
      <c r="K234" s="142" t="str">
        <f t="shared" si="155"/>
        <v>-</v>
      </c>
      <c r="L234" s="142">
        <f t="shared" si="155"/>
        <v>4874</v>
      </c>
      <c r="M234" s="31"/>
      <c r="N234" s="142" t="str">
        <f t="shared" ref="N234:X234" si="156">N92</f>
        <v>-</v>
      </c>
      <c r="O234" s="142" t="str">
        <f t="shared" si="156"/>
        <v>-</v>
      </c>
      <c r="P234" s="142" t="str">
        <f t="shared" si="156"/>
        <v>-</v>
      </c>
      <c r="Q234" s="142" t="str">
        <f t="shared" si="156"/>
        <v>-</v>
      </c>
      <c r="R234" s="142">
        <f t="shared" si="156"/>
        <v>13</v>
      </c>
      <c r="S234" s="142">
        <f t="shared" si="156"/>
        <v>122</v>
      </c>
      <c r="T234" s="142">
        <f t="shared" si="156"/>
        <v>5</v>
      </c>
      <c r="U234" s="142">
        <f t="shared" si="156"/>
        <v>4</v>
      </c>
      <c r="V234" s="142">
        <f t="shared" si="156"/>
        <v>6</v>
      </c>
      <c r="W234" s="142" t="str">
        <f t="shared" si="156"/>
        <v>-</v>
      </c>
      <c r="X234" s="142">
        <f t="shared" si="156"/>
        <v>150</v>
      </c>
    </row>
    <row r="235" spans="1:24" ht="11.25" customHeight="1">
      <c r="A235" s="99">
        <v>2016</v>
      </c>
      <c r="B235" s="142" t="str">
        <f t="shared" ref="B235:L235" si="157">B93</f>
        <v>-</v>
      </c>
      <c r="C235" s="142" t="str">
        <f t="shared" si="157"/>
        <v>-</v>
      </c>
      <c r="D235" s="142" t="str">
        <f t="shared" si="157"/>
        <v>-</v>
      </c>
      <c r="E235" s="142">
        <f t="shared" si="157"/>
        <v>1454</v>
      </c>
      <c r="F235" s="142">
        <f t="shared" si="157"/>
        <v>1025</v>
      </c>
      <c r="G235" s="142">
        <f t="shared" si="157"/>
        <v>1506</v>
      </c>
      <c r="H235" s="142">
        <f t="shared" si="157"/>
        <v>649</v>
      </c>
      <c r="I235" s="142">
        <f t="shared" si="157"/>
        <v>582</v>
      </c>
      <c r="J235" s="142">
        <f t="shared" si="157"/>
        <v>287</v>
      </c>
      <c r="K235" s="142" t="str">
        <f t="shared" si="157"/>
        <v>-</v>
      </c>
      <c r="L235" s="142">
        <f t="shared" si="157"/>
        <v>5503</v>
      </c>
      <c r="M235" s="31"/>
      <c r="N235" s="142" t="str">
        <f t="shared" ref="N235:X235" si="158">N93</f>
        <v>-</v>
      </c>
      <c r="O235" s="142" t="str">
        <f t="shared" si="158"/>
        <v>-</v>
      </c>
      <c r="P235" s="142" t="str">
        <f t="shared" si="158"/>
        <v>-</v>
      </c>
      <c r="Q235" s="142" t="str">
        <f t="shared" si="158"/>
        <v>-</v>
      </c>
      <c r="R235" s="142">
        <f t="shared" si="158"/>
        <v>29</v>
      </c>
      <c r="S235" s="142">
        <f t="shared" si="158"/>
        <v>45</v>
      </c>
      <c r="T235" s="142">
        <f t="shared" si="158"/>
        <v>3</v>
      </c>
      <c r="U235" s="142">
        <f t="shared" si="158"/>
        <v>2</v>
      </c>
      <c r="V235" s="142" t="str">
        <f t="shared" si="158"/>
        <v>-</v>
      </c>
      <c r="W235" s="142" t="str">
        <f t="shared" si="158"/>
        <v>-</v>
      </c>
      <c r="X235" s="142">
        <f t="shared" si="158"/>
        <v>79</v>
      </c>
    </row>
    <row r="236" spans="1:24" ht="11.25" customHeight="1">
      <c r="A236" s="99">
        <v>2017</v>
      </c>
      <c r="B236" s="142" t="str">
        <f t="shared" ref="B236:L236" si="159">B94</f>
        <v>-</v>
      </c>
      <c r="C236" s="142" t="str">
        <f t="shared" si="159"/>
        <v>-</v>
      </c>
      <c r="D236" s="142" t="str">
        <f t="shared" si="159"/>
        <v>-</v>
      </c>
      <c r="E236" s="142" t="str">
        <f t="shared" si="159"/>
        <v>-</v>
      </c>
      <c r="F236" s="142" t="str">
        <f t="shared" si="159"/>
        <v>-</v>
      </c>
      <c r="G236" s="142" t="str">
        <f t="shared" si="159"/>
        <v>-</v>
      </c>
      <c r="H236" s="142" t="str">
        <f t="shared" si="159"/>
        <v>-</v>
      </c>
      <c r="I236" s="142" t="str">
        <f t="shared" si="159"/>
        <v>-</v>
      </c>
      <c r="J236" s="142">
        <f t="shared" si="159"/>
        <v>506</v>
      </c>
      <c r="K236" s="142" t="str">
        <f t="shared" si="159"/>
        <v>-</v>
      </c>
      <c r="L236" s="142">
        <f t="shared" si="159"/>
        <v>506</v>
      </c>
      <c r="M236" s="31"/>
      <c r="N236" s="142" t="str">
        <f t="shared" ref="N236:X236" si="160">N94</f>
        <v>-</v>
      </c>
      <c r="O236" s="142" t="str">
        <f t="shared" si="160"/>
        <v>-</v>
      </c>
      <c r="P236" s="142" t="str">
        <f t="shared" si="160"/>
        <v>-</v>
      </c>
      <c r="Q236" s="142" t="str">
        <f t="shared" si="160"/>
        <v>-</v>
      </c>
      <c r="R236" s="142" t="str">
        <f t="shared" si="160"/>
        <v>-</v>
      </c>
      <c r="S236" s="142" t="str">
        <f t="shared" si="160"/>
        <v>-</v>
      </c>
      <c r="T236" s="142" t="str">
        <f t="shared" si="160"/>
        <v>-</v>
      </c>
      <c r="U236" s="142" t="str">
        <f t="shared" si="160"/>
        <v>-</v>
      </c>
      <c r="V236" s="142" t="str">
        <f t="shared" si="160"/>
        <v>-</v>
      </c>
      <c r="W236" s="142" t="str">
        <f t="shared" si="160"/>
        <v>-</v>
      </c>
      <c r="X236" s="142" t="str">
        <f t="shared" si="160"/>
        <v>-</v>
      </c>
    </row>
    <row r="237" spans="1:24" ht="11.25" customHeight="1">
      <c r="A237" s="99">
        <v>2018</v>
      </c>
      <c r="B237" s="142" t="str">
        <f t="shared" ref="B237:L237" si="161">B95</f>
        <v>-</v>
      </c>
      <c r="C237" s="142" t="str">
        <f t="shared" si="161"/>
        <v>-</v>
      </c>
      <c r="D237" s="142" t="str">
        <f t="shared" si="161"/>
        <v>-</v>
      </c>
      <c r="E237" s="142">
        <f t="shared" si="161"/>
        <v>105</v>
      </c>
      <c r="F237" s="142">
        <f t="shared" si="161"/>
        <v>1863</v>
      </c>
      <c r="G237" s="142">
        <f t="shared" si="161"/>
        <v>1320</v>
      </c>
      <c r="H237" s="142">
        <f t="shared" si="161"/>
        <v>1583</v>
      </c>
      <c r="I237" s="142">
        <f t="shared" si="161"/>
        <v>31</v>
      </c>
      <c r="J237" s="142">
        <f t="shared" si="161"/>
        <v>429</v>
      </c>
      <c r="K237" s="142" t="str">
        <f t="shared" si="161"/>
        <v>-</v>
      </c>
      <c r="L237" s="142">
        <f t="shared" si="161"/>
        <v>5331</v>
      </c>
      <c r="M237" s="31"/>
      <c r="N237" s="142" t="str">
        <f t="shared" ref="N237:X237" si="162">N95</f>
        <v>-</v>
      </c>
      <c r="O237" s="142" t="str">
        <f t="shared" si="162"/>
        <v>-</v>
      </c>
      <c r="P237" s="142" t="str">
        <f t="shared" si="162"/>
        <v>-</v>
      </c>
      <c r="Q237" s="142" t="str">
        <f t="shared" si="162"/>
        <v>-</v>
      </c>
      <c r="R237" s="142">
        <f t="shared" si="162"/>
        <v>52</v>
      </c>
      <c r="S237" s="142">
        <f t="shared" si="162"/>
        <v>23</v>
      </c>
      <c r="T237" s="142">
        <f t="shared" si="162"/>
        <v>45</v>
      </c>
      <c r="U237" s="142" t="str">
        <f t="shared" si="162"/>
        <v>-</v>
      </c>
      <c r="V237" s="142" t="str">
        <f t="shared" si="162"/>
        <v>-</v>
      </c>
      <c r="W237" s="142" t="str">
        <f t="shared" si="162"/>
        <v>-</v>
      </c>
      <c r="X237" s="142">
        <f t="shared" si="162"/>
        <v>120</v>
      </c>
    </row>
    <row r="238" spans="1:24" ht="11.25" customHeight="1">
      <c r="A238" s="99">
        <v>2019</v>
      </c>
      <c r="B238" s="142" t="str">
        <f t="shared" ref="B238:L238" si="163">B96</f>
        <v>-</v>
      </c>
      <c r="C238" s="142" t="str">
        <f t="shared" si="163"/>
        <v>-</v>
      </c>
      <c r="D238" s="142" t="str">
        <f t="shared" si="163"/>
        <v>-</v>
      </c>
      <c r="E238" s="142">
        <f t="shared" si="163"/>
        <v>325</v>
      </c>
      <c r="F238" s="142">
        <f t="shared" si="163"/>
        <v>2423</v>
      </c>
      <c r="G238" s="142">
        <f t="shared" si="163"/>
        <v>1530</v>
      </c>
      <c r="H238" s="142">
        <f t="shared" si="163"/>
        <v>1177</v>
      </c>
      <c r="I238" s="142">
        <f t="shared" si="163"/>
        <v>74</v>
      </c>
      <c r="J238" s="142" t="str">
        <f t="shared" si="163"/>
        <v>-</v>
      </c>
      <c r="K238" s="142" t="str">
        <f t="shared" si="163"/>
        <v>-</v>
      </c>
      <c r="L238" s="142">
        <f t="shared" si="163"/>
        <v>5529</v>
      </c>
      <c r="M238" s="31"/>
      <c r="N238" s="142" t="str">
        <f t="shared" ref="N238:X238" si="164">N96</f>
        <v>-</v>
      </c>
      <c r="O238" s="142" t="str">
        <f t="shared" si="164"/>
        <v>-</v>
      </c>
      <c r="P238" s="142" t="str">
        <f t="shared" si="164"/>
        <v>-</v>
      </c>
      <c r="Q238" s="142" t="str">
        <f t="shared" si="164"/>
        <v>-</v>
      </c>
      <c r="R238" s="142">
        <f t="shared" si="164"/>
        <v>186</v>
      </c>
      <c r="S238" s="142">
        <f t="shared" si="164"/>
        <v>408</v>
      </c>
      <c r="T238" s="142">
        <f t="shared" si="164"/>
        <v>103</v>
      </c>
      <c r="U238" s="142" t="str">
        <f t="shared" si="164"/>
        <v>-</v>
      </c>
      <c r="V238" s="142" t="str">
        <f t="shared" si="164"/>
        <v>-</v>
      </c>
      <c r="W238" s="142" t="str">
        <f t="shared" si="164"/>
        <v>-</v>
      </c>
      <c r="X238" s="142">
        <f t="shared" si="164"/>
        <v>697</v>
      </c>
    </row>
    <row r="239" spans="1:24" ht="11.25" customHeight="1">
      <c r="A239" s="99" t="s">
        <v>311</v>
      </c>
      <c r="B239" s="142" t="str">
        <f>B97</f>
        <v>-</v>
      </c>
      <c r="C239" s="142" t="str">
        <f t="shared" ref="C239:L240" si="165">C97</f>
        <v>-</v>
      </c>
      <c r="D239" s="142" t="str">
        <f t="shared" si="165"/>
        <v>-</v>
      </c>
      <c r="E239" s="142" t="str">
        <f t="shared" si="165"/>
        <v>-</v>
      </c>
      <c r="F239" s="142">
        <f t="shared" si="165"/>
        <v>566</v>
      </c>
      <c r="G239" s="142">
        <f t="shared" si="165"/>
        <v>2518</v>
      </c>
      <c r="H239" s="142">
        <f t="shared" si="165"/>
        <v>382</v>
      </c>
      <c r="I239" s="142" t="str">
        <f t="shared" si="165"/>
        <v>-</v>
      </c>
      <c r="J239" s="142" t="str">
        <f t="shared" si="165"/>
        <v>-</v>
      </c>
      <c r="K239" s="142" t="str">
        <f t="shared" si="165"/>
        <v>-</v>
      </c>
      <c r="L239" s="142">
        <f t="shared" si="165"/>
        <v>3466</v>
      </c>
      <c r="M239" s="31"/>
      <c r="N239" s="142" t="str">
        <f t="shared" ref="N239:X240" si="166">N97</f>
        <v>-</v>
      </c>
      <c r="O239" s="142" t="str">
        <f t="shared" si="166"/>
        <v>-</v>
      </c>
      <c r="P239" s="142" t="str">
        <f t="shared" si="166"/>
        <v>-</v>
      </c>
      <c r="Q239" s="142" t="str">
        <f t="shared" si="166"/>
        <v>-</v>
      </c>
      <c r="R239" s="142" t="str">
        <f t="shared" si="166"/>
        <v>-</v>
      </c>
      <c r="S239" s="142">
        <f t="shared" si="166"/>
        <v>18</v>
      </c>
      <c r="T239" s="142" t="str">
        <f t="shared" si="166"/>
        <v>-</v>
      </c>
      <c r="U239" s="142" t="str">
        <f t="shared" si="166"/>
        <v>-</v>
      </c>
      <c r="V239" s="142" t="str">
        <f t="shared" si="166"/>
        <v>-</v>
      </c>
      <c r="W239" s="142" t="str">
        <f t="shared" si="166"/>
        <v>-</v>
      </c>
      <c r="X239" s="142">
        <f t="shared" si="166"/>
        <v>18</v>
      </c>
    </row>
    <row r="240" spans="1:24" ht="11.25" customHeight="1">
      <c r="A240" s="99" t="s">
        <v>317</v>
      </c>
      <c r="B240" s="142" t="str">
        <f>B98</f>
        <v>-</v>
      </c>
      <c r="C240" s="142" t="str">
        <f t="shared" si="165"/>
        <v>-</v>
      </c>
      <c r="D240" s="142" t="str">
        <f t="shared" si="165"/>
        <v>-</v>
      </c>
      <c r="E240" s="142" t="str">
        <f t="shared" si="165"/>
        <v>-</v>
      </c>
      <c r="F240" s="142">
        <f t="shared" si="165"/>
        <v>276</v>
      </c>
      <c r="G240" s="142">
        <f t="shared" si="165"/>
        <v>1082</v>
      </c>
      <c r="H240" s="142">
        <f t="shared" si="165"/>
        <v>178</v>
      </c>
      <c r="I240" s="142" t="str">
        <f t="shared" si="165"/>
        <v>-</v>
      </c>
      <c r="J240" s="142" t="str">
        <f t="shared" si="165"/>
        <v>-</v>
      </c>
      <c r="K240" s="142" t="str">
        <f t="shared" si="165"/>
        <v>-</v>
      </c>
      <c r="L240" s="142">
        <f t="shared" si="165"/>
        <v>1536</v>
      </c>
      <c r="M240" s="31"/>
      <c r="N240" s="142" t="str">
        <f t="shared" si="166"/>
        <v>-</v>
      </c>
      <c r="O240" s="142" t="str">
        <f t="shared" si="166"/>
        <v>-</v>
      </c>
      <c r="P240" s="142" t="str">
        <f t="shared" si="166"/>
        <v>-</v>
      </c>
      <c r="Q240" s="142" t="str">
        <f t="shared" si="166"/>
        <v>-</v>
      </c>
      <c r="R240" s="142">
        <f t="shared" si="166"/>
        <v>450</v>
      </c>
      <c r="S240" s="142">
        <f t="shared" si="166"/>
        <v>130</v>
      </c>
      <c r="T240" s="142">
        <f t="shared" si="166"/>
        <v>195</v>
      </c>
      <c r="U240" s="142" t="str">
        <f t="shared" si="166"/>
        <v>-</v>
      </c>
      <c r="V240" s="142" t="str">
        <f t="shared" si="166"/>
        <v>-</v>
      </c>
      <c r="W240" s="142" t="str">
        <f t="shared" si="166"/>
        <v>-</v>
      </c>
      <c r="X240" s="142">
        <f t="shared" si="166"/>
        <v>775</v>
      </c>
    </row>
    <row r="241" spans="1:24" ht="11.25" customHeight="1">
      <c r="A241" s="99"/>
      <c r="B241" s="142"/>
      <c r="C241" s="142"/>
      <c r="D241" s="142"/>
      <c r="E241" s="142"/>
      <c r="F241" s="142"/>
      <c r="G241" s="142"/>
      <c r="H241" s="142"/>
      <c r="I241" s="142"/>
      <c r="J241" s="142"/>
      <c r="K241" s="142"/>
      <c r="L241" s="142"/>
      <c r="M241" s="31"/>
      <c r="N241" s="142"/>
      <c r="O241" s="142"/>
      <c r="P241" s="142"/>
      <c r="Q241" s="142"/>
      <c r="R241" s="142"/>
      <c r="S241" s="142"/>
      <c r="T241" s="142"/>
      <c r="U241" s="142"/>
      <c r="V241" s="142"/>
      <c r="W241" s="142"/>
      <c r="X241" s="142"/>
    </row>
    <row r="242" spans="1:24" ht="11.25" customHeight="1">
      <c r="A242" s="1" t="s">
        <v>143</v>
      </c>
      <c r="B242" s="1"/>
      <c r="C242" s="1"/>
      <c r="D242" s="1"/>
      <c r="E242" s="1"/>
      <c r="F242" s="1"/>
      <c r="G242" s="1"/>
      <c r="H242" s="1"/>
      <c r="I242" s="1"/>
      <c r="J242" s="1"/>
      <c r="K242" s="1"/>
      <c r="L242" s="1"/>
      <c r="M242" s="1"/>
      <c r="N242" s="1"/>
      <c r="O242" s="1"/>
      <c r="P242" s="1"/>
      <c r="Q242" s="1"/>
      <c r="R242" s="1"/>
      <c r="S242" s="1"/>
      <c r="T242" s="1"/>
      <c r="U242" s="1"/>
      <c r="V242" s="1"/>
      <c r="W242" s="1"/>
      <c r="X242" s="1"/>
    </row>
    <row r="243" spans="1:24" ht="11.25" customHeight="1">
      <c r="A243" s="98" t="s">
        <v>27</v>
      </c>
      <c r="B243" s="46" t="s">
        <v>36</v>
      </c>
      <c r="C243" s="46" t="s">
        <v>37</v>
      </c>
      <c r="D243" s="46" t="s">
        <v>28</v>
      </c>
      <c r="E243" s="46" t="s">
        <v>29</v>
      </c>
      <c r="F243" s="46" t="s">
        <v>30</v>
      </c>
      <c r="G243" s="46" t="s">
        <v>31</v>
      </c>
      <c r="H243" s="46" t="s">
        <v>32</v>
      </c>
      <c r="I243" s="46" t="s">
        <v>33</v>
      </c>
      <c r="J243" s="46" t="s">
        <v>34</v>
      </c>
      <c r="K243" s="46" t="s">
        <v>38</v>
      </c>
      <c r="L243" s="46" t="s">
        <v>22</v>
      </c>
      <c r="M243" s="196"/>
      <c r="N243" s="46" t="s">
        <v>36</v>
      </c>
      <c r="O243" s="46" t="s">
        <v>37</v>
      </c>
      <c r="P243" s="46" t="s">
        <v>28</v>
      </c>
      <c r="Q243" s="46" t="s">
        <v>29</v>
      </c>
      <c r="R243" s="46" t="s">
        <v>30</v>
      </c>
      <c r="S243" s="46" t="s">
        <v>31</v>
      </c>
      <c r="T243" s="46" t="s">
        <v>32</v>
      </c>
      <c r="U243" s="46" t="s">
        <v>33</v>
      </c>
      <c r="V243" s="46" t="s">
        <v>34</v>
      </c>
      <c r="W243" s="46" t="s">
        <v>38</v>
      </c>
      <c r="X243" s="46" t="s">
        <v>22</v>
      </c>
    </row>
    <row r="244" spans="1:24" ht="11.25" customHeight="1">
      <c r="A244" s="99"/>
      <c r="B244" s="334" t="s">
        <v>61</v>
      </c>
      <c r="C244" s="334"/>
      <c r="D244" s="334"/>
      <c r="E244" s="334"/>
      <c r="F244" s="334"/>
      <c r="G244" s="334"/>
      <c r="H244" s="334"/>
      <c r="I244" s="334"/>
      <c r="J244" s="334"/>
      <c r="K244" s="334"/>
      <c r="L244" s="334"/>
      <c r="M244" s="6"/>
      <c r="N244" s="334" t="s">
        <v>62</v>
      </c>
      <c r="O244" s="334"/>
      <c r="P244" s="334"/>
      <c r="Q244" s="334"/>
      <c r="R244" s="334"/>
      <c r="S244" s="334"/>
      <c r="T244" s="334"/>
      <c r="U244" s="334"/>
      <c r="V244" s="334"/>
      <c r="W244" s="334"/>
      <c r="X244" s="334"/>
    </row>
    <row r="245" spans="1:24" ht="11.25" customHeight="1">
      <c r="A245" s="94" t="s">
        <v>352</v>
      </c>
      <c r="B245" s="142"/>
      <c r="C245" s="142"/>
      <c r="D245" s="142"/>
      <c r="E245" s="142"/>
      <c r="F245" s="142"/>
      <c r="G245" s="142"/>
      <c r="H245" s="142"/>
      <c r="I245" s="142"/>
      <c r="J245" s="142"/>
      <c r="K245" s="142"/>
      <c r="L245" s="142"/>
      <c r="M245" s="31"/>
      <c r="N245" s="142"/>
      <c r="O245" s="142"/>
      <c r="P245" s="142"/>
      <c r="Q245" s="142"/>
      <c r="R245" s="142"/>
      <c r="S245" s="142"/>
      <c r="T245" s="142"/>
      <c r="U245" s="142"/>
      <c r="V245" s="142"/>
      <c r="W245" s="142"/>
      <c r="X245" s="142"/>
    </row>
    <row r="246" spans="1:24" ht="11.25" customHeight="1">
      <c r="A246" s="99" t="s">
        <v>24</v>
      </c>
      <c r="B246" s="142">
        <f>AVERAGE(B106:B110)</f>
        <v>5946.6</v>
      </c>
      <c r="C246" s="142">
        <f t="shared" ref="C246:L246" si="167">AVERAGE(C106:C110)</f>
        <v>7265.6</v>
      </c>
      <c r="D246" s="142">
        <f t="shared" si="167"/>
        <v>7238</v>
      </c>
      <c r="E246" s="142">
        <f t="shared" si="167"/>
        <v>7654.4</v>
      </c>
      <c r="F246" s="142">
        <f t="shared" si="167"/>
        <v>13303.2</v>
      </c>
      <c r="G246" s="142">
        <f t="shared" si="167"/>
        <v>18990.2</v>
      </c>
      <c r="H246" s="142">
        <f t="shared" si="167"/>
        <v>16587</v>
      </c>
      <c r="I246" s="142">
        <f t="shared" si="167"/>
        <v>8529.7999999999993</v>
      </c>
      <c r="J246" s="142">
        <f t="shared" si="167"/>
        <v>5546.2</v>
      </c>
      <c r="K246" s="142">
        <f t="shared" si="167"/>
        <v>1410.2</v>
      </c>
      <c r="L246" s="142">
        <f t="shared" si="167"/>
        <v>92471.2</v>
      </c>
      <c r="M246" s="31"/>
      <c r="N246" s="142">
        <f t="shared" ref="N246:X246" si="168">AVERAGE(N106:N110)</f>
        <v>0</v>
      </c>
      <c r="O246" s="142">
        <f t="shared" si="168"/>
        <v>0.6</v>
      </c>
      <c r="P246" s="142">
        <f t="shared" si="168"/>
        <v>21.2</v>
      </c>
      <c r="Q246" s="142">
        <f t="shared" si="168"/>
        <v>148.6</v>
      </c>
      <c r="R246" s="142">
        <f t="shared" si="168"/>
        <v>680</v>
      </c>
      <c r="S246" s="142">
        <f t="shared" si="168"/>
        <v>902.6</v>
      </c>
      <c r="T246" s="142">
        <f t="shared" si="168"/>
        <v>302.60000000000002</v>
      </c>
      <c r="U246" s="142">
        <f t="shared" si="168"/>
        <v>39.6</v>
      </c>
      <c r="V246" s="142">
        <f t="shared" si="168"/>
        <v>29.4</v>
      </c>
      <c r="W246" s="142">
        <f t="shared" si="168"/>
        <v>0</v>
      </c>
      <c r="X246" s="142">
        <f t="shared" si="168"/>
        <v>2124.6</v>
      </c>
    </row>
    <row r="247" spans="1:24" ht="11.25" customHeight="1">
      <c r="A247" s="99" t="s">
        <v>78</v>
      </c>
      <c r="B247" s="142">
        <f>AVERAGE(B111:B115)</f>
        <v>5630.2</v>
      </c>
      <c r="C247" s="142">
        <f t="shared" ref="C247:L247" si="169">AVERAGE(C111:C115)</f>
        <v>15288.4</v>
      </c>
      <c r="D247" s="142">
        <f t="shared" si="169"/>
        <v>26364.6</v>
      </c>
      <c r="E247" s="142">
        <f t="shared" si="169"/>
        <v>10037.200000000001</v>
      </c>
      <c r="F247" s="142">
        <f t="shared" si="169"/>
        <v>18924.599999999999</v>
      </c>
      <c r="G247" s="142">
        <f t="shared" si="169"/>
        <v>28491.4</v>
      </c>
      <c r="H247" s="142">
        <f t="shared" si="169"/>
        <v>17858.2</v>
      </c>
      <c r="I247" s="142">
        <f t="shared" si="169"/>
        <v>7834.4</v>
      </c>
      <c r="J247" s="142">
        <f t="shared" si="169"/>
        <v>4239.6000000000004</v>
      </c>
      <c r="K247" s="142">
        <f t="shared" si="169"/>
        <v>1318.8</v>
      </c>
      <c r="L247" s="142">
        <f t="shared" si="169"/>
        <v>135987.4</v>
      </c>
      <c r="M247" s="31"/>
      <c r="N247" s="142">
        <f t="shared" ref="N247:X247" si="170">AVERAGE(N111:N115)</f>
        <v>0</v>
      </c>
      <c r="O247" s="142">
        <f t="shared" si="170"/>
        <v>0.6</v>
      </c>
      <c r="P247" s="142">
        <f t="shared" si="170"/>
        <v>56</v>
      </c>
      <c r="Q247" s="142">
        <f t="shared" si="170"/>
        <v>212</v>
      </c>
      <c r="R247" s="142">
        <f t="shared" si="170"/>
        <v>1300</v>
      </c>
      <c r="S247" s="142">
        <f t="shared" si="170"/>
        <v>2384.1999999999998</v>
      </c>
      <c r="T247" s="142">
        <f t="shared" si="170"/>
        <v>771.8</v>
      </c>
      <c r="U247" s="142">
        <f t="shared" si="170"/>
        <v>153.19999999999999</v>
      </c>
      <c r="V247" s="142">
        <f t="shared" si="170"/>
        <v>12.2</v>
      </c>
      <c r="W247" s="142">
        <f t="shared" si="170"/>
        <v>0</v>
      </c>
      <c r="X247" s="142">
        <f t="shared" si="170"/>
        <v>4890</v>
      </c>
    </row>
    <row r="248" spans="1:24" ht="11.25" customHeight="1">
      <c r="A248" s="99" t="s">
        <v>10</v>
      </c>
      <c r="B248" s="142">
        <f>AVERAGE(B116:B120)</f>
        <v>484.4</v>
      </c>
      <c r="C248" s="142">
        <f t="shared" ref="C248:X248" si="171">AVERAGE(C116:C120)</f>
        <v>11135.6</v>
      </c>
      <c r="D248" s="142">
        <f t="shared" si="171"/>
        <v>21563.8</v>
      </c>
      <c r="E248" s="142">
        <f t="shared" si="171"/>
        <v>15560.6</v>
      </c>
      <c r="F248" s="142">
        <f t="shared" si="171"/>
        <v>27663.200000000001</v>
      </c>
      <c r="G248" s="142">
        <f t="shared" si="171"/>
        <v>53815.4</v>
      </c>
      <c r="H248" s="142">
        <f t="shared" si="171"/>
        <v>17807.400000000001</v>
      </c>
      <c r="I248" s="142">
        <f t="shared" si="171"/>
        <v>8925.2000000000007</v>
      </c>
      <c r="J248" s="142">
        <f t="shared" si="171"/>
        <v>4450.6000000000004</v>
      </c>
      <c r="K248" s="142">
        <f t="shared" si="171"/>
        <v>159</v>
      </c>
      <c r="L248" s="142">
        <f t="shared" si="171"/>
        <v>161501.6</v>
      </c>
      <c r="M248" s="31"/>
      <c r="N248" s="142">
        <f t="shared" si="171"/>
        <v>0.2</v>
      </c>
      <c r="O248" s="142">
        <f t="shared" si="171"/>
        <v>9.4</v>
      </c>
      <c r="P248" s="142">
        <f t="shared" si="171"/>
        <v>23</v>
      </c>
      <c r="Q248" s="142">
        <f t="shared" si="171"/>
        <v>259.8</v>
      </c>
      <c r="R248" s="142">
        <f t="shared" si="171"/>
        <v>3127.8</v>
      </c>
      <c r="S248" s="142">
        <f t="shared" si="171"/>
        <v>5838.8</v>
      </c>
      <c r="T248" s="142">
        <f t="shared" si="171"/>
        <v>733.2</v>
      </c>
      <c r="U248" s="142">
        <f t="shared" si="171"/>
        <v>142.19999999999999</v>
      </c>
      <c r="V248" s="142">
        <f t="shared" si="171"/>
        <v>24.8</v>
      </c>
      <c r="W248" s="48" t="s">
        <v>106</v>
      </c>
      <c r="X248" s="142">
        <f t="shared" si="171"/>
        <v>10159.200000000001</v>
      </c>
    </row>
    <row r="249" spans="1:24" ht="11.25" customHeight="1">
      <c r="A249" s="99" t="s">
        <v>144</v>
      </c>
      <c r="B249" s="142">
        <f>AVERAGE(B121:B125)</f>
        <v>5.5</v>
      </c>
      <c r="C249" s="142">
        <f t="shared" ref="C249:X249" si="172">AVERAGE(C121:C125)</f>
        <v>14184</v>
      </c>
      <c r="D249" s="142">
        <f t="shared" si="172"/>
        <v>23733.8</v>
      </c>
      <c r="E249" s="142">
        <f t="shared" si="172"/>
        <v>17596.2</v>
      </c>
      <c r="F249" s="142">
        <f t="shared" si="172"/>
        <v>29070.2</v>
      </c>
      <c r="G249" s="142">
        <f t="shared" si="172"/>
        <v>40667.199999999997</v>
      </c>
      <c r="H249" s="142">
        <f t="shared" si="172"/>
        <v>17615.400000000001</v>
      </c>
      <c r="I249" s="142">
        <f t="shared" si="172"/>
        <v>5878.4</v>
      </c>
      <c r="J249" s="142">
        <f t="shared" si="172"/>
        <v>2977</v>
      </c>
      <c r="K249" s="142">
        <f t="shared" si="172"/>
        <v>981.5</v>
      </c>
      <c r="L249" s="142">
        <f t="shared" si="172"/>
        <v>149280.20000000001</v>
      </c>
      <c r="M249" s="31"/>
      <c r="N249" s="142" t="s">
        <v>23</v>
      </c>
      <c r="O249" s="142" t="s">
        <v>23</v>
      </c>
      <c r="P249" s="142">
        <f t="shared" si="172"/>
        <v>3</v>
      </c>
      <c r="Q249" s="142">
        <f t="shared" si="172"/>
        <v>10.666666666666666</v>
      </c>
      <c r="R249" s="142">
        <f t="shared" si="172"/>
        <v>112</v>
      </c>
      <c r="S249" s="142">
        <f t="shared" si="172"/>
        <v>91.2</v>
      </c>
      <c r="T249" s="142">
        <f t="shared" si="172"/>
        <v>59.2</v>
      </c>
      <c r="U249" s="142">
        <f t="shared" si="172"/>
        <v>15.5</v>
      </c>
      <c r="V249" s="142">
        <f t="shared" si="172"/>
        <v>6</v>
      </c>
      <c r="W249" s="142" t="s">
        <v>23</v>
      </c>
      <c r="X249" s="142">
        <f t="shared" si="172"/>
        <v>283</v>
      </c>
    </row>
    <row r="250" spans="1:24" ht="11.25" customHeight="1">
      <c r="A250" s="99" t="s">
        <v>166</v>
      </c>
      <c r="B250" s="142">
        <f>AVERAGE(B126:B130)</f>
        <v>196</v>
      </c>
      <c r="C250" s="142">
        <f>AVERAGE(C126:C130)</f>
        <v>1766.8</v>
      </c>
      <c r="D250" s="142">
        <f>AVERAGE(D126:D130)</f>
        <v>22222.400000000001</v>
      </c>
      <c r="E250" s="142">
        <f t="shared" ref="E250:L250" si="173">AVERAGE(E126:E130)</f>
        <v>17030.599999999999</v>
      </c>
      <c r="F250" s="142">
        <f t="shared" si="173"/>
        <v>24567.4</v>
      </c>
      <c r="G250" s="142">
        <f t="shared" si="173"/>
        <v>41719.199999999997</v>
      </c>
      <c r="H250" s="142">
        <f t="shared" si="173"/>
        <v>15499.8</v>
      </c>
      <c r="I250" s="142">
        <f t="shared" si="173"/>
        <v>6749</v>
      </c>
      <c r="J250" s="142">
        <f t="shared" si="173"/>
        <v>2248</v>
      </c>
      <c r="K250" s="142">
        <f t="shared" si="173"/>
        <v>395.4</v>
      </c>
      <c r="L250" s="142">
        <f t="shared" si="173"/>
        <v>132355.4</v>
      </c>
      <c r="M250" s="31"/>
      <c r="N250" s="142" t="str">
        <f>N126</f>
        <v>-</v>
      </c>
      <c r="O250" s="142" t="str">
        <f>O126</f>
        <v>-</v>
      </c>
      <c r="P250" s="142">
        <f t="shared" ref="P250:U250" si="174">AVERAGE(P126:P130)</f>
        <v>3</v>
      </c>
      <c r="Q250" s="142">
        <f t="shared" si="174"/>
        <v>117.6</v>
      </c>
      <c r="R250" s="142">
        <f t="shared" si="174"/>
        <v>178.6</v>
      </c>
      <c r="S250" s="142">
        <f t="shared" si="174"/>
        <v>340.4</v>
      </c>
      <c r="T250" s="142">
        <f t="shared" si="174"/>
        <v>66.400000000000006</v>
      </c>
      <c r="U250" s="142">
        <f t="shared" si="174"/>
        <v>21.5</v>
      </c>
      <c r="V250" s="142" t="str">
        <f>V126</f>
        <v>-</v>
      </c>
      <c r="W250" s="142" t="str">
        <f>W126</f>
        <v>-</v>
      </c>
      <c r="X250" s="142">
        <f>AVERAGE(X126:X130)</f>
        <v>712.8</v>
      </c>
    </row>
    <row r="251" spans="1:24" ht="11.25" customHeight="1">
      <c r="A251" s="99" t="s">
        <v>315</v>
      </c>
      <c r="B251" s="142">
        <f>AVERAGE(B131:B135)</f>
        <v>34.333333333333336</v>
      </c>
      <c r="C251" s="142">
        <f t="shared" ref="C251:L251" si="175">AVERAGE(C131:C135)</f>
        <v>105</v>
      </c>
      <c r="D251" s="142">
        <f t="shared" si="175"/>
        <v>5941.666666666667</v>
      </c>
      <c r="E251" s="142">
        <f t="shared" si="175"/>
        <v>7682</v>
      </c>
      <c r="F251" s="142">
        <f t="shared" si="175"/>
        <v>11114</v>
      </c>
      <c r="G251" s="142">
        <f t="shared" si="175"/>
        <v>12435</v>
      </c>
      <c r="H251" s="142">
        <f t="shared" si="175"/>
        <v>2666.6666666666665</v>
      </c>
      <c r="I251" s="142">
        <f t="shared" si="175"/>
        <v>589</v>
      </c>
      <c r="J251" s="142">
        <f t="shared" si="175"/>
        <v>348.5</v>
      </c>
      <c r="K251" s="142">
        <f t="shared" si="175"/>
        <v>196</v>
      </c>
      <c r="L251" s="142">
        <f t="shared" si="175"/>
        <v>30698</v>
      </c>
      <c r="M251" s="31"/>
      <c r="N251" s="142" t="str">
        <f>N131</f>
        <v>-</v>
      </c>
      <c r="O251" s="142" t="str">
        <f>O131</f>
        <v>-</v>
      </c>
      <c r="P251" s="142">
        <f t="shared" ref="P251:U251" si="176">AVERAGE(P131:P135)</f>
        <v>8</v>
      </c>
      <c r="Q251" s="142">
        <f t="shared" si="176"/>
        <v>56</v>
      </c>
      <c r="R251" s="142">
        <f t="shared" si="176"/>
        <v>270.66666666666669</v>
      </c>
      <c r="S251" s="142">
        <f t="shared" si="176"/>
        <v>250.66666666666666</v>
      </c>
      <c r="T251" s="142">
        <f t="shared" si="176"/>
        <v>31</v>
      </c>
      <c r="U251" s="142">
        <f t="shared" si="176"/>
        <v>11</v>
      </c>
      <c r="V251" s="142" t="str">
        <f t="shared" ref="V251:W251" si="177">V131</f>
        <v>-</v>
      </c>
      <c r="W251" s="142" t="str">
        <f t="shared" si="177"/>
        <v>-</v>
      </c>
      <c r="X251" s="142">
        <f t="shared" ref="X251" si="178">AVERAGE(X131:X135)</f>
        <v>618.33333333333337</v>
      </c>
    </row>
    <row r="252" spans="1:24" ht="11.25" customHeight="1">
      <c r="A252" s="99">
        <v>2011</v>
      </c>
      <c r="B252" s="142" t="str">
        <f t="shared" ref="B252:L252" si="179">B136</f>
        <v>-</v>
      </c>
      <c r="C252" s="142" t="str">
        <f t="shared" si="179"/>
        <v>-</v>
      </c>
      <c r="D252" s="142">
        <f t="shared" si="179"/>
        <v>5522</v>
      </c>
      <c r="E252" s="142">
        <f t="shared" si="179"/>
        <v>1919</v>
      </c>
      <c r="F252" s="142">
        <f t="shared" si="179"/>
        <v>2434</v>
      </c>
      <c r="G252" s="142">
        <f t="shared" si="179"/>
        <v>12498</v>
      </c>
      <c r="H252" s="142">
        <f t="shared" si="179"/>
        <v>9410</v>
      </c>
      <c r="I252" s="142">
        <f t="shared" si="179"/>
        <v>6794</v>
      </c>
      <c r="J252" s="142">
        <f t="shared" si="179"/>
        <v>1258</v>
      </c>
      <c r="K252" s="142" t="str">
        <f t="shared" si="179"/>
        <v>-</v>
      </c>
      <c r="L252" s="142">
        <f t="shared" si="179"/>
        <v>39835</v>
      </c>
      <c r="M252" s="31"/>
      <c r="N252" s="142" t="str">
        <f t="shared" ref="N252:X252" si="180">N136</f>
        <v>-</v>
      </c>
      <c r="O252" s="142" t="str">
        <f t="shared" si="180"/>
        <v>-</v>
      </c>
      <c r="P252" s="142">
        <f t="shared" si="180"/>
        <v>8</v>
      </c>
      <c r="Q252" s="142">
        <f t="shared" si="180"/>
        <v>10</v>
      </c>
      <c r="R252" s="142">
        <f t="shared" si="180"/>
        <v>62</v>
      </c>
      <c r="S252" s="142">
        <f t="shared" si="180"/>
        <v>116</v>
      </c>
      <c r="T252" s="142">
        <f t="shared" si="180"/>
        <v>17</v>
      </c>
      <c r="U252" s="142" t="str">
        <f t="shared" si="180"/>
        <v>-</v>
      </c>
      <c r="V252" s="142">
        <f t="shared" si="180"/>
        <v>5</v>
      </c>
      <c r="W252" s="142" t="str">
        <f t="shared" si="180"/>
        <v>-</v>
      </c>
      <c r="X252" s="142">
        <f t="shared" si="180"/>
        <v>218</v>
      </c>
    </row>
    <row r="253" spans="1:24" ht="11.25" customHeight="1">
      <c r="A253" s="99">
        <v>2012</v>
      </c>
      <c r="B253" s="142" t="str">
        <f t="shared" ref="B253:L253" si="181">B137</f>
        <v>-</v>
      </c>
      <c r="C253" s="142" t="str">
        <f t="shared" si="181"/>
        <v>-</v>
      </c>
      <c r="D253" s="142">
        <f t="shared" si="181"/>
        <v>18786</v>
      </c>
      <c r="E253" s="142">
        <f t="shared" si="181"/>
        <v>11146</v>
      </c>
      <c r="F253" s="142">
        <f t="shared" si="181"/>
        <v>17027</v>
      </c>
      <c r="G253" s="142">
        <f t="shared" si="181"/>
        <v>23897</v>
      </c>
      <c r="H253" s="142">
        <f t="shared" si="181"/>
        <v>6987</v>
      </c>
      <c r="I253" s="142">
        <f t="shared" si="181"/>
        <v>4385</v>
      </c>
      <c r="J253" s="142">
        <f t="shared" si="181"/>
        <v>2094</v>
      </c>
      <c r="K253" s="142">
        <f t="shared" si="181"/>
        <v>160</v>
      </c>
      <c r="L253" s="142">
        <f t="shared" si="181"/>
        <v>84482</v>
      </c>
      <c r="M253" s="31"/>
      <c r="N253" s="142" t="str">
        <f t="shared" ref="N253:X253" si="182">N137</f>
        <v>-</v>
      </c>
      <c r="O253" s="142" t="str">
        <f t="shared" si="182"/>
        <v>-</v>
      </c>
      <c r="P253" s="142" t="str">
        <f t="shared" si="182"/>
        <v>-</v>
      </c>
      <c r="Q253" s="142">
        <f t="shared" si="182"/>
        <v>3</v>
      </c>
      <c r="R253" s="142">
        <f t="shared" si="182"/>
        <v>14</v>
      </c>
      <c r="S253" s="142">
        <f t="shared" si="182"/>
        <v>14</v>
      </c>
      <c r="T253" s="142" t="str">
        <f t="shared" si="182"/>
        <v>-</v>
      </c>
      <c r="U253" s="142">
        <f t="shared" si="182"/>
        <v>3</v>
      </c>
      <c r="V253" s="142" t="str">
        <f t="shared" si="182"/>
        <v>-</v>
      </c>
      <c r="W253" s="142" t="str">
        <f t="shared" si="182"/>
        <v>-</v>
      </c>
      <c r="X253" s="142">
        <f t="shared" si="182"/>
        <v>34</v>
      </c>
    </row>
    <row r="254" spans="1:24" ht="11.25" customHeight="1">
      <c r="A254" s="99">
        <v>2013</v>
      </c>
      <c r="B254" s="142" t="str">
        <f t="shared" ref="B254:L254" si="183">B138</f>
        <v>-</v>
      </c>
      <c r="C254" s="142" t="str">
        <f t="shared" si="183"/>
        <v>-</v>
      </c>
      <c r="D254" s="142">
        <f t="shared" si="183"/>
        <v>13656</v>
      </c>
      <c r="E254" s="142">
        <f t="shared" si="183"/>
        <v>11337</v>
      </c>
      <c r="F254" s="142">
        <f t="shared" si="183"/>
        <v>15729</v>
      </c>
      <c r="G254" s="142">
        <f t="shared" si="183"/>
        <v>29204</v>
      </c>
      <c r="H254" s="142">
        <f t="shared" si="183"/>
        <v>8554</v>
      </c>
      <c r="I254" s="142">
        <f t="shared" si="183"/>
        <v>2167</v>
      </c>
      <c r="J254" s="142">
        <f t="shared" si="183"/>
        <v>1359</v>
      </c>
      <c r="K254" s="142">
        <f t="shared" si="183"/>
        <v>87</v>
      </c>
      <c r="L254" s="142">
        <f t="shared" si="183"/>
        <v>82093</v>
      </c>
      <c r="M254" s="31"/>
      <c r="N254" s="142" t="str">
        <f t="shared" ref="N254:X254" si="184">N138</f>
        <v>-</v>
      </c>
      <c r="O254" s="142" t="str">
        <f t="shared" si="184"/>
        <v>-</v>
      </c>
      <c r="P254" s="142" t="str">
        <f t="shared" si="184"/>
        <v>-</v>
      </c>
      <c r="Q254" s="142" t="str">
        <f t="shared" si="184"/>
        <v>-</v>
      </c>
      <c r="R254" s="142">
        <f t="shared" si="184"/>
        <v>34</v>
      </c>
      <c r="S254" s="142">
        <f t="shared" si="184"/>
        <v>86</v>
      </c>
      <c r="T254" s="142">
        <f t="shared" si="184"/>
        <v>4</v>
      </c>
      <c r="U254" s="142" t="str">
        <f t="shared" si="184"/>
        <v>-</v>
      </c>
      <c r="V254" s="142" t="str">
        <f t="shared" si="184"/>
        <v>-</v>
      </c>
      <c r="W254" s="142" t="str">
        <f t="shared" si="184"/>
        <v>-</v>
      </c>
      <c r="X254" s="142">
        <f t="shared" si="184"/>
        <v>124</v>
      </c>
    </row>
    <row r="255" spans="1:24" ht="11.25" customHeight="1">
      <c r="A255" s="99">
        <v>2014</v>
      </c>
      <c r="B255" s="142" t="str">
        <f t="shared" ref="B255:L255" si="185">B139</f>
        <v>-</v>
      </c>
      <c r="C255" s="142" t="str">
        <f t="shared" si="185"/>
        <v>-</v>
      </c>
      <c r="D255" s="142">
        <f t="shared" si="185"/>
        <v>13924</v>
      </c>
      <c r="E255" s="142">
        <f t="shared" si="185"/>
        <v>3912</v>
      </c>
      <c r="F255" s="142">
        <f t="shared" si="185"/>
        <v>2699</v>
      </c>
      <c r="G255" s="142">
        <f t="shared" si="185"/>
        <v>15235</v>
      </c>
      <c r="H255" s="142">
        <f t="shared" si="185"/>
        <v>13642</v>
      </c>
      <c r="I255" s="142">
        <f t="shared" si="185"/>
        <v>6403</v>
      </c>
      <c r="J255" s="142">
        <f t="shared" si="185"/>
        <v>3073</v>
      </c>
      <c r="K255" s="142">
        <f t="shared" si="185"/>
        <v>125</v>
      </c>
      <c r="L255" s="142">
        <f t="shared" si="185"/>
        <v>59013</v>
      </c>
      <c r="M255" s="31"/>
      <c r="N255" s="142" t="str">
        <f t="shared" ref="N255:X255" si="186">N139</f>
        <v>-</v>
      </c>
      <c r="O255" s="142" t="str">
        <f t="shared" si="186"/>
        <v>-</v>
      </c>
      <c r="P255" s="142" t="str">
        <f t="shared" si="186"/>
        <v>-</v>
      </c>
      <c r="Q255" s="142">
        <f t="shared" si="186"/>
        <v>4</v>
      </c>
      <c r="R255" s="142">
        <f t="shared" si="186"/>
        <v>30</v>
      </c>
      <c r="S255" s="142">
        <f t="shared" si="186"/>
        <v>163</v>
      </c>
      <c r="T255" s="142" t="str">
        <f t="shared" si="186"/>
        <v>-</v>
      </c>
      <c r="U255" s="142" t="str">
        <f t="shared" si="186"/>
        <v>-</v>
      </c>
      <c r="V255" s="142" t="str">
        <f t="shared" si="186"/>
        <v>-</v>
      </c>
      <c r="W255" s="142" t="str">
        <f t="shared" si="186"/>
        <v>-</v>
      </c>
      <c r="X255" s="142">
        <f t="shared" si="186"/>
        <v>197</v>
      </c>
    </row>
    <row r="256" spans="1:24" ht="11.25" customHeight="1">
      <c r="A256" s="99">
        <v>2015</v>
      </c>
      <c r="B256" s="142" t="str">
        <f t="shared" ref="B256:L256" si="187">B140</f>
        <v>-</v>
      </c>
      <c r="C256" s="142" t="str">
        <f t="shared" si="187"/>
        <v>-</v>
      </c>
      <c r="D256" s="142">
        <f t="shared" si="187"/>
        <v>3024</v>
      </c>
      <c r="E256" s="142">
        <f t="shared" si="187"/>
        <v>1893</v>
      </c>
      <c r="F256" s="142">
        <f t="shared" si="187"/>
        <v>3154</v>
      </c>
      <c r="G256" s="142">
        <f t="shared" si="187"/>
        <v>8510</v>
      </c>
      <c r="H256" s="142">
        <f t="shared" si="187"/>
        <v>7435</v>
      </c>
      <c r="I256" s="142">
        <f t="shared" si="187"/>
        <v>8197</v>
      </c>
      <c r="J256" s="142">
        <f t="shared" si="187"/>
        <v>1577</v>
      </c>
      <c r="K256" s="142">
        <f t="shared" si="187"/>
        <v>0</v>
      </c>
      <c r="L256" s="142">
        <f t="shared" si="187"/>
        <v>33790</v>
      </c>
      <c r="M256" s="31"/>
      <c r="N256" s="142" t="str">
        <f t="shared" ref="N256:X256" si="188">N140</f>
        <v>-</v>
      </c>
      <c r="O256" s="142" t="str">
        <f t="shared" si="188"/>
        <v>-</v>
      </c>
      <c r="P256" s="142" t="str">
        <f t="shared" si="188"/>
        <v>-</v>
      </c>
      <c r="Q256" s="142">
        <f t="shared" si="188"/>
        <v>5</v>
      </c>
      <c r="R256" s="142">
        <f t="shared" si="188"/>
        <v>4</v>
      </c>
      <c r="S256" s="142">
        <f t="shared" si="188"/>
        <v>15</v>
      </c>
      <c r="T256" s="142">
        <f t="shared" si="188"/>
        <v>5</v>
      </c>
      <c r="U256" s="142" t="str">
        <f t="shared" si="188"/>
        <v>-</v>
      </c>
      <c r="V256" s="142" t="str">
        <f t="shared" si="188"/>
        <v>-</v>
      </c>
      <c r="W256" s="142" t="str">
        <f t="shared" si="188"/>
        <v>-</v>
      </c>
      <c r="X256" s="142">
        <f t="shared" si="188"/>
        <v>29</v>
      </c>
    </row>
    <row r="257" spans="1:24" ht="11.25" customHeight="1">
      <c r="A257" s="99">
        <v>2016</v>
      </c>
      <c r="B257" s="142" t="str">
        <f t="shared" ref="B257:L257" si="189">B141</f>
        <v>-</v>
      </c>
      <c r="C257" s="142" t="str">
        <f t="shared" si="189"/>
        <v>-</v>
      </c>
      <c r="D257" s="142">
        <f t="shared" si="189"/>
        <v>2030</v>
      </c>
      <c r="E257" s="142">
        <f t="shared" si="189"/>
        <v>4239</v>
      </c>
      <c r="F257" s="142">
        <f t="shared" si="189"/>
        <v>1522</v>
      </c>
      <c r="G257" s="142">
        <f t="shared" si="189"/>
        <v>11549</v>
      </c>
      <c r="H257" s="142">
        <f t="shared" si="189"/>
        <v>7101</v>
      </c>
      <c r="I257" s="142">
        <f t="shared" si="189"/>
        <v>5933</v>
      </c>
      <c r="J257" s="142">
        <f t="shared" si="189"/>
        <v>638</v>
      </c>
      <c r="K257" s="142">
        <f t="shared" si="189"/>
        <v>0</v>
      </c>
      <c r="L257" s="142">
        <f t="shared" si="189"/>
        <v>33012</v>
      </c>
      <c r="M257" s="31"/>
      <c r="N257" s="142" t="str">
        <f t="shared" ref="N257:X257" si="190">N141</f>
        <v>-</v>
      </c>
      <c r="O257" s="142" t="str">
        <f t="shared" si="190"/>
        <v>-</v>
      </c>
      <c r="P257" s="142" t="str">
        <f t="shared" si="190"/>
        <v>-</v>
      </c>
      <c r="Q257" s="142" t="str">
        <f t="shared" si="190"/>
        <v>-</v>
      </c>
      <c r="R257" s="142" t="str">
        <f t="shared" si="190"/>
        <v>-</v>
      </c>
      <c r="S257" s="142">
        <f t="shared" si="190"/>
        <v>35</v>
      </c>
      <c r="T257" s="142">
        <f t="shared" si="190"/>
        <v>8</v>
      </c>
      <c r="U257" s="142" t="str">
        <f t="shared" si="190"/>
        <v>-</v>
      </c>
      <c r="V257" s="142" t="str">
        <f t="shared" si="190"/>
        <v>-</v>
      </c>
      <c r="W257" s="142" t="str">
        <f t="shared" si="190"/>
        <v>-</v>
      </c>
      <c r="X257" s="142">
        <f t="shared" si="190"/>
        <v>43</v>
      </c>
    </row>
    <row r="258" spans="1:24" ht="11.25" customHeight="1">
      <c r="A258" s="99">
        <v>2017</v>
      </c>
      <c r="B258" s="142" t="str">
        <f t="shared" ref="B258:L258" si="191">B142</f>
        <v>-</v>
      </c>
      <c r="C258" s="142" t="str">
        <f t="shared" si="191"/>
        <v>-</v>
      </c>
      <c r="D258" s="142">
        <f t="shared" si="191"/>
        <v>4298</v>
      </c>
      <c r="E258" s="142">
        <f t="shared" si="191"/>
        <v>2305</v>
      </c>
      <c r="F258" s="142">
        <f t="shared" si="191"/>
        <v>5433</v>
      </c>
      <c r="G258" s="142">
        <f t="shared" si="191"/>
        <v>26241</v>
      </c>
      <c r="H258" s="142">
        <f t="shared" si="191"/>
        <v>18809</v>
      </c>
      <c r="I258" s="142">
        <f t="shared" si="191"/>
        <v>4260</v>
      </c>
      <c r="J258" s="142">
        <f t="shared" si="191"/>
        <v>851</v>
      </c>
      <c r="K258" s="142">
        <f t="shared" si="191"/>
        <v>0</v>
      </c>
      <c r="L258" s="142">
        <f t="shared" si="191"/>
        <v>62197</v>
      </c>
      <c r="M258" s="31"/>
      <c r="N258" s="142" t="str">
        <f t="shared" ref="N258:X258" si="192">N142</f>
        <v>-</v>
      </c>
      <c r="O258" s="142" t="str">
        <f t="shared" si="192"/>
        <v>-</v>
      </c>
      <c r="P258" s="142" t="str">
        <f t="shared" si="192"/>
        <v>-</v>
      </c>
      <c r="Q258" s="142">
        <f t="shared" si="192"/>
        <v>3</v>
      </c>
      <c r="R258" s="142" t="str">
        <f t="shared" si="192"/>
        <v>-</v>
      </c>
      <c r="S258" s="142">
        <f t="shared" si="192"/>
        <v>418</v>
      </c>
      <c r="T258" s="142">
        <f t="shared" si="192"/>
        <v>44</v>
      </c>
      <c r="U258" s="142" t="str">
        <f t="shared" si="192"/>
        <v>-</v>
      </c>
      <c r="V258" s="142" t="str">
        <f t="shared" si="192"/>
        <v>-</v>
      </c>
      <c r="W258" s="142" t="str">
        <f t="shared" si="192"/>
        <v>-</v>
      </c>
      <c r="X258" s="142">
        <f t="shared" si="192"/>
        <v>465</v>
      </c>
    </row>
    <row r="259" spans="1:24" ht="11.25" customHeight="1">
      <c r="A259" s="99">
        <v>2018</v>
      </c>
      <c r="B259" s="142" t="str">
        <f t="shared" ref="B259:L259" si="193">B143</f>
        <v>-</v>
      </c>
      <c r="C259" s="142" t="str">
        <f t="shared" si="193"/>
        <v>-</v>
      </c>
      <c r="D259" s="142">
        <f t="shared" si="193"/>
        <v>3935</v>
      </c>
      <c r="E259" s="142">
        <f t="shared" si="193"/>
        <v>476</v>
      </c>
      <c r="F259" s="142">
        <f t="shared" si="193"/>
        <v>13058</v>
      </c>
      <c r="G259" s="142">
        <f t="shared" si="193"/>
        <v>41588</v>
      </c>
      <c r="H259" s="142">
        <f t="shared" si="193"/>
        <v>13563</v>
      </c>
      <c r="I259" s="142">
        <f t="shared" si="193"/>
        <v>6784</v>
      </c>
      <c r="J259" s="142">
        <f t="shared" si="193"/>
        <v>4172</v>
      </c>
      <c r="K259" s="142" t="str">
        <f t="shared" si="193"/>
        <v>-</v>
      </c>
      <c r="L259" s="142">
        <f t="shared" si="193"/>
        <v>83576</v>
      </c>
      <c r="M259" s="31"/>
      <c r="N259" s="142" t="str">
        <f t="shared" ref="N259:X259" si="194">N143</f>
        <v>-</v>
      </c>
      <c r="O259" s="142" t="str">
        <f t="shared" si="194"/>
        <v>-</v>
      </c>
      <c r="P259" s="142" t="str">
        <f t="shared" si="194"/>
        <v>-</v>
      </c>
      <c r="Q259" s="142" t="str">
        <f t="shared" si="194"/>
        <v>-</v>
      </c>
      <c r="R259" s="142">
        <f t="shared" si="194"/>
        <v>5</v>
      </c>
      <c r="S259" s="142">
        <f t="shared" si="194"/>
        <v>76</v>
      </c>
      <c r="T259" s="142">
        <f t="shared" si="194"/>
        <v>4</v>
      </c>
      <c r="U259" s="142">
        <f t="shared" si="194"/>
        <v>8</v>
      </c>
      <c r="V259" s="142" t="str">
        <f t="shared" si="194"/>
        <v>-</v>
      </c>
      <c r="W259" s="142" t="str">
        <f t="shared" si="194"/>
        <v>-</v>
      </c>
      <c r="X259" s="142">
        <f t="shared" si="194"/>
        <v>93</v>
      </c>
    </row>
    <row r="260" spans="1:24" ht="11.25" customHeight="1">
      <c r="A260" s="99">
        <v>2019</v>
      </c>
      <c r="B260" s="142" t="str">
        <f t="shared" ref="B260:L260" si="195">B144</f>
        <v>-</v>
      </c>
      <c r="C260" s="142" t="str">
        <f t="shared" si="195"/>
        <v>-</v>
      </c>
      <c r="D260" s="142">
        <f t="shared" si="195"/>
        <v>16780</v>
      </c>
      <c r="E260" s="142">
        <f t="shared" si="195"/>
        <v>3163</v>
      </c>
      <c r="F260" s="142">
        <f t="shared" si="195"/>
        <v>18565</v>
      </c>
      <c r="G260" s="142">
        <f t="shared" si="195"/>
        <v>20891</v>
      </c>
      <c r="H260" s="142">
        <f t="shared" si="195"/>
        <v>19965</v>
      </c>
      <c r="I260" s="142">
        <f t="shared" si="195"/>
        <v>3671</v>
      </c>
      <c r="J260" s="142">
        <f t="shared" si="195"/>
        <v>468</v>
      </c>
      <c r="K260" s="142" t="str">
        <f t="shared" si="195"/>
        <v>-</v>
      </c>
      <c r="L260" s="142">
        <f t="shared" si="195"/>
        <v>83503</v>
      </c>
      <c r="M260" s="31"/>
      <c r="N260" s="142" t="str">
        <f t="shared" ref="N260:X260" si="196">N144</f>
        <v>-</v>
      </c>
      <c r="O260" s="142" t="str">
        <f t="shared" si="196"/>
        <v>-</v>
      </c>
      <c r="P260" s="142" t="str">
        <f t="shared" si="196"/>
        <v>-</v>
      </c>
      <c r="Q260" s="142">
        <f t="shared" si="196"/>
        <v>2</v>
      </c>
      <c r="R260" s="142">
        <f t="shared" si="196"/>
        <v>115</v>
      </c>
      <c r="S260" s="142">
        <f t="shared" si="196"/>
        <v>52</v>
      </c>
      <c r="T260" s="142">
        <f t="shared" si="196"/>
        <v>353</v>
      </c>
      <c r="U260" s="142">
        <f t="shared" si="196"/>
        <v>14</v>
      </c>
      <c r="V260" s="142">
        <f t="shared" si="196"/>
        <v>5</v>
      </c>
      <c r="W260" s="142" t="str">
        <f t="shared" si="196"/>
        <v>-</v>
      </c>
      <c r="X260" s="142">
        <f t="shared" si="196"/>
        <v>541</v>
      </c>
    </row>
    <row r="261" spans="1:24" ht="11.25" customHeight="1">
      <c r="A261" s="99" t="s">
        <v>311</v>
      </c>
      <c r="B261" s="142" t="str">
        <f>B145</f>
        <v>-</v>
      </c>
      <c r="C261" s="142" t="str">
        <f t="shared" ref="C261:L262" si="197">C145</f>
        <v>-</v>
      </c>
      <c r="D261" s="142" t="str">
        <f t="shared" si="197"/>
        <v>-</v>
      </c>
      <c r="E261" s="142" t="str">
        <f t="shared" si="197"/>
        <v>--</v>
      </c>
      <c r="F261" s="142" t="str">
        <f t="shared" si="197"/>
        <v>--</v>
      </c>
      <c r="G261" s="142">
        <f t="shared" si="197"/>
        <v>22102</v>
      </c>
      <c r="H261" s="142">
        <f t="shared" si="197"/>
        <v>9738</v>
      </c>
      <c r="I261" s="142">
        <f t="shared" si="197"/>
        <v>4077</v>
      </c>
      <c r="J261" s="142">
        <f t="shared" si="197"/>
        <v>2364</v>
      </c>
      <c r="K261" s="142">
        <f t="shared" si="197"/>
        <v>29</v>
      </c>
      <c r="L261" s="142">
        <f t="shared" si="197"/>
        <v>38310</v>
      </c>
      <c r="M261" s="31"/>
      <c r="N261" s="142" t="str">
        <f t="shared" ref="N261:X262" si="198">N145</f>
        <v>-</v>
      </c>
      <c r="O261" s="142" t="str">
        <f t="shared" si="198"/>
        <v>-</v>
      </c>
      <c r="P261" s="142" t="str">
        <f t="shared" si="198"/>
        <v>-</v>
      </c>
      <c r="Q261" s="142" t="str">
        <f t="shared" si="198"/>
        <v>-</v>
      </c>
      <c r="R261" s="142" t="str">
        <f t="shared" si="198"/>
        <v>-</v>
      </c>
      <c r="S261" s="142">
        <f t="shared" si="198"/>
        <v>30</v>
      </c>
      <c r="T261" s="142" t="str">
        <f t="shared" si="198"/>
        <v>-</v>
      </c>
      <c r="U261" s="142">
        <f t="shared" si="198"/>
        <v>4</v>
      </c>
      <c r="V261" s="142" t="str">
        <f t="shared" si="198"/>
        <v>-</v>
      </c>
      <c r="W261" s="142" t="str">
        <f t="shared" si="198"/>
        <v>-</v>
      </c>
      <c r="X261" s="142">
        <f t="shared" si="198"/>
        <v>34</v>
      </c>
    </row>
    <row r="262" spans="1:24" ht="11.25" customHeight="1">
      <c r="A262" s="99" t="s">
        <v>317</v>
      </c>
      <c r="B262" s="142" t="str">
        <f>B146</f>
        <v>-</v>
      </c>
      <c r="C262" s="142" t="str">
        <f t="shared" si="197"/>
        <v>-</v>
      </c>
      <c r="D262" s="142">
        <f t="shared" si="197"/>
        <v>7626</v>
      </c>
      <c r="E262" s="142">
        <f t="shared" si="197"/>
        <v>4184</v>
      </c>
      <c r="F262" s="142">
        <f t="shared" si="197"/>
        <v>7213</v>
      </c>
      <c r="G262" s="142">
        <f t="shared" si="197"/>
        <v>20024</v>
      </c>
      <c r="H262" s="142">
        <f t="shared" si="197"/>
        <v>10069</v>
      </c>
      <c r="I262" s="142">
        <f t="shared" si="197"/>
        <v>4002</v>
      </c>
      <c r="J262" s="142">
        <f t="shared" si="197"/>
        <v>1522</v>
      </c>
      <c r="K262" s="142" t="str">
        <f t="shared" si="197"/>
        <v>-</v>
      </c>
      <c r="L262" s="142">
        <f t="shared" si="197"/>
        <v>54640</v>
      </c>
      <c r="M262" s="31"/>
      <c r="N262" s="142" t="str">
        <f t="shared" si="198"/>
        <v>-</v>
      </c>
      <c r="O262" s="142" t="str">
        <f t="shared" si="198"/>
        <v>-</v>
      </c>
      <c r="P262" s="142" t="str">
        <f t="shared" si="198"/>
        <v>-</v>
      </c>
      <c r="Q262" s="142">
        <f t="shared" si="198"/>
        <v>210</v>
      </c>
      <c r="R262" s="142">
        <f t="shared" si="198"/>
        <v>84</v>
      </c>
      <c r="S262" s="142">
        <f t="shared" si="198"/>
        <v>215</v>
      </c>
      <c r="T262" s="142">
        <f t="shared" si="198"/>
        <v>18</v>
      </c>
      <c r="U262" s="142" t="str">
        <f t="shared" si="198"/>
        <v>-</v>
      </c>
      <c r="V262" s="142">
        <f t="shared" si="198"/>
        <v>4</v>
      </c>
      <c r="W262" s="142" t="str">
        <f t="shared" si="198"/>
        <v>-</v>
      </c>
      <c r="X262" s="142">
        <f t="shared" si="198"/>
        <v>531</v>
      </c>
    </row>
    <row r="263" spans="1:24" ht="11.25" customHeight="1">
      <c r="A263" s="99"/>
      <c r="B263" s="142"/>
      <c r="C263" s="142"/>
      <c r="D263" s="142"/>
      <c r="E263" s="142"/>
      <c r="F263" s="142"/>
      <c r="G263" s="142"/>
      <c r="H263" s="142"/>
      <c r="I263" s="142"/>
      <c r="J263" s="142"/>
      <c r="K263" s="142"/>
      <c r="L263" s="142"/>
      <c r="M263" s="31"/>
      <c r="N263" s="142"/>
      <c r="O263" s="142"/>
      <c r="P263" s="142"/>
      <c r="Q263" s="142"/>
      <c r="R263" s="142"/>
      <c r="S263" s="142"/>
      <c r="T263" s="142"/>
      <c r="U263" s="142"/>
      <c r="V263" s="142"/>
      <c r="W263" s="142"/>
      <c r="X263" s="142"/>
    </row>
    <row r="264" spans="1:24" ht="11.25" customHeight="1">
      <c r="A264" s="103" t="s">
        <v>291</v>
      </c>
      <c r="B264" s="142"/>
      <c r="C264" s="142"/>
      <c r="D264" s="142"/>
      <c r="E264" s="142"/>
      <c r="F264" s="142"/>
      <c r="G264" s="142"/>
      <c r="H264" s="142"/>
      <c r="I264" s="142"/>
      <c r="J264" s="142"/>
      <c r="K264" s="142"/>
      <c r="L264" s="142"/>
      <c r="M264" s="31"/>
      <c r="N264" s="142"/>
      <c r="O264" s="142"/>
      <c r="P264" s="142"/>
      <c r="Q264" s="142"/>
      <c r="R264" s="142"/>
      <c r="S264" s="142"/>
      <c r="T264" s="142"/>
      <c r="U264" s="142"/>
      <c r="V264" s="142"/>
      <c r="W264" s="142"/>
      <c r="X264" s="142"/>
    </row>
    <row r="265" spans="1:24" ht="11.25" customHeight="1">
      <c r="A265" s="99" t="s">
        <v>24</v>
      </c>
      <c r="B265" s="142">
        <f>AVERAGE(B154:B158)</f>
        <v>5946.6</v>
      </c>
      <c r="C265" s="142">
        <f t="shared" ref="C265:L265" si="199">AVERAGE(C154:C158)</f>
        <v>7265.6</v>
      </c>
      <c r="D265" s="142">
        <f t="shared" si="199"/>
        <v>7239</v>
      </c>
      <c r="E265" s="142">
        <f t="shared" si="199"/>
        <v>10161.6</v>
      </c>
      <c r="F265" s="142">
        <f t="shared" si="199"/>
        <v>19038.8</v>
      </c>
      <c r="G265" s="142">
        <f t="shared" si="199"/>
        <v>42513.2</v>
      </c>
      <c r="H265" s="142">
        <f t="shared" si="199"/>
        <v>27290.400000000001</v>
      </c>
      <c r="I265" s="142">
        <f t="shared" si="199"/>
        <v>9875</v>
      </c>
      <c r="J265" s="142">
        <f t="shared" si="199"/>
        <v>6069.6</v>
      </c>
      <c r="K265" s="142">
        <f t="shared" si="199"/>
        <v>1418.8</v>
      </c>
      <c r="L265" s="142">
        <f t="shared" si="199"/>
        <v>136818.6</v>
      </c>
      <c r="M265" s="31"/>
      <c r="N265" s="142">
        <f t="shared" ref="N265:X265" si="200">AVERAGE(N154:N158)</f>
        <v>0</v>
      </c>
      <c r="O265" s="142">
        <f t="shared" si="200"/>
        <v>0.6</v>
      </c>
      <c r="P265" s="142">
        <f t="shared" si="200"/>
        <v>21.2</v>
      </c>
      <c r="Q265" s="142">
        <f t="shared" si="200"/>
        <v>1918.8</v>
      </c>
      <c r="R265" s="142">
        <f t="shared" si="200"/>
        <v>17153.400000000001</v>
      </c>
      <c r="S265" s="142">
        <f t="shared" si="200"/>
        <v>81228</v>
      </c>
      <c r="T265" s="142">
        <f t="shared" si="200"/>
        <v>46969</v>
      </c>
      <c r="U265" s="142">
        <f t="shared" si="200"/>
        <v>4158.2</v>
      </c>
      <c r="V265" s="142">
        <f t="shared" si="200"/>
        <v>30.2</v>
      </c>
      <c r="W265" s="142">
        <f t="shared" si="200"/>
        <v>0</v>
      </c>
      <c r="X265" s="142">
        <f t="shared" si="200"/>
        <v>151479.4</v>
      </c>
    </row>
    <row r="266" spans="1:24" ht="11.25" customHeight="1">
      <c r="A266" s="99" t="s">
        <v>78</v>
      </c>
      <c r="B266" s="142">
        <f>AVERAGE(B159:B163)</f>
        <v>5630.2</v>
      </c>
      <c r="C266" s="142">
        <f t="shared" ref="C266:L266" si="201">AVERAGE(C159:C163)</f>
        <v>15288.4</v>
      </c>
      <c r="D266" s="142">
        <f t="shared" si="201"/>
        <v>26364.6</v>
      </c>
      <c r="E266" s="142">
        <f t="shared" si="201"/>
        <v>11939</v>
      </c>
      <c r="F266" s="142">
        <f t="shared" si="201"/>
        <v>35526.800000000003</v>
      </c>
      <c r="G266" s="142">
        <f t="shared" si="201"/>
        <v>57176</v>
      </c>
      <c r="H266" s="142">
        <f t="shared" si="201"/>
        <v>30621.200000000001</v>
      </c>
      <c r="I266" s="142">
        <f t="shared" si="201"/>
        <v>11408.8</v>
      </c>
      <c r="J266" s="142">
        <f t="shared" si="201"/>
        <v>4588.3999999999996</v>
      </c>
      <c r="K266" s="142">
        <f t="shared" si="201"/>
        <v>1318.8</v>
      </c>
      <c r="L266" s="142">
        <f t="shared" si="201"/>
        <v>199862.2</v>
      </c>
      <c r="M266" s="31"/>
      <c r="N266" s="142">
        <f t="shared" ref="N266:X266" si="202">AVERAGE(N159:N163)</f>
        <v>0</v>
      </c>
      <c r="O266" s="142">
        <f t="shared" si="202"/>
        <v>0.6</v>
      </c>
      <c r="P266" s="142">
        <f t="shared" si="202"/>
        <v>56</v>
      </c>
      <c r="Q266" s="142">
        <f t="shared" si="202"/>
        <v>2202.1999999999998</v>
      </c>
      <c r="R266" s="142">
        <f t="shared" si="202"/>
        <v>35622.6</v>
      </c>
      <c r="S266" s="142">
        <f t="shared" si="202"/>
        <v>132177.4</v>
      </c>
      <c r="T266" s="142">
        <f t="shared" si="202"/>
        <v>53952.6</v>
      </c>
      <c r="U266" s="142">
        <f t="shared" si="202"/>
        <v>6488.8</v>
      </c>
      <c r="V266" s="142">
        <f t="shared" si="202"/>
        <v>18.399999999999999</v>
      </c>
      <c r="W266" s="142">
        <f t="shared" si="202"/>
        <v>0</v>
      </c>
      <c r="X266" s="142">
        <f t="shared" si="202"/>
        <v>230518.6</v>
      </c>
    </row>
    <row r="267" spans="1:24" ht="11.25" customHeight="1">
      <c r="A267" s="99" t="s">
        <v>10</v>
      </c>
      <c r="B267" s="142">
        <f>AVERAGE(B164:B168)</f>
        <v>484.4</v>
      </c>
      <c r="C267" s="142">
        <f t="shared" ref="C267:X267" si="203">AVERAGE(C164:C168)</f>
        <v>11135.6</v>
      </c>
      <c r="D267" s="142">
        <f t="shared" si="203"/>
        <v>21563.8</v>
      </c>
      <c r="E267" s="142">
        <f t="shared" si="203"/>
        <v>17907.8</v>
      </c>
      <c r="F267" s="142">
        <f t="shared" si="203"/>
        <v>33611.199999999997</v>
      </c>
      <c r="G267" s="142">
        <f t="shared" si="203"/>
        <v>58321.4</v>
      </c>
      <c r="H267" s="142">
        <f t="shared" si="203"/>
        <v>19472</v>
      </c>
      <c r="I267" s="142">
        <f t="shared" si="203"/>
        <v>10960.2</v>
      </c>
      <c r="J267" s="142">
        <f t="shared" si="203"/>
        <v>5474.6</v>
      </c>
      <c r="K267" s="142">
        <f t="shared" si="203"/>
        <v>140.25</v>
      </c>
      <c r="L267" s="142">
        <f t="shared" si="203"/>
        <v>179043.20000000001</v>
      </c>
      <c r="M267" s="31"/>
      <c r="N267" s="142">
        <f t="shared" si="203"/>
        <v>0.2</v>
      </c>
      <c r="O267" s="142">
        <f t="shared" si="203"/>
        <v>9.4</v>
      </c>
      <c r="P267" s="142">
        <f t="shared" si="203"/>
        <v>23</v>
      </c>
      <c r="Q267" s="142">
        <f t="shared" si="203"/>
        <v>721.6</v>
      </c>
      <c r="R267" s="142">
        <f t="shared" si="203"/>
        <v>22856.799999999999</v>
      </c>
      <c r="S267" s="142">
        <f t="shared" si="203"/>
        <v>67712.800000000003</v>
      </c>
      <c r="T267" s="142">
        <f t="shared" si="203"/>
        <v>12805.4</v>
      </c>
      <c r="U267" s="142">
        <f t="shared" si="203"/>
        <v>2318.6</v>
      </c>
      <c r="V267" s="142">
        <f t="shared" si="203"/>
        <v>26.2</v>
      </c>
      <c r="W267" s="48" t="s">
        <v>106</v>
      </c>
      <c r="X267" s="142">
        <f t="shared" si="203"/>
        <v>106474</v>
      </c>
    </row>
    <row r="268" spans="1:24" ht="11.25" customHeight="1">
      <c r="A268" s="99" t="s">
        <v>144</v>
      </c>
      <c r="B268" s="142">
        <f>AVERAGE(B169:B173)</f>
        <v>2.2000000000000002</v>
      </c>
      <c r="C268" s="142">
        <f t="shared" ref="C268:X268" si="204">AVERAGE(C169:C173)</f>
        <v>11347.2</v>
      </c>
      <c r="D268" s="142">
        <f t="shared" si="204"/>
        <v>23735</v>
      </c>
      <c r="E268" s="142">
        <f t="shared" si="204"/>
        <v>19001.400000000001</v>
      </c>
      <c r="F268" s="142">
        <f t="shared" si="204"/>
        <v>32849.599999999999</v>
      </c>
      <c r="G268" s="142">
        <f t="shared" si="204"/>
        <v>45250.400000000001</v>
      </c>
      <c r="H268" s="142">
        <f t="shared" si="204"/>
        <v>24470.400000000001</v>
      </c>
      <c r="I268" s="142">
        <f t="shared" si="204"/>
        <v>7325.8</v>
      </c>
      <c r="J268" s="142">
        <f t="shared" si="204"/>
        <v>4181.2</v>
      </c>
      <c r="K268" s="142">
        <f t="shared" si="204"/>
        <v>678</v>
      </c>
      <c r="L268" s="142">
        <f t="shared" si="204"/>
        <v>168570</v>
      </c>
      <c r="M268" s="31"/>
      <c r="N268" s="142" t="s">
        <v>23</v>
      </c>
      <c r="O268" s="142" t="s">
        <v>23</v>
      </c>
      <c r="P268" s="142">
        <f t="shared" si="204"/>
        <v>3</v>
      </c>
      <c r="Q268" s="142">
        <f t="shared" si="204"/>
        <v>21.666666666666668</v>
      </c>
      <c r="R268" s="142">
        <f t="shared" si="204"/>
        <v>175.4</v>
      </c>
      <c r="S268" s="142">
        <f t="shared" si="204"/>
        <v>5217.6000000000004</v>
      </c>
      <c r="T268" s="142">
        <f t="shared" si="204"/>
        <v>199.2</v>
      </c>
      <c r="U268" s="142">
        <f t="shared" si="204"/>
        <v>41.8</v>
      </c>
      <c r="V268" s="142">
        <f t="shared" si="204"/>
        <v>9</v>
      </c>
      <c r="W268" s="142" t="s">
        <v>23</v>
      </c>
      <c r="X268" s="142">
        <f t="shared" si="204"/>
        <v>5654.8</v>
      </c>
    </row>
    <row r="269" spans="1:24" ht="11.25" customHeight="1">
      <c r="A269" s="99" t="s">
        <v>166</v>
      </c>
      <c r="B269" s="142">
        <f>AVERAGE(B174:B178)</f>
        <v>156.80000000000001</v>
      </c>
      <c r="C269" s="142">
        <f>AVERAGE(C174:C178)</f>
        <v>1768.8</v>
      </c>
      <c r="D269" s="142">
        <f>AVERAGE(D174:D178)</f>
        <v>22283.4</v>
      </c>
      <c r="E269" s="142">
        <f t="shared" ref="E269:L269" si="205">AVERAGE(E174:E178)</f>
        <v>20665.400000000001</v>
      </c>
      <c r="F269" s="142">
        <f t="shared" si="205"/>
        <v>34090.400000000001</v>
      </c>
      <c r="G269" s="142">
        <f t="shared" si="205"/>
        <v>57878.400000000001</v>
      </c>
      <c r="H269" s="142">
        <f t="shared" si="205"/>
        <v>29645.200000000001</v>
      </c>
      <c r="I269" s="142">
        <f t="shared" si="205"/>
        <v>14242.6</v>
      </c>
      <c r="J269" s="142">
        <f t="shared" si="205"/>
        <v>4055.2</v>
      </c>
      <c r="K269" s="142">
        <f t="shared" si="205"/>
        <v>426.6</v>
      </c>
      <c r="L269" s="142">
        <f t="shared" si="205"/>
        <v>185212.79999999999</v>
      </c>
      <c r="M269" s="31"/>
      <c r="N269" s="142" t="str">
        <f>N174</f>
        <v>-</v>
      </c>
      <c r="O269" s="142" t="str">
        <f>O174</f>
        <v>-</v>
      </c>
      <c r="P269" s="142">
        <f>AVERAGE(P174:P178)</f>
        <v>3</v>
      </c>
      <c r="Q269" s="142">
        <f t="shared" ref="Q269:V269" si="206">AVERAGE(Q174:Q178)</f>
        <v>176.2</v>
      </c>
      <c r="R269" s="142">
        <f t="shared" si="206"/>
        <v>6840.6</v>
      </c>
      <c r="S269" s="142">
        <f t="shared" si="206"/>
        <v>28528</v>
      </c>
      <c r="T269" s="142">
        <f t="shared" si="206"/>
        <v>8061.8</v>
      </c>
      <c r="U269" s="142">
        <f t="shared" si="206"/>
        <v>202.2</v>
      </c>
      <c r="V269" s="142">
        <f t="shared" si="206"/>
        <v>24.75</v>
      </c>
      <c r="W269" s="142" t="str">
        <f>W174</f>
        <v>-</v>
      </c>
      <c r="X269" s="142">
        <f>AVERAGE(X174:X178)</f>
        <v>43829.8</v>
      </c>
    </row>
    <row r="270" spans="1:24" ht="11.25" customHeight="1">
      <c r="A270" s="99" t="s">
        <v>315</v>
      </c>
      <c r="B270" s="142">
        <f>AVERAGE(B179:B183)</f>
        <v>34.333333333333336</v>
      </c>
      <c r="C270" s="142">
        <f t="shared" ref="C270:L270" si="207">AVERAGE(C179:C183)</f>
        <v>106.66666666666667</v>
      </c>
      <c r="D270" s="142">
        <f t="shared" si="207"/>
        <v>5943</v>
      </c>
      <c r="E270" s="142">
        <f t="shared" si="207"/>
        <v>9582</v>
      </c>
      <c r="F270" s="142">
        <f t="shared" si="207"/>
        <v>9202.2000000000007</v>
      </c>
      <c r="G270" s="142">
        <f t="shared" si="207"/>
        <v>9970.2000000000007</v>
      </c>
      <c r="H270" s="142">
        <f t="shared" si="207"/>
        <v>4021.2</v>
      </c>
      <c r="I270" s="142">
        <f t="shared" si="207"/>
        <v>2502</v>
      </c>
      <c r="J270" s="142">
        <f t="shared" si="207"/>
        <v>1099.4000000000001</v>
      </c>
      <c r="K270" s="142">
        <f t="shared" si="207"/>
        <v>228.5</v>
      </c>
      <c r="L270" s="142">
        <f t="shared" si="207"/>
        <v>36286</v>
      </c>
      <c r="M270" s="31"/>
      <c r="N270" s="142" t="str">
        <f>N179</f>
        <v>-</v>
      </c>
      <c r="O270" s="142" t="str">
        <f t="shared" ref="O270" si="208">O179</f>
        <v>-</v>
      </c>
      <c r="P270" s="142">
        <f t="shared" ref="P270:X270" si="209">AVERAGE(P179:P183)</f>
        <v>8</v>
      </c>
      <c r="Q270" s="142">
        <f t="shared" si="209"/>
        <v>87.666666666666671</v>
      </c>
      <c r="R270" s="142">
        <f t="shared" si="209"/>
        <v>2643</v>
      </c>
      <c r="S270" s="142">
        <f t="shared" si="209"/>
        <v>14924.8</v>
      </c>
      <c r="T270" s="142">
        <f t="shared" si="209"/>
        <v>11159.6</v>
      </c>
      <c r="U270" s="142">
        <f t="shared" si="209"/>
        <v>663</v>
      </c>
      <c r="V270" s="142">
        <f t="shared" si="209"/>
        <v>5.5</v>
      </c>
      <c r="W270" s="142" t="str">
        <f t="shared" ref="W270" si="210">W179</f>
        <v>-</v>
      </c>
      <c r="X270" s="142">
        <f t="shared" si="209"/>
        <v>29449</v>
      </c>
    </row>
    <row r="271" spans="1:24" ht="11.25" customHeight="1">
      <c r="A271" s="99">
        <v>2011</v>
      </c>
      <c r="B271" s="142" t="str">
        <f t="shared" ref="B271:L271" si="211">B184</f>
        <v>-</v>
      </c>
      <c r="C271" s="142">
        <f t="shared" si="211"/>
        <v>0</v>
      </c>
      <c r="D271" s="142">
        <f t="shared" si="211"/>
        <v>5529</v>
      </c>
      <c r="E271" s="142">
        <f t="shared" si="211"/>
        <v>2789</v>
      </c>
      <c r="F271" s="142">
        <f t="shared" si="211"/>
        <v>3565</v>
      </c>
      <c r="G271" s="142">
        <f t="shared" si="211"/>
        <v>17382</v>
      </c>
      <c r="H271" s="142">
        <f t="shared" si="211"/>
        <v>14051</v>
      </c>
      <c r="I271" s="142">
        <f t="shared" si="211"/>
        <v>8347</v>
      </c>
      <c r="J271" s="142">
        <f t="shared" si="211"/>
        <v>1698</v>
      </c>
      <c r="K271" s="142">
        <f t="shared" si="211"/>
        <v>6</v>
      </c>
      <c r="L271" s="142">
        <f t="shared" si="211"/>
        <v>53367</v>
      </c>
      <c r="M271" s="31"/>
      <c r="N271" s="142" t="str">
        <f t="shared" ref="N271:X271" si="212">N184</f>
        <v>-</v>
      </c>
      <c r="O271" s="142" t="str">
        <f t="shared" si="212"/>
        <v>-</v>
      </c>
      <c r="P271" s="142">
        <f t="shared" si="212"/>
        <v>8</v>
      </c>
      <c r="Q271" s="142">
        <f t="shared" si="212"/>
        <v>15</v>
      </c>
      <c r="R271" s="142">
        <f t="shared" si="212"/>
        <v>628</v>
      </c>
      <c r="S271" s="142">
        <f t="shared" si="212"/>
        <v>3746</v>
      </c>
      <c r="T271" s="142">
        <f t="shared" si="212"/>
        <v>2065</v>
      </c>
      <c r="U271" s="142">
        <f t="shared" si="212"/>
        <v>6635</v>
      </c>
      <c r="V271" s="142">
        <f t="shared" si="212"/>
        <v>5</v>
      </c>
      <c r="W271" s="142" t="str">
        <f t="shared" si="212"/>
        <v>-</v>
      </c>
      <c r="X271" s="142">
        <f t="shared" si="212"/>
        <v>13102</v>
      </c>
    </row>
    <row r="272" spans="1:24" ht="11.25" customHeight="1">
      <c r="A272" s="99">
        <v>2012</v>
      </c>
      <c r="B272" s="142" t="str">
        <f t="shared" ref="B272:L272" si="213">B185</f>
        <v>-</v>
      </c>
      <c r="C272" s="142">
        <f t="shared" si="213"/>
        <v>21</v>
      </c>
      <c r="D272" s="142">
        <f t="shared" si="213"/>
        <v>18894</v>
      </c>
      <c r="E272" s="142">
        <f t="shared" si="213"/>
        <v>15587</v>
      </c>
      <c r="F272" s="142">
        <f t="shared" si="213"/>
        <v>29483</v>
      </c>
      <c r="G272" s="142">
        <f t="shared" si="213"/>
        <v>38894</v>
      </c>
      <c r="H272" s="142">
        <f t="shared" si="213"/>
        <v>23747</v>
      </c>
      <c r="I272" s="142">
        <f t="shared" si="213"/>
        <v>11088</v>
      </c>
      <c r="J272" s="142">
        <f t="shared" si="213"/>
        <v>3134</v>
      </c>
      <c r="K272" s="142">
        <f t="shared" si="213"/>
        <v>168</v>
      </c>
      <c r="L272" s="142">
        <f t="shared" si="213"/>
        <v>141016</v>
      </c>
      <c r="M272" s="31"/>
      <c r="N272" s="142" t="str">
        <f t="shared" ref="N272:X272" si="214">N185</f>
        <v>-</v>
      </c>
      <c r="O272" s="142" t="str">
        <f t="shared" si="214"/>
        <v>-</v>
      </c>
      <c r="P272" s="142" t="str">
        <f t="shared" si="214"/>
        <v>-</v>
      </c>
      <c r="Q272" s="142">
        <f t="shared" si="214"/>
        <v>3</v>
      </c>
      <c r="R272" s="142">
        <f t="shared" si="214"/>
        <v>119</v>
      </c>
      <c r="S272" s="142">
        <f t="shared" si="214"/>
        <v>2441</v>
      </c>
      <c r="T272" s="142">
        <f t="shared" si="214"/>
        <v>4975</v>
      </c>
      <c r="U272" s="142">
        <f t="shared" si="214"/>
        <v>6968</v>
      </c>
      <c r="V272" s="142">
        <f t="shared" si="214"/>
        <v>2</v>
      </c>
      <c r="W272" s="142" t="str">
        <f t="shared" si="214"/>
        <v>-</v>
      </c>
      <c r="X272" s="142">
        <f t="shared" si="214"/>
        <v>14508</v>
      </c>
    </row>
    <row r="273" spans="1:24" ht="11.25" customHeight="1">
      <c r="A273" s="99">
        <v>2013</v>
      </c>
      <c r="B273" s="142" t="str">
        <f t="shared" ref="B273:L273" si="215">B186</f>
        <v>-</v>
      </c>
      <c r="C273" s="142">
        <f t="shared" si="215"/>
        <v>257</v>
      </c>
      <c r="D273" s="142">
        <f t="shared" si="215"/>
        <v>13852</v>
      </c>
      <c r="E273" s="142">
        <f t="shared" si="215"/>
        <v>14113</v>
      </c>
      <c r="F273" s="142">
        <f t="shared" si="215"/>
        <v>29455</v>
      </c>
      <c r="G273" s="142">
        <f t="shared" si="215"/>
        <v>46928</v>
      </c>
      <c r="H273" s="142">
        <f t="shared" si="215"/>
        <v>32436</v>
      </c>
      <c r="I273" s="142">
        <f t="shared" si="215"/>
        <v>4297</v>
      </c>
      <c r="J273" s="142">
        <f t="shared" si="215"/>
        <v>2965</v>
      </c>
      <c r="K273" s="142">
        <f t="shared" si="215"/>
        <v>87</v>
      </c>
      <c r="L273" s="142">
        <f t="shared" si="215"/>
        <v>144390</v>
      </c>
      <c r="M273" s="31"/>
      <c r="N273" s="142" t="str">
        <f t="shared" ref="N273:X273" si="216">N186</f>
        <v>-</v>
      </c>
      <c r="O273" s="142" t="str">
        <f t="shared" si="216"/>
        <v>-</v>
      </c>
      <c r="P273" s="142" t="str">
        <f t="shared" si="216"/>
        <v>-</v>
      </c>
      <c r="Q273" s="142" t="str">
        <f t="shared" si="216"/>
        <v>-</v>
      </c>
      <c r="R273" s="142">
        <f t="shared" si="216"/>
        <v>108</v>
      </c>
      <c r="S273" s="142">
        <f t="shared" si="216"/>
        <v>5194</v>
      </c>
      <c r="T273" s="142">
        <f t="shared" si="216"/>
        <v>2899</v>
      </c>
      <c r="U273" s="142">
        <f t="shared" si="216"/>
        <v>2658</v>
      </c>
      <c r="V273" s="142">
        <f t="shared" si="216"/>
        <v>25</v>
      </c>
      <c r="W273" s="142" t="str">
        <f t="shared" si="216"/>
        <v>-</v>
      </c>
      <c r="X273" s="142">
        <f t="shared" si="216"/>
        <v>10884</v>
      </c>
    </row>
    <row r="274" spans="1:24" ht="11.25" customHeight="1">
      <c r="A274" s="99">
        <v>2014</v>
      </c>
      <c r="B274" s="142" t="str">
        <f t="shared" ref="B274:L274" si="217">B187</f>
        <v>-</v>
      </c>
      <c r="C274" s="142">
        <f t="shared" si="217"/>
        <v>10</v>
      </c>
      <c r="D274" s="142">
        <f t="shared" si="217"/>
        <v>13956</v>
      </c>
      <c r="E274" s="142">
        <f t="shared" si="217"/>
        <v>8591</v>
      </c>
      <c r="F274" s="142">
        <f t="shared" si="217"/>
        <v>9281</v>
      </c>
      <c r="G274" s="142">
        <f t="shared" si="217"/>
        <v>25992</v>
      </c>
      <c r="H274" s="142">
        <f t="shared" si="217"/>
        <v>20142</v>
      </c>
      <c r="I274" s="142">
        <f t="shared" si="217"/>
        <v>8592</v>
      </c>
      <c r="J274" s="142">
        <f t="shared" si="217"/>
        <v>4325</v>
      </c>
      <c r="K274" s="142">
        <f t="shared" si="217"/>
        <v>125</v>
      </c>
      <c r="L274" s="142">
        <f t="shared" si="217"/>
        <v>91014</v>
      </c>
      <c r="M274" s="31"/>
      <c r="N274" s="142" t="str">
        <f t="shared" ref="N274:X274" si="218">N187</f>
        <v>-</v>
      </c>
      <c r="O274" s="142" t="str">
        <f t="shared" si="218"/>
        <v>-</v>
      </c>
      <c r="P274" s="142" t="str">
        <f t="shared" si="218"/>
        <v>-</v>
      </c>
      <c r="Q274" s="142">
        <f t="shared" si="218"/>
        <v>27</v>
      </c>
      <c r="R274" s="142">
        <f t="shared" si="218"/>
        <v>3679</v>
      </c>
      <c r="S274" s="142">
        <f t="shared" si="218"/>
        <v>33710</v>
      </c>
      <c r="T274" s="142">
        <f t="shared" si="218"/>
        <v>19284</v>
      </c>
      <c r="U274" s="142">
        <f t="shared" si="218"/>
        <v>26497</v>
      </c>
      <c r="V274" s="142">
        <f t="shared" si="218"/>
        <v>49</v>
      </c>
      <c r="W274" s="142" t="str">
        <f t="shared" si="218"/>
        <v>-</v>
      </c>
      <c r="X274" s="142">
        <f t="shared" si="218"/>
        <v>83246</v>
      </c>
    </row>
    <row r="275" spans="1:24" ht="11.25" customHeight="1">
      <c r="A275" s="99">
        <v>2015</v>
      </c>
      <c r="B275" s="142" t="str">
        <f t="shared" ref="B275:L275" si="219">B188</f>
        <v>-</v>
      </c>
      <c r="C275" s="142">
        <f t="shared" si="219"/>
        <v>30</v>
      </c>
      <c r="D275" s="142">
        <f t="shared" si="219"/>
        <v>3032</v>
      </c>
      <c r="E275" s="142">
        <f t="shared" si="219"/>
        <v>2974</v>
      </c>
      <c r="F275" s="142">
        <f t="shared" si="219"/>
        <v>3797</v>
      </c>
      <c r="G275" s="142">
        <f t="shared" si="219"/>
        <v>10148</v>
      </c>
      <c r="H275" s="142">
        <f t="shared" si="219"/>
        <v>9265</v>
      </c>
      <c r="I275" s="142">
        <f t="shared" si="219"/>
        <v>11096</v>
      </c>
      <c r="J275" s="142">
        <f t="shared" si="219"/>
        <v>3823</v>
      </c>
      <c r="K275" s="142">
        <f t="shared" si="219"/>
        <v>0</v>
      </c>
      <c r="L275" s="142">
        <f t="shared" si="219"/>
        <v>44165</v>
      </c>
      <c r="M275" s="31"/>
      <c r="N275" s="142" t="str">
        <f t="shared" ref="N275:X275" si="220">N188</f>
        <v>-</v>
      </c>
      <c r="O275" s="142" t="str">
        <f t="shared" si="220"/>
        <v>-</v>
      </c>
      <c r="P275" s="142" t="str">
        <f t="shared" si="220"/>
        <v>-</v>
      </c>
      <c r="Q275" s="142">
        <f t="shared" si="220"/>
        <v>5</v>
      </c>
      <c r="R275" s="142">
        <f t="shared" si="220"/>
        <v>475</v>
      </c>
      <c r="S275" s="142">
        <f t="shared" si="220"/>
        <v>11978</v>
      </c>
      <c r="T275" s="142">
        <f t="shared" si="220"/>
        <v>2567</v>
      </c>
      <c r="U275" s="142">
        <f t="shared" si="220"/>
        <v>4430</v>
      </c>
      <c r="V275" s="142">
        <f t="shared" si="220"/>
        <v>28</v>
      </c>
      <c r="W275" s="142" t="str">
        <f t="shared" si="220"/>
        <v>-</v>
      </c>
      <c r="X275" s="142">
        <f t="shared" si="220"/>
        <v>19483</v>
      </c>
    </row>
    <row r="276" spans="1:24" ht="11.25" customHeight="1">
      <c r="A276" s="99">
        <v>2016</v>
      </c>
      <c r="B276" s="142" t="str">
        <f t="shared" ref="B276:L276" si="221">B189</f>
        <v>-</v>
      </c>
      <c r="C276" s="142">
        <f t="shared" si="221"/>
        <v>32</v>
      </c>
      <c r="D276" s="142">
        <f t="shared" si="221"/>
        <v>2039</v>
      </c>
      <c r="E276" s="142">
        <f t="shared" si="221"/>
        <v>5821</v>
      </c>
      <c r="F276" s="142">
        <f t="shared" si="221"/>
        <v>2784</v>
      </c>
      <c r="G276" s="142">
        <f t="shared" si="221"/>
        <v>13293</v>
      </c>
      <c r="H276" s="142">
        <f t="shared" si="221"/>
        <v>8442</v>
      </c>
      <c r="I276" s="142">
        <f t="shared" si="221"/>
        <v>7655</v>
      </c>
      <c r="J276" s="142">
        <f t="shared" si="221"/>
        <v>1001</v>
      </c>
      <c r="K276" s="142">
        <f t="shared" si="221"/>
        <v>0</v>
      </c>
      <c r="L276" s="142">
        <f t="shared" si="221"/>
        <v>41067</v>
      </c>
      <c r="M276" s="31"/>
      <c r="N276" s="142" t="str">
        <f t="shared" ref="N276:X276" si="222">N189</f>
        <v>-</v>
      </c>
      <c r="O276" s="142" t="str">
        <f t="shared" si="222"/>
        <v>-</v>
      </c>
      <c r="P276" s="142" t="str">
        <f t="shared" si="222"/>
        <v>-</v>
      </c>
      <c r="Q276" s="142" t="str">
        <f t="shared" si="222"/>
        <v>-</v>
      </c>
      <c r="R276" s="142">
        <f t="shared" si="222"/>
        <v>274</v>
      </c>
      <c r="S276" s="142">
        <f t="shared" si="222"/>
        <v>1260</v>
      </c>
      <c r="T276" s="142">
        <f t="shared" si="222"/>
        <v>90</v>
      </c>
      <c r="U276" s="142">
        <f t="shared" si="222"/>
        <v>4180</v>
      </c>
      <c r="V276" s="142">
        <f t="shared" si="222"/>
        <v>22</v>
      </c>
      <c r="W276" s="142" t="str">
        <f t="shared" si="222"/>
        <v>-</v>
      </c>
      <c r="X276" s="142">
        <f t="shared" si="222"/>
        <v>5826</v>
      </c>
    </row>
    <row r="277" spans="1:24" ht="11.25" customHeight="1">
      <c r="A277" s="99">
        <v>2017</v>
      </c>
      <c r="B277" s="142" t="str">
        <f t="shared" ref="B277:L277" si="223">B190</f>
        <v>-</v>
      </c>
      <c r="C277" s="142">
        <f t="shared" si="223"/>
        <v>0</v>
      </c>
      <c r="D277" s="142">
        <f t="shared" si="223"/>
        <v>4304</v>
      </c>
      <c r="E277" s="142">
        <f t="shared" si="223"/>
        <v>2394</v>
      </c>
      <c r="F277" s="142">
        <f t="shared" si="223"/>
        <v>5572</v>
      </c>
      <c r="G277" s="142">
        <f t="shared" si="223"/>
        <v>26749</v>
      </c>
      <c r="H277" s="142">
        <f t="shared" si="223"/>
        <v>19616</v>
      </c>
      <c r="I277" s="142">
        <f t="shared" si="223"/>
        <v>4852</v>
      </c>
      <c r="J277" s="142">
        <f t="shared" si="223"/>
        <v>1396</v>
      </c>
      <c r="K277" s="142">
        <f t="shared" si="223"/>
        <v>0</v>
      </c>
      <c r="L277" s="142">
        <f t="shared" si="223"/>
        <v>64883</v>
      </c>
      <c r="M277" s="31"/>
      <c r="N277" s="142" t="str">
        <f t="shared" ref="N277:X277" si="224">N190</f>
        <v>-</v>
      </c>
      <c r="O277" s="142" t="str">
        <f t="shared" si="224"/>
        <v>-</v>
      </c>
      <c r="P277" s="142" t="str">
        <f t="shared" si="224"/>
        <v>-</v>
      </c>
      <c r="Q277" s="142">
        <f t="shared" si="224"/>
        <v>3</v>
      </c>
      <c r="R277" s="142">
        <f t="shared" si="224"/>
        <v>363</v>
      </c>
      <c r="S277" s="142">
        <f t="shared" si="224"/>
        <v>6190</v>
      </c>
      <c r="T277" s="142">
        <f t="shared" si="224"/>
        <v>3984</v>
      </c>
      <c r="U277" s="142">
        <f t="shared" si="224"/>
        <v>4590</v>
      </c>
      <c r="V277" s="142" t="str">
        <f t="shared" si="224"/>
        <v>-</v>
      </c>
      <c r="W277" s="142" t="str">
        <f t="shared" si="224"/>
        <v>-</v>
      </c>
      <c r="X277" s="142">
        <f t="shared" si="224"/>
        <v>15130</v>
      </c>
    </row>
    <row r="278" spans="1:24" ht="11.25" customHeight="1">
      <c r="A278" s="99">
        <v>2018</v>
      </c>
      <c r="B278" s="142" t="str">
        <f t="shared" ref="B278:L278" si="225">B191</f>
        <v>-</v>
      </c>
      <c r="C278" s="142">
        <f t="shared" si="225"/>
        <v>0</v>
      </c>
      <c r="D278" s="142">
        <f t="shared" si="225"/>
        <v>3939</v>
      </c>
      <c r="E278" s="142">
        <f t="shared" si="225"/>
        <v>629</v>
      </c>
      <c r="F278" s="142">
        <f t="shared" si="225"/>
        <v>15060</v>
      </c>
      <c r="G278" s="142">
        <f t="shared" si="225"/>
        <v>43563</v>
      </c>
      <c r="H278" s="142">
        <f t="shared" si="225"/>
        <v>16313</v>
      </c>
      <c r="I278" s="142">
        <f t="shared" si="225"/>
        <v>7436</v>
      </c>
      <c r="J278" s="142">
        <f t="shared" si="225"/>
        <v>4675</v>
      </c>
      <c r="K278" s="142">
        <f t="shared" si="225"/>
        <v>0</v>
      </c>
      <c r="L278" s="142">
        <f t="shared" si="225"/>
        <v>91615</v>
      </c>
      <c r="M278" s="31"/>
      <c r="N278" s="142" t="str">
        <f t="shared" ref="N278:X278" si="226">N191</f>
        <v>-</v>
      </c>
      <c r="O278" s="142" t="str">
        <f t="shared" si="226"/>
        <v>-</v>
      </c>
      <c r="P278" s="142" t="str">
        <f t="shared" si="226"/>
        <v>-</v>
      </c>
      <c r="Q278" s="142" t="str">
        <f t="shared" si="226"/>
        <v>-</v>
      </c>
      <c r="R278" s="142">
        <f t="shared" si="226"/>
        <v>88</v>
      </c>
      <c r="S278" s="142">
        <f t="shared" si="226"/>
        <v>3077</v>
      </c>
      <c r="T278" s="142">
        <f t="shared" si="226"/>
        <v>8630</v>
      </c>
      <c r="U278" s="142">
        <f t="shared" si="226"/>
        <v>6944</v>
      </c>
      <c r="V278" s="142" t="str">
        <f t="shared" si="226"/>
        <v>-</v>
      </c>
      <c r="W278" s="142" t="str">
        <f t="shared" si="226"/>
        <v>-</v>
      </c>
      <c r="X278" s="142">
        <f t="shared" si="226"/>
        <v>18739</v>
      </c>
    </row>
    <row r="279" spans="1:24" ht="11.25" customHeight="1">
      <c r="A279" s="99">
        <v>2019</v>
      </c>
      <c r="B279" s="142" t="str">
        <f t="shared" ref="B279:L279" si="227">B192</f>
        <v>-</v>
      </c>
      <c r="C279" s="142">
        <f t="shared" si="227"/>
        <v>10</v>
      </c>
      <c r="D279" s="142">
        <f t="shared" si="227"/>
        <v>16783</v>
      </c>
      <c r="E279" s="142">
        <f t="shared" si="227"/>
        <v>3591</v>
      </c>
      <c r="F279" s="142">
        <f t="shared" si="227"/>
        <v>21518</v>
      </c>
      <c r="G279" s="142">
        <f t="shared" si="227"/>
        <v>24851</v>
      </c>
      <c r="H279" s="142">
        <f t="shared" si="227"/>
        <v>21867</v>
      </c>
      <c r="I279" s="142">
        <f t="shared" si="227"/>
        <v>4427</v>
      </c>
      <c r="J279" s="142">
        <f t="shared" si="227"/>
        <v>724</v>
      </c>
      <c r="K279" s="142" t="str">
        <f t="shared" si="227"/>
        <v>-</v>
      </c>
      <c r="L279" s="142">
        <f t="shared" si="227"/>
        <v>93771</v>
      </c>
      <c r="M279" s="31"/>
      <c r="N279" s="142" t="str">
        <f t="shared" ref="N279:X279" si="228">N192</f>
        <v>-</v>
      </c>
      <c r="O279" s="142" t="str">
        <f t="shared" si="228"/>
        <v>-</v>
      </c>
      <c r="P279" s="142" t="str">
        <f t="shared" si="228"/>
        <v>-</v>
      </c>
      <c r="Q279" s="142">
        <f t="shared" si="228"/>
        <v>2</v>
      </c>
      <c r="R279" s="142">
        <f t="shared" si="228"/>
        <v>4106</v>
      </c>
      <c r="S279" s="142">
        <f t="shared" si="228"/>
        <v>27761</v>
      </c>
      <c r="T279" s="142">
        <f t="shared" si="228"/>
        <v>12822</v>
      </c>
      <c r="U279" s="142">
        <f t="shared" si="228"/>
        <v>5084</v>
      </c>
      <c r="V279" s="142">
        <f t="shared" si="228"/>
        <v>10</v>
      </c>
      <c r="W279" s="142" t="str">
        <f t="shared" si="228"/>
        <v>-</v>
      </c>
      <c r="X279" s="142">
        <f t="shared" si="228"/>
        <v>49785</v>
      </c>
    </row>
    <row r="280" spans="1:24" ht="11.25" customHeight="1">
      <c r="A280" s="99" t="s">
        <v>311</v>
      </c>
      <c r="B280" s="142" t="str">
        <f t="shared" ref="B280:L281" si="229">B193</f>
        <v>-</v>
      </c>
      <c r="C280" s="142">
        <f t="shared" si="229"/>
        <v>0</v>
      </c>
      <c r="D280" s="142">
        <f t="shared" si="229"/>
        <v>4</v>
      </c>
      <c r="E280" s="142">
        <f t="shared" si="229"/>
        <v>38</v>
      </c>
      <c r="F280" s="142">
        <f t="shared" si="229"/>
        <v>655</v>
      </c>
      <c r="G280" s="142">
        <f t="shared" si="229"/>
        <v>27462</v>
      </c>
      <c r="H280" s="142">
        <f t="shared" si="229"/>
        <v>10983</v>
      </c>
      <c r="I280" s="142">
        <f t="shared" si="229"/>
        <v>5422</v>
      </c>
      <c r="J280" s="142">
        <f t="shared" si="229"/>
        <v>2583</v>
      </c>
      <c r="K280" s="142">
        <f t="shared" si="229"/>
        <v>29</v>
      </c>
      <c r="L280" s="142">
        <f t="shared" si="229"/>
        <v>47176</v>
      </c>
      <c r="M280" s="31"/>
      <c r="N280" s="142" t="str">
        <f t="shared" ref="N280:X281" si="230">N193</f>
        <v>-</v>
      </c>
      <c r="O280" s="142" t="str">
        <f t="shared" si="230"/>
        <v>-</v>
      </c>
      <c r="P280" s="142" t="str">
        <f t="shared" si="230"/>
        <v>-</v>
      </c>
      <c r="Q280" s="142" t="str">
        <f t="shared" si="230"/>
        <v>-</v>
      </c>
      <c r="R280" s="142">
        <f t="shared" si="230"/>
        <v>0</v>
      </c>
      <c r="S280" s="142">
        <f t="shared" si="230"/>
        <v>7762</v>
      </c>
      <c r="T280" s="142">
        <f t="shared" si="230"/>
        <v>5126</v>
      </c>
      <c r="U280" s="142">
        <f t="shared" si="230"/>
        <v>4243</v>
      </c>
      <c r="V280" s="142" t="str">
        <f t="shared" si="230"/>
        <v>-</v>
      </c>
      <c r="W280" s="142" t="str">
        <f t="shared" si="230"/>
        <v>-</v>
      </c>
      <c r="X280" s="142">
        <f t="shared" si="230"/>
        <v>17131</v>
      </c>
    </row>
    <row r="281" spans="1:24" ht="11.25" customHeight="1">
      <c r="A281" s="99" t="s">
        <v>317</v>
      </c>
      <c r="B281" s="142" t="str">
        <f t="shared" si="229"/>
        <v>-</v>
      </c>
      <c r="C281" s="142">
        <f t="shared" si="229"/>
        <v>12</v>
      </c>
      <c r="D281" s="142">
        <f t="shared" si="229"/>
        <v>7762</v>
      </c>
      <c r="E281" s="142">
        <f t="shared" si="229"/>
        <v>4358</v>
      </c>
      <c r="F281" s="142">
        <f t="shared" si="229"/>
        <v>8093</v>
      </c>
      <c r="G281" s="142">
        <f t="shared" si="229"/>
        <v>23771</v>
      </c>
      <c r="H281" s="142">
        <f t="shared" si="229"/>
        <v>11300</v>
      </c>
      <c r="I281" s="142">
        <f t="shared" si="229"/>
        <v>4865</v>
      </c>
      <c r="J281" s="142">
        <f t="shared" si="229"/>
        <v>1531</v>
      </c>
      <c r="K281" s="142" t="str">
        <f t="shared" si="229"/>
        <v>-</v>
      </c>
      <c r="L281" s="142">
        <f t="shared" si="229"/>
        <v>61692</v>
      </c>
      <c r="M281" s="31"/>
      <c r="N281" s="142" t="str">
        <f t="shared" si="230"/>
        <v>-</v>
      </c>
      <c r="O281" s="142" t="str">
        <f t="shared" si="230"/>
        <v>-</v>
      </c>
      <c r="P281" s="142" t="str">
        <f t="shared" si="230"/>
        <v>-</v>
      </c>
      <c r="Q281" s="142">
        <f t="shared" si="230"/>
        <v>210</v>
      </c>
      <c r="R281" s="142">
        <f t="shared" si="230"/>
        <v>2321</v>
      </c>
      <c r="S281" s="142">
        <f t="shared" si="230"/>
        <v>38159</v>
      </c>
      <c r="T281" s="142">
        <f t="shared" si="230"/>
        <v>28124</v>
      </c>
      <c r="U281" s="142">
        <f t="shared" si="230"/>
        <v>10766</v>
      </c>
      <c r="V281" s="142">
        <f t="shared" si="230"/>
        <v>8</v>
      </c>
      <c r="W281" s="142" t="str">
        <f t="shared" si="230"/>
        <v>-</v>
      </c>
      <c r="X281" s="142">
        <f t="shared" si="230"/>
        <v>79588</v>
      </c>
    </row>
    <row r="282" spans="1:24" ht="11.25" customHeight="1">
      <c r="A282" s="344" t="str">
        <f>A195</f>
        <v>a/  Monthly totals for Oregon data are the sum of statistical weeks with closest fit to the calendar month.</v>
      </c>
      <c r="B282" s="344"/>
      <c r="C282" s="344"/>
      <c r="D282" s="344"/>
      <c r="E282" s="344"/>
      <c r="F282" s="344"/>
      <c r="G282" s="344"/>
      <c r="H282" s="344"/>
      <c r="I282" s="344"/>
      <c r="J282" s="344"/>
      <c r="K282" s="344"/>
      <c r="L282" s="344"/>
      <c r="M282" s="344"/>
      <c r="N282" s="344"/>
      <c r="O282" s="344"/>
      <c r="P282" s="344"/>
      <c r="Q282" s="344"/>
      <c r="R282" s="344"/>
      <c r="S282" s="344"/>
      <c r="T282" s="344"/>
      <c r="U282" s="344"/>
      <c r="V282" s="344"/>
      <c r="W282" s="344"/>
      <c r="X282" s="344"/>
    </row>
    <row r="283" spans="1:24" ht="11.25" customHeight="1">
      <c r="A283" s="280" t="str">
        <f>A196</f>
        <v>b/  Preliminary.</v>
      </c>
      <c r="B283" s="280"/>
      <c r="C283" s="280"/>
      <c r="D283" s="280"/>
      <c r="E283" s="280"/>
      <c r="F283" s="280"/>
      <c r="G283" s="280"/>
      <c r="H283" s="280"/>
      <c r="I283" s="280"/>
      <c r="J283" s="280"/>
      <c r="K283" s="280"/>
      <c r="L283" s="280"/>
      <c r="M283" s="280"/>
      <c r="N283" s="280"/>
      <c r="O283" s="280"/>
      <c r="P283" s="280"/>
      <c r="Q283" s="280"/>
      <c r="R283" s="280"/>
      <c r="S283" s="280"/>
      <c r="T283" s="280"/>
      <c r="U283" s="280"/>
      <c r="V283" s="280"/>
      <c r="W283" s="280"/>
      <c r="X283" s="280"/>
    </row>
    <row r="284" spans="1:24" ht="13.5" customHeight="1">
      <c r="A284" s="280" t="str">
        <f>A197</f>
        <v>c/   In 2021, the southern boundary of the KMZ was officially moved five nautical miles north from Horse Mountain to latitude 40°10′ N.</v>
      </c>
      <c r="B284" s="280"/>
      <c r="C284" s="280"/>
      <c r="D284" s="280"/>
      <c r="E284" s="280"/>
      <c r="F284" s="280"/>
      <c r="G284" s="280"/>
      <c r="H284" s="280"/>
      <c r="I284" s="280"/>
      <c r="J284" s="280"/>
      <c r="K284" s="280"/>
      <c r="L284" s="280"/>
      <c r="M284" s="280"/>
      <c r="N284" s="280"/>
      <c r="O284" s="280"/>
      <c r="P284" s="280"/>
      <c r="Q284" s="280"/>
      <c r="R284" s="280"/>
      <c r="S284" s="280"/>
      <c r="T284" s="280"/>
      <c r="U284" s="280"/>
      <c r="V284" s="280"/>
      <c r="W284" s="280"/>
      <c r="X284" s="280"/>
    </row>
    <row r="285" spans="1:24">
      <c r="A285" s="280" t="str">
        <f>A198</f>
        <v>d/  Recreational estimates for California do not include May and June due to restrictions on sampling caused by the COVID-19 pandemic.</v>
      </c>
      <c r="B285" s="280"/>
      <c r="C285" s="280"/>
      <c r="D285" s="280"/>
      <c r="E285" s="280"/>
      <c r="F285" s="280"/>
      <c r="G285" s="280"/>
      <c r="H285" s="280"/>
      <c r="I285" s="280"/>
      <c r="J285" s="280"/>
      <c r="K285" s="280"/>
      <c r="L285" s="280"/>
      <c r="M285" s="280"/>
      <c r="N285" s="280"/>
      <c r="O285" s="280"/>
      <c r="P285" s="280"/>
      <c r="Q285" s="280"/>
      <c r="R285" s="280"/>
      <c r="S285" s="280"/>
      <c r="T285" s="280"/>
      <c r="U285" s="280"/>
      <c r="V285" s="280"/>
      <c r="W285" s="280"/>
      <c r="X285" s="280"/>
    </row>
  </sheetData>
  <mergeCells count="16">
    <mergeCell ref="A285:X285"/>
    <mergeCell ref="A282:X282"/>
    <mergeCell ref="A283:X283"/>
    <mergeCell ref="A284:X284"/>
    <mergeCell ref="B3:L3"/>
    <mergeCell ref="N3:X3"/>
    <mergeCell ref="B203:L203"/>
    <mergeCell ref="N203:X203"/>
    <mergeCell ref="B244:L244"/>
    <mergeCell ref="N244:X244"/>
    <mergeCell ref="A197:X197"/>
    <mergeCell ref="A195:L195"/>
    <mergeCell ref="M195:X195"/>
    <mergeCell ref="A196:L196"/>
    <mergeCell ref="M196:X196"/>
    <mergeCell ref="A198:X198"/>
  </mergeCells>
  <pageMargins left="0.7" right="0.7" top="0.75" bottom="0.75" header="0.3" footer="0.3"/>
  <pageSetup scale="98" orientation="landscape" r:id="rId1"/>
  <rowBreaks count="1" manualBreakCount="1">
    <brk id="241" max="2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7"/>
  <dimension ref="A1:M528"/>
  <sheetViews>
    <sheetView showGridLines="0" topLeftCell="A457" zoomScaleNormal="100" zoomScaleSheetLayoutView="90" workbookViewId="0">
      <selection activeCell="N421" sqref="N421"/>
    </sheetView>
  </sheetViews>
  <sheetFormatPr baseColWidth="10" defaultColWidth="9" defaultRowHeight="16"/>
  <cols>
    <col min="1" max="1" width="9.6640625" style="218" customWidth="1"/>
    <col min="2" max="7" width="9" style="218"/>
    <col min="8" max="8" width="10.83203125" style="218" customWidth="1"/>
    <col min="9" max="16384" width="9" style="218"/>
  </cols>
  <sheetData>
    <row r="1" spans="1:8">
      <c r="A1" s="361" t="s">
        <v>228</v>
      </c>
      <c r="B1" s="361"/>
      <c r="C1" s="361"/>
      <c r="D1" s="361"/>
      <c r="E1" s="361"/>
      <c r="F1" s="361"/>
      <c r="G1" s="361"/>
      <c r="H1" s="361"/>
    </row>
    <row r="2" spans="1:8">
      <c r="A2" s="362"/>
      <c r="B2" s="362"/>
      <c r="C2" s="362"/>
      <c r="D2" s="362"/>
      <c r="E2" s="362"/>
      <c r="F2" s="362"/>
      <c r="G2" s="362"/>
      <c r="H2" s="362"/>
    </row>
    <row r="3" spans="1:8">
      <c r="A3" s="96" t="s">
        <v>27</v>
      </c>
      <c r="B3" s="225" t="s">
        <v>79</v>
      </c>
      <c r="C3" s="225" t="s">
        <v>80</v>
      </c>
      <c r="D3" s="225" t="s">
        <v>81</v>
      </c>
      <c r="E3" s="225" t="s">
        <v>82</v>
      </c>
      <c r="F3" s="225" t="s">
        <v>83</v>
      </c>
      <c r="G3" s="225" t="s">
        <v>84</v>
      </c>
      <c r="H3" s="225" t="s">
        <v>22</v>
      </c>
    </row>
    <row r="4" spans="1:8" ht="11.25" customHeight="1">
      <c r="A4" s="94" t="s">
        <v>85</v>
      </c>
    </row>
    <row r="5" spans="1:8" ht="11.25" customHeight="1">
      <c r="A5" s="99">
        <v>1976</v>
      </c>
      <c r="B5" s="24">
        <f>IF(AND('A-12'!B5="-",'A-12'!B53="-",'A-12'!B101="-"),"-",SUM('A-12'!B5,'A-12'!B53,'A-12'!B101))</f>
        <v>3433</v>
      </c>
      <c r="C5" s="24">
        <f>IF(AND('A-12'!C5="-",'A-12'!C53="-",'A-12'!C101="-"),"-",SUM('A-12'!C5,'A-12'!C53,'A-12'!C101))</f>
        <v>5730</v>
      </c>
      <c r="D5" s="24">
        <f>IF(AND('A-12'!D5="-",'A-12'!D53="-",'A-12'!D101="-"),"-",SUM('A-12'!D5,'A-12'!D53,'A-12'!D101))</f>
        <v>13642</v>
      </c>
      <c r="E5" s="24">
        <f>IF(AND('A-12'!E5="-",'A-12'!E53="-",'A-12'!E101="-"),"-",SUM('A-12'!E5,'A-12'!E53,'A-12'!E101))</f>
        <v>13247</v>
      </c>
      <c r="F5" s="24">
        <f>IF(AND('A-12'!F5="-",'A-12'!F53="-",'A-12'!F101="-"),"-",SUM('A-12'!F5,'A-12'!F53,'A-12'!F101))</f>
        <v>8958</v>
      </c>
      <c r="G5" s="24" t="str">
        <f>IF(AND('A-12'!G5="-",'A-12'!G53="-",'A-12'!G101="-"),"-",SUM('A-12'!G5,'A-12'!G53,'A-12'!G101))</f>
        <v>-</v>
      </c>
      <c r="H5" s="24">
        <f>IF(AND('A-12'!H5="-",'A-12'!H53="-",'A-12'!H101="-"),"-",SUM('A-12'!H5,'A-12'!H53,'A-12'!H101))</f>
        <v>45010</v>
      </c>
    </row>
    <row r="6" spans="1:8" ht="11.25" customHeight="1">
      <c r="A6" s="99">
        <v>1977</v>
      </c>
      <c r="B6" s="24">
        <f>IF(AND('A-12'!B6="-",'A-12'!B54="-",'A-12'!B102="-"),"-",SUM('A-12'!B6,'A-12'!B54,'A-12'!B102))</f>
        <v>3265</v>
      </c>
      <c r="C6" s="24">
        <f>IF(AND('A-12'!C6="-",'A-12'!C54="-",'A-12'!C102="-"),"-",SUM('A-12'!C6,'A-12'!C54,'A-12'!C102))</f>
        <v>2773</v>
      </c>
      <c r="D6" s="24">
        <f>IF(AND('A-12'!D6="-",'A-12'!D54="-",'A-12'!D102="-"),"-",SUM('A-12'!D6,'A-12'!D54,'A-12'!D102))</f>
        <v>14950</v>
      </c>
      <c r="E6" s="24">
        <f>IF(AND('A-12'!E6="-",'A-12'!E54="-",'A-12'!E102="-"),"-",SUM('A-12'!E6,'A-12'!E54,'A-12'!E102))</f>
        <v>12416</v>
      </c>
      <c r="F6" s="24">
        <f>IF(AND('A-12'!F6="-",'A-12'!F54="-",'A-12'!F102="-"),"-",SUM('A-12'!F6,'A-12'!F54,'A-12'!F102))</f>
        <v>7206</v>
      </c>
      <c r="G6" s="24" t="str">
        <f>IF(AND('A-12'!G6="-",'A-12'!G54="-",'A-12'!G102="-"),"-",SUM('A-12'!G6,'A-12'!G54,'A-12'!G102))</f>
        <v>-</v>
      </c>
      <c r="H6" s="24">
        <f>IF(AND('A-12'!H6="-",'A-12'!H54="-",'A-12'!H102="-"),"-",SUM('A-12'!H6,'A-12'!H54,'A-12'!H102))</f>
        <v>40610</v>
      </c>
    </row>
    <row r="7" spans="1:8" ht="11.25" customHeight="1">
      <c r="A7" s="99">
        <v>1978</v>
      </c>
      <c r="B7" s="24">
        <f>IF(AND('A-12'!B7="-",'A-12'!B55="-",'A-12'!B103="-"),"-",SUM('A-12'!B7,'A-12'!B55,'A-12'!B103))</f>
        <v>2713</v>
      </c>
      <c r="C7" s="24">
        <f>IF(AND('A-12'!C7="-",'A-12'!C55="-",'A-12'!C103="-"),"-",SUM('A-12'!C7,'A-12'!C55,'A-12'!C103))</f>
        <v>2449</v>
      </c>
      <c r="D7" s="24">
        <f>IF(AND('A-12'!D7="-",'A-12'!D55="-",'A-12'!D103="-"),"-",SUM('A-12'!D7,'A-12'!D55,'A-12'!D103))</f>
        <v>11640</v>
      </c>
      <c r="E7" s="24">
        <f>IF(AND('A-12'!E7="-",'A-12'!E55="-",'A-12'!E103="-"),"-",SUM('A-12'!E7,'A-12'!E55,'A-12'!E103))</f>
        <v>9056</v>
      </c>
      <c r="F7" s="24">
        <f>IF(AND('A-12'!F7="-",'A-12'!F55="-",'A-12'!F103="-"),"-",SUM('A-12'!F7,'A-12'!F55,'A-12'!F103))</f>
        <v>6303</v>
      </c>
      <c r="G7" s="24" t="str">
        <f>IF(AND('A-12'!G7="-",'A-12'!G55="-",'A-12'!G103="-"),"-",SUM('A-12'!G7,'A-12'!G55,'A-12'!G103))</f>
        <v>-</v>
      </c>
      <c r="H7" s="24">
        <f>IF(AND('A-12'!H7="-",'A-12'!H55="-",'A-12'!H103="-"),"-",SUM('A-12'!H7,'A-12'!H55,'A-12'!H103))</f>
        <v>32161</v>
      </c>
    </row>
    <row r="8" spans="1:8" ht="11.25" customHeight="1">
      <c r="A8" s="99">
        <v>1979</v>
      </c>
      <c r="B8" s="24">
        <f>IF(AND('A-12'!B8="-",'A-12'!B56="-",'A-12'!B104="-"),"-",SUM('A-12'!B8,'A-12'!B56,'A-12'!B104))</f>
        <v>4138</v>
      </c>
      <c r="C8" s="24">
        <f>IF(AND('A-12'!C8="-",'A-12'!C56="-",'A-12'!C104="-"),"-",SUM('A-12'!C8,'A-12'!C56,'A-12'!C104))</f>
        <v>153</v>
      </c>
      <c r="D8" s="24">
        <f>IF(AND('A-12'!D8="-",'A-12'!D56="-",'A-12'!D104="-"),"-",SUM('A-12'!D8,'A-12'!D56,'A-12'!D104))</f>
        <v>11554</v>
      </c>
      <c r="E8" s="24">
        <f>IF(AND('A-12'!E8="-",'A-12'!E56="-",'A-12'!E104="-"),"-",SUM('A-12'!E8,'A-12'!E56,'A-12'!E104))</f>
        <v>16655</v>
      </c>
      <c r="F8" s="24">
        <f>IF(AND('A-12'!F8="-",'A-12'!F56="-",'A-12'!F104="-"),"-",SUM('A-12'!F8,'A-12'!F56,'A-12'!F104))</f>
        <v>122</v>
      </c>
      <c r="G8" s="24" t="str">
        <f>IF(AND('A-12'!G8="-",'A-12'!G56="-",'A-12'!G104="-"),"-",SUM('A-12'!G8,'A-12'!G56,'A-12'!G104))</f>
        <v>-</v>
      </c>
      <c r="H8" s="24">
        <f>IF(AND('A-12'!H8="-",'A-12'!H56="-",'A-12'!H104="-"),"-",SUM('A-12'!H8,'A-12'!H56,'A-12'!H104))</f>
        <v>32622</v>
      </c>
    </row>
    <row r="9" spans="1:8" ht="11.25" customHeight="1">
      <c r="A9" s="99">
        <v>1980</v>
      </c>
      <c r="B9" s="24">
        <f>IF(AND('A-12'!B9="-",'A-12'!B57="-",'A-12'!B105="-"),"-",SUM('A-12'!B9,'A-12'!B57,'A-12'!B105))</f>
        <v>3860</v>
      </c>
      <c r="C9" s="24">
        <f>IF(AND('A-12'!C9="-",'A-12'!C57="-",'A-12'!C105="-"),"-",SUM('A-12'!C9,'A-12'!C57,'A-12'!C105))</f>
        <v>205</v>
      </c>
      <c r="D9" s="24">
        <f>IF(AND('A-12'!D9="-",'A-12'!D57="-",'A-12'!D105="-"),"-",SUM('A-12'!D9,'A-12'!D57,'A-12'!D105))</f>
        <v>7595</v>
      </c>
      <c r="E9" s="24">
        <f>IF(AND('A-12'!E9="-",'A-12'!E57="-",'A-12'!E105="-"),"-",SUM('A-12'!E9,'A-12'!E57,'A-12'!E105))</f>
        <v>8814</v>
      </c>
      <c r="F9" s="24">
        <f>IF(AND('A-12'!F9="-",'A-12'!F57="-",'A-12'!F105="-"),"-",SUM('A-12'!F9,'A-12'!F57,'A-12'!F105))</f>
        <v>5</v>
      </c>
      <c r="G9" s="24" t="str">
        <f>IF(AND('A-12'!G9="-",'A-12'!G57="-",'A-12'!G105="-"),"-",SUM('A-12'!G9,'A-12'!G57,'A-12'!G105))</f>
        <v>-</v>
      </c>
      <c r="H9" s="24">
        <f>IF(AND('A-12'!H9="-",'A-12'!H57="-",'A-12'!H105="-"),"-",SUM('A-12'!H9,'A-12'!H57,'A-12'!H105))</f>
        <v>20479</v>
      </c>
    </row>
    <row r="10" spans="1:8" ht="11.25" customHeight="1">
      <c r="A10" s="99">
        <v>1981</v>
      </c>
      <c r="B10" s="24">
        <f>IF(AND('A-12'!B10="-",'A-12'!B58="-",'A-12'!B106="-"),"-",SUM('A-12'!B10,'A-12'!B58,'A-12'!B106))</f>
        <v>4119</v>
      </c>
      <c r="C10" s="24">
        <f>IF(AND('A-12'!C10="-",'A-12'!C58="-",'A-12'!C106="-"),"-",SUM('A-12'!C10,'A-12'!C58,'A-12'!C106))</f>
        <v>200</v>
      </c>
      <c r="D10" s="24">
        <f>IF(AND('A-12'!D10="-",'A-12'!D58="-",'A-12'!D106="-"),"-",SUM('A-12'!D10,'A-12'!D58,'A-12'!D106))</f>
        <v>8188</v>
      </c>
      <c r="E10" s="24">
        <f>IF(AND('A-12'!E10="-",'A-12'!E58="-",'A-12'!E106="-"),"-",SUM('A-12'!E10,'A-12'!E58,'A-12'!E106))</f>
        <v>8584</v>
      </c>
      <c r="F10" s="24" t="str">
        <f>IF(AND('A-12'!F10="-",'A-12'!F58="-",'A-12'!F106="-"),"-",SUM('A-12'!F10,'A-12'!F58,'A-12'!F106))</f>
        <v>-</v>
      </c>
      <c r="G10" s="24" t="str">
        <f>IF(AND('A-12'!G10="-",'A-12'!G58="-",'A-12'!G106="-"),"-",SUM('A-12'!G10,'A-12'!G58,'A-12'!G106))</f>
        <v>-</v>
      </c>
      <c r="H10" s="24">
        <f>IF(AND('A-12'!H10="-",'A-12'!H58="-",'A-12'!H106="-"),"-",SUM('A-12'!H10,'A-12'!H58,'A-12'!H106))</f>
        <v>21091</v>
      </c>
    </row>
    <row r="11" spans="1:8" ht="11.25" customHeight="1">
      <c r="A11" s="99">
        <v>1982</v>
      </c>
      <c r="B11" s="24">
        <f>IF(AND('A-12'!B11="-",'A-12'!B59="-",'A-12'!B107="-"),"-",SUM('A-12'!B11,'A-12'!B59,'A-12'!B107))</f>
        <v>3314</v>
      </c>
      <c r="C11" s="24">
        <f>IF(AND('A-12'!C11="-",'A-12'!C59="-",'A-12'!C107="-"),"-",SUM('A-12'!C11,'A-12'!C59,'A-12'!C107))</f>
        <v>596</v>
      </c>
      <c r="D11" s="24">
        <f>IF(AND('A-12'!D11="-",'A-12'!D59="-",'A-12'!D107="-"),"-",SUM('A-12'!D11,'A-12'!D59,'A-12'!D107))</f>
        <v>9663</v>
      </c>
      <c r="E11" s="24">
        <f>IF(AND('A-12'!E11="-",'A-12'!E59="-",'A-12'!E107="-"),"-",SUM('A-12'!E11,'A-12'!E59,'A-12'!E107))</f>
        <v>396</v>
      </c>
      <c r="F11" s="24" t="str">
        <f>IF(AND('A-12'!F11="-",'A-12'!F59="-",'A-12'!F107="-"),"-",SUM('A-12'!F11,'A-12'!F59,'A-12'!F107))</f>
        <v>-</v>
      </c>
      <c r="G11" s="24" t="str">
        <f>IF(AND('A-12'!G11="-",'A-12'!G59="-",'A-12'!G107="-"),"-",SUM('A-12'!G11,'A-12'!G59,'A-12'!G107))</f>
        <v>-</v>
      </c>
      <c r="H11" s="24">
        <f>IF(AND('A-12'!H11="-",'A-12'!H59="-",'A-12'!H107="-"),"-",SUM('A-12'!H11,'A-12'!H59,'A-12'!H107))</f>
        <v>13969</v>
      </c>
    </row>
    <row r="12" spans="1:8" ht="11.25" customHeight="1">
      <c r="A12" s="99">
        <v>1983</v>
      </c>
      <c r="B12" s="24">
        <f>IF(AND('A-12'!B12="-",'A-12'!B60="-",'A-12'!B108="-"),"-",SUM('A-12'!B12,'A-12'!B60,'A-12'!B108))</f>
        <v>3359</v>
      </c>
      <c r="C12" s="24">
        <f>IF(AND('A-12'!C12="-",'A-12'!C60="-",'A-12'!C108="-"),"-",SUM('A-12'!C12,'A-12'!C60,'A-12'!C108))</f>
        <v>419</v>
      </c>
      <c r="D12" s="24">
        <f>IF(AND('A-12'!D12="-",'A-12'!D60="-",'A-12'!D108="-"),"-",SUM('A-12'!D12,'A-12'!D60,'A-12'!D108))</f>
        <v>2708</v>
      </c>
      <c r="E12" s="24">
        <f>IF(AND('A-12'!E12="-",'A-12'!E60="-",'A-12'!E108="-"),"-",SUM('A-12'!E12,'A-12'!E60,'A-12'!E108))</f>
        <v>1215</v>
      </c>
      <c r="F12" s="24" t="str">
        <f>IF(AND('A-12'!F12="-",'A-12'!F60="-",'A-12'!F108="-"),"-",SUM('A-12'!F12,'A-12'!F60,'A-12'!F108))</f>
        <v>-</v>
      </c>
      <c r="G12" s="24" t="str">
        <f>IF(AND('A-12'!G12="-",'A-12'!G60="-",'A-12'!G108="-"),"-",SUM('A-12'!G12,'A-12'!G60,'A-12'!G108))</f>
        <v>-</v>
      </c>
      <c r="H12" s="24">
        <f>IF(AND('A-12'!H12="-",'A-12'!H60="-",'A-12'!H108="-"),"-",SUM('A-12'!H12,'A-12'!H60,'A-12'!H108))</f>
        <v>7701</v>
      </c>
    </row>
    <row r="13" spans="1:8" ht="11.25" customHeight="1">
      <c r="A13" s="99">
        <v>1984</v>
      </c>
      <c r="B13" s="24">
        <f>IF(AND('A-12'!B13="-",'A-12'!B61="-",'A-12'!B109="-"),"-",SUM('A-12'!B13,'A-12'!B61,'A-12'!B109))</f>
        <v>546</v>
      </c>
      <c r="C13" s="24" t="str">
        <f>IF(AND('A-12'!C13="-",'A-12'!C61="-",'A-12'!C109="-"),"-",SUM('A-12'!C13,'A-12'!C61,'A-12'!C109))</f>
        <v>-</v>
      </c>
      <c r="D13" s="24" t="str">
        <f>IF(AND('A-12'!D13="-",'A-12'!D61="-",'A-12'!D109="-"),"-",SUM('A-12'!D13,'A-12'!D61,'A-12'!D109))</f>
        <v>-</v>
      </c>
      <c r="E13" s="24">
        <f>IF(AND('A-12'!E13="-",'A-12'!E61="-",'A-12'!E109="-"),"-",SUM('A-12'!E13,'A-12'!E61,'A-12'!E109))</f>
        <v>313</v>
      </c>
      <c r="F13" s="24" t="str">
        <f>IF(AND('A-12'!F13="-",'A-12'!F61="-",'A-12'!F109="-"),"-",SUM('A-12'!F13,'A-12'!F61,'A-12'!F109))</f>
        <v>-</v>
      </c>
      <c r="G13" s="24" t="str">
        <f>IF(AND('A-12'!G13="-",'A-12'!G61="-",'A-12'!G109="-"),"-",SUM('A-12'!G13,'A-12'!G61,'A-12'!G109))</f>
        <v>-</v>
      </c>
      <c r="H13" s="24">
        <f>IF(AND('A-12'!H13="-",'A-12'!H61="-",'A-12'!H109="-"),"-",SUM('A-12'!H13,'A-12'!H61,'A-12'!H109))</f>
        <v>859</v>
      </c>
    </row>
    <row r="14" spans="1:8" ht="11.25" customHeight="1">
      <c r="A14" s="99">
        <v>1985</v>
      </c>
      <c r="B14" s="24">
        <f>IF(AND('A-12'!B14="-",'A-12'!B62="-",'A-12'!B110="-"),"-",SUM('A-12'!B14,'A-12'!B62,'A-12'!B110))</f>
        <v>2162</v>
      </c>
      <c r="C14" s="24">
        <f>IF(AND('A-12'!C14="-",'A-12'!C62="-",'A-12'!C110="-"),"-",SUM('A-12'!C14,'A-12'!C62,'A-12'!C110))</f>
        <v>20</v>
      </c>
      <c r="D14" s="24">
        <f>IF(AND('A-12'!D14="-",'A-12'!D62="-",'A-12'!D110="-"),"-",SUM('A-12'!D14,'A-12'!D62,'A-12'!D110))</f>
        <v>2041</v>
      </c>
      <c r="E14" s="24">
        <f>IF(AND('A-12'!E14="-",'A-12'!E62="-",'A-12'!E110="-"),"-",SUM('A-12'!E14,'A-12'!E62,'A-12'!E110))</f>
        <v>1432</v>
      </c>
      <c r="F14" s="24">
        <f>IF(AND('A-12'!F14="-",'A-12'!F62="-",'A-12'!F110="-"),"-",SUM('A-12'!F14,'A-12'!F62,'A-12'!F110))</f>
        <v>14</v>
      </c>
      <c r="G14" s="24" t="str">
        <f>IF(AND('A-12'!G14="-",'A-12'!G62="-",'A-12'!G110="-"),"-",SUM('A-12'!G14,'A-12'!G62,'A-12'!G110))</f>
        <v>-</v>
      </c>
      <c r="H14" s="24">
        <f>IF(AND('A-12'!H14="-",'A-12'!H62="-",'A-12'!H110="-"),"-",SUM('A-12'!H14,'A-12'!H62,'A-12'!H110))</f>
        <v>5669</v>
      </c>
    </row>
    <row r="15" spans="1:8" ht="11.25" customHeight="1">
      <c r="A15" s="99">
        <v>1986</v>
      </c>
      <c r="B15" s="24">
        <f>IF(AND('A-12'!B15="-",'A-12'!B63="-",'A-12'!B111="-"),"-",SUM('A-12'!B15,'A-12'!B63,'A-12'!B111))</f>
        <v>1878</v>
      </c>
      <c r="C15" s="24">
        <f>IF(AND('A-12'!C15="-",'A-12'!C63="-",'A-12'!C111="-"),"-",SUM('A-12'!C15,'A-12'!C63,'A-12'!C111))</f>
        <v>15</v>
      </c>
      <c r="D15" s="24" t="str">
        <f>IF(AND('A-12'!D15="-",'A-12'!D63="-",'A-12'!D111="-"),"-",SUM('A-12'!D15,'A-12'!D63,'A-12'!D111))</f>
        <v>-</v>
      </c>
      <c r="E15" s="24">
        <f>IF(AND('A-12'!E15="-",'A-12'!E63="-",'A-12'!E111="-"),"-",SUM('A-12'!E15,'A-12'!E63,'A-12'!E111))</f>
        <v>927</v>
      </c>
      <c r="F15" s="24" t="str">
        <f>IF(AND('A-12'!F15="-",'A-12'!F63="-",'A-12'!F111="-"),"-",SUM('A-12'!F15,'A-12'!F63,'A-12'!F111))</f>
        <v>-</v>
      </c>
      <c r="G15" s="24" t="str">
        <f>IF(AND('A-12'!G15="-",'A-12'!G63="-",'A-12'!G111="-"),"-",SUM('A-12'!G15,'A-12'!G63,'A-12'!G111))</f>
        <v>-</v>
      </c>
      <c r="H15" s="24">
        <f>IF(AND('A-12'!H15="-",'A-12'!H63="-",'A-12'!H111="-"),"-",SUM('A-12'!H15,'A-12'!H63,'A-12'!H111))</f>
        <v>2820</v>
      </c>
    </row>
    <row r="16" spans="1:8" ht="11.25" customHeight="1">
      <c r="A16" s="99">
        <v>1987</v>
      </c>
      <c r="B16" s="24">
        <f>IF(AND('A-12'!B16="-",'A-12'!B64="-",'A-12'!B112="-"),"-",SUM('A-12'!B16,'A-12'!B64,'A-12'!B112))</f>
        <v>1768</v>
      </c>
      <c r="C16" s="24" t="str">
        <f>IF(AND('A-12'!C16="-",'A-12'!C64="-",'A-12'!C112="-"),"-",SUM('A-12'!C16,'A-12'!C64,'A-12'!C112))</f>
        <v>-</v>
      </c>
      <c r="D16" s="24">
        <f>IF(AND('A-12'!D16="-",'A-12'!D64="-",'A-12'!D112="-"),"-",SUM('A-12'!D16,'A-12'!D64,'A-12'!D112))</f>
        <v>872</v>
      </c>
      <c r="E16" s="24">
        <f>IF(AND('A-12'!E16="-",'A-12'!E64="-",'A-12'!E112="-"),"-",SUM('A-12'!E16,'A-12'!E64,'A-12'!E112))</f>
        <v>7</v>
      </c>
      <c r="F16" s="24" t="str">
        <f>IF(AND('A-12'!F16="-",'A-12'!F64="-",'A-12'!F112="-"),"-",SUM('A-12'!F16,'A-12'!F64,'A-12'!F112))</f>
        <v>-</v>
      </c>
      <c r="G16" s="24" t="str">
        <f>IF(AND('A-12'!G16="-",'A-12'!G64="-",'A-12'!G112="-"),"-",SUM('A-12'!G16,'A-12'!G64,'A-12'!G112))</f>
        <v>-</v>
      </c>
      <c r="H16" s="24">
        <f>IF(AND('A-12'!H16="-",'A-12'!H64="-",'A-12'!H112="-"),"-",SUM('A-12'!H16,'A-12'!H64,'A-12'!H112))</f>
        <v>2647</v>
      </c>
    </row>
    <row r="17" spans="1:8" ht="11.25" customHeight="1">
      <c r="A17" s="99">
        <v>1988</v>
      </c>
      <c r="B17" s="24">
        <f>IF(AND('A-12'!B17="-",'A-12'!B65="-",'A-12'!B113="-"),"-",SUM('A-12'!B17,'A-12'!B65,'A-12'!B113))</f>
        <v>3424</v>
      </c>
      <c r="C17" s="24">
        <f>IF(AND('A-12'!C17="-",'A-12'!C65="-",'A-12'!C113="-"),"-",SUM('A-12'!C17,'A-12'!C65,'A-12'!C113))</f>
        <v>2026</v>
      </c>
      <c r="D17" s="24">
        <f>IF(AND('A-12'!D17="-",'A-12'!D65="-",'A-12'!D113="-"),"-",SUM('A-12'!D17,'A-12'!D65,'A-12'!D113))</f>
        <v>3</v>
      </c>
      <c r="E17" s="24">
        <f>IF(AND('A-12'!E17="-",'A-12'!E65="-",'A-12'!E113="-"),"-",SUM('A-12'!E17,'A-12'!E65,'A-12'!E113))</f>
        <v>24</v>
      </c>
      <c r="F17" s="24" t="str">
        <f>IF(AND('A-12'!F17="-",'A-12'!F65="-",'A-12'!F113="-"),"-",SUM('A-12'!F17,'A-12'!F65,'A-12'!F113))</f>
        <v>-</v>
      </c>
      <c r="G17" s="24" t="str">
        <f>IF(AND('A-12'!G17="-",'A-12'!G65="-",'A-12'!G113="-"),"-",SUM('A-12'!G17,'A-12'!G65,'A-12'!G113))</f>
        <v>-</v>
      </c>
      <c r="H17" s="24">
        <f>IF(AND('A-12'!H17="-",'A-12'!H65="-",'A-12'!H113="-"),"-",SUM('A-12'!H17,'A-12'!H65,'A-12'!H113))</f>
        <v>5477</v>
      </c>
    </row>
    <row r="18" spans="1:8" ht="11.25" customHeight="1">
      <c r="A18" s="99">
        <v>1989</v>
      </c>
      <c r="B18" s="24">
        <f>IF(AND('A-12'!B18="-",'A-12'!B66="-",'A-12'!B114="-"),"-",SUM('A-12'!B18,'A-12'!B66,'A-12'!B114))</f>
        <v>2151</v>
      </c>
      <c r="C18" s="24">
        <f>IF(AND('A-12'!C18="-",'A-12'!C66="-",'A-12'!C114="-"),"-",SUM('A-12'!C18,'A-12'!C66,'A-12'!C114))</f>
        <v>1068</v>
      </c>
      <c r="D18" s="24" t="str">
        <f>IF(AND('A-12'!D18="-",'A-12'!D66="-",'A-12'!D114="-"),"-",SUM('A-12'!D18,'A-12'!D66,'A-12'!D114))</f>
        <v>-</v>
      </c>
      <c r="E18" s="24">
        <f>IF(AND('A-12'!E18="-",'A-12'!E66="-",'A-12'!E114="-"),"-",SUM('A-12'!E18,'A-12'!E66,'A-12'!E114))</f>
        <v>863</v>
      </c>
      <c r="F18" s="24" t="str">
        <f>IF(AND('A-12'!F18="-",'A-12'!F66="-",'A-12'!F114="-"),"-",SUM('A-12'!F18,'A-12'!F66,'A-12'!F114))</f>
        <v>-</v>
      </c>
      <c r="G18" s="24" t="str">
        <f>IF(AND('A-12'!G18="-",'A-12'!G66="-",'A-12'!G114="-"),"-",SUM('A-12'!G18,'A-12'!G66,'A-12'!G114))</f>
        <v>-</v>
      </c>
      <c r="H18" s="24">
        <f>IF(AND('A-12'!H18="-",'A-12'!H66="-",'A-12'!H114="-"),"-",SUM('A-12'!H18,'A-12'!H66,'A-12'!H114))</f>
        <v>4082</v>
      </c>
    </row>
    <row r="19" spans="1:8" ht="11.25" customHeight="1">
      <c r="A19" s="99">
        <v>1990</v>
      </c>
      <c r="B19" s="24">
        <f>IF(AND('A-12'!B19="-",'A-12'!B67="-",'A-12'!B115="-"),"-",SUM('A-12'!B19,'A-12'!B67,'A-12'!B115))</f>
        <v>2056</v>
      </c>
      <c r="C19" s="24">
        <f>IF(AND('A-12'!C19="-",'A-12'!C67="-",'A-12'!C115="-"),"-",SUM('A-12'!C19,'A-12'!C67,'A-12'!C115))</f>
        <v>211</v>
      </c>
      <c r="D19" s="24" t="str">
        <f>IF(AND('A-12'!D19="-",'A-12'!D67="-",'A-12'!D115="-"),"-",SUM('A-12'!D19,'A-12'!D67,'A-12'!D115))</f>
        <v>-</v>
      </c>
      <c r="E19" s="24">
        <f>IF(AND('A-12'!E19="-",'A-12'!E67="-",'A-12'!E115="-"),"-",SUM('A-12'!E19,'A-12'!E67,'A-12'!E115))</f>
        <v>1929</v>
      </c>
      <c r="F19" s="24">
        <f>IF(AND('A-12'!F19="-",'A-12'!F67="-",'A-12'!F115="-"),"-",SUM('A-12'!F19,'A-12'!F67,'A-12'!F115))</f>
        <v>15</v>
      </c>
      <c r="G19" s="24" t="str">
        <f>IF(AND('A-12'!G19="-",'A-12'!G67="-",'A-12'!G115="-"),"-",SUM('A-12'!G19,'A-12'!G67,'A-12'!G115))</f>
        <v>-</v>
      </c>
      <c r="H19" s="24">
        <f>IF(AND('A-12'!H19="-",'A-12'!H67="-",'A-12'!H115="-"),"-",SUM('A-12'!H19,'A-12'!H67,'A-12'!H115))</f>
        <v>4211</v>
      </c>
    </row>
    <row r="20" spans="1:8" ht="11.25" customHeight="1">
      <c r="A20" s="99">
        <v>1991</v>
      </c>
      <c r="B20" s="24">
        <f>IF(AND('A-12'!B20="-",'A-12'!B68="-",'A-12'!B116="-"),"-",SUM('A-12'!B20,'A-12'!B68,'A-12'!B116))</f>
        <v>1611</v>
      </c>
      <c r="C20" s="24">
        <f>IF(AND('A-12'!C20="-",'A-12'!C68="-",'A-12'!C116="-"),"-",SUM('A-12'!C20,'A-12'!C68,'A-12'!C116))</f>
        <v>985</v>
      </c>
      <c r="D20" s="24" t="str">
        <f>IF(AND('A-12'!D20="-",'A-12'!D68="-",'A-12'!D116="-"),"-",SUM('A-12'!D20,'A-12'!D68,'A-12'!D116))</f>
        <v>-</v>
      </c>
      <c r="E20" s="24">
        <f>IF(AND('A-12'!E20="-",'A-12'!E68="-",'A-12'!E116="-"),"-",SUM('A-12'!E20,'A-12'!E68,'A-12'!E116))</f>
        <v>1181</v>
      </c>
      <c r="F20" s="24">
        <f>IF(AND('A-12'!F20="-",'A-12'!F68="-",'A-12'!F116="-"),"-",SUM('A-12'!F20,'A-12'!F68,'A-12'!F116))</f>
        <v>450</v>
      </c>
      <c r="G20" s="24" t="str">
        <f>IF(AND('A-12'!G20="-",'A-12'!G68="-",'A-12'!G116="-"),"-",SUM('A-12'!G20,'A-12'!G68,'A-12'!G116))</f>
        <v>-</v>
      </c>
      <c r="H20" s="24">
        <f>IF(AND('A-12'!H20="-",'A-12'!H68="-",'A-12'!H116="-"),"-",SUM('A-12'!H20,'A-12'!H68,'A-12'!H116))</f>
        <v>4227</v>
      </c>
    </row>
    <row r="21" spans="1:8" ht="11.25" customHeight="1">
      <c r="A21" s="99">
        <v>1992</v>
      </c>
      <c r="B21" s="24">
        <f>IF(AND('A-12'!B21="-",'A-12'!B69="-",'A-12'!B117="-"),"-",SUM('A-12'!B21,'A-12'!B69,'A-12'!B117))</f>
        <v>1888</v>
      </c>
      <c r="C21" s="24">
        <f>IF(AND('A-12'!C21="-",'A-12'!C69="-",'A-12'!C117="-"),"-",SUM('A-12'!C21,'A-12'!C69,'A-12'!C117))</f>
        <v>1239</v>
      </c>
      <c r="D21" s="24">
        <f>IF(AND('A-12'!D21="-",'A-12'!D69="-",'A-12'!D117="-"),"-",SUM('A-12'!D21,'A-12'!D69,'A-12'!D117))</f>
        <v>852</v>
      </c>
      <c r="E21" s="24">
        <f>IF(AND('A-12'!E21="-",'A-12'!E69="-",'A-12'!E117="-"),"-",SUM('A-12'!E21,'A-12'!E69,'A-12'!E117))</f>
        <v>598</v>
      </c>
      <c r="F21" s="24" t="str">
        <f>IF(AND('A-12'!F21="-",'A-12'!F69="-",'A-12'!F117="-"),"-",SUM('A-12'!F21,'A-12'!F69,'A-12'!F117))</f>
        <v>-</v>
      </c>
      <c r="G21" s="24" t="str">
        <f>IF(AND('A-12'!G21="-",'A-12'!G69="-",'A-12'!G117="-"),"-",SUM('A-12'!G21,'A-12'!G69,'A-12'!G117))</f>
        <v>-</v>
      </c>
      <c r="H21" s="24">
        <f>IF(AND('A-12'!H21="-",'A-12'!H69="-",'A-12'!H117="-"),"-",SUM('A-12'!H21,'A-12'!H69,'A-12'!H117))</f>
        <v>4577</v>
      </c>
    </row>
    <row r="22" spans="1:8" ht="11.25" customHeight="1">
      <c r="A22" s="99">
        <v>1993</v>
      </c>
      <c r="B22" s="24">
        <f>IF(AND('A-12'!B22="-",'A-12'!B70="-",'A-12'!B118="-"),"-",SUM('A-12'!B22,'A-12'!B70,'A-12'!B118))</f>
        <v>1236</v>
      </c>
      <c r="C22" s="24">
        <f>IF(AND('A-12'!C22="-",'A-12'!C70="-",'A-12'!C118="-"),"-",SUM('A-12'!C22,'A-12'!C70,'A-12'!C118))</f>
        <v>937</v>
      </c>
      <c r="D22" s="24">
        <f>IF(AND('A-12'!D22="-",'A-12'!D70="-",'A-12'!D118="-"),"-",SUM('A-12'!D22,'A-12'!D70,'A-12'!D118))</f>
        <v>697</v>
      </c>
      <c r="E22" s="24">
        <f>IF(AND('A-12'!E22="-",'A-12'!E70="-",'A-12'!E118="-"),"-",SUM('A-12'!E22,'A-12'!E70,'A-12'!E118))</f>
        <v>362</v>
      </c>
      <c r="F22" s="24">
        <f>IF(AND('A-12'!F22="-",'A-12'!F70="-",'A-12'!F118="-"),"-",SUM('A-12'!F22,'A-12'!F70,'A-12'!F118))</f>
        <v>387</v>
      </c>
      <c r="G22" s="24" t="str">
        <f>IF(AND('A-12'!G22="-",'A-12'!G70="-",'A-12'!G118="-"),"-",SUM('A-12'!G22,'A-12'!G70,'A-12'!G118))</f>
        <v>-</v>
      </c>
      <c r="H22" s="24">
        <f>IF(AND('A-12'!H22="-",'A-12'!H70="-",'A-12'!H118="-"),"-",SUM('A-12'!H22,'A-12'!H70,'A-12'!H118))</f>
        <v>3619</v>
      </c>
    </row>
    <row r="23" spans="1:8" ht="11.25" customHeight="1">
      <c r="A23" s="99">
        <v>1994</v>
      </c>
      <c r="B23" s="24" t="str">
        <f>IF(AND('A-12'!B23="-",'A-12'!B71="-",'A-12'!B119="-"),"-",SUM('A-12'!B23,'A-12'!B71,'A-12'!B119))</f>
        <v>-</v>
      </c>
      <c r="C23" s="24" t="str">
        <f>IF(AND('A-12'!C23="-",'A-12'!C71="-",'A-12'!C119="-"),"-",SUM('A-12'!C23,'A-12'!C71,'A-12'!C119))</f>
        <v>-</v>
      </c>
      <c r="D23" s="24" t="str">
        <f>IF(AND('A-12'!D23="-",'A-12'!D71="-",'A-12'!D119="-"),"-",SUM('A-12'!D23,'A-12'!D71,'A-12'!D119))</f>
        <v>-</v>
      </c>
      <c r="E23" s="24" t="str">
        <f>IF(AND('A-12'!E23="-",'A-12'!E71="-",'A-12'!E119="-"),"-",SUM('A-12'!E23,'A-12'!E71,'A-12'!E119))</f>
        <v>-</v>
      </c>
      <c r="F23" s="24" t="str">
        <f>IF(AND('A-12'!F23="-",'A-12'!F71="-",'A-12'!F119="-"),"-",SUM('A-12'!F23,'A-12'!F71,'A-12'!F119))</f>
        <v>-</v>
      </c>
      <c r="G23" s="24" t="str">
        <f>IF(AND('A-12'!G23="-",'A-12'!G71="-",'A-12'!G119="-"),"-",SUM('A-12'!G23,'A-12'!G71,'A-12'!G119))</f>
        <v>-</v>
      </c>
      <c r="H23" s="24" t="str">
        <f>IF(AND('A-12'!H23="-",'A-12'!H71="-",'A-12'!H119="-"),"-",SUM('A-12'!H23,'A-12'!H71,'A-12'!H119))</f>
        <v>-</v>
      </c>
    </row>
    <row r="24" spans="1:8" ht="11.25" customHeight="1">
      <c r="A24" s="99">
        <v>1995</v>
      </c>
      <c r="B24" s="24" t="str">
        <f>IF(AND('A-12'!B24="-",'A-12'!B72="-",'A-12'!B120="-"),"-",SUM('A-12'!B24,'A-12'!B72,'A-12'!B120))</f>
        <v>-</v>
      </c>
      <c r="C24" s="24" t="str">
        <f>IF(AND('A-12'!C24="-",'A-12'!C72="-",'A-12'!C120="-"),"-",SUM('A-12'!C24,'A-12'!C72,'A-12'!C120))</f>
        <v>-</v>
      </c>
      <c r="D24" s="24" t="str">
        <f>IF(AND('A-12'!D24="-",'A-12'!D72="-",'A-12'!D120="-"),"-",SUM('A-12'!D24,'A-12'!D72,'A-12'!D120))</f>
        <v>-</v>
      </c>
      <c r="E24" s="24">
        <f>IF(AND('A-12'!E24="-",'A-12'!E72="-",'A-12'!E120="-"),"-",SUM('A-12'!E24,'A-12'!E72,'A-12'!E120))</f>
        <v>397</v>
      </c>
      <c r="F24" s="24">
        <f>IF(AND('A-12'!F24="-",'A-12'!F72="-",'A-12'!F120="-"),"-",SUM('A-12'!F24,'A-12'!F72,'A-12'!F120))</f>
        <v>74</v>
      </c>
      <c r="G24" s="24" t="str">
        <f>IF(AND('A-12'!G24="-",'A-12'!G72="-",'A-12'!G120="-"),"-",SUM('A-12'!G24,'A-12'!G72,'A-12'!G120))</f>
        <v>-</v>
      </c>
      <c r="H24" s="24">
        <f>IF(AND('A-12'!H24="-",'A-12'!H72="-",'A-12'!H120="-"),"-",SUM('A-12'!H24,'A-12'!H72,'A-12'!H120))</f>
        <v>471</v>
      </c>
    </row>
    <row r="25" spans="1:8" ht="11.25" customHeight="1">
      <c r="A25" s="99">
        <v>1996</v>
      </c>
      <c r="B25" s="24" t="str">
        <f>IF(AND('A-12'!B25="-",'A-12'!B73="-",'A-12'!B121="-"),"-",SUM('A-12'!B25,'A-12'!B73,'A-12'!B121))</f>
        <v>-</v>
      </c>
      <c r="C25" s="24" t="str">
        <f>IF(AND('A-12'!C25="-",'A-12'!C73="-",'A-12'!C121="-"),"-",SUM('A-12'!C25,'A-12'!C73,'A-12'!C121))</f>
        <v>-</v>
      </c>
      <c r="D25" s="24">
        <f>IF(AND('A-12'!D25="-",'A-12'!D73="-",'A-12'!D121="-"),"-",SUM('A-12'!D25,'A-12'!D73,'A-12'!D121))</f>
        <v>181</v>
      </c>
      <c r="E25" s="24">
        <f>IF(AND('A-12'!E25="-",'A-12'!E73="-",'A-12'!E121="-"),"-",SUM('A-12'!E25,'A-12'!E73,'A-12'!E121))</f>
        <v>231</v>
      </c>
      <c r="F25" s="24" t="str">
        <f>IF(AND('A-12'!F25="-",'A-12'!F73="-",'A-12'!F121="-"),"-",SUM('A-12'!F25,'A-12'!F73,'A-12'!F121))</f>
        <v>-</v>
      </c>
      <c r="G25" s="24" t="str">
        <f>IF(AND('A-12'!G25="-",'A-12'!G73="-",'A-12'!G121="-"),"-",SUM('A-12'!G25,'A-12'!G73,'A-12'!G121))</f>
        <v>-</v>
      </c>
      <c r="H25" s="24">
        <f>IF(AND('A-12'!H25="-",'A-12'!H73="-",'A-12'!H121="-"),"-",SUM('A-12'!H25,'A-12'!H73,'A-12'!H121))</f>
        <v>412</v>
      </c>
    </row>
    <row r="26" spans="1:8" ht="11.25" customHeight="1">
      <c r="A26" s="99">
        <v>1997</v>
      </c>
      <c r="B26" s="24">
        <f>IF(AND('A-12'!B26="-",'A-12'!B74="-",'A-12'!B122="-"),"-",SUM('A-12'!B26,'A-12'!B74,'A-12'!B122))</f>
        <v>294</v>
      </c>
      <c r="C26" s="24">
        <f>IF(AND('A-12'!C26="-",'A-12'!C74="-",'A-12'!C122="-"),"-",SUM('A-12'!C26,'A-12'!C74,'A-12'!C122))</f>
        <v>158</v>
      </c>
      <c r="D26" s="24" t="str">
        <f>IF(AND('A-12'!D26="-",'A-12'!D74="-",'A-12'!D122="-"),"-",SUM('A-12'!D26,'A-12'!D74,'A-12'!D122))</f>
        <v>-</v>
      </c>
      <c r="E26" s="24" t="str">
        <f>IF(AND('A-12'!E26="-",'A-12'!E74="-",'A-12'!E122="-"),"-",SUM('A-12'!E26,'A-12'!E74,'A-12'!E122))</f>
        <v>-</v>
      </c>
      <c r="F26" s="24" t="str">
        <f>IF(AND('A-12'!F26="-",'A-12'!F74="-",'A-12'!F122="-"),"-",SUM('A-12'!F26,'A-12'!F74,'A-12'!F122))</f>
        <v>-</v>
      </c>
      <c r="G26" s="24" t="str">
        <f>IF(AND('A-12'!G26="-",'A-12'!G74="-",'A-12'!G122="-"),"-",SUM('A-12'!G26,'A-12'!G74,'A-12'!G122))</f>
        <v>-</v>
      </c>
      <c r="H26" s="24">
        <f>IF(AND('A-12'!H26="-",'A-12'!H74="-",'A-12'!H122="-"),"-",SUM('A-12'!H26,'A-12'!H74,'A-12'!H122))</f>
        <v>452</v>
      </c>
    </row>
    <row r="27" spans="1:8" ht="11.25" customHeight="1">
      <c r="A27" s="99">
        <v>1998</v>
      </c>
      <c r="B27" s="24">
        <f>IF(AND('A-12'!B27="-",'A-12'!B75="-",'A-12'!B123="-"),"-",SUM('A-12'!B27,'A-12'!B75,'A-12'!B123))</f>
        <v>127</v>
      </c>
      <c r="C27" s="24">
        <f>IF(AND('A-12'!C27="-",'A-12'!C75="-",'A-12'!C123="-"),"-",SUM('A-12'!C27,'A-12'!C75,'A-12'!C123))</f>
        <v>12</v>
      </c>
      <c r="D27" s="24" t="str">
        <f>IF(AND('A-12'!D27="-",'A-12'!D75="-",'A-12'!D123="-"),"-",SUM('A-12'!D27,'A-12'!D75,'A-12'!D123))</f>
        <v>-</v>
      </c>
      <c r="E27" s="24" t="str">
        <f>IF(AND('A-12'!E27="-",'A-12'!E75="-",'A-12'!E123="-"),"-",SUM('A-12'!E27,'A-12'!E75,'A-12'!E123))</f>
        <v>-</v>
      </c>
      <c r="F27" s="24" t="str">
        <f>IF(AND('A-12'!F27="-",'A-12'!F75="-",'A-12'!F123="-"),"-",SUM('A-12'!F27,'A-12'!F75,'A-12'!F123))</f>
        <v>-</v>
      </c>
      <c r="G27" s="24" t="str">
        <f>IF(AND('A-12'!G27="-",'A-12'!G75="-",'A-12'!G123="-"),"-",SUM('A-12'!G27,'A-12'!G75,'A-12'!G123))</f>
        <v>-</v>
      </c>
      <c r="H27" s="24">
        <f>IF(AND('A-12'!H27="-",'A-12'!H75="-",'A-12'!H123="-"),"-",SUM('A-12'!H27,'A-12'!H75,'A-12'!H123))</f>
        <v>139</v>
      </c>
    </row>
    <row r="28" spans="1:8" ht="11.25" customHeight="1">
      <c r="A28" s="99">
        <v>1999</v>
      </c>
      <c r="B28" s="24">
        <f>IF(AND('A-12'!B28="-",'A-12'!B76="-",'A-12'!B124="-"),"-",SUM('A-12'!B28,'A-12'!B76,'A-12'!B124))</f>
        <v>271</v>
      </c>
      <c r="C28" s="24">
        <f>IF(AND('A-12'!C28="-",'A-12'!C76="-",'A-12'!C124="-"),"-",SUM('A-12'!C28,'A-12'!C76,'A-12'!C124))</f>
        <v>231</v>
      </c>
      <c r="D28" s="24">
        <f>IF(AND('A-12'!D28="-",'A-12'!D76="-",'A-12'!D124="-"),"-",SUM('A-12'!D28,'A-12'!D76,'A-12'!D124))</f>
        <v>135</v>
      </c>
      <c r="E28" s="24">
        <f>IF(AND('A-12'!E28="-",'A-12'!E76="-",'A-12'!E124="-"),"-",SUM('A-12'!E28,'A-12'!E76,'A-12'!E124))</f>
        <v>86</v>
      </c>
      <c r="F28" s="24">
        <f>IF(AND('A-12'!F28="-",'A-12'!F76="-",'A-12'!F124="-"),"-",SUM('A-12'!F28,'A-12'!F76,'A-12'!F124))</f>
        <v>6</v>
      </c>
      <c r="G28" s="24" t="str">
        <f>IF(AND('A-12'!G28="-",'A-12'!G76="-",'A-12'!G124="-"),"-",SUM('A-12'!G28,'A-12'!G76,'A-12'!G124))</f>
        <v>-</v>
      </c>
      <c r="H28" s="24">
        <f>IF(AND('A-12'!H28="-",'A-12'!H76="-",'A-12'!H124="-"),"-",SUM('A-12'!H28,'A-12'!H76,'A-12'!H124))</f>
        <v>729</v>
      </c>
    </row>
    <row r="29" spans="1:8" ht="11.25" customHeight="1">
      <c r="A29" s="99">
        <v>2000</v>
      </c>
      <c r="B29" s="24">
        <f>IF(AND('A-12'!B29="-",'A-12'!B77="-",'A-12'!B125="-"),"-",SUM('A-12'!B29,'A-12'!B77,'A-12'!B125))</f>
        <v>193</v>
      </c>
      <c r="C29" s="24">
        <f>IF(AND('A-12'!C29="-",'A-12'!C77="-",'A-12'!C125="-"),"-",SUM('A-12'!C29,'A-12'!C77,'A-12'!C125))</f>
        <v>95</v>
      </c>
      <c r="D29" s="24" t="str">
        <f>IF(AND('A-12'!D29="-",'A-12'!D77="-",'A-12'!D125="-"),"-",SUM('A-12'!D29,'A-12'!D77,'A-12'!D125))</f>
        <v>-</v>
      </c>
      <c r="E29" s="24">
        <f>IF(AND('A-12'!E29="-",'A-12'!E77="-",'A-12'!E125="-"),"-",SUM('A-12'!E29,'A-12'!E77,'A-12'!E125))</f>
        <v>71</v>
      </c>
      <c r="F29" s="24">
        <f>IF(AND('A-12'!F29="-",'A-12'!F77="-",'A-12'!F125="-"),"-",SUM('A-12'!F29,'A-12'!F77,'A-12'!F125))</f>
        <v>3</v>
      </c>
      <c r="G29" s="24" t="str">
        <f>IF(AND('A-12'!G29="-",'A-12'!G77="-",'A-12'!G125="-"),"-",SUM('A-12'!G29,'A-12'!G77,'A-12'!G125))</f>
        <v>-</v>
      </c>
      <c r="H29" s="24">
        <f>IF(AND('A-12'!H29="-",'A-12'!H77="-",'A-12'!H125="-"),"-",SUM('A-12'!H29,'A-12'!H77,'A-12'!H125))</f>
        <v>362</v>
      </c>
    </row>
    <row r="30" spans="1:8" ht="11.25" customHeight="1">
      <c r="A30" s="99">
        <v>2001</v>
      </c>
      <c r="B30" s="24">
        <f>IF(AND('A-12'!B30="-",'A-12'!B78="-",'A-12'!B126="-"),"-",SUM('A-12'!B30,'A-12'!B78,'A-12'!B126))</f>
        <v>209</v>
      </c>
      <c r="C30" s="24">
        <f>IF(AND('A-12'!C30="-",'A-12'!C78="-",'A-12'!C126="-"),"-",SUM('A-12'!C30,'A-12'!C78,'A-12'!C126))</f>
        <v>212</v>
      </c>
      <c r="D30" s="24">
        <f>IF(AND('A-12'!D30="-",'A-12'!D78="-",'A-12'!D126="-"),"-",SUM('A-12'!D30,'A-12'!D78,'A-12'!D126))</f>
        <v>159</v>
      </c>
      <c r="E30" s="24">
        <f>IF(AND('A-12'!E30="-",'A-12'!E78="-",'A-12'!E126="-"),"-",SUM('A-12'!E30,'A-12'!E78,'A-12'!E126))</f>
        <v>70</v>
      </c>
      <c r="F30" s="24">
        <f>IF(AND('A-12'!F30="-",'A-12'!F78="-",'A-12'!F126="-"),"-",SUM('A-12'!F30,'A-12'!F78,'A-12'!F126))</f>
        <v>38</v>
      </c>
      <c r="G30" s="24" t="str">
        <f>IF(AND('A-12'!G30="-",'A-12'!G78="-",'A-12'!G126="-"),"-",SUM('A-12'!G30,'A-12'!G78,'A-12'!G126))</f>
        <v>-</v>
      </c>
      <c r="H30" s="24">
        <f>IF(AND('A-12'!H30="-",'A-12'!H78="-",'A-12'!H126="-"),"-",SUM('A-12'!H30,'A-12'!H78,'A-12'!H126))</f>
        <v>688</v>
      </c>
    </row>
    <row r="31" spans="1:8" ht="11.25" customHeight="1">
      <c r="A31" s="99">
        <v>2002</v>
      </c>
      <c r="B31" s="24">
        <f>IF(AND('A-12'!B31="-",'A-12'!B79="-",'A-12'!B127="-"),"-",SUM('A-12'!B31,'A-12'!B79,'A-12'!B127))</f>
        <v>428</v>
      </c>
      <c r="C31" s="24">
        <f>IF(AND('A-12'!C31="-",'A-12'!C79="-",'A-12'!C127="-"),"-",SUM('A-12'!C31,'A-12'!C79,'A-12'!C127))</f>
        <v>183</v>
      </c>
      <c r="D31" s="24">
        <f>IF(AND('A-12'!D31="-",'A-12'!D79="-",'A-12'!D127="-"),"-",SUM('A-12'!D31,'A-12'!D79,'A-12'!D127))</f>
        <v>420</v>
      </c>
      <c r="E31" s="24">
        <f>IF(AND('A-12'!E31="-",'A-12'!E79="-",'A-12'!E127="-"),"-",SUM('A-12'!E31,'A-12'!E79,'A-12'!E127))</f>
        <v>242</v>
      </c>
      <c r="F31" s="24" t="str">
        <f>IF(AND('A-12'!F31="-",'A-12'!F79="-",'A-12'!F127="-"),"-",SUM('A-12'!F31,'A-12'!F79,'A-12'!F127))</f>
        <v>-</v>
      </c>
      <c r="G31" s="24" t="str">
        <f>IF(AND('A-12'!G31="-",'A-12'!G79="-",'A-12'!G127="-"),"-",SUM('A-12'!G31,'A-12'!G79,'A-12'!G127))</f>
        <v>-</v>
      </c>
      <c r="H31" s="24">
        <f>IF(AND('A-12'!H31="-",'A-12'!H79="-",'A-12'!H127="-"),"-",SUM('A-12'!H31,'A-12'!H79,'A-12'!H127))</f>
        <v>1273</v>
      </c>
    </row>
    <row r="32" spans="1:8" ht="11.25" customHeight="1">
      <c r="A32" s="99">
        <v>2003</v>
      </c>
      <c r="B32" s="24">
        <f>IF(AND('A-12'!B32="-",'A-12'!B80="-",'A-12'!B128="-"),"-",SUM('A-12'!B32,'A-12'!B80,'A-12'!B128))</f>
        <v>421</v>
      </c>
      <c r="C32" s="24">
        <f>IF(AND('A-12'!C32="-",'A-12'!C80="-",'A-12'!C128="-"),"-",SUM('A-12'!C32,'A-12'!C80,'A-12'!C128))</f>
        <v>195</v>
      </c>
      <c r="D32" s="24">
        <f>IF(AND('A-12'!D32="-",'A-12'!D80="-",'A-12'!D128="-"),"-",SUM('A-12'!D32,'A-12'!D80,'A-12'!D128))</f>
        <v>476</v>
      </c>
      <c r="E32" s="24">
        <f>IF(AND('A-12'!E32="-",'A-12'!E80="-",'A-12'!E128="-"),"-",SUM('A-12'!E32,'A-12'!E80,'A-12'!E128))</f>
        <v>415</v>
      </c>
      <c r="F32" s="24">
        <f>IF(AND('A-12'!F32="-",'A-12'!F80="-",'A-12'!F128="-"),"-",SUM('A-12'!F32,'A-12'!F80,'A-12'!F128))</f>
        <v>77</v>
      </c>
      <c r="G32" s="24" t="str">
        <f>IF(AND('A-12'!G32="-",'A-12'!G80="-",'A-12'!G128="-"),"-",SUM('A-12'!G32,'A-12'!G80,'A-12'!G128))</f>
        <v>-</v>
      </c>
      <c r="H32" s="24">
        <f>IF(AND('A-12'!H32="-",'A-12'!H80="-",'A-12'!H128="-"),"-",SUM('A-12'!H32,'A-12'!H80,'A-12'!H128))</f>
        <v>1584</v>
      </c>
    </row>
    <row r="33" spans="1:8" ht="11.25" customHeight="1">
      <c r="A33" s="99">
        <v>2004</v>
      </c>
      <c r="B33" s="24">
        <f>IF(AND('A-12'!B33="-",'A-12'!B81="-",'A-12'!B129="-"),"-",SUM('A-12'!B33,'A-12'!B81,'A-12'!B129))</f>
        <v>460</v>
      </c>
      <c r="C33" s="24">
        <f>IF(AND('A-12'!C33="-",'A-12'!C81="-",'A-12'!C129="-"),"-",SUM('A-12'!C33,'A-12'!C81,'A-12'!C129))</f>
        <v>10</v>
      </c>
      <c r="D33" s="24">
        <f>IF(AND('A-12'!D33="-",'A-12'!D81="-",'A-12'!D129="-"),"-",SUM('A-12'!D33,'A-12'!D81,'A-12'!D129))</f>
        <v>392</v>
      </c>
      <c r="E33" s="24">
        <f>IF(AND('A-12'!E33="-",'A-12'!E81="-",'A-12'!E129="-"),"-",SUM('A-12'!E33,'A-12'!E81,'A-12'!E129))</f>
        <v>342</v>
      </c>
      <c r="F33" s="24">
        <f>IF(AND('A-12'!F33="-",'A-12'!F81="-",'A-12'!F129="-"),"-",SUM('A-12'!F33,'A-12'!F81,'A-12'!F129))</f>
        <v>125</v>
      </c>
      <c r="G33" s="24" t="str">
        <f>IF(AND('A-12'!G33="-",'A-12'!G81="-",'A-12'!G129="-"),"-",SUM('A-12'!G33,'A-12'!G81,'A-12'!G129))</f>
        <v>-</v>
      </c>
      <c r="H33" s="24">
        <f>IF(AND('A-12'!H33="-",'A-12'!H81="-",'A-12'!H129="-"),"-",SUM('A-12'!H33,'A-12'!H81,'A-12'!H129))</f>
        <v>1329</v>
      </c>
    </row>
    <row r="34" spans="1:8" ht="11.25" customHeight="1">
      <c r="A34" s="99">
        <v>2005</v>
      </c>
      <c r="B34" s="24">
        <f>IF(AND('A-12'!B34="-",'A-12'!B82="-",'A-12'!B130="-"),"-",SUM('A-12'!B34,'A-12'!B82,'A-12'!B130))</f>
        <v>492</v>
      </c>
      <c r="C34" s="24">
        <f>IF(AND('A-12'!C34="-",'A-12'!C82="-",'A-12'!C130="-"),"-",SUM('A-12'!C34,'A-12'!C82,'A-12'!C130))</f>
        <v>104</v>
      </c>
      <c r="D34" s="24">
        <f>IF(AND('A-12'!D34="-",'A-12'!D82="-",'A-12'!D130="-"),"-",SUM('A-12'!D34,'A-12'!D82,'A-12'!D130))</f>
        <v>337</v>
      </c>
      <c r="E34" s="24">
        <f>IF(AND('A-12'!E34="-",'A-12'!E82="-",'A-12'!E130="-"),"-",SUM('A-12'!E34,'A-12'!E82,'A-12'!E130))</f>
        <v>402</v>
      </c>
      <c r="F34" s="24" t="str">
        <f>IF(AND('A-12'!F34="-",'A-12'!F82="-",'A-12'!F130="-"),"-",SUM('A-12'!F34,'A-12'!F82,'A-12'!F130))</f>
        <v>-</v>
      </c>
      <c r="G34" s="24" t="str">
        <f>IF(AND('A-12'!G34="-",'A-12'!G82="-",'A-12'!G130="-"),"-",SUM('A-12'!G34,'A-12'!G82,'A-12'!G130))</f>
        <v>-</v>
      </c>
      <c r="H34" s="24">
        <f>IF(AND('A-12'!H34="-",'A-12'!H82="-",'A-12'!H130="-"),"-",SUM('A-12'!H34,'A-12'!H82,'A-12'!H130))</f>
        <v>1335</v>
      </c>
    </row>
    <row r="35" spans="1:8" ht="11.25" customHeight="1">
      <c r="A35" s="99">
        <v>2006</v>
      </c>
      <c r="B35" s="24">
        <f>IF(AND('A-12'!B35="-",'A-12'!B83="-",'A-12'!B131="-"),"-",SUM('A-12'!B35,'A-12'!B83,'A-12'!B131))</f>
        <v>359</v>
      </c>
      <c r="C35" s="24">
        <f>IF(AND('A-12'!C35="-",'A-12'!C83="-",'A-12'!C131="-"),"-",SUM('A-12'!C35,'A-12'!C83,'A-12'!C131))</f>
        <v>381</v>
      </c>
      <c r="D35" s="24">
        <f>IF(AND('A-12'!D35="-",'A-12'!D83="-",'A-12'!D131="-"),"-",SUM('A-12'!D35,'A-12'!D83,'A-12'!D131))</f>
        <v>99</v>
      </c>
      <c r="E35" s="24">
        <f>IF(AND('A-12'!E35="-",'A-12'!E83="-",'A-12'!E131="-"),"-",SUM('A-12'!E35,'A-12'!E83,'A-12'!E131))</f>
        <v>296</v>
      </c>
      <c r="F35" s="24">
        <f>IF(AND('A-12'!F35="-",'A-12'!F83="-",'A-12'!F131="-"),"-",SUM('A-12'!F35,'A-12'!F83,'A-12'!F131))</f>
        <v>169</v>
      </c>
      <c r="G35" s="24" t="str">
        <f>IF(AND('A-12'!G35="-",'A-12'!G83="-",'A-12'!G131="-"),"-",SUM('A-12'!G35,'A-12'!G83,'A-12'!G131))</f>
        <v>-</v>
      </c>
      <c r="H35" s="24">
        <f>IF(AND('A-12'!H35="-",'A-12'!H83="-",'A-12'!H131="-"),"-",SUM('A-12'!H35,'A-12'!H83,'A-12'!H131))</f>
        <v>1304</v>
      </c>
    </row>
    <row r="36" spans="1:8" ht="11.25" customHeight="1">
      <c r="A36" s="99">
        <v>2007</v>
      </c>
      <c r="B36" s="24">
        <f>IF(AND('A-12'!B36="-",'A-12'!B84="-",'A-12'!B132="-"),"-",SUM('A-12'!B36,'A-12'!B84,'A-12'!B132))</f>
        <v>445</v>
      </c>
      <c r="C36" s="24">
        <f>IF(AND('A-12'!C36="-",'A-12'!C84="-",'A-12'!C132="-"),"-",SUM('A-12'!C36,'A-12'!C84,'A-12'!C132))</f>
        <v>253</v>
      </c>
      <c r="D36" s="24">
        <f>IF(AND('A-12'!D36="-",'A-12'!D84="-",'A-12'!D132="-"),"-",SUM('A-12'!D36,'A-12'!D84,'A-12'!D132))</f>
        <v>354</v>
      </c>
      <c r="E36" s="24">
        <f>IF(AND('A-12'!E36="-",'A-12'!E84="-",'A-12'!E132="-"),"-",SUM('A-12'!E36,'A-12'!E84,'A-12'!E132))</f>
        <v>114</v>
      </c>
      <c r="F36" s="24">
        <f>IF(AND('A-12'!F36="-",'A-12'!F84="-",'A-12'!F132="-"),"-",SUM('A-12'!F36,'A-12'!F84,'A-12'!F132))</f>
        <v>8</v>
      </c>
      <c r="G36" s="24" t="str">
        <f>IF(AND('A-12'!G36="-",'A-12'!G84="-",'A-12'!G132="-"),"-",SUM('A-12'!G36,'A-12'!G84,'A-12'!G132))</f>
        <v>-</v>
      </c>
      <c r="H36" s="24">
        <f>IF(AND('A-12'!H36="-",'A-12'!H84="-",'A-12'!H132="-"),"-",SUM('A-12'!H36,'A-12'!H84,'A-12'!H132))</f>
        <v>1174</v>
      </c>
    </row>
    <row r="37" spans="1:8" ht="11.25" customHeight="1">
      <c r="A37" s="99">
        <v>2008</v>
      </c>
      <c r="B37" s="24">
        <f>IF(AND('A-12'!B37="-",'A-12'!B85="-",'A-12'!B133="-"),"-",SUM('A-12'!B37,'A-12'!B85,'A-12'!B133))</f>
        <v>246</v>
      </c>
      <c r="C37" s="24">
        <f>IF(AND('A-12'!C37="-",'A-12'!C85="-",'A-12'!C133="-"),"-",SUM('A-12'!C37,'A-12'!C85,'A-12'!C133))</f>
        <v>353</v>
      </c>
      <c r="D37" s="24">
        <f>IF(AND('A-12'!D37="-",'A-12'!D85="-",'A-12'!D133="-"),"-",SUM('A-12'!D37,'A-12'!D85,'A-12'!D133))</f>
        <v>223</v>
      </c>
      <c r="E37" s="24">
        <f>IF(AND('A-12'!E37="-",'A-12'!E85="-",'A-12'!E133="-"),"-",SUM('A-12'!E37,'A-12'!E85,'A-12'!E133))</f>
        <v>213</v>
      </c>
      <c r="F37" s="24">
        <f>IF(AND('A-12'!F37="-",'A-12'!F85="-",'A-12'!F133="-"),"-",SUM('A-12'!F37,'A-12'!F85,'A-12'!F133))</f>
        <v>60</v>
      </c>
      <c r="G37" s="24" t="str">
        <f>IF(AND('A-12'!G37="-",'A-12'!G85="-",'A-12'!G133="-"),"-",SUM('A-12'!G37,'A-12'!G85,'A-12'!G133))</f>
        <v>-</v>
      </c>
      <c r="H37" s="24">
        <f>IF(AND('A-12'!H37="-",'A-12'!H85="-",'A-12'!H133="-"),"-",SUM('A-12'!H37,'A-12'!H85,'A-12'!H133))</f>
        <v>1095</v>
      </c>
    </row>
    <row r="38" spans="1:8" ht="11.25" customHeight="1">
      <c r="A38" s="99">
        <v>2009</v>
      </c>
      <c r="B38" s="24">
        <f>IF(AND('A-12'!B38="-",'A-12'!B86="-",'A-12'!B134="-"),"-",SUM('A-12'!B38,'A-12'!B86,'A-12'!B134))</f>
        <v>467</v>
      </c>
      <c r="C38" s="24">
        <f>IF(AND('A-12'!C38="-",'A-12'!C86="-",'A-12'!C134="-"),"-",SUM('A-12'!C38,'A-12'!C86,'A-12'!C134))</f>
        <v>551</v>
      </c>
      <c r="D38" s="24">
        <f>IF(AND('A-12'!D38="-",'A-12'!D86="-",'A-12'!D134="-"),"-",SUM('A-12'!D38,'A-12'!D86,'A-12'!D134))</f>
        <v>432</v>
      </c>
      <c r="E38" s="24">
        <f>IF(AND('A-12'!E38="-",'A-12'!E86="-",'A-12'!E134="-"),"-",SUM('A-12'!E38,'A-12'!E86,'A-12'!E134))</f>
        <v>320</v>
      </c>
      <c r="F38" s="24">
        <f>IF(AND('A-12'!F38="-",'A-12'!F86="-",'A-12'!F134="-"),"-",SUM('A-12'!F38,'A-12'!F86,'A-12'!F134))</f>
        <v>134</v>
      </c>
      <c r="G38" s="24" t="str">
        <f>IF(AND('A-12'!G38="-",'A-12'!G86="-",'A-12'!G134="-"),"-",SUM('A-12'!G38,'A-12'!G86,'A-12'!G134))</f>
        <v>-</v>
      </c>
      <c r="H38" s="24">
        <f>IF(AND('A-12'!H38="-",'A-12'!H86="-",'A-12'!H134="-"),"-",SUM('A-12'!H38,'A-12'!H86,'A-12'!H134))</f>
        <v>1904</v>
      </c>
    </row>
    <row r="39" spans="1:8" ht="11.25" customHeight="1">
      <c r="A39" s="99">
        <v>2010</v>
      </c>
      <c r="B39" s="24">
        <f>IF(AND('A-12'!B39="-",'A-12'!B87="-",'A-12'!B135="-"),"-",SUM('A-12'!B39,'A-12'!B87,'A-12'!B135))</f>
        <v>511</v>
      </c>
      <c r="C39" s="24">
        <f>IF(AND('A-12'!C39="-",'A-12'!C87="-",'A-12'!C135="-"),"-",SUM('A-12'!C39,'A-12'!C87,'A-12'!C135))</f>
        <v>858</v>
      </c>
      <c r="D39" s="24">
        <f>IF(AND('A-12'!D39="-",'A-12'!D87="-",'A-12'!D135="-"),"-",SUM('A-12'!D39,'A-12'!D87,'A-12'!D135))</f>
        <v>501</v>
      </c>
      <c r="E39" s="24">
        <f>IF(AND('A-12'!E39="-",'A-12'!E87="-",'A-12'!E135="-"),"-",SUM('A-12'!E39,'A-12'!E87,'A-12'!E135))</f>
        <v>428</v>
      </c>
      <c r="F39" s="24">
        <f>IF(AND('A-12'!F39="-",'A-12'!F87="-",'A-12'!F135="-"),"-",SUM('A-12'!F39,'A-12'!F87,'A-12'!F135))</f>
        <v>46</v>
      </c>
      <c r="G39" s="24" t="str">
        <f>IF(AND('A-12'!G39="-",'A-12'!G87="-",'A-12'!G135="-"),"-",SUM('A-12'!G39,'A-12'!G87,'A-12'!G135))</f>
        <v>-</v>
      </c>
      <c r="H39" s="24">
        <f>IF(AND('A-12'!H39="-",'A-12'!H87="-",'A-12'!H135="-"),"-",SUM('A-12'!H39,'A-12'!H87,'A-12'!H135))</f>
        <v>2344</v>
      </c>
    </row>
    <row r="40" spans="1:8" ht="11.25" customHeight="1">
      <c r="A40" s="99">
        <v>2011</v>
      </c>
      <c r="B40" s="24">
        <f>IF(AND('A-12'!B40="-",'A-12'!B88="-",'A-12'!B136="-"),"-",SUM('A-12'!B40,'A-12'!B88,'A-12'!B136))</f>
        <v>606</v>
      </c>
      <c r="C40" s="24">
        <f>IF(AND('A-12'!C40="-",'A-12'!C88="-",'A-12'!C136="-"),"-",SUM('A-12'!C40,'A-12'!C88,'A-12'!C136))</f>
        <v>656</v>
      </c>
      <c r="D40" s="24">
        <f>IF(AND('A-12'!D40="-",'A-12'!D88="-",'A-12'!D136="-"),"-",SUM('A-12'!D40,'A-12'!D88,'A-12'!D136))</f>
        <v>448</v>
      </c>
      <c r="E40" s="24">
        <f>IF(AND('A-12'!E40="-",'A-12'!E88="-",'A-12'!E136="-"),"-",SUM('A-12'!E40,'A-12'!E88,'A-12'!E136))</f>
        <v>208</v>
      </c>
      <c r="F40" s="24">
        <f>IF(AND('A-12'!F40="-",'A-12'!F88="-",'A-12'!F136="-"),"-",SUM('A-12'!F40,'A-12'!F88,'A-12'!F136))</f>
        <v>54</v>
      </c>
      <c r="G40" s="24" t="str">
        <f>IF(AND('A-12'!G40="-",'A-12'!G88="-",'A-12'!G136="-"),"-",SUM('A-12'!G40,'A-12'!G88,'A-12'!G136))</f>
        <v>-</v>
      </c>
      <c r="H40" s="24">
        <f>IF(AND('A-12'!H40="-",'A-12'!H88="-",'A-12'!H136="-"),"-",SUM('A-12'!H40,'A-12'!H88,'A-12'!H136))</f>
        <v>1972</v>
      </c>
    </row>
    <row r="41" spans="1:8" ht="11.25" customHeight="1">
      <c r="A41" s="99">
        <v>2012</v>
      </c>
      <c r="B41" s="24">
        <f>IF(AND('A-12'!B41="-",'A-12'!B89="-",'A-12'!B137="-"),"-",SUM('A-12'!B41,'A-12'!B89,'A-12'!B137))</f>
        <v>364</v>
      </c>
      <c r="C41" s="24">
        <f>IF(AND('A-12'!C41="-",'A-12'!C89="-",'A-12'!C137="-"),"-",SUM('A-12'!C41,'A-12'!C89,'A-12'!C137))</f>
        <v>633</v>
      </c>
      <c r="D41" s="24">
        <f>IF(AND('A-12'!D41="-",'A-12'!D89="-",'A-12'!D137="-"),"-",SUM('A-12'!D41,'A-12'!D89,'A-12'!D137))</f>
        <v>452</v>
      </c>
      <c r="E41" s="24">
        <f>IF(AND('A-12'!E41="-",'A-12'!E89="-",'A-12'!E137="-"),"-",SUM('A-12'!E41,'A-12'!E89,'A-12'!E137))</f>
        <v>306</v>
      </c>
      <c r="F41" s="24">
        <f>IF(AND('A-12'!F41="-",'A-12'!F89="-",'A-12'!F137="-"),"-",SUM('A-12'!F41,'A-12'!F89,'A-12'!F137))</f>
        <v>198</v>
      </c>
      <c r="G41" s="24" t="str">
        <f>IF(AND('A-12'!G41="-",'A-12'!G89="-",'A-12'!G137="-"),"-",SUM('A-12'!G41,'A-12'!G89,'A-12'!G137))</f>
        <v>-</v>
      </c>
      <c r="H41" s="24">
        <f>IF(AND('A-12'!H41="-",'A-12'!H89="-",'A-12'!H137="-"),"-",SUM('A-12'!H41,'A-12'!H89,'A-12'!H137))</f>
        <v>1953</v>
      </c>
    </row>
    <row r="42" spans="1:8" ht="11.25" customHeight="1">
      <c r="A42" s="99">
        <v>2013</v>
      </c>
      <c r="B42" s="24">
        <f>IF(AND('A-12'!B42="-",'A-12'!B90="-",'A-12'!B138="-"),"-",SUM('A-12'!B42,'A-12'!B90,'A-12'!B138))</f>
        <v>721</v>
      </c>
      <c r="C42" s="24">
        <f>IF(AND('A-12'!C42="-",'A-12'!C90="-",'A-12'!C138="-"),"-",SUM('A-12'!C42,'A-12'!C90,'A-12'!C138))</f>
        <v>498</v>
      </c>
      <c r="D42" s="24">
        <f>IF(AND('A-12'!D42="-",'A-12'!D90="-",'A-12'!D138="-"),"-",SUM('A-12'!D42,'A-12'!D90,'A-12'!D138))</f>
        <v>471</v>
      </c>
      <c r="E42" s="24">
        <f>IF(AND('A-12'!E42="-",'A-12'!E90="-",'A-12'!E138="-"),"-",SUM('A-12'!E42,'A-12'!E90,'A-12'!E138))</f>
        <v>405</v>
      </c>
      <c r="F42" s="24">
        <f>IF(AND('A-12'!F42="-",'A-12'!F90="-",'A-12'!F138="-"),"-",SUM('A-12'!F42,'A-12'!F90,'A-12'!F138))</f>
        <v>83</v>
      </c>
      <c r="G42" s="24" t="str">
        <f>IF(AND('A-12'!G42="-",'A-12'!G90="-",'A-12'!G138="-"),"-",SUM('A-12'!G42,'A-12'!G90,'A-12'!G138))</f>
        <v>-</v>
      </c>
      <c r="H42" s="24">
        <f>IF(AND('A-12'!H42="-",'A-12'!H90="-",'A-12'!H138="-"),"-",SUM('A-12'!H42,'A-12'!H90,'A-12'!H138))</f>
        <v>2178</v>
      </c>
    </row>
    <row r="43" spans="1:8" ht="11.25" customHeight="1">
      <c r="A43" s="99">
        <v>2014</v>
      </c>
      <c r="B43" s="24">
        <f>IF(AND('A-12'!B43="-",'A-12'!B91="-",'A-12'!B139="-"),"-",SUM('A-12'!B43,'A-12'!B91,'A-12'!B139))</f>
        <v>589</v>
      </c>
      <c r="C43" s="24">
        <f>IF(AND('A-12'!C43="-",'A-12'!C91="-",'A-12'!C139="-"),"-",SUM('A-12'!C43,'A-12'!C91,'A-12'!C139))</f>
        <v>188</v>
      </c>
      <c r="D43" s="24">
        <f>IF(AND('A-12'!D43="-",'A-12'!D91="-",'A-12'!D139="-"),"-",SUM('A-12'!D43,'A-12'!D91,'A-12'!D139))</f>
        <v>397</v>
      </c>
      <c r="E43" s="24">
        <f>IF(AND('A-12'!E43="-",'A-12'!E91="-",'A-12'!E139="-"),"-",SUM('A-12'!E43,'A-12'!E91,'A-12'!E139))</f>
        <v>337</v>
      </c>
      <c r="F43" s="24">
        <f>IF(AND('A-12'!F43="-",'A-12'!F91="-",'A-12'!F139="-"),"-",SUM('A-12'!F43,'A-12'!F91,'A-12'!F139))</f>
        <v>117</v>
      </c>
      <c r="G43" s="24" t="str">
        <f>IF(AND('A-12'!G43="-",'A-12'!G91="-",'A-12'!G139="-"),"-",SUM('A-12'!G43,'A-12'!G91,'A-12'!G139))</f>
        <v>-</v>
      </c>
      <c r="H43" s="24">
        <f>IF(AND('A-12'!H43="-",'A-12'!H91="-",'A-12'!H139="-"),"-",SUM('A-12'!H43,'A-12'!H91,'A-12'!H139))</f>
        <v>1628</v>
      </c>
    </row>
    <row r="44" spans="1:8" ht="11.25" customHeight="1">
      <c r="A44" s="99">
        <v>2015</v>
      </c>
      <c r="B44" s="24">
        <f>IF(AND('A-12'!B44="-",'A-12'!B92="-",'A-12'!B140="-"),"-",SUM('A-12'!B44,'A-12'!B92,'A-12'!B140))</f>
        <v>818</v>
      </c>
      <c r="C44" s="24">
        <f>IF(AND('A-12'!C44="-",'A-12'!C92="-",'A-12'!C140="-"),"-",SUM('A-12'!C44,'A-12'!C92,'A-12'!C140))</f>
        <v>484</v>
      </c>
      <c r="D44" s="24">
        <f>IF(AND('A-12'!D44="-",'A-12'!D92="-",'A-12'!D140="-"),"-",SUM('A-12'!D44,'A-12'!D92,'A-12'!D140))</f>
        <v>491</v>
      </c>
      <c r="E44" s="24">
        <f>IF(AND('A-12'!E44="-",'A-12'!E92="-",'A-12'!E140="-"),"-",SUM('A-12'!E44,'A-12'!E92,'A-12'!E140))</f>
        <v>450</v>
      </c>
      <c r="F44" s="24">
        <f>IF(AND('A-12'!F44="-",'A-12'!F92="-",'A-12'!F140="-"),"-",SUM('A-12'!F44,'A-12'!F92,'A-12'!F140))</f>
        <v>127</v>
      </c>
      <c r="G44" s="24" t="str">
        <f>IF(AND('A-12'!G44="-",'A-12'!G92="-",'A-12'!G140="-"),"-",SUM('A-12'!G44,'A-12'!G92,'A-12'!G140))</f>
        <v>-</v>
      </c>
      <c r="H44" s="24">
        <f>IF(AND('A-12'!H44="-",'A-12'!H92="-",'A-12'!H140="-"),"-",SUM('A-12'!H44,'A-12'!H92,'A-12'!H140))</f>
        <v>2370</v>
      </c>
    </row>
    <row r="45" spans="1:8" ht="11.25" customHeight="1">
      <c r="A45" s="99">
        <v>2016</v>
      </c>
      <c r="B45" s="24">
        <f>IF(AND('A-12'!B45="-",'A-12'!B93="-",'A-12'!B141="-"),"-",SUM('A-12'!B45,'A-12'!B93,'A-12'!B141))</f>
        <v>647</v>
      </c>
      <c r="C45" s="24">
        <f>IF(AND('A-12'!C45="-",'A-12'!C93="-",'A-12'!C141="-"),"-",SUM('A-12'!C45,'A-12'!C93,'A-12'!C141))</f>
        <v>359</v>
      </c>
      <c r="D45" s="24">
        <f>IF(AND('A-12'!D45="-",'A-12'!D93="-",'A-12'!D141="-"),"-",SUM('A-12'!D45,'A-12'!D93,'A-12'!D141))</f>
        <v>248</v>
      </c>
      <c r="E45" s="24">
        <f>IF(AND('A-12'!E45="-",'A-12'!E93="-",'A-12'!E141="-"),"-",SUM('A-12'!E45,'A-12'!E93,'A-12'!E141))</f>
        <v>186</v>
      </c>
      <c r="F45" s="24" t="str">
        <f>IF(AND('A-12'!F45="-",'A-12'!F93="-",'A-12'!F141="-"),"-",SUM('A-12'!F45,'A-12'!F93,'A-12'!F141))</f>
        <v>-</v>
      </c>
      <c r="G45" s="24" t="str">
        <f>IF(AND('A-12'!G45="-",'A-12'!G93="-",'A-12'!G141="-"),"-",SUM('A-12'!G45,'A-12'!G93,'A-12'!G141))</f>
        <v>-</v>
      </c>
      <c r="H45" s="24">
        <f>IF(AND('A-12'!H45="-",'A-12'!H93="-",'A-12'!H141="-"),"-",SUM('A-12'!H45,'A-12'!H93,'A-12'!H141))</f>
        <v>1440</v>
      </c>
    </row>
    <row r="46" spans="1:8" ht="11.25" customHeight="1">
      <c r="A46" s="99">
        <v>2017</v>
      </c>
      <c r="B46" s="24">
        <f>IF(AND('A-12'!B46="-",'A-12'!B94="-",'A-12'!B142="-"),"-",SUM('A-12'!B46,'A-12'!B94,'A-12'!B142))</f>
        <v>762</v>
      </c>
      <c r="C46" s="24">
        <f>IF(AND('A-12'!C46="-",'A-12'!C94="-",'A-12'!C142="-"),"-",SUM('A-12'!C46,'A-12'!C94,'A-12'!C142))</f>
        <v>606</v>
      </c>
      <c r="D46" s="24">
        <f>IF(AND('A-12'!D46="-",'A-12'!D94="-",'A-12'!D142="-"),"-",SUM('A-12'!D46,'A-12'!D94,'A-12'!D142))</f>
        <v>380</v>
      </c>
      <c r="E46" s="24">
        <f>IF(AND('A-12'!E46="-",'A-12'!E94="-",'A-12'!E142="-"),"-",SUM('A-12'!E46,'A-12'!E94,'A-12'!E142))</f>
        <v>411</v>
      </c>
      <c r="F46" s="24">
        <f>IF(AND('A-12'!F46="-",'A-12'!F94="-",'A-12'!F142="-"),"-",SUM('A-12'!F46,'A-12'!F94,'A-12'!F142))</f>
        <v>121</v>
      </c>
      <c r="G46" s="24" t="str">
        <f>IF(AND('A-12'!G46="-",'A-12'!G94="-",'A-12'!G142="-"),"-",SUM('A-12'!G46,'A-12'!G94,'A-12'!G142))</f>
        <v>-</v>
      </c>
      <c r="H46" s="24">
        <f>IF(AND('A-12'!H46="-",'A-12'!H94="-",'A-12'!H142="-"),"-",SUM('A-12'!H46,'A-12'!H94,'A-12'!H142))</f>
        <v>2280</v>
      </c>
    </row>
    <row r="47" spans="1:8" ht="11.25" customHeight="1">
      <c r="A47" s="99">
        <v>2018</v>
      </c>
      <c r="B47" s="24">
        <f>IF(AND('A-12'!B47="-",'A-12'!B95="-",'A-12'!B143="-"),"-",SUM('A-12'!B47,'A-12'!B95,'A-12'!B143))</f>
        <v>741</v>
      </c>
      <c r="C47" s="24">
        <f>IF(AND('A-12'!C47="-",'A-12'!C95="-",'A-12'!C143="-"),"-",SUM('A-12'!C47,'A-12'!C95,'A-12'!C143))</f>
        <v>674</v>
      </c>
      <c r="D47" s="24">
        <f>IF(AND('A-12'!D47="-",'A-12'!D95="-",'A-12'!D143="-"),"-",SUM('A-12'!D47,'A-12'!D95,'A-12'!D143))</f>
        <v>422</v>
      </c>
      <c r="E47" s="24">
        <f>IF(AND('A-12'!E47="-",'A-12'!E95="-",'A-12'!E143="-"),"-",SUM('A-12'!E47,'A-12'!E95,'A-12'!E143))</f>
        <v>189</v>
      </c>
      <c r="F47" s="24">
        <f>IF(AND('A-12'!F47="-",'A-12'!F95="-",'A-12'!F143="-"),"-",SUM('A-12'!F47,'A-12'!F95,'A-12'!F143))</f>
        <v>69</v>
      </c>
      <c r="G47" s="24" t="str">
        <f>IF(AND('A-12'!G47="-",'A-12'!G95="-",'A-12'!G143="-"),"-",SUM('A-12'!G47,'A-12'!G95,'A-12'!G143))</f>
        <v>-</v>
      </c>
      <c r="H47" s="24">
        <f>IF(AND('A-12'!H47="-",'A-12'!H95="-",'A-12'!H143="-"),"-",SUM('A-12'!H47,'A-12'!H95,'A-12'!H143))</f>
        <v>2095</v>
      </c>
    </row>
    <row r="48" spans="1:8" ht="11.25" customHeight="1">
      <c r="A48" s="122">
        <v>2019</v>
      </c>
      <c r="B48" s="24">
        <f>IF(AND('A-12'!B48="-",'A-12'!B96="-",'A-12'!B144="-"),"-",SUM('A-12'!B48,'A-12'!B96,'A-12'!B144))</f>
        <v>361</v>
      </c>
      <c r="C48" s="24">
        <f>IF(AND('A-12'!C48="-",'A-12'!C96="-",'A-12'!C144="-"),"-",SUM('A-12'!C48,'A-12'!C96,'A-12'!C144))</f>
        <v>335</v>
      </c>
      <c r="D48" s="24">
        <f>IF(AND('A-12'!D48="-",'A-12'!D96="-",'A-12'!D144="-"),"-",SUM('A-12'!D48,'A-12'!D96,'A-12'!D144))</f>
        <v>661</v>
      </c>
      <c r="E48" s="24">
        <f>IF(AND('A-12'!E48="-",'A-12'!E96="-",'A-12'!E144="-"),"-",SUM('A-12'!E48,'A-12'!E96,'A-12'!E144))</f>
        <v>191</v>
      </c>
      <c r="F48" s="24">
        <f>IF(AND('A-12'!F48="-",'A-12'!F96="-",'A-12'!F144="-"),"-",SUM('A-12'!F48,'A-12'!F96,'A-12'!F144))</f>
        <v>113</v>
      </c>
      <c r="G48" s="24" t="str">
        <f>IF(AND('A-12'!G48="-",'A-12'!G96="-",'A-12'!G144="-"),"-",SUM('A-12'!G48,'A-12'!G96,'A-12'!G144))</f>
        <v>-</v>
      </c>
      <c r="H48" s="24">
        <f>IF(AND('A-12'!H48="-",'A-12'!H96="-",'A-12'!H144="-"),"-",SUM('A-12'!H48,'A-12'!H96,'A-12'!H144))</f>
        <v>1661</v>
      </c>
    </row>
    <row r="49" spans="1:8" ht="11.25" customHeight="1">
      <c r="A49" s="122">
        <v>2020</v>
      </c>
      <c r="B49" s="24">
        <f>IF(AND('A-12'!B49="-",'A-12'!B97="-",'A-12'!B145="-"),"-",SUM('A-12'!B49,'A-12'!B97,'A-12'!B145))</f>
        <v>73</v>
      </c>
      <c r="C49" s="24">
        <f>IF(AND('A-12'!C49="-",'A-12'!C97="-",'A-12'!C145="-"),"-",SUM('A-12'!C49,'A-12'!C97,'A-12'!C145))</f>
        <v>136</v>
      </c>
      <c r="D49" s="24">
        <f>IF(AND('A-12'!D49="-",'A-12'!D97="-",'A-12'!D145="-"),"-",SUM('A-12'!D49,'A-12'!D97,'A-12'!D145))</f>
        <v>464</v>
      </c>
      <c r="E49" s="24">
        <f>IF(AND('A-12'!E49="-",'A-12'!E97="-",'A-12'!E145="-"),"-",SUM('A-12'!E49,'A-12'!E97,'A-12'!E145))</f>
        <v>227</v>
      </c>
      <c r="F49" s="24">
        <f>IF(AND('A-12'!F49="-",'A-12'!F97="-",'A-12'!F145="-"),"-",SUM('A-12'!F49,'A-12'!F97,'A-12'!F145))</f>
        <v>19</v>
      </c>
      <c r="G49" s="24" t="str">
        <f>IF(AND('A-12'!G49="-",'A-12'!G97="-",'A-12'!G145="-"),"-",SUM('A-12'!G49,'A-12'!G97,'A-12'!G145))</f>
        <v>-</v>
      </c>
      <c r="H49" s="24">
        <f>IF(AND('A-12'!H49="-",'A-12'!H97="-",'A-12'!H145="-"),"-",SUM('A-12'!H49,'A-12'!H97,'A-12'!H145))</f>
        <v>919</v>
      </c>
    </row>
    <row r="50" spans="1:8" ht="11.25" customHeight="1">
      <c r="A50" s="122" t="s">
        <v>317</v>
      </c>
      <c r="B50" s="24">
        <f>IF(AND('A-12'!B50="-",'A-12'!B98="-",'A-12'!B146="-"),"-",SUM('A-12'!B50,'A-12'!B98,'A-12'!B146))</f>
        <v>250</v>
      </c>
      <c r="C50" s="24">
        <f>IF(AND('A-12'!C50="-",'A-12'!C98="-",'A-12'!C146="-"),"-",SUM('A-12'!C50,'A-12'!C98,'A-12'!C146))</f>
        <v>458</v>
      </c>
      <c r="D50" s="24">
        <f>IF(AND('A-12'!D50="-",'A-12'!D98="-",'A-12'!D146="-"),"-",SUM('A-12'!D50,'A-12'!D98,'A-12'!D146))</f>
        <v>495</v>
      </c>
      <c r="E50" s="24">
        <f>IF(AND('A-12'!E50="-",'A-12'!E98="-",'A-12'!E146="-"),"-",SUM('A-12'!E50,'A-12'!E98,'A-12'!E146))</f>
        <v>240</v>
      </c>
      <c r="F50" s="24">
        <f>IF(AND('A-12'!F50="-",'A-12'!F98="-",'A-12'!F146="-"),"-",SUM('A-12'!F50,'A-12'!F98,'A-12'!F146))</f>
        <v>119</v>
      </c>
      <c r="G50" s="24" t="str">
        <f>IF(AND('A-12'!G50="-",'A-12'!G98="-",'A-12'!G146="-"),"-",SUM('A-12'!G50,'A-12'!G98,'A-12'!G146))</f>
        <v>-</v>
      </c>
      <c r="H50" s="24">
        <f>IF(AND('A-12'!H50="-",'A-12'!H98="-",'A-12'!H146="-"),"-",SUM('A-12'!H50,'A-12'!H98,'A-12'!H146))</f>
        <v>1562</v>
      </c>
    </row>
    <row r="51" spans="1:8" ht="11.25" customHeight="1"/>
    <row r="52" spans="1:8" ht="11.25" customHeight="1">
      <c r="A52" s="94" t="s">
        <v>229</v>
      </c>
    </row>
    <row r="53" spans="1:8" ht="11.25" customHeight="1">
      <c r="A53" s="99">
        <v>1976</v>
      </c>
      <c r="B53" s="24">
        <f>IF(AND('A-14'!C5="-",'A-14'!C53="-",'A-14'!C101="-",'A-14'!C149="-"),"-",SUM('A-14'!C5,'A-14'!C53,'A-14'!C101,'A-14'!C149))</f>
        <v>56</v>
      </c>
      <c r="C53" s="24">
        <f>IF(AND('A-14'!D5="-",'A-14'!D53="-",'A-14'!D101="-",'A-14'!D149="-"),"-",SUM('A-14'!D5,'A-14'!D53,'A-14'!D101,'A-14'!D149))</f>
        <v>188</v>
      </c>
      <c r="D53" s="24">
        <f>IF(AND('A-14'!E5="-",'A-14'!E53="-",'A-14'!E101="-",'A-14'!E149="-"),"-",SUM('A-14'!E5,'A-14'!E53,'A-14'!E101,'A-14'!E149))</f>
        <v>369</v>
      </c>
      <c r="E53" s="24">
        <f>IF(AND('A-14'!F5="-",'A-14'!F53="-",'A-14'!F101="-",'A-14'!F149="-"),"-",SUM('A-14'!F5,'A-14'!F53,'A-14'!F101,'A-14'!F149))</f>
        <v>189</v>
      </c>
      <c r="F53" s="24">
        <f>IF(AND('A-14'!G5="-",'A-14'!G53="-",'A-14'!G101="-",'A-14'!G149="-"),"-",SUM('A-14'!G5,'A-14'!G53,'A-14'!G101,'A-14'!G149))</f>
        <v>64</v>
      </c>
      <c r="G53" s="24">
        <f>IF(AND('A-14'!H5="-",'A-14'!H53="-",'A-14'!H101="-",'A-14'!H149="-"),"-",SUM('A-14'!H5,'A-14'!H53,'A-14'!H101,'A-14'!H149))</f>
        <v>7</v>
      </c>
      <c r="H53" s="24">
        <f>IF(AND('A-14'!J5="-",'A-14'!J53="-",'A-14'!J101="-",'A-14'!J149="-"),"-",SUM('A-14'!J5,'A-14'!J53,'A-14'!J101,'A-14'!J149))</f>
        <v>866</v>
      </c>
    </row>
    <row r="54" spans="1:8" ht="11.25" customHeight="1">
      <c r="A54" s="99">
        <v>1977</v>
      </c>
      <c r="B54" s="24">
        <f>IF(AND('A-14'!C6="-",'A-14'!C54="-",'A-14'!C102="-",'A-14'!C150="-"),"-",SUM('A-14'!C6,'A-14'!C54,'A-14'!C102,'A-14'!C150))</f>
        <v>78</v>
      </c>
      <c r="C54" s="24">
        <f>IF(AND('A-14'!D6="-",'A-14'!D54="-",'A-14'!D102="-",'A-14'!D150="-"),"-",SUM('A-14'!D6,'A-14'!D54,'A-14'!D102,'A-14'!D150))</f>
        <v>119</v>
      </c>
      <c r="D54" s="24">
        <f>IF(AND('A-14'!E6="-",'A-14'!E54="-",'A-14'!E102="-",'A-14'!E150="-"),"-",SUM('A-14'!E6,'A-14'!E54,'A-14'!E102,'A-14'!E150))</f>
        <v>164</v>
      </c>
      <c r="E54" s="24">
        <f>IF(AND('A-14'!F6="-",'A-14'!F54="-",'A-14'!F102="-",'A-14'!F150="-"),"-",SUM('A-14'!F6,'A-14'!F54,'A-14'!F102,'A-14'!F150))</f>
        <v>237</v>
      </c>
      <c r="F54" s="24">
        <f>IF(AND('A-14'!G6="-",'A-14'!G54="-",'A-14'!G102="-",'A-14'!G150="-"),"-",SUM('A-14'!G6,'A-14'!G54,'A-14'!G102,'A-14'!G150))</f>
        <v>89</v>
      </c>
      <c r="G54" s="24">
        <f>IF(AND('A-14'!H6="-",'A-14'!H54="-",'A-14'!H102="-",'A-14'!H150="-"),"-",SUM('A-14'!H6,'A-14'!H54,'A-14'!H102,'A-14'!H150))</f>
        <v>2</v>
      </c>
      <c r="H54" s="24">
        <f>IF(AND('A-14'!J6="-",'A-14'!J54="-",'A-14'!J102="-",'A-14'!J150="-"),"-",SUM('A-14'!J6,'A-14'!J54,'A-14'!J102,'A-14'!J150))</f>
        <v>687</v>
      </c>
    </row>
    <row r="55" spans="1:8" ht="11.25" customHeight="1">
      <c r="A55" s="99">
        <v>1978</v>
      </c>
      <c r="B55" s="24">
        <f>IF(AND('A-14'!C7="-",'A-14'!C55="-",'A-14'!C103="-",'A-14'!C151="-"),"-",SUM('A-14'!C7,'A-14'!C55,'A-14'!C103,'A-14'!C151))</f>
        <v>64</v>
      </c>
      <c r="C55" s="24">
        <f>IF(AND('A-14'!D7="-",'A-14'!D55="-",'A-14'!D103="-",'A-14'!D151="-"),"-",SUM('A-14'!D7,'A-14'!D55,'A-14'!D103,'A-14'!D151))</f>
        <v>142</v>
      </c>
      <c r="D55" s="24">
        <f>IF(AND('A-14'!E7="-",'A-14'!E55="-",'A-14'!E103="-",'A-14'!E151="-"),"-",SUM('A-14'!E7,'A-14'!E55,'A-14'!E103,'A-14'!E151))</f>
        <v>102</v>
      </c>
      <c r="E55" s="24">
        <f>IF(AND('A-14'!F7="-",'A-14'!F55="-",'A-14'!F103="-",'A-14'!F151="-"),"-",SUM('A-14'!F7,'A-14'!F55,'A-14'!F103,'A-14'!F151))</f>
        <v>94</v>
      </c>
      <c r="F55" s="24">
        <f>IF(AND('A-14'!G7="-",'A-14'!G55="-",'A-14'!G103="-",'A-14'!G151="-"),"-",SUM('A-14'!G7,'A-14'!G55,'A-14'!G103,'A-14'!G151))</f>
        <v>48</v>
      </c>
      <c r="G55" s="24">
        <f>IF(AND('A-14'!H7="-",'A-14'!H55="-",'A-14'!H103="-",'A-14'!H151="-"),"-",SUM('A-14'!H7,'A-14'!H55,'A-14'!H103,'A-14'!H151))</f>
        <v>6</v>
      </c>
      <c r="H55" s="24">
        <f>IF(AND('A-14'!J7="-",'A-14'!J55="-",'A-14'!J103="-",'A-14'!J151="-"),"-",SUM('A-14'!J7,'A-14'!J55,'A-14'!J103,'A-14'!J151))</f>
        <v>450</v>
      </c>
    </row>
    <row r="56" spans="1:8" ht="11.25" customHeight="1">
      <c r="A56" s="99">
        <v>1979</v>
      </c>
      <c r="B56" s="24">
        <f>IF(AND('A-14'!C8="-",'A-14'!C56="-",'A-14'!C104="-",'A-14'!C152="-"),"-",SUM('A-14'!C8,'A-14'!C56,'A-14'!C104,'A-14'!C152))</f>
        <v>62</v>
      </c>
      <c r="C56" s="24">
        <f>IF(AND('A-14'!D8="-",'A-14'!D56="-",'A-14'!D104="-",'A-14'!D152="-"),"-",SUM('A-14'!D8,'A-14'!D56,'A-14'!D104,'A-14'!D152))</f>
        <v>114</v>
      </c>
      <c r="D56" s="24">
        <f>IF(AND('A-14'!E8="-",'A-14'!E56="-",'A-14'!E104="-",'A-14'!E152="-"),"-",SUM('A-14'!E8,'A-14'!E56,'A-14'!E104,'A-14'!E152))</f>
        <v>185</v>
      </c>
      <c r="E56" s="24">
        <f>IF(AND('A-14'!F8="-",'A-14'!F56="-",'A-14'!F104="-",'A-14'!F152="-"),"-",SUM('A-14'!F8,'A-14'!F56,'A-14'!F104,'A-14'!F152))</f>
        <v>219</v>
      </c>
      <c r="F56" s="24">
        <f>IF(AND('A-14'!G8="-",'A-14'!G56="-",'A-14'!G104="-",'A-14'!G152="-"),"-",SUM('A-14'!G8,'A-14'!G56,'A-14'!G104,'A-14'!G152))</f>
        <v>30</v>
      </c>
      <c r="G56" s="24">
        <f>IF(AND('A-14'!H8="-",'A-14'!H56="-",'A-14'!H104="-",'A-14'!H152="-"),"-",SUM('A-14'!H8,'A-14'!H56,'A-14'!H104,'A-14'!H152))</f>
        <v>8</v>
      </c>
      <c r="H56" s="24">
        <f>IF(AND('A-14'!J8="-",'A-14'!J56="-",'A-14'!J104="-",'A-14'!J152="-"),"-",SUM('A-14'!J8,'A-14'!J56,'A-14'!J104,'A-14'!J152))</f>
        <v>610</v>
      </c>
    </row>
    <row r="57" spans="1:8" ht="11.25" customHeight="1">
      <c r="A57" s="99">
        <v>1980</v>
      </c>
      <c r="B57" s="24">
        <f>IF(AND('A-14'!C9="-",'A-14'!C57="-",'A-14'!C105="-",'A-14'!C153="-"),"-",SUM('A-14'!C9,'A-14'!C57,'A-14'!C105,'A-14'!C153))</f>
        <v>47</v>
      </c>
      <c r="C57" s="24">
        <f>IF(AND('A-14'!D9="-",'A-14'!D57="-",'A-14'!D105="-",'A-14'!D153="-"),"-",SUM('A-14'!D9,'A-14'!D57,'A-14'!D105,'A-14'!D153))</f>
        <v>122</v>
      </c>
      <c r="D57" s="24">
        <f>IF(AND('A-14'!E9="-",'A-14'!E57="-",'A-14'!E105="-",'A-14'!E153="-"),"-",SUM('A-14'!E9,'A-14'!E57,'A-14'!E105,'A-14'!E153))</f>
        <v>142</v>
      </c>
      <c r="E57" s="24">
        <f>IF(AND('A-14'!F9="-",'A-14'!F57="-",'A-14'!F105="-",'A-14'!F153="-"),"-",SUM('A-14'!F9,'A-14'!F57,'A-14'!F105,'A-14'!F153))</f>
        <v>72</v>
      </c>
      <c r="F57" s="24">
        <f>IF(AND('A-14'!G9="-",'A-14'!G57="-",'A-14'!G105="-",'A-14'!G153="-"),"-",SUM('A-14'!G9,'A-14'!G57,'A-14'!G105,'A-14'!G153))</f>
        <v>20</v>
      </c>
      <c r="G57" s="24">
        <f>IF(AND('A-14'!H9="-",'A-14'!H57="-",'A-14'!H105="-",'A-14'!H153="-"),"-",SUM('A-14'!H9,'A-14'!H57,'A-14'!H105,'A-14'!H153))</f>
        <v>9</v>
      </c>
      <c r="H57" s="24">
        <f>IF(AND('A-14'!J9="-",'A-14'!J57="-",'A-14'!J105="-",'A-14'!J153="-"),"-",SUM('A-14'!J9,'A-14'!J57,'A-14'!J105,'A-14'!J153))</f>
        <v>403</v>
      </c>
    </row>
    <row r="58" spans="1:8" ht="11.25" customHeight="1">
      <c r="A58" s="99">
        <v>1981</v>
      </c>
      <c r="B58" s="24">
        <f>IF(AND('A-14'!C10="-",'A-14'!C58="-",'A-14'!C106="-",'A-14'!C154="-"),"-",SUM('A-14'!C10,'A-14'!C58,'A-14'!C106,'A-14'!C154))</f>
        <v>102</v>
      </c>
      <c r="C58" s="24">
        <f>IF(AND('A-14'!D10="-",'A-14'!D58="-",'A-14'!D106="-",'A-14'!D154="-"),"-",SUM('A-14'!D10,'A-14'!D58,'A-14'!D106,'A-14'!D154))</f>
        <v>156</v>
      </c>
      <c r="D58" s="24">
        <f>IF(AND('A-14'!E10="-",'A-14'!E58="-",'A-14'!E106="-",'A-14'!E154="-"),"-",SUM('A-14'!E10,'A-14'!E58,'A-14'!E106,'A-14'!E154))</f>
        <v>286</v>
      </c>
      <c r="E58" s="24">
        <f>IF(AND('A-14'!F10="-",'A-14'!F58="-",'A-14'!F106="-",'A-14'!F154="-"),"-",SUM('A-14'!F10,'A-14'!F58,'A-14'!F106,'A-14'!F154))</f>
        <v>200</v>
      </c>
      <c r="F58" s="24">
        <f>IF(AND('A-14'!G10="-",'A-14'!G58="-",'A-14'!G106="-",'A-14'!G154="-"),"-",SUM('A-14'!G10,'A-14'!G58,'A-14'!G106,'A-14'!G154))</f>
        <v>112</v>
      </c>
      <c r="G58" s="24">
        <f>IF(AND('A-14'!H10="-",'A-14'!H58="-",'A-14'!H106="-",'A-14'!H154="-"),"-",SUM('A-14'!H10,'A-14'!H58,'A-14'!H106,'A-14'!H154))</f>
        <v>7</v>
      </c>
      <c r="H58" s="24">
        <f>IF(AND('A-14'!J10="-",'A-14'!J58="-",'A-14'!J106="-",'A-14'!J154="-"),"-",SUM('A-14'!J10,'A-14'!J58,'A-14'!J106,'A-14'!J154))</f>
        <v>856</v>
      </c>
    </row>
    <row r="59" spans="1:8" ht="11.25" customHeight="1">
      <c r="A59" s="99">
        <v>1982</v>
      </c>
      <c r="B59" s="24">
        <f>IF(AND('A-14'!C11="-",'A-14'!C59="-",'A-14'!C107="-",'A-14'!C155="-"),"-",SUM('A-14'!C11,'A-14'!C59,'A-14'!C107,'A-14'!C155))</f>
        <v>54</v>
      </c>
      <c r="C59" s="24">
        <f>IF(AND('A-14'!D11="-",'A-14'!D59="-",'A-14'!D107="-",'A-14'!D155="-"),"-",SUM('A-14'!D11,'A-14'!D59,'A-14'!D107,'A-14'!D155))</f>
        <v>179</v>
      </c>
      <c r="D59" s="24">
        <f>IF(AND('A-14'!E11="-",'A-14'!E59="-",'A-14'!E107="-",'A-14'!E155="-"),"-",SUM('A-14'!E11,'A-14'!E59,'A-14'!E107,'A-14'!E155))</f>
        <v>258</v>
      </c>
      <c r="E59" s="24">
        <f>IF(AND('A-14'!F11="-",'A-14'!F59="-",'A-14'!F107="-",'A-14'!F155="-"),"-",SUM('A-14'!F11,'A-14'!F59,'A-14'!F107,'A-14'!F155))</f>
        <v>336</v>
      </c>
      <c r="F59" s="24">
        <f>IF(AND('A-14'!G11="-",'A-14'!G59="-",'A-14'!G107="-",'A-14'!G155="-"),"-",SUM('A-14'!G11,'A-14'!G59,'A-14'!G107,'A-14'!G155))</f>
        <v>234</v>
      </c>
      <c r="G59" s="24">
        <f>IF(AND('A-14'!H11="-",'A-14'!H59="-",'A-14'!H107="-",'A-14'!H155="-"),"-",SUM('A-14'!H11,'A-14'!H59,'A-14'!H107,'A-14'!H155))</f>
        <v>26</v>
      </c>
      <c r="H59" s="24">
        <f>IF(AND('A-14'!J11="-",'A-14'!J59="-",'A-14'!J107="-",'A-14'!J155="-"),"-",SUM('A-14'!J11,'A-14'!J59,'A-14'!J107,'A-14'!J155))</f>
        <v>1061</v>
      </c>
    </row>
    <row r="60" spans="1:8" ht="11.25" customHeight="1">
      <c r="A60" s="99">
        <v>1983</v>
      </c>
      <c r="B60" s="24">
        <f>IF(AND('A-14'!C12="-",'A-14'!C60="-",'A-14'!C108="-",'A-14'!C156="-"),"-",SUM('A-14'!C12,'A-14'!C60,'A-14'!C108,'A-14'!C156))</f>
        <v>119</v>
      </c>
      <c r="C60" s="24">
        <f>IF(AND('A-14'!D12="-",'A-14'!D60="-",'A-14'!D108="-",'A-14'!D156="-"),"-",SUM('A-14'!D12,'A-14'!D60,'A-14'!D108,'A-14'!D156))</f>
        <v>248</v>
      </c>
      <c r="D60" s="24">
        <f>IF(AND('A-14'!E12="-",'A-14'!E60="-",'A-14'!E108="-",'A-14'!E156="-"),"-",SUM('A-14'!E12,'A-14'!E60,'A-14'!E108,'A-14'!E156))</f>
        <v>316</v>
      </c>
      <c r="E60" s="24">
        <f>IF(AND('A-14'!F12="-",'A-14'!F60="-",'A-14'!F108="-",'A-14'!F156="-"),"-",SUM('A-14'!F12,'A-14'!F60,'A-14'!F108,'A-14'!F156))</f>
        <v>473</v>
      </c>
      <c r="F60" s="24">
        <f>IF(AND('A-14'!G12="-",'A-14'!G60="-",'A-14'!G108="-",'A-14'!G156="-"),"-",SUM('A-14'!G12,'A-14'!G60,'A-14'!G108,'A-14'!G156))</f>
        <v>182</v>
      </c>
      <c r="G60" s="24">
        <f>IF(AND('A-14'!H12="-",'A-14'!H60="-",'A-14'!H108="-",'A-14'!H156="-"),"-",SUM('A-14'!H12,'A-14'!H60,'A-14'!H108,'A-14'!H156))</f>
        <v>10</v>
      </c>
      <c r="H60" s="24">
        <f>IF(AND('A-14'!J12="-",'A-14'!J60="-",'A-14'!J108="-",'A-14'!J156="-"),"-",SUM('A-14'!J12,'A-14'!J60,'A-14'!J108,'A-14'!J156))</f>
        <v>1338</v>
      </c>
    </row>
    <row r="61" spans="1:8" ht="11.25" customHeight="1">
      <c r="A61" s="99">
        <v>1984</v>
      </c>
      <c r="B61" s="24">
        <f>IF(AND('A-14'!C13="-",'A-14'!C61="-",'A-14'!C109="-",'A-14'!C157="-"),"-",SUM('A-14'!C13,'A-14'!C61,'A-14'!C109,'A-14'!C157))</f>
        <v>56</v>
      </c>
      <c r="C61" s="24">
        <f>IF(AND('A-14'!D13="-",'A-14'!D61="-",'A-14'!D109="-",'A-14'!D157="-"),"-",SUM('A-14'!D13,'A-14'!D61,'A-14'!D109,'A-14'!D157))</f>
        <v>39</v>
      </c>
      <c r="D61" s="24">
        <f>IF(AND('A-14'!E13="-",'A-14'!E61="-",'A-14'!E109="-",'A-14'!E157="-"),"-",SUM('A-14'!E13,'A-14'!E61,'A-14'!E109,'A-14'!E157))</f>
        <v>145</v>
      </c>
      <c r="E61" s="24">
        <f>IF(AND('A-14'!F13="-",'A-14'!F61="-",'A-14'!F109="-",'A-14'!F157="-"),"-",SUM('A-14'!F13,'A-14'!F61,'A-14'!F109,'A-14'!F157))</f>
        <v>212</v>
      </c>
      <c r="F61" s="24">
        <f>IF(AND('A-14'!G13="-",'A-14'!G61="-",'A-14'!G109="-",'A-14'!G157="-"),"-",SUM('A-14'!G13,'A-14'!G61,'A-14'!G109,'A-14'!G157))</f>
        <v>0</v>
      </c>
      <c r="G61" s="24">
        <f>IF(AND('A-14'!H13="-",'A-14'!H61="-",'A-14'!H109="-",'A-14'!H157="-"),"-",SUM('A-14'!H13,'A-14'!H61,'A-14'!H109,'A-14'!H157))</f>
        <v>19</v>
      </c>
      <c r="H61" s="24">
        <f>IF(AND('A-14'!J13="-",'A-14'!J61="-",'A-14'!J109="-",'A-14'!J157="-"),"-",SUM('A-14'!J13,'A-14'!J61,'A-14'!J109,'A-14'!J157))</f>
        <v>452</v>
      </c>
    </row>
    <row r="62" spans="1:8" ht="11.25" customHeight="1">
      <c r="A62" s="99">
        <v>1985</v>
      </c>
      <c r="B62" s="24">
        <f>IF(AND('A-14'!C14="-",'A-14'!C62="-",'A-14'!C110="-",'A-14'!C158="-"),"-",SUM('A-14'!C14,'A-14'!C62,'A-14'!C110,'A-14'!C158))</f>
        <v>64</v>
      </c>
      <c r="C62" s="24">
        <f>IF(AND('A-14'!D14="-",'A-14'!D62="-",'A-14'!D110="-",'A-14'!D158="-"),"-",SUM('A-14'!D14,'A-14'!D62,'A-14'!D110,'A-14'!D158))</f>
        <v>81</v>
      </c>
      <c r="D62" s="24">
        <f>IF(AND('A-14'!E14="-",'A-14'!E62="-",'A-14'!E110="-",'A-14'!E158="-"),"-",SUM('A-14'!E14,'A-14'!E62,'A-14'!E110,'A-14'!E158))</f>
        <v>417</v>
      </c>
      <c r="E62" s="24">
        <f>IF(AND('A-14'!F14="-",'A-14'!F62="-",'A-14'!F110="-",'A-14'!F158="-"),"-",SUM('A-14'!F14,'A-14'!F62,'A-14'!F110,'A-14'!F158))</f>
        <v>343</v>
      </c>
      <c r="F62" s="24">
        <f>IF(AND('A-14'!G14="-",'A-14'!G62="-",'A-14'!G110="-",'A-14'!G158="-"),"-",SUM('A-14'!G14,'A-14'!G62,'A-14'!G110,'A-14'!G158))</f>
        <v>203</v>
      </c>
      <c r="G62" s="24">
        <f>IF(AND('A-14'!H14="-",'A-14'!H62="-",'A-14'!H110="-",'A-14'!H158="-"),"-",SUM('A-14'!H14,'A-14'!H62,'A-14'!H110,'A-14'!H158))</f>
        <v>23</v>
      </c>
      <c r="H62" s="24">
        <f>IF(AND('A-14'!J14="-",'A-14'!J62="-",'A-14'!J110="-",'A-14'!J158="-"),"-",SUM('A-14'!J14,'A-14'!J62,'A-14'!J110,'A-14'!J158))</f>
        <v>1108</v>
      </c>
    </row>
    <row r="63" spans="1:8" ht="11.25" customHeight="1">
      <c r="A63" s="99">
        <v>1986</v>
      </c>
      <c r="B63" s="24">
        <f>IF(AND('A-14'!C15="-",'A-14'!C63="-",'A-14'!C111="-",'A-14'!C159="-"),"-",SUM('A-14'!C15,'A-14'!C63,'A-14'!C111,'A-14'!C159))</f>
        <v>91</v>
      </c>
      <c r="C63" s="24">
        <f>IF(AND('A-14'!D15="-",'A-14'!D63="-",'A-14'!D111="-",'A-14'!D159="-"),"-",SUM('A-14'!D15,'A-14'!D63,'A-14'!D111,'A-14'!D159))</f>
        <v>334</v>
      </c>
      <c r="D63" s="24">
        <f>IF(AND('A-14'!E15="-",'A-14'!E63="-",'A-14'!E111="-",'A-14'!E159="-"),"-",SUM('A-14'!E15,'A-14'!E63,'A-14'!E111,'A-14'!E159))</f>
        <v>453</v>
      </c>
      <c r="E63" s="24">
        <f>IF(AND('A-14'!F15="-",'A-14'!F63="-",'A-14'!F111="-",'A-14'!F159="-"),"-",SUM('A-14'!F15,'A-14'!F63,'A-14'!F111,'A-14'!F159))</f>
        <v>159</v>
      </c>
      <c r="F63" s="24">
        <f>IF(AND('A-14'!G15="-",'A-14'!G63="-",'A-14'!G111="-",'A-14'!G159="-"),"-",SUM('A-14'!G15,'A-14'!G63,'A-14'!G111,'A-14'!G159))</f>
        <v>1</v>
      </c>
      <c r="G63" s="24">
        <f>IF(AND('A-14'!H15="-",'A-14'!H63="-",'A-14'!H111="-",'A-14'!H159="-"),"-",SUM('A-14'!H15,'A-14'!H63,'A-14'!H111,'A-14'!H159))</f>
        <v>0</v>
      </c>
      <c r="H63" s="24">
        <f>IF(AND('A-14'!J15="-",'A-14'!J63="-",'A-14'!J111="-",'A-14'!J159="-"),"-",SUM('A-14'!J15,'A-14'!J63,'A-14'!J111,'A-14'!J159))</f>
        <v>1038</v>
      </c>
    </row>
    <row r="64" spans="1:8" ht="11.25" customHeight="1">
      <c r="A64" s="99">
        <v>1987</v>
      </c>
      <c r="B64" s="24">
        <f>IF(AND('A-14'!C16="-",'A-14'!C64="-",'A-14'!C112="-",'A-14'!C160="-"),"-",SUM('A-14'!C16,'A-14'!C64,'A-14'!C112,'A-14'!C160))</f>
        <v>134</v>
      </c>
      <c r="C64" s="24">
        <f>IF(AND('A-14'!D16="-",'A-14'!D64="-",'A-14'!D112="-",'A-14'!D160="-"),"-",SUM('A-14'!D16,'A-14'!D64,'A-14'!D112,'A-14'!D160))</f>
        <v>0</v>
      </c>
      <c r="D64" s="24">
        <f>IF(AND('A-14'!E16="-",'A-14'!E64="-",'A-14'!E112="-",'A-14'!E160="-"),"-",SUM('A-14'!E16,'A-14'!E64,'A-14'!E112,'A-14'!E160))</f>
        <v>443</v>
      </c>
      <c r="E64" s="24">
        <f>IF(AND('A-14'!F16="-",'A-14'!F64="-",'A-14'!F112="-",'A-14'!F160="-"),"-",SUM('A-14'!F16,'A-14'!F64,'A-14'!F112,'A-14'!F160))</f>
        <v>620</v>
      </c>
      <c r="F64" s="24">
        <f>IF(AND('A-14'!G16="-",'A-14'!G64="-",'A-14'!G112="-",'A-14'!G160="-"),"-",SUM('A-14'!G16,'A-14'!G64,'A-14'!G112,'A-14'!G160))</f>
        <v>0</v>
      </c>
      <c r="G64" s="24">
        <f>IF(AND('A-14'!H16="-",'A-14'!H64="-",'A-14'!H112="-",'A-14'!H160="-"),"-",SUM('A-14'!H16,'A-14'!H64,'A-14'!H112,'A-14'!H160))</f>
        <v>6</v>
      </c>
      <c r="H64" s="24">
        <f>IF(AND('A-14'!J16="-",'A-14'!J64="-",'A-14'!J112="-",'A-14'!J160="-"),"-",SUM('A-14'!J16,'A-14'!J64,'A-14'!J112,'A-14'!J160))</f>
        <v>1197</v>
      </c>
    </row>
    <row r="65" spans="1:8" ht="11.25" customHeight="1">
      <c r="A65" s="99">
        <v>1988</v>
      </c>
      <c r="B65" s="24">
        <f>IF(AND('A-14'!C17="-",'A-14'!C65="-",'A-14'!C113="-",'A-14'!C161="-"),"-",SUM('A-14'!C17,'A-14'!C65,'A-14'!C113,'A-14'!C161))</f>
        <v>181</v>
      </c>
      <c r="C65" s="24">
        <f>IF(AND('A-14'!D17="-",'A-14'!D65="-",'A-14'!D113="-",'A-14'!D161="-"),"-",SUM('A-14'!D17,'A-14'!D65,'A-14'!D113,'A-14'!D161))</f>
        <v>199</v>
      </c>
      <c r="D65" s="24">
        <f>IF(AND('A-14'!E17="-",'A-14'!E65="-",'A-14'!E113="-",'A-14'!E161="-"),"-",SUM('A-14'!E17,'A-14'!E65,'A-14'!E113,'A-14'!E161))</f>
        <v>339</v>
      </c>
      <c r="E65" s="24">
        <f>IF(AND('A-14'!F17="-",'A-14'!F65="-",'A-14'!F113="-",'A-14'!F161="-"),"-",SUM('A-14'!F17,'A-14'!F65,'A-14'!F113,'A-14'!F161))</f>
        <v>518</v>
      </c>
      <c r="F65" s="24">
        <f>IF(AND('A-14'!G17="-",'A-14'!G65="-",'A-14'!G113="-",'A-14'!G161="-"),"-",SUM('A-14'!G17,'A-14'!G65,'A-14'!G113,'A-14'!G161))</f>
        <v>190</v>
      </c>
      <c r="G65" s="24">
        <f>IF(AND('A-14'!H17="-",'A-14'!H65="-",'A-14'!H113="-",'A-14'!H161="-"),"-",SUM('A-14'!H17,'A-14'!H65,'A-14'!H113,'A-14'!H161))</f>
        <v>0</v>
      </c>
      <c r="H65" s="24">
        <f>IF(AND('A-14'!J17="-",'A-14'!J65="-",'A-14'!J113="-",'A-14'!J161="-"),"-",SUM('A-14'!J17,'A-14'!J65,'A-14'!J113,'A-14'!J161))</f>
        <v>1427</v>
      </c>
    </row>
    <row r="66" spans="1:8" ht="11.25" customHeight="1">
      <c r="A66" s="99">
        <v>1989</v>
      </c>
      <c r="B66" s="24">
        <f>IF(AND('A-14'!C18="-",'A-14'!C66="-",'A-14'!C114="-",'A-14'!C162="-"),"-",SUM('A-14'!C18,'A-14'!C66,'A-14'!C114,'A-14'!C162))</f>
        <v>138</v>
      </c>
      <c r="C66" s="24">
        <f>IF(AND('A-14'!D18="-",'A-14'!D66="-",'A-14'!D114="-",'A-14'!D162="-"),"-",SUM('A-14'!D18,'A-14'!D66,'A-14'!D114,'A-14'!D162))</f>
        <v>152</v>
      </c>
      <c r="D66" s="24">
        <f>IF(AND('A-14'!E18="-",'A-14'!E66="-",'A-14'!E114="-",'A-14'!E162="-"),"-",SUM('A-14'!E18,'A-14'!E66,'A-14'!E114,'A-14'!E162))</f>
        <v>558</v>
      </c>
      <c r="E66" s="24">
        <f>IF(AND('A-14'!F18="-",'A-14'!F66="-",'A-14'!F114="-",'A-14'!F162="-"),"-",SUM('A-14'!F18,'A-14'!F66,'A-14'!F114,'A-14'!F162))</f>
        <v>428</v>
      </c>
      <c r="F66" s="24">
        <f>IF(AND('A-14'!G18="-",'A-14'!G66="-",'A-14'!G114="-",'A-14'!G162="-"),"-",SUM('A-14'!G18,'A-14'!G66,'A-14'!G114,'A-14'!G162))</f>
        <v>380</v>
      </c>
      <c r="G66" s="24">
        <f>IF(AND('A-14'!H18="-",'A-14'!H66="-",'A-14'!H114="-",'A-14'!H162="-"),"-",SUM('A-14'!H18,'A-14'!H66,'A-14'!H114,'A-14'!H162))</f>
        <v>0</v>
      </c>
      <c r="H66" s="24">
        <f>IF(AND('A-14'!J18="-",'A-14'!J66="-",'A-14'!J114="-",'A-14'!J162="-"),"-",SUM('A-14'!J18,'A-14'!J66,'A-14'!J114,'A-14'!J162))</f>
        <v>1656</v>
      </c>
    </row>
    <row r="67" spans="1:8" ht="11.25" customHeight="1">
      <c r="A67" s="99">
        <v>1990</v>
      </c>
      <c r="B67" s="24">
        <f>IF(AND('A-14'!C19="-",'A-14'!C67="-",'A-14'!C115="-",'A-14'!C163="-"),"-",SUM('A-14'!C19,'A-14'!C67,'A-14'!C115,'A-14'!C163))</f>
        <v>146</v>
      </c>
      <c r="C67" s="24">
        <f>IF(AND('A-14'!D19="-",'A-14'!D67="-",'A-14'!D115="-",'A-14'!D163="-"),"-",SUM('A-14'!D19,'A-14'!D67,'A-14'!D115,'A-14'!D163))</f>
        <v>153</v>
      </c>
      <c r="D67" s="24">
        <f>IF(AND('A-14'!E19="-",'A-14'!E67="-",'A-14'!E115="-",'A-14'!E163="-"),"-",SUM('A-14'!E19,'A-14'!E67,'A-14'!E115,'A-14'!E163))</f>
        <v>375</v>
      </c>
      <c r="E67" s="24">
        <f>IF(AND('A-14'!F19="-",'A-14'!F67="-",'A-14'!F115="-",'A-14'!F163="-"),"-",SUM('A-14'!F19,'A-14'!F67,'A-14'!F115,'A-14'!F163))</f>
        <v>575</v>
      </c>
      <c r="F67" s="24">
        <f>IF(AND('A-14'!G19="-",'A-14'!G67="-",'A-14'!G115="-",'A-14'!G163="-"),"-",SUM('A-14'!G19,'A-14'!G67,'A-14'!G115,'A-14'!G163))</f>
        <v>232</v>
      </c>
      <c r="G67" s="24">
        <f>IF(AND('A-14'!H19="-",'A-14'!H67="-",'A-14'!H115="-",'A-14'!H163="-"),"-",SUM('A-14'!H19,'A-14'!H67,'A-14'!H115,'A-14'!H163))</f>
        <v>2</v>
      </c>
      <c r="H67" s="24">
        <f>IF(AND('A-14'!J19="-",'A-14'!J67="-",'A-14'!J115="-",'A-14'!J163="-"),"-",SUM('A-14'!J19,'A-14'!J67,'A-14'!J115,'A-14'!J163))</f>
        <v>1481</v>
      </c>
    </row>
    <row r="68" spans="1:8" ht="11.25" customHeight="1">
      <c r="A68" s="99">
        <v>1991</v>
      </c>
      <c r="B68" s="24">
        <f>IF(AND('A-14'!C20="-",'A-14'!C68="-",'A-14'!C116="-",'A-14'!C164="-"),"-",SUM('A-14'!C20,'A-14'!C68,'A-14'!C116,'A-14'!C164))</f>
        <v>112</v>
      </c>
      <c r="C68" s="24">
        <f>IF(AND('A-14'!D20="-",'A-14'!D68="-",'A-14'!D116="-",'A-14'!D164="-"),"-",SUM('A-14'!D20,'A-14'!D68,'A-14'!D116,'A-14'!D164))</f>
        <v>102</v>
      </c>
      <c r="D68" s="24">
        <f>IF(AND('A-14'!E20="-",'A-14'!E68="-",'A-14'!E116="-",'A-14'!E164="-"),"-",SUM('A-14'!E20,'A-14'!E68,'A-14'!E116,'A-14'!E164))</f>
        <v>335</v>
      </c>
      <c r="E68" s="24">
        <f>IF(AND('A-14'!F20="-",'A-14'!F68="-",'A-14'!F116="-",'A-14'!F164="-"),"-",SUM('A-14'!F20,'A-14'!F68,'A-14'!F116,'A-14'!F164))</f>
        <v>599</v>
      </c>
      <c r="F68" s="24">
        <f>IF(AND('A-14'!G20="-",'A-14'!G68="-",'A-14'!G116="-",'A-14'!G164="-"),"-",SUM('A-14'!G20,'A-14'!G68,'A-14'!G116,'A-14'!G164))</f>
        <v>0</v>
      </c>
      <c r="G68" s="24">
        <f>IF(AND('A-14'!H20="-",'A-14'!H68="-",'A-14'!H116="-",'A-14'!H164="-"),"-",SUM('A-14'!H20,'A-14'!H68,'A-14'!H116,'A-14'!H164))</f>
        <v>50</v>
      </c>
      <c r="H68" s="24">
        <f>IF(AND('A-14'!J20="-",'A-14'!J68="-",'A-14'!J116="-",'A-14'!J164="-"),"-",SUM('A-14'!J20,'A-14'!J68,'A-14'!J116,'A-14'!J164))</f>
        <v>1148</v>
      </c>
    </row>
    <row r="69" spans="1:8" ht="11.25" customHeight="1">
      <c r="A69" s="99">
        <v>1992</v>
      </c>
      <c r="B69" s="24">
        <f>IF(AND('A-14'!C21="-",'A-14'!C69="-",'A-14'!C117="-",'A-14'!C165="-"),"-",SUM('A-14'!C21,'A-14'!C69,'A-14'!C117,'A-14'!C165))</f>
        <v>73</v>
      </c>
      <c r="C69" s="24">
        <f>IF(AND('A-14'!D21="-",'A-14'!D69="-",'A-14'!D117="-",'A-14'!D165="-"),"-",SUM('A-14'!D21,'A-14'!D69,'A-14'!D117,'A-14'!D165))</f>
        <v>89</v>
      </c>
      <c r="D69" s="24">
        <f>IF(AND('A-14'!E21="-",'A-14'!E69="-",'A-14'!E117="-",'A-14'!E165="-"),"-",SUM('A-14'!E21,'A-14'!E69,'A-14'!E117,'A-14'!E165))</f>
        <v>244</v>
      </c>
      <c r="E69" s="24">
        <f>IF(AND('A-14'!F21="-",'A-14'!F69="-",'A-14'!F117="-",'A-14'!F165="-"),"-",SUM('A-14'!F21,'A-14'!F69,'A-14'!F117,'A-14'!F165))</f>
        <v>237</v>
      </c>
      <c r="F69" s="24">
        <f>IF(AND('A-14'!G21="-",'A-14'!G69="-",'A-14'!G117="-",'A-14'!G165="-"),"-",SUM('A-14'!G21,'A-14'!G69,'A-14'!G117,'A-14'!G165))</f>
        <v>0</v>
      </c>
      <c r="G69" s="24">
        <f>IF(AND('A-14'!H21="-",'A-14'!H69="-",'A-14'!H117="-",'A-14'!H165="-"),"-",SUM('A-14'!H21,'A-14'!H69,'A-14'!H117,'A-14'!H165))</f>
        <v>1</v>
      </c>
      <c r="H69" s="24">
        <f>IF(AND('A-14'!J21="-",'A-14'!J69="-",'A-14'!J117="-",'A-14'!J165="-"),"-",SUM('A-14'!J21,'A-14'!J69,'A-14'!J117,'A-14'!J165))</f>
        <v>643</v>
      </c>
    </row>
    <row r="70" spans="1:8" ht="11.25" customHeight="1">
      <c r="A70" s="99">
        <v>1993</v>
      </c>
      <c r="B70" s="24">
        <f>IF(AND('A-14'!C22="-",'A-14'!C70="-",'A-14'!C118="-",'A-14'!C166="-"),"-",SUM('A-14'!C22,'A-14'!C70,'A-14'!C118,'A-14'!C166))</f>
        <v>122</v>
      </c>
      <c r="C70" s="24">
        <f>IF(AND('A-14'!D22="-",'A-14'!D70="-",'A-14'!D118="-",'A-14'!D166="-"),"-",SUM('A-14'!D22,'A-14'!D70,'A-14'!D118,'A-14'!D166))</f>
        <v>96</v>
      </c>
      <c r="D70" s="24">
        <f>IF(AND('A-14'!E22="-",'A-14'!E70="-",'A-14'!E118="-",'A-14'!E166="-"),"-",SUM('A-14'!E22,'A-14'!E70,'A-14'!E118,'A-14'!E166))</f>
        <v>329</v>
      </c>
      <c r="E70" s="24">
        <f>IF(AND('A-14'!F22="-",'A-14'!F70="-",'A-14'!F118="-",'A-14'!F166="-"),"-",SUM('A-14'!F22,'A-14'!F70,'A-14'!F118,'A-14'!F166))</f>
        <v>407</v>
      </c>
      <c r="F70" s="24">
        <f>IF(AND('A-14'!G22="-",'A-14'!G70="-",'A-14'!G118="-",'A-14'!G166="-"),"-",SUM('A-14'!G22,'A-14'!G70,'A-14'!G118,'A-14'!G166))</f>
        <v>238</v>
      </c>
      <c r="G70" s="24">
        <f>IF(AND('A-14'!H22="-",'A-14'!H70="-",'A-14'!H118="-",'A-14'!H166="-"),"-",SUM('A-14'!H22,'A-14'!H70,'A-14'!H118,'A-14'!H166))</f>
        <v>0</v>
      </c>
      <c r="H70" s="24">
        <f>IF(AND('A-14'!J22="-",'A-14'!J70="-",'A-14'!J118="-",'A-14'!J166="-"),"-",SUM('A-14'!J22,'A-14'!J70,'A-14'!J118,'A-14'!J166))</f>
        <v>1192</v>
      </c>
    </row>
    <row r="71" spans="1:8" ht="11.25" customHeight="1">
      <c r="A71" s="99">
        <v>1994</v>
      </c>
      <c r="B71" s="24">
        <f>IF(AND('A-14'!C23="-",'A-14'!C71="-",'A-14'!C119="-",'A-14'!C167="-"),"-",SUM('A-14'!C23,'A-14'!C71,'A-14'!C119,'A-14'!C167))</f>
        <v>28</v>
      </c>
      <c r="C71" s="24">
        <f>IF(AND('A-14'!D23="-",'A-14'!D71="-",'A-14'!D119="-",'A-14'!D167="-"),"-",SUM('A-14'!D23,'A-14'!D71,'A-14'!D119,'A-14'!D167))</f>
        <v>70</v>
      </c>
      <c r="D71" s="24">
        <f>IF(AND('A-14'!E23="-",'A-14'!E71="-",'A-14'!E119="-",'A-14'!E167="-"),"-",SUM('A-14'!E23,'A-14'!E71,'A-14'!E119,'A-14'!E167))</f>
        <v>3</v>
      </c>
      <c r="E71" s="24">
        <f>IF(AND('A-14'!F23="-",'A-14'!F71="-",'A-14'!F119="-",'A-14'!F167="-"),"-",SUM('A-14'!F23,'A-14'!F71,'A-14'!F119,'A-14'!F167))</f>
        <v>0</v>
      </c>
      <c r="F71" s="24">
        <f>IF(AND('A-14'!G23="-",'A-14'!G71="-",'A-14'!G119="-",'A-14'!G167="-"),"-",SUM('A-14'!G23,'A-14'!G71,'A-14'!G119,'A-14'!G167))</f>
        <v>0</v>
      </c>
      <c r="G71" s="24">
        <f>IF(AND('A-14'!H23="-",'A-14'!H71="-",'A-14'!H119="-",'A-14'!H167="-"),"-",SUM('A-14'!H23,'A-14'!H71,'A-14'!H119,'A-14'!H167))</f>
        <v>0</v>
      </c>
      <c r="H71" s="24">
        <f>IF(AND('A-14'!J23="-",'A-14'!J71="-",'A-14'!J119="-",'A-14'!J167="-"),"-",SUM('A-14'!J23,'A-14'!J71,'A-14'!J119,'A-14'!J167))</f>
        <v>101</v>
      </c>
    </row>
    <row r="72" spans="1:8" ht="11.25" customHeight="1">
      <c r="A72" s="99">
        <v>1995</v>
      </c>
      <c r="B72" s="24">
        <f>IF(AND('A-14'!C24="-",'A-14'!C72="-",'A-14'!C120="-",'A-14'!C168="-"),"-",SUM('A-14'!C24,'A-14'!C72,'A-14'!C120,'A-14'!C168))</f>
        <v>10</v>
      </c>
      <c r="C72" s="24">
        <f>IF(AND('A-14'!D24="-",'A-14'!D72="-",'A-14'!D120="-",'A-14'!D168="-"),"-",SUM('A-14'!D24,'A-14'!D72,'A-14'!D120,'A-14'!D168))</f>
        <v>0</v>
      </c>
      <c r="D72" s="24">
        <f>IF(AND('A-14'!E24="-",'A-14'!E72="-",'A-14'!E120="-",'A-14'!E168="-"),"-",SUM('A-14'!E24,'A-14'!E72,'A-14'!E120,'A-14'!E168))</f>
        <v>1</v>
      </c>
      <c r="E72" s="24">
        <f>IF(AND('A-14'!F24="-",'A-14'!F72="-",'A-14'!F120="-",'A-14'!F168="-"),"-",SUM('A-14'!F24,'A-14'!F72,'A-14'!F120,'A-14'!F168))</f>
        <v>313</v>
      </c>
      <c r="F72" s="24">
        <f>IF(AND('A-14'!G24="-",'A-14'!G72="-",'A-14'!G120="-",'A-14'!G168="-"),"-",SUM('A-14'!G24,'A-14'!G72,'A-14'!G120,'A-14'!G168))</f>
        <v>0</v>
      </c>
      <c r="G72" s="24">
        <f>IF(AND('A-14'!H24="-",'A-14'!H72="-",'A-14'!H120="-",'A-14'!H168="-"),"-",SUM('A-14'!H24,'A-14'!H72,'A-14'!H120,'A-14'!H168))</f>
        <v>0</v>
      </c>
      <c r="H72" s="24">
        <f>IF(AND('A-14'!J24="-",'A-14'!J72="-",'A-14'!J120="-",'A-14'!J168="-"),"-",SUM('A-14'!J24,'A-14'!J72,'A-14'!J120,'A-14'!J168))</f>
        <v>324</v>
      </c>
    </row>
    <row r="73" spans="1:8" ht="11.25" customHeight="1">
      <c r="A73" s="99">
        <v>1996</v>
      </c>
      <c r="B73" s="24">
        <f>IF(AND('A-14'!C25="-",'A-14'!C73="-",'A-14'!C121="-",'A-14'!C169="-"),"-",SUM('A-14'!C25,'A-14'!C73,'A-14'!C121,'A-14'!C169))</f>
        <v>13</v>
      </c>
      <c r="C73" s="24">
        <f>IF(AND('A-14'!D25="-",'A-14'!D73="-",'A-14'!D121="-",'A-14'!D169="-"),"-",SUM('A-14'!D25,'A-14'!D73,'A-14'!D121,'A-14'!D169))</f>
        <v>34</v>
      </c>
      <c r="D73" s="24">
        <f>IF(AND('A-14'!E25="-",'A-14'!E73="-",'A-14'!E121="-",'A-14'!E169="-"),"-",SUM('A-14'!E25,'A-14'!E73,'A-14'!E121,'A-14'!E169))</f>
        <v>42</v>
      </c>
      <c r="E73" s="24">
        <f>IF(AND('A-14'!F25="-",'A-14'!F73="-",'A-14'!F121="-",'A-14'!F169="-"),"-",SUM('A-14'!F25,'A-14'!F73,'A-14'!F121,'A-14'!F169))</f>
        <v>102</v>
      </c>
      <c r="F73" s="24">
        <f>IF(AND('A-14'!G25="-",'A-14'!G73="-",'A-14'!G121="-",'A-14'!G169="-"),"-",SUM('A-14'!G25,'A-14'!G73,'A-14'!G121,'A-14'!G169))</f>
        <v>90</v>
      </c>
      <c r="G73" s="24" t="str">
        <f>IF(AND('A-14'!H25="-",'A-14'!H73="-",'A-14'!H121="-",'A-14'!H169="-"),"-",SUM('A-14'!H25,'A-14'!H73,'A-14'!H121,'A-14'!H169))</f>
        <v>-</v>
      </c>
      <c r="H73" s="24">
        <f>IF(AND('A-14'!J25="-",'A-14'!J73="-",'A-14'!J121="-",'A-14'!J169="-"),"-",SUM('A-14'!J25,'A-14'!J73,'A-14'!J121,'A-14'!J169))</f>
        <v>281</v>
      </c>
    </row>
    <row r="74" spans="1:8" ht="11.25" customHeight="1">
      <c r="A74" s="99">
        <v>1997</v>
      </c>
      <c r="B74" s="24">
        <f>IF(AND('A-14'!C26="-",'A-14'!C74="-",'A-14'!C122="-",'A-14'!C170="-"),"-",SUM('A-14'!C26,'A-14'!C74,'A-14'!C122,'A-14'!C170))</f>
        <v>25</v>
      </c>
      <c r="C74" s="24">
        <f>IF(AND('A-14'!D26="-",'A-14'!D74="-",'A-14'!D122="-",'A-14'!D170="-"),"-",SUM('A-14'!D26,'A-14'!D74,'A-14'!D122,'A-14'!D170))</f>
        <v>48</v>
      </c>
      <c r="D74" s="24">
        <f>IF(AND('A-14'!E26="-",'A-14'!E74="-",'A-14'!E122="-",'A-14'!E170="-"),"-",SUM('A-14'!E26,'A-14'!E74,'A-14'!E122,'A-14'!E170))</f>
        <v>0</v>
      </c>
      <c r="E74" s="24">
        <f>IF(AND('A-14'!F26="-",'A-14'!F74="-",'A-14'!F122="-",'A-14'!F170="-"),"-",SUM('A-14'!F26,'A-14'!F74,'A-14'!F122,'A-14'!F170))</f>
        <v>164</v>
      </c>
      <c r="F74" s="24">
        <f>IF(AND('A-14'!G26="-",'A-14'!G74="-",'A-14'!G122="-",'A-14'!G170="-"),"-",SUM('A-14'!G26,'A-14'!G74,'A-14'!G122,'A-14'!G170))</f>
        <v>62</v>
      </c>
      <c r="G74" s="24" t="str">
        <f>IF(AND('A-14'!H26="-",'A-14'!H74="-",'A-14'!H122="-",'A-14'!H170="-"),"-",SUM('A-14'!H26,'A-14'!H74,'A-14'!H122,'A-14'!H170))</f>
        <v>-</v>
      </c>
      <c r="H74" s="24">
        <f>IF(AND('A-14'!J26="-",'A-14'!J74="-",'A-14'!J122="-",'A-14'!J170="-"),"-",SUM('A-14'!J26,'A-14'!J74,'A-14'!J122,'A-14'!J170))</f>
        <v>299</v>
      </c>
    </row>
    <row r="75" spans="1:8" ht="11.25" customHeight="1">
      <c r="A75" s="99">
        <v>1998</v>
      </c>
      <c r="B75" s="24">
        <f>IF(AND('A-14'!C27="-",'A-14'!C75="-",'A-14'!C123="-",'A-14'!C171="-"),"-",SUM('A-14'!C27,'A-14'!C75,'A-14'!C123,'A-14'!C171))</f>
        <v>33</v>
      </c>
      <c r="C75" s="24">
        <f>IF(AND('A-14'!D27="-",'A-14'!D75="-",'A-14'!D123="-",'A-14'!D171="-"),"-",SUM('A-14'!D27,'A-14'!D75,'A-14'!D123,'A-14'!D171))</f>
        <v>19</v>
      </c>
      <c r="D75" s="24">
        <f>IF(AND('A-14'!E27="-",'A-14'!E75="-",'A-14'!E123="-",'A-14'!E171="-"),"-",SUM('A-14'!E27,'A-14'!E75,'A-14'!E123,'A-14'!E171))</f>
        <v>3</v>
      </c>
      <c r="E75" s="24">
        <f>IF(AND('A-14'!F27="-",'A-14'!F75="-",'A-14'!F123="-",'A-14'!F171="-"),"-",SUM('A-14'!F27,'A-14'!F75,'A-14'!F123,'A-14'!F171))</f>
        <v>41</v>
      </c>
      <c r="F75" s="24">
        <f>IF(AND('A-14'!G27="-",'A-14'!G75="-",'A-14'!G123="-",'A-14'!G171="-"),"-",SUM('A-14'!G27,'A-14'!G75,'A-14'!G123,'A-14'!G171))</f>
        <v>43</v>
      </c>
      <c r="G75" s="24" t="str">
        <f>IF(AND('A-14'!H27="-",'A-14'!H75="-",'A-14'!H123="-",'A-14'!H171="-"),"-",SUM('A-14'!H27,'A-14'!H75,'A-14'!H123,'A-14'!H171))</f>
        <v>-</v>
      </c>
      <c r="H75" s="24">
        <f>IF(AND('A-14'!J27="-",'A-14'!J75="-",'A-14'!J123="-",'A-14'!J171="-"),"-",SUM('A-14'!J27,'A-14'!J75,'A-14'!J123,'A-14'!J171))</f>
        <v>139</v>
      </c>
    </row>
    <row r="76" spans="1:8" ht="11.25" customHeight="1">
      <c r="A76" s="99">
        <v>1999</v>
      </c>
      <c r="B76" s="24">
        <f>IF(AND('A-14'!C28="-",'A-14'!C76="-",'A-14'!C124="-",'A-14'!C172="-"),"-",SUM('A-14'!C28,'A-14'!C76,'A-14'!C124,'A-14'!C172))</f>
        <v>43</v>
      </c>
      <c r="C76" s="24">
        <f>IF(AND('A-14'!D28="-",'A-14'!D76="-",'A-14'!D124="-",'A-14'!D172="-"),"-",SUM('A-14'!D28,'A-14'!D76,'A-14'!D124,'A-14'!D172))</f>
        <v>46</v>
      </c>
      <c r="D76" s="24">
        <f>IF(AND('A-14'!E28="-",'A-14'!E76="-",'A-14'!E124="-",'A-14'!E172="-"),"-",SUM('A-14'!E28,'A-14'!E76,'A-14'!E124,'A-14'!E172))</f>
        <v>5</v>
      </c>
      <c r="E76" s="24">
        <f>IF(AND('A-14'!F28="-",'A-14'!F76="-",'A-14'!F124="-",'A-14'!F172="-"),"-",SUM('A-14'!F28,'A-14'!F76,'A-14'!F124,'A-14'!F172))</f>
        <v>117</v>
      </c>
      <c r="F76" s="24">
        <f>IF(AND('A-14'!G28="-",'A-14'!G76="-",'A-14'!G124="-",'A-14'!G172="-"),"-",SUM('A-14'!G28,'A-14'!G76,'A-14'!G124,'A-14'!G172))</f>
        <v>71</v>
      </c>
      <c r="G76" s="24" t="str">
        <f>IF(AND('A-14'!H28="-",'A-14'!H76="-",'A-14'!H124="-",'A-14'!H172="-"),"-",SUM('A-14'!H28,'A-14'!H76,'A-14'!H124,'A-14'!H172))</f>
        <v>-</v>
      </c>
      <c r="H76" s="24">
        <f>IF(AND('A-14'!J28="-",'A-14'!J76="-",'A-14'!J124="-",'A-14'!J172="-"),"-",SUM('A-14'!J28,'A-14'!J76,'A-14'!J124,'A-14'!J172))</f>
        <v>282</v>
      </c>
    </row>
    <row r="77" spans="1:8" ht="11.25" customHeight="1">
      <c r="A77" s="99">
        <v>2000</v>
      </c>
      <c r="B77" s="24">
        <f>IF(AND('A-14'!C29="-",'A-14'!C77="-",'A-14'!C125="-",'A-14'!C173="-"),"-",SUM('A-14'!C29,'A-14'!C77,'A-14'!C125,'A-14'!C173))</f>
        <v>43</v>
      </c>
      <c r="C77" s="24">
        <f>IF(AND('A-14'!D29="-",'A-14'!D77="-",'A-14'!D125="-",'A-14'!D173="-"),"-",SUM('A-14'!D29,'A-14'!D77,'A-14'!D125,'A-14'!D173))</f>
        <v>41</v>
      </c>
      <c r="D77" s="24">
        <f>IF(AND('A-14'!E29="-",'A-14'!E77="-",'A-14'!E125="-",'A-14'!E173="-"),"-",SUM('A-14'!E29,'A-14'!E77,'A-14'!E125,'A-14'!E173))</f>
        <v>5</v>
      </c>
      <c r="E77" s="24">
        <f>IF(AND('A-14'!F29="-",'A-14'!F77="-",'A-14'!F125="-",'A-14'!F173="-"),"-",SUM('A-14'!F29,'A-14'!F77,'A-14'!F125,'A-14'!F173))</f>
        <v>55</v>
      </c>
      <c r="F77" s="24">
        <f>IF(AND('A-14'!G29="-",'A-14'!G77="-",'A-14'!G125="-",'A-14'!G173="-"),"-",SUM('A-14'!G29,'A-14'!G77,'A-14'!G125,'A-14'!G173))</f>
        <v>0</v>
      </c>
      <c r="G77" s="24" t="str">
        <f>IF(AND('A-14'!H29="-",'A-14'!H77="-",'A-14'!H125="-",'A-14'!H173="-"),"-",SUM('A-14'!H29,'A-14'!H77,'A-14'!H125,'A-14'!H173))</f>
        <v>-</v>
      </c>
      <c r="H77" s="24">
        <f>IF(AND('A-14'!J29="-",'A-14'!J77="-",'A-14'!J125="-",'A-14'!J173="-"),"-",SUM('A-14'!J29,'A-14'!J77,'A-14'!J125,'A-14'!J173))</f>
        <v>144</v>
      </c>
    </row>
    <row r="78" spans="1:8" ht="11.25" customHeight="1">
      <c r="A78" s="99">
        <v>2001</v>
      </c>
      <c r="B78" s="24">
        <f>IF(AND('A-14'!C30="-",'A-14'!C78="-",'A-14'!C126="-",'A-14'!C174="-"),"-",SUM('A-14'!C30,'A-14'!C78,'A-14'!C126,'A-14'!C174))</f>
        <v>53</v>
      </c>
      <c r="C78" s="24">
        <f>IF(AND('A-14'!D30="-",'A-14'!D78="-",'A-14'!D126="-",'A-14'!D174="-"),"-",SUM('A-14'!D30,'A-14'!D78,'A-14'!D126,'A-14'!D174))</f>
        <v>65</v>
      </c>
      <c r="D78" s="24">
        <f>IF(AND('A-14'!E30="-",'A-14'!E78="-",'A-14'!E126="-",'A-14'!E174="-"),"-",SUM('A-14'!E30,'A-14'!E78,'A-14'!E126,'A-14'!E174))</f>
        <v>122</v>
      </c>
      <c r="E78" s="24">
        <f>IF(AND('A-14'!F30="-",'A-14'!F78="-",'A-14'!F126="-",'A-14'!F174="-"),"-",SUM('A-14'!F30,'A-14'!F78,'A-14'!F126,'A-14'!F174))</f>
        <v>172</v>
      </c>
      <c r="F78" s="24">
        <f>IF(AND('A-14'!G30="-",'A-14'!G78="-",'A-14'!G126="-",'A-14'!G174="-"),"-",SUM('A-14'!G30,'A-14'!G78,'A-14'!G126,'A-14'!G174))</f>
        <v>104</v>
      </c>
      <c r="G78" s="24" t="str">
        <f>IF(AND('A-14'!H30="-",'A-14'!H78="-",'A-14'!H126="-",'A-14'!H174="-"),"-",SUM('A-14'!H30,'A-14'!H78,'A-14'!H126,'A-14'!H174))</f>
        <v>-</v>
      </c>
      <c r="H78" s="24">
        <f>IF(AND('A-14'!J30="-",'A-14'!J78="-",'A-14'!J126="-",'A-14'!J174="-"),"-",SUM('A-14'!J30,'A-14'!J78,'A-14'!J126,'A-14'!J174))</f>
        <v>516</v>
      </c>
    </row>
    <row r="79" spans="1:8" ht="11.25" customHeight="1">
      <c r="A79" s="99">
        <v>2002</v>
      </c>
      <c r="B79" s="24">
        <f>IF(AND('A-14'!C31="-",'A-14'!C79="-",'A-14'!C127="-",'A-14'!C175="-"),"-",SUM('A-14'!C31,'A-14'!C79,'A-14'!C127,'A-14'!C175))</f>
        <v>31</v>
      </c>
      <c r="C79" s="24">
        <f>IF(AND('A-14'!D31="-",'A-14'!D79="-",'A-14'!D127="-",'A-14'!D175="-"),"-",SUM('A-14'!D31,'A-14'!D79,'A-14'!D127,'A-14'!D175))</f>
        <v>42</v>
      </c>
      <c r="D79" s="24">
        <f>IF(AND('A-14'!E31="-",'A-14'!E79="-",'A-14'!E127="-",'A-14'!E175="-"),"-",SUM('A-14'!E31,'A-14'!E79,'A-14'!E127,'A-14'!E175))</f>
        <v>61</v>
      </c>
      <c r="E79" s="24">
        <f>IF(AND('A-14'!F31="-",'A-14'!F79="-",'A-14'!F127="-",'A-14'!F175="-"),"-",SUM('A-14'!F31,'A-14'!F79,'A-14'!F127,'A-14'!F175))</f>
        <v>51</v>
      </c>
      <c r="F79" s="24">
        <f>IF(AND('A-14'!G31="-",'A-14'!G79="-",'A-14'!G127="-",'A-14'!G175="-"),"-",SUM('A-14'!G31,'A-14'!G79,'A-14'!G127,'A-14'!G175))</f>
        <v>41</v>
      </c>
      <c r="G79" s="24">
        <f>IF(AND('A-14'!H31="-",'A-14'!H79="-",'A-14'!H127="-",'A-14'!H175="-"),"-",SUM('A-14'!H31,'A-14'!H79,'A-14'!H127,'A-14'!H175))</f>
        <v>10</v>
      </c>
      <c r="H79" s="24">
        <f>IF(AND('A-14'!J31="-",'A-14'!J79="-",'A-14'!J127="-",'A-14'!J175="-"),"-",SUM('A-14'!J31,'A-14'!J79,'A-14'!J127,'A-14'!J175))</f>
        <v>226</v>
      </c>
    </row>
    <row r="80" spans="1:8" ht="11.25" customHeight="1">
      <c r="A80" s="99">
        <v>2003</v>
      </c>
      <c r="B80" s="24">
        <f>IF(AND('A-14'!C32="-",'A-14'!C80="-",'A-14'!C128="-",'A-14'!C176="-"),"-",SUM('A-14'!C32,'A-14'!C80,'A-14'!C128,'A-14'!C176))</f>
        <v>24</v>
      </c>
      <c r="C80" s="24">
        <f>IF(AND('A-14'!D32="-",'A-14'!D80="-",'A-14'!D128="-",'A-14'!D176="-"),"-",SUM('A-14'!D32,'A-14'!D80,'A-14'!D128,'A-14'!D176))</f>
        <v>27</v>
      </c>
      <c r="D80" s="24">
        <f>IF(AND('A-14'!E32="-",'A-14'!E80="-",'A-14'!E128="-",'A-14'!E176="-"),"-",SUM('A-14'!E32,'A-14'!E80,'A-14'!E128,'A-14'!E176))</f>
        <v>63</v>
      </c>
      <c r="E80" s="24">
        <f>IF(AND('A-14'!F32="-",'A-14'!F80="-",'A-14'!F128="-",'A-14'!F176="-"),"-",SUM('A-14'!F32,'A-14'!F80,'A-14'!F128,'A-14'!F176))</f>
        <v>57</v>
      </c>
      <c r="F80" s="24">
        <f>IF(AND('A-14'!G32="-",'A-14'!G80="-",'A-14'!G128="-",'A-14'!G176="-"),"-",SUM('A-14'!G32,'A-14'!G80,'A-14'!G128,'A-14'!G176))</f>
        <v>45</v>
      </c>
      <c r="G80" s="24">
        <f>IF(AND('A-14'!H32="-",'A-14'!H80="-",'A-14'!H128="-",'A-14'!H176="-"),"-",SUM('A-14'!H32,'A-14'!H80,'A-14'!H128,'A-14'!H176))</f>
        <v>15</v>
      </c>
      <c r="H80" s="24">
        <f>IF(AND('A-14'!J32="-",'A-14'!J80="-",'A-14'!J128="-",'A-14'!J176="-"),"-",SUM('A-14'!J32,'A-14'!J80,'A-14'!J128,'A-14'!J176))</f>
        <v>216</v>
      </c>
    </row>
    <row r="81" spans="1:8" ht="11.25" customHeight="1">
      <c r="A81" s="99">
        <v>2004</v>
      </c>
      <c r="B81" s="24">
        <f>IF(AND('A-14'!C33="-",'A-14'!C81="-",'A-14'!C129="-",'A-14'!C177="-"),"-",SUM('A-14'!C33,'A-14'!C81,'A-14'!C129,'A-14'!C177))</f>
        <v>27</v>
      </c>
      <c r="C81" s="24">
        <f>IF(AND('A-14'!D33="-",'A-14'!D81="-",'A-14'!D129="-",'A-14'!D177="-"),"-",SUM('A-14'!D33,'A-14'!D81,'A-14'!D129,'A-14'!D177))</f>
        <v>49</v>
      </c>
      <c r="D81" s="24">
        <f>IF(AND('A-14'!E33="-",'A-14'!E81="-",'A-14'!E129="-",'A-14'!E177="-"),"-",SUM('A-14'!E33,'A-14'!E81,'A-14'!E129,'A-14'!E177))</f>
        <v>127</v>
      </c>
      <c r="E81" s="24">
        <f>IF(AND('A-14'!F33="-",'A-14'!F81="-",'A-14'!F129="-",'A-14'!F177="-"),"-",SUM('A-14'!F33,'A-14'!F81,'A-14'!F129,'A-14'!F177))</f>
        <v>152</v>
      </c>
      <c r="F81" s="24">
        <f>IF(AND('A-14'!G33="-",'A-14'!G81="-",'A-14'!G129="-",'A-14'!G177="-"),"-",SUM('A-14'!G33,'A-14'!G81,'A-14'!G129,'A-14'!G177))</f>
        <v>76</v>
      </c>
      <c r="G81" s="24">
        <f>IF(AND('A-14'!H33="-",'A-14'!H81="-",'A-14'!H129="-",'A-14'!H177="-"),"-",SUM('A-14'!H33,'A-14'!H81,'A-14'!H129,'A-14'!H177))</f>
        <v>15</v>
      </c>
      <c r="H81" s="24">
        <f>IF(AND('A-14'!J33="-",'A-14'!J81="-",'A-14'!J129="-",'A-14'!J177="-"),"-",SUM('A-14'!J33,'A-14'!J81,'A-14'!J129,'A-14'!J177))</f>
        <v>431</v>
      </c>
    </row>
    <row r="82" spans="1:8" ht="11.25" customHeight="1">
      <c r="A82" s="99">
        <v>2005</v>
      </c>
      <c r="B82" s="24">
        <f>IF(AND('A-14'!C34="-",'A-14'!C82="-",'A-14'!C130="-",'A-14'!C178="-"),"-",SUM('A-14'!C34,'A-14'!C82,'A-14'!C130,'A-14'!C178))</f>
        <v>98</v>
      </c>
      <c r="C82" s="24">
        <f>IF(AND('A-14'!D34="-",'A-14'!D82="-",'A-14'!D130="-",'A-14'!D178="-"),"-",SUM('A-14'!D34,'A-14'!D82,'A-14'!D130,'A-14'!D178))</f>
        <v>146</v>
      </c>
      <c r="D82" s="24">
        <f>IF(AND('A-14'!E34="-",'A-14'!E82="-",'A-14'!E130="-",'A-14'!E178="-"),"-",SUM('A-14'!E34,'A-14'!E82,'A-14'!E130,'A-14'!E178))</f>
        <v>126</v>
      </c>
      <c r="E82" s="24">
        <f>IF(AND('A-14'!F34="-",'A-14'!F82="-",'A-14'!F130="-",'A-14'!F178="-"),"-",SUM('A-14'!F34,'A-14'!F82,'A-14'!F130,'A-14'!F178))</f>
        <v>150</v>
      </c>
      <c r="F82" s="24">
        <f>IF(AND('A-14'!G34="-",'A-14'!G82="-",'A-14'!G130="-",'A-14'!G178="-"),"-",SUM('A-14'!G34,'A-14'!G82,'A-14'!G130,'A-14'!G178))</f>
        <v>77</v>
      </c>
      <c r="G82" s="24">
        <f>IF(AND('A-14'!H34="-",'A-14'!H82="-",'A-14'!H130="-",'A-14'!H178="-"),"-",SUM('A-14'!H34,'A-14'!H82,'A-14'!H130,'A-14'!H178))</f>
        <v>0</v>
      </c>
      <c r="H82" s="24">
        <f>IF(AND('A-14'!J34="-",'A-14'!J82="-",'A-14'!J130="-",'A-14'!J178="-"),"-",SUM('A-14'!J34,'A-14'!J82,'A-14'!J130,'A-14'!J178))</f>
        <v>597</v>
      </c>
    </row>
    <row r="83" spans="1:8" ht="11.25" customHeight="1">
      <c r="A83" s="99">
        <v>2006</v>
      </c>
      <c r="B83" s="24">
        <f>IF(AND('A-14'!C35="-",'A-14'!C83="-",'A-14'!C131="-",'A-14'!C179="-"),"-",SUM('A-14'!C35,'A-14'!C83,'A-14'!C131,'A-14'!C179))</f>
        <v>96</v>
      </c>
      <c r="C83" s="24">
        <f>IF(AND('A-14'!D35="-",'A-14'!D83="-",'A-14'!D131="-",'A-14'!D179="-"),"-",SUM('A-14'!D35,'A-14'!D83,'A-14'!D131,'A-14'!D179))</f>
        <v>285</v>
      </c>
      <c r="D83" s="24">
        <f>IF(AND('A-14'!E35="-",'A-14'!E83="-",'A-14'!E131="-",'A-14'!E179="-"),"-",SUM('A-14'!E35,'A-14'!E83,'A-14'!E131,'A-14'!E179))</f>
        <v>167</v>
      </c>
      <c r="E83" s="24">
        <f>IF(AND('A-14'!F35="-",'A-14'!F83="-",'A-14'!F131="-",'A-14'!F179="-"),"-",SUM('A-14'!F35,'A-14'!F83,'A-14'!F131,'A-14'!F179))</f>
        <v>140</v>
      </c>
      <c r="F83" s="24">
        <f>IF(AND('A-14'!G35="-",'A-14'!G83="-",'A-14'!G131="-",'A-14'!G179="-"),"-",SUM('A-14'!G35,'A-14'!G83,'A-14'!G131,'A-14'!G179))</f>
        <v>117</v>
      </c>
      <c r="G83" s="24">
        <f>IF(AND('A-14'!H35="-",'A-14'!H83="-",'A-14'!H131="-",'A-14'!H179="-"),"-",SUM('A-14'!H35,'A-14'!H83,'A-14'!H131,'A-14'!H179))</f>
        <v>5</v>
      </c>
      <c r="H83" s="24">
        <f>IF(AND('A-14'!J35="-",'A-14'!J83="-",'A-14'!J131="-",'A-14'!J179="-"),"-",SUM('A-14'!J35,'A-14'!J83,'A-14'!J131,'A-14'!J179))</f>
        <v>805</v>
      </c>
    </row>
    <row r="84" spans="1:8" ht="11.25" customHeight="1">
      <c r="A84" s="99">
        <v>2007</v>
      </c>
      <c r="B84" s="24">
        <f>IF(AND('A-14'!C36="-",'A-14'!C84="-",'A-14'!C132="-",'A-14'!C180="-"),"-",SUM('A-14'!C36,'A-14'!C84,'A-14'!C132,'A-14'!C180))</f>
        <v>22</v>
      </c>
      <c r="C84" s="24">
        <f>IF(AND('A-14'!D36="-",'A-14'!D84="-",'A-14'!D132="-",'A-14'!D180="-"),"-",SUM('A-14'!D36,'A-14'!D84,'A-14'!D132,'A-14'!D180))</f>
        <v>205</v>
      </c>
      <c r="D84" s="24">
        <f>IF(AND('A-14'!E36="-",'A-14'!E84="-",'A-14'!E132="-",'A-14'!E180="-"),"-",SUM('A-14'!E36,'A-14'!E84,'A-14'!E132,'A-14'!E180))</f>
        <v>189</v>
      </c>
      <c r="E84" s="24">
        <f>IF(AND('A-14'!F36="-",'A-14'!F84="-",'A-14'!F132="-",'A-14'!F180="-"),"-",SUM('A-14'!F36,'A-14'!F84,'A-14'!F132,'A-14'!F180))</f>
        <v>167</v>
      </c>
      <c r="F84" s="24">
        <f>IF(AND('A-14'!G36="-",'A-14'!G84="-",'A-14'!G132="-",'A-14'!G180="-"),"-",SUM('A-14'!G36,'A-14'!G84,'A-14'!G132,'A-14'!G180))</f>
        <v>7</v>
      </c>
      <c r="G84" s="24">
        <f>IF(AND('A-14'!H36="-",'A-14'!H84="-",'A-14'!H132="-",'A-14'!H180="-"),"-",SUM('A-14'!H36,'A-14'!H84,'A-14'!H132,'A-14'!H180))</f>
        <v>0</v>
      </c>
      <c r="H84" s="24">
        <f>IF(AND('A-14'!J36="-",'A-14'!J84="-",'A-14'!J132="-",'A-14'!J180="-"),"-",SUM('A-14'!J36,'A-14'!J84,'A-14'!J132,'A-14'!J180))</f>
        <v>590</v>
      </c>
    </row>
    <row r="85" spans="1:8" ht="11.25" customHeight="1">
      <c r="A85" s="99">
        <v>2008</v>
      </c>
      <c r="B85" s="24">
        <f>IF(AND('A-14'!C37="-",'A-14'!C85="-",'A-14'!C133="-",'A-14'!C181="-"),"-",SUM('A-14'!C37,'A-14'!C85,'A-14'!C133,'A-14'!C181))</f>
        <v>30</v>
      </c>
      <c r="C85" s="24">
        <f>IF(AND('A-14'!D37="-",'A-14'!D85="-",'A-14'!D133="-",'A-14'!D181="-"),"-",SUM('A-14'!D37,'A-14'!D85,'A-14'!D133,'A-14'!D181))</f>
        <v>125</v>
      </c>
      <c r="D85" s="24">
        <f>IF(AND('A-14'!E37="-",'A-14'!E85="-",'A-14'!E133="-",'A-14'!E181="-"),"-",SUM('A-14'!E37,'A-14'!E85,'A-14'!E133,'A-14'!E181))</f>
        <v>102</v>
      </c>
      <c r="E85" s="24">
        <f>IF(AND('A-14'!F37="-",'A-14'!F85="-",'A-14'!F133="-",'A-14'!F181="-"),"-",SUM('A-14'!F37,'A-14'!F85,'A-14'!F133,'A-14'!F181))</f>
        <v>231</v>
      </c>
      <c r="F85" s="24">
        <f>IF(AND('A-14'!G37="-",'A-14'!G85="-",'A-14'!G133="-",'A-14'!G181="-"),"-",SUM('A-14'!G37,'A-14'!G85,'A-14'!G133,'A-14'!G181))</f>
        <v>92</v>
      </c>
      <c r="G85" s="24">
        <f>IF(AND('A-14'!H37="-",'A-14'!H85="-",'A-14'!H133="-",'A-14'!H181="-"),"-",SUM('A-14'!H37,'A-14'!H85,'A-14'!H133,'A-14'!H181))</f>
        <v>1</v>
      </c>
      <c r="H85" s="24">
        <f>IF(AND('A-14'!J37="-",'A-14'!J85="-",'A-14'!J133="-",'A-14'!J181="-"),"-",SUM('A-14'!J37,'A-14'!J85,'A-14'!J133,'A-14'!J181))</f>
        <v>580</v>
      </c>
    </row>
    <row r="86" spans="1:8" ht="11.25" customHeight="1">
      <c r="A86" s="99">
        <v>2009</v>
      </c>
      <c r="B86" s="24">
        <f>IF(AND('A-14'!C38="-",'A-14'!C86="-",'A-14'!C134="-",'A-14'!C182="-"),"-",SUM('A-14'!C38,'A-14'!C86,'A-14'!C134,'A-14'!C182))</f>
        <v>82</v>
      </c>
      <c r="C86" s="24">
        <f>IF(AND('A-14'!D38="-",'A-14'!D86="-",'A-14'!D134="-",'A-14'!D182="-"),"-",SUM('A-14'!D38,'A-14'!D86,'A-14'!D134,'A-14'!D182))</f>
        <v>238</v>
      </c>
      <c r="D86" s="24">
        <f>IF(AND('A-14'!E38="-",'A-14'!E86="-",'A-14'!E134="-",'A-14'!E182="-"),"-",SUM('A-14'!E38,'A-14'!E86,'A-14'!E134,'A-14'!E182))</f>
        <v>233</v>
      </c>
      <c r="E86" s="24">
        <f>IF(AND('A-14'!F38="-",'A-14'!F86="-",'A-14'!F134="-",'A-14'!F182="-"),"-",SUM('A-14'!F38,'A-14'!F86,'A-14'!F134,'A-14'!F182))</f>
        <v>269</v>
      </c>
      <c r="F86" s="24">
        <f>IF(AND('A-14'!G38="-",'A-14'!G86="-",'A-14'!G134="-",'A-14'!G182="-"),"-",SUM('A-14'!G38,'A-14'!G86,'A-14'!G134,'A-14'!G182))</f>
        <v>5</v>
      </c>
      <c r="G86" s="24">
        <f>IF(AND('A-14'!H38="-",'A-14'!H86="-",'A-14'!H134="-",'A-14'!H182="-"),"-",SUM('A-14'!H38,'A-14'!H86,'A-14'!H134,'A-14'!H182))</f>
        <v>4</v>
      </c>
      <c r="H86" s="24">
        <f>IF(AND('A-14'!J38="-",'A-14'!J86="-",'A-14'!J134="-",'A-14'!J182="-"),"-",SUM('A-14'!J38,'A-14'!J86,'A-14'!J134,'A-14'!J182))</f>
        <v>827</v>
      </c>
    </row>
    <row r="87" spans="1:8" ht="11.25" customHeight="1">
      <c r="A87" s="99">
        <v>2010</v>
      </c>
      <c r="B87" s="24">
        <f>IF(AND('A-14'!C39="-",'A-14'!C87="-",'A-14'!C135="-",'A-14'!C183="-"),"-",SUM('A-14'!C39,'A-14'!C87,'A-14'!C135,'A-14'!C183))</f>
        <v>155</v>
      </c>
      <c r="C87" s="24">
        <f>IF(AND('A-14'!D39="-",'A-14'!D87="-",'A-14'!D135="-",'A-14'!D183="-"),"-",SUM('A-14'!D39,'A-14'!D87,'A-14'!D135,'A-14'!D183))</f>
        <v>335</v>
      </c>
      <c r="D87" s="24">
        <f>IF(AND('A-14'!E39="-",'A-14'!E87="-",'A-14'!E135="-",'A-14'!E183="-"),"-",SUM('A-14'!E39,'A-14'!E87,'A-14'!E135,'A-14'!E183))</f>
        <v>155</v>
      </c>
      <c r="E87" s="24">
        <f>IF(AND('A-14'!F39="-",'A-14'!F87="-",'A-14'!F135="-",'A-14'!F183="-"),"-",SUM('A-14'!F39,'A-14'!F87,'A-14'!F135,'A-14'!F183))</f>
        <v>150</v>
      </c>
      <c r="F87" s="24">
        <f>IF(AND('A-14'!G39="-",'A-14'!G87="-",'A-14'!G135="-",'A-14'!G183="-"),"-",SUM('A-14'!G39,'A-14'!G87,'A-14'!G135,'A-14'!G183))</f>
        <v>62</v>
      </c>
      <c r="G87" s="24">
        <f>IF(AND('A-14'!H39="-",'A-14'!H87="-",'A-14'!H135="-",'A-14'!H183="-"),"-",SUM('A-14'!H39,'A-14'!H87,'A-14'!H135,'A-14'!H183))</f>
        <v>4</v>
      </c>
      <c r="H87" s="24">
        <f>IF(AND('A-14'!J39="-",'A-14'!J87="-",'A-14'!J135="-",'A-14'!J183="-"),"-",SUM('A-14'!J39,'A-14'!J87,'A-14'!J135,'A-14'!J183))</f>
        <v>857</v>
      </c>
    </row>
    <row r="88" spans="1:8" ht="11.25" customHeight="1">
      <c r="A88" s="99">
        <v>2011</v>
      </c>
      <c r="B88" s="24">
        <f>IF(AND('A-14'!C40="-",'A-14'!C88="-",'A-14'!C136="-",'A-14'!C184="-"),"-",SUM('A-14'!C40,'A-14'!C88,'A-14'!C136,'A-14'!C184))</f>
        <v>92</v>
      </c>
      <c r="C88" s="24">
        <f>IF(AND('A-14'!D40="-",'A-14'!D88="-",'A-14'!D136="-",'A-14'!D184="-"),"-",SUM('A-14'!D40,'A-14'!D88,'A-14'!D136,'A-14'!D184))</f>
        <v>192</v>
      </c>
      <c r="D88" s="24">
        <f>IF(AND('A-14'!E40="-",'A-14'!E88="-",'A-14'!E136="-",'A-14'!E184="-"),"-",SUM('A-14'!E40,'A-14'!E88,'A-14'!E136,'A-14'!E184))</f>
        <v>152</v>
      </c>
      <c r="E88" s="24">
        <f>IF(AND('A-14'!F40="-",'A-14'!F88="-",'A-14'!F136="-",'A-14'!F184="-"),"-",SUM('A-14'!F40,'A-14'!F88,'A-14'!F136,'A-14'!F184))</f>
        <v>140</v>
      </c>
      <c r="F88" s="24">
        <f>IF(AND('A-14'!G40="-",'A-14'!G88="-",'A-14'!G136="-",'A-14'!G184="-"),"-",SUM('A-14'!G40,'A-14'!G88,'A-14'!G136,'A-14'!G184))</f>
        <v>24</v>
      </c>
      <c r="G88" s="24">
        <f>IF(AND('A-14'!H40="-",'A-14'!H88="-",'A-14'!H136="-",'A-14'!H184="-"),"-",SUM('A-14'!H40,'A-14'!H88,'A-14'!H136,'A-14'!H184))</f>
        <v>1</v>
      </c>
      <c r="H88" s="24">
        <f>IF(AND('A-14'!J40="-",'A-14'!J88="-",'A-14'!J136="-",'A-14'!J184="-"),"-",SUM('A-14'!J40,'A-14'!J88,'A-14'!J136,'A-14'!J184))</f>
        <v>600</v>
      </c>
    </row>
    <row r="89" spans="1:8" ht="11.25" customHeight="1">
      <c r="A89" s="99">
        <v>2012</v>
      </c>
      <c r="B89" s="24">
        <f>IF(AND('A-14'!C41="-",'A-14'!C89="-",'A-14'!C137="-",'A-14'!C185="-"),"-",SUM('A-14'!C41,'A-14'!C89,'A-14'!C137,'A-14'!C185))</f>
        <v>144</v>
      </c>
      <c r="C89" s="24">
        <f>IF(AND('A-14'!D41="-",'A-14'!D89="-",'A-14'!D137="-",'A-14'!D185="-"),"-",SUM('A-14'!D41,'A-14'!D89,'A-14'!D137,'A-14'!D185))</f>
        <v>269</v>
      </c>
      <c r="D89" s="24">
        <f>IF(AND('A-14'!E41="-",'A-14'!E89="-",'A-14'!E137="-",'A-14'!E185="-"),"-",SUM('A-14'!E41,'A-14'!E89,'A-14'!E137,'A-14'!E185))</f>
        <v>214</v>
      </c>
      <c r="E89" s="24">
        <f>IF(AND('A-14'!F41="-",'A-14'!F89="-",'A-14'!F137="-",'A-14'!F185="-"),"-",SUM('A-14'!F41,'A-14'!F89,'A-14'!F137,'A-14'!F185))</f>
        <v>229</v>
      </c>
      <c r="F89" s="24">
        <f>IF(AND('A-14'!G41="-",'A-14'!G89="-",'A-14'!G137="-",'A-14'!G185="-"),"-",SUM('A-14'!G41,'A-14'!G89,'A-14'!G137,'A-14'!G185))</f>
        <v>104</v>
      </c>
      <c r="G89" s="24">
        <f>IF(AND('A-14'!H41="-",'A-14'!H89="-",'A-14'!H137="-",'A-14'!H185="-"),"-",SUM('A-14'!H41,'A-14'!H89,'A-14'!H137,'A-14'!H185))</f>
        <v>4</v>
      </c>
      <c r="H89" s="24">
        <f>IF(AND('A-14'!J41="-",'A-14'!J89="-",'A-14'!J137="-",'A-14'!J185="-"),"-",SUM('A-14'!J41,'A-14'!J89,'A-14'!J137,'A-14'!J185))</f>
        <v>960</v>
      </c>
    </row>
    <row r="90" spans="1:8" ht="11.25" customHeight="1">
      <c r="A90" s="99">
        <v>2013</v>
      </c>
      <c r="B90" s="24">
        <f>IF(AND('A-14'!C42="-",'A-14'!C90="-",'A-14'!C138="-",'A-14'!C186="-"),"-",SUM('A-14'!C42,'A-14'!C90,'A-14'!C138,'A-14'!C186))</f>
        <v>279</v>
      </c>
      <c r="C90" s="24">
        <f>IF(AND('A-14'!D42="-",'A-14'!D90="-",'A-14'!D138="-",'A-14'!D186="-"),"-",SUM('A-14'!D42,'A-14'!D90,'A-14'!D138,'A-14'!D186))</f>
        <v>206</v>
      </c>
      <c r="D90" s="24">
        <f>IF(AND('A-14'!E42="-",'A-14'!E90="-",'A-14'!E138="-",'A-14'!E186="-"),"-",SUM('A-14'!E42,'A-14'!E90,'A-14'!E138,'A-14'!E186))</f>
        <v>369</v>
      </c>
      <c r="E90" s="24">
        <f>IF(AND('A-14'!F42="-",'A-14'!F90="-",'A-14'!F138="-",'A-14'!F186="-"),"-",SUM('A-14'!F42,'A-14'!F90,'A-14'!F138,'A-14'!F186))</f>
        <v>583</v>
      </c>
      <c r="F90" s="24">
        <f>IF(AND('A-14'!G42="-",'A-14'!G90="-",'A-14'!G138="-",'A-14'!G186="-"),"-",SUM('A-14'!G42,'A-14'!G90,'A-14'!G138,'A-14'!G186))</f>
        <v>159</v>
      </c>
      <c r="G90" s="24">
        <f>IF(AND('A-14'!H42="-",'A-14'!H90="-",'A-14'!H138="-",'A-14'!H186="-"),"-",SUM('A-14'!H42,'A-14'!H90,'A-14'!H138,'A-14'!H186))</f>
        <v>0</v>
      </c>
      <c r="H90" s="24">
        <f>IF(AND('A-14'!J42="-",'A-14'!J90="-",'A-14'!J138="-",'A-14'!J186="-"),"-",SUM('A-14'!J42,'A-14'!J90,'A-14'!J138,'A-14'!J186))</f>
        <v>1596</v>
      </c>
    </row>
    <row r="91" spans="1:8" ht="11.25" customHeight="1">
      <c r="A91" s="99">
        <v>2014</v>
      </c>
      <c r="B91" s="24">
        <f>IF(AND('A-14'!C43="-",'A-14'!C91="-",'A-14'!C139="-",'A-14'!C187="-"),"-",SUM('A-14'!C43,'A-14'!C91,'A-14'!C139,'A-14'!C187))</f>
        <v>196</v>
      </c>
      <c r="C91" s="24">
        <f>IF(AND('A-14'!D43="-",'A-14'!D91="-",'A-14'!D139="-",'A-14'!D187="-"),"-",SUM('A-14'!D43,'A-14'!D91,'A-14'!D139,'A-14'!D187))</f>
        <v>295</v>
      </c>
      <c r="D91" s="24">
        <f>IF(AND('A-14'!E43="-",'A-14'!E91="-",'A-14'!E139="-",'A-14'!E187="-"),"-",SUM('A-14'!E43,'A-14'!E91,'A-14'!E139,'A-14'!E187))</f>
        <v>465</v>
      </c>
      <c r="E91" s="24">
        <f>IF(AND('A-14'!F43="-",'A-14'!F91="-",'A-14'!F139="-",'A-14'!F187="-"),"-",SUM('A-14'!F43,'A-14'!F91,'A-14'!F139,'A-14'!F187))</f>
        <v>419</v>
      </c>
      <c r="F91" s="24">
        <f>IF(AND('A-14'!G43="-",'A-14'!G91="-",'A-14'!G139="-",'A-14'!G187="-"),"-",SUM('A-14'!G43,'A-14'!G91,'A-14'!G139,'A-14'!G187))</f>
        <v>152</v>
      </c>
      <c r="G91" s="24">
        <f>IF(AND('A-14'!H43="-",'A-14'!H91="-",'A-14'!H139="-",'A-14'!H187="-"),"-",SUM('A-14'!H43,'A-14'!H91,'A-14'!H139,'A-14'!H187))</f>
        <v>0</v>
      </c>
      <c r="H91" s="24">
        <f>IF(AND('A-14'!J43="-",'A-14'!J91="-",'A-14'!J139="-",'A-14'!J187="-"),"-",SUM('A-14'!J43,'A-14'!J91,'A-14'!J139,'A-14'!J187))</f>
        <v>1527</v>
      </c>
    </row>
    <row r="92" spans="1:8" ht="11.25" customHeight="1">
      <c r="A92" s="99">
        <v>2015</v>
      </c>
      <c r="B92" s="24">
        <f>IF(AND('A-14'!C44="-",'A-14'!C92="-",'A-14'!C140="-",'A-14'!C188="-"),"-",SUM('A-14'!C44,'A-14'!C92,'A-14'!C140,'A-14'!C188))</f>
        <v>324</v>
      </c>
      <c r="C92" s="24">
        <f>IF(AND('A-14'!D44="-",'A-14'!D92="-",'A-14'!D140="-",'A-14'!D188="-"),"-",SUM('A-14'!D44,'A-14'!D92,'A-14'!D140,'A-14'!D188))</f>
        <v>380</v>
      </c>
      <c r="D92" s="24">
        <f>IF(AND('A-14'!E44="-",'A-14'!E92="-",'A-14'!E140="-",'A-14'!E188="-"),"-",SUM('A-14'!E44,'A-14'!E92,'A-14'!E140,'A-14'!E188))</f>
        <v>389</v>
      </c>
      <c r="E92" s="24">
        <f>IF(AND('A-14'!F44="-",'A-14'!F92="-",'A-14'!F140="-",'A-14'!F188="-"),"-",SUM('A-14'!F44,'A-14'!F92,'A-14'!F140,'A-14'!F188))</f>
        <v>261</v>
      </c>
      <c r="F92" s="24">
        <f>IF(AND('A-14'!G44="-",'A-14'!G92="-",'A-14'!G140="-",'A-14'!G188="-"),"-",SUM('A-14'!G44,'A-14'!G92,'A-14'!G140,'A-14'!G188))</f>
        <v>104</v>
      </c>
      <c r="G92" s="24">
        <f>IF(AND('A-14'!H44="-",'A-14'!H92="-",'A-14'!H140="-",'A-14'!H188="-"),"-",SUM('A-14'!H44,'A-14'!H92,'A-14'!H140,'A-14'!H188))</f>
        <v>0</v>
      </c>
      <c r="H92" s="24">
        <f>IF(AND('A-14'!J44="-",'A-14'!J92="-",'A-14'!J140="-",'A-14'!J188="-"),"-",SUM('A-14'!J44,'A-14'!J92,'A-14'!J140,'A-14'!J188))</f>
        <v>1458</v>
      </c>
    </row>
    <row r="93" spans="1:8" ht="11.25" customHeight="1">
      <c r="A93" s="99">
        <v>2016</v>
      </c>
      <c r="B93" s="24">
        <f>IF(AND('A-14'!C45="-",'A-14'!C93="-",'A-14'!C141="-",'A-14'!C189="-"),"-",SUM('A-14'!C45,'A-14'!C93,'A-14'!C141,'A-14'!C189))</f>
        <v>204</v>
      </c>
      <c r="C93" s="24">
        <f>IF(AND('A-14'!D45="-",'A-14'!D93="-",'A-14'!D141="-",'A-14'!D189="-"),"-",SUM('A-14'!D45,'A-14'!D93,'A-14'!D141,'A-14'!D189))</f>
        <v>233</v>
      </c>
      <c r="D93" s="24">
        <f>IF(AND('A-14'!E45="-",'A-14'!E93="-",'A-14'!E141="-",'A-14'!E189="-"),"-",SUM('A-14'!E45,'A-14'!E93,'A-14'!E141,'A-14'!E189))</f>
        <v>141</v>
      </c>
      <c r="E93" s="24">
        <f>IF(AND('A-14'!F45="-",'A-14'!F93="-",'A-14'!F141="-",'A-14'!F189="-"),"-",SUM('A-14'!F45,'A-14'!F93,'A-14'!F141,'A-14'!F189))</f>
        <v>90</v>
      </c>
      <c r="F93" s="24">
        <f>IF(AND('A-14'!G45="-",'A-14'!G93="-",'A-14'!G141="-",'A-14'!G189="-"),"-",SUM('A-14'!G45,'A-14'!G93,'A-14'!G141,'A-14'!G189))</f>
        <v>2</v>
      </c>
      <c r="G93" s="24">
        <f>IF(AND('A-14'!H45="-",'A-14'!H93="-",'A-14'!H141="-",'A-14'!H189="-"),"-",SUM('A-14'!H45,'A-14'!H93,'A-14'!H141,'A-14'!H189))</f>
        <v>0</v>
      </c>
      <c r="H93" s="24">
        <f>IF(AND('A-14'!J45="-",'A-14'!J93="-",'A-14'!J141="-",'A-14'!J189="-"),"-",SUM('A-14'!J45,'A-14'!J93,'A-14'!J141,'A-14'!J189))</f>
        <v>670</v>
      </c>
    </row>
    <row r="94" spans="1:8" ht="11.25" customHeight="1">
      <c r="A94" s="99">
        <v>2017</v>
      </c>
      <c r="B94" s="24">
        <f>IF(AND('A-14'!C46="-",'A-14'!C94="-",'A-14'!C142="-",'A-14'!C190="-"),"-",SUM('A-14'!C46,'A-14'!C94,'A-14'!C142,'A-14'!C190))</f>
        <v>27</v>
      </c>
      <c r="C94" s="24">
        <f>IF(AND('A-14'!D46="-",'A-14'!D94="-",'A-14'!D142="-",'A-14'!D190="-"),"-",SUM('A-14'!D46,'A-14'!D94,'A-14'!D142,'A-14'!D190))</f>
        <v>90</v>
      </c>
      <c r="D94" s="24">
        <f>IF(AND('A-14'!E46="-",'A-14'!E94="-",'A-14'!E142="-",'A-14'!E190="-"),"-",SUM('A-14'!E46,'A-14'!E94,'A-14'!E142,'A-14'!E190))</f>
        <v>317</v>
      </c>
      <c r="E94" s="24">
        <f>IF(AND('A-14'!F46="-",'A-14'!F94="-",'A-14'!F142="-",'A-14'!F190="-"),"-",SUM('A-14'!F46,'A-14'!F94,'A-14'!F142,'A-14'!F190))</f>
        <v>357</v>
      </c>
      <c r="F94" s="24">
        <f>IF(AND('A-14'!G46="-",'A-14'!G94="-",'A-14'!G142="-",'A-14'!G190="-"),"-",SUM('A-14'!G46,'A-14'!G94,'A-14'!G142,'A-14'!G190))</f>
        <v>172</v>
      </c>
      <c r="G94" s="24">
        <f>IF(AND('A-14'!H46="-",'A-14'!H94="-",'A-14'!H142="-",'A-14'!H190="-"),"-",SUM('A-14'!H46,'A-14'!H94,'A-14'!H142,'A-14'!H190))</f>
        <v>0</v>
      </c>
      <c r="H94" s="24">
        <f>IF(AND('A-14'!J46="-",'A-14'!J94="-",'A-14'!J142="-",'A-14'!J190="-"),"-",SUM('A-14'!J46,'A-14'!J94,'A-14'!J142,'A-14'!J190))</f>
        <v>963</v>
      </c>
    </row>
    <row r="95" spans="1:8" ht="11.25" customHeight="1">
      <c r="A95" s="99">
        <v>2018</v>
      </c>
      <c r="B95" s="24">
        <f>IF(AND('A-14'!C47="-",'A-14'!C95="-",'A-14'!C143="-",'A-14'!C191="-"),"-",SUM('A-14'!C47,'A-14'!C95,'A-14'!C143,'A-14'!C191))</f>
        <v>99</v>
      </c>
      <c r="C95" s="24">
        <f>IF(AND('A-14'!D47="-",'A-14'!D95="-",'A-14'!D143="-",'A-14'!D191="-"),"-",SUM('A-14'!D47,'A-14'!D95,'A-14'!D143,'A-14'!D191))</f>
        <v>255</v>
      </c>
      <c r="D95" s="24">
        <f>IF(AND('A-14'!E47="-",'A-14'!E95="-",'A-14'!E143="-",'A-14'!E191="-"),"-",SUM('A-14'!E47,'A-14'!E95,'A-14'!E143,'A-14'!E191))</f>
        <v>272</v>
      </c>
      <c r="E95" s="24">
        <f>IF(AND('A-14'!F47="-",'A-14'!F95="-",'A-14'!F143="-",'A-14'!F191="-"),"-",SUM('A-14'!F47,'A-14'!F95,'A-14'!F143,'A-14'!F191))</f>
        <v>145</v>
      </c>
      <c r="F95" s="24">
        <f>IF(AND('A-14'!G47="-",'A-14'!G95="-",'A-14'!G143="-",'A-14'!G191="-"),"-",SUM('A-14'!G47,'A-14'!G95,'A-14'!G143,'A-14'!G191))</f>
        <v>110</v>
      </c>
      <c r="G95" s="24">
        <f>IF(AND('A-14'!H47="-",'A-14'!H95="-",'A-14'!H143="-",'A-14'!H191="-"),"-",SUM('A-14'!H47,'A-14'!H95,'A-14'!H143,'A-14'!H191))</f>
        <v>0</v>
      </c>
      <c r="H95" s="24">
        <f>IF(AND('A-14'!J47="-",'A-14'!J95="-",'A-14'!J143="-",'A-14'!J191="-"),"-",SUM('A-14'!J47,'A-14'!J95,'A-14'!J143,'A-14'!J191))</f>
        <v>881</v>
      </c>
    </row>
    <row r="96" spans="1:8" ht="11.25" customHeight="1">
      <c r="A96" s="122">
        <v>2019</v>
      </c>
      <c r="B96" s="24">
        <f>IF(AND('A-14'!C48="-",'A-14'!C96="-",'A-14'!C144="-",'A-14'!C192="-"),"-",SUM('A-14'!C48,'A-14'!C96,'A-14'!C144,'A-14'!C192))</f>
        <v>65</v>
      </c>
      <c r="C96" s="24">
        <f>IF(AND('A-14'!D48="-",'A-14'!D96="-",'A-14'!D144="-",'A-14'!D192="-"),"-",SUM('A-14'!D48,'A-14'!D96,'A-14'!D144,'A-14'!D192))</f>
        <v>72</v>
      </c>
      <c r="D96" s="24">
        <f>IF(AND('A-14'!E48="-",'A-14'!E96="-",'A-14'!E144="-",'A-14'!E192="-"),"-",SUM('A-14'!E48,'A-14'!E96,'A-14'!E144,'A-14'!E192))</f>
        <v>365</v>
      </c>
      <c r="E96" s="24">
        <f>IF(AND('A-14'!F48="-",'A-14'!F96="-",'A-14'!F144="-",'A-14'!F192="-"),"-",SUM('A-14'!F48,'A-14'!F96,'A-14'!F144,'A-14'!F192))</f>
        <v>276</v>
      </c>
      <c r="F96" s="24">
        <f>IF(AND('A-14'!G48="-",'A-14'!G96="-",'A-14'!G144="-",'A-14'!G192="-"),"-",SUM('A-14'!G48,'A-14'!G96,'A-14'!G144,'A-14'!G192))</f>
        <v>120</v>
      </c>
      <c r="G96" s="24">
        <f>IF(AND('A-14'!H48="-",'A-14'!H96="-",'A-14'!H144="-",'A-14'!H192="-"),"-",SUM('A-14'!H48,'A-14'!H96,'A-14'!H144,'A-14'!H192))</f>
        <v>0</v>
      </c>
      <c r="H96" s="24">
        <f>IF(AND('A-14'!J48="-",'A-14'!J96="-",'A-14'!J144="-",'A-14'!J192="-"),"-",SUM('A-14'!J48,'A-14'!J96,'A-14'!J144,'A-14'!J192))</f>
        <v>898</v>
      </c>
    </row>
    <row r="97" spans="1:8" ht="11.25" customHeight="1">
      <c r="A97" s="122">
        <v>2020</v>
      </c>
      <c r="B97" s="24">
        <f>IF(AND('A-14'!C49="-",'A-14'!C97="-",'A-14'!C145="-",'A-14'!C193="-"),"-",SUM('A-14'!C49,'A-14'!C97,'A-14'!C145,'A-14'!C193))</f>
        <v>1</v>
      </c>
      <c r="C97" s="24">
        <f>IF(AND('A-14'!D49="-",'A-14'!D97="-",'A-14'!D145="-",'A-14'!D193="-"),"-",SUM('A-14'!D49,'A-14'!D97,'A-14'!D145,'A-14'!D193))</f>
        <v>2</v>
      </c>
      <c r="D97" s="24">
        <f>IF(AND('A-14'!E49="-",'A-14'!E97="-",'A-14'!E145="-",'A-14'!E193="-"),"-",SUM('A-14'!E49,'A-14'!E97,'A-14'!E145,'A-14'!E193))</f>
        <v>29</v>
      </c>
      <c r="E97" s="24">
        <f>IF(AND('A-14'!F49="-",'A-14'!F97="-",'A-14'!F145="-",'A-14'!F193="-"),"-",SUM('A-14'!F49,'A-14'!F97,'A-14'!F145,'A-14'!F193))</f>
        <v>122</v>
      </c>
      <c r="F97" s="24">
        <f>IF(AND('A-14'!G49="-",'A-14'!G97="-",'A-14'!G145="-",'A-14'!G193="-"),"-",SUM('A-14'!G49,'A-14'!G97,'A-14'!G145,'A-14'!G193))</f>
        <v>31</v>
      </c>
      <c r="G97" s="24">
        <f>IF(AND('A-14'!H49="-",'A-14'!H97="-",'A-14'!H145="-",'A-14'!H193="-"),"-",SUM('A-14'!H49,'A-14'!H97,'A-14'!H145,'A-14'!H193))</f>
        <v>0</v>
      </c>
      <c r="H97" s="24">
        <f>IF(AND('A-14'!J49="-",'A-14'!J97="-",'A-14'!J145="-",'A-14'!J193="-"),"-",SUM('A-14'!J49,'A-14'!J97,'A-14'!J145,'A-14'!J193))</f>
        <v>185</v>
      </c>
    </row>
    <row r="98" spans="1:8" ht="11.25" customHeight="1">
      <c r="A98" s="122" t="s">
        <v>317</v>
      </c>
      <c r="B98" s="24">
        <f>IF(AND('A-14'!C50="-",'A-14'!C98="-",'A-14'!C146="-",'A-14'!C194="-"),"-",SUM('A-14'!C50,'A-14'!C98,'A-14'!C146,'A-14'!C194))</f>
        <v>28</v>
      </c>
      <c r="C98" s="24">
        <f>IF(AND('A-14'!D50="-",'A-14'!D98="-",'A-14'!D146="-",'A-14'!D194="-"),"-",SUM('A-14'!D50,'A-14'!D98,'A-14'!D146,'A-14'!D194))</f>
        <v>100</v>
      </c>
      <c r="D98" s="24">
        <f>IF(AND('A-14'!E50="-",'A-14'!E98="-",'A-14'!E146="-",'A-14'!E194="-"),"-",SUM('A-14'!E50,'A-14'!E98,'A-14'!E146,'A-14'!E194))</f>
        <v>135</v>
      </c>
      <c r="E98" s="24">
        <f>IF(AND('A-14'!F50="-",'A-14'!F98="-",'A-14'!F146="-",'A-14'!F194="-"),"-",SUM('A-14'!F50,'A-14'!F98,'A-14'!F146,'A-14'!F194))</f>
        <v>101</v>
      </c>
      <c r="F98" s="24">
        <f>IF(AND('A-14'!G50="-",'A-14'!G98="-",'A-14'!G146="-",'A-14'!G194="-"),"-",SUM('A-14'!G50,'A-14'!G98,'A-14'!G146,'A-14'!G194))</f>
        <v>76</v>
      </c>
      <c r="G98" s="24">
        <f>IF(AND('A-14'!H50="-",'A-14'!H98="-",'A-14'!H146="-",'A-14'!H194="-"),"-",SUM('A-14'!H50,'A-14'!H98,'A-14'!H146,'A-14'!H194))</f>
        <v>0</v>
      </c>
      <c r="H98" s="24">
        <f>IF(AND('A-14'!J50="-",'A-14'!J98="-",'A-14'!J146="-",'A-14'!J194="-"),"-",SUM('A-14'!J50,'A-14'!J98,'A-14'!J146,'A-14'!J194))</f>
        <v>440</v>
      </c>
    </row>
    <row r="99" spans="1:8" ht="11.25" customHeight="1"/>
    <row r="100" spans="1:8" ht="11.25" customHeight="1">
      <c r="A100" s="97" t="s">
        <v>230</v>
      </c>
    </row>
    <row r="101" spans="1:8" ht="11.25" customHeight="1">
      <c r="A101" s="99">
        <v>1976</v>
      </c>
      <c r="B101" s="24">
        <f t="shared" ref="B101:H110" si="0">IF(AND(B53="-",B5="-"),"-",SUM(B53,B5))</f>
        <v>3489</v>
      </c>
      <c r="C101" s="24">
        <f t="shared" si="0"/>
        <v>5918</v>
      </c>
      <c r="D101" s="24">
        <f t="shared" si="0"/>
        <v>14011</v>
      </c>
      <c r="E101" s="24">
        <f t="shared" si="0"/>
        <v>13436</v>
      </c>
      <c r="F101" s="24">
        <f t="shared" si="0"/>
        <v>9022</v>
      </c>
      <c r="G101" s="24">
        <f t="shared" si="0"/>
        <v>7</v>
      </c>
      <c r="H101" s="24">
        <f t="shared" si="0"/>
        <v>45876</v>
      </c>
    </row>
    <row r="102" spans="1:8" ht="11.25" customHeight="1">
      <c r="A102" s="99">
        <v>1977</v>
      </c>
      <c r="B102" s="24">
        <f t="shared" si="0"/>
        <v>3343</v>
      </c>
      <c r="C102" s="24">
        <f t="shared" si="0"/>
        <v>2892</v>
      </c>
      <c r="D102" s="24">
        <f t="shared" si="0"/>
        <v>15114</v>
      </c>
      <c r="E102" s="24">
        <f t="shared" si="0"/>
        <v>12653</v>
      </c>
      <c r="F102" s="24">
        <f t="shared" si="0"/>
        <v>7295</v>
      </c>
      <c r="G102" s="24">
        <f t="shared" si="0"/>
        <v>2</v>
      </c>
      <c r="H102" s="24">
        <f t="shared" si="0"/>
        <v>41297</v>
      </c>
    </row>
    <row r="103" spans="1:8" ht="11.25" customHeight="1">
      <c r="A103" s="99">
        <v>1978</v>
      </c>
      <c r="B103" s="24">
        <f t="shared" si="0"/>
        <v>2777</v>
      </c>
      <c r="C103" s="24">
        <f t="shared" si="0"/>
        <v>2591</v>
      </c>
      <c r="D103" s="24">
        <f t="shared" si="0"/>
        <v>11742</v>
      </c>
      <c r="E103" s="24">
        <f t="shared" si="0"/>
        <v>9150</v>
      </c>
      <c r="F103" s="24">
        <f t="shared" si="0"/>
        <v>6351</v>
      </c>
      <c r="G103" s="24">
        <f t="shared" si="0"/>
        <v>6</v>
      </c>
      <c r="H103" s="24">
        <f t="shared" si="0"/>
        <v>32611</v>
      </c>
    </row>
    <row r="104" spans="1:8" ht="11.25" customHeight="1">
      <c r="A104" s="99">
        <v>1979</v>
      </c>
      <c r="B104" s="24">
        <f t="shared" si="0"/>
        <v>4200</v>
      </c>
      <c r="C104" s="24">
        <f t="shared" si="0"/>
        <v>267</v>
      </c>
      <c r="D104" s="24">
        <f t="shared" si="0"/>
        <v>11739</v>
      </c>
      <c r="E104" s="24">
        <f t="shared" si="0"/>
        <v>16874</v>
      </c>
      <c r="F104" s="24">
        <f t="shared" si="0"/>
        <v>152</v>
      </c>
      <c r="G104" s="24">
        <f t="shared" si="0"/>
        <v>8</v>
      </c>
      <c r="H104" s="24">
        <f t="shared" si="0"/>
        <v>33232</v>
      </c>
    </row>
    <row r="105" spans="1:8" ht="11.25" customHeight="1">
      <c r="A105" s="99">
        <v>1980</v>
      </c>
      <c r="B105" s="24">
        <f t="shared" si="0"/>
        <v>3907</v>
      </c>
      <c r="C105" s="24">
        <f t="shared" si="0"/>
        <v>327</v>
      </c>
      <c r="D105" s="24">
        <f t="shared" si="0"/>
        <v>7737</v>
      </c>
      <c r="E105" s="24">
        <f t="shared" si="0"/>
        <v>8886</v>
      </c>
      <c r="F105" s="24">
        <f t="shared" si="0"/>
        <v>25</v>
      </c>
      <c r="G105" s="24">
        <f t="shared" si="0"/>
        <v>9</v>
      </c>
      <c r="H105" s="24">
        <f t="shared" si="0"/>
        <v>20882</v>
      </c>
    </row>
    <row r="106" spans="1:8" ht="11.25" customHeight="1">
      <c r="A106" s="99">
        <v>1981</v>
      </c>
      <c r="B106" s="24">
        <f t="shared" si="0"/>
        <v>4221</v>
      </c>
      <c r="C106" s="24">
        <f t="shared" si="0"/>
        <v>356</v>
      </c>
      <c r="D106" s="24">
        <f t="shared" si="0"/>
        <v>8474</v>
      </c>
      <c r="E106" s="24">
        <f t="shared" si="0"/>
        <v>8784</v>
      </c>
      <c r="F106" s="24">
        <f t="shared" si="0"/>
        <v>112</v>
      </c>
      <c r="G106" s="24">
        <f t="shared" si="0"/>
        <v>7</v>
      </c>
      <c r="H106" s="24">
        <f t="shared" si="0"/>
        <v>21947</v>
      </c>
    </row>
    <row r="107" spans="1:8" ht="11.25" customHeight="1">
      <c r="A107" s="99">
        <v>1982</v>
      </c>
      <c r="B107" s="24">
        <f t="shared" si="0"/>
        <v>3368</v>
      </c>
      <c r="C107" s="24">
        <f t="shared" si="0"/>
        <v>775</v>
      </c>
      <c r="D107" s="24">
        <f t="shared" si="0"/>
        <v>9921</v>
      </c>
      <c r="E107" s="24">
        <f t="shared" si="0"/>
        <v>732</v>
      </c>
      <c r="F107" s="24">
        <f t="shared" si="0"/>
        <v>234</v>
      </c>
      <c r="G107" s="24">
        <f t="shared" si="0"/>
        <v>26</v>
      </c>
      <c r="H107" s="24">
        <f t="shared" si="0"/>
        <v>15030</v>
      </c>
    </row>
    <row r="108" spans="1:8" ht="11.25" customHeight="1">
      <c r="A108" s="99">
        <v>1983</v>
      </c>
      <c r="B108" s="24">
        <f t="shared" si="0"/>
        <v>3478</v>
      </c>
      <c r="C108" s="24">
        <f t="shared" si="0"/>
        <v>667</v>
      </c>
      <c r="D108" s="24">
        <f t="shared" si="0"/>
        <v>3024</v>
      </c>
      <c r="E108" s="24">
        <f t="shared" si="0"/>
        <v>1688</v>
      </c>
      <c r="F108" s="24">
        <f t="shared" si="0"/>
        <v>182</v>
      </c>
      <c r="G108" s="24">
        <f t="shared" si="0"/>
        <v>10</v>
      </c>
      <c r="H108" s="24">
        <f t="shared" si="0"/>
        <v>9039</v>
      </c>
    </row>
    <row r="109" spans="1:8" ht="11.25" customHeight="1">
      <c r="A109" s="99">
        <v>1984</v>
      </c>
      <c r="B109" s="24">
        <f t="shared" si="0"/>
        <v>602</v>
      </c>
      <c r="C109" s="24">
        <f t="shared" si="0"/>
        <v>39</v>
      </c>
      <c r="D109" s="24">
        <f t="shared" si="0"/>
        <v>145</v>
      </c>
      <c r="E109" s="24">
        <f t="shared" si="0"/>
        <v>525</v>
      </c>
      <c r="F109" s="24">
        <f t="shared" si="0"/>
        <v>0</v>
      </c>
      <c r="G109" s="24">
        <f t="shared" si="0"/>
        <v>19</v>
      </c>
      <c r="H109" s="24">
        <f t="shared" si="0"/>
        <v>1311</v>
      </c>
    </row>
    <row r="110" spans="1:8" ht="11.25" customHeight="1">
      <c r="A110" s="99">
        <v>1985</v>
      </c>
      <c r="B110" s="24">
        <f t="shared" si="0"/>
        <v>2226</v>
      </c>
      <c r="C110" s="24">
        <f t="shared" si="0"/>
        <v>101</v>
      </c>
      <c r="D110" s="24">
        <f t="shared" si="0"/>
        <v>2458</v>
      </c>
      <c r="E110" s="24">
        <f t="shared" si="0"/>
        <v>1775</v>
      </c>
      <c r="F110" s="24">
        <f t="shared" si="0"/>
        <v>217</v>
      </c>
      <c r="G110" s="24">
        <f t="shared" si="0"/>
        <v>23</v>
      </c>
      <c r="H110" s="24">
        <f t="shared" si="0"/>
        <v>6777</v>
      </c>
    </row>
    <row r="111" spans="1:8" ht="11.25" customHeight="1">
      <c r="A111" s="99">
        <v>1986</v>
      </c>
      <c r="B111" s="24">
        <f t="shared" ref="B111:H120" si="1">IF(AND(B63="-",B15="-"),"-",SUM(B63,B15))</f>
        <v>1969</v>
      </c>
      <c r="C111" s="24">
        <f t="shared" si="1"/>
        <v>349</v>
      </c>
      <c r="D111" s="24">
        <f t="shared" si="1"/>
        <v>453</v>
      </c>
      <c r="E111" s="24">
        <f t="shared" si="1"/>
        <v>1086</v>
      </c>
      <c r="F111" s="24">
        <f t="shared" si="1"/>
        <v>1</v>
      </c>
      <c r="G111" s="24">
        <f t="shared" si="1"/>
        <v>0</v>
      </c>
      <c r="H111" s="24">
        <f t="shared" si="1"/>
        <v>3858</v>
      </c>
    </row>
    <row r="112" spans="1:8" ht="11.25" customHeight="1">
      <c r="A112" s="99">
        <v>1987</v>
      </c>
      <c r="B112" s="24">
        <f t="shared" si="1"/>
        <v>1902</v>
      </c>
      <c r="C112" s="24">
        <f t="shared" si="1"/>
        <v>0</v>
      </c>
      <c r="D112" s="24">
        <f t="shared" si="1"/>
        <v>1315</v>
      </c>
      <c r="E112" s="24">
        <f t="shared" si="1"/>
        <v>627</v>
      </c>
      <c r="F112" s="24">
        <f t="shared" si="1"/>
        <v>0</v>
      </c>
      <c r="G112" s="24">
        <f t="shared" si="1"/>
        <v>6</v>
      </c>
      <c r="H112" s="24">
        <f t="shared" si="1"/>
        <v>3844</v>
      </c>
    </row>
    <row r="113" spans="1:8" ht="11.25" customHeight="1">
      <c r="A113" s="99">
        <v>1988</v>
      </c>
      <c r="B113" s="24">
        <f t="shared" si="1"/>
        <v>3605</v>
      </c>
      <c r="C113" s="24">
        <f t="shared" si="1"/>
        <v>2225</v>
      </c>
      <c r="D113" s="24">
        <f t="shared" si="1"/>
        <v>342</v>
      </c>
      <c r="E113" s="24">
        <f t="shared" si="1"/>
        <v>542</v>
      </c>
      <c r="F113" s="24">
        <f t="shared" si="1"/>
        <v>190</v>
      </c>
      <c r="G113" s="24">
        <f t="shared" si="1"/>
        <v>0</v>
      </c>
      <c r="H113" s="24">
        <f t="shared" si="1"/>
        <v>6904</v>
      </c>
    </row>
    <row r="114" spans="1:8" ht="11.25" customHeight="1">
      <c r="A114" s="99">
        <v>1989</v>
      </c>
      <c r="B114" s="24">
        <f t="shared" si="1"/>
        <v>2289</v>
      </c>
      <c r="C114" s="24">
        <f t="shared" si="1"/>
        <v>1220</v>
      </c>
      <c r="D114" s="24">
        <f t="shared" si="1"/>
        <v>558</v>
      </c>
      <c r="E114" s="24">
        <f t="shared" si="1"/>
        <v>1291</v>
      </c>
      <c r="F114" s="24">
        <f t="shared" si="1"/>
        <v>380</v>
      </c>
      <c r="G114" s="24">
        <f t="shared" si="1"/>
        <v>0</v>
      </c>
      <c r="H114" s="24">
        <f t="shared" si="1"/>
        <v>5738</v>
      </c>
    </row>
    <row r="115" spans="1:8" ht="11.25" customHeight="1">
      <c r="A115" s="99">
        <v>1990</v>
      </c>
      <c r="B115" s="24">
        <f t="shared" si="1"/>
        <v>2202</v>
      </c>
      <c r="C115" s="24">
        <f t="shared" si="1"/>
        <v>364</v>
      </c>
      <c r="D115" s="24">
        <f t="shared" si="1"/>
        <v>375</v>
      </c>
      <c r="E115" s="24">
        <f t="shared" si="1"/>
        <v>2504</v>
      </c>
      <c r="F115" s="24">
        <f t="shared" si="1"/>
        <v>247</v>
      </c>
      <c r="G115" s="24">
        <f t="shared" si="1"/>
        <v>2</v>
      </c>
      <c r="H115" s="24">
        <f t="shared" si="1"/>
        <v>5692</v>
      </c>
    </row>
    <row r="116" spans="1:8" ht="11.25" customHeight="1">
      <c r="A116" s="99">
        <v>1991</v>
      </c>
      <c r="B116" s="24">
        <f t="shared" si="1"/>
        <v>1723</v>
      </c>
      <c r="C116" s="24">
        <f t="shared" si="1"/>
        <v>1087</v>
      </c>
      <c r="D116" s="24">
        <f t="shared" si="1"/>
        <v>335</v>
      </c>
      <c r="E116" s="24">
        <f t="shared" si="1"/>
        <v>1780</v>
      </c>
      <c r="F116" s="24">
        <f t="shared" si="1"/>
        <v>450</v>
      </c>
      <c r="G116" s="24">
        <f t="shared" si="1"/>
        <v>50</v>
      </c>
      <c r="H116" s="24">
        <f t="shared" si="1"/>
        <v>5375</v>
      </c>
    </row>
    <row r="117" spans="1:8" ht="11.25" customHeight="1">
      <c r="A117" s="99">
        <v>1992</v>
      </c>
      <c r="B117" s="24">
        <f t="shared" si="1"/>
        <v>1961</v>
      </c>
      <c r="C117" s="24">
        <f t="shared" si="1"/>
        <v>1328</v>
      </c>
      <c r="D117" s="24">
        <f t="shared" si="1"/>
        <v>1096</v>
      </c>
      <c r="E117" s="24">
        <f t="shared" si="1"/>
        <v>835</v>
      </c>
      <c r="F117" s="24">
        <f t="shared" si="1"/>
        <v>0</v>
      </c>
      <c r="G117" s="24">
        <f t="shared" si="1"/>
        <v>1</v>
      </c>
      <c r="H117" s="24">
        <f t="shared" si="1"/>
        <v>5220</v>
      </c>
    </row>
    <row r="118" spans="1:8" ht="11.25" customHeight="1">
      <c r="A118" s="99">
        <v>1993</v>
      </c>
      <c r="B118" s="24">
        <f t="shared" si="1"/>
        <v>1358</v>
      </c>
      <c r="C118" s="24">
        <f t="shared" si="1"/>
        <v>1033</v>
      </c>
      <c r="D118" s="24">
        <f t="shared" si="1"/>
        <v>1026</v>
      </c>
      <c r="E118" s="24">
        <f t="shared" si="1"/>
        <v>769</v>
      </c>
      <c r="F118" s="24">
        <f t="shared" si="1"/>
        <v>625</v>
      </c>
      <c r="G118" s="24">
        <f t="shared" si="1"/>
        <v>0</v>
      </c>
      <c r="H118" s="24">
        <f t="shared" si="1"/>
        <v>4811</v>
      </c>
    </row>
    <row r="119" spans="1:8" ht="11.25" customHeight="1">
      <c r="A119" s="99">
        <v>1994</v>
      </c>
      <c r="B119" s="24">
        <f t="shared" si="1"/>
        <v>28</v>
      </c>
      <c r="C119" s="24">
        <f t="shared" si="1"/>
        <v>70</v>
      </c>
      <c r="D119" s="24">
        <f t="shared" si="1"/>
        <v>3</v>
      </c>
      <c r="E119" s="24">
        <f t="shared" si="1"/>
        <v>0</v>
      </c>
      <c r="F119" s="24">
        <f t="shared" si="1"/>
        <v>0</v>
      </c>
      <c r="G119" s="24">
        <f t="shared" si="1"/>
        <v>0</v>
      </c>
      <c r="H119" s="24">
        <f t="shared" si="1"/>
        <v>101</v>
      </c>
    </row>
    <row r="120" spans="1:8" ht="11.25" customHeight="1">
      <c r="A120" s="99">
        <v>1995</v>
      </c>
      <c r="B120" s="24">
        <f t="shared" si="1"/>
        <v>10</v>
      </c>
      <c r="C120" s="24">
        <f t="shared" si="1"/>
        <v>0</v>
      </c>
      <c r="D120" s="24">
        <f t="shared" si="1"/>
        <v>1</v>
      </c>
      <c r="E120" s="24">
        <f t="shared" si="1"/>
        <v>710</v>
      </c>
      <c r="F120" s="24">
        <f t="shared" si="1"/>
        <v>74</v>
      </c>
      <c r="G120" s="24">
        <f t="shared" si="1"/>
        <v>0</v>
      </c>
      <c r="H120" s="24">
        <f t="shared" si="1"/>
        <v>795</v>
      </c>
    </row>
    <row r="121" spans="1:8" ht="11.25" customHeight="1">
      <c r="A121" s="99">
        <v>1996</v>
      </c>
      <c r="B121" s="24">
        <f t="shared" ref="B121:H127" si="2">IF(AND(B73="-",B25="-"),"-",SUM(B73,B25))</f>
        <v>13</v>
      </c>
      <c r="C121" s="24">
        <f t="shared" si="2"/>
        <v>34</v>
      </c>
      <c r="D121" s="24">
        <f t="shared" si="2"/>
        <v>223</v>
      </c>
      <c r="E121" s="24">
        <f t="shared" si="2"/>
        <v>333</v>
      </c>
      <c r="F121" s="24">
        <f t="shared" si="2"/>
        <v>90</v>
      </c>
      <c r="G121" s="24" t="str">
        <f t="shared" si="2"/>
        <v>-</v>
      </c>
      <c r="H121" s="24">
        <f t="shared" si="2"/>
        <v>693</v>
      </c>
    </row>
    <row r="122" spans="1:8" ht="11.25" customHeight="1">
      <c r="A122" s="99">
        <v>1997</v>
      </c>
      <c r="B122" s="24">
        <f t="shared" si="2"/>
        <v>319</v>
      </c>
      <c r="C122" s="24">
        <f t="shared" si="2"/>
        <v>206</v>
      </c>
      <c r="D122" s="24">
        <f t="shared" si="2"/>
        <v>0</v>
      </c>
      <c r="E122" s="24">
        <f t="shared" si="2"/>
        <v>164</v>
      </c>
      <c r="F122" s="24">
        <f t="shared" si="2"/>
        <v>62</v>
      </c>
      <c r="G122" s="24" t="str">
        <f t="shared" si="2"/>
        <v>-</v>
      </c>
      <c r="H122" s="24">
        <f t="shared" si="2"/>
        <v>751</v>
      </c>
    </row>
    <row r="123" spans="1:8" ht="11.25" customHeight="1">
      <c r="A123" s="99">
        <v>1998</v>
      </c>
      <c r="B123" s="24">
        <f t="shared" si="2"/>
        <v>160</v>
      </c>
      <c r="C123" s="24">
        <f t="shared" si="2"/>
        <v>31</v>
      </c>
      <c r="D123" s="24">
        <f t="shared" si="2"/>
        <v>3</v>
      </c>
      <c r="E123" s="24">
        <f t="shared" si="2"/>
        <v>41</v>
      </c>
      <c r="F123" s="24">
        <f t="shared" si="2"/>
        <v>43</v>
      </c>
      <c r="G123" s="24" t="str">
        <f t="shared" si="2"/>
        <v>-</v>
      </c>
      <c r="H123" s="24">
        <f t="shared" si="2"/>
        <v>278</v>
      </c>
    </row>
    <row r="124" spans="1:8" ht="11.25" customHeight="1">
      <c r="A124" s="99">
        <v>1999</v>
      </c>
      <c r="B124" s="24">
        <f t="shared" si="2"/>
        <v>314</v>
      </c>
      <c r="C124" s="24">
        <f t="shared" si="2"/>
        <v>277</v>
      </c>
      <c r="D124" s="24">
        <f t="shared" si="2"/>
        <v>140</v>
      </c>
      <c r="E124" s="24">
        <f t="shared" si="2"/>
        <v>203</v>
      </c>
      <c r="F124" s="24">
        <f t="shared" si="2"/>
        <v>77</v>
      </c>
      <c r="G124" s="24" t="str">
        <f t="shared" si="2"/>
        <v>-</v>
      </c>
      <c r="H124" s="24">
        <f t="shared" si="2"/>
        <v>1011</v>
      </c>
    </row>
    <row r="125" spans="1:8" ht="11.25" customHeight="1">
      <c r="A125" s="99">
        <v>2000</v>
      </c>
      <c r="B125" s="24">
        <f t="shared" si="2"/>
        <v>236</v>
      </c>
      <c r="C125" s="24">
        <f t="shared" si="2"/>
        <v>136</v>
      </c>
      <c r="D125" s="24">
        <f t="shared" si="2"/>
        <v>5</v>
      </c>
      <c r="E125" s="24">
        <f t="shared" si="2"/>
        <v>126</v>
      </c>
      <c r="F125" s="24">
        <f t="shared" si="2"/>
        <v>3</v>
      </c>
      <c r="G125" s="24" t="str">
        <f t="shared" si="2"/>
        <v>-</v>
      </c>
      <c r="H125" s="24">
        <f t="shared" si="2"/>
        <v>506</v>
      </c>
    </row>
    <row r="126" spans="1:8" ht="11.25" customHeight="1">
      <c r="A126" s="99">
        <v>2001</v>
      </c>
      <c r="B126" s="24">
        <f t="shared" si="2"/>
        <v>262</v>
      </c>
      <c r="C126" s="24">
        <f t="shared" si="2"/>
        <v>277</v>
      </c>
      <c r="D126" s="24">
        <f t="shared" si="2"/>
        <v>281</v>
      </c>
      <c r="E126" s="24">
        <f t="shared" si="2"/>
        <v>242</v>
      </c>
      <c r="F126" s="24">
        <f t="shared" si="2"/>
        <v>142</v>
      </c>
      <c r="G126" s="24" t="str">
        <f t="shared" si="2"/>
        <v>-</v>
      </c>
      <c r="H126" s="24">
        <f t="shared" si="2"/>
        <v>1204</v>
      </c>
    </row>
    <row r="127" spans="1:8" ht="11.25" customHeight="1">
      <c r="A127" s="99">
        <v>2002</v>
      </c>
      <c r="B127" s="24">
        <f t="shared" si="2"/>
        <v>459</v>
      </c>
      <c r="C127" s="24">
        <f t="shared" si="2"/>
        <v>225</v>
      </c>
      <c r="D127" s="24">
        <f t="shared" si="2"/>
        <v>481</v>
      </c>
      <c r="E127" s="24">
        <f t="shared" si="2"/>
        <v>293</v>
      </c>
      <c r="F127" s="24">
        <f t="shared" si="2"/>
        <v>41</v>
      </c>
      <c r="G127" s="24">
        <f t="shared" si="2"/>
        <v>10</v>
      </c>
      <c r="H127" s="24">
        <f t="shared" si="2"/>
        <v>1499</v>
      </c>
    </row>
    <row r="128" spans="1:8" ht="11.25" customHeight="1">
      <c r="A128" s="99">
        <v>2003</v>
      </c>
      <c r="B128" s="24">
        <f t="shared" ref="B128:H128" si="3">IF(AND(B80="-",B32="-"),"-",SUM(B80,B32))</f>
        <v>445</v>
      </c>
      <c r="C128" s="24">
        <f t="shared" si="3"/>
        <v>222</v>
      </c>
      <c r="D128" s="24">
        <f t="shared" si="3"/>
        <v>539</v>
      </c>
      <c r="E128" s="24">
        <f t="shared" si="3"/>
        <v>472</v>
      </c>
      <c r="F128" s="24">
        <f t="shared" si="3"/>
        <v>122</v>
      </c>
      <c r="G128" s="24">
        <f t="shared" si="3"/>
        <v>15</v>
      </c>
      <c r="H128" s="24">
        <f t="shared" si="3"/>
        <v>1800</v>
      </c>
    </row>
    <row r="129" spans="1:8" ht="11.25" customHeight="1">
      <c r="A129" s="99">
        <v>2004</v>
      </c>
      <c r="B129" s="24">
        <f t="shared" ref="B129:H129" si="4">IF(AND(B81="-",B33="-"),"-",SUM(B81,B33))</f>
        <v>487</v>
      </c>
      <c r="C129" s="24">
        <f t="shared" si="4"/>
        <v>59</v>
      </c>
      <c r="D129" s="24">
        <f t="shared" si="4"/>
        <v>519</v>
      </c>
      <c r="E129" s="24">
        <f t="shared" si="4"/>
        <v>494</v>
      </c>
      <c r="F129" s="24">
        <f t="shared" si="4"/>
        <v>201</v>
      </c>
      <c r="G129" s="24">
        <f t="shared" si="4"/>
        <v>15</v>
      </c>
      <c r="H129" s="24">
        <f t="shared" si="4"/>
        <v>1760</v>
      </c>
    </row>
    <row r="130" spans="1:8" ht="11.25" customHeight="1">
      <c r="A130" s="99">
        <v>2005</v>
      </c>
      <c r="B130" s="24">
        <f t="shared" ref="B130:H130" si="5">IF(AND(B82="-",B34="-"),"-",SUM(B82,B34))</f>
        <v>590</v>
      </c>
      <c r="C130" s="24">
        <f t="shared" si="5"/>
        <v>250</v>
      </c>
      <c r="D130" s="24">
        <f t="shared" si="5"/>
        <v>463</v>
      </c>
      <c r="E130" s="24">
        <f t="shared" si="5"/>
        <v>552</v>
      </c>
      <c r="F130" s="24">
        <f t="shared" si="5"/>
        <v>77</v>
      </c>
      <c r="G130" s="24">
        <f t="shared" si="5"/>
        <v>0</v>
      </c>
      <c r="H130" s="24">
        <f t="shared" si="5"/>
        <v>1932</v>
      </c>
    </row>
    <row r="131" spans="1:8" ht="11.25" customHeight="1">
      <c r="A131" s="99">
        <v>2006</v>
      </c>
      <c r="B131" s="24">
        <f t="shared" ref="B131:H131" si="6">IF(AND(B83="-",B35="-"),"-",SUM(B83,B35))</f>
        <v>455</v>
      </c>
      <c r="C131" s="24">
        <f t="shared" si="6"/>
        <v>666</v>
      </c>
      <c r="D131" s="24">
        <f t="shared" si="6"/>
        <v>266</v>
      </c>
      <c r="E131" s="24">
        <f t="shared" si="6"/>
        <v>436</v>
      </c>
      <c r="F131" s="24">
        <f t="shared" si="6"/>
        <v>286</v>
      </c>
      <c r="G131" s="24">
        <f t="shared" si="6"/>
        <v>5</v>
      </c>
      <c r="H131" s="24">
        <f t="shared" si="6"/>
        <v>2109</v>
      </c>
    </row>
    <row r="132" spans="1:8" ht="11.25" customHeight="1">
      <c r="A132" s="99">
        <v>2007</v>
      </c>
      <c r="B132" s="24">
        <f t="shared" ref="B132:H132" si="7">IF(AND(B84="-",B36="-"),"-",SUM(B84,B36))</f>
        <v>467</v>
      </c>
      <c r="C132" s="24">
        <f t="shared" si="7"/>
        <v>458</v>
      </c>
      <c r="D132" s="24">
        <f t="shared" si="7"/>
        <v>543</v>
      </c>
      <c r="E132" s="24">
        <f t="shared" si="7"/>
        <v>281</v>
      </c>
      <c r="F132" s="24">
        <f t="shared" si="7"/>
        <v>15</v>
      </c>
      <c r="G132" s="24">
        <f t="shared" si="7"/>
        <v>0</v>
      </c>
      <c r="H132" s="24">
        <f t="shared" si="7"/>
        <v>1764</v>
      </c>
    </row>
    <row r="133" spans="1:8" ht="11.25" customHeight="1">
      <c r="A133" s="99">
        <v>2008</v>
      </c>
      <c r="B133" s="24">
        <f t="shared" ref="B133:H133" si="8">IF(AND(B85="-",B37="-"),"-",SUM(B85,B37))</f>
        <v>276</v>
      </c>
      <c r="C133" s="24">
        <f t="shared" si="8"/>
        <v>478</v>
      </c>
      <c r="D133" s="24">
        <f t="shared" si="8"/>
        <v>325</v>
      </c>
      <c r="E133" s="24">
        <f t="shared" si="8"/>
        <v>444</v>
      </c>
      <c r="F133" s="24">
        <f t="shared" si="8"/>
        <v>152</v>
      </c>
      <c r="G133" s="24">
        <f t="shared" si="8"/>
        <v>1</v>
      </c>
      <c r="H133" s="24">
        <f t="shared" si="8"/>
        <v>1675</v>
      </c>
    </row>
    <row r="134" spans="1:8" ht="11.25" customHeight="1">
      <c r="A134" s="99">
        <v>2009</v>
      </c>
      <c r="B134" s="24">
        <f t="shared" ref="B134:H134" si="9">IF(AND(B86="-",B38="-"),"-",SUM(B86,B38))</f>
        <v>549</v>
      </c>
      <c r="C134" s="24">
        <f t="shared" si="9"/>
        <v>789</v>
      </c>
      <c r="D134" s="24">
        <f t="shared" si="9"/>
        <v>665</v>
      </c>
      <c r="E134" s="24">
        <f t="shared" si="9"/>
        <v>589</v>
      </c>
      <c r="F134" s="24">
        <f t="shared" si="9"/>
        <v>139</v>
      </c>
      <c r="G134" s="24">
        <f t="shared" si="9"/>
        <v>4</v>
      </c>
      <c r="H134" s="24">
        <f t="shared" si="9"/>
        <v>2731</v>
      </c>
    </row>
    <row r="135" spans="1:8" ht="11.25" customHeight="1">
      <c r="A135" s="99">
        <v>2010</v>
      </c>
      <c r="B135" s="24">
        <f t="shared" ref="B135:H135" si="10">IF(AND(B87="-",B39="-"),"-",SUM(B87,B39))</f>
        <v>666</v>
      </c>
      <c r="C135" s="24">
        <f t="shared" si="10"/>
        <v>1193</v>
      </c>
      <c r="D135" s="24">
        <f t="shared" si="10"/>
        <v>656</v>
      </c>
      <c r="E135" s="24">
        <f t="shared" si="10"/>
        <v>578</v>
      </c>
      <c r="F135" s="24">
        <f t="shared" si="10"/>
        <v>108</v>
      </c>
      <c r="G135" s="24">
        <f t="shared" si="10"/>
        <v>4</v>
      </c>
      <c r="H135" s="24">
        <f t="shared" si="10"/>
        <v>3201</v>
      </c>
    </row>
    <row r="136" spans="1:8" ht="11.25" customHeight="1">
      <c r="A136" s="99">
        <v>2011</v>
      </c>
      <c r="B136" s="24">
        <f t="shared" ref="B136:H136" si="11">IF(AND(B88="-",B40="-"),"-",SUM(B88,B40))</f>
        <v>698</v>
      </c>
      <c r="C136" s="24">
        <f t="shared" si="11"/>
        <v>848</v>
      </c>
      <c r="D136" s="24">
        <f t="shared" si="11"/>
        <v>600</v>
      </c>
      <c r="E136" s="24">
        <f t="shared" si="11"/>
        <v>348</v>
      </c>
      <c r="F136" s="24">
        <f t="shared" si="11"/>
        <v>78</v>
      </c>
      <c r="G136" s="24">
        <f t="shared" si="11"/>
        <v>1</v>
      </c>
      <c r="H136" s="24">
        <f t="shared" si="11"/>
        <v>2572</v>
      </c>
    </row>
    <row r="137" spans="1:8" ht="11.25" customHeight="1">
      <c r="A137" s="99">
        <v>2012</v>
      </c>
      <c r="B137" s="24">
        <f t="shared" ref="B137:H137" si="12">IF(AND(B89="-",B41="-"),"-",SUM(B89,B41))</f>
        <v>508</v>
      </c>
      <c r="C137" s="24">
        <f t="shared" si="12"/>
        <v>902</v>
      </c>
      <c r="D137" s="24">
        <f t="shared" si="12"/>
        <v>666</v>
      </c>
      <c r="E137" s="24">
        <f t="shared" si="12"/>
        <v>535</v>
      </c>
      <c r="F137" s="24">
        <f t="shared" si="12"/>
        <v>302</v>
      </c>
      <c r="G137" s="24">
        <f t="shared" si="12"/>
        <v>4</v>
      </c>
      <c r="H137" s="24">
        <f t="shared" si="12"/>
        <v>2913</v>
      </c>
    </row>
    <row r="138" spans="1:8" ht="11.25" customHeight="1">
      <c r="A138" s="99">
        <v>2013</v>
      </c>
      <c r="B138" s="24">
        <f t="shared" ref="B138:H144" si="13">IF(AND(B90="-",B42="-"),"-",SUM(B90,B42))</f>
        <v>1000</v>
      </c>
      <c r="C138" s="24">
        <f t="shared" si="13"/>
        <v>704</v>
      </c>
      <c r="D138" s="24">
        <f t="shared" si="13"/>
        <v>840</v>
      </c>
      <c r="E138" s="24">
        <f t="shared" si="13"/>
        <v>988</v>
      </c>
      <c r="F138" s="24">
        <f t="shared" si="13"/>
        <v>242</v>
      </c>
      <c r="G138" s="24">
        <f t="shared" si="13"/>
        <v>0</v>
      </c>
      <c r="H138" s="24">
        <f t="shared" si="13"/>
        <v>3774</v>
      </c>
    </row>
    <row r="139" spans="1:8" ht="11.25" customHeight="1">
      <c r="A139" s="99">
        <v>2014</v>
      </c>
      <c r="B139" s="24">
        <f t="shared" si="13"/>
        <v>785</v>
      </c>
      <c r="C139" s="24">
        <f t="shared" si="13"/>
        <v>483</v>
      </c>
      <c r="D139" s="24">
        <f t="shared" si="13"/>
        <v>862</v>
      </c>
      <c r="E139" s="24">
        <f t="shared" si="13"/>
        <v>756</v>
      </c>
      <c r="F139" s="24">
        <f t="shared" si="13"/>
        <v>269</v>
      </c>
      <c r="G139" s="24">
        <f t="shared" si="13"/>
        <v>0</v>
      </c>
      <c r="H139" s="24">
        <f t="shared" si="13"/>
        <v>3155</v>
      </c>
    </row>
    <row r="140" spans="1:8" ht="11.25" customHeight="1">
      <c r="A140" s="99">
        <v>2015</v>
      </c>
      <c r="B140" s="24">
        <f t="shared" si="13"/>
        <v>1142</v>
      </c>
      <c r="C140" s="24">
        <f t="shared" si="13"/>
        <v>864</v>
      </c>
      <c r="D140" s="24">
        <f t="shared" si="13"/>
        <v>880</v>
      </c>
      <c r="E140" s="24">
        <f t="shared" si="13"/>
        <v>711</v>
      </c>
      <c r="F140" s="24">
        <f t="shared" si="13"/>
        <v>231</v>
      </c>
      <c r="G140" s="24">
        <f t="shared" si="13"/>
        <v>0</v>
      </c>
      <c r="H140" s="24">
        <f t="shared" si="13"/>
        <v>3828</v>
      </c>
    </row>
    <row r="141" spans="1:8" ht="11.25" customHeight="1">
      <c r="A141" s="99">
        <v>2016</v>
      </c>
      <c r="B141" s="24">
        <f t="shared" si="13"/>
        <v>851</v>
      </c>
      <c r="C141" s="24">
        <f t="shared" si="13"/>
        <v>592</v>
      </c>
      <c r="D141" s="24">
        <f t="shared" si="13"/>
        <v>389</v>
      </c>
      <c r="E141" s="24">
        <f t="shared" si="13"/>
        <v>276</v>
      </c>
      <c r="F141" s="24">
        <f t="shared" si="13"/>
        <v>2</v>
      </c>
      <c r="G141" s="24">
        <f t="shared" si="13"/>
        <v>0</v>
      </c>
      <c r="H141" s="24">
        <f t="shared" si="13"/>
        <v>2110</v>
      </c>
    </row>
    <row r="142" spans="1:8" ht="11.25" customHeight="1">
      <c r="A142" s="99">
        <v>2017</v>
      </c>
      <c r="B142" s="24">
        <f t="shared" si="13"/>
        <v>789</v>
      </c>
      <c r="C142" s="24">
        <f t="shared" si="13"/>
        <v>696</v>
      </c>
      <c r="D142" s="24">
        <f t="shared" si="13"/>
        <v>697</v>
      </c>
      <c r="E142" s="24">
        <f t="shared" si="13"/>
        <v>768</v>
      </c>
      <c r="F142" s="24">
        <f t="shared" si="13"/>
        <v>293</v>
      </c>
      <c r="G142" s="24">
        <f t="shared" si="13"/>
        <v>0</v>
      </c>
      <c r="H142" s="24">
        <f t="shared" si="13"/>
        <v>3243</v>
      </c>
    </row>
    <row r="143" spans="1:8" ht="11.25" customHeight="1">
      <c r="A143" s="99">
        <v>2018</v>
      </c>
      <c r="B143" s="24">
        <f t="shared" si="13"/>
        <v>840</v>
      </c>
      <c r="C143" s="24">
        <f t="shared" si="13"/>
        <v>929</v>
      </c>
      <c r="D143" s="24">
        <f t="shared" si="13"/>
        <v>694</v>
      </c>
      <c r="E143" s="24">
        <f t="shared" si="13"/>
        <v>334</v>
      </c>
      <c r="F143" s="24">
        <f t="shared" si="13"/>
        <v>179</v>
      </c>
      <c r="G143" s="24">
        <f t="shared" si="13"/>
        <v>0</v>
      </c>
      <c r="H143" s="24">
        <f t="shared" si="13"/>
        <v>2976</v>
      </c>
    </row>
    <row r="144" spans="1:8" ht="11.25" customHeight="1">
      <c r="A144" s="122">
        <v>2019</v>
      </c>
      <c r="B144" s="24">
        <f t="shared" si="13"/>
        <v>426</v>
      </c>
      <c r="C144" s="24">
        <f t="shared" si="13"/>
        <v>407</v>
      </c>
      <c r="D144" s="24">
        <f t="shared" si="13"/>
        <v>1026</v>
      </c>
      <c r="E144" s="24">
        <f t="shared" si="13"/>
        <v>467</v>
      </c>
      <c r="F144" s="24">
        <f t="shared" si="13"/>
        <v>233</v>
      </c>
      <c r="G144" s="24">
        <f t="shared" si="13"/>
        <v>0</v>
      </c>
      <c r="H144" s="24">
        <f t="shared" si="13"/>
        <v>2559</v>
      </c>
    </row>
    <row r="145" spans="1:8" ht="11.25" customHeight="1">
      <c r="A145" s="122">
        <v>2020</v>
      </c>
      <c r="B145" s="24">
        <f t="shared" ref="B145:H146" si="14">IF(AND(B97="-",B49="-"),"-",SUM(B97,B49))</f>
        <v>74</v>
      </c>
      <c r="C145" s="24">
        <f t="shared" si="14"/>
        <v>138</v>
      </c>
      <c r="D145" s="24">
        <f t="shared" si="14"/>
        <v>493</v>
      </c>
      <c r="E145" s="24">
        <f t="shared" si="14"/>
        <v>349</v>
      </c>
      <c r="F145" s="24">
        <f t="shared" si="14"/>
        <v>50</v>
      </c>
      <c r="G145" s="24">
        <f t="shared" si="14"/>
        <v>0</v>
      </c>
      <c r="H145" s="24">
        <f t="shared" si="14"/>
        <v>1104</v>
      </c>
    </row>
    <row r="146" spans="1:8" ht="11.25" customHeight="1">
      <c r="A146" s="122" t="s">
        <v>317</v>
      </c>
      <c r="B146" s="24">
        <f t="shared" si="14"/>
        <v>278</v>
      </c>
      <c r="C146" s="24">
        <f t="shared" si="14"/>
        <v>558</v>
      </c>
      <c r="D146" s="24">
        <f t="shared" si="14"/>
        <v>630</v>
      </c>
      <c r="E146" s="24">
        <f t="shared" si="14"/>
        <v>341</v>
      </c>
      <c r="F146" s="24">
        <f t="shared" si="14"/>
        <v>195</v>
      </c>
      <c r="G146" s="24">
        <f t="shared" si="14"/>
        <v>0</v>
      </c>
      <c r="H146" s="24">
        <f t="shared" si="14"/>
        <v>2002</v>
      </c>
    </row>
    <row r="147" spans="1:8" ht="11.25" customHeight="1"/>
    <row r="148" spans="1:8" ht="11.25" customHeight="1">
      <c r="A148" s="94" t="s">
        <v>86</v>
      </c>
    </row>
    <row r="149" spans="1:8" ht="11.25" customHeight="1">
      <c r="A149" s="99">
        <v>1976</v>
      </c>
      <c r="B149" s="24">
        <f>IF(AND('A-12'!B149="-",'A-7'!D10="-"),"-",SUM('A-12'!B149,'A-7'!D10))</f>
        <v>1333</v>
      </c>
      <c r="C149" s="24">
        <f>IF(AND('A-12'!C149="-",'A-7'!E10="-"),"-",SUM('A-12'!C149,'A-7'!E10))</f>
        <v>2708</v>
      </c>
      <c r="D149" s="24">
        <f>IF(AND('A-12'!D149="-",'A-7'!F10="-"),"-",SUM('A-12'!D149,'A-7'!F10))</f>
        <v>5550</v>
      </c>
      <c r="E149" s="24">
        <f>IF(AND('A-12'!E149="-",'A-7'!G10="-"),"-",SUM('A-12'!E149,'A-7'!G10))</f>
        <v>4638</v>
      </c>
      <c r="F149" s="24">
        <f>IF(AND('A-12'!F149="-",'A-7'!H10="-"),"-",SUM('A-12'!F149,'A-7'!H10))</f>
        <v>3621</v>
      </c>
      <c r="G149" s="24">
        <f>IF(AND('A-12'!G149="-",'A-7'!I10="-"),"-",SUM('A-12'!G149,'A-7'!I10))</f>
        <v>121</v>
      </c>
      <c r="H149" s="24">
        <f>SUM(B149:G149)</f>
        <v>17971</v>
      </c>
    </row>
    <row r="150" spans="1:8" ht="11.25" customHeight="1">
      <c r="A150" s="99">
        <v>1977</v>
      </c>
      <c r="B150" s="24">
        <f>IF(AND('A-12'!B150="-",'A-7'!D11="-"),"-",SUM('A-12'!B150,'A-7'!D11))</f>
        <v>1513</v>
      </c>
      <c r="C150" s="24">
        <f>IF(AND('A-12'!C150="-",'A-7'!E11="-"),"-",SUM('A-12'!C150,'A-7'!E11))</f>
        <v>844</v>
      </c>
      <c r="D150" s="24">
        <f>IF(AND('A-12'!D150="-",'A-7'!F11="-"),"-",SUM('A-12'!D150,'A-7'!F11))</f>
        <v>6646</v>
      </c>
      <c r="E150" s="24">
        <f>IF(AND('A-12'!E150="-",'A-7'!G11="-"),"-",SUM('A-12'!E150,'A-7'!G11))</f>
        <v>3668</v>
      </c>
      <c r="F150" s="24">
        <f>IF(AND('A-12'!F150="-",'A-7'!H11="-"),"-",SUM('A-12'!F150,'A-7'!H11))</f>
        <v>2788</v>
      </c>
      <c r="G150" s="24">
        <f>IF(AND('A-12'!G150="-",'A-7'!I11="-"),"-",SUM('A-12'!G150,'A-7'!I11))</f>
        <v>90</v>
      </c>
      <c r="H150" s="24">
        <f t="shared" ref="H150:H187" si="15">SUM(B150:G150)</f>
        <v>15549</v>
      </c>
    </row>
    <row r="151" spans="1:8" ht="11.25" customHeight="1">
      <c r="A151" s="99">
        <v>1978</v>
      </c>
      <c r="B151" s="24">
        <f>IF(AND('A-12'!B151="-",'A-7'!D12="-"),"-",SUM('A-12'!B151,'A-7'!D12))</f>
        <v>237</v>
      </c>
      <c r="C151" s="24">
        <f>IF(AND('A-12'!C151="-",'A-7'!E12="-"),"-",SUM('A-12'!C151,'A-7'!E12))</f>
        <v>613</v>
      </c>
      <c r="D151" s="24">
        <f>IF(AND('A-12'!D151="-",'A-7'!F12="-"),"-",SUM('A-12'!D151,'A-7'!F12))</f>
        <v>3855</v>
      </c>
      <c r="E151" s="24">
        <f>IF(AND('A-12'!E151="-",'A-7'!G12="-"),"-",SUM('A-12'!E151,'A-7'!G12))</f>
        <v>2169</v>
      </c>
      <c r="F151" s="24">
        <f>IF(AND('A-12'!F151="-",'A-7'!H12="-"),"-",SUM('A-12'!F151,'A-7'!H12))</f>
        <v>2485</v>
      </c>
      <c r="G151" s="24">
        <f>IF(AND('A-12'!G151="-",'A-7'!I12="-"),"-",SUM('A-12'!G151,'A-7'!I12))</f>
        <v>58</v>
      </c>
      <c r="H151" s="24">
        <f t="shared" si="15"/>
        <v>9417</v>
      </c>
    </row>
    <row r="152" spans="1:8" ht="11.25" customHeight="1">
      <c r="A152" s="99">
        <v>1979</v>
      </c>
      <c r="B152" s="24">
        <f>IF(AND('A-12'!B152="-",'A-7'!D13="-"),"-",SUM('A-12'!B152,'A-7'!D13))</f>
        <v>613</v>
      </c>
      <c r="C152" s="24">
        <f>IF(AND('A-12'!C152="-",'A-7'!E13="-"),"-",SUM('A-12'!C152,'A-7'!E13))</f>
        <v>11</v>
      </c>
      <c r="D152" s="24">
        <f>IF(AND('A-12'!D152="-",'A-7'!F13="-"),"-",SUM('A-12'!D152,'A-7'!F13))</f>
        <v>4156</v>
      </c>
      <c r="E152" s="24">
        <f>IF(AND('A-12'!E152="-",'A-7'!G13="-"),"-",SUM('A-12'!E152,'A-7'!G13))</f>
        <v>5246</v>
      </c>
      <c r="F152" s="24">
        <f>IF(AND('A-12'!F152="-",'A-7'!H13="-"),"-",SUM('A-12'!F152,'A-7'!H13))</f>
        <v>69</v>
      </c>
      <c r="G152" s="24">
        <f>IF(AND('A-12'!G152="-",'A-7'!I13="-"),"-",SUM('A-12'!G152,'A-7'!I13))</f>
        <v>1</v>
      </c>
      <c r="H152" s="24">
        <f t="shared" si="15"/>
        <v>10096</v>
      </c>
    </row>
    <row r="153" spans="1:8" ht="11.25" customHeight="1">
      <c r="A153" s="99">
        <v>1980</v>
      </c>
      <c r="B153" s="24">
        <f>IF(AND('A-12'!B153="-",'A-7'!D14="-"),"-",SUM('A-12'!B153,'A-7'!D14))</f>
        <v>803</v>
      </c>
      <c r="C153" s="24">
        <f>IF(AND('A-12'!C153="-",'A-7'!E14="-"),"-",SUM('A-12'!C153,'A-7'!E14))</f>
        <v>13</v>
      </c>
      <c r="D153" s="24">
        <f>IF(AND('A-12'!D153="-",'A-7'!F14="-"),"-",SUM('A-12'!D153,'A-7'!F14))</f>
        <v>1886</v>
      </c>
      <c r="E153" s="24">
        <f>IF(AND('A-12'!E153="-",'A-7'!G14="-"),"-",SUM('A-12'!E153,'A-7'!G14))</f>
        <v>3032</v>
      </c>
      <c r="F153" s="24">
        <f>IF(AND('A-12'!F153="-",'A-7'!H14="-"),"-",SUM('A-12'!F153,'A-7'!H14))</f>
        <v>635</v>
      </c>
      <c r="G153" s="24">
        <f>IF(AND('A-12'!G153="-",'A-7'!I14="-"),"-",SUM('A-12'!G153,'A-7'!I14))</f>
        <v>8</v>
      </c>
      <c r="H153" s="24">
        <f t="shared" si="15"/>
        <v>6377</v>
      </c>
    </row>
    <row r="154" spans="1:8" ht="11.25" customHeight="1">
      <c r="A154" s="99">
        <v>1981</v>
      </c>
      <c r="B154" s="24">
        <f>IF(AND('A-12'!B154="-",'A-7'!D15="-"),"-",SUM('A-12'!B154,'A-7'!D15))</f>
        <v>1377</v>
      </c>
      <c r="C154" s="24">
        <f>IF(AND('A-12'!C154="-",'A-7'!E15="-"),"-",SUM('A-12'!C154,'A-7'!E15))</f>
        <v>7</v>
      </c>
      <c r="D154" s="24">
        <f>IF(AND('A-12'!D154="-",'A-7'!F15="-"),"-",SUM('A-12'!D154,'A-7'!F15))</f>
        <v>3013</v>
      </c>
      <c r="E154" s="24">
        <f>IF(AND('A-12'!E154="-",'A-7'!G15="-"),"-",SUM('A-12'!E154,'A-7'!G15))</f>
        <v>2511</v>
      </c>
      <c r="F154" s="24">
        <f>IF(AND('A-12'!F154="-",'A-7'!H15="-"),"-",SUM('A-12'!F154,'A-7'!H15))</f>
        <v>0</v>
      </c>
      <c r="G154" s="24">
        <f>IF(AND('A-12'!G154="-",'A-7'!I15="-"),"-",SUM('A-12'!G154,'A-7'!I15))</f>
        <v>1</v>
      </c>
      <c r="H154" s="24">
        <f t="shared" si="15"/>
        <v>6909</v>
      </c>
    </row>
    <row r="155" spans="1:8" ht="11.25" customHeight="1">
      <c r="A155" s="99">
        <v>1982</v>
      </c>
      <c r="B155" s="24">
        <f>IF(AND('A-12'!B155="-",'A-7'!D16="-"),"-",SUM('A-12'!B155,'A-7'!D16))</f>
        <v>1365</v>
      </c>
      <c r="C155" s="24">
        <f>IF(AND('A-12'!C155="-",'A-7'!E16="-"),"-",SUM('A-12'!C155,'A-7'!E16))</f>
        <v>80</v>
      </c>
      <c r="D155" s="24">
        <f>IF(AND('A-12'!D155="-",'A-7'!F16="-"),"-",SUM('A-12'!D155,'A-7'!F16))</f>
        <v>1709</v>
      </c>
      <c r="E155" s="24">
        <f>IF(AND('A-12'!E155="-",'A-7'!G16="-"),"-",SUM('A-12'!E155,'A-7'!G16))</f>
        <v>0</v>
      </c>
      <c r="F155" s="24">
        <f>IF(AND('A-12'!F155="-",'A-7'!H16="-"),"-",SUM('A-12'!F155,'A-7'!H16))</f>
        <v>0</v>
      </c>
      <c r="G155" s="24">
        <f>IF(AND('A-12'!G155="-",'A-7'!I16="-"),"-",SUM('A-12'!G155,'A-7'!I16))</f>
        <v>0</v>
      </c>
      <c r="H155" s="24">
        <f t="shared" si="15"/>
        <v>3154</v>
      </c>
    </row>
    <row r="156" spans="1:8" ht="11.25" customHeight="1">
      <c r="A156" s="99">
        <v>1983</v>
      </c>
      <c r="B156" s="24">
        <f>IF(AND('A-12'!B156="-",'A-7'!D17="-"),"-",SUM('A-12'!B156,'A-7'!D17))</f>
        <v>1128</v>
      </c>
      <c r="C156" s="24">
        <f>IF(AND('A-12'!C156="-",'A-7'!E17="-"),"-",SUM('A-12'!C156,'A-7'!E17))</f>
        <v>204</v>
      </c>
      <c r="D156" s="24">
        <f>IF(AND('A-12'!D156="-",'A-7'!F17="-"),"-",SUM('A-12'!D156,'A-7'!F17))</f>
        <v>163</v>
      </c>
      <c r="E156" s="24">
        <f>IF(AND('A-12'!E156="-",'A-7'!G17="-"),"-",SUM('A-12'!E156,'A-7'!G17))</f>
        <v>880</v>
      </c>
      <c r="F156" s="24">
        <f>IF(AND('A-12'!F156="-",'A-7'!H17="-"),"-",SUM('A-12'!F156,'A-7'!H17))</f>
        <v>732</v>
      </c>
      <c r="G156" s="24">
        <f>IF(AND('A-12'!G156="-",'A-7'!I17="-"),"-",SUM('A-12'!G156,'A-7'!I17))</f>
        <v>0</v>
      </c>
      <c r="H156" s="24">
        <f t="shared" si="15"/>
        <v>3107</v>
      </c>
    </row>
    <row r="157" spans="1:8" ht="11.25" customHeight="1">
      <c r="A157" s="99">
        <v>1984</v>
      </c>
      <c r="B157" s="24">
        <f>IF(AND('A-12'!B157="-",'A-7'!D18="-"),"-",SUM('A-12'!B157,'A-7'!D18))</f>
        <v>119</v>
      </c>
      <c r="C157" s="24">
        <f>IF(AND('A-12'!C157="-",'A-7'!E18="-"),"-",SUM('A-12'!C157,'A-7'!E18))</f>
        <v>0</v>
      </c>
      <c r="D157" s="24">
        <f>IF(AND('A-12'!D157="-",'A-7'!F18="-"),"-",SUM('A-12'!D157,'A-7'!F18))</f>
        <v>0</v>
      </c>
      <c r="E157" s="24">
        <f>IF(AND('A-12'!E157="-",'A-7'!G18="-"),"-",SUM('A-12'!E157,'A-7'!G18))</f>
        <v>602</v>
      </c>
      <c r="F157" s="24">
        <f>IF(AND('A-12'!F157="-",'A-7'!H18="-"),"-",SUM('A-12'!F157,'A-7'!H18))</f>
        <v>0</v>
      </c>
      <c r="G157" s="24">
        <f>IF(AND('A-12'!G157="-",'A-7'!I18="-"),"-",SUM('A-12'!G157,'A-7'!I18))</f>
        <v>0</v>
      </c>
      <c r="H157" s="24">
        <f t="shared" si="15"/>
        <v>721</v>
      </c>
    </row>
    <row r="158" spans="1:8" ht="11.25" customHeight="1">
      <c r="A158" s="99">
        <v>1985</v>
      </c>
      <c r="B158" s="24">
        <f>IF(AND('A-12'!B158="-",'A-7'!D19="-"),"-",SUM('A-12'!B158,'A-7'!D19))</f>
        <v>855</v>
      </c>
      <c r="C158" s="24">
        <f>IF(AND('A-12'!C158="-",'A-7'!E19="-"),"-",SUM('A-12'!C158,'A-7'!E19))</f>
        <v>0</v>
      </c>
      <c r="D158" s="24">
        <f>IF(AND('A-12'!D158="-",'A-7'!F19="-"),"-",SUM('A-12'!D158,'A-7'!F19))</f>
        <v>0</v>
      </c>
      <c r="E158" s="24">
        <f>IF(AND('A-12'!E158="-",'A-7'!G19="-"),"-",SUM('A-12'!E158,'A-7'!G19))</f>
        <v>539</v>
      </c>
      <c r="F158" s="24">
        <f>IF(AND('A-12'!F158="-",'A-7'!H19="-"),"-",SUM('A-12'!F158,'A-7'!H19))</f>
        <v>0</v>
      </c>
      <c r="G158" s="24">
        <f>IF(AND('A-12'!G158="-",'A-7'!I19="-"),"-",SUM('A-12'!G158,'A-7'!I19))</f>
        <v>1</v>
      </c>
      <c r="H158" s="24">
        <f t="shared" si="15"/>
        <v>1395</v>
      </c>
    </row>
    <row r="159" spans="1:8" ht="11.25" customHeight="1">
      <c r="A159" s="99">
        <v>1986</v>
      </c>
      <c r="B159" s="24">
        <f>IF(AND('A-12'!B159="-",'A-7'!D20="-"),"-",SUM('A-12'!B159,'A-7'!D20))</f>
        <v>819</v>
      </c>
      <c r="C159" s="24" t="str">
        <f>IF(AND('A-12'!C159="-",'A-7'!E20="-"),"-",SUM('A-12'!C159,'A-7'!E20))</f>
        <v>-</v>
      </c>
      <c r="D159" s="24" t="str">
        <f>IF(AND('A-12'!D159="-",'A-7'!F20="-"),"-",SUM('A-12'!D159,'A-7'!F20))</f>
        <v>-</v>
      </c>
      <c r="E159" s="24">
        <f>IF(AND('A-12'!E159="-",'A-7'!G20="-"),"-",SUM('A-12'!E159,'A-7'!G20))</f>
        <v>1767</v>
      </c>
      <c r="F159" s="24" t="str">
        <f>IF(AND('A-12'!F159="-",'A-7'!H20="-"),"-",SUM('A-12'!F159,'A-7'!H20))</f>
        <v>-</v>
      </c>
      <c r="G159" s="24" t="str">
        <f>IF(AND('A-12'!G159="-",'A-7'!I20="-"),"-",SUM('A-12'!G159,'A-7'!I20))</f>
        <v>-</v>
      </c>
      <c r="H159" s="24">
        <f t="shared" si="15"/>
        <v>2586</v>
      </c>
    </row>
    <row r="160" spans="1:8" ht="11.25" customHeight="1">
      <c r="A160" s="99">
        <v>1987</v>
      </c>
      <c r="B160" s="24">
        <f>IF(AND('A-12'!B160="-",'A-7'!D21="-"),"-",SUM('A-12'!B160,'A-7'!D21))</f>
        <v>327</v>
      </c>
      <c r="C160" s="24" t="str">
        <f>IF(AND('A-12'!C160="-",'A-7'!E21="-"),"-",SUM('A-12'!C160,'A-7'!E21))</f>
        <v>-</v>
      </c>
      <c r="D160" s="24">
        <f>IF(AND('A-12'!D160="-",'A-7'!F21="-"),"-",SUM('A-12'!D160,'A-7'!F21))</f>
        <v>467</v>
      </c>
      <c r="E160" s="24" t="str">
        <f>IF(AND('A-12'!E160="-",'A-7'!G21="-"),"-",SUM('A-12'!E160,'A-7'!G21))</f>
        <v>-</v>
      </c>
      <c r="F160" s="24" t="str">
        <f>IF(AND('A-12'!F160="-",'A-7'!H21="-"),"-",SUM('A-12'!F160,'A-7'!H21))</f>
        <v>-</v>
      </c>
      <c r="G160" s="24" t="str">
        <f>IF(AND('A-12'!G160="-",'A-7'!I21="-"),"-",SUM('A-12'!G160,'A-7'!I21))</f>
        <v>-</v>
      </c>
      <c r="H160" s="24">
        <f t="shared" si="15"/>
        <v>794</v>
      </c>
    </row>
    <row r="161" spans="1:8" ht="11.25" customHeight="1">
      <c r="A161" s="99">
        <v>1988</v>
      </c>
      <c r="B161" s="24">
        <f>IF(AND('A-12'!B161="-",'A-7'!D22="-"),"-",SUM('A-12'!B161,'A-7'!D22))</f>
        <v>300</v>
      </c>
      <c r="C161" s="24">
        <f>IF(AND('A-12'!C161="-",'A-7'!E22="-"),"-",SUM('A-12'!C161,'A-7'!E22))</f>
        <v>180</v>
      </c>
      <c r="D161" s="24" t="str">
        <f>IF(AND('A-12'!D161="-",'A-7'!F22="-"),"-",SUM('A-12'!D161,'A-7'!F22))</f>
        <v>-</v>
      </c>
      <c r="E161" s="24" t="str">
        <f>IF(AND('A-12'!E161="-",'A-7'!G22="-"),"-",SUM('A-12'!E161,'A-7'!G22))</f>
        <v>-</v>
      </c>
      <c r="F161" s="24" t="str">
        <f>IF(AND('A-12'!F161="-",'A-7'!H22="-"),"-",SUM('A-12'!F161,'A-7'!H22))</f>
        <v>-</v>
      </c>
      <c r="G161" s="24" t="str">
        <f>IF(AND('A-12'!G161="-",'A-7'!I22="-"),"-",SUM('A-12'!G161,'A-7'!I22))</f>
        <v>-</v>
      </c>
      <c r="H161" s="24">
        <f t="shared" si="15"/>
        <v>480</v>
      </c>
    </row>
    <row r="162" spans="1:8" ht="11.25" customHeight="1">
      <c r="A162" s="99">
        <v>1989</v>
      </c>
      <c r="B162" s="24">
        <f>IF(AND('A-12'!B162="-",'A-7'!D23="-"),"-",SUM('A-12'!B162,'A-7'!D23))</f>
        <v>177</v>
      </c>
      <c r="C162" s="24">
        <f>IF(AND('A-12'!C162="-",'A-7'!E23="-"),"-",SUM('A-12'!C162,'A-7'!E23))</f>
        <v>61</v>
      </c>
      <c r="D162" s="24" t="str">
        <f>IF(AND('A-12'!D162="-",'A-7'!F23="-"),"-",SUM('A-12'!D162,'A-7'!F23))</f>
        <v>-</v>
      </c>
      <c r="E162" s="24">
        <f>IF(AND('A-12'!E162="-",'A-7'!G23="-"),"-",SUM('A-12'!E162,'A-7'!G23))</f>
        <v>918</v>
      </c>
      <c r="F162" s="24">
        <f>IF(AND('A-12'!F162="-",'A-7'!H23="-"),"-",SUM('A-12'!F162,'A-7'!H23))</f>
        <v>692</v>
      </c>
      <c r="G162" s="24" t="str">
        <f>IF(AND('A-12'!G162="-",'A-7'!I23="-"),"-",SUM('A-12'!G162,'A-7'!I23))</f>
        <v>-</v>
      </c>
      <c r="H162" s="24">
        <f t="shared" si="15"/>
        <v>1848</v>
      </c>
    </row>
    <row r="163" spans="1:8" ht="11.25" customHeight="1">
      <c r="A163" s="99">
        <v>1990</v>
      </c>
      <c r="B163" s="24">
        <f>IF(AND('A-12'!B163="-",'A-7'!D24="-"),"-",SUM('A-12'!B163,'A-7'!D24))</f>
        <v>91</v>
      </c>
      <c r="C163" s="24">
        <f>IF(AND('A-12'!C163="-",'A-7'!E24="-"),"-",SUM('A-12'!C163,'A-7'!E24))</f>
        <v>20</v>
      </c>
      <c r="D163" s="24" t="str">
        <f>IF(AND('A-12'!D163="-",'A-7'!F24="-"),"-",SUM('A-12'!D163,'A-7'!F24))</f>
        <v>-</v>
      </c>
      <c r="E163" s="24">
        <f>IF(AND('A-12'!E163="-",'A-7'!G24="-"),"-",SUM('A-12'!E163,'A-7'!G24))</f>
        <v>801</v>
      </c>
      <c r="F163" s="24">
        <f>IF(AND('A-12'!F163="-",'A-7'!H24="-"),"-",SUM('A-12'!F163,'A-7'!H24))</f>
        <v>1008</v>
      </c>
      <c r="G163" s="24">
        <f>IF(AND('A-12'!G163="-",'A-7'!I24="-"),"-",SUM('A-12'!G163,'A-7'!I24))</f>
        <v>22</v>
      </c>
      <c r="H163" s="24">
        <f t="shared" si="15"/>
        <v>1942</v>
      </c>
    </row>
    <row r="164" spans="1:8" ht="11.25" customHeight="1">
      <c r="A164" s="99">
        <v>1991</v>
      </c>
      <c r="B164" s="24">
        <f>IF(AND('A-12'!B164="-",'A-7'!D25="-"),"-",SUM('A-12'!B164,'A-7'!D25))</f>
        <v>227</v>
      </c>
      <c r="C164" s="24">
        <f>IF(AND('A-12'!C164="-",'A-7'!E25="-"),"-",SUM('A-12'!C164,'A-7'!E25))</f>
        <v>25</v>
      </c>
      <c r="D164" s="24" t="str">
        <f>IF(AND('A-12'!D164="-",'A-7'!F25="-"),"-",SUM('A-12'!D164,'A-7'!F25))</f>
        <v>-</v>
      </c>
      <c r="E164" s="24">
        <f>IF(AND('A-12'!E164="-",'A-7'!G25="-"),"-",SUM('A-12'!E164,'A-7'!G25))</f>
        <v>845</v>
      </c>
      <c r="F164" s="24">
        <f>IF(AND('A-12'!F164="-",'A-7'!H25="-"),"-",SUM('A-12'!F164,'A-7'!H25))</f>
        <v>207</v>
      </c>
      <c r="G164" s="24" t="str">
        <f>IF(AND('A-12'!G164="-",'A-7'!I25="-"),"-",SUM('A-12'!G164,'A-7'!I25))</f>
        <v>-</v>
      </c>
      <c r="H164" s="24">
        <f t="shared" si="15"/>
        <v>1304</v>
      </c>
    </row>
    <row r="165" spans="1:8" ht="11.25" customHeight="1">
      <c r="A165" s="99">
        <v>1992</v>
      </c>
      <c r="B165" s="24">
        <f>IF(AND('A-12'!B165="-",'A-7'!D26="-"),"-",SUM('A-12'!B165,'A-7'!D26))</f>
        <v>207</v>
      </c>
      <c r="C165" s="24">
        <f>IF(AND('A-12'!C165="-",'A-7'!E26="-"),"-",SUM('A-12'!C165,'A-7'!E26))</f>
        <v>124</v>
      </c>
      <c r="D165" s="24">
        <f>IF(AND('A-12'!D165="-",'A-7'!F26="-"),"-",SUM('A-12'!D165,'A-7'!F26))</f>
        <v>132</v>
      </c>
      <c r="E165" s="24">
        <f>IF(AND('A-12'!E165="-",'A-7'!G26="-"),"-",SUM('A-12'!E165,'A-7'!G26))</f>
        <v>68</v>
      </c>
      <c r="F165" s="24" t="str">
        <f>IF(AND('A-12'!F165="-",'A-7'!H26="-"),"-",SUM('A-12'!F165,'A-7'!H26))</f>
        <v>-</v>
      </c>
      <c r="G165" s="24" t="str">
        <f>IF(AND('A-12'!G165="-",'A-7'!I26="-"),"-",SUM('A-12'!G165,'A-7'!I26))</f>
        <v>-</v>
      </c>
      <c r="H165" s="24">
        <f t="shared" si="15"/>
        <v>531</v>
      </c>
    </row>
    <row r="166" spans="1:8" ht="11.25" customHeight="1">
      <c r="A166" s="99">
        <v>1993</v>
      </c>
      <c r="B166" s="24">
        <f>IF(AND('A-12'!B166="-",'A-7'!D27="-"),"-",SUM('A-12'!B166,'A-7'!D27))</f>
        <v>25</v>
      </c>
      <c r="C166" s="24">
        <f>IF(AND('A-12'!C166="-",'A-7'!E27="-"),"-",SUM('A-12'!C166,'A-7'!E27))</f>
        <v>8</v>
      </c>
      <c r="D166" s="24">
        <f>IF(AND('A-12'!D166="-",'A-7'!F27="-"),"-",SUM('A-12'!D166,'A-7'!F27))</f>
        <v>94</v>
      </c>
      <c r="E166" s="24">
        <f>IF(AND('A-12'!E166="-",'A-7'!G27="-"),"-",SUM('A-12'!E166,'A-7'!G27))</f>
        <v>64</v>
      </c>
      <c r="F166" s="24">
        <f>IF(AND('A-12'!F166="-",'A-7'!H27="-"),"-",SUM('A-12'!F166,'A-7'!H27))</f>
        <v>102</v>
      </c>
      <c r="G166" s="24" t="str">
        <f>IF(AND('A-12'!G166="-",'A-7'!I27="-"),"-",SUM('A-12'!G166,'A-7'!I27))</f>
        <v>-</v>
      </c>
      <c r="H166" s="24">
        <f t="shared" si="15"/>
        <v>293</v>
      </c>
    </row>
    <row r="167" spans="1:8" ht="11.25" customHeight="1">
      <c r="A167" s="99">
        <v>1994</v>
      </c>
      <c r="B167" s="24" t="str">
        <f>IF(AND('A-12'!B167="-",'A-7'!D28="-"),"-",SUM('A-12'!B167,'A-7'!D28))</f>
        <v>-</v>
      </c>
      <c r="C167" s="24" t="str">
        <f>IF(AND('A-12'!C167="-",'A-7'!E28="-"),"-",SUM('A-12'!C167,'A-7'!E28))</f>
        <v>-</v>
      </c>
      <c r="D167" s="24" t="str">
        <f>IF(AND('A-12'!D167="-",'A-7'!F28="-"),"-",SUM('A-12'!D167,'A-7'!F28))</f>
        <v>-</v>
      </c>
      <c r="E167" s="24" t="str">
        <f>IF(AND('A-12'!E167="-",'A-7'!G28="-"),"-",SUM('A-12'!E167,'A-7'!G28))</f>
        <v>-</v>
      </c>
      <c r="F167" s="24" t="str">
        <f>IF(AND('A-12'!F167="-",'A-7'!H28="-"),"-",SUM('A-12'!F167,'A-7'!H28))</f>
        <v>-</v>
      </c>
      <c r="G167" s="24" t="str">
        <f>IF(AND('A-12'!G167="-",'A-7'!I28="-"),"-",SUM('A-12'!G167,'A-7'!I28))</f>
        <v>-</v>
      </c>
      <c r="H167" s="24" t="str">
        <f>IF(AND('A-12'!H167="-",'A-7'!J28="-"),"-",SUM('A-12'!H167,'A-7'!J28))</f>
        <v>-</v>
      </c>
    </row>
    <row r="168" spans="1:8" ht="11.25" customHeight="1">
      <c r="A168" s="99">
        <v>1995</v>
      </c>
      <c r="B168" s="24" t="str">
        <f>IF(AND('A-12'!B168="-",'A-7'!D29="-"),"-",SUM('A-12'!B168,'A-7'!D29))</f>
        <v>-</v>
      </c>
      <c r="C168" s="24" t="str">
        <f>IF(AND('A-12'!C168="-",'A-7'!E29="-"),"-",SUM('A-12'!C168,'A-7'!E29))</f>
        <v>-</v>
      </c>
      <c r="D168" s="24" t="str">
        <f>IF(AND('A-12'!D168="-",'A-7'!F29="-"),"-",SUM('A-12'!D168,'A-7'!F29))</f>
        <v>-</v>
      </c>
      <c r="E168" s="24" t="str">
        <f>IF(AND('A-12'!E168="-",'A-7'!G29="-"),"-",SUM('A-12'!E168,'A-7'!G29))</f>
        <v>-</v>
      </c>
      <c r="F168" s="24" t="str">
        <f>IF(AND('A-12'!F168="-",'A-7'!H29="-"),"-",SUM('A-12'!F168,'A-7'!H29))</f>
        <v>-</v>
      </c>
      <c r="G168" s="24" t="str">
        <f>IF(AND('A-12'!G168="-",'A-7'!I29="-"),"-",SUM('A-12'!G168,'A-7'!I29))</f>
        <v>-</v>
      </c>
      <c r="H168" s="24" t="str">
        <f>IF(AND('A-12'!H168="-",'A-7'!J29="-"),"-",SUM('A-12'!H168,'A-7'!J29))</f>
        <v>-</v>
      </c>
    </row>
    <row r="169" spans="1:8" ht="11.25" customHeight="1">
      <c r="A169" s="99">
        <v>1996</v>
      </c>
      <c r="B169" s="24" t="str">
        <f>IF(AND('A-12'!B169="-",'A-7'!D30="-"),"-",SUM('A-12'!B169,'A-7'!D30))</f>
        <v>-</v>
      </c>
      <c r="C169" s="24" t="str">
        <f>IF(AND('A-12'!C169="-",'A-7'!E30="-"),"-",SUM('A-12'!C169,'A-7'!E30))</f>
        <v>-</v>
      </c>
      <c r="D169" s="24" t="str">
        <f>IF(AND('A-12'!D169="-",'A-7'!F30="-"),"-",SUM('A-12'!D169,'A-7'!F30))</f>
        <v>-</v>
      </c>
      <c r="E169" s="24" t="str">
        <f>IF(AND('A-12'!E169="-",'A-7'!G30="-"),"-",SUM('A-12'!E169,'A-7'!G30))</f>
        <v>-</v>
      </c>
      <c r="F169" s="24" t="str">
        <f>IF(AND('A-12'!F169="-",'A-7'!H30="-"),"-",SUM('A-12'!F169,'A-7'!H30))</f>
        <v>-</v>
      </c>
      <c r="G169" s="24" t="str">
        <f>IF(AND('A-12'!G169="-",'A-7'!I30="-"),"-",SUM('A-12'!G169,'A-7'!I30))</f>
        <v>-</v>
      </c>
      <c r="H169" s="24" t="str">
        <f>IF(AND('A-12'!H169="-",'A-7'!J30="-"),"-",SUM('A-12'!H169,'A-7'!J30))</f>
        <v>-</v>
      </c>
    </row>
    <row r="170" spans="1:8" ht="11.25" customHeight="1">
      <c r="A170" s="99">
        <v>1997</v>
      </c>
      <c r="B170" s="24">
        <f>IF(AND('A-12'!B170="-",'A-7'!D31="-"),"-",SUM('A-12'!B170,'A-7'!D31))</f>
        <v>6</v>
      </c>
      <c r="C170" s="24">
        <f>IF(AND('A-12'!C170="-",'A-7'!E31="-"),"-",SUM('A-12'!C170,'A-7'!E31))</f>
        <v>2</v>
      </c>
      <c r="D170" s="24" t="str">
        <f>IF(AND('A-12'!D170="-",'A-7'!F31="-"),"-",SUM('A-12'!D170,'A-7'!F31))</f>
        <v>-</v>
      </c>
      <c r="E170" s="24" t="str">
        <f>IF(AND('A-12'!E170="-",'A-7'!G31="-"),"-",SUM('A-12'!E170,'A-7'!G31))</f>
        <v>-</v>
      </c>
      <c r="F170" s="24" t="str">
        <f>IF(AND('A-12'!F170="-",'A-7'!H31="-"),"-",SUM('A-12'!F170,'A-7'!H31))</f>
        <v>-</v>
      </c>
      <c r="G170" s="24" t="str">
        <f>IF(AND('A-12'!G170="-",'A-7'!I31="-"),"-",SUM('A-12'!G170,'A-7'!I31))</f>
        <v>-</v>
      </c>
      <c r="H170" s="24">
        <f t="shared" si="15"/>
        <v>8</v>
      </c>
    </row>
    <row r="171" spans="1:8" ht="11.25" customHeight="1">
      <c r="A171" s="99">
        <v>1998</v>
      </c>
      <c r="B171" s="24">
        <f>IF(AND('A-12'!B171="-",'A-7'!D32="-"),"-",SUM('A-12'!B171,'A-7'!D32))</f>
        <v>0</v>
      </c>
      <c r="C171" s="24">
        <f>IF(AND('A-12'!C171="-",'A-7'!E32="-"),"-",SUM('A-12'!C171,'A-7'!E32))</f>
        <v>0</v>
      </c>
      <c r="D171" s="24" t="str">
        <f>IF(AND('A-12'!D171="-",'A-7'!F32="-"),"-",SUM('A-12'!D171,'A-7'!F32))</f>
        <v>-</v>
      </c>
      <c r="E171" s="24" t="str">
        <f>IF(AND('A-12'!E171="-",'A-7'!G32="-"),"-",SUM('A-12'!E171,'A-7'!G32))</f>
        <v>-</v>
      </c>
      <c r="F171" s="24" t="str">
        <f>IF(AND('A-12'!F171="-",'A-7'!H32="-"),"-",SUM('A-12'!F171,'A-7'!H32))</f>
        <v>-</v>
      </c>
      <c r="G171" s="24" t="str">
        <f>IF(AND('A-12'!G171="-",'A-7'!I32="-"),"-",SUM('A-12'!G171,'A-7'!I32))</f>
        <v>-</v>
      </c>
      <c r="H171" s="24">
        <f t="shared" si="15"/>
        <v>0</v>
      </c>
    </row>
    <row r="172" spans="1:8" ht="11.25" customHeight="1">
      <c r="A172" s="99">
        <v>1999</v>
      </c>
      <c r="B172" s="24">
        <f>IF(AND('A-12'!B172="-",'A-7'!D33="-"),"-",SUM('A-12'!B172,'A-7'!D33))</f>
        <v>0</v>
      </c>
      <c r="C172" s="24">
        <f>IF(AND('A-12'!C172="-",'A-7'!E33="-"),"-",SUM('A-12'!C172,'A-7'!E33))</f>
        <v>1</v>
      </c>
      <c r="D172" s="24" t="str">
        <f>IF(AND('A-12'!D172="-",'A-7'!F33="-"),"-",SUM('A-12'!D172,'A-7'!F33))</f>
        <v>-</v>
      </c>
      <c r="E172" s="24" t="str">
        <f>IF(AND('A-12'!E172="-",'A-7'!G33="-"),"-",SUM('A-12'!E172,'A-7'!G33))</f>
        <v>-</v>
      </c>
      <c r="F172" s="24" t="str">
        <f>IF(AND('A-12'!F172="-",'A-7'!H33="-"),"-",SUM('A-12'!F172,'A-7'!H33))</f>
        <v>-</v>
      </c>
      <c r="G172" s="24" t="str">
        <f>IF(AND('A-12'!G172="-",'A-7'!I33="-"),"-",SUM('A-12'!G172,'A-7'!I33))</f>
        <v>-</v>
      </c>
      <c r="H172" s="24">
        <f t="shared" si="15"/>
        <v>1</v>
      </c>
    </row>
    <row r="173" spans="1:8" ht="11.25" customHeight="1">
      <c r="A173" s="99">
        <v>2000</v>
      </c>
      <c r="B173" s="24">
        <f>IF(AND('A-12'!B173="-",'A-7'!D34="-"),"-",SUM('A-12'!B173,'A-7'!D34))</f>
        <v>1</v>
      </c>
      <c r="C173" s="24">
        <f>IF(AND('A-12'!C173="-",'A-7'!E34="-"),"-",SUM('A-12'!C173,'A-7'!E34))</f>
        <v>6</v>
      </c>
      <c r="D173" s="24" t="str">
        <f>IF(AND('A-12'!D173="-",'A-7'!F34="-"),"-",SUM('A-12'!D173,'A-7'!F34))</f>
        <v>-</v>
      </c>
      <c r="E173" s="24">
        <f>IF(AND('A-12'!E173="-",'A-7'!G34="-"),"-",SUM('A-12'!E173,'A-7'!G34))</f>
        <v>294</v>
      </c>
      <c r="F173" s="24">
        <f>IF(AND('A-12'!F173="-",'A-7'!H34="-"),"-",SUM('A-12'!F173,'A-7'!H34))</f>
        <v>29</v>
      </c>
      <c r="G173" s="24" t="str">
        <f>IF(AND('A-12'!G173="-",'A-7'!I34="-"),"-",SUM('A-12'!G173,'A-7'!I34))</f>
        <v>-</v>
      </c>
      <c r="H173" s="24">
        <f t="shared" si="15"/>
        <v>330</v>
      </c>
    </row>
    <row r="174" spans="1:8" ht="11.25" customHeight="1">
      <c r="A174" s="99">
        <v>2001</v>
      </c>
      <c r="B174" s="24">
        <f>IF(AND('A-12'!B174="-",'A-7'!D35="-"),"-",SUM('A-12'!B174,'A-7'!D35))</f>
        <v>29</v>
      </c>
      <c r="C174" s="24">
        <f>IF(AND('A-12'!C174="-",'A-7'!E35="-"),"-",SUM('A-12'!C174,'A-7'!E35))</f>
        <v>27</v>
      </c>
      <c r="D174" s="24">
        <f>IF(AND('A-12'!D174="-",'A-7'!F35="-"),"-",SUM('A-12'!D174,'A-7'!F35))</f>
        <v>97</v>
      </c>
      <c r="E174" s="24">
        <f>IF(AND('A-12'!E174="-",'A-7'!G35="-"),"-",SUM('A-12'!E174,'A-7'!G35))</f>
        <v>126</v>
      </c>
      <c r="F174" s="24">
        <f>IF(AND('A-12'!F174="-",'A-7'!H35="-"),"-",SUM('A-12'!F174,'A-7'!H35))</f>
        <v>39</v>
      </c>
      <c r="G174" s="24" t="str">
        <f>IF(AND('A-12'!G174="-",'A-7'!I35="-"),"-",SUM('A-12'!G174,'A-7'!I35))</f>
        <v>-</v>
      </c>
      <c r="H174" s="24">
        <f t="shared" si="15"/>
        <v>318</v>
      </c>
    </row>
    <row r="175" spans="1:8" ht="11.25" customHeight="1">
      <c r="A175" s="99">
        <v>2002</v>
      </c>
      <c r="B175" s="24">
        <f>IF(AND('A-12'!B175="-",'A-7'!D36="-"),"-",SUM('A-12'!B175,'A-7'!D36))</f>
        <v>40</v>
      </c>
      <c r="C175" s="24">
        <f>IF(AND('A-12'!C175="-",'A-7'!E36="-"),"-",SUM('A-12'!C175,'A-7'!E36))</f>
        <v>57</v>
      </c>
      <c r="D175" s="24">
        <f>IF(AND('A-12'!D175="-",'A-7'!F36="-"),"-",SUM('A-12'!D175,'A-7'!F36))</f>
        <v>182</v>
      </c>
      <c r="E175" s="24">
        <f>IF(AND('A-12'!E175="-",'A-7'!G36="-"),"-",SUM('A-12'!E175,'A-7'!G36))</f>
        <v>216</v>
      </c>
      <c r="F175" s="24" t="str">
        <f>IF(AND('A-12'!F175="-",'A-7'!H36="-"),"-",SUM('A-12'!F175,'A-7'!H36))</f>
        <v>-</v>
      </c>
      <c r="G175" s="24" t="str">
        <f>IF(AND('A-12'!G175="-",'A-7'!I36="-"),"-",SUM('A-12'!G175,'A-7'!I36))</f>
        <v>-</v>
      </c>
      <c r="H175" s="24">
        <f t="shared" si="15"/>
        <v>495</v>
      </c>
    </row>
    <row r="176" spans="1:8" ht="11.25" customHeight="1">
      <c r="A176" s="99">
        <v>2003</v>
      </c>
      <c r="B176" s="24">
        <f>IF(AND('A-12'!B176="-",'A-7'!D37="-"),"-",SUM('A-12'!B176,'A-7'!D37))</f>
        <v>113</v>
      </c>
      <c r="C176" s="24">
        <f>IF(AND('A-12'!C176="-",'A-7'!E37="-"),"-",SUM('A-12'!C176,'A-7'!E37))</f>
        <v>24</v>
      </c>
      <c r="D176" s="24">
        <f>IF(AND('A-12'!D176="-",'A-7'!F37="-"),"-",SUM('A-12'!D176,'A-7'!F37))</f>
        <v>152</v>
      </c>
      <c r="E176" s="24">
        <f>IF(AND('A-12'!E176="-",'A-7'!G37="-"),"-",SUM('A-12'!E176,'A-7'!G37))</f>
        <v>175</v>
      </c>
      <c r="F176" s="24">
        <f>IF(AND('A-12'!F176="-",'A-7'!H37="-"),"-",SUM('A-12'!F176,'A-7'!H37))</f>
        <v>63</v>
      </c>
      <c r="G176" s="24" t="str">
        <f>IF(AND('A-12'!G176="-",'A-7'!I37="-"),"-",SUM('A-12'!G176,'A-7'!I37))</f>
        <v>-</v>
      </c>
      <c r="H176" s="24">
        <f t="shared" si="15"/>
        <v>527</v>
      </c>
    </row>
    <row r="177" spans="1:13" ht="11.25" customHeight="1">
      <c r="A177" s="99">
        <v>2004</v>
      </c>
      <c r="B177" s="24">
        <f>IF(AND('A-12'!B177="-",'A-7'!D38="-"),"-",SUM('A-12'!B177,'A-7'!D38))</f>
        <v>51</v>
      </c>
      <c r="C177" s="24">
        <f>IF(AND('A-12'!C177="-",'A-7'!E38="-"),"-",SUM('A-12'!C177,'A-7'!E38))</f>
        <v>4</v>
      </c>
      <c r="D177" s="24">
        <f>IF(AND('A-12'!D177="-",'A-7'!F38="-"),"-",SUM('A-12'!D177,'A-7'!F38))</f>
        <v>82</v>
      </c>
      <c r="E177" s="24">
        <f>IF(AND('A-12'!E177="-",'A-7'!G38="-"),"-",SUM('A-12'!E177,'A-7'!G38))</f>
        <v>106</v>
      </c>
      <c r="F177" s="24">
        <f>IF(AND('A-12'!F177="-",'A-7'!H38="-"),"-",SUM('A-12'!F177,'A-7'!H38))</f>
        <v>156</v>
      </c>
      <c r="G177" s="24" t="str">
        <f>IF(AND('A-12'!G177="-",'A-7'!I38="-"),"-",SUM('A-12'!G177,'A-7'!I38))</f>
        <v>-</v>
      </c>
      <c r="H177" s="24">
        <f t="shared" si="15"/>
        <v>399</v>
      </c>
    </row>
    <row r="178" spans="1:13" ht="11.25" customHeight="1">
      <c r="A178" s="99">
        <v>2005</v>
      </c>
      <c r="B178" s="24">
        <f>IF(AND('A-12'!B178="-",'A-7'!D39="-"),"-",SUM('A-12'!B178,'A-7'!D39))</f>
        <v>230</v>
      </c>
      <c r="C178" s="24">
        <f>IF(AND('A-12'!C178="-",'A-7'!E39="-"),"-",SUM('A-12'!C178,'A-7'!E39))</f>
        <v>51</v>
      </c>
      <c r="D178" s="24">
        <f>IF(AND('A-12'!D178="-",'A-7'!F39="-"),"-",SUM('A-12'!D178,'A-7'!F39))</f>
        <v>55</v>
      </c>
      <c r="E178" s="24">
        <f>IF(AND('A-12'!E178="-",'A-7'!G39="-"),"-",SUM('A-12'!E178,'A-7'!G39))</f>
        <v>283</v>
      </c>
      <c r="F178" s="24" t="str">
        <f>IF(AND('A-12'!F178="-",'A-7'!H39="-"),"-",SUM('A-12'!F178,'A-7'!H39))</f>
        <v>-</v>
      </c>
      <c r="G178" s="24" t="str">
        <f>IF(AND('A-12'!G178="-",'A-7'!I39="-"),"-",SUM('A-12'!G178,'A-7'!I39))</f>
        <v>-</v>
      </c>
      <c r="H178" s="24">
        <f t="shared" si="15"/>
        <v>619</v>
      </c>
    </row>
    <row r="179" spans="1:13" ht="11.25" customHeight="1">
      <c r="A179" s="99">
        <v>2006</v>
      </c>
      <c r="B179" s="24">
        <f>IF(AND('A-12'!B179="-",'A-7'!D40="-"),"-",SUM('A-12'!B179,'A-7'!D40))</f>
        <v>587</v>
      </c>
      <c r="C179" s="24">
        <f>IF(AND('A-12'!C179="-",'A-7'!E40="-"),"-",SUM('A-12'!C179,'A-7'!E40))</f>
        <v>350</v>
      </c>
      <c r="D179" s="24">
        <f>IF(AND('A-12'!D179="-",'A-7'!F40="-"),"-",SUM('A-12'!D179,'A-7'!F40))</f>
        <v>1</v>
      </c>
      <c r="E179" s="24">
        <f>IF(AND('A-12'!E179="-",'A-7'!G40="-"),"-",SUM('A-12'!E179,'A-7'!G40))</f>
        <v>81</v>
      </c>
      <c r="F179" s="24">
        <f>IF(AND('A-12'!F179="-",'A-7'!H40="-"),"-",SUM('A-12'!F179,'A-7'!H40))</f>
        <v>99</v>
      </c>
      <c r="G179" s="24" t="str">
        <f>IF(AND('A-12'!G179="-",'A-7'!I40="-"),"-",SUM('A-12'!G179,'A-7'!I40))</f>
        <v>-</v>
      </c>
      <c r="H179" s="24">
        <f t="shared" si="15"/>
        <v>1118</v>
      </c>
    </row>
    <row r="180" spans="1:13" ht="11.25" customHeight="1">
      <c r="A180" s="99">
        <v>2007</v>
      </c>
      <c r="B180" s="24">
        <f>IF(AND('A-12'!B180="-",'A-7'!D41="-"),"-",SUM('A-12'!B180,'A-7'!D41))</f>
        <v>99</v>
      </c>
      <c r="C180" s="24">
        <f>IF(AND('A-12'!C180="-",'A-7'!E41="-"),"-",SUM('A-12'!C180,'A-7'!E41))</f>
        <v>73</v>
      </c>
      <c r="D180" s="24">
        <f>IF(AND('A-12'!D180="-",'A-7'!F41="-"),"-",SUM('A-12'!D180,'A-7'!F41))</f>
        <v>50</v>
      </c>
      <c r="E180" s="24">
        <f>IF(AND('A-12'!E180="-",'A-7'!G41="-"),"-",SUM('A-12'!E180,'A-7'!G41))</f>
        <v>184</v>
      </c>
      <c r="F180" s="24">
        <f>IF(AND('A-12'!F180="-",'A-7'!H41="-"),"-",SUM('A-12'!F180,'A-7'!H41))</f>
        <v>24</v>
      </c>
      <c r="G180" s="24" t="str">
        <f>IF(AND('A-12'!G180="-",'A-7'!I41="-"),"-",SUM('A-12'!G180,'A-7'!I41))</f>
        <v>-</v>
      </c>
      <c r="H180" s="24">
        <f t="shared" si="15"/>
        <v>430</v>
      </c>
    </row>
    <row r="181" spans="1:13" ht="11.25" customHeight="1">
      <c r="A181" s="99">
        <v>2008</v>
      </c>
      <c r="B181" s="24">
        <f>IF(AND('A-12'!B181="-",'A-7'!D42="-"),"-",SUM('A-12'!B181,'A-7'!D42))</f>
        <v>306</v>
      </c>
      <c r="C181" s="24">
        <f>IF(AND('A-12'!C181="-",'A-7'!E42="-"),"-",SUM('A-12'!C181,'A-7'!E42))</f>
        <v>362</v>
      </c>
      <c r="D181" s="24">
        <f>IF(AND('A-12'!D181="-",'A-7'!F42="-"),"-",SUM('A-12'!D181,'A-7'!F42))</f>
        <v>36</v>
      </c>
      <c r="E181" s="24">
        <f>IF(AND('A-12'!E181="-",'A-7'!G42="-"),"-",SUM('A-12'!E181,'A-7'!G42))</f>
        <v>66</v>
      </c>
      <c r="F181" s="24">
        <f>IF(AND('A-12'!F181="-",'A-7'!H42="-"),"-",SUM('A-12'!F181,'A-7'!H42))</f>
        <v>13</v>
      </c>
      <c r="G181" s="24" t="str">
        <f>IF(AND('A-12'!G181="-",'A-7'!I42="-"),"-",SUM('A-12'!G181,'A-7'!I42))</f>
        <v>-</v>
      </c>
      <c r="H181" s="24">
        <f t="shared" si="15"/>
        <v>783</v>
      </c>
    </row>
    <row r="182" spans="1:13" ht="11.25" customHeight="1">
      <c r="A182" s="99">
        <v>2009</v>
      </c>
      <c r="B182" s="24">
        <f>IF(AND('A-12'!B182="-",'A-7'!D43="-"),"-",SUM('A-12'!B182,'A-7'!D43))</f>
        <v>79</v>
      </c>
      <c r="C182" s="24">
        <f>IF(AND('A-12'!C182="-",'A-7'!E43="-"),"-",SUM('A-12'!C182,'A-7'!E43))</f>
        <v>98</v>
      </c>
      <c r="D182" s="24">
        <f>IF(AND('A-12'!D182="-",'A-7'!F43="-"),"-",SUM('A-12'!D182,'A-7'!F43))</f>
        <v>259</v>
      </c>
      <c r="E182" s="24">
        <f>IF(AND('A-12'!E182="-",'A-7'!G43="-"),"-",SUM('A-12'!E182,'A-7'!G43))</f>
        <v>178</v>
      </c>
      <c r="F182" s="24">
        <f>IF(AND('A-12'!F182="-",'A-7'!H43="-"),"-",SUM('A-12'!F182,'A-7'!H43))</f>
        <v>13</v>
      </c>
      <c r="G182" s="24" t="str">
        <f>IF(AND('A-12'!G182="-",'A-7'!I43="-"),"-",SUM('A-12'!G182,'A-7'!I43))</f>
        <v>-</v>
      </c>
      <c r="H182" s="24">
        <f t="shared" si="15"/>
        <v>627</v>
      </c>
    </row>
    <row r="183" spans="1:13" ht="11.25" customHeight="1">
      <c r="A183" s="99">
        <v>2010</v>
      </c>
      <c r="B183" s="24">
        <f>IF(AND('A-12'!B183="-",'A-7'!D44="-"),"-",SUM('A-12'!B183,'A-7'!D44))</f>
        <v>91</v>
      </c>
      <c r="C183" s="24">
        <f>IF(AND('A-12'!C183="-",'A-7'!E44="-"),"-",SUM('A-12'!C183,'A-7'!E44))</f>
        <v>310</v>
      </c>
      <c r="D183" s="24">
        <f>IF(AND('A-12'!D183="-",'A-7'!F44="-"),"-",SUM('A-12'!D183,'A-7'!F44))</f>
        <v>164</v>
      </c>
      <c r="E183" s="24">
        <f>IF(AND('A-12'!E183="-",'A-7'!G44="-"),"-",SUM('A-12'!E183,'A-7'!G44))</f>
        <v>136</v>
      </c>
      <c r="F183" s="24">
        <f>IF(AND('A-12'!F183="-",'A-7'!H44="-"),"-",SUM('A-12'!F183,'A-7'!H44))</f>
        <v>23</v>
      </c>
      <c r="G183" s="24" t="str">
        <f>IF(AND('A-12'!G183="-",'A-7'!I44="-"),"-",SUM('A-12'!G183,'A-7'!I44))</f>
        <v>-</v>
      </c>
      <c r="H183" s="24">
        <f t="shared" si="15"/>
        <v>724</v>
      </c>
    </row>
    <row r="184" spans="1:13" ht="11.25" customHeight="1">
      <c r="A184" s="99">
        <v>2011</v>
      </c>
      <c r="B184" s="24">
        <f>IF(AND('A-12'!B184="-",'A-7'!D45="-"),"-",SUM('A-12'!B184,'A-7'!D45))</f>
        <v>127</v>
      </c>
      <c r="C184" s="24">
        <f>IF(AND('A-12'!C184="-",'A-7'!E45="-"),"-",SUM('A-12'!C184,'A-7'!E45))</f>
        <v>167</v>
      </c>
      <c r="D184" s="24">
        <f>IF(AND('A-12'!D184="-",'A-7'!F45="-"),"-",SUM('A-12'!D184,'A-7'!F45))</f>
        <v>42</v>
      </c>
      <c r="E184" s="24">
        <f>IF(AND('A-12'!E184="-",'A-7'!G45="-"),"-",SUM('A-12'!E184,'A-7'!G45))</f>
        <v>27</v>
      </c>
      <c r="F184" s="24">
        <f>IF(AND('A-12'!F184="-",'A-7'!H45="-"),"-",SUM('A-12'!F184,'A-7'!H45))</f>
        <v>18</v>
      </c>
      <c r="G184" s="24" t="str">
        <f>IF(AND('A-12'!G184="-",'A-7'!I45="-"),"-",SUM('A-12'!G184,'A-7'!I45))</f>
        <v>-</v>
      </c>
      <c r="H184" s="24">
        <f t="shared" si="15"/>
        <v>381</v>
      </c>
    </row>
    <row r="185" spans="1:13" ht="11.25" customHeight="1">
      <c r="A185" s="99">
        <v>2012</v>
      </c>
      <c r="B185" s="24">
        <f>IF(AND('A-12'!B185="-",'A-7'!D46="-"),"-",SUM('A-12'!B185,'A-7'!D46))</f>
        <v>63</v>
      </c>
      <c r="C185" s="24">
        <f>IF(AND('A-12'!C185="-",'A-7'!E46="-"),"-",SUM('A-12'!C185,'A-7'!E46))</f>
        <v>299</v>
      </c>
      <c r="D185" s="24">
        <f>IF(AND('A-12'!D185="-",'A-7'!F46="-"),"-",SUM('A-12'!D185,'A-7'!F46))</f>
        <v>51</v>
      </c>
      <c r="E185" s="24">
        <f>IF(AND('A-12'!E185="-",'A-7'!G46="-"),"-",SUM('A-12'!E185,'A-7'!G46))</f>
        <v>27</v>
      </c>
      <c r="F185" s="24">
        <f>IF(AND('A-12'!F185="-",'A-7'!H46="-"),"-",SUM('A-12'!F185,'A-7'!H46))</f>
        <v>83</v>
      </c>
      <c r="G185" s="24" t="str">
        <f>IF(AND('A-12'!G185="-",'A-7'!I46="-"),"-",SUM('A-12'!G185,'A-7'!I46))</f>
        <v>-</v>
      </c>
      <c r="H185" s="24">
        <f t="shared" si="15"/>
        <v>523</v>
      </c>
    </row>
    <row r="186" spans="1:13" ht="11.25" customHeight="1">
      <c r="A186" s="99">
        <v>2013</v>
      </c>
      <c r="B186" s="24">
        <f>IF(AND('A-12'!B186="-",'A-7'!D47="-"),"-",SUM('A-12'!B186,'A-7'!D47))</f>
        <v>111</v>
      </c>
      <c r="C186" s="24">
        <f>IF(AND('A-12'!C186="-",'A-7'!E47="-"),"-",SUM('A-12'!C186,'A-7'!E47))</f>
        <v>170</v>
      </c>
      <c r="D186" s="24">
        <f>IF(AND('A-12'!D186="-",'A-7'!F47="-"),"-",SUM('A-12'!D186,'A-7'!F47))</f>
        <v>47</v>
      </c>
      <c r="E186" s="24">
        <f>IF(AND('A-12'!E186="-",'A-7'!G47="-"),"-",SUM('A-12'!E186,'A-7'!G47))</f>
        <v>56</v>
      </c>
      <c r="F186" s="24">
        <f>IF(AND('A-12'!F186="-",'A-7'!H47="-"),"-",SUM('A-12'!F186,'A-7'!H47))</f>
        <v>33</v>
      </c>
      <c r="G186" s="24" t="str">
        <f>IF(AND('A-12'!G186="-",'A-7'!I47="-"),"-",SUM('A-12'!G186,'A-7'!I47))</f>
        <v>-</v>
      </c>
      <c r="H186" s="24">
        <f t="shared" si="15"/>
        <v>417</v>
      </c>
    </row>
    <row r="187" spans="1:13" ht="11.25" customHeight="1">
      <c r="A187" s="99">
        <v>2014</v>
      </c>
      <c r="B187" s="24">
        <f>IF(AND('A-12'!B187="-",'A-7'!D48="-"),"-",SUM('A-12'!B187,'A-7'!D48))</f>
        <v>705</v>
      </c>
      <c r="C187" s="24">
        <f>IF(AND('A-12'!C187="-",'A-7'!E48="-"),"-",SUM('A-12'!C187,'A-7'!E48))</f>
        <v>128</v>
      </c>
      <c r="D187" s="24">
        <f>IF(AND('A-12'!D187="-",'A-7'!F48="-"),"-",SUM('A-12'!D187,'A-7'!F48))</f>
        <v>203</v>
      </c>
      <c r="E187" s="24">
        <f>IF(AND('A-12'!E187="-",'A-7'!G48="-"),"-",SUM('A-12'!E187,'A-7'!G48))</f>
        <v>100</v>
      </c>
      <c r="F187" s="24">
        <f>IF(AND('A-12'!F187="-",'A-7'!H48="-"),"-",SUM('A-12'!F187,'A-7'!H48))</f>
        <v>74</v>
      </c>
      <c r="G187" s="24" t="str">
        <f>IF(AND('A-12'!G187="-",'A-7'!I48="-"),"-",SUM('A-12'!G187,'A-7'!I48))</f>
        <v>-</v>
      </c>
      <c r="H187" s="24">
        <f t="shared" si="15"/>
        <v>1210</v>
      </c>
      <c r="I187" s="155"/>
      <c r="J187" s="1"/>
      <c r="K187" s="1"/>
      <c r="L187" s="1"/>
      <c r="M187" s="1"/>
    </row>
    <row r="188" spans="1:13" ht="11.25" customHeight="1">
      <c r="A188" s="99">
        <v>2015</v>
      </c>
      <c r="B188" s="24">
        <f>IF(AND('A-12'!B188="-",'A-7'!D49="-"),"-",SUM('A-12'!B188,'A-7'!D49))</f>
        <v>708</v>
      </c>
      <c r="C188" s="24">
        <f>IF(AND('A-12'!C188="-",'A-7'!E49="-"),"-",SUM('A-12'!C188,'A-7'!E49))</f>
        <v>114</v>
      </c>
      <c r="D188" s="24">
        <f>IF(AND('A-12'!D188="-",'A-7'!F49="-"),"-",SUM('A-12'!D188,'A-7'!F49))</f>
        <v>59</v>
      </c>
      <c r="E188" s="24">
        <f>IF(AND('A-12'!E188="-",'A-7'!G49="-"),"-",SUM('A-12'!E188,'A-7'!G49))</f>
        <v>87</v>
      </c>
      <c r="F188" s="24">
        <f>IF(AND('A-12'!F188="-",'A-7'!H49="-"),"-",SUM('A-12'!F188,'A-7'!H49))</f>
        <v>125</v>
      </c>
      <c r="G188" s="24" t="str">
        <f>IF(AND('A-12'!G188="-",'A-7'!I49="-"),"-",SUM('A-12'!G188,'A-7'!I49))</f>
        <v>-</v>
      </c>
      <c r="H188" s="24">
        <f t="shared" ref="H188:H194" si="16">SUM(B188:G188)</f>
        <v>1093</v>
      </c>
      <c r="I188" s="1"/>
      <c r="J188" s="1"/>
      <c r="K188" s="1"/>
      <c r="L188" s="1"/>
      <c r="M188" s="1"/>
    </row>
    <row r="189" spans="1:13" ht="11.25" customHeight="1">
      <c r="A189" s="99">
        <v>2016</v>
      </c>
      <c r="B189" s="24">
        <f>IF(AND('A-12'!B189="-",'A-7'!D50="-"),"-",SUM('A-12'!B189,'A-7'!D50))</f>
        <v>149</v>
      </c>
      <c r="C189" s="24">
        <f>IF(AND('A-12'!C189="-",'A-7'!E50="-"),"-",SUM('A-12'!C189,'A-7'!E50))</f>
        <v>130</v>
      </c>
      <c r="D189" s="24">
        <f>IF(AND('A-12'!D189="-",'A-7'!F50="-"),"-",SUM('A-12'!D189,'A-7'!F50))</f>
        <v>51</v>
      </c>
      <c r="E189" s="24">
        <f>IF(AND('A-12'!E189="-",'A-7'!G50="-"),"-",SUM('A-12'!E189,'A-7'!G50))</f>
        <v>83</v>
      </c>
      <c r="F189" s="24" t="str">
        <f>IF(AND('A-12'!F189="-",'A-7'!H50="-"),"-",SUM('A-12'!F189,'A-7'!H50))</f>
        <v>-</v>
      </c>
      <c r="G189" s="24" t="str">
        <f>IF(AND('A-12'!G189="-",'A-7'!I50="-"),"-",SUM('A-12'!G189,'A-7'!I50))</f>
        <v>-</v>
      </c>
      <c r="H189" s="24">
        <f t="shared" si="16"/>
        <v>413</v>
      </c>
      <c r="I189" s="1"/>
      <c r="J189" s="1"/>
      <c r="K189" s="1"/>
      <c r="L189" s="1"/>
      <c r="M189" s="1"/>
    </row>
    <row r="190" spans="1:13" ht="11.25" customHeight="1">
      <c r="A190" s="99">
        <v>2017</v>
      </c>
      <c r="B190" s="24">
        <f>IF(AND('A-12'!B190="-",'A-7'!D51="-"),"-",SUM('A-12'!B190,'A-7'!D51))</f>
        <v>98</v>
      </c>
      <c r="C190" s="24">
        <f>IF(AND('A-12'!C190="-",'A-7'!E51="-"),"-",SUM('A-12'!C190,'A-7'!E51))</f>
        <v>116</v>
      </c>
      <c r="D190" s="24">
        <f>IF(AND('A-12'!D190="-",'A-7'!F51="-"),"-",SUM('A-12'!D190,'A-7'!F51))</f>
        <v>26</v>
      </c>
      <c r="E190" s="24">
        <f>IF(AND('A-12'!E190="-",'A-7'!G51="-"),"-",SUM('A-12'!E190,'A-7'!G51))</f>
        <v>119</v>
      </c>
      <c r="F190" s="24">
        <f>IF(AND('A-12'!F190="-",'A-7'!H51="-"),"-",SUM('A-12'!F190,'A-7'!H51))</f>
        <v>76</v>
      </c>
      <c r="G190" s="24" t="str">
        <f>IF(AND('A-12'!G190="-",'A-7'!I51="-"),"-",SUM('A-12'!G190,'A-7'!I51))</f>
        <v>-</v>
      </c>
      <c r="H190" s="24">
        <f t="shared" si="16"/>
        <v>435</v>
      </c>
      <c r="I190" s="1"/>
      <c r="J190" s="1"/>
      <c r="K190" s="1"/>
      <c r="L190" s="1"/>
      <c r="M190" s="1"/>
    </row>
    <row r="191" spans="1:13" ht="11.25" customHeight="1">
      <c r="A191" s="99">
        <v>2018</v>
      </c>
      <c r="B191" s="24">
        <f>IF(AND('A-12'!B191="-",'A-7'!D52="-"),"-",SUM('A-12'!B191,'A-7'!D52))</f>
        <v>29</v>
      </c>
      <c r="C191" s="24">
        <f>IF(AND('A-12'!C191="-",'A-7'!E52="-"),"-",SUM('A-12'!C191,'A-7'!E52))</f>
        <v>67</v>
      </c>
      <c r="D191" s="24">
        <f>IF(AND('A-12'!D191="-",'A-7'!F52="-"),"-",SUM('A-12'!D191,'A-7'!F52))</f>
        <v>18</v>
      </c>
      <c r="E191" s="24">
        <f>IF(AND('A-12'!E191="-",'A-7'!G52="-"),"-",SUM('A-12'!E191,'A-7'!G52))</f>
        <v>36</v>
      </c>
      <c r="F191" s="24">
        <f>IF(AND('A-12'!F191="-",'A-7'!H52="-"),"-",SUM('A-12'!F191,'A-7'!H52))</f>
        <v>2</v>
      </c>
      <c r="G191" s="24" t="str">
        <f>IF(AND('A-12'!G191="-",'A-7'!I52="-"),"-",SUM('A-12'!G191,'A-7'!I52))</f>
        <v>-</v>
      </c>
      <c r="H191" s="24">
        <f t="shared" si="16"/>
        <v>152</v>
      </c>
      <c r="I191" s="1"/>
      <c r="J191" s="1"/>
      <c r="K191" s="1"/>
      <c r="L191" s="1"/>
      <c r="M191" s="1"/>
    </row>
    <row r="192" spans="1:13" ht="11.25" customHeight="1">
      <c r="A192" s="122">
        <v>2019</v>
      </c>
      <c r="B192" s="24">
        <f>IF(AND('A-12'!B192="-",'A-7'!D53="-"),"-",SUM('A-12'!B192,'A-7'!D53))</f>
        <v>51</v>
      </c>
      <c r="C192" s="24">
        <f>IF(AND('A-12'!C192="-",'A-7'!E53="-"),"-",SUM('A-12'!C192,'A-7'!E53))</f>
        <v>26</v>
      </c>
      <c r="D192" s="24">
        <f>IF(AND('A-12'!D192="-",'A-7'!F53="-"),"-",SUM('A-12'!D192,'A-7'!F53))</f>
        <v>109</v>
      </c>
      <c r="E192" s="24">
        <f>IF(AND('A-12'!E192="-",'A-7'!G53="-"),"-",SUM('A-12'!E192,'A-7'!G53))</f>
        <v>54</v>
      </c>
      <c r="F192" s="24">
        <f>IF(AND('A-12'!F192="-",'A-7'!H53="-"),"-",SUM('A-12'!F192,'A-7'!H53))</f>
        <v>24</v>
      </c>
      <c r="G192" s="24" t="str">
        <f>IF(AND('A-12'!G192="-",'A-7'!I53="-"),"-",SUM('A-12'!G192,'A-7'!I53))</f>
        <v>-</v>
      </c>
      <c r="H192" s="24">
        <f t="shared" si="16"/>
        <v>264</v>
      </c>
      <c r="I192" s="1"/>
      <c r="J192" s="1"/>
      <c r="K192" s="1"/>
      <c r="L192" s="1"/>
      <c r="M192" s="1"/>
    </row>
    <row r="193" spans="1:13" ht="11.25" customHeight="1">
      <c r="A193" s="122">
        <v>2020</v>
      </c>
      <c r="B193" s="24">
        <f>IF(AND('A-12'!B193="-",'A-7'!D54="-"),"-",SUM('A-12'!B193,'A-7'!D54))</f>
        <v>34</v>
      </c>
      <c r="C193" s="24">
        <f>IF(AND('A-12'!C193="-",'A-7'!E54="-"),"-",SUM('A-12'!C193,'A-7'!E54))</f>
        <v>37</v>
      </c>
      <c r="D193" s="24">
        <f>IF(AND('A-12'!D193="-",'A-7'!F54="-"),"-",SUM('A-12'!D193,'A-7'!F54))</f>
        <v>20</v>
      </c>
      <c r="E193" s="24">
        <f>IF(AND('A-12'!E193="-",'A-7'!G54="-"),"-",SUM('A-12'!E193,'A-7'!G54))</f>
        <v>23</v>
      </c>
      <c r="F193" s="24">
        <f>IF(AND('A-12'!F193="-",'A-7'!H54="-"),"-",SUM('A-12'!F193,'A-7'!H54))</f>
        <v>8</v>
      </c>
      <c r="G193" s="24" t="str">
        <f>IF(AND('A-12'!G193="-",'A-7'!I54="-"),"-",SUM('A-12'!G193,'A-7'!I54))</f>
        <v>-</v>
      </c>
      <c r="H193" s="24">
        <f t="shared" ref="H193" si="17">SUM(B193:G193)</f>
        <v>122</v>
      </c>
      <c r="I193" s="1"/>
      <c r="J193" s="1"/>
      <c r="K193" s="1"/>
      <c r="L193" s="1"/>
      <c r="M193" s="1"/>
    </row>
    <row r="194" spans="1:13" ht="11.25" customHeight="1">
      <c r="A194" s="122" t="s">
        <v>317</v>
      </c>
      <c r="B194" s="24">
        <f>IF(AND('A-12'!B194="-",'A-7'!D55="-"),"-",SUM('A-12'!B194,'A-7'!D55))</f>
        <v>9</v>
      </c>
      <c r="C194" s="24">
        <f>IF(AND('A-12'!C194="-",'A-7'!E55="-"),"-",SUM('A-12'!C194,'A-7'!E55))</f>
        <v>18</v>
      </c>
      <c r="D194" s="24">
        <f>IF(AND('A-12'!D194="-",'A-7'!F55="-"),"-",SUM('A-12'!D194,'A-7'!F55))</f>
        <v>22</v>
      </c>
      <c r="E194" s="24">
        <f>IF(AND('A-12'!E194="-",'A-7'!G55="-"),"-",SUM('A-12'!E194,'A-7'!G55))</f>
        <v>14</v>
      </c>
      <c r="F194" s="24">
        <f>IF(AND('A-12'!F194="-",'A-7'!H55="-"),"-",SUM('A-12'!F194,'A-7'!H55))</f>
        <v>15</v>
      </c>
      <c r="G194" s="24" t="str">
        <f>IF(AND('A-12'!G194="-",'A-7'!I55="-"),"-",SUM('A-12'!G194,'A-7'!I55))</f>
        <v>-</v>
      </c>
      <c r="H194" s="24">
        <f t="shared" si="16"/>
        <v>78</v>
      </c>
      <c r="I194" s="1"/>
      <c r="J194" s="1"/>
      <c r="K194" s="1"/>
      <c r="L194" s="1"/>
      <c r="M194" s="1"/>
    </row>
    <row r="195" spans="1:13" ht="11.25" customHeight="1"/>
    <row r="196" spans="1:13" ht="11.25" customHeight="1">
      <c r="A196" s="94" t="s">
        <v>87</v>
      </c>
    </row>
    <row r="197" spans="1:13" ht="11.25" customHeight="1">
      <c r="A197" s="99">
        <v>1976</v>
      </c>
      <c r="B197" s="24">
        <f t="shared" ref="B197:H206" si="18">IF(AND(B149="-",B5="-"),"-",SUM(B149,B5))</f>
        <v>4766</v>
      </c>
      <c r="C197" s="24">
        <f t="shared" si="18"/>
        <v>8438</v>
      </c>
      <c r="D197" s="24">
        <f t="shared" si="18"/>
        <v>19192</v>
      </c>
      <c r="E197" s="24">
        <f t="shared" si="18"/>
        <v>17885</v>
      </c>
      <c r="F197" s="24">
        <f t="shared" si="18"/>
        <v>12579</v>
      </c>
      <c r="G197" s="24">
        <f t="shared" si="18"/>
        <v>121</v>
      </c>
      <c r="H197" s="24">
        <f t="shared" si="18"/>
        <v>62981</v>
      </c>
    </row>
    <row r="198" spans="1:13" ht="11.25" customHeight="1">
      <c r="A198" s="99">
        <v>1977</v>
      </c>
      <c r="B198" s="24">
        <f t="shared" si="18"/>
        <v>4778</v>
      </c>
      <c r="C198" s="24">
        <f t="shared" si="18"/>
        <v>3617</v>
      </c>
      <c r="D198" s="24">
        <f t="shared" si="18"/>
        <v>21596</v>
      </c>
      <c r="E198" s="24">
        <f t="shared" si="18"/>
        <v>16084</v>
      </c>
      <c r="F198" s="24">
        <f t="shared" si="18"/>
        <v>9994</v>
      </c>
      <c r="G198" s="24">
        <f t="shared" si="18"/>
        <v>90</v>
      </c>
      <c r="H198" s="24">
        <f t="shared" si="18"/>
        <v>56159</v>
      </c>
    </row>
    <row r="199" spans="1:13" ht="11.25" customHeight="1">
      <c r="A199" s="99">
        <v>1978</v>
      </c>
      <c r="B199" s="24">
        <f t="shared" si="18"/>
        <v>2950</v>
      </c>
      <c r="C199" s="24">
        <f t="shared" si="18"/>
        <v>3062</v>
      </c>
      <c r="D199" s="24">
        <f t="shared" si="18"/>
        <v>15495</v>
      </c>
      <c r="E199" s="24">
        <f t="shared" si="18"/>
        <v>11225</v>
      </c>
      <c r="F199" s="24">
        <f t="shared" si="18"/>
        <v>8788</v>
      </c>
      <c r="G199" s="24">
        <f t="shared" si="18"/>
        <v>58</v>
      </c>
      <c r="H199" s="24">
        <f t="shared" si="18"/>
        <v>41578</v>
      </c>
    </row>
    <row r="200" spans="1:13" ht="11.25" customHeight="1">
      <c r="A200" s="99">
        <v>1979</v>
      </c>
      <c r="B200" s="24">
        <f t="shared" si="18"/>
        <v>4751</v>
      </c>
      <c r="C200" s="24">
        <f t="shared" si="18"/>
        <v>164</v>
      </c>
      <c r="D200" s="24">
        <f t="shared" si="18"/>
        <v>15710</v>
      </c>
      <c r="E200" s="24">
        <f t="shared" si="18"/>
        <v>21901</v>
      </c>
      <c r="F200" s="24">
        <f t="shared" si="18"/>
        <v>191</v>
      </c>
      <c r="G200" s="24">
        <f t="shared" si="18"/>
        <v>1</v>
      </c>
      <c r="H200" s="24">
        <f t="shared" si="18"/>
        <v>42718</v>
      </c>
    </row>
    <row r="201" spans="1:13" ht="11.25" customHeight="1">
      <c r="A201" s="99">
        <v>1980</v>
      </c>
      <c r="B201" s="24">
        <f t="shared" si="18"/>
        <v>4663</v>
      </c>
      <c r="C201" s="24">
        <f t="shared" si="18"/>
        <v>218</v>
      </c>
      <c r="D201" s="24">
        <f t="shared" si="18"/>
        <v>9481</v>
      </c>
      <c r="E201" s="24">
        <f t="shared" si="18"/>
        <v>11846</v>
      </c>
      <c r="F201" s="24">
        <f t="shared" si="18"/>
        <v>640</v>
      </c>
      <c r="G201" s="24">
        <f t="shared" si="18"/>
        <v>8</v>
      </c>
      <c r="H201" s="24">
        <f t="shared" si="18"/>
        <v>26856</v>
      </c>
    </row>
    <row r="202" spans="1:13" ht="11.25" customHeight="1">
      <c r="A202" s="99">
        <v>1981</v>
      </c>
      <c r="B202" s="24">
        <f t="shared" si="18"/>
        <v>5496</v>
      </c>
      <c r="C202" s="24">
        <f t="shared" si="18"/>
        <v>207</v>
      </c>
      <c r="D202" s="24">
        <f t="shared" si="18"/>
        <v>11201</v>
      </c>
      <c r="E202" s="24">
        <f t="shared" si="18"/>
        <v>11095</v>
      </c>
      <c r="F202" s="24">
        <f t="shared" si="18"/>
        <v>0</v>
      </c>
      <c r="G202" s="24">
        <f t="shared" si="18"/>
        <v>1</v>
      </c>
      <c r="H202" s="24">
        <f t="shared" si="18"/>
        <v>28000</v>
      </c>
    </row>
    <row r="203" spans="1:13" ht="11.25" customHeight="1">
      <c r="A203" s="99">
        <v>1982</v>
      </c>
      <c r="B203" s="24">
        <f t="shared" si="18"/>
        <v>4679</v>
      </c>
      <c r="C203" s="24">
        <f t="shared" si="18"/>
        <v>676</v>
      </c>
      <c r="D203" s="24">
        <f t="shared" si="18"/>
        <v>11372</v>
      </c>
      <c r="E203" s="24">
        <f t="shared" si="18"/>
        <v>396</v>
      </c>
      <c r="F203" s="24">
        <f t="shared" si="18"/>
        <v>0</v>
      </c>
      <c r="G203" s="24">
        <f t="shared" si="18"/>
        <v>0</v>
      </c>
      <c r="H203" s="24">
        <f t="shared" si="18"/>
        <v>17123</v>
      </c>
    </row>
    <row r="204" spans="1:13" ht="11.25" customHeight="1">
      <c r="A204" s="99">
        <v>1983</v>
      </c>
      <c r="B204" s="24">
        <f t="shared" si="18"/>
        <v>4487</v>
      </c>
      <c r="C204" s="24">
        <f t="shared" si="18"/>
        <v>623</v>
      </c>
      <c r="D204" s="24">
        <f t="shared" si="18"/>
        <v>2871</v>
      </c>
      <c r="E204" s="24">
        <f t="shared" si="18"/>
        <v>2095</v>
      </c>
      <c r="F204" s="24">
        <f t="shared" si="18"/>
        <v>732</v>
      </c>
      <c r="G204" s="24">
        <f t="shared" si="18"/>
        <v>0</v>
      </c>
      <c r="H204" s="24">
        <f t="shared" si="18"/>
        <v>10808</v>
      </c>
    </row>
    <row r="205" spans="1:13" ht="11.25" customHeight="1">
      <c r="A205" s="99">
        <v>1984</v>
      </c>
      <c r="B205" s="24">
        <f t="shared" si="18"/>
        <v>665</v>
      </c>
      <c r="C205" s="24">
        <f t="shared" si="18"/>
        <v>0</v>
      </c>
      <c r="D205" s="24">
        <f t="shared" si="18"/>
        <v>0</v>
      </c>
      <c r="E205" s="24">
        <f t="shared" si="18"/>
        <v>915</v>
      </c>
      <c r="F205" s="24">
        <f t="shared" si="18"/>
        <v>0</v>
      </c>
      <c r="G205" s="24">
        <f t="shared" si="18"/>
        <v>0</v>
      </c>
      <c r="H205" s="24">
        <f t="shared" si="18"/>
        <v>1580</v>
      </c>
    </row>
    <row r="206" spans="1:13" ht="11.25" customHeight="1">
      <c r="A206" s="99">
        <v>1985</v>
      </c>
      <c r="B206" s="24">
        <f t="shared" si="18"/>
        <v>3017</v>
      </c>
      <c r="C206" s="24">
        <f t="shared" si="18"/>
        <v>20</v>
      </c>
      <c r="D206" s="24">
        <f t="shared" si="18"/>
        <v>2041</v>
      </c>
      <c r="E206" s="24">
        <f t="shared" si="18"/>
        <v>1971</v>
      </c>
      <c r="F206" s="24">
        <f t="shared" si="18"/>
        <v>14</v>
      </c>
      <c r="G206" s="24">
        <f t="shared" si="18"/>
        <v>1</v>
      </c>
      <c r="H206" s="24">
        <f t="shared" si="18"/>
        <v>7064</v>
      </c>
    </row>
    <row r="207" spans="1:13" ht="11.25" customHeight="1">
      <c r="A207" s="99">
        <v>1986</v>
      </c>
      <c r="B207" s="24">
        <f t="shared" ref="B207:H216" si="19">IF(AND(B159="-",B15="-"),"-",SUM(B159,B15))</f>
        <v>2697</v>
      </c>
      <c r="C207" s="24">
        <f t="shared" si="19"/>
        <v>15</v>
      </c>
      <c r="D207" s="24" t="str">
        <f t="shared" si="19"/>
        <v>-</v>
      </c>
      <c r="E207" s="24">
        <f t="shared" si="19"/>
        <v>2694</v>
      </c>
      <c r="F207" s="24" t="str">
        <f t="shared" si="19"/>
        <v>-</v>
      </c>
      <c r="G207" s="24" t="str">
        <f t="shared" si="19"/>
        <v>-</v>
      </c>
      <c r="H207" s="24">
        <f t="shared" si="19"/>
        <v>5406</v>
      </c>
    </row>
    <row r="208" spans="1:13" ht="11.25" customHeight="1">
      <c r="A208" s="99">
        <v>1987</v>
      </c>
      <c r="B208" s="24">
        <f t="shared" si="19"/>
        <v>2095</v>
      </c>
      <c r="C208" s="24" t="str">
        <f t="shared" si="19"/>
        <v>-</v>
      </c>
      <c r="D208" s="24">
        <f t="shared" si="19"/>
        <v>1339</v>
      </c>
      <c r="E208" s="24">
        <f t="shared" si="19"/>
        <v>7</v>
      </c>
      <c r="F208" s="24" t="str">
        <f t="shared" si="19"/>
        <v>-</v>
      </c>
      <c r="G208" s="24" t="str">
        <f t="shared" si="19"/>
        <v>-</v>
      </c>
      <c r="H208" s="24">
        <f t="shared" si="19"/>
        <v>3441</v>
      </c>
    </row>
    <row r="209" spans="1:8" ht="11.25" customHeight="1">
      <c r="A209" s="99">
        <v>1988</v>
      </c>
      <c r="B209" s="24">
        <f t="shared" si="19"/>
        <v>3724</v>
      </c>
      <c r="C209" s="24">
        <f t="shared" si="19"/>
        <v>2206</v>
      </c>
      <c r="D209" s="24">
        <f t="shared" si="19"/>
        <v>3</v>
      </c>
      <c r="E209" s="24">
        <f t="shared" si="19"/>
        <v>24</v>
      </c>
      <c r="F209" s="24" t="str">
        <f t="shared" si="19"/>
        <v>-</v>
      </c>
      <c r="G209" s="24" t="str">
        <f t="shared" si="19"/>
        <v>-</v>
      </c>
      <c r="H209" s="24">
        <f t="shared" si="19"/>
        <v>5957</v>
      </c>
    </row>
    <row r="210" spans="1:8" ht="11.25" customHeight="1">
      <c r="A210" s="99">
        <v>1989</v>
      </c>
      <c r="B210" s="24">
        <f t="shared" si="19"/>
        <v>2328</v>
      </c>
      <c r="C210" s="24">
        <f t="shared" si="19"/>
        <v>1129</v>
      </c>
      <c r="D210" s="24" t="str">
        <f t="shared" si="19"/>
        <v>-</v>
      </c>
      <c r="E210" s="24">
        <f t="shared" si="19"/>
        <v>1781</v>
      </c>
      <c r="F210" s="24">
        <f t="shared" si="19"/>
        <v>692</v>
      </c>
      <c r="G210" s="24" t="str">
        <f t="shared" si="19"/>
        <v>-</v>
      </c>
      <c r="H210" s="24">
        <f t="shared" si="19"/>
        <v>5930</v>
      </c>
    </row>
    <row r="211" spans="1:8" ht="11.25" customHeight="1">
      <c r="A211" s="99">
        <v>1990</v>
      </c>
      <c r="B211" s="24">
        <f t="shared" si="19"/>
        <v>2147</v>
      </c>
      <c r="C211" s="24">
        <f t="shared" si="19"/>
        <v>231</v>
      </c>
      <c r="D211" s="24" t="str">
        <f t="shared" si="19"/>
        <v>-</v>
      </c>
      <c r="E211" s="24">
        <f t="shared" si="19"/>
        <v>2730</v>
      </c>
      <c r="F211" s="24">
        <f t="shared" si="19"/>
        <v>1023</v>
      </c>
      <c r="G211" s="24">
        <f t="shared" si="19"/>
        <v>22</v>
      </c>
      <c r="H211" s="24">
        <f t="shared" si="19"/>
        <v>6153</v>
      </c>
    </row>
    <row r="212" spans="1:8" ht="11.25" customHeight="1">
      <c r="A212" s="99">
        <v>1991</v>
      </c>
      <c r="B212" s="24">
        <f t="shared" si="19"/>
        <v>1838</v>
      </c>
      <c r="C212" s="24">
        <f t="shared" si="19"/>
        <v>1010</v>
      </c>
      <c r="D212" s="24" t="str">
        <f t="shared" si="19"/>
        <v>-</v>
      </c>
      <c r="E212" s="24">
        <f t="shared" si="19"/>
        <v>2026</v>
      </c>
      <c r="F212" s="24">
        <f t="shared" si="19"/>
        <v>657</v>
      </c>
      <c r="G212" s="24" t="str">
        <f t="shared" si="19"/>
        <v>-</v>
      </c>
      <c r="H212" s="24">
        <f t="shared" si="19"/>
        <v>5531</v>
      </c>
    </row>
    <row r="213" spans="1:8" ht="11.25" customHeight="1">
      <c r="A213" s="99">
        <v>1992</v>
      </c>
      <c r="B213" s="24">
        <f t="shared" si="19"/>
        <v>2095</v>
      </c>
      <c r="C213" s="24">
        <f t="shared" si="19"/>
        <v>1363</v>
      </c>
      <c r="D213" s="24">
        <f t="shared" si="19"/>
        <v>984</v>
      </c>
      <c r="E213" s="24">
        <f t="shared" si="19"/>
        <v>666</v>
      </c>
      <c r="F213" s="24" t="str">
        <f t="shared" si="19"/>
        <v>-</v>
      </c>
      <c r="G213" s="24" t="str">
        <f t="shared" si="19"/>
        <v>-</v>
      </c>
      <c r="H213" s="24">
        <f t="shared" si="19"/>
        <v>5108</v>
      </c>
    </row>
    <row r="214" spans="1:8" ht="11.25" customHeight="1">
      <c r="A214" s="99">
        <v>1993</v>
      </c>
      <c r="B214" s="24">
        <f t="shared" si="19"/>
        <v>1261</v>
      </c>
      <c r="C214" s="24">
        <f t="shared" si="19"/>
        <v>945</v>
      </c>
      <c r="D214" s="24">
        <f t="shared" si="19"/>
        <v>791</v>
      </c>
      <c r="E214" s="24">
        <f t="shared" si="19"/>
        <v>426</v>
      </c>
      <c r="F214" s="24">
        <f t="shared" si="19"/>
        <v>489</v>
      </c>
      <c r="G214" s="24" t="str">
        <f t="shared" si="19"/>
        <v>-</v>
      </c>
      <c r="H214" s="24">
        <f t="shared" si="19"/>
        <v>3912</v>
      </c>
    </row>
    <row r="215" spans="1:8" ht="11.25" customHeight="1">
      <c r="A215" s="99">
        <v>1994</v>
      </c>
      <c r="B215" s="24" t="str">
        <f t="shared" si="19"/>
        <v>-</v>
      </c>
      <c r="C215" s="24" t="str">
        <f t="shared" si="19"/>
        <v>-</v>
      </c>
      <c r="D215" s="24" t="str">
        <f t="shared" si="19"/>
        <v>-</v>
      </c>
      <c r="E215" s="24" t="str">
        <f t="shared" si="19"/>
        <v>-</v>
      </c>
      <c r="F215" s="24" t="str">
        <f t="shared" si="19"/>
        <v>-</v>
      </c>
      <c r="G215" s="24" t="str">
        <f t="shared" si="19"/>
        <v>-</v>
      </c>
      <c r="H215" s="24" t="str">
        <f t="shared" si="19"/>
        <v>-</v>
      </c>
    </row>
    <row r="216" spans="1:8" ht="11.25" customHeight="1">
      <c r="A216" s="99">
        <v>1995</v>
      </c>
      <c r="B216" s="24" t="str">
        <f t="shared" si="19"/>
        <v>-</v>
      </c>
      <c r="C216" s="24" t="str">
        <f t="shared" si="19"/>
        <v>-</v>
      </c>
      <c r="D216" s="24" t="str">
        <f t="shared" si="19"/>
        <v>-</v>
      </c>
      <c r="E216" s="24">
        <f t="shared" si="19"/>
        <v>397</v>
      </c>
      <c r="F216" s="24">
        <f t="shared" si="19"/>
        <v>74</v>
      </c>
      <c r="G216" s="24" t="str">
        <f t="shared" si="19"/>
        <v>-</v>
      </c>
      <c r="H216" s="24">
        <f t="shared" si="19"/>
        <v>471</v>
      </c>
    </row>
    <row r="217" spans="1:8" ht="11.25" customHeight="1">
      <c r="A217" s="99">
        <v>1996</v>
      </c>
      <c r="B217" s="24" t="str">
        <f t="shared" ref="B217:H226" si="20">IF(AND(B169="-",B25="-"),"-",SUM(B169,B25))</f>
        <v>-</v>
      </c>
      <c r="C217" s="24" t="str">
        <f t="shared" si="20"/>
        <v>-</v>
      </c>
      <c r="D217" s="24">
        <f t="shared" si="20"/>
        <v>181</v>
      </c>
      <c r="E217" s="24">
        <f t="shared" si="20"/>
        <v>231</v>
      </c>
      <c r="F217" s="24" t="str">
        <f t="shared" si="20"/>
        <v>-</v>
      </c>
      <c r="G217" s="24" t="str">
        <f t="shared" si="20"/>
        <v>-</v>
      </c>
      <c r="H217" s="24">
        <f t="shared" si="20"/>
        <v>412</v>
      </c>
    </row>
    <row r="218" spans="1:8" ht="11.25" customHeight="1">
      <c r="A218" s="99">
        <v>1997</v>
      </c>
      <c r="B218" s="24">
        <f t="shared" si="20"/>
        <v>300</v>
      </c>
      <c r="C218" s="24">
        <f t="shared" si="20"/>
        <v>160</v>
      </c>
      <c r="D218" s="24" t="str">
        <f t="shared" si="20"/>
        <v>-</v>
      </c>
      <c r="E218" s="24" t="str">
        <f t="shared" si="20"/>
        <v>-</v>
      </c>
      <c r="F218" s="24" t="str">
        <f t="shared" si="20"/>
        <v>-</v>
      </c>
      <c r="G218" s="24" t="str">
        <f t="shared" si="20"/>
        <v>-</v>
      </c>
      <c r="H218" s="24">
        <f t="shared" si="20"/>
        <v>460</v>
      </c>
    </row>
    <row r="219" spans="1:8" ht="11.25" customHeight="1">
      <c r="A219" s="99">
        <v>1998</v>
      </c>
      <c r="B219" s="24">
        <f t="shared" si="20"/>
        <v>127</v>
      </c>
      <c r="C219" s="24">
        <f t="shared" si="20"/>
        <v>12</v>
      </c>
      <c r="D219" s="24" t="str">
        <f t="shared" si="20"/>
        <v>-</v>
      </c>
      <c r="E219" s="24" t="str">
        <f t="shared" si="20"/>
        <v>-</v>
      </c>
      <c r="F219" s="24" t="str">
        <f t="shared" si="20"/>
        <v>-</v>
      </c>
      <c r="G219" s="24" t="str">
        <f t="shared" si="20"/>
        <v>-</v>
      </c>
      <c r="H219" s="24">
        <f t="shared" si="20"/>
        <v>139</v>
      </c>
    </row>
    <row r="220" spans="1:8" ht="11.25" customHeight="1">
      <c r="A220" s="99">
        <v>1999</v>
      </c>
      <c r="B220" s="24">
        <f t="shared" si="20"/>
        <v>271</v>
      </c>
      <c r="C220" s="24">
        <f t="shared" si="20"/>
        <v>232</v>
      </c>
      <c r="D220" s="24">
        <f t="shared" si="20"/>
        <v>135</v>
      </c>
      <c r="E220" s="24">
        <f t="shared" si="20"/>
        <v>86</v>
      </c>
      <c r="F220" s="24">
        <f t="shared" si="20"/>
        <v>6</v>
      </c>
      <c r="G220" s="24" t="str">
        <f t="shared" si="20"/>
        <v>-</v>
      </c>
      <c r="H220" s="24">
        <f t="shared" si="20"/>
        <v>730</v>
      </c>
    </row>
    <row r="221" spans="1:8" ht="11.25" customHeight="1">
      <c r="A221" s="99">
        <v>2000</v>
      </c>
      <c r="B221" s="24">
        <f t="shared" si="20"/>
        <v>194</v>
      </c>
      <c r="C221" s="24">
        <f t="shared" si="20"/>
        <v>101</v>
      </c>
      <c r="D221" s="24" t="str">
        <f t="shared" si="20"/>
        <v>-</v>
      </c>
      <c r="E221" s="24">
        <f t="shared" si="20"/>
        <v>365</v>
      </c>
      <c r="F221" s="24">
        <f t="shared" si="20"/>
        <v>32</v>
      </c>
      <c r="G221" s="24" t="str">
        <f t="shared" si="20"/>
        <v>-</v>
      </c>
      <c r="H221" s="24">
        <f t="shared" si="20"/>
        <v>692</v>
      </c>
    </row>
    <row r="222" spans="1:8" ht="11.25" customHeight="1">
      <c r="A222" s="99">
        <v>2001</v>
      </c>
      <c r="B222" s="24">
        <f t="shared" si="20"/>
        <v>238</v>
      </c>
      <c r="C222" s="24">
        <f t="shared" si="20"/>
        <v>239</v>
      </c>
      <c r="D222" s="24">
        <f t="shared" si="20"/>
        <v>256</v>
      </c>
      <c r="E222" s="24">
        <f t="shared" si="20"/>
        <v>196</v>
      </c>
      <c r="F222" s="24">
        <f t="shared" si="20"/>
        <v>77</v>
      </c>
      <c r="G222" s="24" t="str">
        <f t="shared" si="20"/>
        <v>-</v>
      </c>
      <c r="H222" s="24">
        <f t="shared" si="20"/>
        <v>1006</v>
      </c>
    </row>
    <row r="223" spans="1:8" ht="11.25" customHeight="1">
      <c r="A223" s="99">
        <v>2002</v>
      </c>
      <c r="B223" s="24">
        <f t="shared" si="20"/>
        <v>468</v>
      </c>
      <c r="C223" s="24">
        <f t="shared" si="20"/>
        <v>240</v>
      </c>
      <c r="D223" s="24">
        <f t="shared" si="20"/>
        <v>602</v>
      </c>
      <c r="E223" s="24">
        <f t="shared" si="20"/>
        <v>458</v>
      </c>
      <c r="F223" s="24" t="str">
        <f t="shared" si="20"/>
        <v>-</v>
      </c>
      <c r="G223" s="24" t="str">
        <f t="shared" si="20"/>
        <v>-</v>
      </c>
      <c r="H223" s="24">
        <f t="shared" si="20"/>
        <v>1768</v>
      </c>
    </row>
    <row r="224" spans="1:8" ht="11.25" customHeight="1">
      <c r="A224" s="99">
        <v>2003</v>
      </c>
      <c r="B224" s="24">
        <f t="shared" si="20"/>
        <v>534</v>
      </c>
      <c r="C224" s="24">
        <f t="shared" si="20"/>
        <v>219</v>
      </c>
      <c r="D224" s="24">
        <f t="shared" si="20"/>
        <v>628</v>
      </c>
      <c r="E224" s="24">
        <f t="shared" si="20"/>
        <v>590</v>
      </c>
      <c r="F224" s="24">
        <f t="shared" si="20"/>
        <v>140</v>
      </c>
      <c r="G224" s="24" t="str">
        <f t="shared" si="20"/>
        <v>-</v>
      </c>
      <c r="H224" s="24">
        <f t="shared" si="20"/>
        <v>2111</v>
      </c>
    </row>
    <row r="225" spans="1:8" ht="11.25" customHeight="1">
      <c r="A225" s="99">
        <v>2004</v>
      </c>
      <c r="B225" s="24">
        <f t="shared" si="20"/>
        <v>511</v>
      </c>
      <c r="C225" s="24">
        <f t="shared" si="20"/>
        <v>14</v>
      </c>
      <c r="D225" s="24">
        <f t="shared" si="20"/>
        <v>474</v>
      </c>
      <c r="E225" s="24">
        <f t="shared" si="20"/>
        <v>448</v>
      </c>
      <c r="F225" s="24">
        <f t="shared" si="20"/>
        <v>281</v>
      </c>
      <c r="G225" s="24" t="str">
        <f t="shared" si="20"/>
        <v>-</v>
      </c>
      <c r="H225" s="24">
        <f t="shared" si="20"/>
        <v>1728</v>
      </c>
    </row>
    <row r="226" spans="1:8" ht="11.25" customHeight="1">
      <c r="A226" s="99">
        <v>2005</v>
      </c>
      <c r="B226" s="24">
        <f t="shared" si="20"/>
        <v>722</v>
      </c>
      <c r="C226" s="24">
        <f t="shared" si="20"/>
        <v>155</v>
      </c>
      <c r="D226" s="24">
        <f t="shared" si="20"/>
        <v>392</v>
      </c>
      <c r="E226" s="24">
        <f t="shared" si="20"/>
        <v>685</v>
      </c>
      <c r="F226" s="24" t="str">
        <f t="shared" si="20"/>
        <v>-</v>
      </c>
      <c r="G226" s="24" t="str">
        <f t="shared" si="20"/>
        <v>-</v>
      </c>
      <c r="H226" s="24">
        <f t="shared" si="20"/>
        <v>1954</v>
      </c>
    </row>
    <row r="227" spans="1:8" ht="11.25" customHeight="1">
      <c r="A227" s="99">
        <v>2006</v>
      </c>
      <c r="B227" s="24">
        <f t="shared" ref="B227:H233" si="21">IF(AND(B179="-",B35="-"),"-",SUM(B179,B35))</f>
        <v>946</v>
      </c>
      <c r="C227" s="24">
        <f t="shared" si="21"/>
        <v>731</v>
      </c>
      <c r="D227" s="24">
        <f t="shared" si="21"/>
        <v>100</v>
      </c>
      <c r="E227" s="24">
        <f t="shared" si="21"/>
        <v>377</v>
      </c>
      <c r="F227" s="24">
        <f t="shared" si="21"/>
        <v>268</v>
      </c>
      <c r="G227" s="24" t="str">
        <f t="shared" si="21"/>
        <v>-</v>
      </c>
      <c r="H227" s="24">
        <f t="shared" si="21"/>
        <v>2422</v>
      </c>
    </row>
    <row r="228" spans="1:8" ht="11.25" customHeight="1">
      <c r="A228" s="99">
        <v>2007</v>
      </c>
      <c r="B228" s="24">
        <f t="shared" si="21"/>
        <v>544</v>
      </c>
      <c r="C228" s="24">
        <f t="shared" si="21"/>
        <v>326</v>
      </c>
      <c r="D228" s="24">
        <f t="shared" si="21"/>
        <v>404</v>
      </c>
      <c r="E228" s="24">
        <f t="shared" si="21"/>
        <v>298</v>
      </c>
      <c r="F228" s="24">
        <f t="shared" si="21"/>
        <v>32</v>
      </c>
      <c r="G228" s="24" t="str">
        <f t="shared" si="21"/>
        <v>-</v>
      </c>
      <c r="H228" s="24">
        <f t="shared" si="21"/>
        <v>1604</v>
      </c>
    </row>
    <row r="229" spans="1:8" ht="11.25" customHeight="1">
      <c r="A229" s="99">
        <v>2008</v>
      </c>
      <c r="B229" s="24">
        <f t="shared" si="21"/>
        <v>552</v>
      </c>
      <c r="C229" s="24">
        <f t="shared" si="21"/>
        <v>715</v>
      </c>
      <c r="D229" s="24">
        <f t="shared" si="21"/>
        <v>259</v>
      </c>
      <c r="E229" s="24">
        <f t="shared" si="21"/>
        <v>279</v>
      </c>
      <c r="F229" s="24">
        <f t="shared" si="21"/>
        <v>73</v>
      </c>
      <c r="G229" s="24" t="str">
        <f t="shared" si="21"/>
        <v>-</v>
      </c>
      <c r="H229" s="24">
        <f t="shared" si="21"/>
        <v>1878</v>
      </c>
    </row>
    <row r="230" spans="1:8" ht="11.25" customHeight="1">
      <c r="A230" s="99">
        <v>2009</v>
      </c>
      <c r="B230" s="24">
        <f t="shared" si="21"/>
        <v>546</v>
      </c>
      <c r="C230" s="24">
        <f t="shared" si="21"/>
        <v>649</v>
      </c>
      <c r="D230" s="24">
        <f t="shared" si="21"/>
        <v>691</v>
      </c>
      <c r="E230" s="24">
        <f t="shared" si="21"/>
        <v>498</v>
      </c>
      <c r="F230" s="24">
        <f t="shared" si="21"/>
        <v>147</v>
      </c>
      <c r="G230" s="24" t="str">
        <f t="shared" si="21"/>
        <v>-</v>
      </c>
      <c r="H230" s="24">
        <f t="shared" si="21"/>
        <v>2531</v>
      </c>
    </row>
    <row r="231" spans="1:8" ht="11.25" customHeight="1">
      <c r="A231" s="99">
        <v>2010</v>
      </c>
      <c r="B231" s="24">
        <f t="shared" si="21"/>
        <v>602</v>
      </c>
      <c r="C231" s="24">
        <f t="shared" si="21"/>
        <v>1168</v>
      </c>
      <c r="D231" s="24">
        <f t="shared" si="21"/>
        <v>665</v>
      </c>
      <c r="E231" s="24">
        <f t="shared" si="21"/>
        <v>564</v>
      </c>
      <c r="F231" s="24">
        <f t="shared" si="21"/>
        <v>69</v>
      </c>
      <c r="G231" s="24" t="str">
        <f t="shared" si="21"/>
        <v>-</v>
      </c>
      <c r="H231" s="24">
        <f t="shared" si="21"/>
        <v>3068</v>
      </c>
    </row>
    <row r="232" spans="1:8" ht="11.25" customHeight="1">
      <c r="A232" s="99">
        <v>2011</v>
      </c>
      <c r="B232" s="24">
        <f t="shared" si="21"/>
        <v>733</v>
      </c>
      <c r="C232" s="24">
        <f t="shared" si="21"/>
        <v>823</v>
      </c>
      <c r="D232" s="24">
        <f t="shared" si="21"/>
        <v>490</v>
      </c>
      <c r="E232" s="24">
        <f t="shared" si="21"/>
        <v>235</v>
      </c>
      <c r="F232" s="24">
        <f t="shared" si="21"/>
        <v>72</v>
      </c>
      <c r="G232" s="24" t="str">
        <f t="shared" si="21"/>
        <v>-</v>
      </c>
      <c r="H232" s="24">
        <f t="shared" si="21"/>
        <v>2353</v>
      </c>
    </row>
    <row r="233" spans="1:8" ht="11.25" customHeight="1">
      <c r="A233" s="99">
        <v>2012</v>
      </c>
      <c r="B233" s="24">
        <f t="shared" si="21"/>
        <v>427</v>
      </c>
      <c r="C233" s="24">
        <f t="shared" si="21"/>
        <v>932</v>
      </c>
      <c r="D233" s="24">
        <f t="shared" si="21"/>
        <v>503</v>
      </c>
      <c r="E233" s="24">
        <f t="shared" si="21"/>
        <v>333</v>
      </c>
      <c r="F233" s="24">
        <f t="shared" si="21"/>
        <v>281</v>
      </c>
      <c r="G233" s="24" t="str">
        <f t="shared" si="21"/>
        <v>-</v>
      </c>
      <c r="H233" s="24">
        <f t="shared" si="21"/>
        <v>2476</v>
      </c>
    </row>
    <row r="234" spans="1:8" ht="11.25" customHeight="1">
      <c r="A234" s="99">
        <v>2013</v>
      </c>
      <c r="B234" s="24">
        <f t="shared" ref="B234:H234" si="22">IF(AND(B186="-",B42="-"),"-",SUM(B186,B42))</f>
        <v>832</v>
      </c>
      <c r="C234" s="24">
        <f t="shared" si="22"/>
        <v>668</v>
      </c>
      <c r="D234" s="24">
        <f t="shared" si="22"/>
        <v>518</v>
      </c>
      <c r="E234" s="24">
        <f t="shared" si="22"/>
        <v>461</v>
      </c>
      <c r="F234" s="24">
        <f t="shared" si="22"/>
        <v>116</v>
      </c>
      <c r="G234" s="24" t="str">
        <f t="shared" si="22"/>
        <v>-</v>
      </c>
      <c r="H234" s="24">
        <f t="shared" si="22"/>
        <v>2595</v>
      </c>
    </row>
    <row r="235" spans="1:8" ht="11.25" customHeight="1">
      <c r="A235" s="99">
        <v>2014</v>
      </c>
      <c r="B235" s="24">
        <f t="shared" ref="B235:H235" si="23">IF(AND(B187="-",B43="-"),"-",SUM(B187,B43))</f>
        <v>1294</v>
      </c>
      <c r="C235" s="24">
        <f t="shared" si="23"/>
        <v>316</v>
      </c>
      <c r="D235" s="24">
        <f t="shared" si="23"/>
        <v>600</v>
      </c>
      <c r="E235" s="24">
        <f t="shared" si="23"/>
        <v>437</v>
      </c>
      <c r="F235" s="24">
        <f t="shared" si="23"/>
        <v>191</v>
      </c>
      <c r="G235" s="24" t="str">
        <f t="shared" si="23"/>
        <v>-</v>
      </c>
      <c r="H235" s="24">
        <f t="shared" si="23"/>
        <v>2838</v>
      </c>
    </row>
    <row r="236" spans="1:8" ht="11.25" customHeight="1">
      <c r="A236" s="99">
        <v>2015</v>
      </c>
      <c r="B236" s="24">
        <f t="shared" ref="B236:H236" si="24">IF(AND(B188="-",B44="-"),"-",SUM(B188,B44))</f>
        <v>1526</v>
      </c>
      <c r="C236" s="24">
        <f t="shared" si="24"/>
        <v>598</v>
      </c>
      <c r="D236" s="24">
        <f t="shared" si="24"/>
        <v>550</v>
      </c>
      <c r="E236" s="24">
        <f t="shared" si="24"/>
        <v>537</v>
      </c>
      <c r="F236" s="24">
        <f t="shared" si="24"/>
        <v>252</v>
      </c>
      <c r="G236" s="24" t="str">
        <f t="shared" si="24"/>
        <v>-</v>
      </c>
      <c r="H236" s="24">
        <f t="shared" si="24"/>
        <v>3463</v>
      </c>
    </row>
    <row r="237" spans="1:8" ht="11.25" customHeight="1">
      <c r="A237" s="99">
        <v>2016</v>
      </c>
      <c r="B237" s="24">
        <f>IF(AND(B189="-",B45="-"),"-",SUM(B189,B45))</f>
        <v>796</v>
      </c>
      <c r="C237" s="24">
        <f t="shared" ref="C237:H237" si="25">IF(AND(C189="-",C45="-"),"-",SUM(C189,C45))</f>
        <v>489</v>
      </c>
      <c r="D237" s="24">
        <f t="shared" si="25"/>
        <v>299</v>
      </c>
      <c r="E237" s="24">
        <f t="shared" si="25"/>
        <v>269</v>
      </c>
      <c r="F237" s="24" t="str">
        <f t="shared" si="25"/>
        <v>-</v>
      </c>
      <c r="G237" s="24" t="str">
        <f t="shared" si="25"/>
        <v>-</v>
      </c>
      <c r="H237" s="24">
        <f t="shared" si="25"/>
        <v>1853</v>
      </c>
    </row>
    <row r="238" spans="1:8" ht="11.25" customHeight="1">
      <c r="A238" s="99">
        <v>2017</v>
      </c>
      <c r="B238" s="24">
        <f t="shared" ref="B238:H238" si="26">IF(AND(B190="-",B46="-"),"-",SUM(B190,B46))</f>
        <v>860</v>
      </c>
      <c r="C238" s="24">
        <f t="shared" si="26"/>
        <v>722</v>
      </c>
      <c r="D238" s="24">
        <f t="shared" si="26"/>
        <v>406</v>
      </c>
      <c r="E238" s="24">
        <f t="shared" si="26"/>
        <v>530</v>
      </c>
      <c r="F238" s="24">
        <f t="shared" si="26"/>
        <v>197</v>
      </c>
      <c r="G238" s="24" t="str">
        <f t="shared" si="26"/>
        <v>-</v>
      </c>
      <c r="H238" s="24">
        <f t="shared" si="26"/>
        <v>2715</v>
      </c>
    </row>
    <row r="239" spans="1:8" ht="11.25" customHeight="1">
      <c r="A239" s="99">
        <v>2018</v>
      </c>
      <c r="B239" s="24">
        <f t="shared" ref="B239:H239" si="27">IF(AND(B191="-",B47="-"),"-",SUM(B191,B47))</f>
        <v>770</v>
      </c>
      <c r="C239" s="24">
        <f t="shared" si="27"/>
        <v>741</v>
      </c>
      <c r="D239" s="24">
        <f t="shared" si="27"/>
        <v>440</v>
      </c>
      <c r="E239" s="24">
        <f t="shared" si="27"/>
        <v>225</v>
      </c>
      <c r="F239" s="24">
        <f t="shared" si="27"/>
        <v>71</v>
      </c>
      <c r="G239" s="24" t="str">
        <f t="shared" si="27"/>
        <v>-</v>
      </c>
      <c r="H239" s="24">
        <f t="shared" si="27"/>
        <v>2247</v>
      </c>
    </row>
    <row r="240" spans="1:8" ht="11.25" customHeight="1">
      <c r="A240" s="122">
        <v>2019</v>
      </c>
      <c r="B240" s="24">
        <f t="shared" ref="B240:H240" si="28">IF(AND(B192="-",B48="-"),"-",SUM(B192,B48))</f>
        <v>412</v>
      </c>
      <c r="C240" s="24">
        <f t="shared" si="28"/>
        <v>361</v>
      </c>
      <c r="D240" s="24">
        <f t="shared" si="28"/>
        <v>770</v>
      </c>
      <c r="E240" s="24">
        <f t="shared" si="28"/>
        <v>245</v>
      </c>
      <c r="F240" s="24">
        <f t="shared" si="28"/>
        <v>137</v>
      </c>
      <c r="G240" s="24" t="str">
        <f t="shared" si="28"/>
        <v>-</v>
      </c>
      <c r="H240" s="24">
        <f t="shared" si="28"/>
        <v>1925</v>
      </c>
    </row>
    <row r="241" spans="1:8" ht="11.25" customHeight="1">
      <c r="A241" s="122">
        <v>2020</v>
      </c>
      <c r="B241" s="24">
        <f t="shared" ref="B241:H242" si="29">IF(AND(B193="-",B49="-"),"-",SUM(B193,B49))</f>
        <v>107</v>
      </c>
      <c r="C241" s="24">
        <f t="shared" si="29"/>
        <v>173</v>
      </c>
      <c r="D241" s="24">
        <f t="shared" si="29"/>
        <v>484</v>
      </c>
      <c r="E241" s="24">
        <f t="shared" si="29"/>
        <v>250</v>
      </c>
      <c r="F241" s="24">
        <f t="shared" si="29"/>
        <v>27</v>
      </c>
      <c r="G241" s="24" t="str">
        <f t="shared" si="29"/>
        <v>-</v>
      </c>
      <c r="H241" s="24">
        <f t="shared" si="29"/>
        <v>1041</v>
      </c>
    </row>
    <row r="242" spans="1:8" ht="11.25" customHeight="1">
      <c r="A242" s="122" t="s">
        <v>317</v>
      </c>
      <c r="B242" s="24">
        <f t="shared" si="29"/>
        <v>259</v>
      </c>
      <c r="C242" s="24">
        <f t="shared" si="29"/>
        <v>476</v>
      </c>
      <c r="D242" s="24">
        <f t="shared" si="29"/>
        <v>517</v>
      </c>
      <c r="E242" s="24">
        <f t="shared" si="29"/>
        <v>254</v>
      </c>
      <c r="F242" s="24">
        <f t="shared" si="29"/>
        <v>134</v>
      </c>
      <c r="G242" s="24" t="str">
        <f t="shared" si="29"/>
        <v>-</v>
      </c>
      <c r="H242" s="24">
        <f t="shared" si="29"/>
        <v>1640</v>
      </c>
    </row>
    <row r="243" spans="1:8" ht="11.25" customHeight="1"/>
    <row r="244" spans="1:8" ht="11.25" customHeight="1">
      <c r="A244" s="97" t="s">
        <v>231</v>
      </c>
    </row>
    <row r="245" spans="1:8" ht="11.25" customHeight="1">
      <c r="A245" s="99">
        <v>1976</v>
      </c>
      <c r="B245" s="24">
        <f>'A-14'!C197</f>
        <v>56</v>
      </c>
      <c r="C245" s="24">
        <f>'A-14'!D197</f>
        <v>188</v>
      </c>
      <c r="D245" s="24">
        <f>'A-14'!E197</f>
        <v>369</v>
      </c>
      <c r="E245" s="24">
        <f>'A-14'!F197</f>
        <v>189</v>
      </c>
      <c r="F245" s="24">
        <f>'A-14'!G197</f>
        <v>64</v>
      </c>
      <c r="G245" s="24">
        <f>'A-14'!H197</f>
        <v>7</v>
      </c>
      <c r="H245" s="24">
        <f>'A-14'!J197</f>
        <v>866</v>
      </c>
    </row>
    <row r="246" spans="1:8" ht="11.25" customHeight="1">
      <c r="A246" s="99">
        <v>1977</v>
      </c>
      <c r="B246" s="24">
        <f>'A-14'!C198</f>
        <v>78</v>
      </c>
      <c r="C246" s="24">
        <f>'A-14'!D198</f>
        <v>119</v>
      </c>
      <c r="D246" s="24">
        <f>'A-14'!E198</f>
        <v>164</v>
      </c>
      <c r="E246" s="24">
        <f>'A-14'!F198</f>
        <v>237</v>
      </c>
      <c r="F246" s="24">
        <f>'A-14'!G198</f>
        <v>89</v>
      </c>
      <c r="G246" s="24">
        <f>'A-14'!H198</f>
        <v>2</v>
      </c>
      <c r="H246" s="24">
        <f>'A-14'!J198</f>
        <v>687</v>
      </c>
    </row>
    <row r="247" spans="1:8" ht="11.25" customHeight="1">
      <c r="A247" s="99">
        <v>1978</v>
      </c>
      <c r="B247" s="24">
        <f>'A-14'!C199</f>
        <v>64</v>
      </c>
      <c r="C247" s="24">
        <f>'A-14'!D199</f>
        <v>142</v>
      </c>
      <c r="D247" s="24">
        <f>'A-14'!E199</f>
        <v>102</v>
      </c>
      <c r="E247" s="24">
        <f>'A-14'!F199</f>
        <v>94</v>
      </c>
      <c r="F247" s="24">
        <f>'A-14'!G199</f>
        <v>48</v>
      </c>
      <c r="G247" s="24">
        <f>'A-14'!H199</f>
        <v>6</v>
      </c>
      <c r="H247" s="24">
        <f>'A-14'!J199</f>
        <v>450</v>
      </c>
    </row>
    <row r="248" spans="1:8" ht="11.25" customHeight="1">
      <c r="A248" s="99">
        <v>1979</v>
      </c>
      <c r="B248" s="24">
        <f>'A-14'!C200</f>
        <v>62</v>
      </c>
      <c r="C248" s="24">
        <f>'A-14'!D200</f>
        <v>114</v>
      </c>
      <c r="D248" s="24">
        <f>'A-14'!E200</f>
        <v>185</v>
      </c>
      <c r="E248" s="24">
        <f>'A-14'!F200</f>
        <v>219</v>
      </c>
      <c r="F248" s="24">
        <f>'A-14'!G200</f>
        <v>30</v>
      </c>
      <c r="G248" s="24">
        <f>'A-14'!H200</f>
        <v>8</v>
      </c>
      <c r="H248" s="24">
        <f>'A-14'!J200</f>
        <v>610</v>
      </c>
    </row>
    <row r="249" spans="1:8" ht="11.25" customHeight="1">
      <c r="A249" s="99">
        <v>1980</v>
      </c>
      <c r="B249" s="24">
        <f>'A-14'!C201</f>
        <v>47</v>
      </c>
      <c r="C249" s="24">
        <f>'A-14'!D201</f>
        <v>122</v>
      </c>
      <c r="D249" s="24">
        <f>'A-14'!E201</f>
        <v>142</v>
      </c>
      <c r="E249" s="24">
        <f>'A-14'!F201</f>
        <v>72</v>
      </c>
      <c r="F249" s="24">
        <f>'A-14'!G201</f>
        <v>20</v>
      </c>
      <c r="G249" s="24">
        <f>'A-14'!H201</f>
        <v>9</v>
      </c>
      <c r="H249" s="24">
        <f>'A-14'!J201</f>
        <v>403</v>
      </c>
    </row>
    <row r="250" spans="1:8" ht="11.25" customHeight="1">
      <c r="A250" s="99">
        <v>1981</v>
      </c>
      <c r="B250" s="24">
        <f>'A-14'!C202</f>
        <v>102</v>
      </c>
      <c r="C250" s="24">
        <f>'A-14'!D202</f>
        <v>156</v>
      </c>
      <c r="D250" s="24">
        <f>'A-14'!E202</f>
        <v>286</v>
      </c>
      <c r="E250" s="24">
        <f>'A-14'!F202</f>
        <v>200</v>
      </c>
      <c r="F250" s="24">
        <f>'A-14'!G202</f>
        <v>112</v>
      </c>
      <c r="G250" s="24">
        <f>'A-14'!H202</f>
        <v>7</v>
      </c>
      <c r="H250" s="24">
        <f>'A-14'!J202</f>
        <v>856</v>
      </c>
    </row>
    <row r="251" spans="1:8" ht="11.25" customHeight="1">
      <c r="A251" s="99">
        <v>1982</v>
      </c>
      <c r="B251" s="24">
        <f>'A-14'!C203</f>
        <v>54</v>
      </c>
      <c r="C251" s="24">
        <f>'A-14'!D203</f>
        <v>179</v>
      </c>
      <c r="D251" s="24">
        <f>'A-14'!E203</f>
        <v>258</v>
      </c>
      <c r="E251" s="24">
        <f>'A-14'!F203</f>
        <v>336</v>
      </c>
      <c r="F251" s="24">
        <f>'A-14'!G203</f>
        <v>234</v>
      </c>
      <c r="G251" s="24">
        <f>'A-14'!H203</f>
        <v>26</v>
      </c>
      <c r="H251" s="24">
        <f>'A-14'!J203</f>
        <v>1061</v>
      </c>
    </row>
    <row r="252" spans="1:8" ht="11.25" customHeight="1">
      <c r="A252" s="99">
        <v>1983</v>
      </c>
      <c r="B252" s="24">
        <f>'A-14'!C204</f>
        <v>119</v>
      </c>
      <c r="C252" s="24">
        <f>'A-14'!D204</f>
        <v>248</v>
      </c>
      <c r="D252" s="24">
        <f>'A-14'!E204</f>
        <v>316</v>
      </c>
      <c r="E252" s="24">
        <f>'A-14'!F204</f>
        <v>473</v>
      </c>
      <c r="F252" s="24">
        <f>'A-14'!G204</f>
        <v>182</v>
      </c>
      <c r="G252" s="24">
        <f>'A-14'!H204</f>
        <v>10</v>
      </c>
      <c r="H252" s="24">
        <f>'A-14'!J204</f>
        <v>1338</v>
      </c>
    </row>
    <row r="253" spans="1:8" ht="11.25" customHeight="1">
      <c r="A253" s="99">
        <v>1984</v>
      </c>
      <c r="B253" s="24">
        <f>'A-14'!C205</f>
        <v>56</v>
      </c>
      <c r="C253" s="24">
        <f>'A-14'!D205</f>
        <v>39</v>
      </c>
      <c r="D253" s="24">
        <f>'A-14'!E205</f>
        <v>145</v>
      </c>
      <c r="E253" s="24">
        <f>'A-14'!F205</f>
        <v>212</v>
      </c>
      <c r="F253" s="24">
        <f>'A-14'!G205</f>
        <v>0</v>
      </c>
      <c r="G253" s="24">
        <f>'A-14'!H205</f>
        <v>19</v>
      </c>
      <c r="H253" s="24">
        <f>'A-14'!J205</f>
        <v>452</v>
      </c>
    </row>
    <row r="254" spans="1:8" ht="11.25" customHeight="1">
      <c r="A254" s="99">
        <v>1985</v>
      </c>
      <c r="B254" s="24">
        <f>'A-14'!C206</f>
        <v>64</v>
      </c>
      <c r="C254" s="24">
        <f>'A-14'!D206</f>
        <v>81</v>
      </c>
      <c r="D254" s="24">
        <f>'A-14'!E206</f>
        <v>417</v>
      </c>
      <c r="E254" s="24">
        <f>'A-14'!F206</f>
        <v>343</v>
      </c>
      <c r="F254" s="24">
        <f>'A-14'!G206</f>
        <v>203</v>
      </c>
      <c r="G254" s="24">
        <f>'A-14'!H206</f>
        <v>23</v>
      </c>
      <c r="H254" s="24">
        <f>'A-14'!J206</f>
        <v>1108</v>
      </c>
    </row>
    <row r="255" spans="1:8" ht="11.25" customHeight="1">
      <c r="A255" s="99">
        <v>1986</v>
      </c>
      <c r="B255" s="24">
        <f>'A-14'!C207</f>
        <v>91</v>
      </c>
      <c r="C255" s="24">
        <f>'A-14'!D207</f>
        <v>334</v>
      </c>
      <c r="D255" s="24">
        <f>'A-14'!E207</f>
        <v>453</v>
      </c>
      <c r="E255" s="24">
        <f>'A-14'!F207</f>
        <v>159</v>
      </c>
      <c r="F255" s="24">
        <f>'A-14'!G207</f>
        <v>1</v>
      </c>
      <c r="G255" s="24">
        <f>'A-14'!H207</f>
        <v>0</v>
      </c>
      <c r="H255" s="24">
        <f>'A-14'!J207</f>
        <v>1038</v>
      </c>
    </row>
    <row r="256" spans="1:8" ht="11.25" customHeight="1">
      <c r="A256" s="99">
        <v>1987</v>
      </c>
      <c r="B256" s="24">
        <f>'A-14'!C208</f>
        <v>134</v>
      </c>
      <c r="C256" s="24">
        <f>'A-14'!D208</f>
        <v>0</v>
      </c>
      <c r="D256" s="24">
        <f>'A-14'!E208</f>
        <v>443</v>
      </c>
      <c r="E256" s="24">
        <f>'A-14'!F208</f>
        <v>620</v>
      </c>
      <c r="F256" s="24">
        <f>'A-14'!G208</f>
        <v>0</v>
      </c>
      <c r="G256" s="24">
        <f>'A-14'!H208</f>
        <v>6</v>
      </c>
      <c r="H256" s="24">
        <f>'A-14'!J208</f>
        <v>1197</v>
      </c>
    </row>
    <row r="257" spans="1:8" ht="11.25" customHeight="1">
      <c r="A257" s="99">
        <v>1988</v>
      </c>
      <c r="B257" s="24">
        <f>'A-14'!C209</f>
        <v>181</v>
      </c>
      <c r="C257" s="24">
        <f>'A-14'!D209</f>
        <v>199</v>
      </c>
      <c r="D257" s="24">
        <f>'A-14'!E209</f>
        <v>339</v>
      </c>
      <c r="E257" s="24">
        <f>'A-14'!F209</f>
        <v>518</v>
      </c>
      <c r="F257" s="24">
        <f>'A-14'!G209</f>
        <v>190</v>
      </c>
      <c r="G257" s="24">
        <f>'A-14'!H209</f>
        <v>0</v>
      </c>
      <c r="H257" s="24">
        <f>'A-14'!J209</f>
        <v>1427</v>
      </c>
    </row>
    <row r="258" spans="1:8" ht="11.25" customHeight="1">
      <c r="A258" s="99">
        <v>1989</v>
      </c>
      <c r="B258" s="24">
        <f>'A-14'!C210</f>
        <v>138</v>
      </c>
      <c r="C258" s="24">
        <f>'A-14'!D210</f>
        <v>152</v>
      </c>
      <c r="D258" s="24">
        <f>'A-14'!E210</f>
        <v>558</v>
      </c>
      <c r="E258" s="24">
        <f>'A-14'!F210</f>
        <v>428</v>
      </c>
      <c r="F258" s="24">
        <f>'A-14'!G210</f>
        <v>380</v>
      </c>
      <c r="G258" s="24">
        <f>'A-14'!H210</f>
        <v>0</v>
      </c>
      <c r="H258" s="24">
        <f>'A-14'!J210</f>
        <v>1656</v>
      </c>
    </row>
    <row r="259" spans="1:8" ht="11.25" customHeight="1">
      <c r="A259" s="99">
        <v>1990</v>
      </c>
      <c r="B259" s="24">
        <f>'A-14'!C211</f>
        <v>146</v>
      </c>
      <c r="C259" s="24">
        <f>'A-14'!D211</f>
        <v>153</v>
      </c>
      <c r="D259" s="24">
        <f>'A-14'!E211</f>
        <v>375</v>
      </c>
      <c r="E259" s="24">
        <f>'A-14'!F211</f>
        <v>575</v>
      </c>
      <c r="F259" s="24">
        <f>'A-14'!G211</f>
        <v>232</v>
      </c>
      <c r="G259" s="24">
        <f>'A-14'!H211</f>
        <v>2</v>
      </c>
      <c r="H259" s="24">
        <f>'A-14'!J211</f>
        <v>1481</v>
      </c>
    </row>
    <row r="260" spans="1:8" ht="11.25" customHeight="1">
      <c r="A260" s="99">
        <v>1991</v>
      </c>
      <c r="B260" s="24">
        <f>'A-14'!C212</f>
        <v>112</v>
      </c>
      <c r="C260" s="24">
        <f>'A-14'!D212</f>
        <v>102</v>
      </c>
      <c r="D260" s="24">
        <f>'A-14'!E212</f>
        <v>335</v>
      </c>
      <c r="E260" s="24">
        <f>'A-14'!F212</f>
        <v>599</v>
      </c>
      <c r="F260" s="24">
        <f>'A-14'!G212</f>
        <v>0</v>
      </c>
      <c r="G260" s="24">
        <f>'A-14'!H212</f>
        <v>50</v>
      </c>
      <c r="H260" s="24">
        <f>'A-14'!J212</f>
        <v>1148</v>
      </c>
    </row>
    <row r="261" spans="1:8" ht="11.25" customHeight="1">
      <c r="A261" s="99">
        <v>1992</v>
      </c>
      <c r="B261" s="24">
        <f>'A-14'!C213</f>
        <v>73</v>
      </c>
      <c r="C261" s="24">
        <f>'A-14'!D213</f>
        <v>89</v>
      </c>
      <c r="D261" s="24">
        <f>'A-14'!E213</f>
        <v>244</v>
      </c>
      <c r="E261" s="24">
        <f>'A-14'!F213</f>
        <v>237</v>
      </c>
      <c r="F261" s="24">
        <f>'A-14'!G213</f>
        <v>0</v>
      </c>
      <c r="G261" s="24">
        <f>'A-14'!H213</f>
        <v>1</v>
      </c>
      <c r="H261" s="24">
        <f>'A-14'!J213</f>
        <v>643</v>
      </c>
    </row>
    <row r="262" spans="1:8" ht="11.25" customHeight="1">
      <c r="A262" s="99">
        <v>1993</v>
      </c>
      <c r="B262" s="24">
        <f>'A-14'!C214</f>
        <v>122</v>
      </c>
      <c r="C262" s="24">
        <f>'A-14'!D214</f>
        <v>96</v>
      </c>
      <c r="D262" s="24">
        <f>'A-14'!E214</f>
        <v>329</v>
      </c>
      <c r="E262" s="24">
        <f>'A-14'!F214</f>
        <v>407</v>
      </c>
      <c r="F262" s="24">
        <f>'A-14'!G214</f>
        <v>238</v>
      </c>
      <c r="G262" s="24">
        <f>'A-14'!H214</f>
        <v>0</v>
      </c>
      <c r="H262" s="24">
        <f>'A-14'!J214</f>
        <v>1192</v>
      </c>
    </row>
    <row r="263" spans="1:8" ht="11.25" customHeight="1">
      <c r="A263" s="99">
        <v>1994</v>
      </c>
      <c r="B263" s="24">
        <f>'A-14'!C215</f>
        <v>28</v>
      </c>
      <c r="C263" s="24">
        <f>'A-14'!D215</f>
        <v>70</v>
      </c>
      <c r="D263" s="24">
        <f>'A-14'!E215</f>
        <v>3</v>
      </c>
      <c r="E263" s="24">
        <f>'A-14'!F215</f>
        <v>0</v>
      </c>
      <c r="F263" s="24">
        <f>'A-14'!G215</f>
        <v>0</v>
      </c>
      <c r="G263" s="24">
        <f>'A-14'!H215</f>
        <v>0</v>
      </c>
      <c r="H263" s="24">
        <f>'A-14'!J215</f>
        <v>101</v>
      </c>
    </row>
    <row r="264" spans="1:8" ht="11.25" customHeight="1">
      <c r="A264" s="99">
        <v>1995</v>
      </c>
      <c r="B264" s="24">
        <f>'A-14'!C216</f>
        <v>10</v>
      </c>
      <c r="C264" s="24">
        <f>'A-14'!D216</f>
        <v>0</v>
      </c>
      <c r="D264" s="24">
        <f>'A-14'!E216</f>
        <v>1</v>
      </c>
      <c r="E264" s="24">
        <f>'A-14'!F216</f>
        <v>313</v>
      </c>
      <c r="F264" s="24">
        <f>'A-14'!G216</f>
        <v>0</v>
      </c>
      <c r="G264" s="24">
        <f>'A-14'!H216</f>
        <v>0</v>
      </c>
      <c r="H264" s="24">
        <f>'A-14'!J216</f>
        <v>324</v>
      </c>
    </row>
    <row r="265" spans="1:8" ht="11.25" customHeight="1">
      <c r="A265" s="99">
        <v>1996</v>
      </c>
      <c r="B265" s="24">
        <f>'A-14'!C217</f>
        <v>13</v>
      </c>
      <c r="C265" s="24">
        <f>'A-14'!D217</f>
        <v>34</v>
      </c>
      <c r="D265" s="24">
        <f>'A-14'!E217</f>
        <v>42</v>
      </c>
      <c r="E265" s="24">
        <f>'A-14'!F217</f>
        <v>102</v>
      </c>
      <c r="F265" s="24">
        <f>'A-14'!G217</f>
        <v>90</v>
      </c>
      <c r="G265" s="24" t="str">
        <f>'A-14'!H217</f>
        <v>-</v>
      </c>
      <c r="H265" s="24">
        <f>'A-14'!J217</f>
        <v>281</v>
      </c>
    </row>
    <row r="266" spans="1:8" ht="11.25" customHeight="1">
      <c r="A266" s="99">
        <v>1997</v>
      </c>
      <c r="B266" s="24">
        <f>'A-14'!C218</f>
        <v>25</v>
      </c>
      <c r="C266" s="24">
        <f>'A-14'!D218</f>
        <v>48</v>
      </c>
      <c r="D266" s="24">
        <f>'A-14'!E218</f>
        <v>0</v>
      </c>
      <c r="E266" s="24">
        <f>'A-14'!F218</f>
        <v>164</v>
      </c>
      <c r="F266" s="24">
        <f>'A-14'!G218</f>
        <v>62</v>
      </c>
      <c r="G266" s="24" t="str">
        <f>'A-14'!H218</f>
        <v>-</v>
      </c>
      <c r="H266" s="24">
        <f>'A-14'!J218</f>
        <v>299</v>
      </c>
    </row>
    <row r="267" spans="1:8" ht="11.25" customHeight="1">
      <c r="A267" s="99">
        <v>1998</v>
      </c>
      <c r="B267" s="24">
        <f>'A-14'!C219</f>
        <v>33</v>
      </c>
      <c r="C267" s="24">
        <f>'A-14'!D219</f>
        <v>19</v>
      </c>
      <c r="D267" s="24">
        <f>'A-14'!E219</f>
        <v>3</v>
      </c>
      <c r="E267" s="24">
        <f>'A-14'!F219</f>
        <v>41</v>
      </c>
      <c r="F267" s="24">
        <f>'A-14'!G219</f>
        <v>43</v>
      </c>
      <c r="G267" s="24" t="str">
        <f>'A-14'!H219</f>
        <v>-</v>
      </c>
      <c r="H267" s="24">
        <f>'A-14'!J219</f>
        <v>139</v>
      </c>
    </row>
    <row r="268" spans="1:8" ht="11.25" customHeight="1">
      <c r="A268" s="99">
        <v>1999</v>
      </c>
      <c r="B268" s="24">
        <f>'A-14'!C220</f>
        <v>43</v>
      </c>
      <c r="C268" s="24">
        <f>'A-14'!D220</f>
        <v>46</v>
      </c>
      <c r="D268" s="24">
        <f>'A-14'!E220</f>
        <v>5</v>
      </c>
      <c r="E268" s="24">
        <f>'A-14'!F220</f>
        <v>117</v>
      </c>
      <c r="F268" s="24">
        <f>'A-14'!G220</f>
        <v>71</v>
      </c>
      <c r="G268" s="24" t="str">
        <f>'A-14'!H220</f>
        <v>-</v>
      </c>
      <c r="H268" s="24">
        <f>'A-14'!J220</f>
        <v>282</v>
      </c>
    </row>
    <row r="269" spans="1:8" ht="11.25" customHeight="1">
      <c r="A269" s="99">
        <v>2000</v>
      </c>
      <c r="B269" s="24">
        <f>'A-14'!C221</f>
        <v>43</v>
      </c>
      <c r="C269" s="24">
        <f>'A-14'!D221</f>
        <v>41</v>
      </c>
      <c r="D269" s="24">
        <f>'A-14'!E221</f>
        <v>5</v>
      </c>
      <c r="E269" s="24">
        <f>'A-14'!F221</f>
        <v>55</v>
      </c>
      <c r="F269" s="24">
        <f>'A-14'!G221</f>
        <v>0</v>
      </c>
      <c r="G269" s="24" t="str">
        <f>'A-14'!H221</f>
        <v>-</v>
      </c>
      <c r="H269" s="24">
        <f>'A-14'!J221</f>
        <v>144</v>
      </c>
    </row>
    <row r="270" spans="1:8" ht="11.25" customHeight="1">
      <c r="A270" s="99">
        <v>2001</v>
      </c>
      <c r="B270" s="24">
        <f>'A-14'!C222</f>
        <v>53</v>
      </c>
      <c r="C270" s="24">
        <f>'A-14'!D222</f>
        <v>65</v>
      </c>
      <c r="D270" s="24">
        <f>'A-14'!E222</f>
        <v>122</v>
      </c>
      <c r="E270" s="24">
        <f>'A-14'!F222</f>
        <v>172</v>
      </c>
      <c r="F270" s="24">
        <f>'A-14'!G222</f>
        <v>104</v>
      </c>
      <c r="G270" s="24" t="str">
        <f>'A-14'!H222</f>
        <v>-</v>
      </c>
      <c r="H270" s="24">
        <f>'A-14'!J222</f>
        <v>516</v>
      </c>
    </row>
    <row r="271" spans="1:8" ht="11.25" customHeight="1">
      <c r="A271" s="99">
        <v>2002</v>
      </c>
      <c r="B271" s="24">
        <f>'A-14'!C223</f>
        <v>31</v>
      </c>
      <c r="C271" s="24">
        <f>'A-14'!D223</f>
        <v>42</v>
      </c>
      <c r="D271" s="24">
        <f>'A-14'!E223</f>
        <v>61</v>
      </c>
      <c r="E271" s="24">
        <f>'A-14'!F223</f>
        <v>51</v>
      </c>
      <c r="F271" s="24">
        <f>'A-14'!G223</f>
        <v>41</v>
      </c>
      <c r="G271" s="24">
        <f>'A-14'!H223</f>
        <v>10</v>
      </c>
      <c r="H271" s="24">
        <f>'A-14'!J223</f>
        <v>226</v>
      </c>
    </row>
    <row r="272" spans="1:8" ht="11.25" customHeight="1">
      <c r="A272" s="99">
        <v>2003</v>
      </c>
      <c r="B272" s="24">
        <f>'A-14'!C224</f>
        <v>24</v>
      </c>
      <c r="C272" s="24">
        <f>'A-14'!D224</f>
        <v>27</v>
      </c>
      <c r="D272" s="24">
        <f>'A-14'!E224</f>
        <v>63</v>
      </c>
      <c r="E272" s="24">
        <f>'A-14'!F224</f>
        <v>57</v>
      </c>
      <c r="F272" s="24">
        <f>'A-14'!G224</f>
        <v>45</v>
      </c>
      <c r="G272" s="24">
        <f>'A-14'!H224</f>
        <v>15</v>
      </c>
      <c r="H272" s="24">
        <f>'A-14'!J224</f>
        <v>216</v>
      </c>
    </row>
    <row r="273" spans="1:8" ht="11.25" customHeight="1">
      <c r="A273" s="99">
        <v>2004</v>
      </c>
      <c r="B273" s="24">
        <f>'A-14'!C225</f>
        <v>27</v>
      </c>
      <c r="C273" s="24">
        <f>'A-14'!D225</f>
        <v>49</v>
      </c>
      <c r="D273" s="24">
        <f>'A-14'!E225</f>
        <v>127</v>
      </c>
      <c r="E273" s="24">
        <f>'A-14'!F225</f>
        <v>152</v>
      </c>
      <c r="F273" s="24">
        <f>'A-14'!G225</f>
        <v>76</v>
      </c>
      <c r="G273" s="24">
        <f>'A-14'!H225</f>
        <v>15</v>
      </c>
      <c r="H273" s="24">
        <f>'A-14'!J225</f>
        <v>431</v>
      </c>
    </row>
    <row r="274" spans="1:8" ht="11.25" customHeight="1">
      <c r="A274" s="99">
        <v>2005</v>
      </c>
      <c r="B274" s="24">
        <f>'A-14'!C226</f>
        <v>98</v>
      </c>
      <c r="C274" s="24">
        <f>'A-14'!D226</f>
        <v>146</v>
      </c>
      <c r="D274" s="24">
        <f>'A-14'!E226</f>
        <v>126</v>
      </c>
      <c r="E274" s="24">
        <f>'A-14'!F226</f>
        <v>150</v>
      </c>
      <c r="F274" s="24">
        <f>'A-14'!G226</f>
        <v>77</v>
      </c>
      <c r="G274" s="24">
        <f>'A-14'!H226</f>
        <v>0</v>
      </c>
      <c r="H274" s="24">
        <f>'A-14'!J226</f>
        <v>597</v>
      </c>
    </row>
    <row r="275" spans="1:8" ht="11.25" customHeight="1">
      <c r="A275" s="99">
        <v>2006</v>
      </c>
      <c r="B275" s="24">
        <f>'A-14'!C227</f>
        <v>96</v>
      </c>
      <c r="C275" s="24">
        <f>'A-14'!D227</f>
        <v>285</v>
      </c>
      <c r="D275" s="24">
        <f>'A-14'!E227</f>
        <v>167</v>
      </c>
      <c r="E275" s="24">
        <f>'A-14'!F227</f>
        <v>140</v>
      </c>
      <c r="F275" s="24">
        <f>'A-14'!G227</f>
        <v>117</v>
      </c>
      <c r="G275" s="24">
        <f>'A-14'!H227</f>
        <v>5</v>
      </c>
      <c r="H275" s="24">
        <f>'A-14'!J227</f>
        <v>805</v>
      </c>
    </row>
    <row r="276" spans="1:8" ht="11.25" customHeight="1">
      <c r="A276" s="99">
        <v>2007</v>
      </c>
      <c r="B276" s="24">
        <f>'A-14'!C228</f>
        <v>22</v>
      </c>
      <c r="C276" s="24">
        <f>'A-14'!D228</f>
        <v>205</v>
      </c>
      <c r="D276" s="24">
        <f>'A-14'!E228</f>
        <v>189</v>
      </c>
      <c r="E276" s="24">
        <f>'A-14'!F228</f>
        <v>167</v>
      </c>
      <c r="F276" s="24">
        <f>'A-14'!G228</f>
        <v>7</v>
      </c>
      <c r="G276" s="24">
        <f>'A-14'!H228</f>
        <v>0</v>
      </c>
      <c r="H276" s="24">
        <f>'A-14'!J228</f>
        <v>590</v>
      </c>
    </row>
    <row r="277" spans="1:8" ht="11.25" customHeight="1">
      <c r="A277" s="99">
        <v>2008</v>
      </c>
      <c r="B277" s="24">
        <f>'A-14'!C229</f>
        <v>30</v>
      </c>
      <c r="C277" s="24">
        <f>'A-14'!D229</f>
        <v>125</v>
      </c>
      <c r="D277" s="24">
        <f>'A-14'!E229</f>
        <v>102</v>
      </c>
      <c r="E277" s="24">
        <f>'A-14'!F229</f>
        <v>231</v>
      </c>
      <c r="F277" s="24">
        <f>'A-14'!G229</f>
        <v>92</v>
      </c>
      <c r="G277" s="24">
        <f>'A-14'!H229</f>
        <v>1</v>
      </c>
      <c r="H277" s="24">
        <f>'A-14'!J229</f>
        <v>580</v>
      </c>
    </row>
    <row r="278" spans="1:8" ht="11.25" customHeight="1">
      <c r="A278" s="99">
        <v>2009</v>
      </c>
      <c r="B278" s="24">
        <f>'A-14'!C230</f>
        <v>82</v>
      </c>
      <c r="C278" s="24">
        <f>'A-14'!D230</f>
        <v>238</v>
      </c>
      <c r="D278" s="24">
        <f>'A-14'!E230</f>
        <v>233</v>
      </c>
      <c r="E278" s="24">
        <f>'A-14'!F230</f>
        <v>269</v>
      </c>
      <c r="F278" s="24">
        <f>'A-14'!G230</f>
        <v>5</v>
      </c>
      <c r="G278" s="24">
        <f>'A-14'!H230</f>
        <v>4</v>
      </c>
      <c r="H278" s="24">
        <f>'A-14'!J230</f>
        <v>827</v>
      </c>
    </row>
    <row r="279" spans="1:8" ht="11.25" customHeight="1">
      <c r="A279" s="99">
        <v>2010</v>
      </c>
      <c r="B279" s="24">
        <f>'A-14'!C231</f>
        <v>155</v>
      </c>
      <c r="C279" s="24">
        <f>'A-14'!D231</f>
        <v>335</v>
      </c>
      <c r="D279" s="24">
        <f>'A-14'!E231</f>
        <v>155</v>
      </c>
      <c r="E279" s="24">
        <f>'A-14'!F231</f>
        <v>150</v>
      </c>
      <c r="F279" s="24">
        <f>'A-14'!G231</f>
        <v>62</v>
      </c>
      <c r="G279" s="24">
        <f>'A-14'!H231</f>
        <v>4</v>
      </c>
      <c r="H279" s="24">
        <f>'A-14'!J231</f>
        <v>857</v>
      </c>
    </row>
    <row r="280" spans="1:8" ht="11.25" customHeight="1">
      <c r="A280" s="99">
        <v>2011</v>
      </c>
      <c r="B280" s="24">
        <f>'A-14'!C232</f>
        <v>92</v>
      </c>
      <c r="C280" s="24">
        <f>'A-14'!D232</f>
        <v>192</v>
      </c>
      <c r="D280" s="24">
        <f>'A-14'!E232</f>
        <v>152</v>
      </c>
      <c r="E280" s="24">
        <f>'A-14'!F232</f>
        <v>140</v>
      </c>
      <c r="F280" s="24">
        <f>'A-14'!G232</f>
        <v>24</v>
      </c>
      <c r="G280" s="24">
        <f>'A-14'!H232</f>
        <v>1</v>
      </c>
      <c r="H280" s="24">
        <f>'A-14'!J232</f>
        <v>600</v>
      </c>
    </row>
    <row r="281" spans="1:8" ht="11.25" customHeight="1">
      <c r="A281" s="99">
        <v>2012</v>
      </c>
      <c r="B281" s="24">
        <f>'A-14'!C233</f>
        <v>144</v>
      </c>
      <c r="C281" s="24">
        <f>'A-14'!D233</f>
        <v>269</v>
      </c>
      <c r="D281" s="24">
        <f>'A-14'!E233</f>
        <v>214</v>
      </c>
      <c r="E281" s="24">
        <f>'A-14'!F233</f>
        <v>229</v>
      </c>
      <c r="F281" s="24">
        <f>'A-14'!G233</f>
        <v>104</v>
      </c>
      <c r="G281" s="24">
        <f>'A-14'!H233</f>
        <v>4</v>
      </c>
      <c r="H281" s="24">
        <f>'A-14'!J233</f>
        <v>960</v>
      </c>
    </row>
    <row r="282" spans="1:8" ht="11.25" customHeight="1">
      <c r="A282" s="99">
        <v>2013</v>
      </c>
      <c r="B282" s="24">
        <f>'A-14'!C234</f>
        <v>279</v>
      </c>
      <c r="C282" s="24">
        <f>'A-14'!D234</f>
        <v>206</v>
      </c>
      <c r="D282" s="24">
        <f>'A-14'!E234</f>
        <v>369</v>
      </c>
      <c r="E282" s="24">
        <f>'A-14'!F234</f>
        <v>583</v>
      </c>
      <c r="F282" s="24">
        <f>'A-14'!G234</f>
        <v>159</v>
      </c>
      <c r="G282" s="24">
        <f>'A-14'!H234</f>
        <v>0</v>
      </c>
      <c r="H282" s="24">
        <f>'A-14'!J234</f>
        <v>1596</v>
      </c>
    </row>
    <row r="283" spans="1:8" ht="11.25" customHeight="1">
      <c r="A283" s="99">
        <v>2014</v>
      </c>
      <c r="B283" s="24">
        <f>'A-14'!C235</f>
        <v>196</v>
      </c>
      <c r="C283" s="24">
        <f>'A-14'!D235</f>
        <v>295</v>
      </c>
      <c r="D283" s="24">
        <f>'A-14'!E235</f>
        <v>465</v>
      </c>
      <c r="E283" s="24">
        <f>'A-14'!F235</f>
        <v>419</v>
      </c>
      <c r="F283" s="24">
        <f>'A-14'!G235</f>
        <v>152</v>
      </c>
      <c r="G283" s="24">
        <f>'A-14'!H235</f>
        <v>0</v>
      </c>
      <c r="H283" s="24">
        <f>'A-14'!J235</f>
        <v>1527</v>
      </c>
    </row>
    <row r="284" spans="1:8" ht="11.25" customHeight="1">
      <c r="A284" s="99">
        <v>2015</v>
      </c>
      <c r="B284" s="24">
        <f>'A-14'!C236</f>
        <v>324</v>
      </c>
      <c r="C284" s="24">
        <f>'A-14'!D236</f>
        <v>380</v>
      </c>
      <c r="D284" s="24">
        <f>'A-14'!E236</f>
        <v>389</v>
      </c>
      <c r="E284" s="24">
        <f>'A-14'!F236</f>
        <v>261</v>
      </c>
      <c r="F284" s="24">
        <f>'A-14'!G236</f>
        <v>104</v>
      </c>
      <c r="G284" s="24">
        <f>'A-14'!H236</f>
        <v>0</v>
      </c>
      <c r="H284" s="24">
        <f>'A-14'!J236</f>
        <v>1458</v>
      </c>
    </row>
    <row r="285" spans="1:8" ht="11.25" customHeight="1">
      <c r="A285" s="99">
        <v>2016</v>
      </c>
      <c r="B285" s="24">
        <f>'A-14'!C237</f>
        <v>204</v>
      </c>
      <c r="C285" s="24">
        <f>'A-14'!D237</f>
        <v>233</v>
      </c>
      <c r="D285" s="24">
        <f>'A-14'!E237</f>
        <v>141</v>
      </c>
      <c r="E285" s="24">
        <f>'A-14'!F237</f>
        <v>90</v>
      </c>
      <c r="F285" s="24">
        <f>'A-14'!G237</f>
        <v>2</v>
      </c>
      <c r="G285" s="24">
        <f>'A-14'!H237</f>
        <v>0</v>
      </c>
      <c r="H285" s="24">
        <f>'A-14'!J237</f>
        <v>670</v>
      </c>
    </row>
    <row r="286" spans="1:8" ht="11.25" customHeight="1">
      <c r="A286" s="99">
        <v>2017</v>
      </c>
      <c r="B286" s="24">
        <f>'A-14'!C238</f>
        <v>27</v>
      </c>
      <c r="C286" s="24">
        <f>'A-14'!D238</f>
        <v>90</v>
      </c>
      <c r="D286" s="24">
        <f>'A-14'!E238</f>
        <v>317</v>
      </c>
      <c r="E286" s="24">
        <f>'A-14'!F238</f>
        <v>357</v>
      </c>
      <c r="F286" s="24">
        <f>'A-14'!G238</f>
        <v>172</v>
      </c>
      <c r="G286" s="24">
        <f>'A-14'!H238</f>
        <v>0</v>
      </c>
      <c r="H286" s="24">
        <f>'A-14'!J238</f>
        <v>963</v>
      </c>
    </row>
    <row r="287" spans="1:8" ht="11.25" customHeight="1">
      <c r="A287" s="99">
        <v>2018</v>
      </c>
      <c r="B287" s="24">
        <f>'A-14'!C239</f>
        <v>99</v>
      </c>
      <c r="C287" s="24">
        <f>'A-14'!D239</f>
        <v>255</v>
      </c>
      <c r="D287" s="24">
        <f>'A-14'!E239</f>
        <v>272</v>
      </c>
      <c r="E287" s="24">
        <f>'A-14'!F239</f>
        <v>145</v>
      </c>
      <c r="F287" s="24">
        <f>'A-14'!G239</f>
        <v>110</v>
      </c>
      <c r="G287" s="24">
        <f>'A-14'!H239</f>
        <v>0</v>
      </c>
      <c r="H287" s="24">
        <f>'A-14'!J239</f>
        <v>881</v>
      </c>
    </row>
    <row r="288" spans="1:8" ht="11.25" customHeight="1">
      <c r="A288" s="122">
        <v>2019</v>
      </c>
      <c r="B288" s="24">
        <f>'A-14'!C240</f>
        <v>65</v>
      </c>
      <c r="C288" s="24">
        <f>'A-14'!D240</f>
        <v>72</v>
      </c>
      <c r="D288" s="24">
        <f>'A-14'!E240</f>
        <v>365</v>
      </c>
      <c r="E288" s="24">
        <f>'A-14'!F240</f>
        <v>276</v>
      </c>
      <c r="F288" s="24">
        <f>'A-14'!G240</f>
        <v>120</v>
      </c>
      <c r="G288" s="24">
        <f>'A-14'!H240</f>
        <v>0</v>
      </c>
      <c r="H288" s="24">
        <f>'A-14'!J240</f>
        <v>898</v>
      </c>
    </row>
    <row r="289" spans="1:8" ht="11.25" customHeight="1">
      <c r="A289" s="122">
        <v>2020</v>
      </c>
      <c r="B289" s="24">
        <f>'A-14'!C241</f>
        <v>1</v>
      </c>
      <c r="C289" s="24">
        <f>'A-14'!D241</f>
        <v>2</v>
      </c>
      <c r="D289" s="24">
        <f>'A-14'!E241</f>
        <v>29</v>
      </c>
      <c r="E289" s="24">
        <f>'A-14'!F241</f>
        <v>122</v>
      </c>
      <c r="F289" s="24">
        <f>'A-14'!G241</f>
        <v>31</v>
      </c>
      <c r="G289" s="24">
        <f>'A-14'!H241</f>
        <v>0</v>
      </c>
      <c r="H289" s="24">
        <f>'A-14'!J241</f>
        <v>185</v>
      </c>
    </row>
    <row r="290" spans="1:8" ht="11.25" customHeight="1">
      <c r="A290" s="122" t="s">
        <v>317</v>
      </c>
      <c r="B290" s="24">
        <f>'A-14'!C242</f>
        <v>28</v>
      </c>
      <c r="C290" s="24">
        <f>'A-14'!D242</f>
        <v>100</v>
      </c>
      <c r="D290" s="24">
        <f>'A-14'!E242</f>
        <v>135</v>
      </c>
      <c r="E290" s="24">
        <f>'A-14'!F242</f>
        <v>101</v>
      </c>
      <c r="F290" s="24">
        <f>'A-14'!G242</f>
        <v>76</v>
      </c>
      <c r="G290" s="24">
        <f>'A-14'!H242</f>
        <v>0</v>
      </c>
      <c r="H290" s="24">
        <f>'A-14'!J242</f>
        <v>440</v>
      </c>
    </row>
    <row r="291" spans="1:8" ht="11.25" customHeight="1"/>
    <row r="292" spans="1:8" ht="11.25" customHeight="1">
      <c r="A292" s="97" t="s">
        <v>232</v>
      </c>
    </row>
    <row r="293" spans="1:8" ht="11.25" customHeight="1">
      <c r="A293" s="99">
        <v>1976</v>
      </c>
      <c r="B293" s="24">
        <f t="shared" ref="B293:H302" si="30">IF(AND(B245="-",B197="-"),"-",SUM(B245,B197))</f>
        <v>4822</v>
      </c>
      <c r="C293" s="24">
        <f t="shared" si="30"/>
        <v>8626</v>
      </c>
      <c r="D293" s="24">
        <f t="shared" si="30"/>
        <v>19561</v>
      </c>
      <c r="E293" s="24">
        <f t="shared" si="30"/>
        <v>18074</v>
      </c>
      <c r="F293" s="24">
        <f t="shared" si="30"/>
        <v>12643</v>
      </c>
      <c r="G293" s="24">
        <f t="shared" si="30"/>
        <v>128</v>
      </c>
      <c r="H293" s="24">
        <f t="shared" si="30"/>
        <v>63847</v>
      </c>
    </row>
    <row r="294" spans="1:8" ht="11.25" customHeight="1">
      <c r="A294" s="99">
        <v>1977</v>
      </c>
      <c r="B294" s="24">
        <f t="shared" si="30"/>
        <v>4856</v>
      </c>
      <c r="C294" s="24">
        <f t="shared" si="30"/>
        <v>3736</v>
      </c>
      <c r="D294" s="24">
        <f t="shared" si="30"/>
        <v>21760</v>
      </c>
      <c r="E294" s="24">
        <f t="shared" si="30"/>
        <v>16321</v>
      </c>
      <c r="F294" s="24">
        <f t="shared" si="30"/>
        <v>10083</v>
      </c>
      <c r="G294" s="24">
        <f t="shared" si="30"/>
        <v>92</v>
      </c>
      <c r="H294" s="24">
        <f t="shared" si="30"/>
        <v>56846</v>
      </c>
    </row>
    <row r="295" spans="1:8" ht="11.25" customHeight="1">
      <c r="A295" s="99">
        <v>1978</v>
      </c>
      <c r="B295" s="24">
        <f t="shared" si="30"/>
        <v>3014</v>
      </c>
      <c r="C295" s="24">
        <f t="shared" si="30"/>
        <v>3204</v>
      </c>
      <c r="D295" s="24">
        <f t="shared" si="30"/>
        <v>15597</v>
      </c>
      <c r="E295" s="24">
        <f t="shared" si="30"/>
        <v>11319</v>
      </c>
      <c r="F295" s="24">
        <f t="shared" si="30"/>
        <v>8836</v>
      </c>
      <c r="G295" s="24">
        <f t="shared" si="30"/>
        <v>64</v>
      </c>
      <c r="H295" s="24">
        <f t="shared" si="30"/>
        <v>42028</v>
      </c>
    </row>
    <row r="296" spans="1:8" ht="11.25" customHeight="1">
      <c r="A296" s="99">
        <v>1979</v>
      </c>
      <c r="B296" s="24">
        <f t="shared" si="30"/>
        <v>4813</v>
      </c>
      <c r="C296" s="24">
        <f t="shared" si="30"/>
        <v>278</v>
      </c>
      <c r="D296" s="24">
        <f t="shared" si="30"/>
        <v>15895</v>
      </c>
      <c r="E296" s="24">
        <f t="shared" si="30"/>
        <v>22120</v>
      </c>
      <c r="F296" s="24">
        <f t="shared" si="30"/>
        <v>221</v>
      </c>
      <c r="G296" s="24">
        <f t="shared" si="30"/>
        <v>9</v>
      </c>
      <c r="H296" s="24">
        <f t="shared" si="30"/>
        <v>43328</v>
      </c>
    </row>
    <row r="297" spans="1:8" ht="11.25" customHeight="1">
      <c r="A297" s="99">
        <v>1980</v>
      </c>
      <c r="B297" s="24">
        <f t="shared" si="30"/>
        <v>4710</v>
      </c>
      <c r="C297" s="24">
        <f t="shared" si="30"/>
        <v>340</v>
      </c>
      <c r="D297" s="24">
        <f t="shared" si="30"/>
        <v>9623</v>
      </c>
      <c r="E297" s="24">
        <f t="shared" si="30"/>
        <v>11918</v>
      </c>
      <c r="F297" s="24">
        <f t="shared" si="30"/>
        <v>660</v>
      </c>
      <c r="G297" s="24">
        <f t="shared" si="30"/>
        <v>17</v>
      </c>
      <c r="H297" s="24">
        <f t="shared" si="30"/>
        <v>27259</v>
      </c>
    </row>
    <row r="298" spans="1:8" ht="11.25" customHeight="1">
      <c r="A298" s="99">
        <v>1981</v>
      </c>
      <c r="B298" s="24">
        <f t="shared" si="30"/>
        <v>5598</v>
      </c>
      <c r="C298" s="24">
        <f t="shared" si="30"/>
        <v>363</v>
      </c>
      <c r="D298" s="24">
        <f t="shared" si="30"/>
        <v>11487</v>
      </c>
      <c r="E298" s="24">
        <f t="shared" si="30"/>
        <v>11295</v>
      </c>
      <c r="F298" s="24">
        <f t="shared" si="30"/>
        <v>112</v>
      </c>
      <c r="G298" s="24">
        <f t="shared" si="30"/>
        <v>8</v>
      </c>
      <c r="H298" s="24">
        <f t="shared" si="30"/>
        <v>28856</v>
      </c>
    </row>
    <row r="299" spans="1:8" ht="11.25" customHeight="1">
      <c r="A299" s="99">
        <v>1982</v>
      </c>
      <c r="B299" s="24">
        <f t="shared" si="30"/>
        <v>4733</v>
      </c>
      <c r="C299" s="24">
        <f t="shared" si="30"/>
        <v>855</v>
      </c>
      <c r="D299" s="24">
        <f t="shared" si="30"/>
        <v>11630</v>
      </c>
      <c r="E299" s="24">
        <f t="shared" si="30"/>
        <v>732</v>
      </c>
      <c r="F299" s="24">
        <f t="shared" si="30"/>
        <v>234</v>
      </c>
      <c r="G299" s="24">
        <f t="shared" si="30"/>
        <v>26</v>
      </c>
      <c r="H299" s="24">
        <f t="shared" si="30"/>
        <v>18184</v>
      </c>
    </row>
    <row r="300" spans="1:8" ht="11.25" customHeight="1">
      <c r="A300" s="99">
        <v>1983</v>
      </c>
      <c r="B300" s="24">
        <f t="shared" si="30"/>
        <v>4606</v>
      </c>
      <c r="C300" s="24">
        <f t="shared" si="30"/>
        <v>871</v>
      </c>
      <c r="D300" s="24">
        <f t="shared" si="30"/>
        <v>3187</v>
      </c>
      <c r="E300" s="24">
        <f t="shared" si="30"/>
        <v>2568</v>
      </c>
      <c r="F300" s="24">
        <f t="shared" si="30"/>
        <v>914</v>
      </c>
      <c r="G300" s="24">
        <f t="shared" si="30"/>
        <v>10</v>
      </c>
      <c r="H300" s="24">
        <f t="shared" si="30"/>
        <v>12146</v>
      </c>
    </row>
    <row r="301" spans="1:8" ht="11.25" customHeight="1">
      <c r="A301" s="99">
        <v>1984</v>
      </c>
      <c r="B301" s="24">
        <f t="shared" si="30"/>
        <v>721</v>
      </c>
      <c r="C301" s="24">
        <f t="shared" si="30"/>
        <v>39</v>
      </c>
      <c r="D301" s="24">
        <f t="shared" si="30"/>
        <v>145</v>
      </c>
      <c r="E301" s="24">
        <f t="shared" si="30"/>
        <v>1127</v>
      </c>
      <c r="F301" s="24">
        <f t="shared" si="30"/>
        <v>0</v>
      </c>
      <c r="G301" s="24">
        <f t="shared" si="30"/>
        <v>19</v>
      </c>
      <c r="H301" s="24">
        <f t="shared" si="30"/>
        <v>2032</v>
      </c>
    </row>
    <row r="302" spans="1:8" ht="11.25" customHeight="1">
      <c r="A302" s="99">
        <v>1985</v>
      </c>
      <c r="B302" s="24">
        <f t="shared" si="30"/>
        <v>3081</v>
      </c>
      <c r="C302" s="24">
        <f t="shared" si="30"/>
        <v>101</v>
      </c>
      <c r="D302" s="24">
        <f t="shared" si="30"/>
        <v>2458</v>
      </c>
      <c r="E302" s="24">
        <f t="shared" si="30"/>
        <v>2314</v>
      </c>
      <c r="F302" s="24">
        <f t="shared" si="30"/>
        <v>217</v>
      </c>
      <c r="G302" s="24">
        <f t="shared" si="30"/>
        <v>24</v>
      </c>
      <c r="H302" s="24">
        <f t="shared" si="30"/>
        <v>8172</v>
      </c>
    </row>
    <row r="303" spans="1:8" ht="11.25" customHeight="1">
      <c r="A303" s="99">
        <v>1986</v>
      </c>
      <c r="B303" s="24">
        <f t="shared" ref="B303:H312" si="31">IF(AND(B255="-",B207="-"),"-",SUM(B255,B207))</f>
        <v>2788</v>
      </c>
      <c r="C303" s="24">
        <f t="shared" si="31"/>
        <v>349</v>
      </c>
      <c r="D303" s="24">
        <f t="shared" si="31"/>
        <v>453</v>
      </c>
      <c r="E303" s="24">
        <f t="shared" si="31"/>
        <v>2853</v>
      </c>
      <c r="F303" s="24">
        <f t="shared" si="31"/>
        <v>1</v>
      </c>
      <c r="G303" s="24">
        <f t="shared" si="31"/>
        <v>0</v>
      </c>
      <c r="H303" s="24">
        <f t="shared" si="31"/>
        <v>6444</v>
      </c>
    </row>
    <row r="304" spans="1:8" ht="11.25" customHeight="1">
      <c r="A304" s="99">
        <v>1987</v>
      </c>
      <c r="B304" s="24">
        <f t="shared" si="31"/>
        <v>2229</v>
      </c>
      <c r="C304" s="24">
        <f t="shared" si="31"/>
        <v>0</v>
      </c>
      <c r="D304" s="24">
        <f t="shared" si="31"/>
        <v>1782</v>
      </c>
      <c r="E304" s="24">
        <f t="shared" si="31"/>
        <v>627</v>
      </c>
      <c r="F304" s="24">
        <f t="shared" si="31"/>
        <v>0</v>
      </c>
      <c r="G304" s="24">
        <f t="shared" si="31"/>
        <v>6</v>
      </c>
      <c r="H304" s="24">
        <f t="shared" si="31"/>
        <v>4638</v>
      </c>
    </row>
    <row r="305" spans="1:8" ht="11.25" customHeight="1">
      <c r="A305" s="99">
        <v>1988</v>
      </c>
      <c r="B305" s="24">
        <f t="shared" si="31"/>
        <v>3905</v>
      </c>
      <c r="C305" s="24">
        <f t="shared" si="31"/>
        <v>2405</v>
      </c>
      <c r="D305" s="24">
        <f t="shared" si="31"/>
        <v>342</v>
      </c>
      <c r="E305" s="24">
        <f t="shared" si="31"/>
        <v>542</v>
      </c>
      <c r="F305" s="24">
        <f t="shared" si="31"/>
        <v>190</v>
      </c>
      <c r="G305" s="24">
        <f t="shared" si="31"/>
        <v>0</v>
      </c>
      <c r="H305" s="24">
        <f t="shared" si="31"/>
        <v>7384</v>
      </c>
    </row>
    <row r="306" spans="1:8" ht="11.25" customHeight="1">
      <c r="A306" s="99">
        <v>1989</v>
      </c>
      <c r="B306" s="24">
        <f t="shared" si="31"/>
        <v>2466</v>
      </c>
      <c r="C306" s="24">
        <f t="shared" si="31"/>
        <v>1281</v>
      </c>
      <c r="D306" s="24">
        <f t="shared" si="31"/>
        <v>558</v>
      </c>
      <c r="E306" s="24">
        <f t="shared" si="31"/>
        <v>2209</v>
      </c>
      <c r="F306" s="24">
        <f t="shared" si="31"/>
        <v>1072</v>
      </c>
      <c r="G306" s="24">
        <f t="shared" si="31"/>
        <v>0</v>
      </c>
      <c r="H306" s="24">
        <f t="shared" si="31"/>
        <v>7586</v>
      </c>
    </row>
    <row r="307" spans="1:8" ht="11.25" customHeight="1">
      <c r="A307" s="99">
        <v>1990</v>
      </c>
      <c r="B307" s="24">
        <f t="shared" si="31"/>
        <v>2293</v>
      </c>
      <c r="C307" s="24">
        <f t="shared" si="31"/>
        <v>384</v>
      </c>
      <c r="D307" s="24">
        <f t="shared" si="31"/>
        <v>375</v>
      </c>
      <c r="E307" s="24">
        <f t="shared" si="31"/>
        <v>3305</v>
      </c>
      <c r="F307" s="24">
        <f t="shared" si="31"/>
        <v>1255</v>
      </c>
      <c r="G307" s="24">
        <f t="shared" si="31"/>
        <v>24</v>
      </c>
      <c r="H307" s="24">
        <f t="shared" si="31"/>
        <v>7634</v>
      </c>
    </row>
    <row r="308" spans="1:8" ht="11.25" customHeight="1">
      <c r="A308" s="99">
        <v>1991</v>
      </c>
      <c r="B308" s="24">
        <f t="shared" si="31"/>
        <v>1950</v>
      </c>
      <c r="C308" s="24">
        <f t="shared" si="31"/>
        <v>1112</v>
      </c>
      <c r="D308" s="24">
        <f t="shared" si="31"/>
        <v>335</v>
      </c>
      <c r="E308" s="24">
        <f t="shared" si="31"/>
        <v>2625</v>
      </c>
      <c r="F308" s="24">
        <f t="shared" si="31"/>
        <v>657</v>
      </c>
      <c r="G308" s="24">
        <f t="shared" si="31"/>
        <v>50</v>
      </c>
      <c r="H308" s="24">
        <f t="shared" si="31"/>
        <v>6679</v>
      </c>
    </row>
    <row r="309" spans="1:8" ht="11.25" customHeight="1">
      <c r="A309" s="99">
        <v>1992</v>
      </c>
      <c r="B309" s="24">
        <f t="shared" si="31"/>
        <v>2168</v>
      </c>
      <c r="C309" s="24">
        <f t="shared" si="31"/>
        <v>1452</v>
      </c>
      <c r="D309" s="24">
        <f t="shared" si="31"/>
        <v>1228</v>
      </c>
      <c r="E309" s="24">
        <f t="shared" si="31"/>
        <v>903</v>
      </c>
      <c r="F309" s="24">
        <f t="shared" si="31"/>
        <v>0</v>
      </c>
      <c r="G309" s="24">
        <f t="shared" si="31"/>
        <v>1</v>
      </c>
      <c r="H309" s="24">
        <f t="shared" si="31"/>
        <v>5751</v>
      </c>
    </row>
    <row r="310" spans="1:8" ht="11.25" customHeight="1">
      <c r="A310" s="99">
        <v>1993</v>
      </c>
      <c r="B310" s="24">
        <f t="shared" si="31"/>
        <v>1383</v>
      </c>
      <c r="C310" s="24">
        <f t="shared" si="31"/>
        <v>1041</v>
      </c>
      <c r="D310" s="24">
        <f t="shared" si="31"/>
        <v>1120</v>
      </c>
      <c r="E310" s="24">
        <f t="shared" si="31"/>
        <v>833</v>
      </c>
      <c r="F310" s="24">
        <f t="shared" si="31"/>
        <v>727</v>
      </c>
      <c r="G310" s="24">
        <f t="shared" si="31"/>
        <v>0</v>
      </c>
      <c r="H310" s="24">
        <f t="shared" si="31"/>
        <v>5104</v>
      </c>
    </row>
    <row r="311" spans="1:8" ht="11.25" customHeight="1">
      <c r="A311" s="99">
        <v>1994</v>
      </c>
      <c r="B311" s="24">
        <f t="shared" si="31"/>
        <v>28</v>
      </c>
      <c r="C311" s="24">
        <f t="shared" si="31"/>
        <v>70</v>
      </c>
      <c r="D311" s="24">
        <f t="shared" si="31"/>
        <v>3</v>
      </c>
      <c r="E311" s="24">
        <f t="shared" si="31"/>
        <v>0</v>
      </c>
      <c r="F311" s="24">
        <f t="shared" si="31"/>
        <v>0</v>
      </c>
      <c r="G311" s="24">
        <f t="shared" si="31"/>
        <v>0</v>
      </c>
      <c r="H311" s="24">
        <f t="shared" si="31"/>
        <v>101</v>
      </c>
    </row>
    <row r="312" spans="1:8" ht="11.25" customHeight="1">
      <c r="A312" s="99">
        <v>1995</v>
      </c>
      <c r="B312" s="24">
        <f t="shared" si="31"/>
        <v>10</v>
      </c>
      <c r="C312" s="24">
        <f t="shared" si="31"/>
        <v>0</v>
      </c>
      <c r="D312" s="24">
        <f t="shared" si="31"/>
        <v>1</v>
      </c>
      <c r="E312" s="24">
        <f t="shared" si="31"/>
        <v>710</v>
      </c>
      <c r="F312" s="24">
        <f t="shared" si="31"/>
        <v>74</v>
      </c>
      <c r="G312" s="24">
        <f t="shared" si="31"/>
        <v>0</v>
      </c>
      <c r="H312" s="24">
        <f t="shared" si="31"/>
        <v>795</v>
      </c>
    </row>
    <row r="313" spans="1:8" ht="11.25" customHeight="1">
      <c r="A313" s="99">
        <v>1996</v>
      </c>
      <c r="B313" s="24">
        <f t="shared" ref="B313:H319" si="32">IF(AND(B265="-",B217="-"),"-",SUM(B265,B217))</f>
        <v>13</v>
      </c>
      <c r="C313" s="24">
        <f t="shared" si="32"/>
        <v>34</v>
      </c>
      <c r="D313" s="24">
        <f t="shared" si="32"/>
        <v>223</v>
      </c>
      <c r="E313" s="24">
        <f t="shared" si="32"/>
        <v>333</v>
      </c>
      <c r="F313" s="24">
        <f t="shared" si="32"/>
        <v>90</v>
      </c>
      <c r="G313" s="24" t="str">
        <f t="shared" si="32"/>
        <v>-</v>
      </c>
      <c r="H313" s="24">
        <f t="shared" si="32"/>
        <v>693</v>
      </c>
    </row>
    <row r="314" spans="1:8" ht="11.25" customHeight="1">
      <c r="A314" s="99">
        <v>1997</v>
      </c>
      <c r="B314" s="24">
        <f t="shared" si="32"/>
        <v>325</v>
      </c>
      <c r="C314" s="24">
        <f t="shared" si="32"/>
        <v>208</v>
      </c>
      <c r="D314" s="24">
        <f t="shared" si="32"/>
        <v>0</v>
      </c>
      <c r="E314" s="24">
        <f t="shared" si="32"/>
        <v>164</v>
      </c>
      <c r="F314" s="24">
        <f t="shared" si="32"/>
        <v>62</v>
      </c>
      <c r="G314" s="24" t="str">
        <f t="shared" si="32"/>
        <v>-</v>
      </c>
      <c r="H314" s="24">
        <f t="shared" si="32"/>
        <v>759</v>
      </c>
    </row>
    <row r="315" spans="1:8" ht="11.25" customHeight="1">
      <c r="A315" s="99">
        <v>1998</v>
      </c>
      <c r="B315" s="24">
        <f t="shared" si="32"/>
        <v>160</v>
      </c>
      <c r="C315" s="24">
        <f t="shared" si="32"/>
        <v>31</v>
      </c>
      <c r="D315" s="24">
        <f t="shared" si="32"/>
        <v>3</v>
      </c>
      <c r="E315" s="24">
        <f t="shared" si="32"/>
        <v>41</v>
      </c>
      <c r="F315" s="24">
        <f t="shared" si="32"/>
        <v>43</v>
      </c>
      <c r="G315" s="24" t="str">
        <f t="shared" si="32"/>
        <v>-</v>
      </c>
      <c r="H315" s="24">
        <f t="shared" si="32"/>
        <v>278</v>
      </c>
    </row>
    <row r="316" spans="1:8" ht="11.25" customHeight="1">
      <c r="A316" s="99">
        <v>1999</v>
      </c>
      <c r="B316" s="24">
        <f t="shared" si="32"/>
        <v>314</v>
      </c>
      <c r="C316" s="24">
        <f t="shared" si="32"/>
        <v>278</v>
      </c>
      <c r="D316" s="24">
        <f t="shared" si="32"/>
        <v>140</v>
      </c>
      <c r="E316" s="24">
        <f t="shared" si="32"/>
        <v>203</v>
      </c>
      <c r="F316" s="24">
        <f t="shared" si="32"/>
        <v>77</v>
      </c>
      <c r="G316" s="24" t="str">
        <f t="shared" si="32"/>
        <v>-</v>
      </c>
      <c r="H316" s="24">
        <f t="shared" si="32"/>
        <v>1012</v>
      </c>
    </row>
    <row r="317" spans="1:8" ht="11.25" customHeight="1">
      <c r="A317" s="99">
        <v>2000</v>
      </c>
      <c r="B317" s="24">
        <f t="shared" si="32"/>
        <v>237</v>
      </c>
      <c r="C317" s="24">
        <f t="shared" si="32"/>
        <v>142</v>
      </c>
      <c r="D317" s="24">
        <f t="shared" si="32"/>
        <v>5</v>
      </c>
      <c r="E317" s="24">
        <f t="shared" si="32"/>
        <v>420</v>
      </c>
      <c r="F317" s="24">
        <f t="shared" si="32"/>
        <v>32</v>
      </c>
      <c r="G317" s="24" t="str">
        <f t="shared" si="32"/>
        <v>-</v>
      </c>
      <c r="H317" s="24">
        <f t="shared" si="32"/>
        <v>836</v>
      </c>
    </row>
    <row r="318" spans="1:8" ht="11.25" customHeight="1">
      <c r="A318" s="99">
        <v>2001</v>
      </c>
      <c r="B318" s="24">
        <f t="shared" si="32"/>
        <v>291</v>
      </c>
      <c r="C318" s="24">
        <f t="shared" si="32"/>
        <v>304</v>
      </c>
      <c r="D318" s="24">
        <f t="shared" si="32"/>
        <v>378</v>
      </c>
      <c r="E318" s="24">
        <f t="shared" si="32"/>
        <v>368</v>
      </c>
      <c r="F318" s="24">
        <f t="shared" si="32"/>
        <v>181</v>
      </c>
      <c r="G318" s="24" t="str">
        <f t="shared" si="32"/>
        <v>-</v>
      </c>
      <c r="H318" s="24">
        <f t="shared" si="32"/>
        <v>1522</v>
      </c>
    </row>
    <row r="319" spans="1:8" ht="11.25" customHeight="1">
      <c r="A319" s="99">
        <v>2002</v>
      </c>
      <c r="B319" s="24">
        <f t="shared" si="32"/>
        <v>499</v>
      </c>
      <c r="C319" s="24">
        <f t="shared" si="32"/>
        <v>282</v>
      </c>
      <c r="D319" s="24">
        <f t="shared" si="32"/>
        <v>663</v>
      </c>
      <c r="E319" s="24">
        <f t="shared" si="32"/>
        <v>509</v>
      </c>
      <c r="F319" s="24">
        <f t="shared" si="32"/>
        <v>41</v>
      </c>
      <c r="G319" s="24">
        <f t="shared" si="32"/>
        <v>10</v>
      </c>
      <c r="H319" s="24">
        <f t="shared" si="32"/>
        <v>1994</v>
      </c>
    </row>
    <row r="320" spans="1:8" ht="11.25" customHeight="1">
      <c r="A320" s="99">
        <v>2003</v>
      </c>
      <c r="B320" s="24">
        <f t="shared" ref="B320:H320" si="33">IF(AND(B272="-",B224="-"),"-",SUM(B272,B224))</f>
        <v>558</v>
      </c>
      <c r="C320" s="24">
        <f t="shared" si="33"/>
        <v>246</v>
      </c>
      <c r="D320" s="24">
        <f t="shared" si="33"/>
        <v>691</v>
      </c>
      <c r="E320" s="24">
        <f t="shared" si="33"/>
        <v>647</v>
      </c>
      <c r="F320" s="24">
        <f t="shared" si="33"/>
        <v>185</v>
      </c>
      <c r="G320" s="24">
        <f t="shared" si="33"/>
        <v>15</v>
      </c>
      <c r="H320" s="24">
        <f t="shared" si="33"/>
        <v>2327</v>
      </c>
    </row>
    <row r="321" spans="1:8" ht="11.25" customHeight="1">
      <c r="A321" s="99">
        <v>2004</v>
      </c>
      <c r="B321" s="24">
        <f t="shared" ref="B321:H321" si="34">IF(AND(B273="-",B225="-"),"-",SUM(B273,B225))</f>
        <v>538</v>
      </c>
      <c r="C321" s="24">
        <f t="shared" si="34"/>
        <v>63</v>
      </c>
      <c r="D321" s="24">
        <f t="shared" si="34"/>
        <v>601</v>
      </c>
      <c r="E321" s="24">
        <f t="shared" si="34"/>
        <v>600</v>
      </c>
      <c r="F321" s="24">
        <f t="shared" si="34"/>
        <v>357</v>
      </c>
      <c r="G321" s="24">
        <f t="shared" si="34"/>
        <v>15</v>
      </c>
      <c r="H321" s="24">
        <f t="shared" si="34"/>
        <v>2159</v>
      </c>
    </row>
    <row r="322" spans="1:8" ht="11.25" customHeight="1">
      <c r="A322" s="99">
        <v>2005</v>
      </c>
      <c r="B322" s="24">
        <f t="shared" ref="B322:H322" si="35">IF(AND(B274="-",B226="-"),"-",SUM(B274,B226))</f>
        <v>820</v>
      </c>
      <c r="C322" s="24">
        <f t="shared" si="35"/>
        <v>301</v>
      </c>
      <c r="D322" s="24">
        <f t="shared" si="35"/>
        <v>518</v>
      </c>
      <c r="E322" s="24">
        <f t="shared" si="35"/>
        <v>835</v>
      </c>
      <c r="F322" s="24">
        <f t="shared" si="35"/>
        <v>77</v>
      </c>
      <c r="G322" s="24">
        <f t="shared" si="35"/>
        <v>0</v>
      </c>
      <c r="H322" s="24">
        <f t="shared" si="35"/>
        <v>2551</v>
      </c>
    </row>
    <row r="323" spans="1:8" ht="11.25" customHeight="1">
      <c r="A323" s="99">
        <v>2006</v>
      </c>
      <c r="B323" s="24">
        <f t="shared" ref="B323:H323" si="36">IF(AND(B275="-",B227="-"),"-",SUM(B275,B227))</f>
        <v>1042</v>
      </c>
      <c r="C323" s="24">
        <f t="shared" si="36"/>
        <v>1016</v>
      </c>
      <c r="D323" s="24">
        <f t="shared" si="36"/>
        <v>267</v>
      </c>
      <c r="E323" s="24">
        <f t="shared" si="36"/>
        <v>517</v>
      </c>
      <c r="F323" s="24">
        <f t="shared" si="36"/>
        <v>385</v>
      </c>
      <c r="G323" s="24">
        <f t="shared" si="36"/>
        <v>5</v>
      </c>
      <c r="H323" s="24">
        <f t="shared" si="36"/>
        <v>3227</v>
      </c>
    </row>
    <row r="324" spans="1:8" ht="11.25" customHeight="1">
      <c r="A324" s="99">
        <v>2007</v>
      </c>
      <c r="B324" s="24">
        <f t="shared" ref="B324:H324" si="37">IF(AND(B276="-",B228="-"),"-",SUM(B276,B228))</f>
        <v>566</v>
      </c>
      <c r="C324" s="24">
        <f t="shared" si="37"/>
        <v>531</v>
      </c>
      <c r="D324" s="24">
        <f t="shared" si="37"/>
        <v>593</v>
      </c>
      <c r="E324" s="24">
        <f t="shared" si="37"/>
        <v>465</v>
      </c>
      <c r="F324" s="24">
        <f t="shared" si="37"/>
        <v>39</v>
      </c>
      <c r="G324" s="24">
        <f t="shared" si="37"/>
        <v>0</v>
      </c>
      <c r="H324" s="24">
        <f t="shared" si="37"/>
        <v>2194</v>
      </c>
    </row>
    <row r="325" spans="1:8" ht="11.25" customHeight="1">
      <c r="A325" s="99">
        <v>2008</v>
      </c>
      <c r="B325" s="24">
        <f t="shared" ref="B325:H325" si="38">IF(AND(B277="-",B229="-"),"-",SUM(B277,B229))</f>
        <v>582</v>
      </c>
      <c r="C325" s="24">
        <f t="shared" si="38"/>
        <v>840</v>
      </c>
      <c r="D325" s="24">
        <f t="shared" si="38"/>
        <v>361</v>
      </c>
      <c r="E325" s="24">
        <f t="shared" si="38"/>
        <v>510</v>
      </c>
      <c r="F325" s="24">
        <f t="shared" si="38"/>
        <v>165</v>
      </c>
      <c r="G325" s="24">
        <f t="shared" si="38"/>
        <v>1</v>
      </c>
      <c r="H325" s="24">
        <f t="shared" si="38"/>
        <v>2458</v>
      </c>
    </row>
    <row r="326" spans="1:8" ht="11.25" customHeight="1">
      <c r="A326" s="99">
        <v>2009</v>
      </c>
      <c r="B326" s="24">
        <f t="shared" ref="B326:H326" si="39">IF(AND(B278="-",B230="-"),"-",SUM(B278,B230))</f>
        <v>628</v>
      </c>
      <c r="C326" s="24">
        <f t="shared" si="39"/>
        <v>887</v>
      </c>
      <c r="D326" s="24">
        <f t="shared" si="39"/>
        <v>924</v>
      </c>
      <c r="E326" s="24">
        <f t="shared" si="39"/>
        <v>767</v>
      </c>
      <c r="F326" s="24">
        <f t="shared" si="39"/>
        <v>152</v>
      </c>
      <c r="G326" s="24">
        <f t="shared" si="39"/>
        <v>4</v>
      </c>
      <c r="H326" s="24">
        <f t="shared" si="39"/>
        <v>3358</v>
      </c>
    </row>
    <row r="327" spans="1:8" ht="11.25" customHeight="1">
      <c r="A327" s="99">
        <v>2010</v>
      </c>
      <c r="B327" s="24">
        <f t="shared" ref="B327:H327" si="40">IF(AND(B279="-",B231="-"),"-",SUM(B279,B231))</f>
        <v>757</v>
      </c>
      <c r="C327" s="24">
        <f t="shared" si="40"/>
        <v>1503</v>
      </c>
      <c r="D327" s="24">
        <f t="shared" si="40"/>
        <v>820</v>
      </c>
      <c r="E327" s="24">
        <f t="shared" si="40"/>
        <v>714</v>
      </c>
      <c r="F327" s="24">
        <f t="shared" si="40"/>
        <v>131</v>
      </c>
      <c r="G327" s="24">
        <f t="shared" si="40"/>
        <v>4</v>
      </c>
      <c r="H327" s="24">
        <f t="shared" si="40"/>
        <v>3925</v>
      </c>
    </row>
    <row r="328" spans="1:8" ht="11.25" customHeight="1">
      <c r="A328" s="99">
        <v>2011</v>
      </c>
      <c r="B328" s="24">
        <f t="shared" ref="B328:H328" si="41">IF(AND(B280="-",B232="-"),"-",SUM(B280,B232))</f>
        <v>825</v>
      </c>
      <c r="C328" s="24">
        <f t="shared" si="41"/>
        <v>1015</v>
      </c>
      <c r="D328" s="24">
        <f t="shared" si="41"/>
        <v>642</v>
      </c>
      <c r="E328" s="24">
        <f t="shared" si="41"/>
        <v>375</v>
      </c>
      <c r="F328" s="24">
        <f t="shared" si="41"/>
        <v>96</v>
      </c>
      <c r="G328" s="24">
        <f t="shared" si="41"/>
        <v>1</v>
      </c>
      <c r="H328" s="24">
        <f t="shared" si="41"/>
        <v>2953</v>
      </c>
    </row>
    <row r="329" spans="1:8" ht="11.25" customHeight="1">
      <c r="A329" s="99">
        <v>2012</v>
      </c>
      <c r="B329" s="24">
        <f t="shared" ref="B329:H329" si="42">IF(AND(B281="-",B233="-"),"-",SUM(B281,B233))</f>
        <v>571</v>
      </c>
      <c r="C329" s="24">
        <f t="shared" si="42"/>
        <v>1201</v>
      </c>
      <c r="D329" s="24">
        <f t="shared" si="42"/>
        <v>717</v>
      </c>
      <c r="E329" s="24">
        <f t="shared" si="42"/>
        <v>562</v>
      </c>
      <c r="F329" s="24">
        <f t="shared" si="42"/>
        <v>385</v>
      </c>
      <c r="G329" s="24">
        <f t="shared" si="42"/>
        <v>4</v>
      </c>
      <c r="H329" s="24">
        <f t="shared" si="42"/>
        <v>3436</v>
      </c>
    </row>
    <row r="330" spans="1:8" ht="11.25" customHeight="1">
      <c r="A330" s="99">
        <v>2013</v>
      </c>
      <c r="B330" s="24">
        <f t="shared" ref="B330:H336" si="43">IF(AND(B282="-",B234="-"),"-",SUM(B282,B234))</f>
        <v>1111</v>
      </c>
      <c r="C330" s="24">
        <f t="shared" si="43"/>
        <v>874</v>
      </c>
      <c r="D330" s="24">
        <f t="shared" si="43"/>
        <v>887</v>
      </c>
      <c r="E330" s="24">
        <f t="shared" si="43"/>
        <v>1044</v>
      </c>
      <c r="F330" s="24">
        <f t="shared" si="43"/>
        <v>275</v>
      </c>
      <c r="G330" s="24">
        <f t="shared" si="43"/>
        <v>0</v>
      </c>
      <c r="H330" s="24">
        <f t="shared" si="43"/>
        <v>4191</v>
      </c>
    </row>
    <row r="331" spans="1:8" ht="11.25" customHeight="1">
      <c r="A331" s="99">
        <v>2014</v>
      </c>
      <c r="B331" s="24">
        <f t="shared" si="43"/>
        <v>1490</v>
      </c>
      <c r="C331" s="24">
        <f t="shared" si="43"/>
        <v>611</v>
      </c>
      <c r="D331" s="24">
        <f t="shared" si="43"/>
        <v>1065</v>
      </c>
      <c r="E331" s="24">
        <f t="shared" si="43"/>
        <v>856</v>
      </c>
      <c r="F331" s="24">
        <f t="shared" si="43"/>
        <v>343</v>
      </c>
      <c r="G331" s="24">
        <f t="shared" si="43"/>
        <v>0</v>
      </c>
      <c r="H331" s="24">
        <f t="shared" si="43"/>
        <v>4365</v>
      </c>
    </row>
    <row r="332" spans="1:8" ht="11.25" customHeight="1">
      <c r="A332" s="99">
        <v>2015</v>
      </c>
      <c r="B332" s="24">
        <f t="shared" si="43"/>
        <v>1850</v>
      </c>
      <c r="C332" s="24">
        <f t="shared" si="43"/>
        <v>978</v>
      </c>
      <c r="D332" s="24">
        <f t="shared" si="43"/>
        <v>939</v>
      </c>
      <c r="E332" s="24">
        <f t="shared" si="43"/>
        <v>798</v>
      </c>
      <c r="F332" s="24">
        <f t="shared" si="43"/>
        <v>356</v>
      </c>
      <c r="G332" s="24">
        <f t="shared" si="43"/>
        <v>0</v>
      </c>
      <c r="H332" s="24">
        <f t="shared" si="43"/>
        <v>4921</v>
      </c>
    </row>
    <row r="333" spans="1:8" ht="11.25" customHeight="1">
      <c r="A333" s="99">
        <v>2016</v>
      </c>
      <c r="B333" s="24">
        <f t="shared" si="43"/>
        <v>1000</v>
      </c>
      <c r="C333" s="24">
        <f t="shared" si="43"/>
        <v>722</v>
      </c>
      <c r="D333" s="24">
        <f t="shared" si="43"/>
        <v>440</v>
      </c>
      <c r="E333" s="24">
        <f t="shared" si="43"/>
        <v>359</v>
      </c>
      <c r="F333" s="24">
        <f t="shared" si="43"/>
        <v>2</v>
      </c>
      <c r="G333" s="24">
        <f t="shared" si="43"/>
        <v>0</v>
      </c>
      <c r="H333" s="24">
        <f t="shared" si="43"/>
        <v>2523</v>
      </c>
    </row>
    <row r="334" spans="1:8" ht="11.25" customHeight="1">
      <c r="A334" s="99">
        <v>2017</v>
      </c>
      <c r="B334" s="24">
        <f t="shared" si="43"/>
        <v>887</v>
      </c>
      <c r="C334" s="24">
        <f t="shared" si="43"/>
        <v>812</v>
      </c>
      <c r="D334" s="24">
        <f t="shared" si="43"/>
        <v>723</v>
      </c>
      <c r="E334" s="24">
        <f t="shared" si="43"/>
        <v>887</v>
      </c>
      <c r="F334" s="24">
        <f t="shared" si="43"/>
        <v>369</v>
      </c>
      <c r="G334" s="24">
        <f t="shared" si="43"/>
        <v>0</v>
      </c>
      <c r="H334" s="24">
        <f t="shared" si="43"/>
        <v>3678</v>
      </c>
    </row>
    <row r="335" spans="1:8" ht="11.25" customHeight="1">
      <c r="A335" s="122">
        <v>2018</v>
      </c>
      <c r="B335" s="24">
        <f t="shared" si="43"/>
        <v>869</v>
      </c>
      <c r="C335" s="24">
        <f t="shared" si="43"/>
        <v>996</v>
      </c>
      <c r="D335" s="24">
        <f t="shared" si="43"/>
        <v>712</v>
      </c>
      <c r="E335" s="24">
        <f t="shared" si="43"/>
        <v>370</v>
      </c>
      <c r="F335" s="24">
        <f t="shared" si="43"/>
        <v>181</v>
      </c>
      <c r="G335" s="24">
        <f t="shared" si="43"/>
        <v>0</v>
      </c>
      <c r="H335" s="24">
        <f t="shared" si="43"/>
        <v>3128</v>
      </c>
    </row>
    <row r="336" spans="1:8" ht="11.25" customHeight="1">
      <c r="A336" s="122">
        <v>2019</v>
      </c>
      <c r="B336" s="24">
        <f t="shared" si="43"/>
        <v>477</v>
      </c>
      <c r="C336" s="24">
        <f t="shared" si="43"/>
        <v>433</v>
      </c>
      <c r="D336" s="24">
        <f t="shared" si="43"/>
        <v>1135</v>
      </c>
      <c r="E336" s="24">
        <f t="shared" si="43"/>
        <v>521</v>
      </c>
      <c r="F336" s="24">
        <f t="shared" si="43"/>
        <v>257</v>
      </c>
      <c r="G336" s="24">
        <f t="shared" si="43"/>
        <v>0</v>
      </c>
      <c r="H336" s="24">
        <f t="shared" si="43"/>
        <v>2823</v>
      </c>
    </row>
    <row r="337" spans="1:8" ht="11.25" customHeight="1">
      <c r="A337" s="122">
        <v>2020</v>
      </c>
      <c r="B337" s="24">
        <f t="shared" ref="B337:H338" si="44">IF(AND(B289="-",B241="-"),"-",SUM(B289,B241))</f>
        <v>108</v>
      </c>
      <c r="C337" s="24">
        <f t="shared" si="44"/>
        <v>175</v>
      </c>
      <c r="D337" s="24">
        <f t="shared" si="44"/>
        <v>513</v>
      </c>
      <c r="E337" s="24">
        <f t="shared" si="44"/>
        <v>372</v>
      </c>
      <c r="F337" s="24">
        <f t="shared" si="44"/>
        <v>58</v>
      </c>
      <c r="G337" s="24">
        <f t="shared" si="44"/>
        <v>0</v>
      </c>
      <c r="H337" s="24">
        <f t="shared" si="44"/>
        <v>1226</v>
      </c>
    </row>
    <row r="338" spans="1:8" ht="11.25" customHeight="1">
      <c r="A338" s="122" t="s">
        <v>317</v>
      </c>
      <c r="B338" s="24">
        <f t="shared" si="44"/>
        <v>287</v>
      </c>
      <c r="C338" s="24">
        <f t="shared" si="44"/>
        <v>576</v>
      </c>
      <c r="D338" s="24">
        <f t="shared" si="44"/>
        <v>652</v>
      </c>
      <c r="E338" s="24">
        <f t="shared" si="44"/>
        <v>355</v>
      </c>
      <c r="F338" s="24">
        <f t="shared" si="44"/>
        <v>210</v>
      </c>
      <c r="G338" s="24">
        <f t="shared" si="44"/>
        <v>0</v>
      </c>
      <c r="H338" s="24">
        <f t="shared" si="44"/>
        <v>2080</v>
      </c>
    </row>
    <row r="339" spans="1:8" ht="11.25" customHeight="1">
      <c r="A339" s="313" t="s">
        <v>88</v>
      </c>
      <c r="B339" s="313"/>
      <c r="C339" s="313"/>
      <c r="D339" s="313"/>
      <c r="E339" s="313"/>
      <c r="F339" s="313"/>
      <c r="G339" s="313"/>
      <c r="H339" s="313"/>
    </row>
    <row r="340" spans="1:8" ht="11.25" customHeight="1">
      <c r="A340" s="314"/>
      <c r="B340" s="314"/>
      <c r="C340" s="314"/>
      <c r="D340" s="314"/>
      <c r="E340" s="314"/>
      <c r="F340" s="314"/>
      <c r="G340" s="314"/>
      <c r="H340" s="314"/>
    </row>
    <row r="341" spans="1:8" ht="11.25" customHeight="1">
      <c r="A341" s="348" t="s">
        <v>42</v>
      </c>
      <c r="B341" s="348"/>
      <c r="C341" s="348"/>
      <c r="D341" s="348"/>
      <c r="E341" s="348"/>
      <c r="F341" s="348"/>
      <c r="G341" s="348"/>
      <c r="H341" s="348"/>
    </row>
    <row r="342" spans="1:8" ht="11.25" customHeight="1">
      <c r="A342" s="314" t="s">
        <v>173</v>
      </c>
      <c r="B342" s="314"/>
      <c r="C342" s="314"/>
      <c r="D342" s="314"/>
      <c r="E342" s="314"/>
      <c r="F342" s="314"/>
      <c r="G342" s="314"/>
      <c r="H342" s="314"/>
    </row>
    <row r="343" spans="1:8" ht="18.75" customHeight="1">
      <c r="A343" s="314"/>
      <c r="B343" s="314"/>
      <c r="C343" s="314"/>
      <c r="D343" s="314"/>
      <c r="E343" s="314"/>
      <c r="F343" s="314"/>
      <c r="G343" s="314"/>
      <c r="H343" s="314"/>
    </row>
    <row r="344" spans="1:8" ht="11.25" customHeight="1"/>
    <row r="345" spans="1:8" ht="11.25" customHeight="1"/>
    <row r="346" spans="1:8" ht="11.25" customHeight="1"/>
    <row r="347" spans="1:8" ht="11.25" customHeight="1"/>
    <row r="348" spans="1:8" ht="11.25" customHeight="1">
      <c r="A348" s="158"/>
      <c r="B348" s="160"/>
      <c r="C348" s="160"/>
      <c r="D348" s="160"/>
      <c r="E348" s="160"/>
      <c r="F348" s="160"/>
      <c r="G348" s="160"/>
      <c r="H348" s="160"/>
    </row>
    <row r="349" spans="1:8" ht="11.25" customHeight="1">
      <c r="A349" s="363" t="s">
        <v>292</v>
      </c>
      <c r="B349" s="363"/>
      <c r="C349" s="363"/>
      <c r="D349" s="363"/>
      <c r="E349" s="363"/>
      <c r="F349" s="363"/>
      <c r="G349" s="363"/>
      <c r="H349" s="363"/>
    </row>
    <row r="350" spans="1:8" ht="11.25" customHeight="1">
      <c r="A350" s="363"/>
      <c r="B350" s="363"/>
      <c r="C350" s="363"/>
      <c r="D350" s="363"/>
      <c r="E350" s="363"/>
      <c r="F350" s="363"/>
      <c r="G350" s="363"/>
      <c r="H350" s="363"/>
    </row>
    <row r="351" spans="1:8" ht="11.25" customHeight="1">
      <c r="A351" s="98" t="s">
        <v>27</v>
      </c>
      <c r="B351" s="196" t="s">
        <v>79</v>
      </c>
      <c r="C351" s="196" t="s">
        <v>80</v>
      </c>
      <c r="D351" s="196" t="s">
        <v>81</v>
      </c>
      <c r="E351" s="196" t="s">
        <v>82</v>
      </c>
      <c r="F351" s="196" t="s">
        <v>83</v>
      </c>
      <c r="G351" s="196" t="s">
        <v>84</v>
      </c>
      <c r="H351" s="196" t="s">
        <v>22</v>
      </c>
    </row>
    <row r="352" spans="1:8" ht="11.25" customHeight="1">
      <c r="A352" s="94" t="s">
        <v>85</v>
      </c>
      <c r="B352" s="24"/>
      <c r="C352" s="24"/>
      <c r="D352" s="24"/>
      <c r="E352" s="24"/>
      <c r="F352" s="24"/>
      <c r="G352" s="24"/>
      <c r="H352" s="18"/>
    </row>
    <row r="353" spans="1:8" ht="11.25" customHeight="1">
      <c r="A353" s="99" t="s">
        <v>24</v>
      </c>
      <c r="B353" s="24">
        <f>AVERAGE(B10:B14)</f>
        <v>2700</v>
      </c>
      <c r="C353" s="24">
        <f>AVERAGE(C10:C14)</f>
        <v>308.75</v>
      </c>
      <c r="D353" s="24">
        <f>AVERAGE(D10:D14)</f>
        <v>5650</v>
      </c>
      <c r="E353" s="24">
        <f>AVERAGE(E10:E14)</f>
        <v>2388</v>
      </c>
      <c r="F353" s="24">
        <f>AVERAGE(F10:F14)</f>
        <v>14</v>
      </c>
      <c r="G353" s="24" t="s">
        <v>23</v>
      </c>
      <c r="H353" s="18">
        <f>AVERAGE(H10:H14)</f>
        <v>9857.7999999999993</v>
      </c>
    </row>
    <row r="354" spans="1:8" ht="11.25" customHeight="1">
      <c r="A354" s="99" t="s">
        <v>78</v>
      </c>
      <c r="B354" s="24">
        <f>AVERAGE(B15:B19)</f>
        <v>2255.4</v>
      </c>
      <c r="C354" s="24">
        <f>AVERAGE(C15:C19)</f>
        <v>830</v>
      </c>
      <c r="D354" s="24">
        <f>AVERAGE(D15:D19)</f>
        <v>437.5</v>
      </c>
      <c r="E354" s="24">
        <f>AVERAGE(E15:E19)</f>
        <v>750</v>
      </c>
      <c r="F354" s="24">
        <f>AVERAGE(F15:F19)</f>
        <v>15</v>
      </c>
      <c r="G354" s="24" t="s">
        <v>23</v>
      </c>
      <c r="H354" s="18">
        <f>AVERAGE(H15:H19)</f>
        <v>3847.4</v>
      </c>
    </row>
    <row r="355" spans="1:8" ht="11.25" customHeight="1">
      <c r="A355" s="99" t="s">
        <v>10</v>
      </c>
      <c r="B355" s="24">
        <f>AVERAGE(B20:B24)</f>
        <v>1578.3333333333333</v>
      </c>
      <c r="C355" s="24">
        <f>AVERAGE(C20:C24)</f>
        <v>1053.6666666666667</v>
      </c>
      <c r="D355" s="24">
        <f>AVERAGE(D20:D24)</f>
        <v>774.5</v>
      </c>
      <c r="E355" s="24">
        <f>AVERAGE(E20:E24)</f>
        <v>634.5</v>
      </c>
      <c r="F355" s="24">
        <f>AVERAGE(F20:F24)</f>
        <v>303.66666666666669</v>
      </c>
      <c r="G355" s="24" t="s">
        <v>23</v>
      </c>
      <c r="H355" s="18">
        <f>AVERAGE(H20:H24)</f>
        <v>3223.5</v>
      </c>
    </row>
    <row r="356" spans="1:8" ht="11.25" customHeight="1">
      <c r="A356" s="99" t="s">
        <v>144</v>
      </c>
      <c r="B356" s="24">
        <f>AVERAGE(B25:B29)</f>
        <v>221.25</v>
      </c>
      <c r="C356" s="24">
        <f>AVERAGE(C25:C29)</f>
        <v>124</v>
      </c>
      <c r="D356" s="24">
        <f>AVERAGE(D25:D29)</f>
        <v>158</v>
      </c>
      <c r="E356" s="24">
        <f>AVERAGE(E25:E29)</f>
        <v>129.33333333333334</v>
      </c>
      <c r="F356" s="24">
        <f>AVERAGE(F25:F29)</f>
        <v>4.5</v>
      </c>
      <c r="G356" s="24" t="s">
        <v>23</v>
      </c>
      <c r="H356" s="18">
        <f>AVERAGE(H25:H29)</f>
        <v>418.8</v>
      </c>
    </row>
    <row r="357" spans="1:8" ht="11.25" customHeight="1">
      <c r="A357" s="99" t="s">
        <v>166</v>
      </c>
      <c r="B357" s="24">
        <f>AVERAGE(B30:B34)</f>
        <v>402</v>
      </c>
      <c r="C357" s="24">
        <f>AVERAGE(C30:C34)</f>
        <v>140.80000000000001</v>
      </c>
      <c r="D357" s="24">
        <f>AVERAGE(D30:D34)</f>
        <v>356.8</v>
      </c>
      <c r="E357" s="24">
        <f>AVERAGE(E30:E34)</f>
        <v>294.2</v>
      </c>
      <c r="F357" s="24">
        <f>AVERAGE(F30:F34)</f>
        <v>80</v>
      </c>
      <c r="G357" s="24" t="str">
        <f>G30</f>
        <v>-</v>
      </c>
      <c r="H357" s="18">
        <f>AVERAGE(H30:H34)</f>
        <v>1241.8</v>
      </c>
    </row>
    <row r="358" spans="1:8" ht="11.25" customHeight="1">
      <c r="A358" s="99" t="s">
        <v>315</v>
      </c>
      <c r="B358" s="24">
        <f>AVERAGE(B35:B39)</f>
        <v>405.6</v>
      </c>
      <c r="C358" s="24">
        <f t="shared" ref="C358:H358" si="45">AVERAGE(C35:C39)</f>
        <v>479.2</v>
      </c>
      <c r="D358" s="24">
        <f t="shared" si="45"/>
        <v>321.8</v>
      </c>
      <c r="E358" s="24">
        <f t="shared" si="45"/>
        <v>274.2</v>
      </c>
      <c r="F358" s="24">
        <f t="shared" si="45"/>
        <v>83.4</v>
      </c>
      <c r="G358" s="24" t="str">
        <f>G35</f>
        <v>-</v>
      </c>
      <c r="H358" s="18">
        <f t="shared" si="45"/>
        <v>1564.2</v>
      </c>
    </row>
    <row r="359" spans="1:8" ht="11.25" customHeight="1">
      <c r="A359" s="99">
        <v>2006</v>
      </c>
      <c r="B359" s="24">
        <f t="shared" ref="B359:H372" si="46">B35</f>
        <v>359</v>
      </c>
      <c r="C359" s="24">
        <f t="shared" si="46"/>
        <v>381</v>
      </c>
      <c r="D359" s="24">
        <f t="shared" si="46"/>
        <v>99</v>
      </c>
      <c r="E359" s="24">
        <f t="shared" si="46"/>
        <v>296</v>
      </c>
      <c r="F359" s="24">
        <f t="shared" si="46"/>
        <v>169</v>
      </c>
      <c r="G359" s="24" t="str">
        <f t="shared" si="46"/>
        <v>-</v>
      </c>
      <c r="H359" s="18">
        <f t="shared" si="46"/>
        <v>1304</v>
      </c>
    </row>
    <row r="360" spans="1:8" ht="11.25" customHeight="1">
      <c r="A360" s="99">
        <v>2007</v>
      </c>
      <c r="B360" s="24">
        <f t="shared" si="46"/>
        <v>445</v>
      </c>
      <c r="C360" s="24">
        <f t="shared" si="46"/>
        <v>253</v>
      </c>
      <c r="D360" s="24">
        <f t="shared" si="46"/>
        <v>354</v>
      </c>
      <c r="E360" s="24">
        <f t="shared" si="46"/>
        <v>114</v>
      </c>
      <c r="F360" s="24">
        <f t="shared" si="46"/>
        <v>8</v>
      </c>
      <c r="G360" s="24" t="str">
        <f t="shared" si="46"/>
        <v>-</v>
      </c>
      <c r="H360" s="18">
        <f t="shared" si="46"/>
        <v>1174</v>
      </c>
    </row>
    <row r="361" spans="1:8" ht="11.25" customHeight="1">
      <c r="A361" s="99">
        <v>2008</v>
      </c>
      <c r="B361" s="24">
        <f t="shared" si="46"/>
        <v>246</v>
      </c>
      <c r="C361" s="24">
        <f t="shared" si="46"/>
        <v>353</v>
      </c>
      <c r="D361" s="24">
        <f t="shared" si="46"/>
        <v>223</v>
      </c>
      <c r="E361" s="24">
        <f t="shared" si="46"/>
        <v>213</v>
      </c>
      <c r="F361" s="24">
        <f t="shared" si="46"/>
        <v>60</v>
      </c>
      <c r="G361" s="24" t="str">
        <f t="shared" si="46"/>
        <v>-</v>
      </c>
      <c r="H361" s="18">
        <f t="shared" si="46"/>
        <v>1095</v>
      </c>
    </row>
    <row r="362" spans="1:8" ht="11.25" customHeight="1">
      <c r="A362" s="99">
        <v>2009</v>
      </c>
      <c r="B362" s="24">
        <f t="shared" si="46"/>
        <v>467</v>
      </c>
      <c r="C362" s="24">
        <f t="shared" si="46"/>
        <v>551</v>
      </c>
      <c r="D362" s="24">
        <f t="shared" si="46"/>
        <v>432</v>
      </c>
      <c r="E362" s="24">
        <f t="shared" si="46"/>
        <v>320</v>
      </c>
      <c r="F362" s="24">
        <f t="shared" si="46"/>
        <v>134</v>
      </c>
      <c r="G362" s="24" t="str">
        <f t="shared" si="46"/>
        <v>-</v>
      </c>
      <c r="H362" s="18">
        <f t="shared" si="46"/>
        <v>1904</v>
      </c>
    </row>
    <row r="363" spans="1:8" ht="11.25" customHeight="1">
      <c r="A363" s="99">
        <v>2010</v>
      </c>
      <c r="B363" s="24">
        <f t="shared" si="46"/>
        <v>511</v>
      </c>
      <c r="C363" s="24">
        <f t="shared" si="46"/>
        <v>858</v>
      </c>
      <c r="D363" s="24">
        <f t="shared" si="46"/>
        <v>501</v>
      </c>
      <c r="E363" s="24">
        <f t="shared" si="46"/>
        <v>428</v>
      </c>
      <c r="F363" s="24">
        <f t="shared" si="46"/>
        <v>46</v>
      </c>
      <c r="G363" s="24" t="str">
        <f t="shared" si="46"/>
        <v>-</v>
      </c>
      <c r="H363" s="18">
        <f t="shared" si="46"/>
        <v>2344</v>
      </c>
    </row>
    <row r="364" spans="1:8" ht="11.25" customHeight="1">
      <c r="A364" s="99">
        <v>2011</v>
      </c>
      <c r="B364" s="24">
        <f t="shared" si="46"/>
        <v>606</v>
      </c>
      <c r="C364" s="24">
        <f t="shared" si="46"/>
        <v>656</v>
      </c>
      <c r="D364" s="24">
        <f t="shared" si="46"/>
        <v>448</v>
      </c>
      <c r="E364" s="24">
        <f t="shared" si="46"/>
        <v>208</v>
      </c>
      <c r="F364" s="24">
        <f t="shared" si="46"/>
        <v>54</v>
      </c>
      <c r="G364" s="24" t="str">
        <f t="shared" si="46"/>
        <v>-</v>
      </c>
      <c r="H364" s="18">
        <f t="shared" si="46"/>
        <v>1972</v>
      </c>
    </row>
    <row r="365" spans="1:8" ht="11.25" customHeight="1">
      <c r="A365" s="99">
        <v>2012</v>
      </c>
      <c r="B365" s="24">
        <f t="shared" si="46"/>
        <v>364</v>
      </c>
      <c r="C365" s="24">
        <f t="shared" si="46"/>
        <v>633</v>
      </c>
      <c r="D365" s="24">
        <f t="shared" si="46"/>
        <v>452</v>
      </c>
      <c r="E365" s="24">
        <f t="shared" si="46"/>
        <v>306</v>
      </c>
      <c r="F365" s="24">
        <f t="shared" si="46"/>
        <v>198</v>
      </c>
      <c r="G365" s="24" t="str">
        <f t="shared" si="46"/>
        <v>-</v>
      </c>
      <c r="H365" s="18">
        <f t="shared" si="46"/>
        <v>1953</v>
      </c>
    </row>
    <row r="366" spans="1:8" ht="11.25" customHeight="1">
      <c r="A366" s="99">
        <v>2013</v>
      </c>
      <c r="B366" s="24">
        <f t="shared" si="46"/>
        <v>721</v>
      </c>
      <c r="C366" s="24">
        <f t="shared" si="46"/>
        <v>498</v>
      </c>
      <c r="D366" s="24">
        <f t="shared" si="46"/>
        <v>471</v>
      </c>
      <c r="E366" s="24">
        <f t="shared" si="46"/>
        <v>405</v>
      </c>
      <c r="F366" s="24">
        <f t="shared" si="46"/>
        <v>83</v>
      </c>
      <c r="G366" s="24" t="str">
        <f t="shared" si="46"/>
        <v>-</v>
      </c>
      <c r="H366" s="18">
        <f t="shared" si="46"/>
        <v>2178</v>
      </c>
    </row>
    <row r="367" spans="1:8" ht="11.25" customHeight="1">
      <c r="A367" s="99">
        <v>2014</v>
      </c>
      <c r="B367" s="24">
        <f t="shared" si="46"/>
        <v>589</v>
      </c>
      <c r="C367" s="24">
        <f t="shared" si="46"/>
        <v>188</v>
      </c>
      <c r="D367" s="24">
        <f t="shared" si="46"/>
        <v>397</v>
      </c>
      <c r="E367" s="24">
        <f t="shared" si="46"/>
        <v>337</v>
      </c>
      <c r="F367" s="24">
        <f t="shared" si="46"/>
        <v>117</v>
      </c>
      <c r="G367" s="24" t="str">
        <f t="shared" si="46"/>
        <v>-</v>
      </c>
      <c r="H367" s="18">
        <f t="shared" si="46"/>
        <v>1628</v>
      </c>
    </row>
    <row r="368" spans="1:8" ht="11.25" customHeight="1">
      <c r="A368" s="99">
        <v>2015</v>
      </c>
      <c r="B368" s="24">
        <f t="shared" si="46"/>
        <v>818</v>
      </c>
      <c r="C368" s="24">
        <f t="shared" si="46"/>
        <v>484</v>
      </c>
      <c r="D368" s="24">
        <f t="shared" si="46"/>
        <v>491</v>
      </c>
      <c r="E368" s="24">
        <f t="shared" si="46"/>
        <v>450</v>
      </c>
      <c r="F368" s="24">
        <f t="shared" si="46"/>
        <v>127</v>
      </c>
      <c r="G368" s="24" t="str">
        <f t="shared" si="46"/>
        <v>-</v>
      </c>
      <c r="H368" s="18">
        <f t="shared" si="46"/>
        <v>2370</v>
      </c>
    </row>
    <row r="369" spans="1:8" ht="11.25" customHeight="1">
      <c r="A369" s="99">
        <v>2016</v>
      </c>
      <c r="B369" s="24">
        <f t="shared" si="46"/>
        <v>647</v>
      </c>
      <c r="C369" s="24">
        <f t="shared" si="46"/>
        <v>359</v>
      </c>
      <c r="D369" s="24">
        <f t="shared" si="46"/>
        <v>248</v>
      </c>
      <c r="E369" s="24">
        <f t="shared" si="46"/>
        <v>186</v>
      </c>
      <c r="F369" s="24" t="str">
        <f t="shared" si="46"/>
        <v>-</v>
      </c>
      <c r="G369" s="24" t="str">
        <f t="shared" si="46"/>
        <v>-</v>
      </c>
      <c r="H369" s="18">
        <f t="shared" si="46"/>
        <v>1440</v>
      </c>
    </row>
    <row r="370" spans="1:8" ht="11.25" customHeight="1">
      <c r="A370" s="99">
        <v>2017</v>
      </c>
      <c r="B370" s="24">
        <f t="shared" si="46"/>
        <v>762</v>
      </c>
      <c r="C370" s="24">
        <f t="shared" si="46"/>
        <v>606</v>
      </c>
      <c r="D370" s="24">
        <f t="shared" si="46"/>
        <v>380</v>
      </c>
      <c r="E370" s="24">
        <f t="shared" si="46"/>
        <v>411</v>
      </c>
      <c r="F370" s="24">
        <f t="shared" si="46"/>
        <v>121</v>
      </c>
      <c r="G370" s="24" t="str">
        <f t="shared" si="46"/>
        <v>-</v>
      </c>
      <c r="H370" s="18">
        <f t="shared" si="46"/>
        <v>2280</v>
      </c>
    </row>
    <row r="371" spans="1:8" ht="11.25" customHeight="1">
      <c r="A371" s="122">
        <v>2018</v>
      </c>
      <c r="B371" s="24">
        <f t="shared" si="46"/>
        <v>741</v>
      </c>
      <c r="C371" s="24">
        <f t="shared" si="46"/>
        <v>674</v>
      </c>
      <c r="D371" s="24">
        <f t="shared" si="46"/>
        <v>422</v>
      </c>
      <c r="E371" s="24">
        <f t="shared" si="46"/>
        <v>189</v>
      </c>
      <c r="F371" s="24">
        <f t="shared" si="46"/>
        <v>69</v>
      </c>
      <c r="G371" s="24" t="str">
        <f t="shared" si="46"/>
        <v>-</v>
      </c>
      <c r="H371" s="18">
        <f t="shared" si="46"/>
        <v>2095</v>
      </c>
    </row>
    <row r="372" spans="1:8" ht="11.25" customHeight="1">
      <c r="A372" s="122">
        <v>2019</v>
      </c>
      <c r="B372" s="24">
        <f t="shared" si="46"/>
        <v>361</v>
      </c>
      <c r="C372" s="24">
        <f t="shared" si="46"/>
        <v>335</v>
      </c>
      <c r="D372" s="24">
        <f t="shared" si="46"/>
        <v>661</v>
      </c>
      <c r="E372" s="24">
        <f t="shared" si="46"/>
        <v>191</v>
      </c>
      <c r="F372" s="24">
        <f t="shared" si="46"/>
        <v>113</v>
      </c>
      <c r="G372" s="24" t="str">
        <f t="shared" si="46"/>
        <v>-</v>
      </c>
      <c r="H372" s="18">
        <f t="shared" si="46"/>
        <v>1661</v>
      </c>
    </row>
    <row r="373" spans="1:8" ht="11.25" customHeight="1">
      <c r="A373" s="122">
        <v>2020</v>
      </c>
      <c r="B373" s="24">
        <f t="shared" ref="B373:H374" si="47">B49</f>
        <v>73</v>
      </c>
      <c r="C373" s="24">
        <f t="shared" si="47"/>
        <v>136</v>
      </c>
      <c r="D373" s="24">
        <f t="shared" si="47"/>
        <v>464</v>
      </c>
      <c r="E373" s="24">
        <f t="shared" si="47"/>
        <v>227</v>
      </c>
      <c r="F373" s="24">
        <f t="shared" si="47"/>
        <v>19</v>
      </c>
      <c r="G373" s="24" t="str">
        <f t="shared" si="47"/>
        <v>-</v>
      </c>
      <c r="H373" s="18">
        <f t="shared" si="47"/>
        <v>919</v>
      </c>
    </row>
    <row r="374" spans="1:8" ht="11.25" customHeight="1">
      <c r="A374" s="122" t="s">
        <v>317</v>
      </c>
      <c r="B374" s="24">
        <f t="shared" si="47"/>
        <v>250</v>
      </c>
      <c r="C374" s="24">
        <f t="shared" si="47"/>
        <v>458</v>
      </c>
      <c r="D374" s="24">
        <f t="shared" si="47"/>
        <v>495</v>
      </c>
      <c r="E374" s="24">
        <f t="shared" si="47"/>
        <v>240</v>
      </c>
      <c r="F374" s="24">
        <f t="shared" si="47"/>
        <v>119</v>
      </c>
      <c r="G374" s="24" t="str">
        <f t="shared" si="47"/>
        <v>-</v>
      </c>
      <c r="H374" s="18">
        <f t="shared" si="47"/>
        <v>1562</v>
      </c>
    </row>
    <row r="375" spans="1:8" ht="11.25" customHeight="1">
      <c r="A375" s="99"/>
      <c r="B375" s="24"/>
      <c r="C375" s="24"/>
      <c r="D375" s="24"/>
      <c r="E375" s="24"/>
      <c r="F375" s="24"/>
      <c r="G375" s="24"/>
      <c r="H375" s="18"/>
    </row>
    <row r="376" spans="1:8">
      <c r="A376" s="94" t="s">
        <v>229</v>
      </c>
      <c r="B376" s="24"/>
      <c r="C376" s="24"/>
      <c r="D376" s="24"/>
      <c r="E376" s="24"/>
      <c r="F376" s="24"/>
      <c r="G376" s="24"/>
      <c r="H376" s="18"/>
    </row>
    <row r="377" spans="1:8" ht="11.25" customHeight="1">
      <c r="A377" s="99" t="s">
        <v>24</v>
      </c>
      <c r="B377" s="24">
        <f t="shared" ref="B377:H377" si="48">AVERAGE(B58:B62)</f>
        <v>79</v>
      </c>
      <c r="C377" s="24">
        <f t="shared" si="48"/>
        <v>140.6</v>
      </c>
      <c r="D377" s="24">
        <f t="shared" si="48"/>
        <v>284.39999999999998</v>
      </c>
      <c r="E377" s="24">
        <f t="shared" si="48"/>
        <v>312.8</v>
      </c>
      <c r="F377" s="24">
        <f t="shared" si="48"/>
        <v>146.19999999999999</v>
      </c>
      <c r="G377" s="24">
        <f t="shared" si="48"/>
        <v>17</v>
      </c>
      <c r="H377" s="18">
        <f t="shared" si="48"/>
        <v>963</v>
      </c>
    </row>
    <row r="378" spans="1:8" ht="11.25" customHeight="1">
      <c r="A378" s="99" t="s">
        <v>78</v>
      </c>
      <c r="B378" s="24">
        <f t="shared" ref="B378:H378" si="49">AVERAGE(B63:B67)</f>
        <v>138</v>
      </c>
      <c r="C378" s="24">
        <f t="shared" si="49"/>
        <v>167.6</v>
      </c>
      <c r="D378" s="24">
        <f t="shared" si="49"/>
        <v>433.6</v>
      </c>
      <c r="E378" s="24">
        <f t="shared" si="49"/>
        <v>460</v>
      </c>
      <c r="F378" s="24">
        <f t="shared" si="49"/>
        <v>160.6</v>
      </c>
      <c r="G378" s="24">
        <f t="shared" si="49"/>
        <v>1.6</v>
      </c>
      <c r="H378" s="18">
        <f t="shared" si="49"/>
        <v>1359.8</v>
      </c>
    </row>
    <row r="379" spans="1:8" ht="11.25" customHeight="1">
      <c r="A379" s="99" t="s">
        <v>10</v>
      </c>
      <c r="B379" s="24">
        <f t="shared" ref="B379:H379" si="50">AVERAGE(B68:B72)</f>
        <v>69</v>
      </c>
      <c r="C379" s="24">
        <f t="shared" si="50"/>
        <v>71.400000000000006</v>
      </c>
      <c r="D379" s="24">
        <f t="shared" si="50"/>
        <v>182.4</v>
      </c>
      <c r="E379" s="24">
        <f t="shared" si="50"/>
        <v>311.2</v>
      </c>
      <c r="F379" s="24">
        <f t="shared" si="50"/>
        <v>47.6</v>
      </c>
      <c r="G379" s="24">
        <f t="shared" si="50"/>
        <v>10.199999999999999</v>
      </c>
      <c r="H379" s="18">
        <f t="shared" si="50"/>
        <v>681.6</v>
      </c>
    </row>
    <row r="380" spans="1:8" ht="11.25" customHeight="1">
      <c r="A380" s="99" t="s">
        <v>144</v>
      </c>
      <c r="B380" s="24">
        <f>AVERAGE(B73:B77)</f>
        <v>31.4</v>
      </c>
      <c r="C380" s="24">
        <f>AVERAGE(C73:C77)</f>
        <v>37.6</v>
      </c>
      <c r="D380" s="24">
        <f>AVERAGE(D73:D77)</f>
        <v>11</v>
      </c>
      <c r="E380" s="24">
        <f>AVERAGE(E73:E77)</f>
        <v>95.8</v>
      </c>
      <c r="F380" s="24">
        <f>AVERAGE(F73:F77)</f>
        <v>53.2</v>
      </c>
      <c r="G380" s="24" t="s">
        <v>23</v>
      </c>
      <c r="H380" s="18">
        <f>AVERAGE(H73:H77)</f>
        <v>229</v>
      </c>
    </row>
    <row r="381" spans="1:8" ht="11.25" customHeight="1">
      <c r="A381" s="99" t="s">
        <v>166</v>
      </c>
      <c r="B381" s="24">
        <f>AVERAGE(B78:B82)</f>
        <v>46.6</v>
      </c>
      <c r="C381" s="24">
        <f>AVERAGE(C78:C82)</f>
        <v>65.8</v>
      </c>
      <c r="D381" s="24">
        <f>AVERAGE(D78:D82)</f>
        <v>99.8</v>
      </c>
      <c r="E381" s="24">
        <f>AVERAGE(E78:E82)</f>
        <v>116.4</v>
      </c>
      <c r="F381" s="24">
        <f>AVERAGE(F78:F82)</f>
        <v>68.599999999999994</v>
      </c>
      <c r="G381" s="24" t="str">
        <f>G78</f>
        <v>-</v>
      </c>
      <c r="H381" s="18">
        <f>AVERAGE(H78:H82)</f>
        <v>397.2</v>
      </c>
    </row>
    <row r="382" spans="1:8" ht="11.25" customHeight="1">
      <c r="A382" s="99" t="s">
        <v>315</v>
      </c>
      <c r="B382" s="24">
        <f>AVERAGE(B83:B87)</f>
        <v>77</v>
      </c>
      <c r="C382" s="24">
        <f t="shared" ref="C382:H382" si="51">AVERAGE(C83:C87)</f>
        <v>237.6</v>
      </c>
      <c r="D382" s="24">
        <f t="shared" si="51"/>
        <v>169.2</v>
      </c>
      <c r="E382" s="24">
        <f t="shared" si="51"/>
        <v>191.4</v>
      </c>
      <c r="F382" s="24">
        <f t="shared" si="51"/>
        <v>56.6</v>
      </c>
      <c r="G382" s="24">
        <f t="shared" si="51"/>
        <v>2.8</v>
      </c>
      <c r="H382" s="18">
        <f t="shared" si="51"/>
        <v>731.8</v>
      </c>
    </row>
    <row r="383" spans="1:8" ht="11.25" customHeight="1">
      <c r="A383" s="99">
        <v>2011</v>
      </c>
      <c r="B383" s="24">
        <f t="shared" ref="B383:H391" si="52">B88</f>
        <v>92</v>
      </c>
      <c r="C383" s="24">
        <f t="shared" si="52"/>
        <v>192</v>
      </c>
      <c r="D383" s="24">
        <f t="shared" si="52"/>
        <v>152</v>
      </c>
      <c r="E383" s="24">
        <f t="shared" si="52"/>
        <v>140</v>
      </c>
      <c r="F383" s="24">
        <f t="shared" si="52"/>
        <v>24</v>
      </c>
      <c r="G383" s="24">
        <f t="shared" si="52"/>
        <v>1</v>
      </c>
      <c r="H383" s="18">
        <f t="shared" si="52"/>
        <v>600</v>
      </c>
    </row>
    <row r="384" spans="1:8" ht="11.25" customHeight="1">
      <c r="A384" s="99">
        <v>2012</v>
      </c>
      <c r="B384" s="24">
        <f t="shared" si="52"/>
        <v>144</v>
      </c>
      <c r="C384" s="24">
        <f t="shared" si="52"/>
        <v>269</v>
      </c>
      <c r="D384" s="24">
        <f t="shared" si="52"/>
        <v>214</v>
      </c>
      <c r="E384" s="24">
        <f t="shared" si="52"/>
        <v>229</v>
      </c>
      <c r="F384" s="24">
        <f t="shared" si="52"/>
        <v>104</v>
      </c>
      <c r="G384" s="24">
        <f t="shared" si="52"/>
        <v>4</v>
      </c>
      <c r="H384" s="18">
        <f t="shared" si="52"/>
        <v>960</v>
      </c>
    </row>
    <row r="385" spans="1:8" ht="11.25" customHeight="1">
      <c r="A385" s="99">
        <v>2013</v>
      </c>
      <c r="B385" s="24">
        <f t="shared" si="52"/>
        <v>279</v>
      </c>
      <c r="C385" s="24">
        <f t="shared" si="52"/>
        <v>206</v>
      </c>
      <c r="D385" s="24">
        <f t="shared" si="52"/>
        <v>369</v>
      </c>
      <c r="E385" s="24">
        <f t="shared" si="52"/>
        <v>583</v>
      </c>
      <c r="F385" s="24">
        <f t="shared" si="52"/>
        <v>159</v>
      </c>
      <c r="G385" s="24">
        <f t="shared" si="52"/>
        <v>0</v>
      </c>
      <c r="H385" s="18">
        <f t="shared" si="52"/>
        <v>1596</v>
      </c>
    </row>
    <row r="386" spans="1:8" ht="11.25" customHeight="1">
      <c r="A386" s="99">
        <v>2014</v>
      </c>
      <c r="B386" s="24">
        <f t="shared" si="52"/>
        <v>196</v>
      </c>
      <c r="C386" s="24">
        <f t="shared" si="52"/>
        <v>295</v>
      </c>
      <c r="D386" s="24">
        <f t="shared" si="52"/>
        <v>465</v>
      </c>
      <c r="E386" s="24">
        <f t="shared" si="52"/>
        <v>419</v>
      </c>
      <c r="F386" s="24">
        <f t="shared" si="52"/>
        <v>152</v>
      </c>
      <c r="G386" s="24">
        <f t="shared" si="52"/>
        <v>0</v>
      </c>
      <c r="H386" s="18">
        <f t="shared" si="52"/>
        <v>1527</v>
      </c>
    </row>
    <row r="387" spans="1:8" ht="11.25" customHeight="1">
      <c r="A387" s="99">
        <v>2015</v>
      </c>
      <c r="B387" s="24">
        <f t="shared" si="52"/>
        <v>324</v>
      </c>
      <c r="C387" s="24">
        <f t="shared" si="52"/>
        <v>380</v>
      </c>
      <c r="D387" s="24">
        <f t="shared" si="52"/>
        <v>389</v>
      </c>
      <c r="E387" s="24">
        <f t="shared" si="52"/>
        <v>261</v>
      </c>
      <c r="F387" s="24">
        <f t="shared" si="52"/>
        <v>104</v>
      </c>
      <c r="G387" s="24">
        <f t="shared" si="52"/>
        <v>0</v>
      </c>
      <c r="H387" s="18">
        <f t="shared" si="52"/>
        <v>1458</v>
      </c>
    </row>
    <row r="388" spans="1:8" ht="11.25" customHeight="1">
      <c r="A388" s="99">
        <v>2016</v>
      </c>
      <c r="B388" s="24">
        <f t="shared" si="52"/>
        <v>204</v>
      </c>
      <c r="C388" s="24">
        <f t="shared" si="52"/>
        <v>233</v>
      </c>
      <c r="D388" s="24">
        <f t="shared" si="52"/>
        <v>141</v>
      </c>
      <c r="E388" s="24">
        <f t="shared" si="52"/>
        <v>90</v>
      </c>
      <c r="F388" s="24">
        <f t="shared" si="52"/>
        <v>2</v>
      </c>
      <c r="G388" s="24">
        <f t="shared" si="52"/>
        <v>0</v>
      </c>
      <c r="H388" s="18">
        <f t="shared" si="52"/>
        <v>670</v>
      </c>
    </row>
    <row r="389" spans="1:8" ht="11.25" customHeight="1">
      <c r="A389" s="99">
        <v>2017</v>
      </c>
      <c r="B389" s="24">
        <f t="shared" si="52"/>
        <v>27</v>
      </c>
      <c r="C389" s="24">
        <f t="shared" si="52"/>
        <v>90</v>
      </c>
      <c r="D389" s="24">
        <f t="shared" si="52"/>
        <v>317</v>
      </c>
      <c r="E389" s="24">
        <f t="shared" si="52"/>
        <v>357</v>
      </c>
      <c r="F389" s="24">
        <f t="shared" si="52"/>
        <v>172</v>
      </c>
      <c r="G389" s="24">
        <f t="shared" si="52"/>
        <v>0</v>
      </c>
      <c r="H389" s="18">
        <f t="shared" si="52"/>
        <v>963</v>
      </c>
    </row>
    <row r="390" spans="1:8" ht="11.25" customHeight="1">
      <c r="A390" s="122">
        <v>2018</v>
      </c>
      <c r="B390" s="24">
        <f t="shared" si="52"/>
        <v>99</v>
      </c>
      <c r="C390" s="24">
        <f t="shared" si="52"/>
        <v>255</v>
      </c>
      <c r="D390" s="24">
        <f t="shared" si="52"/>
        <v>272</v>
      </c>
      <c r="E390" s="24">
        <f t="shared" si="52"/>
        <v>145</v>
      </c>
      <c r="F390" s="24">
        <f t="shared" si="52"/>
        <v>110</v>
      </c>
      <c r="G390" s="24">
        <f t="shared" si="52"/>
        <v>0</v>
      </c>
      <c r="H390" s="18">
        <f t="shared" si="52"/>
        <v>881</v>
      </c>
    </row>
    <row r="391" spans="1:8" ht="11.25" customHeight="1">
      <c r="A391" s="122">
        <v>2019</v>
      </c>
      <c r="B391" s="24">
        <f t="shared" si="52"/>
        <v>65</v>
      </c>
      <c r="C391" s="24">
        <f t="shared" si="52"/>
        <v>72</v>
      </c>
      <c r="D391" s="24">
        <f t="shared" si="52"/>
        <v>365</v>
      </c>
      <c r="E391" s="24">
        <f t="shared" si="52"/>
        <v>276</v>
      </c>
      <c r="F391" s="24">
        <f t="shared" si="52"/>
        <v>120</v>
      </c>
      <c r="G391" s="24">
        <f t="shared" si="52"/>
        <v>0</v>
      </c>
      <c r="H391" s="18">
        <f t="shared" si="52"/>
        <v>898</v>
      </c>
    </row>
    <row r="392" spans="1:8" ht="11.25" customHeight="1">
      <c r="A392" s="122">
        <v>2020</v>
      </c>
      <c r="B392" s="24">
        <f t="shared" ref="B392:H393" si="53">B97</f>
        <v>1</v>
      </c>
      <c r="C392" s="24">
        <f t="shared" si="53"/>
        <v>2</v>
      </c>
      <c r="D392" s="24">
        <f t="shared" si="53"/>
        <v>29</v>
      </c>
      <c r="E392" s="24">
        <f t="shared" si="53"/>
        <v>122</v>
      </c>
      <c r="F392" s="24">
        <f t="shared" si="53"/>
        <v>31</v>
      </c>
      <c r="G392" s="24">
        <f t="shared" si="53"/>
        <v>0</v>
      </c>
      <c r="H392" s="18">
        <f t="shared" si="53"/>
        <v>185</v>
      </c>
    </row>
    <row r="393" spans="1:8" ht="11.25" customHeight="1">
      <c r="A393" s="122" t="s">
        <v>317</v>
      </c>
      <c r="B393" s="24">
        <f t="shared" si="53"/>
        <v>28</v>
      </c>
      <c r="C393" s="24">
        <f t="shared" si="53"/>
        <v>100</v>
      </c>
      <c r="D393" s="24">
        <f t="shared" si="53"/>
        <v>135</v>
      </c>
      <c r="E393" s="24">
        <f t="shared" si="53"/>
        <v>101</v>
      </c>
      <c r="F393" s="24">
        <f t="shared" si="53"/>
        <v>76</v>
      </c>
      <c r="G393" s="24">
        <f t="shared" si="53"/>
        <v>0</v>
      </c>
      <c r="H393" s="18">
        <f t="shared" si="53"/>
        <v>440</v>
      </c>
    </row>
    <row r="394" spans="1:8" ht="11.25" customHeight="1">
      <c r="A394" s="99"/>
      <c r="B394" s="24"/>
      <c r="C394" s="24"/>
      <c r="D394" s="24"/>
      <c r="E394" s="24"/>
      <c r="F394" s="24"/>
      <c r="G394" s="24"/>
      <c r="H394" s="18"/>
    </row>
    <row r="395" spans="1:8">
      <c r="A395" s="97" t="s">
        <v>230</v>
      </c>
      <c r="B395" s="24"/>
      <c r="C395" s="24"/>
      <c r="D395" s="24"/>
      <c r="E395" s="24"/>
      <c r="F395" s="24"/>
      <c r="G395" s="24"/>
      <c r="H395" s="18"/>
    </row>
    <row r="396" spans="1:8" ht="11.25" customHeight="1">
      <c r="A396" s="99" t="s">
        <v>24</v>
      </c>
      <c r="B396" s="24">
        <f t="shared" ref="B396:H396" si="54">AVERAGE(B106:B110)</f>
        <v>2779</v>
      </c>
      <c r="C396" s="24">
        <f t="shared" si="54"/>
        <v>387.6</v>
      </c>
      <c r="D396" s="24">
        <f t="shared" si="54"/>
        <v>4804.3999999999996</v>
      </c>
      <c r="E396" s="24">
        <f t="shared" si="54"/>
        <v>2700.8</v>
      </c>
      <c r="F396" s="24">
        <f t="shared" si="54"/>
        <v>149</v>
      </c>
      <c r="G396" s="24">
        <f t="shared" si="54"/>
        <v>17</v>
      </c>
      <c r="H396" s="18">
        <f t="shared" si="54"/>
        <v>10820.8</v>
      </c>
    </row>
    <row r="397" spans="1:8" ht="11.25" customHeight="1">
      <c r="A397" s="99" t="s">
        <v>78</v>
      </c>
      <c r="B397" s="24">
        <f t="shared" ref="B397:H397" si="55">AVERAGE(B111:B115)</f>
        <v>2393.4</v>
      </c>
      <c r="C397" s="24">
        <f t="shared" si="55"/>
        <v>831.6</v>
      </c>
      <c r="D397" s="24">
        <f t="shared" si="55"/>
        <v>608.6</v>
      </c>
      <c r="E397" s="24">
        <f t="shared" si="55"/>
        <v>1210</v>
      </c>
      <c r="F397" s="24">
        <f t="shared" si="55"/>
        <v>163.6</v>
      </c>
      <c r="G397" s="24">
        <f t="shared" si="55"/>
        <v>1.6</v>
      </c>
      <c r="H397" s="18">
        <f t="shared" si="55"/>
        <v>5207.2</v>
      </c>
    </row>
    <row r="398" spans="1:8" ht="11.25" customHeight="1">
      <c r="A398" s="99" t="s">
        <v>10</v>
      </c>
      <c r="B398" s="24">
        <f t="shared" ref="B398:H398" si="56">AVERAGE(B116:B120)</f>
        <v>1016</v>
      </c>
      <c r="C398" s="24">
        <f t="shared" si="56"/>
        <v>703.6</v>
      </c>
      <c r="D398" s="24">
        <f t="shared" si="56"/>
        <v>492.2</v>
      </c>
      <c r="E398" s="24">
        <f t="shared" si="56"/>
        <v>818.8</v>
      </c>
      <c r="F398" s="24">
        <f t="shared" si="56"/>
        <v>229.8</v>
      </c>
      <c r="G398" s="24">
        <f t="shared" si="56"/>
        <v>10.199999999999999</v>
      </c>
      <c r="H398" s="18">
        <f t="shared" si="56"/>
        <v>3260.4</v>
      </c>
    </row>
    <row r="399" spans="1:8" ht="11.25" customHeight="1">
      <c r="A399" s="99" t="s">
        <v>144</v>
      </c>
      <c r="B399" s="24">
        <f>AVERAGE(B121:B125)</f>
        <v>208.4</v>
      </c>
      <c r="C399" s="24">
        <f>AVERAGE(C121:C125)</f>
        <v>136.80000000000001</v>
      </c>
      <c r="D399" s="24">
        <f>AVERAGE(D121:D125)</f>
        <v>74.2</v>
      </c>
      <c r="E399" s="24">
        <f>AVERAGE(E121:E125)</f>
        <v>173.4</v>
      </c>
      <c r="F399" s="24">
        <f>AVERAGE(F121:F125)</f>
        <v>55</v>
      </c>
      <c r="G399" s="24" t="s">
        <v>23</v>
      </c>
      <c r="H399" s="18">
        <f>AVERAGE(H121:H125)</f>
        <v>647.79999999999995</v>
      </c>
    </row>
    <row r="400" spans="1:8" ht="11.25" customHeight="1">
      <c r="A400" s="99" t="s">
        <v>166</v>
      </c>
      <c r="B400" s="24">
        <f>AVERAGE(B126:B130)</f>
        <v>448.6</v>
      </c>
      <c r="C400" s="24">
        <f>AVERAGE(C126:C130)</f>
        <v>206.6</v>
      </c>
      <c r="D400" s="24">
        <f>AVERAGE(D126:D130)</f>
        <v>456.6</v>
      </c>
      <c r="E400" s="24">
        <f>AVERAGE(E126:E130)</f>
        <v>410.6</v>
      </c>
      <c r="F400" s="24">
        <f>AVERAGE(F126:F130)</f>
        <v>116.6</v>
      </c>
      <c r="G400" s="24" t="str">
        <f>G126</f>
        <v>-</v>
      </c>
      <c r="H400" s="18">
        <f>AVERAGE(H126:H130)</f>
        <v>1639</v>
      </c>
    </row>
    <row r="401" spans="1:8" ht="11.25" customHeight="1">
      <c r="A401" s="99" t="s">
        <v>315</v>
      </c>
      <c r="B401" s="24">
        <f>AVERAGE(B131:B135)</f>
        <v>482.6</v>
      </c>
      <c r="C401" s="24">
        <f t="shared" ref="C401:H401" si="57">AVERAGE(C131:C135)</f>
        <v>716.8</v>
      </c>
      <c r="D401" s="24">
        <f t="shared" si="57"/>
        <v>491</v>
      </c>
      <c r="E401" s="24">
        <f t="shared" si="57"/>
        <v>465.6</v>
      </c>
      <c r="F401" s="24">
        <f t="shared" si="57"/>
        <v>140</v>
      </c>
      <c r="G401" s="24">
        <f t="shared" si="57"/>
        <v>2.8</v>
      </c>
      <c r="H401" s="18">
        <f t="shared" si="57"/>
        <v>2296</v>
      </c>
    </row>
    <row r="402" spans="1:8" ht="11.25" customHeight="1">
      <c r="A402" s="99">
        <v>2011</v>
      </c>
      <c r="B402" s="24">
        <f t="shared" ref="B402:H410" si="58">B136</f>
        <v>698</v>
      </c>
      <c r="C402" s="24">
        <f t="shared" si="58"/>
        <v>848</v>
      </c>
      <c r="D402" s="24">
        <f t="shared" si="58"/>
        <v>600</v>
      </c>
      <c r="E402" s="24">
        <f t="shared" si="58"/>
        <v>348</v>
      </c>
      <c r="F402" s="24">
        <f t="shared" si="58"/>
        <v>78</v>
      </c>
      <c r="G402" s="24">
        <f t="shared" si="58"/>
        <v>1</v>
      </c>
      <c r="H402" s="18">
        <f t="shared" si="58"/>
        <v>2572</v>
      </c>
    </row>
    <row r="403" spans="1:8" ht="11.25" customHeight="1">
      <c r="A403" s="99">
        <v>2012</v>
      </c>
      <c r="B403" s="24">
        <f t="shared" si="58"/>
        <v>508</v>
      </c>
      <c r="C403" s="24">
        <f t="shared" si="58"/>
        <v>902</v>
      </c>
      <c r="D403" s="24">
        <f t="shared" si="58"/>
        <v>666</v>
      </c>
      <c r="E403" s="24">
        <f t="shared" si="58"/>
        <v>535</v>
      </c>
      <c r="F403" s="24">
        <f t="shared" si="58"/>
        <v>302</v>
      </c>
      <c r="G403" s="24">
        <f t="shared" si="58"/>
        <v>4</v>
      </c>
      <c r="H403" s="18">
        <f t="shared" si="58"/>
        <v>2913</v>
      </c>
    </row>
    <row r="404" spans="1:8" ht="11.25" customHeight="1">
      <c r="A404" s="99">
        <v>2013</v>
      </c>
      <c r="B404" s="24">
        <f t="shared" si="58"/>
        <v>1000</v>
      </c>
      <c r="C404" s="24">
        <f t="shared" si="58"/>
        <v>704</v>
      </c>
      <c r="D404" s="24">
        <f t="shared" si="58"/>
        <v>840</v>
      </c>
      <c r="E404" s="24">
        <f t="shared" si="58"/>
        <v>988</v>
      </c>
      <c r="F404" s="24">
        <f t="shared" si="58"/>
        <v>242</v>
      </c>
      <c r="G404" s="24">
        <f t="shared" si="58"/>
        <v>0</v>
      </c>
      <c r="H404" s="18">
        <f t="shared" si="58"/>
        <v>3774</v>
      </c>
    </row>
    <row r="405" spans="1:8" ht="11.25" customHeight="1">
      <c r="A405" s="99">
        <v>2014</v>
      </c>
      <c r="B405" s="24">
        <f t="shared" si="58"/>
        <v>785</v>
      </c>
      <c r="C405" s="24">
        <f t="shared" si="58"/>
        <v>483</v>
      </c>
      <c r="D405" s="24">
        <f t="shared" si="58"/>
        <v>862</v>
      </c>
      <c r="E405" s="24">
        <f t="shared" si="58"/>
        <v>756</v>
      </c>
      <c r="F405" s="24">
        <f t="shared" si="58"/>
        <v>269</v>
      </c>
      <c r="G405" s="24">
        <f t="shared" si="58"/>
        <v>0</v>
      </c>
      <c r="H405" s="18">
        <f t="shared" si="58"/>
        <v>3155</v>
      </c>
    </row>
    <row r="406" spans="1:8" ht="11.25" customHeight="1">
      <c r="A406" s="99">
        <v>2015</v>
      </c>
      <c r="B406" s="24">
        <f t="shared" si="58"/>
        <v>1142</v>
      </c>
      <c r="C406" s="24">
        <f t="shared" si="58"/>
        <v>864</v>
      </c>
      <c r="D406" s="24">
        <f t="shared" si="58"/>
        <v>880</v>
      </c>
      <c r="E406" s="24">
        <f t="shared" si="58"/>
        <v>711</v>
      </c>
      <c r="F406" s="24">
        <f t="shared" si="58"/>
        <v>231</v>
      </c>
      <c r="G406" s="24">
        <f t="shared" si="58"/>
        <v>0</v>
      </c>
      <c r="H406" s="18">
        <f t="shared" si="58"/>
        <v>3828</v>
      </c>
    </row>
    <row r="407" spans="1:8" ht="11.25" customHeight="1">
      <c r="A407" s="99">
        <v>2016</v>
      </c>
      <c r="B407" s="24">
        <f t="shared" si="58"/>
        <v>851</v>
      </c>
      <c r="C407" s="24">
        <f t="shared" si="58"/>
        <v>592</v>
      </c>
      <c r="D407" s="24">
        <f t="shared" si="58"/>
        <v>389</v>
      </c>
      <c r="E407" s="24">
        <f t="shared" si="58"/>
        <v>276</v>
      </c>
      <c r="F407" s="24">
        <f t="shared" si="58"/>
        <v>2</v>
      </c>
      <c r="G407" s="24">
        <f t="shared" si="58"/>
        <v>0</v>
      </c>
      <c r="H407" s="18">
        <f t="shared" si="58"/>
        <v>2110</v>
      </c>
    </row>
    <row r="408" spans="1:8" ht="11.25" customHeight="1">
      <c r="A408" s="99">
        <v>2017</v>
      </c>
      <c r="B408" s="24">
        <f t="shared" si="58"/>
        <v>789</v>
      </c>
      <c r="C408" s="24">
        <f t="shared" si="58"/>
        <v>696</v>
      </c>
      <c r="D408" s="24">
        <f t="shared" si="58"/>
        <v>697</v>
      </c>
      <c r="E408" s="24">
        <f t="shared" si="58"/>
        <v>768</v>
      </c>
      <c r="F408" s="24">
        <f t="shared" si="58"/>
        <v>293</v>
      </c>
      <c r="G408" s="24">
        <f t="shared" si="58"/>
        <v>0</v>
      </c>
      <c r="H408" s="18">
        <f t="shared" si="58"/>
        <v>3243</v>
      </c>
    </row>
    <row r="409" spans="1:8" ht="11.25" customHeight="1">
      <c r="A409" s="122">
        <v>2018</v>
      </c>
      <c r="B409" s="24">
        <f t="shared" si="58"/>
        <v>840</v>
      </c>
      <c r="C409" s="24">
        <f t="shared" si="58"/>
        <v>929</v>
      </c>
      <c r="D409" s="24">
        <f t="shared" si="58"/>
        <v>694</v>
      </c>
      <c r="E409" s="24">
        <f t="shared" si="58"/>
        <v>334</v>
      </c>
      <c r="F409" s="24">
        <f t="shared" si="58"/>
        <v>179</v>
      </c>
      <c r="G409" s="24">
        <f t="shared" si="58"/>
        <v>0</v>
      </c>
      <c r="H409" s="18">
        <f t="shared" si="58"/>
        <v>2976</v>
      </c>
    </row>
    <row r="410" spans="1:8" ht="11.25" customHeight="1">
      <c r="A410" s="122">
        <v>2019</v>
      </c>
      <c r="B410" s="24">
        <f t="shared" si="58"/>
        <v>426</v>
      </c>
      <c r="C410" s="24">
        <f t="shared" si="58"/>
        <v>407</v>
      </c>
      <c r="D410" s="24">
        <f t="shared" si="58"/>
        <v>1026</v>
      </c>
      <c r="E410" s="24">
        <f t="shared" si="58"/>
        <v>467</v>
      </c>
      <c r="F410" s="24">
        <f t="shared" si="58"/>
        <v>233</v>
      </c>
      <c r="G410" s="24">
        <f t="shared" si="58"/>
        <v>0</v>
      </c>
      <c r="H410" s="18">
        <f t="shared" si="58"/>
        <v>2559</v>
      </c>
    </row>
    <row r="411" spans="1:8" ht="11.25" customHeight="1">
      <c r="A411" s="122">
        <v>2020</v>
      </c>
      <c r="B411" s="24">
        <f t="shared" ref="B411:H412" si="59">B145</f>
        <v>74</v>
      </c>
      <c r="C411" s="24">
        <f t="shared" si="59"/>
        <v>138</v>
      </c>
      <c r="D411" s="24">
        <f t="shared" si="59"/>
        <v>493</v>
      </c>
      <c r="E411" s="24">
        <f t="shared" si="59"/>
        <v>349</v>
      </c>
      <c r="F411" s="24">
        <f t="shared" si="59"/>
        <v>50</v>
      </c>
      <c r="G411" s="24">
        <f t="shared" si="59"/>
        <v>0</v>
      </c>
      <c r="H411" s="18">
        <f t="shared" si="59"/>
        <v>1104</v>
      </c>
    </row>
    <row r="412" spans="1:8" ht="11.25" customHeight="1">
      <c r="A412" s="122" t="s">
        <v>317</v>
      </c>
      <c r="B412" s="24">
        <f t="shared" si="59"/>
        <v>278</v>
      </c>
      <c r="C412" s="24">
        <f t="shared" si="59"/>
        <v>558</v>
      </c>
      <c r="D412" s="24">
        <f t="shared" si="59"/>
        <v>630</v>
      </c>
      <c r="E412" s="24">
        <f t="shared" si="59"/>
        <v>341</v>
      </c>
      <c r="F412" s="24">
        <f t="shared" si="59"/>
        <v>195</v>
      </c>
      <c r="G412" s="24">
        <f t="shared" si="59"/>
        <v>0</v>
      </c>
      <c r="H412" s="18">
        <f t="shared" si="59"/>
        <v>2002</v>
      </c>
    </row>
    <row r="413" spans="1:8" ht="11.25" customHeight="1"/>
    <row r="414" spans="1:8" ht="11.25" customHeight="1">
      <c r="A414" s="364" t="s">
        <v>293</v>
      </c>
      <c r="B414" s="363"/>
      <c r="C414" s="363"/>
      <c r="D414" s="363"/>
      <c r="E414" s="363"/>
      <c r="F414" s="363"/>
      <c r="G414" s="363"/>
      <c r="H414" s="363"/>
    </row>
    <row r="415" spans="1:8" ht="11.25" customHeight="1">
      <c r="A415" s="361"/>
      <c r="B415" s="361"/>
      <c r="C415" s="361"/>
      <c r="D415" s="361"/>
      <c r="E415" s="361"/>
      <c r="F415" s="361"/>
      <c r="G415" s="361"/>
      <c r="H415" s="361"/>
    </row>
    <row r="416" spans="1:8" ht="11.25" customHeight="1">
      <c r="A416" s="98" t="s">
        <v>27</v>
      </c>
      <c r="B416" s="196" t="s">
        <v>79</v>
      </c>
      <c r="C416" s="196" t="s">
        <v>80</v>
      </c>
      <c r="D416" s="196" t="s">
        <v>81</v>
      </c>
      <c r="E416" s="196" t="s">
        <v>82</v>
      </c>
      <c r="F416" s="196" t="s">
        <v>83</v>
      </c>
      <c r="G416" s="196" t="s">
        <v>84</v>
      </c>
      <c r="H416" s="196" t="s">
        <v>22</v>
      </c>
    </row>
    <row r="417" spans="1:8" ht="11.25" customHeight="1">
      <c r="A417" s="94" t="s">
        <v>86</v>
      </c>
    </row>
    <row r="418" spans="1:8" ht="11.25" customHeight="1">
      <c r="A418" s="99" t="s">
        <v>24</v>
      </c>
      <c r="B418" s="24">
        <f t="shared" ref="B418:H418" si="60">AVERAGE(B154:B158)</f>
        <v>968.8</v>
      </c>
      <c r="C418" s="24">
        <f t="shared" si="60"/>
        <v>58.2</v>
      </c>
      <c r="D418" s="24">
        <f t="shared" si="60"/>
        <v>977</v>
      </c>
      <c r="E418" s="24">
        <f t="shared" si="60"/>
        <v>906.4</v>
      </c>
      <c r="F418" s="24">
        <f t="shared" si="60"/>
        <v>146.4</v>
      </c>
      <c r="G418" s="24">
        <f t="shared" si="60"/>
        <v>0.4</v>
      </c>
      <c r="H418" s="18">
        <f t="shared" si="60"/>
        <v>3057.2</v>
      </c>
    </row>
    <row r="419" spans="1:8" ht="11.25" customHeight="1">
      <c r="A419" s="99" t="s">
        <v>78</v>
      </c>
      <c r="B419" s="24">
        <f t="shared" ref="B419:H419" si="61">AVERAGE(B159:B163)</f>
        <v>342.8</v>
      </c>
      <c r="C419" s="24">
        <f t="shared" si="61"/>
        <v>87</v>
      </c>
      <c r="D419" s="24">
        <f t="shared" si="61"/>
        <v>467</v>
      </c>
      <c r="E419" s="24">
        <f t="shared" si="61"/>
        <v>1162</v>
      </c>
      <c r="F419" s="24">
        <f t="shared" si="61"/>
        <v>850</v>
      </c>
      <c r="G419" s="24">
        <f t="shared" si="61"/>
        <v>22</v>
      </c>
      <c r="H419" s="18">
        <f t="shared" si="61"/>
        <v>1530</v>
      </c>
    </row>
    <row r="420" spans="1:8" ht="11.25" customHeight="1">
      <c r="A420" s="99" t="s">
        <v>10</v>
      </c>
      <c r="B420" s="24">
        <f>AVERAGE(B164:B168)</f>
        <v>153</v>
      </c>
      <c r="C420" s="24">
        <f>AVERAGE(C164:C168)</f>
        <v>52.333333333333336</v>
      </c>
      <c r="D420" s="24">
        <f>AVERAGE(D164:D168)</f>
        <v>113</v>
      </c>
      <c r="E420" s="24">
        <f>AVERAGE(E164:E168)</f>
        <v>325.66666666666669</v>
      </c>
      <c r="F420" s="24">
        <f>AVERAGE(F164:F168)</f>
        <v>154.5</v>
      </c>
      <c r="G420" s="24" t="s">
        <v>23</v>
      </c>
      <c r="H420" s="18">
        <f>AVERAGE(H164:H168)</f>
        <v>709.33333333333337</v>
      </c>
    </row>
    <row r="421" spans="1:8" ht="11.25" customHeight="1">
      <c r="A421" s="99" t="s">
        <v>144</v>
      </c>
      <c r="B421" s="24">
        <f>AVERAGE(B169:B173)</f>
        <v>1.75</v>
      </c>
      <c r="C421" s="24">
        <f>AVERAGE(C169:C173)</f>
        <v>2.25</v>
      </c>
      <c r="D421" s="24" t="s">
        <v>23</v>
      </c>
      <c r="E421" s="24">
        <f>AVERAGE(E169:E173)</f>
        <v>294</v>
      </c>
      <c r="F421" s="24">
        <f>AVERAGE(F169:F173)</f>
        <v>29</v>
      </c>
      <c r="G421" s="24" t="s">
        <v>23</v>
      </c>
      <c r="H421" s="18">
        <f>AVERAGE(H169:H173)</f>
        <v>84.75</v>
      </c>
    </row>
    <row r="422" spans="1:8" ht="11.25" customHeight="1">
      <c r="A422" s="99" t="s">
        <v>166</v>
      </c>
      <c r="B422" s="24">
        <f>AVERAGE(B174:B178)</f>
        <v>92.6</v>
      </c>
      <c r="C422" s="24">
        <f>AVERAGE(C174:C178)</f>
        <v>32.6</v>
      </c>
      <c r="D422" s="24">
        <f>AVERAGE(D174:D178)</f>
        <v>113.6</v>
      </c>
      <c r="E422" s="24">
        <f>AVERAGE(E174:E178)</f>
        <v>181.2</v>
      </c>
      <c r="F422" s="24">
        <f>AVERAGE(F174:F178)</f>
        <v>86</v>
      </c>
      <c r="G422" s="24" t="str">
        <f>G174</f>
        <v>-</v>
      </c>
      <c r="H422" s="18">
        <f>AVERAGE(H174:H178)</f>
        <v>471.6</v>
      </c>
    </row>
    <row r="423" spans="1:8" ht="11.25" customHeight="1">
      <c r="A423" s="99" t="s">
        <v>315</v>
      </c>
      <c r="B423" s="24">
        <f>AVERAGE(B179:B183)</f>
        <v>232.4</v>
      </c>
      <c r="C423" s="24">
        <f t="shared" ref="C423:H423" si="62">AVERAGE(C179:C183)</f>
        <v>238.6</v>
      </c>
      <c r="D423" s="24">
        <f t="shared" si="62"/>
        <v>102</v>
      </c>
      <c r="E423" s="24">
        <f t="shared" si="62"/>
        <v>129</v>
      </c>
      <c r="F423" s="24">
        <f t="shared" si="62"/>
        <v>34.4</v>
      </c>
      <c r="G423" s="24" t="str">
        <f>G179</f>
        <v>-</v>
      </c>
      <c r="H423" s="18">
        <f t="shared" si="62"/>
        <v>736.4</v>
      </c>
    </row>
    <row r="424" spans="1:8" ht="11.25" customHeight="1">
      <c r="A424" s="99">
        <v>2011</v>
      </c>
      <c r="B424" s="24">
        <f t="shared" ref="B424:H432" si="63">B184</f>
        <v>127</v>
      </c>
      <c r="C424" s="24">
        <f t="shared" si="63"/>
        <v>167</v>
      </c>
      <c r="D424" s="24">
        <f t="shared" si="63"/>
        <v>42</v>
      </c>
      <c r="E424" s="24">
        <f t="shared" si="63"/>
        <v>27</v>
      </c>
      <c r="F424" s="24">
        <f t="shared" si="63"/>
        <v>18</v>
      </c>
      <c r="G424" s="24" t="str">
        <f t="shared" si="63"/>
        <v>-</v>
      </c>
      <c r="H424" s="18">
        <f t="shared" si="63"/>
        <v>381</v>
      </c>
    </row>
    <row r="425" spans="1:8" ht="11.25" customHeight="1">
      <c r="A425" s="99">
        <v>2012</v>
      </c>
      <c r="B425" s="24">
        <f t="shared" si="63"/>
        <v>63</v>
      </c>
      <c r="C425" s="24">
        <f t="shared" si="63"/>
        <v>299</v>
      </c>
      <c r="D425" s="24">
        <f t="shared" si="63"/>
        <v>51</v>
      </c>
      <c r="E425" s="24">
        <f t="shared" si="63"/>
        <v>27</v>
      </c>
      <c r="F425" s="24">
        <f t="shared" si="63"/>
        <v>83</v>
      </c>
      <c r="G425" s="24" t="str">
        <f t="shared" si="63"/>
        <v>-</v>
      </c>
      <c r="H425" s="18">
        <f t="shared" si="63"/>
        <v>523</v>
      </c>
    </row>
    <row r="426" spans="1:8" ht="11.25" customHeight="1">
      <c r="A426" s="99">
        <v>2013</v>
      </c>
      <c r="B426" s="24">
        <f t="shared" si="63"/>
        <v>111</v>
      </c>
      <c r="C426" s="24">
        <f t="shared" si="63"/>
        <v>170</v>
      </c>
      <c r="D426" s="24">
        <f t="shared" si="63"/>
        <v>47</v>
      </c>
      <c r="E426" s="24">
        <f t="shared" si="63"/>
        <v>56</v>
      </c>
      <c r="F426" s="24">
        <f t="shared" si="63"/>
        <v>33</v>
      </c>
      <c r="G426" s="24" t="str">
        <f t="shared" si="63"/>
        <v>-</v>
      </c>
      <c r="H426" s="18">
        <f t="shared" si="63"/>
        <v>417</v>
      </c>
    </row>
    <row r="427" spans="1:8" ht="11.25" customHeight="1">
      <c r="A427" s="99">
        <v>2014</v>
      </c>
      <c r="B427" s="24">
        <f t="shared" si="63"/>
        <v>705</v>
      </c>
      <c r="C427" s="24">
        <f t="shared" si="63"/>
        <v>128</v>
      </c>
      <c r="D427" s="24">
        <f t="shared" si="63"/>
        <v>203</v>
      </c>
      <c r="E427" s="24">
        <f t="shared" si="63"/>
        <v>100</v>
      </c>
      <c r="F427" s="24">
        <f t="shared" si="63"/>
        <v>74</v>
      </c>
      <c r="G427" s="24" t="str">
        <f t="shared" si="63"/>
        <v>-</v>
      </c>
      <c r="H427" s="18">
        <f t="shared" si="63"/>
        <v>1210</v>
      </c>
    </row>
    <row r="428" spans="1:8" ht="11.25" customHeight="1">
      <c r="A428" s="99">
        <v>2015</v>
      </c>
      <c r="B428" s="24">
        <f t="shared" si="63"/>
        <v>708</v>
      </c>
      <c r="C428" s="24">
        <f t="shared" si="63"/>
        <v>114</v>
      </c>
      <c r="D428" s="24">
        <f t="shared" si="63"/>
        <v>59</v>
      </c>
      <c r="E428" s="24">
        <f t="shared" si="63"/>
        <v>87</v>
      </c>
      <c r="F428" s="24">
        <f t="shared" si="63"/>
        <v>125</v>
      </c>
      <c r="G428" s="24" t="str">
        <f t="shared" si="63"/>
        <v>-</v>
      </c>
      <c r="H428" s="18">
        <f t="shared" si="63"/>
        <v>1093</v>
      </c>
    </row>
    <row r="429" spans="1:8" ht="11.25" customHeight="1">
      <c r="A429" s="99">
        <v>2016</v>
      </c>
      <c r="B429" s="24">
        <f t="shared" si="63"/>
        <v>149</v>
      </c>
      <c r="C429" s="24">
        <f t="shared" si="63"/>
        <v>130</v>
      </c>
      <c r="D429" s="24">
        <f t="shared" si="63"/>
        <v>51</v>
      </c>
      <c r="E429" s="24">
        <f t="shared" si="63"/>
        <v>83</v>
      </c>
      <c r="F429" s="24" t="str">
        <f t="shared" si="63"/>
        <v>-</v>
      </c>
      <c r="G429" s="24" t="str">
        <f t="shared" si="63"/>
        <v>-</v>
      </c>
      <c r="H429" s="18">
        <f t="shared" si="63"/>
        <v>413</v>
      </c>
    </row>
    <row r="430" spans="1:8" ht="11.25" customHeight="1">
      <c r="A430" s="99">
        <v>2017</v>
      </c>
      <c r="B430" s="24">
        <f t="shared" si="63"/>
        <v>98</v>
      </c>
      <c r="C430" s="24">
        <f t="shared" si="63"/>
        <v>116</v>
      </c>
      <c r="D430" s="24">
        <f t="shared" si="63"/>
        <v>26</v>
      </c>
      <c r="E430" s="24">
        <f t="shared" si="63"/>
        <v>119</v>
      </c>
      <c r="F430" s="24">
        <f t="shared" si="63"/>
        <v>76</v>
      </c>
      <c r="G430" s="24" t="str">
        <f t="shared" si="63"/>
        <v>-</v>
      </c>
      <c r="H430" s="18">
        <f t="shared" si="63"/>
        <v>435</v>
      </c>
    </row>
    <row r="431" spans="1:8" ht="11.25" customHeight="1">
      <c r="A431" s="122">
        <v>2018</v>
      </c>
      <c r="B431" s="24">
        <f t="shared" si="63"/>
        <v>29</v>
      </c>
      <c r="C431" s="24">
        <f t="shared" si="63"/>
        <v>67</v>
      </c>
      <c r="D431" s="24">
        <f t="shared" si="63"/>
        <v>18</v>
      </c>
      <c r="E431" s="24">
        <f t="shared" si="63"/>
        <v>36</v>
      </c>
      <c r="F431" s="24">
        <f t="shared" si="63"/>
        <v>2</v>
      </c>
      <c r="G431" s="24" t="str">
        <f t="shared" si="63"/>
        <v>-</v>
      </c>
      <c r="H431" s="18">
        <f t="shared" si="63"/>
        <v>152</v>
      </c>
    </row>
    <row r="432" spans="1:8" ht="11.25" customHeight="1">
      <c r="A432" s="122">
        <v>2019</v>
      </c>
      <c r="B432" s="24">
        <f t="shared" si="63"/>
        <v>51</v>
      </c>
      <c r="C432" s="24">
        <f t="shared" si="63"/>
        <v>26</v>
      </c>
      <c r="D432" s="24">
        <f t="shared" si="63"/>
        <v>109</v>
      </c>
      <c r="E432" s="24">
        <f t="shared" si="63"/>
        <v>54</v>
      </c>
      <c r="F432" s="24">
        <f t="shared" si="63"/>
        <v>24</v>
      </c>
      <c r="G432" s="24" t="str">
        <f t="shared" si="63"/>
        <v>-</v>
      </c>
      <c r="H432" s="18">
        <f t="shared" si="63"/>
        <v>264</v>
      </c>
    </row>
    <row r="433" spans="1:8" ht="11.25" customHeight="1">
      <c r="A433" s="122">
        <v>2020</v>
      </c>
      <c r="B433" s="24">
        <f t="shared" ref="B433:H434" si="64">B193</f>
        <v>34</v>
      </c>
      <c r="C433" s="24">
        <f t="shared" si="64"/>
        <v>37</v>
      </c>
      <c r="D433" s="24">
        <f t="shared" si="64"/>
        <v>20</v>
      </c>
      <c r="E433" s="24">
        <f t="shared" si="64"/>
        <v>23</v>
      </c>
      <c r="F433" s="24">
        <f t="shared" si="64"/>
        <v>8</v>
      </c>
      <c r="G433" s="24" t="str">
        <f t="shared" si="64"/>
        <v>-</v>
      </c>
      <c r="H433" s="18">
        <f t="shared" si="64"/>
        <v>122</v>
      </c>
    </row>
    <row r="434" spans="1:8" ht="11.25" customHeight="1">
      <c r="A434" s="122" t="s">
        <v>317</v>
      </c>
      <c r="B434" s="24">
        <f t="shared" si="64"/>
        <v>9</v>
      </c>
      <c r="C434" s="24">
        <f t="shared" si="64"/>
        <v>18</v>
      </c>
      <c r="D434" s="24">
        <f t="shared" si="64"/>
        <v>22</v>
      </c>
      <c r="E434" s="24">
        <f t="shared" si="64"/>
        <v>14</v>
      </c>
      <c r="F434" s="24">
        <f t="shared" si="64"/>
        <v>15</v>
      </c>
      <c r="G434" s="24" t="str">
        <f t="shared" si="64"/>
        <v>-</v>
      </c>
      <c r="H434" s="18">
        <f t="shared" si="64"/>
        <v>78</v>
      </c>
    </row>
    <row r="435" spans="1:8" ht="11.25" customHeight="1">
      <c r="H435" s="267"/>
    </row>
    <row r="436" spans="1:8" ht="11.25" customHeight="1">
      <c r="A436" s="94" t="s">
        <v>14</v>
      </c>
      <c r="H436" s="267"/>
    </row>
    <row r="437" spans="1:8" ht="11.25" customHeight="1">
      <c r="A437" s="99" t="s">
        <v>24</v>
      </c>
      <c r="B437" s="24">
        <f>AVERAGE(B202:B206)</f>
        <v>3668.8</v>
      </c>
      <c r="C437" s="24">
        <f t="shared" ref="C437:H437" si="65">AVERAGE(C202:C206)</f>
        <v>305.2</v>
      </c>
      <c r="D437" s="24">
        <f t="shared" si="65"/>
        <v>5497</v>
      </c>
      <c r="E437" s="24">
        <f t="shared" si="65"/>
        <v>3294.4</v>
      </c>
      <c r="F437" s="24">
        <f t="shared" si="65"/>
        <v>149.19999999999999</v>
      </c>
      <c r="G437" s="24">
        <f>(G202+G206)/2</f>
        <v>1</v>
      </c>
      <c r="H437" s="18">
        <f t="shared" si="65"/>
        <v>12915</v>
      </c>
    </row>
    <row r="438" spans="1:8" ht="11.25" customHeight="1">
      <c r="A438" s="99" t="s">
        <v>78</v>
      </c>
      <c r="B438" s="24">
        <f>AVERAGE(B207:B211)</f>
        <v>2598.1999999999998</v>
      </c>
      <c r="C438" s="24">
        <f t="shared" ref="C438:H438" si="66">AVERAGE(C207:C211)</f>
        <v>895.25</v>
      </c>
      <c r="D438" s="24">
        <f t="shared" si="66"/>
        <v>671</v>
      </c>
      <c r="E438" s="24">
        <f t="shared" si="66"/>
        <v>1447.2</v>
      </c>
      <c r="F438" s="24">
        <f t="shared" si="66"/>
        <v>857.5</v>
      </c>
      <c r="G438" s="24">
        <f t="shared" si="66"/>
        <v>22</v>
      </c>
      <c r="H438" s="18">
        <f t="shared" si="66"/>
        <v>5377.4</v>
      </c>
    </row>
    <row r="439" spans="1:8" ht="11.25" customHeight="1">
      <c r="A439" s="99" t="s">
        <v>10</v>
      </c>
      <c r="B439" s="24">
        <f>AVERAGE(B212:B216)</f>
        <v>1731.3333333333333</v>
      </c>
      <c r="C439" s="24">
        <f t="shared" ref="C439:H439" si="67">AVERAGE(C212:C216)</f>
        <v>1106</v>
      </c>
      <c r="D439" s="24">
        <f t="shared" si="67"/>
        <v>887.5</v>
      </c>
      <c r="E439" s="24">
        <f t="shared" si="67"/>
        <v>878.75</v>
      </c>
      <c r="F439" s="24">
        <f t="shared" si="67"/>
        <v>406.66666666666669</v>
      </c>
      <c r="G439" s="24" t="s">
        <v>23</v>
      </c>
      <c r="H439" s="18">
        <f t="shared" si="67"/>
        <v>3755.5</v>
      </c>
    </row>
    <row r="440" spans="1:8" ht="11.25" customHeight="1">
      <c r="A440" s="99" t="s">
        <v>144</v>
      </c>
      <c r="B440" s="24">
        <f>AVERAGE(B217:B221)</f>
        <v>223</v>
      </c>
      <c r="C440" s="24">
        <f t="shared" ref="C440:H440" si="68">AVERAGE(C217:C221)</f>
        <v>126.25</v>
      </c>
      <c r="D440" s="24">
        <f t="shared" si="68"/>
        <v>158</v>
      </c>
      <c r="E440" s="24">
        <f t="shared" si="68"/>
        <v>227.33333333333334</v>
      </c>
      <c r="F440" s="24">
        <f t="shared" si="68"/>
        <v>19</v>
      </c>
      <c r="G440" s="24" t="s">
        <v>23</v>
      </c>
      <c r="H440" s="18">
        <f t="shared" si="68"/>
        <v>486.6</v>
      </c>
    </row>
    <row r="441" spans="1:8" ht="11.25" customHeight="1">
      <c r="A441" s="99" t="s">
        <v>166</v>
      </c>
      <c r="B441" s="24">
        <f>AVERAGE(B222:B226)</f>
        <v>494.6</v>
      </c>
      <c r="C441" s="24">
        <f>AVERAGE(C222:C226)</f>
        <v>173.4</v>
      </c>
      <c r="D441" s="24">
        <f>AVERAGE(D222:D226)</f>
        <v>470.4</v>
      </c>
      <c r="E441" s="24">
        <f>AVERAGE(E222:E226)</f>
        <v>475.4</v>
      </c>
      <c r="F441" s="24">
        <f>AVERAGE(F222:F226)</f>
        <v>166</v>
      </c>
      <c r="G441" s="24" t="str">
        <f>G222</f>
        <v>-</v>
      </c>
      <c r="H441" s="18">
        <f>AVERAGE(H222:H226)</f>
        <v>1713.4</v>
      </c>
    </row>
    <row r="442" spans="1:8" ht="11.25" customHeight="1">
      <c r="A442" s="99" t="s">
        <v>315</v>
      </c>
      <c r="B442" s="24">
        <f>AVERAGE(B227:B231)</f>
        <v>638</v>
      </c>
      <c r="C442" s="24">
        <f t="shared" ref="C442:H442" si="69">AVERAGE(C227:C231)</f>
        <v>717.8</v>
      </c>
      <c r="D442" s="24">
        <f t="shared" si="69"/>
        <v>423.8</v>
      </c>
      <c r="E442" s="24">
        <f t="shared" si="69"/>
        <v>403.2</v>
      </c>
      <c r="F442" s="24">
        <f t="shared" si="69"/>
        <v>117.8</v>
      </c>
      <c r="G442" s="24" t="str">
        <f>G227</f>
        <v>-</v>
      </c>
      <c r="H442" s="18">
        <f t="shared" si="69"/>
        <v>2300.6</v>
      </c>
    </row>
    <row r="443" spans="1:8" ht="11.25" customHeight="1">
      <c r="A443" s="99">
        <v>2011</v>
      </c>
      <c r="B443" s="24">
        <f t="shared" ref="B443:H443" si="70">B232</f>
        <v>733</v>
      </c>
      <c r="C443" s="24">
        <f t="shared" si="70"/>
        <v>823</v>
      </c>
      <c r="D443" s="24">
        <f t="shared" si="70"/>
        <v>490</v>
      </c>
      <c r="E443" s="24">
        <f t="shared" si="70"/>
        <v>235</v>
      </c>
      <c r="F443" s="24">
        <f t="shared" si="70"/>
        <v>72</v>
      </c>
      <c r="G443" s="24" t="str">
        <f t="shared" si="70"/>
        <v>-</v>
      </c>
      <c r="H443" s="18">
        <f t="shared" si="70"/>
        <v>2353</v>
      </c>
    </row>
    <row r="444" spans="1:8" ht="11.25" customHeight="1">
      <c r="A444" s="99">
        <v>2012</v>
      </c>
      <c r="B444" s="24">
        <f t="shared" ref="B444:H444" si="71">B233</f>
        <v>427</v>
      </c>
      <c r="C444" s="24">
        <f t="shared" si="71"/>
        <v>932</v>
      </c>
      <c r="D444" s="24">
        <f t="shared" si="71"/>
        <v>503</v>
      </c>
      <c r="E444" s="24">
        <f t="shared" si="71"/>
        <v>333</v>
      </c>
      <c r="F444" s="24">
        <f t="shared" si="71"/>
        <v>281</v>
      </c>
      <c r="G444" s="24" t="str">
        <f t="shared" si="71"/>
        <v>-</v>
      </c>
      <c r="H444" s="18">
        <f t="shared" si="71"/>
        <v>2476</v>
      </c>
    </row>
    <row r="445" spans="1:8" ht="11.25" customHeight="1">
      <c r="A445" s="99">
        <v>2013</v>
      </c>
      <c r="B445" s="24">
        <f t="shared" ref="B445:H451" si="72">B234</f>
        <v>832</v>
      </c>
      <c r="C445" s="24">
        <f t="shared" si="72"/>
        <v>668</v>
      </c>
      <c r="D445" s="24">
        <f t="shared" si="72"/>
        <v>518</v>
      </c>
      <c r="E445" s="24">
        <f t="shared" si="72"/>
        <v>461</v>
      </c>
      <c r="F445" s="24">
        <f t="shared" si="72"/>
        <v>116</v>
      </c>
      <c r="G445" s="24" t="str">
        <f t="shared" si="72"/>
        <v>-</v>
      </c>
      <c r="H445" s="18">
        <f t="shared" si="72"/>
        <v>2595</v>
      </c>
    </row>
    <row r="446" spans="1:8" ht="11.25" customHeight="1">
      <c r="A446" s="99">
        <v>2014</v>
      </c>
      <c r="B446" s="24">
        <f t="shared" si="72"/>
        <v>1294</v>
      </c>
      <c r="C446" s="24">
        <f t="shared" si="72"/>
        <v>316</v>
      </c>
      <c r="D446" s="24">
        <f t="shared" si="72"/>
        <v>600</v>
      </c>
      <c r="E446" s="24">
        <f t="shared" si="72"/>
        <v>437</v>
      </c>
      <c r="F446" s="24">
        <f t="shared" si="72"/>
        <v>191</v>
      </c>
      <c r="G446" s="24" t="str">
        <f t="shared" si="72"/>
        <v>-</v>
      </c>
      <c r="H446" s="18">
        <f t="shared" si="72"/>
        <v>2838</v>
      </c>
    </row>
    <row r="447" spans="1:8" ht="11.25" customHeight="1">
      <c r="A447" s="99">
        <v>2015</v>
      </c>
      <c r="B447" s="24">
        <f t="shared" si="72"/>
        <v>1526</v>
      </c>
      <c r="C447" s="24">
        <f t="shared" si="72"/>
        <v>598</v>
      </c>
      <c r="D447" s="24">
        <f t="shared" si="72"/>
        <v>550</v>
      </c>
      <c r="E447" s="24">
        <f t="shared" si="72"/>
        <v>537</v>
      </c>
      <c r="F447" s="24">
        <f t="shared" si="72"/>
        <v>252</v>
      </c>
      <c r="G447" s="24" t="str">
        <f t="shared" si="72"/>
        <v>-</v>
      </c>
      <c r="H447" s="18">
        <f t="shared" si="72"/>
        <v>3463</v>
      </c>
    </row>
    <row r="448" spans="1:8" ht="11.25" customHeight="1">
      <c r="A448" s="99">
        <v>2016</v>
      </c>
      <c r="B448" s="24">
        <f t="shared" si="72"/>
        <v>796</v>
      </c>
      <c r="C448" s="24">
        <f t="shared" si="72"/>
        <v>489</v>
      </c>
      <c r="D448" s="24">
        <f t="shared" si="72"/>
        <v>299</v>
      </c>
      <c r="E448" s="24">
        <f t="shared" si="72"/>
        <v>269</v>
      </c>
      <c r="F448" s="24" t="str">
        <f t="shared" si="72"/>
        <v>-</v>
      </c>
      <c r="G448" s="24" t="str">
        <f t="shared" si="72"/>
        <v>-</v>
      </c>
      <c r="H448" s="18">
        <f t="shared" si="72"/>
        <v>1853</v>
      </c>
    </row>
    <row r="449" spans="1:8" ht="11.25" customHeight="1">
      <c r="A449" s="99">
        <v>2017</v>
      </c>
      <c r="B449" s="24">
        <f t="shared" si="72"/>
        <v>860</v>
      </c>
      <c r="C449" s="24">
        <f t="shared" si="72"/>
        <v>722</v>
      </c>
      <c r="D449" s="24">
        <f t="shared" si="72"/>
        <v>406</v>
      </c>
      <c r="E449" s="24">
        <f t="shared" si="72"/>
        <v>530</v>
      </c>
      <c r="F449" s="24">
        <f t="shared" si="72"/>
        <v>197</v>
      </c>
      <c r="G449" s="24" t="str">
        <f t="shared" si="72"/>
        <v>-</v>
      </c>
      <c r="H449" s="18">
        <f t="shared" si="72"/>
        <v>2715</v>
      </c>
    </row>
    <row r="450" spans="1:8" ht="11.25" customHeight="1">
      <c r="A450" s="122">
        <v>2018</v>
      </c>
      <c r="B450" s="24">
        <f t="shared" si="72"/>
        <v>770</v>
      </c>
      <c r="C450" s="24">
        <f t="shared" si="72"/>
        <v>741</v>
      </c>
      <c r="D450" s="24">
        <f t="shared" si="72"/>
        <v>440</v>
      </c>
      <c r="E450" s="24">
        <f t="shared" si="72"/>
        <v>225</v>
      </c>
      <c r="F450" s="24">
        <f t="shared" si="72"/>
        <v>71</v>
      </c>
      <c r="G450" s="24" t="str">
        <f t="shared" si="72"/>
        <v>-</v>
      </c>
      <c r="H450" s="18">
        <f t="shared" si="72"/>
        <v>2247</v>
      </c>
    </row>
    <row r="451" spans="1:8" ht="11.25" customHeight="1">
      <c r="A451" s="122">
        <v>2019</v>
      </c>
      <c r="B451" s="24">
        <f t="shared" si="72"/>
        <v>412</v>
      </c>
      <c r="C451" s="24">
        <f t="shared" si="72"/>
        <v>361</v>
      </c>
      <c r="D451" s="24">
        <f t="shared" si="72"/>
        <v>770</v>
      </c>
      <c r="E451" s="24">
        <f t="shared" si="72"/>
        <v>245</v>
      </c>
      <c r="F451" s="24">
        <f t="shared" si="72"/>
        <v>137</v>
      </c>
      <c r="G451" s="24" t="str">
        <f t="shared" si="72"/>
        <v>-</v>
      </c>
      <c r="H451" s="18">
        <f t="shared" si="72"/>
        <v>1925</v>
      </c>
    </row>
    <row r="452" spans="1:8" ht="11.25" customHeight="1">
      <c r="A452" s="122">
        <v>2020</v>
      </c>
      <c r="B452" s="24">
        <f t="shared" ref="B452:H453" si="73">B241</f>
        <v>107</v>
      </c>
      <c r="C452" s="24">
        <f t="shared" si="73"/>
        <v>173</v>
      </c>
      <c r="D452" s="24">
        <f t="shared" si="73"/>
        <v>484</v>
      </c>
      <c r="E452" s="24">
        <f t="shared" si="73"/>
        <v>250</v>
      </c>
      <c r="F452" s="24">
        <f t="shared" si="73"/>
        <v>27</v>
      </c>
      <c r="G452" s="24" t="str">
        <f t="shared" si="73"/>
        <v>-</v>
      </c>
      <c r="H452" s="18">
        <f t="shared" si="73"/>
        <v>1041</v>
      </c>
    </row>
    <row r="453" spans="1:8" ht="11.25" customHeight="1">
      <c r="A453" s="122" t="s">
        <v>317</v>
      </c>
      <c r="B453" s="24">
        <f t="shared" si="73"/>
        <v>259</v>
      </c>
      <c r="C453" s="24">
        <f t="shared" si="73"/>
        <v>476</v>
      </c>
      <c r="D453" s="24">
        <f t="shared" si="73"/>
        <v>517</v>
      </c>
      <c r="E453" s="24">
        <f t="shared" si="73"/>
        <v>254</v>
      </c>
      <c r="F453" s="24">
        <f t="shared" si="73"/>
        <v>134</v>
      </c>
      <c r="G453" s="24" t="str">
        <f t="shared" si="73"/>
        <v>-</v>
      </c>
      <c r="H453" s="18">
        <f t="shared" si="73"/>
        <v>1640</v>
      </c>
    </row>
    <row r="454" spans="1:8" ht="11.25" customHeight="1">
      <c r="H454" s="267"/>
    </row>
    <row r="455" spans="1:8">
      <c r="A455" s="94" t="s">
        <v>294</v>
      </c>
      <c r="H455" s="267"/>
    </row>
    <row r="456" spans="1:8" ht="11.25" customHeight="1">
      <c r="A456" s="99" t="s">
        <v>24</v>
      </c>
      <c r="B456" s="24">
        <f>AVERAGE(B250:B254)</f>
        <v>79</v>
      </c>
      <c r="C456" s="24">
        <f t="shared" ref="C456:H456" si="74">AVERAGE(C250:C254)</f>
        <v>140.6</v>
      </c>
      <c r="D456" s="24">
        <f t="shared" si="74"/>
        <v>284.39999999999998</v>
      </c>
      <c r="E456" s="24">
        <f t="shared" si="74"/>
        <v>312.8</v>
      </c>
      <c r="F456" s="24">
        <f t="shared" si="74"/>
        <v>146.19999999999999</v>
      </c>
      <c r="G456" s="24">
        <f t="shared" si="74"/>
        <v>17</v>
      </c>
      <c r="H456" s="18">
        <f t="shared" si="74"/>
        <v>963</v>
      </c>
    </row>
    <row r="457" spans="1:8" ht="11.25" customHeight="1">
      <c r="A457" s="99" t="s">
        <v>78</v>
      </c>
      <c r="B457" s="24">
        <f>AVERAGE(B255:B259)</f>
        <v>138</v>
      </c>
      <c r="C457" s="24">
        <f t="shared" ref="C457:H457" si="75">AVERAGE(C255:C259)</f>
        <v>167.6</v>
      </c>
      <c r="D457" s="24">
        <f t="shared" si="75"/>
        <v>433.6</v>
      </c>
      <c r="E457" s="24">
        <f t="shared" si="75"/>
        <v>460</v>
      </c>
      <c r="F457" s="24">
        <f t="shared" si="75"/>
        <v>160.6</v>
      </c>
      <c r="G457" s="24">
        <f t="shared" si="75"/>
        <v>1.6</v>
      </c>
      <c r="H457" s="18">
        <f t="shared" si="75"/>
        <v>1359.8</v>
      </c>
    </row>
    <row r="458" spans="1:8" ht="11.25" customHeight="1">
      <c r="A458" s="99" t="s">
        <v>10</v>
      </c>
      <c r="B458" s="24">
        <f>AVERAGE(B260:B264)</f>
        <v>69</v>
      </c>
      <c r="C458" s="24">
        <f t="shared" ref="C458:H458" si="76">AVERAGE(C260:C264)</f>
        <v>71.400000000000006</v>
      </c>
      <c r="D458" s="24">
        <f t="shared" si="76"/>
        <v>182.4</v>
      </c>
      <c r="E458" s="24">
        <f t="shared" si="76"/>
        <v>311.2</v>
      </c>
      <c r="F458" s="24">
        <f t="shared" si="76"/>
        <v>47.6</v>
      </c>
      <c r="G458" s="24">
        <f t="shared" si="76"/>
        <v>10.199999999999999</v>
      </c>
      <c r="H458" s="18">
        <f t="shared" si="76"/>
        <v>681.6</v>
      </c>
    </row>
    <row r="459" spans="1:8" ht="11.25" customHeight="1">
      <c r="A459" s="99" t="s">
        <v>144</v>
      </c>
      <c r="B459" s="24">
        <f>AVERAGE(B265:B269)</f>
        <v>31.4</v>
      </c>
      <c r="C459" s="24">
        <f t="shared" ref="C459:H459" si="77">AVERAGE(C265:C269)</f>
        <v>37.6</v>
      </c>
      <c r="D459" s="24">
        <f t="shared" si="77"/>
        <v>11</v>
      </c>
      <c r="E459" s="24">
        <f t="shared" si="77"/>
        <v>95.8</v>
      </c>
      <c r="F459" s="24">
        <f t="shared" si="77"/>
        <v>53.2</v>
      </c>
      <c r="G459" s="24" t="s">
        <v>23</v>
      </c>
      <c r="H459" s="18">
        <f t="shared" si="77"/>
        <v>229</v>
      </c>
    </row>
    <row r="460" spans="1:8" ht="11.25" customHeight="1">
      <c r="A460" s="99" t="s">
        <v>166</v>
      </c>
      <c r="B460" s="24">
        <f>AVERAGE(B270:B274)</f>
        <v>46.6</v>
      </c>
      <c r="C460" s="24">
        <f>AVERAGE(C270:C274)</f>
        <v>65.8</v>
      </c>
      <c r="D460" s="24">
        <f>AVERAGE(D270:D274)</f>
        <v>99.8</v>
      </c>
      <c r="E460" s="24">
        <f>AVERAGE(E270:E274)</f>
        <v>116.4</v>
      </c>
      <c r="F460" s="24">
        <f>AVERAGE(F270:F274)</f>
        <v>68.599999999999994</v>
      </c>
      <c r="G460" s="24" t="str">
        <f>G270</f>
        <v>-</v>
      </c>
      <c r="H460" s="18">
        <f>AVERAGE(H270:H274)</f>
        <v>397.2</v>
      </c>
    </row>
    <row r="461" spans="1:8" ht="11.25" customHeight="1">
      <c r="A461" s="99" t="s">
        <v>315</v>
      </c>
      <c r="B461" s="24">
        <f>AVERAGE(B275:B279)</f>
        <v>77</v>
      </c>
      <c r="C461" s="24">
        <f t="shared" ref="C461:H461" si="78">AVERAGE(C275:C279)</f>
        <v>237.6</v>
      </c>
      <c r="D461" s="24">
        <f t="shared" si="78"/>
        <v>169.2</v>
      </c>
      <c r="E461" s="24">
        <f t="shared" si="78"/>
        <v>191.4</v>
      </c>
      <c r="F461" s="24">
        <f t="shared" si="78"/>
        <v>56.6</v>
      </c>
      <c r="G461" s="24">
        <f t="shared" si="78"/>
        <v>2.8</v>
      </c>
      <c r="H461" s="18">
        <f t="shared" si="78"/>
        <v>731.8</v>
      </c>
    </row>
    <row r="462" spans="1:8" ht="11.25" customHeight="1">
      <c r="A462" s="99">
        <v>2011</v>
      </c>
      <c r="B462" s="24">
        <f t="shared" ref="B462:H462" si="79">B280</f>
        <v>92</v>
      </c>
      <c r="C462" s="24">
        <f t="shared" si="79"/>
        <v>192</v>
      </c>
      <c r="D462" s="24">
        <f t="shared" si="79"/>
        <v>152</v>
      </c>
      <c r="E462" s="24">
        <f t="shared" si="79"/>
        <v>140</v>
      </c>
      <c r="F462" s="24">
        <f t="shared" si="79"/>
        <v>24</v>
      </c>
      <c r="G462" s="24">
        <f t="shared" si="79"/>
        <v>1</v>
      </c>
      <c r="H462" s="18">
        <f t="shared" si="79"/>
        <v>600</v>
      </c>
    </row>
    <row r="463" spans="1:8" ht="11.25" customHeight="1">
      <c r="A463" s="99">
        <v>2012</v>
      </c>
      <c r="B463" s="24">
        <f t="shared" ref="B463:H463" si="80">B281</f>
        <v>144</v>
      </c>
      <c r="C463" s="24">
        <f t="shared" si="80"/>
        <v>269</v>
      </c>
      <c r="D463" s="24">
        <f t="shared" si="80"/>
        <v>214</v>
      </c>
      <c r="E463" s="24">
        <f t="shared" si="80"/>
        <v>229</v>
      </c>
      <c r="F463" s="24">
        <f t="shared" si="80"/>
        <v>104</v>
      </c>
      <c r="G463" s="24">
        <f t="shared" si="80"/>
        <v>4</v>
      </c>
      <c r="H463" s="18">
        <f t="shared" si="80"/>
        <v>960</v>
      </c>
    </row>
    <row r="464" spans="1:8" ht="11.25" customHeight="1">
      <c r="A464" s="99">
        <v>2013</v>
      </c>
      <c r="B464" s="24">
        <f t="shared" ref="B464:H470" si="81">B282</f>
        <v>279</v>
      </c>
      <c r="C464" s="24">
        <f t="shared" si="81"/>
        <v>206</v>
      </c>
      <c r="D464" s="24">
        <f t="shared" si="81"/>
        <v>369</v>
      </c>
      <c r="E464" s="24">
        <f t="shared" si="81"/>
        <v>583</v>
      </c>
      <c r="F464" s="24">
        <f t="shared" si="81"/>
        <v>159</v>
      </c>
      <c r="G464" s="24">
        <f t="shared" si="81"/>
        <v>0</v>
      </c>
      <c r="H464" s="18">
        <f t="shared" si="81"/>
        <v>1596</v>
      </c>
    </row>
    <row r="465" spans="1:8" ht="11.25" customHeight="1">
      <c r="A465" s="99">
        <v>2014</v>
      </c>
      <c r="B465" s="24">
        <f t="shared" si="81"/>
        <v>196</v>
      </c>
      <c r="C465" s="24">
        <f t="shared" si="81"/>
        <v>295</v>
      </c>
      <c r="D465" s="24">
        <f t="shared" si="81"/>
        <v>465</v>
      </c>
      <c r="E465" s="24">
        <f t="shared" si="81"/>
        <v>419</v>
      </c>
      <c r="F465" s="24">
        <f t="shared" si="81"/>
        <v>152</v>
      </c>
      <c r="G465" s="24">
        <f t="shared" si="81"/>
        <v>0</v>
      </c>
      <c r="H465" s="18">
        <f t="shared" si="81"/>
        <v>1527</v>
      </c>
    </row>
    <row r="466" spans="1:8" ht="11.25" customHeight="1">
      <c r="A466" s="99">
        <v>2015</v>
      </c>
      <c r="B466" s="24">
        <f t="shared" si="81"/>
        <v>324</v>
      </c>
      <c r="C466" s="24">
        <f t="shared" si="81"/>
        <v>380</v>
      </c>
      <c r="D466" s="24">
        <f t="shared" si="81"/>
        <v>389</v>
      </c>
      <c r="E466" s="24">
        <f t="shared" si="81"/>
        <v>261</v>
      </c>
      <c r="F466" s="24">
        <f t="shared" si="81"/>
        <v>104</v>
      </c>
      <c r="G466" s="24">
        <f t="shared" si="81"/>
        <v>0</v>
      </c>
      <c r="H466" s="18">
        <f t="shared" si="81"/>
        <v>1458</v>
      </c>
    </row>
    <row r="467" spans="1:8" ht="11.25" customHeight="1">
      <c r="A467" s="99">
        <v>2016</v>
      </c>
      <c r="B467" s="24">
        <f t="shared" si="81"/>
        <v>204</v>
      </c>
      <c r="C467" s="24">
        <f t="shared" si="81"/>
        <v>233</v>
      </c>
      <c r="D467" s="24">
        <f t="shared" si="81"/>
        <v>141</v>
      </c>
      <c r="E467" s="24">
        <f t="shared" si="81"/>
        <v>90</v>
      </c>
      <c r="F467" s="24">
        <f t="shared" si="81"/>
        <v>2</v>
      </c>
      <c r="G467" s="24">
        <f t="shared" si="81"/>
        <v>0</v>
      </c>
      <c r="H467" s="18">
        <f t="shared" si="81"/>
        <v>670</v>
      </c>
    </row>
    <row r="468" spans="1:8" ht="11.25" customHeight="1">
      <c r="A468" s="99">
        <v>2017</v>
      </c>
      <c r="B468" s="24">
        <f t="shared" si="81"/>
        <v>27</v>
      </c>
      <c r="C468" s="24">
        <f t="shared" si="81"/>
        <v>90</v>
      </c>
      <c r="D468" s="24">
        <f t="shared" si="81"/>
        <v>317</v>
      </c>
      <c r="E468" s="24">
        <f t="shared" si="81"/>
        <v>357</v>
      </c>
      <c r="F468" s="24">
        <f t="shared" si="81"/>
        <v>172</v>
      </c>
      <c r="G468" s="24">
        <f t="shared" si="81"/>
        <v>0</v>
      </c>
      <c r="H468" s="18">
        <f t="shared" si="81"/>
        <v>963</v>
      </c>
    </row>
    <row r="469" spans="1:8" ht="11.25" customHeight="1">
      <c r="A469" s="122">
        <v>2018</v>
      </c>
      <c r="B469" s="24">
        <f t="shared" si="81"/>
        <v>99</v>
      </c>
      <c r="C469" s="24">
        <f t="shared" si="81"/>
        <v>255</v>
      </c>
      <c r="D469" s="24">
        <f t="shared" si="81"/>
        <v>272</v>
      </c>
      <c r="E469" s="24">
        <f t="shared" si="81"/>
        <v>145</v>
      </c>
      <c r="F469" s="24">
        <f t="shared" si="81"/>
        <v>110</v>
      </c>
      <c r="G469" s="24">
        <f t="shared" si="81"/>
        <v>0</v>
      </c>
      <c r="H469" s="18">
        <f t="shared" si="81"/>
        <v>881</v>
      </c>
    </row>
    <row r="470" spans="1:8" ht="11.25" customHeight="1">
      <c r="A470" s="122">
        <v>2019</v>
      </c>
      <c r="B470" s="24">
        <f t="shared" si="81"/>
        <v>65</v>
      </c>
      <c r="C470" s="24">
        <f t="shared" si="81"/>
        <v>72</v>
      </c>
      <c r="D470" s="24">
        <f t="shared" si="81"/>
        <v>365</v>
      </c>
      <c r="E470" s="24">
        <f t="shared" si="81"/>
        <v>276</v>
      </c>
      <c r="F470" s="24">
        <f t="shared" si="81"/>
        <v>120</v>
      </c>
      <c r="G470" s="24">
        <f t="shared" si="81"/>
        <v>0</v>
      </c>
      <c r="H470" s="18">
        <f t="shared" si="81"/>
        <v>898</v>
      </c>
    </row>
    <row r="471" spans="1:8" ht="11.25" customHeight="1">
      <c r="A471" s="122">
        <v>2020</v>
      </c>
      <c r="B471" s="24">
        <f t="shared" ref="B471:H472" si="82">B289</f>
        <v>1</v>
      </c>
      <c r="C471" s="24">
        <f t="shared" si="82"/>
        <v>2</v>
      </c>
      <c r="D471" s="24">
        <f t="shared" si="82"/>
        <v>29</v>
      </c>
      <c r="E471" s="24">
        <f t="shared" si="82"/>
        <v>122</v>
      </c>
      <c r="F471" s="24">
        <f t="shared" si="82"/>
        <v>31</v>
      </c>
      <c r="G471" s="24">
        <f t="shared" si="82"/>
        <v>0</v>
      </c>
      <c r="H471" s="18">
        <f t="shared" si="82"/>
        <v>185</v>
      </c>
    </row>
    <row r="472" spans="1:8" ht="11.25" customHeight="1">
      <c r="A472" s="122" t="s">
        <v>317</v>
      </c>
      <c r="B472" s="24">
        <f t="shared" si="82"/>
        <v>28</v>
      </c>
      <c r="C472" s="24">
        <f t="shared" si="82"/>
        <v>100</v>
      </c>
      <c r="D472" s="24">
        <f t="shared" si="82"/>
        <v>135</v>
      </c>
      <c r="E472" s="24">
        <f t="shared" si="82"/>
        <v>101</v>
      </c>
      <c r="F472" s="24">
        <f t="shared" si="82"/>
        <v>76</v>
      </c>
      <c r="G472" s="24">
        <f t="shared" si="82"/>
        <v>0</v>
      </c>
      <c r="H472" s="18">
        <f t="shared" si="82"/>
        <v>440</v>
      </c>
    </row>
    <row r="473" spans="1:8" ht="11.25" customHeight="1"/>
    <row r="474" spans="1:8" ht="11.25" customHeight="1">
      <c r="A474" s="364" t="s">
        <v>295</v>
      </c>
      <c r="B474" s="363"/>
      <c r="C474" s="363"/>
      <c r="D474" s="363"/>
      <c r="E474" s="363"/>
      <c r="F474" s="363"/>
      <c r="G474" s="363"/>
      <c r="H474" s="363"/>
    </row>
    <row r="475" spans="1:8" ht="11.25" customHeight="1">
      <c r="A475" s="361"/>
      <c r="B475" s="361"/>
      <c r="C475" s="361"/>
      <c r="D475" s="361"/>
      <c r="E475" s="361"/>
      <c r="F475" s="361"/>
      <c r="G475" s="361"/>
      <c r="H475" s="361"/>
    </row>
    <row r="476" spans="1:8" ht="11.25" customHeight="1">
      <c r="A476" s="98" t="s">
        <v>27</v>
      </c>
      <c r="B476" s="196" t="s">
        <v>79</v>
      </c>
      <c r="C476" s="196" t="s">
        <v>80</v>
      </c>
      <c r="D476" s="196" t="s">
        <v>81</v>
      </c>
      <c r="E476" s="196" t="s">
        <v>82</v>
      </c>
      <c r="F476" s="196" t="s">
        <v>83</v>
      </c>
      <c r="G476" s="196" t="s">
        <v>84</v>
      </c>
      <c r="H476" s="196" t="s">
        <v>22</v>
      </c>
    </row>
    <row r="477" spans="1:8">
      <c r="A477" s="103" t="s">
        <v>296</v>
      </c>
    </row>
    <row r="478" spans="1:8" ht="11.25" customHeight="1">
      <c r="A478" s="99" t="s">
        <v>24</v>
      </c>
      <c r="B478" s="24">
        <f>AVERAGE(B298:B302)</f>
        <v>3747.8</v>
      </c>
      <c r="C478" s="24">
        <f t="shared" ref="C478:H478" si="83">AVERAGE(C298:C302)</f>
        <v>445.8</v>
      </c>
      <c r="D478" s="24">
        <f t="shared" si="83"/>
        <v>5781.4</v>
      </c>
      <c r="E478" s="24">
        <f t="shared" si="83"/>
        <v>3607.2</v>
      </c>
      <c r="F478" s="24">
        <f t="shared" si="83"/>
        <v>295.39999999999998</v>
      </c>
      <c r="G478" s="24">
        <f>AVERAGE(G298:G302)</f>
        <v>17.399999999999999</v>
      </c>
      <c r="H478" s="18">
        <f t="shared" si="83"/>
        <v>13878</v>
      </c>
    </row>
    <row r="479" spans="1:8" ht="11.25" customHeight="1">
      <c r="A479" s="99" t="s">
        <v>78</v>
      </c>
      <c r="B479" s="24">
        <f>AVERAGE(B303:B307)</f>
        <v>2736.2</v>
      </c>
      <c r="C479" s="24">
        <f t="shared" ref="C479:H479" si="84">AVERAGE(C303:C307)</f>
        <v>883.8</v>
      </c>
      <c r="D479" s="24">
        <f t="shared" si="84"/>
        <v>702</v>
      </c>
      <c r="E479" s="24">
        <f t="shared" si="84"/>
        <v>1907.2</v>
      </c>
      <c r="F479" s="24">
        <f t="shared" si="84"/>
        <v>503.6</v>
      </c>
      <c r="G479" s="24">
        <f t="shared" si="84"/>
        <v>6</v>
      </c>
      <c r="H479" s="18">
        <f t="shared" si="84"/>
        <v>6737.2</v>
      </c>
    </row>
    <row r="480" spans="1:8" ht="11.25" customHeight="1">
      <c r="A480" s="99" t="s">
        <v>10</v>
      </c>
      <c r="B480" s="24">
        <f>AVERAGE(B308:B312)</f>
        <v>1107.8</v>
      </c>
      <c r="C480" s="24">
        <f t="shared" ref="C480:H480" si="85">AVERAGE(C308:C312)</f>
        <v>735</v>
      </c>
      <c r="D480" s="24">
        <f t="shared" si="85"/>
        <v>537.4</v>
      </c>
      <c r="E480" s="24">
        <f t="shared" si="85"/>
        <v>1014.2</v>
      </c>
      <c r="F480" s="24">
        <f t="shared" si="85"/>
        <v>291.60000000000002</v>
      </c>
      <c r="G480" s="24">
        <f>AVERAGE(G308:G312)</f>
        <v>10.199999999999999</v>
      </c>
      <c r="H480" s="18">
        <f t="shared" si="85"/>
        <v>3686</v>
      </c>
    </row>
    <row r="481" spans="1:8" ht="11.25" customHeight="1">
      <c r="A481" s="99" t="s">
        <v>144</v>
      </c>
      <c r="B481" s="24">
        <f>AVERAGE(B313:B317)</f>
        <v>209.8</v>
      </c>
      <c r="C481" s="24">
        <f t="shared" ref="C481:H481" si="86">AVERAGE(C313:C317)</f>
        <v>138.6</v>
      </c>
      <c r="D481" s="24">
        <f t="shared" si="86"/>
        <v>74.2</v>
      </c>
      <c r="E481" s="24">
        <f t="shared" si="86"/>
        <v>232.2</v>
      </c>
      <c r="F481" s="24">
        <f t="shared" si="86"/>
        <v>60.8</v>
      </c>
      <c r="G481" s="24" t="s">
        <v>23</v>
      </c>
      <c r="H481" s="18">
        <f t="shared" si="86"/>
        <v>715.6</v>
      </c>
    </row>
    <row r="482" spans="1:8" ht="11.25" customHeight="1">
      <c r="A482" s="99" t="s">
        <v>166</v>
      </c>
      <c r="B482" s="24">
        <f>AVERAGE(B318:B322)</f>
        <v>541.20000000000005</v>
      </c>
      <c r="C482" s="24">
        <f t="shared" ref="C482:H482" si="87">AVERAGE(C318:C322)</f>
        <v>239.2</v>
      </c>
      <c r="D482" s="24">
        <f t="shared" si="87"/>
        <v>570.20000000000005</v>
      </c>
      <c r="E482" s="24">
        <f t="shared" si="87"/>
        <v>591.79999999999995</v>
      </c>
      <c r="F482" s="24">
        <f t="shared" si="87"/>
        <v>168.2</v>
      </c>
      <c r="G482" s="24">
        <f t="shared" si="87"/>
        <v>10</v>
      </c>
      <c r="H482" s="18">
        <f t="shared" si="87"/>
        <v>2110.6</v>
      </c>
    </row>
    <row r="483" spans="1:8" ht="11.25" customHeight="1">
      <c r="A483" s="99" t="s">
        <v>315</v>
      </c>
      <c r="B483" s="24">
        <f>AVERAGE(B323:B327)</f>
        <v>715</v>
      </c>
      <c r="C483" s="24">
        <f t="shared" ref="C483:H483" si="88">AVERAGE(C323:C327)</f>
        <v>955.4</v>
      </c>
      <c r="D483" s="24">
        <f t="shared" si="88"/>
        <v>593</v>
      </c>
      <c r="E483" s="24">
        <f t="shared" si="88"/>
        <v>594.6</v>
      </c>
      <c r="F483" s="24">
        <f t="shared" si="88"/>
        <v>174.4</v>
      </c>
      <c r="G483" s="24">
        <f t="shared" si="88"/>
        <v>2.8</v>
      </c>
      <c r="H483" s="18">
        <f t="shared" si="88"/>
        <v>3032.4</v>
      </c>
    </row>
    <row r="484" spans="1:8" ht="11.25" customHeight="1">
      <c r="A484" s="99">
        <v>2011</v>
      </c>
      <c r="B484" s="24">
        <f t="shared" ref="B484:H484" si="89">B328</f>
        <v>825</v>
      </c>
      <c r="C484" s="24">
        <f t="shared" si="89"/>
        <v>1015</v>
      </c>
      <c r="D484" s="24">
        <f t="shared" si="89"/>
        <v>642</v>
      </c>
      <c r="E484" s="24">
        <f t="shared" si="89"/>
        <v>375</v>
      </c>
      <c r="F484" s="24">
        <f t="shared" si="89"/>
        <v>96</v>
      </c>
      <c r="G484" s="24">
        <f t="shared" si="89"/>
        <v>1</v>
      </c>
      <c r="H484" s="18">
        <f t="shared" si="89"/>
        <v>2953</v>
      </c>
    </row>
    <row r="485" spans="1:8" ht="11.25" customHeight="1">
      <c r="A485" s="99">
        <v>2012</v>
      </c>
      <c r="B485" s="24">
        <f t="shared" ref="B485:H485" si="90">B329</f>
        <v>571</v>
      </c>
      <c r="C485" s="24">
        <f t="shared" si="90"/>
        <v>1201</v>
      </c>
      <c r="D485" s="24">
        <f t="shared" si="90"/>
        <v>717</v>
      </c>
      <c r="E485" s="24">
        <f t="shared" si="90"/>
        <v>562</v>
      </c>
      <c r="F485" s="24">
        <f t="shared" si="90"/>
        <v>385</v>
      </c>
      <c r="G485" s="24">
        <f t="shared" si="90"/>
        <v>4</v>
      </c>
      <c r="H485" s="18">
        <f t="shared" si="90"/>
        <v>3436</v>
      </c>
    </row>
    <row r="486" spans="1:8" ht="11.25" customHeight="1">
      <c r="A486" s="99">
        <v>2013</v>
      </c>
      <c r="B486" s="24">
        <f t="shared" ref="B486:H492" si="91">B330</f>
        <v>1111</v>
      </c>
      <c r="C486" s="24">
        <f t="shared" si="91"/>
        <v>874</v>
      </c>
      <c r="D486" s="24">
        <f t="shared" si="91"/>
        <v>887</v>
      </c>
      <c r="E486" s="24">
        <f t="shared" si="91"/>
        <v>1044</v>
      </c>
      <c r="F486" s="24">
        <f t="shared" si="91"/>
        <v>275</v>
      </c>
      <c r="G486" s="24">
        <f t="shared" si="91"/>
        <v>0</v>
      </c>
      <c r="H486" s="18">
        <f t="shared" si="91"/>
        <v>4191</v>
      </c>
    </row>
    <row r="487" spans="1:8" ht="11.25" customHeight="1">
      <c r="A487" s="99">
        <v>2014</v>
      </c>
      <c r="B487" s="24">
        <f t="shared" si="91"/>
        <v>1490</v>
      </c>
      <c r="C487" s="24">
        <f t="shared" si="91"/>
        <v>611</v>
      </c>
      <c r="D487" s="24">
        <f t="shared" si="91"/>
        <v>1065</v>
      </c>
      <c r="E487" s="24">
        <f t="shared" si="91"/>
        <v>856</v>
      </c>
      <c r="F487" s="24">
        <f t="shared" si="91"/>
        <v>343</v>
      </c>
      <c r="G487" s="24">
        <f t="shared" si="91"/>
        <v>0</v>
      </c>
      <c r="H487" s="18">
        <f t="shared" si="91"/>
        <v>4365</v>
      </c>
    </row>
    <row r="488" spans="1:8" ht="11.25" customHeight="1">
      <c r="A488" s="99">
        <v>2015</v>
      </c>
      <c r="B488" s="24">
        <f t="shared" si="91"/>
        <v>1850</v>
      </c>
      <c r="C488" s="24">
        <f t="shared" si="91"/>
        <v>978</v>
      </c>
      <c r="D488" s="24">
        <f t="shared" si="91"/>
        <v>939</v>
      </c>
      <c r="E488" s="24">
        <f t="shared" si="91"/>
        <v>798</v>
      </c>
      <c r="F488" s="24">
        <f t="shared" si="91"/>
        <v>356</v>
      </c>
      <c r="G488" s="24">
        <f t="shared" si="91"/>
        <v>0</v>
      </c>
      <c r="H488" s="18">
        <f t="shared" si="91"/>
        <v>4921</v>
      </c>
    </row>
    <row r="489" spans="1:8" ht="11.25" customHeight="1">
      <c r="A489" s="99">
        <v>2016</v>
      </c>
      <c r="B489" s="24">
        <f t="shared" si="91"/>
        <v>1000</v>
      </c>
      <c r="C489" s="24">
        <f t="shared" si="91"/>
        <v>722</v>
      </c>
      <c r="D489" s="24">
        <f t="shared" si="91"/>
        <v>440</v>
      </c>
      <c r="E489" s="24">
        <f t="shared" si="91"/>
        <v>359</v>
      </c>
      <c r="F489" s="24">
        <f t="shared" si="91"/>
        <v>2</v>
      </c>
      <c r="G489" s="24">
        <f t="shared" si="91"/>
        <v>0</v>
      </c>
      <c r="H489" s="18">
        <f t="shared" si="91"/>
        <v>2523</v>
      </c>
    </row>
    <row r="490" spans="1:8" ht="11.25" customHeight="1">
      <c r="A490" s="99">
        <v>2017</v>
      </c>
      <c r="B490" s="24">
        <f t="shared" si="91"/>
        <v>887</v>
      </c>
      <c r="C490" s="24">
        <f t="shared" si="91"/>
        <v>812</v>
      </c>
      <c r="D490" s="24">
        <f t="shared" si="91"/>
        <v>723</v>
      </c>
      <c r="E490" s="24">
        <f t="shared" si="91"/>
        <v>887</v>
      </c>
      <c r="F490" s="24">
        <f t="shared" si="91"/>
        <v>369</v>
      </c>
      <c r="G490" s="24">
        <f t="shared" si="91"/>
        <v>0</v>
      </c>
      <c r="H490" s="18">
        <f t="shared" si="91"/>
        <v>3678</v>
      </c>
    </row>
    <row r="491" spans="1:8" ht="11.25" customHeight="1">
      <c r="A491" s="122">
        <v>2018</v>
      </c>
      <c r="B491" s="24">
        <f t="shared" si="91"/>
        <v>869</v>
      </c>
      <c r="C491" s="24">
        <f t="shared" si="91"/>
        <v>996</v>
      </c>
      <c r="D491" s="24">
        <f t="shared" si="91"/>
        <v>712</v>
      </c>
      <c r="E491" s="24">
        <f t="shared" si="91"/>
        <v>370</v>
      </c>
      <c r="F491" s="24">
        <f t="shared" si="91"/>
        <v>181</v>
      </c>
      <c r="G491" s="24">
        <f t="shared" si="91"/>
        <v>0</v>
      </c>
      <c r="H491" s="18">
        <f t="shared" si="91"/>
        <v>3128</v>
      </c>
    </row>
    <row r="492" spans="1:8" ht="11.25" customHeight="1">
      <c r="A492" s="122">
        <v>2019</v>
      </c>
      <c r="B492" s="24">
        <f t="shared" si="91"/>
        <v>477</v>
      </c>
      <c r="C492" s="24">
        <f t="shared" si="91"/>
        <v>433</v>
      </c>
      <c r="D492" s="24">
        <f t="shared" si="91"/>
        <v>1135</v>
      </c>
      <c r="E492" s="24">
        <f t="shared" si="91"/>
        <v>521</v>
      </c>
      <c r="F492" s="24">
        <f t="shared" si="91"/>
        <v>257</v>
      </c>
      <c r="G492" s="24">
        <f t="shared" si="91"/>
        <v>0</v>
      </c>
      <c r="H492" s="18">
        <f t="shared" si="91"/>
        <v>2823</v>
      </c>
    </row>
    <row r="493" spans="1:8" ht="11.25" customHeight="1">
      <c r="A493" s="122">
        <v>2020</v>
      </c>
      <c r="B493" s="24">
        <f t="shared" ref="B493:H494" si="92">B337</f>
        <v>108</v>
      </c>
      <c r="C493" s="24">
        <f t="shared" si="92"/>
        <v>175</v>
      </c>
      <c r="D493" s="24">
        <f t="shared" si="92"/>
        <v>513</v>
      </c>
      <c r="E493" s="24">
        <f t="shared" si="92"/>
        <v>372</v>
      </c>
      <c r="F493" s="24">
        <f t="shared" si="92"/>
        <v>58</v>
      </c>
      <c r="G493" s="24">
        <f t="shared" si="92"/>
        <v>0</v>
      </c>
      <c r="H493" s="18">
        <f t="shared" si="92"/>
        <v>1226</v>
      </c>
    </row>
    <row r="494" spans="1:8" ht="11.25" customHeight="1">
      <c r="A494" s="122" t="s">
        <v>317</v>
      </c>
      <c r="B494" s="24">
        <f t="shared" si="92"/>
        <v>287</v>
      </c>
      <c r="C494" s="24">
        <f t="shared" si="92"/>
        <v>576</v>
      </c>
      <c r="D494" s="24">
        <f t="shared" si="92"/>
        <v>652</v>
      </c>
      <c r="E494" s="24">
        <f t="shared" si="92"/>
        <v>355</v>
      </c>
      <c r="F494" s="24">
        <f t="shared" si="92"/>
        <v>210</v>
      </c>
      <c r="G494" s="24">
        <f t="shared" si="92"/>
        <v>0</v>
      </c>
      <c r="H494" s="18">
        <f t="shared" si="92"/>
        <v>2080</v>
      </c>
    </row>
    <row r="495" spans="1:8" ht="24" customHeight="1">
      <c r="A495" s="358" t="s">
        <v>88</v>
      </c>
      <c r="B495" s="358"/>
      <c r="C495" s="358"/>
      <c r="D495" s="358"/>
      <c r="E495" s="358"/>
      <c r="F495" s="358"/>
      <c r="G495" s="358"/>
      <c r="H495" s="358"/>
    </row>
    <row r="496" spans="1:8" ht="11.25" customHeight="1">
      <c r="A496" s="365" t="s">
        <v>42</v>
      </c>
      <c r="B496" s="365"/>
      <c r="C496" s="365"/>
      <c r="D496" s="365"/>
      <c r="E496" s="365"/>
      <c r="F496" s="365"/>
      <c r="G496" s="365"/>
      <c r="H496" s="365"/>
    </row>
    <row r="497" spans="1:8" ht="11.25" customHeight="1">
      <c r="A497" s="359" t="s">
        <v>173</v>
      </c>
      <c r="B497" s="359"/>
      <c r="C497" s="359"/>
      <c r="D497" s="359"/>
      <c r="E497" s="359"/>
      <c r="F497" s="359"/>
      <c r="G497" s="359"/>
      <c r="H497" s="359"/>
    </row>
    <row r="498" spans="1:8" ht="21.75" customHeight="1">
      <c r="A498" s="359"/>
      <c r="B498" s="359"/>
      <c r="C498" s="359"/>
      <c r="D498" s="359"/>
      <c r="E498" s="359"/>
      <c r="F498" s="359"/>
      <c r="G498" s="359"/>
      <c r="H498" s="359"/>
    </row>
    <row r="499" spans="1:8" ht="11.25" customHeight="1"/>
    <row r="500" spans="1:8" ht="11.25" customHeight="1"/>
    <row r="501" spans="1:8" ht="11.25" customHeight="1"/>
    <row r="502" spans="1:8" ht="11.25" customHeight="1"/>
    <row r="503" spans="1:8" ht="11.25" customHeight="1"/>
    <row r="504" spans="1:8" ht="11.25" customHeight="1"/>
    <row r="505" spans="1:8" ht="11.25" customHeight="1"/>
    <row r="506" spans="1:8" ht="11.25" customHeight="1"/>
    <row r="507" spans="1:8" ht="11.25" customHeight="1"/>
    <row r="508" spans="1:8" ht="11.25" customHeight="1"/>
    <row r="509" spans="1:8" ht="11.25" customHeight="1"/>
    <row r="510" spans="1:8" ht="11.25" customHeight="1"/>
    <row r="511" spans="1:8" ht="11.25" customHeight="1"/>
    <row r="512" spans="1:8" ht="11.25" customHeight="1"/>
    <row r="513" ht="11.25" customHeight="1"/>
    <row r="514" ht="11.25" customHeight="1"/>
    <row r="515" ht="11.25" customHeight="1"/>
    <row r="516" ht="11.25" customHeight="1"/>
    <row r="517" ht="11.25" customHeight="1"/>
    <row r="518" ht="11.25" customHeight="1"/>
    <row r="519" ht="11.25" customHeight="1"/>
    <row r="520" ht="11.25" customHeight="1"/>
    <row r="521" ht="11.25" customHeight="1"/>
    <row r="522" ht="11.25" customHeight="1"/>
    <row r="523" ht="11.25" customHeight="1"/>
    <row r="524" ht="11.25" customHeight="1"/>
    <row r="525" ht="11.25" customHeight="1"/>
    <row r="526" ht="11.25" customHeight="1"/>
    <row r="527" ht="11.25" customHeight="1"/>
    <row r="528" ht="11.25" customHeight="1"/>
  </sheetData>
  <mergeCells count="10">
    <mergeCell ref="A474:H475"/>
    <mergeCell ref="A414:H415"/>
    <mergeCell ref="A496:H496"/>
    <mergeCell ref="A497:H498"/>
    <mergeCell ref="A495:H495"/>
    <mergeCell ref="A1:H2"/>
    <mergeCell ref="A341:H341"/>
    <mergeCell ref="A339:H340"/>
    <mergeCell ref="A342:H343"/>
    <mergeCell ref="A349:H350"/>
  </mergeCells>
  <pageMargins left="0.7" right="0.7" top="0.75" bottom="0.75" header="0.3" footer="0.3"/>
  <pageSetup scale="94" orientation="portrait" r:id="rId1"/>
  <rowBreaks count="2" manualBreakCount="2">
    <brk id="413" max="7" man="1"/>
    <brk id="473" max="7"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58"/>
  <dimension ref="A1:Q499"/>
  <sheetViews>
    <sheetView showGridLines="0" topLeftCell="A460" zoomScaleNormal="100" zoomScaleSheetLayoutView="100" workbookViewId="0">
      <selection activeCell="N421" sqref="N421"/>
    </sheetView>
  </sheetViews>
  <sheetFormatPr baseColWidth="10" defaultColWidth="9" defaultRowHeight="16"/>
  <cols>
    <col min="1" max="1" width="9" style="218"/>
    <col min="2" max="2" width="6.83203125" style="218" bestFit="1" customWidth="1"/>
    <col min="3" max="3" width="7.1640625" style="218" bestFit="1" customWidth="1"/>
    <col min="4" max="6" width="6.5" style="218" bestFit="1" customWidth="1"/>
    <col min="7" max="7" width="5.6640625" style="218" bestFit="1" customWidth="1"/>
    <col min="8" max="8" width="7.1640625" style="218" bestFit="1" customWidth="1"/>
    <col min="9" max="9" width="6.33203125" style="218" customWidth="1"/>
    <col min="10" max="10" width="5.6640625" style="218" bestFit="1" customWidth="1"/>
    <col min="11" max="14" width="7.1640625" style="218" bestFit="1" customWidth="1"/>
    <col min="15" max="15" width="5.6640625" style="218" bestFit="1" customWidth="1"/>
    <col min="16" max="16" width="8.33203125" style="218" bestFit="1" customWidth="1"/>
    <col min="17" max="16384" width="9" style="218"/>
  </cols>
  <sheetData>
    <row r="1" spans="1:16" ht="11.25" customHeight="1">
      <c r="A1" s="283" t="s">
        <v>233</v>
      </c>
      <c r="B1" s="283"/>
      <c r="C1" s="283"/>
      <c r="D1" s="283"/>
      <c r="E1" s="283"/>
      <c r="F1" s="283"/>
      <c r="G1" s="283"/>
      <c r="H1" s="283"/>
      <c r="I1" s="283"/>
      <c r="J1" s="283"/>
      <c r="K1" s="283"/>
      <c r="L1" s="283"/>
      <c r="M1" s="283"/>
      <c r="N1" s="283"/>
      <c r="O1" s="283"/>
      <c r="P1" s="283"/>
    </row>
    <row r="2" spans="1:16" ht="11.25" customHeight="1">
      <c r="A2" s="98" t="s">
        <v>27</v>
      </c>
      <c r="B2" s="196" t="s">
        <v>29</v>
      </c>
      <c r="C2" s="196" t="s">
        <v>30</v>
      </c>
      <c r="D2" s="196" t="s">
        <v>89</v>
      </c>
      <c r="E2" s="196" t="s">
        <v>90</v>
      </c>
      <c r="F2" s="196" t="s">
        <v>33</v>
      </c>
      <c r="G2" s="196" t="s">
        <v>34</v>
      </c>
      <c r="H2" s="196" t="s">
        <v>22</v>
      </c>
      <c r="I2" s="196"/>
      <c r="J2" s="196" t="s">
        <v>29</v>
      </c>
      <c r="K2" s="196" t="s">
        <v>30</v>
      </c>
      <c r="L2" s="196" t="s">
        <v>91</v>
      </c>
      <c r="M2" s="196" t="s">
        <v>92</v>
      </c>
      <c r="N2" s="196" t="s">
        <v>33</v>
      </c>
      <c r="O2" s="196" t="s">
        <v>34</v>
      </c>
      <c r="P2" s="196" t="s">
        <v>22</v>
      </c>
    </row>
    <row r="3" spans="1:16" ht="11.25" customHeight="1">
      <c r="B3" s="334" t="s">
        <v>61</v>
      </c>
      <c r="C3" s="334"/>
      <c r="D3" s="334"/>
      <c r="E3" s="334"/>
      <c r="F3" s="334"/>
      <c r="G3" s="334"/>
      <c r="H3" s="334"/>
      <c r="I3" s="14"/>
      <c r="J3" s="334" t="s">
        <v>62</v>
      </c>
      <c r="K3" s="334"/>
      <c r="L3" s="334"/>
      <c r="M3" s="334"/>
      <c r="N3" s="334"/>
      <c r="O3" s="334"/>
      <c r="P3" s="334"/>
    </row>
    <row r="4" spans="1:16" ht="11.25" customHeight="1">
      <c r="A4" s="94" t="s">
        <v>85</v>
      </c>
    </row>
    <row r="5" spans="1:16" ht="11.25" customHeight="1">
      <c r="A5" s="99">
        <v>1976</v>
      </c>
      <c r="B5" s="24">
        <f>IF(AND('A-13'!B6="-",'A-13'!B54="-",'A-13'!B102="-"),"-",SUM('A-13'!B6,'A-13'!B54,'A-13'!B102))</f>
        <v>57430</v>
      </c>
      <c r="C5" s="24">
        <f>IF(AND('A-13'!C6="-",'A-13'!C54="-",'A-13'!C102="-"),"-",SUM('A-13'!C6,'A-13'!C54,'A-13'!C102))</f>
        <v>76322</v>
      </c>
      <c r="D5" s="24">
        <f>IF(AND('A-13'!D6="-",'A-13'!D54="-",'A-13'!D102="-"),"-",SUM('A-13'!D6,'A-13'!D54,'A-13'!D102))</f>
        <v>81854</v>
      </c>
      <c r="E5" s="24">
        <f>IF(AND('A-13'!E6="-",'A-13'!E54="-",'A-13'!E102="-"),"-",SUM('A-13'!E6,'A-13'!E54,'A-13'!E102))</f>
        <v>53648</v>
      </c>
      <c r="F5" s="24">
        <f>IF(AND('A-13'!F6="-",'A-13'!F54="-",'A-13'!F102="-"),"-",SUM('A-13'!F6,'A-13'!F54,'A-13'!F102))</f>
        <v>19697</v>
      </c>
      <c r="G5" s="24" t="s">
        <v>23</v>
      </c>
      <c r="H5" s="24">
        <f>IF(AND('A-13'!G6="-",'A-13'!G54="-",'A-13'!G102="-"),"-",SUM('A-13'!G6,'A-13'!G54,'A-13'!G102))</f>
        <v>288951</v>
      </c>
      <c r="J5" s="24" t="s">
        <v>23</v>
      </c>
      <c r="K5" s="24">
        <v>134856</v>
      </c>
      <c r="L5" s="24">
        <f>IF(AND('A-13'!K6="-",'A-13'!K54="-",'A-13'!K102="-"),"-",SUM('A-13'!K6,'A-13'!K54,'A-13'!K102))</f>
        <v>499452</v>
      </c>
      <c r="M5" s="24">
        <f>IF(AND('A-13'!L6="-",'A-13'!L54="-",'A-13'!L102="-"),"-",SUM('A-13'!L6,'A-13'!L54,'A-13'!L102))</f>
        <v>258775</v>
      </c>
      <c r="N5" s="24">
        <f>IF(AND('A-13'!M6="-",'A-13'!M54="-",'A-13'!M102="-"),"-",SUM('A-13'!M6,'A-13'!M54,'A-13'!M102))</f>
        <v>128020</v>
      </c>
      <c r="O5" s="24" t="s">
        <v>23</v>
      </c>
      <c r="P5" s="24">
        <f>IF(AND('A-13'!N6="-",'A-13'!N54="-",'A-13'!N102="-"),"-",SUM('A-13'!N6,'A-13'!N54,'A-13'!N102))</f>
        <v>1021103</v>
      </c>
    </row>
    <row r="6" spans="1:16" ht="11.25" customHeight="1">
      <c r="A6" s="99">
        <v>1977</v>
      </c>
      <c r="B6" s="24">
        <f>IF(AND('A-13'!B7="-",'A-13'!B55="-",'A-13'!B103="-"),"-",SUM('A-13'!B7,'A-13'!B55,'A-13'!B103))</f>
        <v>46722</v>
      </c>
      <c r="C6" s="24">
        <f>IF(AND('A-13'!C7="-",'A-13'!C55="-",'A-13'!C103="-"),"-",SUM('A-13'!C7,'A-13'!C55,'A-13'!C103))</f>
        <v>25453</v>
      </c>
      <c r="D6" s="24">
        <f>IF(AND('A-13'!D7="-",'A-13'!D55="-",'A-13'!D103="-"),"-",SUM('A-13'!D7,'A-13'!D55,'A-13'!D103))</f>
        <v>56333</v>
      </c>
      <c r="E6" s="24">
        <f>IF(AND('A-13'!E7="-",'A-13'!E55="-",'A-13'!E103="-"),"-",SUM('A-13'!E7,'A-13'!E55,'A-13'!E103))</f>
        <v>29972</v>
      </c>
      <c r="F6" s="24">
        <f>IF(AND('A-13'!F7="-",'A-13'!F55="-",'A-13'!F103="-"),"-",SUM('A-13'!F7,'A-13'!F55,'A-13'!F103))</f>
        <v>18689</v>
      </c>
      <c r="G6" s="24" t="s">
        <v>23</v>
      </c>
      <c r="H6" s="24">
        <f>IF(AND('A-13'!G7="-",'A-13'!G55="-",'A-13'!G103="-"),"-",SUM('A-13'!G7,'A-13'!G55,'A-13'!G103))</f>
        <v>177169</v>
      </c>
      <c r="J6" s="24" t="s">
        <v>23</v>
      </c>
      <c r="K6" s="24" t="s">
        <v>23</v>
      </c>
      <c r="L6" s="24">
        <f>IF(AND('A-13'!K7="-",'A-13'!K55="-",'A-13'!K103="-"),"-",SUM('A-13'!K7,'A-13'!K55,'A-13'!K103))</f>
        <v>306448</v>
      </c>
      <c r="M6" s="24">
        <f>IF(AND('A-13'!L7="-",'A-13'!L55="-",'A-13'!L103="-"),"-",SUM('A-13'!L7,'A-13'!L55,'A-13'!L103))</f>
        <v>167596</v>
      </c>
      <c r="N6" s="24">
        <f>IF(AND('A-13'!M7="-",'A-13'!M55="-",'A-13'!M103="-"),"-",SUM('A-13'!M7,'A-13'!M55,'A-13'!M103))</f>
        <v>82743</v>
      </c>
      <c r="O6" s="24" t="s">
        <v>23</v>
      </c>
      <c r="P6" s="24">
        <f>IF(AND('A-13'!N7="-",'A-13'!N55="-",'A-13'!N103="-"),"-",SUM('A-13'!N7,'A-13'!N55,'A-13'!N103))</f>
        <v>556787</v>
      </c>
    </row>
    <row r="7" spans="1:16" ht="11.25" customHeight="1">
      <c r="A7" s="99">
        <v>1978</v>
      </c>
      <c r="B7" s="24">
        <f>IF(AND('A-13'!B8="-",'A-13'!B56="-",'A-13'!B104="-"),"-",SUM('A-13'!B8,'A-13'!B56,'A-13'!B104))</f>
        <v>23878</v>
      </c>
      <c r="C7" s="24">
        <f>IF(AND('A-13'!C8="-",'A-13'!C56="-",'A-13'!C104="-"),"-",SUM('A-13'!C8,'A-13'!C56,'A-13'!C104))</f>
        <v>19173</v>
      </c>
      <c r="D7" s="24">
        <f>IF(AND('A-13'!D8="-",'A-13'!D56="-",'A-13'!D104="-"),"-",SUM('A-13'!D8,'A-13'!D56,'A-13'!D104))</f>
        <v>42433</v>
      </c>
      <c r="E7" s="24">
        <f>IF(AND('A-13'!E8="-",'A-13'!E56="-",'A-13'!E104="-"),"-",SUM('A-13'!E8,'A-13'!E56,'A-13'!E104))</f>
        <v>24994</v>
      </c>
      <c r="F7" s="24">
        <f>IF(AND('A-13'!F8="-",'A-13'!F56="-",'A-13'!F104="-"),"-",SUM('A-13'!F8,'A-13'!F56,'A-13'!F104))</f>
        <v>8518</v>
      </c>
      <c r="G7" s="24" t="s">
        <v>23</v>
      </c>
      <c r="H7" s="24">
        <f>IF(AND('A-13'!G8="-",'A-13'!G56="-",'A-13'!G104="-"),"-",SUM('A-13'!G8,'A-13'!G56,'A-13'!G104))</f>
        <v>118996</v>
      </c>
      <c r="J7" s="24" t="s">
        <v>23</v>
      </c>
      <c r="K7" s="24" t="s">
        <v>23</v>
      </c>
      <c r="L7" s="24">
        <f>IF(AND('A-13'!K8="-",'A-13'!K56="-",'A-13'!K104="-"),"-",SUM('A-13'!K8,'A-13'!K56,'A-13'!K104))</f>
        <v>256721</v>
      </c>
      <c r="M7" s="24">
        <f>IF(AND('A-13'!L8="-",'A-13'!L56="-",'A-13'!L104="-"),"-",SUM('A-13'!L8,'A-13'!L56,'A-13'!L104))</f>
        <v>100315</v>
      </c>
      <c r="N7" s="24">
        <f>IF(AND('A-13'!M8="-",'A-13'!M56="-",'A-13'!M104="-"),"-",SUM('A-13'!M8,'A-13'!M56,'A-13'!M104))</f>
        <v>97811</v>
      </c>
      <c r="O7" s="24" t="s">
        <v>23</v>
      </c>
      <c r="P7" s="24">
        <f>IF(AND('A-13'!N8="-",'A-13'!N56="-",'A-13'!N104="-"),"-",SUM('A-13'!N8,'A-13'!N56,'A-13'!N104))</f>
        <v>454847</v>
      </c>
    </row>
    <row r="8" spans="1:16" ht="11.25" customHeight="1">
      <c r="A8" s="99">
        <v>1979</v>
      </c>
      <c r="B8" s="24">
        <f>IF(AND('A-13'!B9="-",'A-13'!B57="-",'A-13'!B105="-"),"-",SUM('A-13'!B9,'A-13'!B57,'A-13'!B105))</f>
        <v>43379</v>
      </c>
      <c r="C8" s="24">
        <f>IF(AND('A-13'!C9="-",'A-13'!C57="-",'A-13'!C105="-"),"-",SUM('A-13'!C9,'A-13'!C57,'A-13'!C105))</f>
        <v>299</v>
      </c>
      <c r="D8" s="24">
        <f>IF(AND('A-13'!D9="-",'A-13'!D57="-",'A-13'!D105="-"),"-",SUM('A-13'!D9,'A-13'!D57,'A-13'!D105))</f>
        <v>33803</v>
      </c>
      <c r="E8" s="24">
        <f>IF(AND('A-13'!E9="-",'A-13'!E57="-",'A-13'!E105="-"),"-",SUM('A-13'!E9,'A-13'!E57,'A-13'!E105))</f>
        <v>35078</v>
      </c>
      <c r="F8" s="24">
        <f>IF(AND('A-13'!F9="-",'A-13'!F57="-",'A-13'!F105="-"),"-",SUM('A-13'!F9,'A-13'!F57,'A-13'!F105))</f>
        <v>358</v>
      </c>
      <c r="G8" s="24" t="s">
        <v>23</v>
      </c>
      <c r="H8" s="24">
        <f>IF(AND('A-13'!G9="-",'A-13'!G57="-",'A-13'!G105="-"),"-",SUM('A-13'!G9,'A-13'!G57,'A-13'!G105))</f>
        <v>112917</v>
      </c>
      <c r="J8" s="24" t="s">
        <v>23</v>
      </c>
      <c r="K8" s="24" t="s">
        <v>23</v>
      </c>
      <c r="L8" s="24">
        <f>IF(AND('A-13'!K9="-",'A-13'!K57="-",'A-13'!K105="-"),"-",SUM('A-13'!K9,'A-13'!K57,'A-13'!K105))</f>
        <v>285233</v>
      </c>
      <c r="M8" s="24">
        <f>IF(AND('A-13'!L9="-",'A-13'!L57="-",'A-13'!L105="-"),"-",SUM('A-13'!L9,'A-13'!L57,'A-13'!L105))</f>
        <v>229487</v>
      </c>
      <c r="N8" s="24">
        <f>IF(AND('A-13'!M9="-",'A-13'!M57="-",'A-13'!M105="-"),"-",SUM('A-13'!M9,'A-13'!M57,'A-13'!M105))</f>
        <v>2555</v>
      </c>
      <c r="O8" s="24" t="s">
        <v>23</v>
      </c>
      <c r="P8" s="24">
        <f>IF(AND('A-13'!N9="-",'A-13'!N57="-",'A-13'!N105="-"),"-",SUM('A-13'!N9,'A-13'!N57,'A-13'!N105))</f>
        <v>517275</v>
      </c>
    </row>
    <row r="9" spans="1:16" ht="11.25" customHeight="1">
      <c r="A9" s="99">
        <v>1980</v>
      </c>
      <c r="B9" s="24">
        <f>IF(AND('A-13'!B10="-",'A-13'!B58="-",'A-13'!B106="-"),"-",SUM('A-13'!B10,'A-13'!B58,'A-13'!B106))</f>
        <v>37397</v>
      </c>
      <c r="C9" s="24">
        <f>IF(AND('A-13'!C10="-",'A-13'!C58="-",'A-13'!C106="-"),"-",SUM('A-13'!C10,'A-13'!C58,'A-13'!C106))</f>
        <v>2097</v>
      </c>
      <c r="D9" s="24">
        <f>IF(AND('A-13'!D10="-",'A-13'!D58="-",'A-13'!D106="-"),"-",SUM('A-13'!D10,'A-13'!D58,'A-13'!D106))</f>
        <v>40763</v>
      </c>
      <c r="E9" s="24">
        <f>IF(AND('A-13'!E10="-",'A-13'!E58="-",'A-13'!E106="-"),"-",SUM('A-13'!E10,'A-13'!E58,'A-13'!E106))</f>
        <v>21722</v>
      </c>
      <c r="F9" s="24">
        <f>IF(AND('A-13'!F10="-",'A-13'!F58="-",'A-13'!F106="-"),"-",SUM('A-13'!F10,'A-13'!F58,'A-13'!F106))</f>
        <v>17</v>
      </c>
      <c r="G9" s="24" t="s">
        <v>23</v>
      </c>
      <c r="H9" s="24">
        <f>IF(AND('A-13'!G10="-",'A-13'!G58="-",'A-13'!G106="-"),"-",SUM('A-13'!G10,'A-13'!G58,'A-13'!G106))</f>
        <v>101996</v>
      </c>
      <c r="J9" s="24">
        <v>97</v>
      </c>
      <c r="K9" s="24" t="s">
        <v>23</v>
      </c>
      <c r="L9" s="24">
        <f>IF(AND('A-13'!K10="-",'A-13'!K58="-",'A-13'!K106="-"),"-",SUM('A-13'!K10,'A-13'!K58,'A-13'!K106))</f>
        <v>168781</v>
      </c>
      <c r="M9" s="24">
        <f>IF(AND('A-13'!L10="-",'A-13'!L58="-",'A-13'!L106="-"),"-",SUM('A-13'!L10,'A-13'!L58,'A-13'!L106))</f>
        <v>117825</v>
      </c>
      <c r="N9" s="24">
        <f>IF(AND('A-13'!M10="-",'A-13'!M58="-",'A-13'!M106="-"),"-",SUM('A-13'!M10,'A-13'!M58,'A-13'!M106))</f>
        <v>18</v>
      </c>
      <c r="O9" s="24" t="s">
        <v>23</v>
      </c>
      <c r="P9" s="24">
        <f>IF(AND('A-13'!N10="-",'A-13'!N58="-",'A-13'!N106="-"),"-",SUM('A-13'!N10,'A-13'!N58,'A-13'!N106))</f>
        <v>286721</v>
      </c>
    </row>
    <row r="10" spans="1:16" ht="11.25" customHeight="1">
      <c r="A10" s="99">
        <v>1981</v>
      </c>
      <c r="B10" s="24">
        <f>IF(AND('A-13'!B11="-",'A-13'!B59="-",'A-13'!B107="-"),"-",SUM('A-13'!B11,'A-13'!B59,'A-13'!B107))</f>
        <v>36873</v>
      </c>
      <c r="C10" s="24">
        <f>IF(AND('A-13'!C11="-",'A-13'!C59="-",'A-13'!C107="-"),"-",SUM('A-13'!C11,'A-13'!C59,'A-13'!C107))</f>
        <v>2540</v>
      </c>
      <c r="D10" s="24">
        <f>IF(AND('A-13'!D11="-",'A-13'!D59="-",'A-13'!D107="-"),"-",SUM('A-13'!D11,'A-13'!D59,'A-13'!D107))</f>
        <v>23080</v>
      </c>
      <c r="E10" s="24">
        <f>IF(AND('A-13'!E11="-",'A-13'!E59="-",'A-13'!E107="-"),"-",SUM('A-13'!E11,'A-13'!E59,'A-13'!E107))</f>
        <v>17317</v>
      </c>
      <c r="F10" s="24" t="str">
        <f>IF(AND('A-13'!F11="-",'A-13'!F59="-",'A-13'!F107="-"),"-",SUM('A-13'!F11,'A-13'!F59,'A-13'!F107))</f>
        <v>-</v>
      </c>
      <c r="G10" s="24" t="s">
        <v>23</v>
      </c>
      <c r="H10" s="24">
        <f>IF(AND('A-13'!G11="-",'A-13'!G59="-",'A-13'!G107="-"),"-",SUM('A-13'!G11,'A-13'!G59,'A-13'!G107))</f>
        <v>79810</v>
      </c>
      <c r="J10" s="24" t="s">
        <v>23</v>
      </c>
      <c r="K10" s="24" t="s">
        <v>23</v>
      </c>
      <c r="L10" s="24">
        <f>IF(AND('A-13'!K11="-",'A-13'!K59="-",'A-13'!K107="-"),"-",SUM('A-13'!K11,'A-13'!K59,'A-13'!K107))</f>
        <v>173877</v>
      </c>
      <c r="M10" s="24">
        <f>IF(AND('A-13'!L11="-",'A-13'!L59="-",'A-13'!L107="-"),"-",SUM('A-13'!L11,'A-13'!L59,'A-13'!L107))</f>
        <v>98473</v>
      </c>
      <c r="N10" s="24" t="str">
        <f>IF(AND('A-13'!M11="-",'A-13'!M59="-",'A-13'!M107="-"),"-",SUM('A-13'!M11,'A-13'!M59,'A-13'!M107))</f>
        <v>-</v>
      </c>
      <c r="O10" s="24" t="s">
        <v>23</v>
      </c>
      <c r="P10" s="24">
        <f>IF(AND('A-13'!N11="-",'A-13'!N59="-",'A-13'!N107="-"),"-",SUM('A-13'!N11,'A-13'!N59,'A-13'!N107))</f>
        <v>272350</v>
      </c>
    </row>
    <row r="11" spans="1:16" ht="11.25" customHeight="1">
      <c r="A11" s="99">
        <v>1982</v>
      </c>
      <c r="B11" s="24">
        <f>IF(AND('A-13'!B12="-",'A-13'!B60="-",'A-13'!B108="-"),"-",SUM('A-13'!B12,'A-13'!B60,'A-13'!B108))</f>
        <v>43719</v>
      </c>
      <c r="C11" s="24">
        <f>IF(AND('A-13'!C12="-",'A-13'!C60="-",'A-13'!C108="-"),"-",SUM('A-13'!C12,'A-13'!C60,'A-13'!C108))</f>
        <v>7105</v>
      </c>
      <c r="D11" s="24">
        <f>IF(AND('A-13'!D12="-",'A-13'!D60="-",'A-13'!D108="-"),"-",SUM('A-13'!D12,'A-13'!D60,'A-13'!D108))</f>
        <v>51891</v>
      </c>
      <c r="E11" s="24">
        <f>IF(AND('A-13'!E12="-",'A-13'!E60="-",'A-13'!E108="-"),"-",SUM('A-13'!E12,'A-13'!E60,'A-13'!E108))</f>
        <v>347</v>
      </c>
      <c r="F11" s="24" t="str">
        <f>IF(AND('A-13'!F12="-",'A-13'!F60="-",'A-13'!F108="-"),"-",SUM('A-13'!F12,'A-13'!F60,'A-13'!F108))</f>
        <v>-</v>
      </c>
      <c r="G11" s="24" t="s">
        <v>23</v>
      </c>
      <c r="H11" s="24">
        <f>IF(AND('A-13'!G12="-",'A-13'!G60="-",'A-13'!G108="-"),"-",SUM('A-13'!G12,'A-13'!G60,'A-13'!G108))</f>
        <v>103062</v>
      </c>
      <c r="J11" s="24" t="s">
        <v>23</v>
      </c>
      <c r="K11" s="24" t="s">
        <v>23</v>
      </c>
      <c r="L11" s="24">
        <f>IF(AND('A-13'!K12="-",'A-13'!K60="-",'A-13'!K108="-"),"-",SUM('A-13'!K12,'A-13'!K60,'A-13'!K108))</f>
        <v>179652</v>
      </c>
      <c r="M11" s="24">
        <f>IF(AND('A-13'!L12="-",'A-13'!L60="-",'A-13'!L108="-"),"-",SUM('A-13'!L12,'A-13'!L60,'A-13'!L108))</f>
        <v>13918</v>
      </c>
      <c r="N11" s="24">
        <f>IF(AND('A-13'!M12="-",'A-13'!M60="-",'A-13'!M108="-"),"-",SUM('A-13'!M12,'A-13'!M60,'A-13'!M108))</f>
        <v>159</v>
      </c>
      <c r="O11" s="24" t="s">
        <v>23</v>
      </c>
      <c r="P11" s="24">
        <f>IF(AND('A-13'!N12="-",'A-13'!N60="-",'A-13'!N108="-"),"-",SUM('A-13'!N12,'A-13'!N60,'A-13'!N108))</f>
        <v>193729</v>
      </c>
    </row>
    <row r="12" spans="1:16" ht="11.25" customHeight="1">
      <c r="A12" s="99">
        <v>1983</v>
      </c>
      <c r="B12" s="24">
        <f>IF(AND('A-13'!B13="-",'A-13'!B61="-",'A-13'!B109="-"),"-",SUM('A-13'!B13,'A-13'!B61,'A-13'!B109))</f>
        <v>24243</v>
      </c>
      <c r="C12" s="24">
        <f>IF(AND('A-13'!C13="-",'A-13'!C61="-",'A-13'!C109="-"),"-",SUM('A-13'!C13,'A-13'!C61,'A-13'!C109))</f>
        <v>3892</v>
      </c>
      <c r="D12" s="24">
        <f>IF(AND('A-13'!D13="-",'A-13'!D61="-",'A-13'!D109="-"),"-",SUM('A-13'!D13,'A-13'!D61,'A-13'!D109))</f>
        <v>12894</v>
      </c>
      <c r="E12" s="24">
        <f>IF(AND('A-13'!E13="-",'A-13'!E61="-",'A-13'!E109="-"),"-",SUM('A-13'!E13,'A-13'!E61,'A-13'!E109))</f>
        <v>854</v>
      </c>
      <c r="F12" s="24" t="str">
        <f>IF(AND('A-13'!F13="-",'A-13'!F61="-",'A-13'!F109="-"),"-",SUM('A-13'!F13,'A-13'!F61,'A-13'!F109))</f>
        <v>-</v>
      </c>
      <c r="G12" s="24" t="s">
        <v>23</v>
      </c>
      <c r="H12" s="24">
        <f>IF(AND('A-13'!G13="-",'A-13'!G61="-",'A-13'!G109="-"),"-",SUM('A-13'!G13,'A-13'!G61,'A-13'!G109))</f>
        <v>41883</v>
      </c>
      <c r="J12" s="24" t="s">
        <v>23</v>
      </c>
      <c r="K12" s="24" t="s">
        <v>23</v>
      </c>
      <c r="L12" s="24">
        <f>IF(AND('A-13'!K13="-",'A-13'!K61="-",'A-13'!K109="-"),"-",SUM('A-13'!K13,'A-13'!K61,'A-13'!K109))</f>
        <v>3867</v>
      </c>
      <c r="M12" s="24">
        <f>IF(AND('A-13'!L13="-",'A-13'!L61="-",'A-13'!L109="-"),"-",SUM('A-13'!L13,'A-13'!L61,'A-13'!L109))</f>
        <v>1084</v>
      </c>
      <c r="N12" s="24" t="str">
        <f>IF(AND('A-13'!M13="-",'A-13'!M61="-",'A-13'!M109="-"),"-",SUM('A-13'!M13,'A-13'!M61,'A-13'!M109))</f>
        <v>-</v>
      </c>
      <c r="O12" s="24" t="s">
        <v>23</v>
      </c>
      <c r="P12" s="24">
        <f>IF(AND('A-13'!N13="-",'A-13'!N61="-",'A-13'!N109="-"),"-",SUM('A-13'!N13,'A-13'!N61,'A-13'!N109))</f>
        <v>4951</v>
      </c>
    </row>
    <row r="13" spans="1:16" ht="11.25" customHeight="1">
      <c r="A13" s="99">
        <v>1984</v>
      </c>
      <c r="B13" s="24">
        <f>IF(AND('A-13'!B14="-",'A-13'!B62="-",'A-13'!B110="-"),"-",SUM('A-13'!B14,'A-13'!B62,'A-13'!B110))</f>
        <v>7180</v>
      </c>
      <c r="C13" s="24" t="str">
        <f>IF(AND('A-13'!C14="-",'A-13'!C62="-",'A-13'!C110="-"),"-",SUM('A-13'!C14,'A-13'!C62,'A-13'!C110))</f>
        <v>-</v>
      </c>
      <c r="D13" s="24" t="str">
        <f>IF(AND('A-13'!D14="-",'A-13'!D62="-",'A-13'!D110="-"),"-",SUM('A-13'!D14,'A-13'!D62,'A-13'!D110))</f>
        <v>-</v>
      </c>
      <c r="E13" s="24">
        <f>IF(AND('A-13'!E14="-",'A-13'!E62="-",'A-13'!E110="-"),"-",SUM('A-13'!E14,'A-13'!E62,'A-13'!E110))</f>
        <v>1244</v>
      </c>
      <c r="F13" s="24" t="str">
        <f>IF(AND('A-13'!F14="-",'A-13'!F62="-",'A-13'!F110="-"),"-",SUM('A-13'!F14,'A-13'!F62,'A-13'!F110))</f>
        <v>-</v>
      </c>
      <c r="G13" s="24" t="s">
        <v>23</v>
      </c>
      <c r="H13" s="24">
        <f>IF(AND('A-13'!G14="-",'A-13'!G62="-",'A-13'!G110="-"),"-",SUM('A-13'!G14,'A-13'!G62,'A-13'!G110))</f>
        <v>8424</v>
      </c>
      <c r="J13" s="24" t="s">
        <v>23</v>
      </c>
      <c r="K13" s="24" t="s">
        <v>23</v>
      </c>
      <c r="L13" s="24" t="str">
        <f>IF(AND('A-13'!K14="-",'A-13'!K62="-",'A-13'!K110="-"),"-",SUM('A-13'!K14,'A-13'!K62,'A-13'!K110))</f>
        <v>-</v>
      </c>
      <c r="M13" s="24">
        <f>IF(AND('A-13'!L14="-",'A-13'!L62="-",'A-13'!L110="-"),"-",SUM('A-13'!L14,'A-13'!L62,'A-13'!L110))</f>
        <v>16441</v>
      </c>
      <c r="N13" s="24" t="str">
        <f>IF(AND('A-13'!M14="-",'A-13'!M62="-",'A-13'!M110="-"),"-",SUM('A-13'!M14,'A-13'!M62,'A-13'!M110))</f>
        <v>-</v>
      </c>
      <c r="O13" s="24" t="s">
        <v>23</v>
      </c>
      <c r="P13" s="24">
        <f>IF(AND('A-13'!N14="-",'A-13'!N62="-",'A-13'!N110="-"),"-",SUM('A-13'!N14,'A-13'!N62,'A-13'!N110))</f>
        <v>16441</v>
      </c>
    </row>
    <row r="14" spans="1:16" ht="11.25" customHeight="1">
      <c r="A14" s="99">
        <v>1985</v>
      </c>
      <c r="B14" s="24">
        <f>IF(AND('A-13'!B15="-",'A-13'!B63="-",'A-13'!B111="-"),"-",SUM('A-13'!B15,'A-13'!B63,'A-13'!B111))</f>
        <v>13960</v>
      </c>
      <c r="C14" s="24">
        <f>IF(AND('A-13'!C15="-",'A-13'!C63="-",'A-13'!C111="-"),"-",SUM('A-13'!C15,'A-13'!C63,'A-13'!C111))</f>
        <v>230</v>
      </c>
      <c r="D14" s="24">
        <f>IF(AND('A-13'!D15="-",'A-13'!D63="-",'A-13'!D111="-"),"-",SUM('A-13'!D15,'A-13'!D63,'A-13'!D111))</f>
        <v>9660</v>
      </c>
      <c r="E14" s="24">
        <f>IF(AND('A-13'!E15="-",'A-13'!E63="-",'A-13'!E111="-"),"-",SUM('A-13'!E15,'A-13'!E63,'A-13'!E111))</f>
        <v>3593</v>
      </c>
      <c r="F14" s="24">
        <f>IF(AND('A-13'!F15="-",'A-13'!F63="-",'A-13'!F111="-"),"-",SUM('A-13'!F15,'A-13'!F63,'A-13'!F111))</f>
        <v>31</v>
      </c>
      <c r="G14" s="24" t="s">
        <v>23</v>
      </c>
      <c r="H14" s="24">
        <f>IF(AND('A-13'!G15="-",'A-13'!G63="-",'A-13'!G111="-"),"-",SUM('A-13'!G15,'A-13'!G63,'A-13'!G111))</f>
        <v>27474</v>
      </c>
      <c r="J14" s="24" t="s">
        <v>23</v>
      </c>
      <c r="K14" s="24" t="s">
        <v>23</v>
      </c>
      <c r="L14" s="24">
        <f>IF(AND('A-13'!K15="-",'A-13'!K63="-",'A-13'!K111="-"),"-",SUM('A-13'!K15,'A-13'!K63,'A-13'!K111))</f>
        <v>114403</v>
      </c>
      <c r="M14" s="24">
        <f>IF(AND('A-13'!L15="-",'A-13'!L63="-",'A-13'!L111="-"),"-",SUM('A-13'!L15,'A-13'!L63,'A-13'!L111))</f>
        <v>54</v>
      </c>
      <c r="N14" s="24">
        <f>IF(AND('A-13'!M15="-",'A-13'!M63="-",'A-13'!M111="-"),"-",SUM('A-13'!M15,'A-13'!M63,'A-13'!M111))</f>
        <v>40</v>
      </c>
      <c r="O14" s="24" t="s">
        <v>23</v>
      </c>
      <c r="P14" s="24">
        <f>IF(AND('A-13'!N15="-",'A-13'!N63="-",'A-13'!N111="-"),"-",SUM('A-13'!N15,'A-13'!N63,'A-13'!N111))</f>
        <v>114497</v>
      </c>
    </row>
    <row r="15" spans="1:16" ht="11.25" customHeight="1">
      <c r="A15" s="99">
        <v>1986</v>
      </c>
      <c r="B15" s="24">
        <f>IF(AND('A-13'!B16="-",'A-13'!B64="-",'A-13'!B112="-"),"-",SUM('A-13'!B16,'A-13'!B64,'A-13'!B112))</f>
        <v>18551</v>
      </c>
      <c r="C15" s="24">
        <f>IF(AND('A-13'!C16="-",'A-13'!C64="-",'A-13'!C112="-"),"-",SUM('A-13'!C16,'A-13'!C64,'A-13'!C112))</f>
        <v>163</v>
      </c>
      <c r="D15" s="24" t="str">
        <f>IF(AND('A-13'!D16="-",'A-13'!D64="-",'A-13'!D112="-"),"-",SUM('A-13'!D16,'A-13'!D64,'A-13'!D112))</f>
        <v>-</v>
      </c>
      <c r="E15" s="24">
        <f>IF(AND('A-13'!E16="-",'A-13'!E64="-",'A-13'!E112="-"),"-",SUM('A-13'!E16,'A-13'!E64,'A-13'!E112))</f>
        <v>2555</v>
      </c>
      <c r="F15" s="24" t="str">
        <f>IF(AND('A-13'!F16="-",'A-13'!F64="-",'A-13'!F112="-"),"-",SUM('A-13'!F16,'A-13'!F64,'A-13'!F112))</f>
        <v>-</v>
      </c>
      <c r="G15" s="24" t="s">
        <v>23</v>
      </c>
      <c r="H15" s="24">
        <f>IF(AND('A-13'!G16="-",'A-13'!G64="-",'A-13'!G112="-"),"-",SUM('A-13'!G16,'A-13'!G64,'A-13'!G112))</f>
        <v>21269</v>
      </c>
      <c r="J15" s="24" t="s">
        <v>23</v>
      </c>
      <c r="K15" s="24" t="s">
        <v>23</v>
      </c>
      <c r="L15" s="24" t="str">
        <f>IF(AND('A-13'!K16="-",'A-13'!K64="-",'A-13'!K112="-"),"-",SUM('A-13'!K16,'A-13'!K64,'A-13'!K112))</f>
        <v>-</v>
      </c>
      <c r="M15" s="24">
        <f>IF(AND('A-13'!L16="-",'A-13'!L64="-",'A-13'!L112="-"),"-",SUM('A-13'!L16,'A-13'!L64,'A-13'!L112))</f>
        <v>29434</v>
      </c>
      <c r="N15" s="24" t="str">
        <f>IF(AND('A-13'!M16="-",'A-13'!M64="-",'A-13'!M112="-"),"-",SUM('A-13'!M16,'A-13'!M64,'A-13'!M112))</f>
        <v>-</v>
      </c>
      <c r="O15" s="24" t="s">
        <v>23</v>
      </c>
      <c r="P15" s="24">
        <f>IF(AND('A-13'!N16="-",'A-13'!N64="-",'A-13'!N112="-"),"-",SUM('A-13'!N16,'A-13'!N64,'A-13'!N112))</f>
        <v>29434</v>
      </c>
    </row>
    <row r="16" spans="1:16" ht="11.25" customHeight="1">
      <c r="A16" s="99">
        <v>1987</v>
      </c>
      <c r="B16" s="24">
        <f>IF(AND('A-13'!B17="-",'A-13'!B65="-",'A-13'!B113="-"),"-",SUM('A-13'!B17,'A-13'!B65,'A-13'!B113))</f>
        <v>31618</v>
      </c>
      <c r="C16" s="24" t="str">
        <f>IF(AND('A-13'!C17="-",'A-13'!C65="-",'A-13'!C113="-"),"-",SUM('A-13'!C17,'A-13'!C65,'A-13'!C113))</f>
        <v>-</v>
      </c>
      <c r="D16" s="24">
        <f>IF(AND('A-13'!D17="-",'A-13'!D65="-",'A-13'!D113="-"),"-",SUM('A-13'!D17,'A-13'!D65,'A-13'!D113))</f>
        <v>17770</v>
      </c>
      <c r="E16" s="24" t="str">
        <f>IF(AND('A-13'!E17="-",'A-13'!E65="-",'A-13'!E113="-"),"-",SUM('A-13'!E17,'A-13'!E65,'A-13'!E113))</f>
        <v>-</v>
      </c>
      <c r="F16" s="24" t="str">
        <f>IF(AND('A-13'!F17="-",'A-13'!F65="-",'A-13'!F113="-"),"-",SUM('A-13'!F17,'A-13'!F65,'A-13'!F113))</f>
        <v>-</v>
      </c>
      <c r="G16" s="24" t="s">
        <v>23</v>
      </c>
      <c r="H16" s="24">
        <f>IF(AND('A-13'!G17="-",'A-13'!G65="-",'A-13'!G113="-"),"-",SUM('A-13'!G17,'A-13'!G65,'A-13'!G113))</f>
        <v>49388</v>
      </c>
      <c r="J16" s="24" t="s">
        <v>23</v>
      </c>
      <c r="K16" s="24" t="s">
        <v>23</v>
      </c>
      <c r="L16" s="24">
        <f>IF(AND('A-13'!K17="-",'A-13'!K65="-",'A-13'!K113="-"),"-",SUM('A-13'!K17,'A-13'!K65,'A-13'!K113))</f>
        <v>36513</v>
      </c>
      <c r="M16" s="24" t="str">
        <f>IF(AND('A-13'!L17="-",'A-13'!L65="-",'A-13'!L113="-"),"-",SUM('A-13'!L17,'A-13'!L65,'A-13'!L113))</f>
        <v>-</v>
      </c>
      <c r="N16" s="24" t="str">
        <f>IF(AND('A-13'!M17="-",'A-13'!M65="-",'A-13'!M113="-"),"-",SUM('A-13'!M17,'A-13'!M65,'A-13'!M113))</f>
        <v>-</v>
      </c>
      <c r="O16" s="24" t="s">
        <v>23</v>
      </c>
      <c r="P16" s="24">
        <f>IF(AND('A-13'!N17="-",'A-13'!N65="-",'A-13'!N113="-"),"-",SUM('A-13'!N17,'A-13'!N65,'A-13'!N113))</f>
        <v>36513</v>
      </c>
    </row>
    <row r="17" spans="1:16" ht="11.25" customHeight="1">
      <c r="A17" s="99">
        <v>1988</v>
      </c>
      <c r="B17" s="24">
        <f>IF(AND('A-13'!B18="-",'A-13'!B66="-",'A-13'!B114="-"),"-",SUM('A-13'!B18,'A-13'!B66,'A-13'!B114))</f>
        <v>40012</v>
      </c>
      <c r="C17" s="24">
        <f>IF(AND('A-13'!C18="-",'A-13'!C66="-",'A-13'!C114="-"),"-",SUM('A-13'!C18,'A-13'!C66,'A-13'!C114))</f>
        <v>28632</v>
      </c>
      <c r="D17" s="24">
        <f>IF(AND('A-13'!D18="-",'A-13'!D66="-",'A-13'!D114="-"),"-",SUM('A-13'!D18,'A-13'!D66,'A-13'!D114))</f>
        <v>57</v>
      </c>
      <c r="E17" s="24">
        <f>IF(AND('A-13'!E18="-",'A-13'!E66="-",'A-13'!E114="-"),"-",SUM('A-13'!E18,'A-13'!E66,'A-13'!E114))</f>
        <v>242</v>
      </c>
      <c r="F17" s="24" t="str">
        <f>IF(AND('A-13'!F18="-",'A-13'!F66="-",'A-13'!F114="-"),"-",SUM('A-13'!F18,'A-13'!F66,'A-13'!F114))</f>
        <v>-</v>
      </c>
      <c r="G17" s="24" t="s">
        <v>23</v>
      </c>
      <c r="H17" s="24">
        <f>IF(AND('A-13'!G18="-",'A-13'!G66="-",'A-13'!G114="-"),"-",SUM('A-13'!G18,'A-13'!G66,'A-13'!G114))</f>
        <v>68943</v>
      </c>
      <c r="J17" s="24" t="s">
        <v>23</v>
      </c>
      <c r="K17" s="24" t="s">
        <v>23</v>
      </c>
      <c r="L17" s="24">
        <f>IF(AND('A-13'!K18="-",'A-13'!K66="-",'A-13'!K114="-"),"-",SUM('A-13'!K18,'A-13'!K66,'A-13'!K114))</f>
        <v>381</v>
      </c>
      <c r="M17" s="24">
        <f>IF(AND('A-13'!L18="-",'A-13'!L66="-",'A-13'!L114="-"),"-",SUM('A-13'!L18,'A-13'!L66,'A-13'!L114))</f>
        <v>1848</v>
      </c>
      <c r="N17" s="24" t="str">
        <f>IF(AND('A-13'!M18="-",'A-13'!M66="-",'A-13'!M114="-"),"-",SUM('A-13'!M18,'A-13'!M66,'A-13'!M114))</f>
        <v>-</v>
      </c>
      <c r="O17" s="24" t="s">
        <v>23</v>
      </c>
      <c r="P17" s="24">
        <f>IF(AND('A-13'!N18="-",'A-13'!N66="-",'A-13'!N114="-"),"-",SUM('A-13'!N18,'A-13'!N66,'A-13'!N114))</f>
        <v>2229</v>
      </c>
    </row>
    <row r="18" spans="1:16" ht="11.25" customHeight="1">
      <c r="A18" s="99">
        <v>1989</v>
      </c>
      <c r="B18" s="24">
        <f>IF(AND('A-13'!B19="-",'A-13'!B67="-",'A-13'!B115="-"),"-",SUM('A-13'!B19,'A-13'!B67,'A-13'!B115))</f>
        <v>22220</v>
      </c>
      <c r="C18" s="24">
        <f>IF(AND('A-13'!C19="-",'A-13'!C67="-",'A-13'!C115="-"),"-",SUM('A-13'!C19,'A-13'!C67,'A-13'!C115))</f>
        <v>14553</v>
      </c>
      <c r="D18" s="24" t="str">
        <f>IF(AND('A-13'!D19="-",'A-13'!D67="-",'A-13'!D115="-"),"-",SUM('A-13'!D19,'A-13'!D67,'A-13'!D115))</f>
        <v>-</v>
      </c>
      <c r="E18" s="24">
        <f>IF(AND('A-13'!E19="-",'A-13'!E67="-",'A-13'!E115="-"),"-",SUM('A-13'!E19,'A-13'!E67,'A-13'!E115))</f>
        <v>282</v>
      </c>
      <c r="F18" s="24" t="str">
        <f>IF(AND('A-13'!F19="-",'A-13'!F67="-",'A-13'!F115="-"),"-",SUM('A-13'!F19,'A-13'!F67,'A-13'!F115))</f>
        <v>-</v>
      </c>
      <c r="G18" s="24" t="s">
        <v>23</v>
      </c>
      <c r="H18" s="24">
        <f>IF(AND('A-13'!G19="-",'A-13'!G67="-",'A-13'!G115="-"),"-",SUM('A-13'!G19,'A-13'!G67,'A-13'!G115))</f>
        <v>37055</v>
      </c>
      <c r="J18" s="24" t="s">
        <v>23</v>
      </c>
      <c r="K18" s="24" t="s">
        <v>23</v>
      </c>
      <c r="L18" s="24" t="str">
        <f>IF(AND('A-13'!K19="-",'A-13'!K67="-",'A-13'!K115="-"),"-",SUM('A-13'!K19,'A-13'!K67,'A-13'!K115))</f>
        <v>-</v>
      </c>
      <c r="M18" s="24">
        <f>IF(AND('A-13'!L19="-",'A-13'!L67="-",'A-13'!L115="-"),"-",SUM('A-13'!L19,'A-13'!L67,'A-13'!L115))</f>
        <v>41109</v>
      </c>
      <c r="N18" s="24" t="str">
        <f>IF(AND('A-13'!M19="-",'A-13'!M67="-",'A-13'!M115="-"),"-",SUM('A-13'!M19,'A-13'!M67,'A-13'!M115))</f>
        <v>-</v>
      </c>
      <c r="O18" s="24" t="s">
        <v>23</v>
      </c>
      <c r="P18" s="24">
        <f>IF(AND('A-13'!N19="-",'A-13'!N67="-",'A-13'!N115="-"),"-",SUM('A-13'!N19,'A-13'!N67,'A-13'!N115))</f>
        <v>41109</v>
      </c>
    </row>
    <row r="19" spans="1:16" ht="11.25" customHeight="1">
      <c r="A19" s="99">
        <v>1990</v>
      </c>
      <c r="B19" s="24">
        <f>IF(AND('A-13'!B20="-",'A-13'!B68="-",'A-13'!B116="-"),"-",SUM('A-13'!B20,'A-13'!B68,'A-13'!B116))</f>
        <v>23005</v>
      </c>
      <c r="C19" s="24">
        <f>IF(AND('A-13'!C20="-",'A-13'!C68="-",'A-13'!C116="-"),"-",SUM('A-13'!C20,'A-13'!C68,'A-13'!C116))</f>
        <v>1827</v>
      </c>
      <c r="D19" s="24" t="str">
        <f>IF(AND('A-13'!D20="-",'A-13'!D68="-",'A-13'!D116="-"),"-",SUM('A-13'!D20,'A-13'!D68,'A-13'!D116))</f>
        <v>-</v>
      </c>
      <c r="E19" s="24">
        <f>IF(AND('A-13'!E20="-",'A-13'!E68="-",'A-13'!E116="-"),"-",SUM('A-13'!E20,'A-13'!E68,'A-13'!E116))</f>
        <v>4166</v>
      </c>
      <c r="F19" s="24">
        <f>IF(AND('A-13'!F20="-",'A-13'!F68="-",'A-13'!F116="-"),"-",SUM('A-13'!F20,'A-13'!F68,'A-13'!F116))</f>
        <v>11</v>
      </c>
      <c r="G19" s="24" t="s">
        <v>23</v>
      </c>
      <c r="H19" s="24">
        <f>IF(AND('A-13'!G20="-",'A-13'!G68="-",'A-13'!G116="-"),"-",SUM('A-13'!G20,'A-13'!G68,'A-13'!G116))</f>
        <v>29009</v>
      </c>
      <c r="J19" s="24" t="s">
        <v>23</v>
      </c>
      <c r="K19" s="24" t="s">
        <v>23</v>
      </c>
      <c r="L19" s="24" t="str">
        <f>IF(AND('A-13'!K20="-",'A-13'!K68="-",'A-13'!K116="-"),"-",SUM('A-13'!K20,'A-13'!K68,'A-13'!K116))</f>
        <v>-</v>
      </c>
      <c r="M19" s="24">
        <f>IF(AND('A-13'!L20="-",'A-13'!L68="-",'A-13'!L116="-"),"-",SUM('A-13'!L20,'A-13'!L68,'A-13'!L116))</f>
        <v>67534</v>
      </c>
      <c r="N19" s="24">
        <f>IF(AND('A-13'!M20="-",'A-13'!M68="-",'A-13'!M116="-"),"-",SUM('A-13'!M20,'A-13'!M68,'A-13'!M116))</f>
        <v>16</v>
      </c>
      <c r="O19" s="24" t="s">
        <v>23</v>
      </c>
      <c r="P19" s="24">
        <f>IF(AND('A-13'!N20="-",'A-13'!N68="-",'A-13'!N116="-"),"-",SUM('A-13'!N20,'A-13'!N68,'A-13'!N116))</f>
        <v>67550</v>
      </c>
    </row>
    <row r="20" spans="1:16" ht="11.25" customHeight="1">
      <c r="A20" s="99">
        <v>1991</v>
      </c>
      <c r="B20" s="24">
        <f>IF(AND('A-13'!B21="-",'A-13'!B69="-",'A-13'!B117="-"),"-",SUM('A-13'!B21,'A-13'!B69,'A-13'!B117))</f>
        <v>13642</v>
      </c>
      <c r="C20" s="24">
        <f>IF(AND('A-13'!C21="-",'A-13'!C69="-",'A-13'!C117="-"),"-",SUM('A-13'!C21,'A-13'!C69,'A-13'!C117))</f>
        <v>12361</v>
      </c>
      <c r="D20" s="24" t="str">
        <f>IF(AND('A-13'!D21="-",'A-13'!D69="-",'A-13'!D117="-"),"-",SUM('A-13'!D21,'A-13'!D69,'A-13'!D117))</f>
        <v>-</v>
      </c>
      <c r="E20" s="24">
        <f>IF(AND('A-13'!E21="-",'A-13'!E69="-",'A-13'!E117="-"),"-",SUM('A-13'!E21,'A-13'!E69,'A-13'!E117))</f>
        <v>683</v>
      </c>
      <c r="F20" s="24">
        <f>IF(AND('A-13'!F21="-",'A-13'!F69="-",'A-13'!F117="-"),"-",SUM('A-13'!F21,'A-13'!F69,'A-13'!F117))</f>
        <v>751</v>
      </c>
      <c r="G20" s="24" t="s">
        <v>23</v>
      </c>
      <c r="H20" s="24">
        <f>IF(AND('A-13'!G21="-",'A-13'!G69="-",'A-13'!G117="-"),"-",SUM('A-13'!G21,'A-13'!G69,'A-13'!G117))</f>
        <v>27437</v>
      </c>
      <c r="J20" s="24" t="s">
        <v>23</v>
      </c>
      <c r="K20" s="24" t="s">
        <v>23</v>
      </c>
      <c r="L20" s="24" t="str">
        <f>IF(AND('A-13'!K21="-",'A-13'!K69="-",'A-13'!K117="-"),"-",SUM('A-13'!K21,'A-13'!K69,'A-13'!K117))</f>
        <v>-</v>
      </c>
      <c r="M20" s="24">
        <f>IF(AND('A-13'!L21="-",'A-13'!L69="-",'A-13'!L117="-"),"-",SUM('A-13'!L21,'A-13'!L69,'A-13'!L117))</f>
        <v>25430</v>
      </c>
      <c r="N20" s="24">
        <f>IF(AND('A-13'!M21="-",'A-13'!M69="-",'A-13'!M117="-"),"-",SUM('A-13'!M21,'A-13'!M69,'A-13'!M117))</f>
        <v>12492</v>
      </c>
      <c r="O20" s="24" t="s">
        <v>23</v>
      </c>
      <c r="P20" s="24">
        <f>IF(AND('A-13'!N21="-",'A-13'!N69="-",'A-13'!N117="-"),"-",SUM('A-13'!N21,'A-13'!N69,'A-13'!N117))</f>
        <v>37922</v>
      </c>
    </row>
    <row r="21" spans="1:16" ht="11.25" customHeight="1">
      <c r="A21" s="99">
        <v>1992</v>
      </c>
      <c r="B21" s="24">
        <f>IF(AND('A-13'!B22="-",'A-13'!B70="-",'A-13'!B118="-"),"-",SUM('A-13'!B22,'A-13'!B70,'A-13'!B118))</f>
        <v>19577</v>
      </c>
      <c r="C21" s="24">
        <f>IF(AND('A-13'!C22="-",'A-13'!C70="-",'A-13'!C118="-"),"-",SUM('A-13'!C22,'A-13'!C70,'A-13'!C118))</f>
        <v>12593</v>
      </c>
      <c r="D21" s="24">
        <f>IF(AND('A-13'!D22="-",'A-13'!D70="-",'A-13'!D118="-"),"-",SUM('A-13'!D22,'A-13'!D70,'A-13'!D118))</f>
        <v>5245</v>
      </c>
      <c r="E21" s="24">
        <f>IF(AND('A-13'!E22="-",'A-13'!E70="-",'A-13'!E118="-"),"-",SUM('A-13'!E22,'A-13'!E70,'A-13'!E118))</f>
        <v>3483</v>
      </c>
      <c r="F21" s="24" t="str">
        <f>IF(AND('A-13'!F22="-",'A-13'!F70="-",'A-13'!F118="-"),"-",SUM('A-13'!F22,'A-13'!F70,'A-13'!F118))</f>
        <v>-</v>
      </c>
      <c r="G21" s="24" t="s">
        <v>23</v>
      </c>
      <c r="H21" s="24">
        <f>IF(AND('A-13'!G22="-",'A-13'!G70="-",'A-13'!G118="-"),"-",SUM('A-13'!G22,'A-13'!G70,'A-13'!G118))</f>
        <v>40898</v>
      </c>
      <c r="J21" s="24" t="s">
        <v>23</v>
      </c>
      <c r="K21" s="24" t="s">
        <v>23</v>
      </c>
      <c r="L21" s="24">
        <f>IF(AND('A-13'!K22="-",'A-13'!K70="-",'A-13'!K118="-"),"-",SUM('A-13'!K22,'A-13'!K70,'A-13'!K118))</f>
        <v>9489</v>
      </c>
      <c r="M21" s="24">
        <f>IF(AND('A-13'!L22="-",'A-13'!L70="-",'A-13'!L118="-"),"-",SUM('A-13'!L22,'A-13'!L70,'A-13'!L118))</f>
        <v>7106</v>
      </c>
      <c r="N21" s="24" t="str">
        <f>IF(AND('A-13'!M22="-",'A-13'!M70="-",'A-13'!M118="-"),"-",SUM('A-13'!M22,'A-13'!M70,'A-13'!M118))</f>
        <v>-</v>
      </c>
      <c r="O21" s="24" t="s">
        <v>23</v>
      </c>
      <c r="P21" s="24">
        <f>IF(AND('A-13'!N22="-",'A-13'!N70="-",'A-13'!N118="-"),"-",SUM('A-13'!N22,'A-13'!N70,'A-13'!N118))</f>
        <v>16595</v>
      </c>
    </row>
    <row r="22" spans="1:16" ht="11.25" customHeight="1">
      <c r="A22" s="99">
        <v>1993</v>
      </c>
      <c r="B22" s="24">
        <f>IF(AND('A-13'!B23="-",'A-13'!B71="-",'A-13'!B119="-"),"-",SUM('A-13'!B23,'A-13'!B71,'A-13'!B119))</f>
        <v>14351</v>
      </c>
      <c r="C22" s="24">
        <f>IF(AND('A-13'!C23="-",'A-13'!C71="-",'A-13'!C119="-"),"-",SUM('A-13'!C23,'A-13'!C71,'A-13'!C119))</f>
        <v>10623</v>
      </c>
      <c r="D22" s="24">
        <f>IF(AND('A-13'!D23="-",'A-13'!D71="-",'A-13'!D119="-"),"-",SUM('A-13'!D23,'A-13'!D71,'A-13'!D119))</f>
        <v>2612</v>
      </c>
      <c r="E22" s="24">
        <f>IF(AND('A-13'!E23="-",'A-13'!E71="-",'A-13'!E119="-"),"-",SUM('A-13'!E23,'A-13'!E71,'A-13'!E119))</f>
        <v>946</v>
      </c>
      <c r="F22" s="24">
        <f>IF(AND('A-13'!F23="-",'A-13'!F71="-",'A-13'!F119="-"),"-",SUM('A-13'!F23,'A-13'!F71,'A-13'!F119))</f>
        <v>1484</v>
      </c>
      <c r="G22" s="24" t="s">
        <v>23</v>
      </c>
      <c r="H22" s="24">
        <f>IF(AND('A-13'!G23="-",'A-13'!G71="-",'A-13'!G119="-"),"-",SUM('A-13'!G23,'A-13'!G71,'A-13'!G119))</f>
        <v>30016</v>
      </c>
      <c r="J22" s="24" t="s">
        <v>23</v>
      </c>
      <c r="K22" s="24" t="s">
        <v>23</v>
      </c>
      <c r="L22" s="24">
        <f>IF(AND('A-13'!K23="-",'A-13'!K71="-",'A-13'!K119="-"),"-",SUM('A-13'!K23,'A-13'!K71,'A-13'!K119))</f>
        <v>4748</v>
      </c>
      <c r="M22" s="24">
        <f>IF(AND('A-13'!L23="-",'A-13'!L71="-",'A-13'!L119="-"),"-",SUM('A-13'!L23,'A-13'!L71,'A-13'!L119))</f>
        <v>3464</v>
      </c>
      <c r="N22" s="24">
        <f>IF(AND('A-13'!M23="-",'A-13'!M71="-",'A-13'!M119="-"),"-",SUM('A-13'!M23,'A-13'!M71,'A-13'!M119))</f>
        <v>5173</v>
      </c>
      <c r="O22" s="24" t="s">
        <v>23</v>
      </c>
      <c r="P22" s="24">
        <f>IF(AND('A-13'!N23="-",'A-13'!N71="-",'A-13'!N119="-"),"-",SUM('A-13'!N23,'A-13'!N71,'A-13'!N119))</f>
        <v>13385</v>
      </c>
    </row>
    <row r="23" spans="1:16" ht="11.25" customHeight="1">
      <c r="A23" s="99">
        <v>1994</v>
      </c>
      <c r="B23" s="24" t="str">
        <f>IF(AND('A-13'!B24="-",'A-13'!B72="-",'A-13'!B120="-"),"-",SUM('A-13'!B24,'A-13'!B72,'A-13'!B120))</f>
        <v>-</v>
      </c>
      <c r="C23" s="24" t="str">
        <f>IF(AND('A-13'!C24="-",'A-13'!C72="-",'A-13'!C120="-"),"-",SUM('A-13'!C24,'A-13'!C72,'A-13'!C120))</f>
        <v>-</v>
      </c>
      <c r="D23" s="24" t="str">
        <f>IF(AND('A-13'!D24="-",'A-13'!D72="-",'A-13'!D120="-"),"-",SUM('A-13'!D24,'A-13'!D72,'A-13'!D120))</f>
        <v>-</v>
      </c>
      <c r="E23" s="24" t="str">
        <f>IF(AND('A-13'!E24="-",'A-13'!E72="-",'A-13'!E120="-"),"-",SUM('A-13'!E24,'A-13'!E72,'A-13'!E120))</f>
        <v>-</v>
      </c>
      <c r="F23" s="24" t="str">
        <f>IF(AND('A-13'!F24="-",'A-13'!F72="-",'A-13'!F120="-"),"-",SUM('A-13'!F24,'A-13'!F72,'A-13'!F120))</f>
        <v>-</v>
      </c>
      <c r="G23" s="24" t="s">
        <v>23</v>
      </c>
      <c r="H23" s="24" t="str">
        <f>IF(AND('A-13'!G24="-",'A-13'!G72="-",'A-13'!G120="-"),"-",SUM('A-13'!G24,'A-13'!G72,'A-13'!G120))</f>
        <v>-</v>
      </c>
      <c r="J23" s="24" t="s">
        <v>23</v>
      </c>
      <c r="K23" s="24" t="s">
        <v>23</v>
      </c>
      <c r="L23" s="24" t="str">
        <f>IF(AND('A-13'!K24="-",'A-13'!K72="-",'A-13'!K120="-"),"-",SUM('A-13'!K24,'A-13'!K72,'A-13'!K120))</f>
        <v>-</v>
      </c>
      <c r="M23" s="24" t="str">
        <f>IF(AND('A-13'!L24="-",'A-13'!L72="-",'A-13'!L120="-"),"-",SUM('A-13'!L24,'A-13'!L72,'A-13'!L120))</f>
        <v>-</v>
      </c>
      <c r="N23" s="24" t="str">
        <f>IF(AND('A-13'!M24="-",'A-13'!M72="-",'A-13'!M120="-"),"-",SUM('A-13'!M24,'A-13'!M72,'A-13'!M120))</f>
        <v>-</v>
      </c>
      <c r="O23" s="24" t="s">
        <v>23</v>
      </c>
      <c r="P23" s="24" t="str">
        <f>IF(AND('A-13'!N24="-",'A-13'!N72="-",'A-13'!N120="-"),"-",SUM('A-13'!N24,'A-13'!N72,'A-13'!N120))</f>
        <v>-</v>
      </c>
    </row>
    <row r="24" spans="1:16" ht="11.25" customHeight="1">
      <c r="A24" s="99">
        <v>1995</v>
      </c>
      <c r="B24" s="24" t="str">
        <f>IF(AND('A-13'!B25="-",'A-13'!B73="-",'A-13'!B121="-"),"-",SUM('A-13'!B25,'A-13'!B73,'A-13'!B121))</f>
        <v>-</v>
      </c>
      <c r="C24" s="24" t="str">
        <f>IF(AND('A-13'!C25="-",'A-13'!C73="-",'A-13'!C121="-"),"-",SUM('A-13'!C25,'A-13'!C73,'A-13'!C121))</f>
        <v>-</v>
      </c>
      <c r="D24" s="24" t="str">
        <f>IF(AND('A-13'!D25="-",'A-13'!D73="-",'A-13'!D121="-"),"-",SUM('A-13'!D25,'A-13'!D73,'A-13'!D121))</f>
        <v>-</v>
      </c>
      <c r="E24" s="24">
        <f>IF(AND('A-13'!E25="-",'A-13'!E73="-",'A-13'!E121="-"),"-",SUM('A-13'!E25,'A-13'!E73,'A-13'!E121))</f>
        <v>3</v>
      </c>
      <c r="F24" s="24" t="str">
        <f>IF(AND('A-13'!F25="-",'A-13'!F73="-",'A-13'!F121="-"),"-",SUM('A-13'!F25,'A-13'!F73,'A-13'!F121))</f>
        <v>-</v>
      </c>
      <c r="G24" s="24" t="s">
        <v>23</v>
      </c>
      <c r="H24" s="24">
        <f>IF(AND('A-13'!G25="-",'A-13'!G73="-",'A-13'!G121="-"),"-",SUM('A-13'!G25,'A-13'!G73,'A-13'!G121))</f>
        <v>3</v>
      </c>
      <c r="J24" s="24" t="s">
        <v>23</v>
      </c>
      <c r="K24" s="24" t="s">
        <v>23</v>
      </c>
      <c r="L24" s="24" t="str">
        <f>IF(AND('A-13'!K25="-",'A-13'!K73="-",'A-13'!K121="-"),"-",SUM('A-13'!K25,'A-13'!K73,'A-13'!K121))</f>
        <v>-</v>
      </c>
      <c r="M24" s="24">
        <f>IF(AND('A-13'!L25="-",'A-13'!L73="-",'A-13'!L121="-"),"-",SUM('A-13'!L25,'A-13'!L73,'A-13'!L121))</f>
        <v>18366</v>
      </c>
      <c r="N24" s="24">
        <f>IF(AND('A-13'!M25="-",'A-13'!M73="-",'A-13'!M121="-"),"-",SUM('A-13'!M25,'A-13'!M73,'A-13'!M121))</f>
        <v>7060</v>
      </c>
      <c r="O24" s="24" t="s">
        <v>23</v>
      </c>
      <c r="P24" s="24">
        <f>IF(AND('A-13'!N25="-",'A-13'!N73="-",'A-13'!N121="-"),"-",SUM('A-13'!N25,'A-13'!N73,'A-13'!N121))</f>
        <v>25426</v>
      </c>
    </row>
    <row r="25" spans="1:16" ht="11.25" customHeight="1">
      <c r="A25" s="99">
        <v>1996</v>
      </c>
      <c r="B25" s="24" t="str">
        <f>IF(AND('A-13'!B26="-",'A-13'!B74="-",'A-13'!B122="-"),"-",SUM('A-13'!B26,'A-13'!B74,'A-13'!B122))</f>
        <v>-</v>
      </c>
      <c r="C25" s="24" t="str">
        <f>IF(AND('A-13'!C26="-",'A-13'!C74="-",'A-13'!C122="-"),"-",SUM('A-13'!C26,'A-13'!C74,'A-13'!C122))</f>
        <v>-</v>
      </c>
      <c r="D25" s="24" t="str">
        <f>IF(AND('A-13'!D26="-",'A-13'!D74="-",'A-13'!D122="-"),"-",SUM('A-13'!D26,'A-13'!D74,'A-13'!D122))</f>
        <v>-</v>
      </c>
      <c r="E25" s="24" t="str">
        <f>IF(AND('A-13'!E26="-",'A-13'!E74="-",'A-13'!E122="-"),"-",SUM('A-13'!E26,'A-13'!E74,'A-13'!E122))</f>
        <v>-</v>
      </c>
      <c r="F25" s="24" t="str">
        <f>IF(AND('A-13'!F26="-",'A-13'!F74="-",'A-13'!F122="-"),"-",SUM('A-13'!F26,'A-13'!F74,'A-13'!F122))</f>
        <v>-</v>
      </c>
      <c r="G25" s="24" t="s">
        <v>23</v>
      </c>
      <c r="H25" s="24" t="str">
        <f>IF(AND('A-13'!G26="-",'A-13'!G74="-",'A-13'!G122="-"),"-",SUM('A-13'!G26,'A-13'!G74,'A-13'!G122))</f>
        <v>-</v>
      </c>
      <c r="J25" s="24" t="s">
        <v>23</v>
      </c>
      <c r="K25" s="24" t="s">
        <v>23</v>
      </c>
      <c r="L25" s="24">
        <f>IF(AND('A-13'!K26="-",'A-13'!K74="-",'A-13'!K122="-"),"-",SUM('A-13'!K26,'A-13'!K74,'A-13'!K122))</f>
        <v>7137</v>
      </c>
      <c r="M25" s="24">
        <f>IF(AND('A-13'!L26="-",'A-13'!L74="-",'A-13'!L122="-"),"-",SUM('A-13'!L26,'A-13'!L74,'A-13'!L122))</f>
        <v>10389</v>
      </c>
      <c r="N25" s="24" t="str">
        <f>IF(AND('A-13'!M26="-",'A-13'!M74="-",'A-13'!M122="-"),"-",SUM('A-13'!M26,'A-13'!M74,'A-13'!M122))</f>
        <v>-</v>
      </c>
      <c r="O25" s="24" t="s">
        <v>23</v>
      </c>
      <c r="P25" s="24">
        <f>IF(AND('A-13'!N26="-",'A-13'!N74="-",'A-13'!N122="-"),"-",SUM('A-13'!N26,'A-13'!N74,'A-13'!N122))</f>
        <v>17526</v>
      </c>
    </row>
    <row r="26" spans="1:16" ht="11.25" customHeight="1">
      <c r="A26" s="99">
        <v>1997</v>
      </c>
      <c r="B26" s="24">
        <f>IF(AND('A-13'!B27="-",'A-13'!B75="-",'A-13'!B123="-"),"-",SUM('A-13'!B27,'A-13'!B75,'A-13'!B123))</f>
        <v>4514</v>
      </c>
      <c r="C26" s="24">
        <f>IF(AND('A-13'!C27="-",'A-13'!C75="-",'A-13'!C123="-"),"-",SUM('A-13'!C27,'A-13'!C75,'A-13'!C123))</f>
        <v>1904</v>
      </c>
      <c r="D26" s="24" t="str">
        <f>IF(AND('A-13'!D27="-",'A-13'!D75="-",'A-13'!D123="-"),"-",SUM('A-13'!D27,'A-13'!D75,'A-13'!D123))</f>
        <v>-</v>
      </c>
      <c r="E26" s="24" t="str">
        <f>IF(AND('A-13'!E27="-",'A-13'!E75="-",'A-13'!E123="-"),"-",SUM('A-13'!E27,'A-13'!E75,'A-13'!E123))</f>
        <v>-</v>
      </c>
      <c r="F26" s="24" t="str">
        <f>IF(AND('A-13'!F27="-",'A-13'!F75="-",'A-13'!F123="-"),"-",SUM('A-13'!F27,'A-13'!F75,'A-13'!F123))</f>
        <v>-</v>
      </c>
      <c r="G26" s="24" t="s">
        <v>23</v>
      </c>
      <c r="H26" s="24">
        <f>IF(AND('A-13'!G27="-",'A-13'!G75="-",'A-13'!G123="-"),"-",SUM('A-13'!G27,'A-13'!G75,'A-13'!G123))</f>
        <v>6418</v>
      </c>
      <c r="J26" s="24" t="s">
        <v>23</v>
      </c>
      <c r="K26" s="24" t="s">
        <v>23</v>
      </c>
      <c r="L26" s="24" t="str">
        <f>IF(AND('A-13'!K27="-",'A-13'!K75="-",'A-13'!K123="-"),"-",SUM('A-13'!K27,'A-13'!K75,'A-13'!K123))</f>
        <v>-</v>
      </c>
      <c r="M26" s="24" t="str">
        <f>IF(AND('A-13'!L27="-",'A-13'!L75="-",'A-13'!L123="-"),"-",SUM('A-13'!L27,'A-13'!L75,'A-13'!L123))</f>
        <v>-</v>
      </c>
      <c r="N26" s="24" t="str">
        <f>IF(AND('A-13'!M27="-",'A-13'!M75="-",'A-13'!M123="-"),"-",SUM('A-13'!M27,'A-13'!M75,'A-13'!M123))</f>
        <v>-</v>
      </c>
      <c r="O26" s="24" t="s">
        <v>23</v>
      </c>
      <c r="P26" s="24" t="str">
        <f>IF(AND('A-13'!N27="-",'A-13'!N75="-",'A-13'!N123="-"),"-",SUM('A-13'!N27,'A-13'!N75,'A-13'!N123))</f>
        <v>-</v>
      </c>
    </row>
    <row r="27" spans="1:16" ht="11.25" customHeight="1">
      <c r="A27" s="99">
        <v>1998</v>
      </c>
      <c r="B27" s="24">
        <f>IF(AND('A-13'!B28="-",'A-13'!B76="-",'A-13'!B124="-"),"-",SUM('A-13'!B28,'A-13'!B76,'A-13'!B124))</f>
        <v>5747</v>
      </c>
      <c r="C27" s="24">
        <f>IF(AND('A-13'!C28="-",'A-13'!C76="-",'A-13'!C124="-"),"-",SUM('A-13'!C28,'A-13'!C76,'A-13'!C124))</f>
        <v>182</v>
      </c>
      <c r="D27" s="24" t="str">
        <f>IF(AND('A-13'!D28="-",'A-13'!D76="-",'A-13'!D124="-"),"-",SUM('A-13'!D28,'A-13'!D76,'A-13'!D124))</f>
        <v>-</v>
      </c>
      <c r="E27" s="24" t="str">
        <f>IF(AND('A-13'!E28="-",'A-13'!E76="-",'A-13'!E124="-"),"-",SUM('A-13'!E28,'A-13'!E76,'A-13'!E124))</f>
        <v>-</v>
      </c>
      <c r="F27" s="24" t="str">
        <f>IF(AND('A-13'!F28="-",'A-13'!F76="-",'A-13'!F124="-"),"-",SUM('A-13'!F28,'A-13'!F76,'A-13'!F124))</f>
        <v>-</v>
      </c>
      <c r="G27" s="24" t="s">
        <v>23</v>
      </c>
      <c r="H27" s="24">
        <f>IF(AND('A-13'!G28="-",'A-13'!G76="-",'A-13'!G124="-"),"-",SUM('A-13'!G28,'A-13'!G76,'A-13'!G124))</f>
        <v>5929</v>
      </c>
      <c r="J27" s="24" t="s">
        <v>23</v>
      </c>
      <c r="K27" s="24" t="s">
        <v>23</v>
      </c>
      <c r="L27" s="24" t="str">
        <f>IF(AND('A-13'!K28="-",'A-13'!K76="-",'A-13'!K124="-"),"-",SUM('A-13'!K28,'A-13'!K76,'A-13'!K124))</f>
        <v>-</v>
      </c>
      <c r="M27" s="24" t="str">
        <f>IF(AND('A-13'!L28="-",'A-13'!L76="-",'A-13'!L124="-"),"-",SUM('A-13'!L28,'A-13'!L76,'A-13'!L124))</f>
        <v>-</v>
      </c>
      <c r="N27" s="24" t="str">
        <f>IF(AND('A-13'!M28="-",'A-13'!M76="-",'A-13'!M124="-"),"-",SUM('A-13'!M28,'A-13'!M76,'A-13'!M124))</f>
        <v>-</v>
      </c>
      <c r="O27" s="24" t="s">
        <v>23</v>
      </c>
      <c r="P27" s="24" t="str">
        <f>IF(AND('A-13'!N28="-",'A-13'!N76="-",'A-13'!N124="-"),"-",SUM('A-13'!N28,'A-13'!N76,'A-13'!N124))</f>
        <v>-</v>
      </c>
    </row>
    <row r="28" spans="1:16" ht="11.25" customHeight="1">
      <c r="A28" s="99">
        <v>1999</v>
      </c>
      <c r="B28" s="24">
        <f>IF(AND('A-13'!B29="-",'A-13'!B77="-",'A-13'!B125="-"),"-",SUM('A-13'!B29,'A-13'!B77,'A-13'!B125))</f>
        <v>4191</v>
      </c>
      <c r="C28" s="24">
        <f>IF(AND('A-13'!C29="-",'A-13'!C77="-",'A-13'!C125="-"),"-",SUM('A-13'!C29,'A-13'!C77,'A-13'!C125))</f>
        <v>7075</v>
      </c>
      <c r="D28" s="24">
        <f>IF(AND('A-13'!D29="-",'A-13'!D77="-",'A-13'!D125="-"),"-",SUM('A-13'!D29,'A-13'!D77,'A-13'!D125))</f>
        <v>4030</v>
      </c>
      <c r="E28" s="24">
        <f>IF(AND('A-13'!E29="-",'A-13'!E77="-",'A-13'!E125="-"),"-",SUM('A-13'!E29,'A-13'!E77,'A-13'!E125))</f>
        <v>2160</v>
      </c>
      <c r="F28" s="24" t="str">
        <f>IF(AND('A-13'!F29="-",'A-13'!F77="-",'A-13'!F125="-"),"-",SUM('A-13'!F29,'A-13'!F77,'A-13'!F125))</f>
        <v>-</v>
      </c>
      <c r="G28" s="24" t="s">
        <v>23</v>
      </c>
      <c r="H28" s="24">
        <f>IF(AND('A-13'!G29="-",'A-13'!G77="-",'A-13'!G125="-"),"-",SUM('A-13'!G29,'A-13'!G77,'A-13'!G125))</f>
        <v>17456</v>
      </c>
      <c r="J28" s="24" t="s">
        <v>23</v>
      </c>
      <c r="K28" s="24" t="s">
        <v>23</v>
      </c>
      <c r="L28" s="24">
        <f>IF(AND('A-13'!K29="-",'A-13'!K77="-",'A-13'!K125="-"),"-",SUM('A-13'!K29,'A-13'!K77,'A-13'!K125))</f>
        <v>673</v>
      </c>
      <c r="M28" s="24">
        <f>IF(AND('A-13'!L29="-",'A-13'!L77="-",'A-13'!L125="-"),"-",SUM('A-13'!L29,'A-13'!L77,'A-13'!L125))</f>
        <v>2813</v>
      </c>
      <c r="N28" s="24">
        <f>IF(AND('A-13'!M29="-",'A-13'!M77="-",'A-13'!M125="-"),"-",SUM('A-13'!M29,'A-13'!M77,'A-13'!M125))</f>
        <v>337</v>
      </c>
      <c r="O28" s="24" t="s">
        <v>23</v>
      </c>
      <c r="P28" s="24">
        <f>IF(AND('A-13'!N29="-",'A-13'!N77="-",'A-13'!N125="-"),"-",SUM('A-13'!N29,'A-13'!N77,'A-13'!N125))</f>
        <v>3823</v>
      </c>
    </row>
    <row r="29" spans="1:16" ht="11.25" customHeight="1">
      <c r="A29" s="99">
        <v>2000</v>
      </c>
      <c r="B29" s="24">
        <f>IF(AND('A-13'!B30="-",'A-13'!B78="-",'A-13'!B126="-"),"-",SUM('A-13'!B30,'A-13'!B78,'A-13'!B126))</f>
        <v>6534</v>
      </c>
      <c r="C29" s="24">
        <f>IF(AND('A-13'!C30="-",'A-13'!C78="-",'A-13'!C126="-"),"-",SUM('A-13'!C30,'A-13'!C78,'A-13'!C126))</f>
        <v>2427</v>
      </c>
      <c r="D29" s="24" t="str">
        <f>IF(AND('A-13'!D30="-",'A-13'!D78="-",'A-13'!D126="-"),"-",SUM('A-13'!D30,'A-13'!D78,'A-13'!D126))</f>
        <v>-</v>
      </c>
      <c r="E29" s="24">
        <f>IF(AND('A-13'!E30="-",'A-13'!E78="-",'A-13'!E126="-"),"-",SUM('A-13'!E30,'A-13'!E78,'A-13'!E126))</f>
        <v>752</v>
      </c>
      <c r="F29" s="24">
        <f>IF(AND('A-13'!F30="-",'A-13'!F78="-",'A-13'!F126="-"),"-",SUM('A-13'!F30,'A-13'!F78,'A-13'!F126))</f>
        <v>3</v>
      </c>
      <c r="G29" s="24" t="s">
        <v>23</v>
      </c>
      <c r="H29" s="24">
        <f>IF(AND('A-13'!G30="-",'A-13'!G78="-",'A-13'!G126="-"),"-",SUM('A-13'!G30,'A-13'!G78,'A-13'!G126))</f>
        <v>9716</v>
      </c>
      <c r="J29" s="24" t="s">
        <v>23</v>
      </c>
      <c r="K29" s="24" t="s">
        <v>23</v>
      </c>
      <c r="L29" s="24" t="str">
        <f>IF(AND('A-13'!K30="-",'A-13'!K78="-",'A-13'!K126="-"),"-",SUM('A-13'!K30,'A-13'!K78,'A-13'!K126))</f>
        <v>-</v>
      </c>
      <c r="M29" s="24">
        <f>IF(AND('A-13'!L30="-",'A-13'!L78="-",'A-13'!L126="-"),"-",SUM('A-13'!L30,'A-13'!L78,'A-13'!L126))</f>
        <v>2419</v>
      </c>
      <c r="N29" s="24">
        <f>IF(AND('A-13'!M30="-",'A-13'!M78="-",'A-13'!M126="-"),"-",SUM('A-13'!M30,'A-13'!M78,'A-13'!M126))</f>
        <v>49</v>
      </c>
      <c r="O29" s="24" t="s">
        <v>23</v>
      </c>
      <c r="P29" s="24">
        <f>IF(AND('A-13'!N30="-",'A-13'!N78="-",'A-13'!N126="-"),"-",SUM('A-13'!N30,'A-13'!N78,'A-13'!N126))</f>
        <v>2468</v>
      </c>
    </row>
    <row r="30" spans="1:16" ht="11.25" customHeight="1">
      <c r="A30" s="99">
        <v>2001</v>
      </c>
      <c r="B30" s="24">
        <f>IF(AND('A-13'!B31="-",'A-13'!B79="-",'A-13'!B127="-"),"-",SUM('A-13'!B31,'A-13'!B79,'A-13'!B127))</f>
        <v>7092</v>
      </c>
      <c r="C30" s="24">
        <f>IF(AND('A-13'!C31="-",'A-13'!C79="-",'A-13'!C127="-"),"-",SUM('A-13'!C31,'A-13'!C79,'A-13'!C127))</f>
        <v>7188</v>
      </c>
      <c r="D30" s="24">
        <f>IF(AND('A-13'!D31="-",'A-13'!D79="-",'A-13'!D127="-"),"-",SUM('A-13'!D31,'A-13'!D79,'A-13'!D127))</f>
        <v>4940</v>
      </c>
      <c r="E30" s="24">
        <f>IF(AND('A-13'!E31="-",'A-13'!E79="-",'A-13'!E127="-"),"-",SUM('A-13'!E31,'A-13'!E79,'A-13'!E127))</f>
        <v>846</v>
      </c>
      <c r="F30" s="24">
        <f>IF(AND('A-13'!F31="-",'A-13'!F79="-",'A-13'!F127="-"),"-",SUM('A-13'!F31,'A-13'!F79,'A-13'!F127))</f>
        <v>219</v>
      </c>
      <c r="G30" s="24" t="s">
        <v>23</v>
      </c>
      <c r="H30" s="24">
        <f>IF(AND('A-13'!G31="-",'A-13'!G79="-",'A-13'!G127="-"),"-",SUM('A-13'!G31,'A-13'!G79,'A-13'!G127))</f>
        <v>20285</v>
      </c>
      <c r="J30" s="24" t="s">
        <v>23</v>
      </c>
      <c r="K30" s="24" t="s">
        <v>23</v>
      </c>
      <c r="L30" s="24">
        <f>IF(AND('A-13'!K31="-",'A-13'!K79="-",'A-13'!K127="-"),"-",SUM('A-13'!K31,'A-13'!K79,'A-13'!K127))</f>
        <v>1969</v>
      </c>
      <c r="M30" s="24">
        <f>IF(AND('A-13'!L31="-",'A-13'!L79="-",'A-13'!L127="-"),"-",SUM('A-13'!L31,'A-13'!L79,'A-13'!L127))</f>
        <v>2070</v>
      </c>
      <c r="N30" s="24">
        <f>IF(AND('A-13'!M31="-",'A-13'!M79="-",'A-13'!M127="-"),"-",SUM('A-13'!M31,'A-13'!M79,'A-13'!M127))</f>
        <v>2615</v>
      </c>
      <c r="O30" s="24" t="s">
        <v>23</v>
      </c>
      <c r="P30" s="24">
        <f>IF(AND('A-13'!N31="-",'A-13'!N79="-",'A-13'!N127="-"),"-",SUM('A-13'!N31,'A-13'!N79,'A-13'!N127))</f>
        <v>6654</v>
      </c>
    </row>
    <row r="31" spans="1:16" ht="11.25" customHeight="1">
      <c r="A31" s="99">
        <v>2002</v>
      </c>
      <c r="B31" s="24">
        <f>IF(AND('A-13'!B32="-",'A-13'!B80="-",'A-13'!B128="-"),"-",SUM('A-13'!B32,'A-13'!B80,'A-13'!B128))</f>
        <v>18010</v>
      </c>
      <c r="C31" s="24">
        <f>IF(AND('A-13'!C32="-",'A-13'!C80="-",'A-13'!C128="-"),"-",SUM('A-13'!C32,'A-13'!C80,'A-13'!C128))</f>
        <v>11001</v>
      </c>
      <c r="D31" s="24">
        <f>IF(AND('A-13'!D32="-",'A-13'!D80="-",'A-13'!D128="-"),"-",SUM('A-13'!D32,'A-13'!D80,'A-13'!D128))</f>
        <v>15271</v>
      </c>
      <c r="E31" s="24">
        <f>IF(AND('A-13'!E32="-",'A-13'!E80="-",'A-13'!E128="-"),"-",SUM('A-13'!E32,'A-13'!E80,'A-13'!E128))</f>
        <v>7781</v>
      </c>
      <c r="F31" s="24" t="str">
        <f>IF(AND('A-13'!F32="-",'A-13'!F80="-",'A-13'!F128="-"),"-",SUM('A-13'!F32,'A-13'!F80,'A-13'!F128))</f>
        <v>-</v>
      </c>
      <c r="G31" s="24" t="s">
        <v>23</v>
      </c>
      <c r="H31" s="24">
        <f>IF(AND('A-13'!G32="-",'A-13'!G80="-",'A-13'!G128="-"),"-",SUM('A-13'!G32,'A-13'!G80,'A-13'!G128))</f>
        <v>52063</v>
      </c>
      <c r="J31" s="24" t="s">
        <v>23</v>
      </c>
      <c r="K31" s="24" t="s">
        <v>23</v>
      </c>
      <c r="L31" s="24" t="str">
        <f>IF(AND('A-13'!K32="-",'A-13'!K80="-",'A-13'!K128="-"),"-",SUM('A-13'!K32,'A-13'!K80,'A-13'!K128))</f>
        <v>-</v>
      </c>
      <c r="M31" s="24">
        <f>IF(AND('A-13'!L32="-",'A-13'!L80="-",'A-13'!L128="-"),"-",SUM('A-13'!L32,'A-13'!L80,'A-13'!L128))</f>
        <v>53</v>
      </c>
      <c r="N31" s="24" t="str">
        <f>IF(AND('A-13'!M32="-",'A-13'!M80="-",'A-13'!M128="-"),"-",SUM('A-13'!M32,'A-13'!M80,'A-13'!M128))</f>
        <v>-</v>
      </c>
      <c r="O31" s="24" t="s">
        <v>23</v>
      </c>
      <c r="P31" s="24">
        <f>IF(AND('A-13'!N32="-",'A-13'!N80="-",'A-13'!N128="-"),"-",SUM('A-13'!N32,'A-13'!N80,'A-13'!N128))</f>
        <v>53</v>
      </c>
    </row>
    <row r="32" spans="1:16" ht="11.25" customHeight="1">
      <c r="A32" s="99">
        <v>2003</v>
      </c>
      <c r="B32" s="24">
        <f>IF(AND('A-13'!B33="-",'A-13'!B81="-",'A-13'!B129="-"),"-",SUM('A-13'!B33,'A-13'!B81,'A-13'!B129))</f>
        <v>17920</v>
      </c>
      <c r="C32" s="24">
        <f>IF(AND('A-13'!C33="-",'A-13'!C81="-",'A-13'!C129="-"),"-",SUM('A-13'!C33,'A-13'!C81,'A-13'!C129))</f>
        <v>8808</v>
      </c>
      <c r="D32" s="24">
        <f>IF(AND('A-13'!D33="-",'A-13'!D81="-",'A-13'!D129="-"),"-",SUM('A-13'!D33,'A-13'!D81,'A-13'!D129))</f>
        <v>14372</v>
      </c>
      <c r="E32" s="24">
        <f>IF(AND('A-13'!E33="-",'A-13'!E81="-",'A-13'!E129="-"),"-",SUM('A-13'!E33,'A-13'!E81,'A-13'!E129))</f>
        <v>12056</v>
      </c>
      <c r="F32" s="24">
        <f>IF(AND('A-13'!F33="-",'A-13'!F81="-",'A-13'!F129="-"),"-",SUM('A-13'!F33,'A-13'!F81,'A-13'!F129))</f>
        <v>1126</v>
      </c>
      <c r="G32" s="24" t="s">
        <v>23</v>
      </c>
      <c r="H32" s="24">
        <f>IF(AND('A-13'!G33="-",'A-13'!G81="-",'A-13'!G129="-"),"-",SUM('A-13'!G33,'A-13'!G81,'A-13'!G129))</f>
        <v>54282</v>
      </c>
      <c r="J32" s="24" t="s">
        <v>23</v>
      </c>
      <c r="K32" s="24" t="s">
        <v>23</v>
      </c>
      <c r="L32" s="24">
        <f>IF(AND('A-13'!K33="-",'A-13'!K81="-",'A-13'!K129="-"),"-",SUM('A-13'!K33,'A-13'!K81,'A-13'!K129))</f>
        <v>3279</v>
      </c>
      <c r="M32" s="24">
        <f>IF(AND('A-13'!L33="-",'A-13'!L81="-",'A-13'!L129="-"),"-",SUM('A-13'!L33,'A-13'!L81,'A-13'!L129))</f>
        <v>3755</v>
      </c>
      <c r="N32" s="24">
        <f>IF(AND('A-13'!M33="-",'A-13'!M81="-",'A-13'!M129="-"),"-",SUM('A-13'!M33,'A-13'!M81,'A-13'!M129))</f>
        <v>633</v>
      </c>
      <c r="O32" s="24" t="s">
        <v>23</v>
      </c>
      <c r="P32" s="24">
        <f>IF(AND('A-13'!N33="-",'A-13'!N81="-",'A-13'!N129="-"),"-",SUM('A-13'!N33,'A-13'!N81,'A-13'!N129))</f>
        <v>7667</v>
      </c>
    </row>
    <row r="33" spans="1:16" ht="11.25" customHeight="1">
      <c r="A33" s="99">
        <v>2004</v>
      </c>
      <c r="B33" s="24">
        <f>IF(AND('A-13'!B34="-",'A-13'!B82="-",'A-13'!B130="-"),"-",SUM('A-13'!B34,'A-13'!B82,'A-13'!B130))</f>
        <v>15254</v>
      </c>
      <c r="C33" s="24">
        <f>IF(AND('A-13'!C34="-",'A-13'!C82="-",'A-13'!C130="-"),"-",SUM('A-13'!C34,'A-13'!C82,'A-13'!C130))</f>
        <v>1157</v>
      </c>
      <c r="D33" s="24">
        <f>IF(AND('A-13'!D34="-",'A-13'!D82="-",'A-13'!D130="-"),"-",SUM('A-13'!D34,'A-13'!D82,'A-13'!D130))</f>
        <v>7891</v>
      </c>
      <c r="E33" s="24">
        <f>IF(AND('A-13'!E34="-",'A-13'!E82="-",'A-13'!E130="-"),"-",SUM('A-13'!E34,'A-13'!E82,'A-13'!E130))</f>
        <v>8885</v>
      </c>
      <c r="F33" s="24">
        <f>IF(AND('A-13'!F34="-",'A-13'!F82="-",'A-13'!F130="-"),"-",SUM('A-13'!F34,'A-13'!F82,'A-13'!F130))</f>
        <v>1827</v>
      </c>
      <c r="G33" s="24" t="s">
        <v>23</v>
      </c>
      <c r="H33" s="24">
        <f>IF(AND('A-13'!G34="-",'A-13'!G82="-",'A-13'!G130="-"),"-",SUM('A-13'!G34,'A-13'!G82,'A-13'!G130))</f>
        <v>35014</v>
      </c>
      <c r="J33" s="24" t="s">
        <v>23</v>
      </c>
      <c r="K33" s="24" t="s">
        <v>23</v>
      </c>
      <c r="L33" s="24">
        <f>IF(AND('A-13'!K34="-",'A-13'!K82="-",'A-13'!K130="-"),"-",SUM('A-13'!K34,'A-13'!K82,'A-13'!K130))</f>
        <v>2042</v>
      </c>
      <c r="M33" s="24">
        <f>IF(AND('A-13'!L34="-",'A-13'!L82="-",'A-13'!L130="-"),"-",SUM('A-13'!L34,'A-13'!L82,'A-13'!L130))</f>
        <v>4652</v>
      </c>
      <c r="N33" s="24">
        <f>IF(AND('A-13'!M34="-",'A-13'!M82="-",'A-13'!M130="-"),"-",SUM('A-13'!M34,'A-13'!M82,'A-13'!M130))</f>
        <v>5469</v>
      </c>
      <c r="O33" s="24" t="s">
        <v>23</v>
      </c>
      <c r="P33" s="24">
        <f>IF(AND('A-13'!N34="-",'A-13'!N82="-",'A-13'!N130="-"),"-",SUM('A-13'!N34,'A-13'!N82,'A-13'!N130))</f>
        <v>12163</v>
      </c>
    </row>
    <row r="34" spans="1:16" ht="11.25" customHeight="1">
      <c r="A34" s="99">
        <v>2005</v>
      </c>
      <c r="B34" s="24">
        <f>IF(AND('A-13'!B35="-",'A-13'!B83="-",'A-13'!B131="-"),"-",SUM('A-13'!B35,'A-13'!B83,'A-13'!B131))</f>
        <v>18294</v>
      </c>
      <c r="C34" s="24">
        <f>IF(AND('A-13'!C35="-",'A-13'!C83="-",'A-13'!C131="-"),"-",SUM('A-13'!C35,'A-13'!C83,'A-13'!C131))</f>
        <v>2204</v>
      </c>
      <c r="D34" s="24">
        <f>IF(AND('A-13'!D35="-",'A-13'!D83="-",'A-13'!D131="-"),"-",SUM('A-13'!D35,'A-13'!D83,'A-13'!D131))</f>
        <v>6009</v>
      </c>
      <c r="E34" s="24">
        <f>IF(AND('A-13'!E35="-",'A-13'!E83="-",'A-13'!E131="-"),"-",SUM('A-13'!E35,'A-13'!E83,'A-13'!E131))</f>
        <v>7073</v>
      </c>
      <c r="F34" s="24" t="str">
        <f>IF(AND('A-13'!F35="-",'A-13'!F83="-",'A-13'!F131="-"),"-",SUM('A-13'!F35,'A-13'!F83,'A-13'!F131))</f>
        <v>-</v>
      </c>
      <c r="G34" s="24" t="s">
        <v>23</v>
      </c>
      <c r="H34" s="24">
        <f>IF(AND('A-13'!G35="-",'A-13'!G83="-",'A-13'!G131="-"),"-",SUM('A-13'!G35,'A-13'!G83,'A-13'!G131))</f>
        <v>33580</v>
      </c>
      <c r="I34" s="24"/>
      <c r="J34" s="24" t="s">
        <v>23</v>
      </c>
      <c r="K34" s="24" t="s">
        <v>23</v>
      </c>
      <c r="L34" s="24">
        <f>IF(AND('A-13'!K35="-",'A-13'!K83="-",'A-13'!K131="-"),"-",SUM('A-13'!K35,'A-13'!K83,'A-13'!K131))</f>
        <v>166</v>
      </c>
      <c r="M34" s="24">
        <f>IF(AND('A-13'!L35="-",'A-13'!L83="-",'A-13'!L131="-"),"-",SUM('A-13'!L35,'A-13'!L83,'A-13'!L131))</f>
        <v>638</v>
      </c>
      <c r="N34" s="24" t="str">
        <f>IF(AND('A-13'!M35="-",'A-13'!M83="-",'A-13'!M131="-"),"-",SUM('A-13'!M35,'A-13'!M83,'A-13'!M131))</f>
        <v>-</v>
      </c>
      <c r="O34" s="24" t="s">
        <v>23</v>
      </c>
      <c r="P34" s="24">
        <f>IF(AND('A-13'!N35="-",'A-13'!N83="-",'A-13'!N131="-"),"-",SUM('A-13'!N35,'A-13'!N83,'A-13'!N131))</f>
        <v>804</v>
      </c>
    </row>
    <row r="35" spans="1:16" ht="11.25" customHeight="1">
      <c r="A35" s="99">
        <v>2006</v>
      </c>
      <c r="B35" s="24">
        <f>IF(AND('A-13'!B36="-",'A-13'!B84="-",'A-13'!B132="-"),"-",SUM('A-13'!B36,'A-13'!B84,'A-13'!B132))</f>
        <v>4735</v>
      </c>
      <c r="C35" s="24">
        <f>IF(AND('A-13'!C36="-",'A-13'!C84="-",'A-13'!C132="-"),"-",SUM('A-13'!C36,'A-13'!C84,'A-13'!C132))</f>
        <v>3548</v>
      </c>
      <c r="D35" s="24">
        <f>IF(AND('A-13'!D36="-",'A-13'!D84="-",'A-13'!D132="-"),"-",SUM('A-13'!D36,'A-13'!D84,'A-13'!D132))</f>
        <v>1073</v>
      </c>
      <c r="E35" s="24">
        <f>IF(AND('A-13'!E36="-",'A-13'!E84="-",'A-13'!E132="-"),"-",SUM('A-13'!E36,'A-13'!E84,'A-13'!E132))</f>
        <v>3458</v>
      </c>
      <c r="F35" s="24">
        <f>IF(AND('A-13'!F36="-",'A-13'!F84="-",'A-13'!F132="-"),"-",SUM('A-13'!F36,'A-13'!F84,'A-13'!F132))</f>
        <v>1831</v>
      </c>
      <c r="G35" s="24" t="s">
        <v>23</v>
      </c>
      <c r="H35" s="24">
        <f>IF(AND('A-13'!G36="-",'A-13'!G84="-",'A-13'!G132="-"),"-",SUM('A-13'!G36,'A-13'!G84,'A-13'!G132))</f>
        <v>14645</v>
      </c>
      <c r="J35" s="24" t="s">
        <v>23</v>
      </c>
      <c r="K35" s="24" t="s">
        <v>23</v>
      </c>
      <c r="L35" s="24">
        <f>IF(AND('A-13'!K36="-",'A-13'!K84="-",'A-13'!K132="-"),"-",SUM('A-13'!K36,'A-13'!K84,'A-13'!K132))</f>
        <v>122</v>
      </c>
      <c r="M35" s="24">
        <f>IF(AND('A-13'!L36="-",'A-13'!L84="-",'A-13'!L132="-"),"-",SUM('A-13'!L36,'A-13'!L84,'A-13'!L132))</f>
        <v>816</v>
      </c>
      <c r="N35" s="24">
        <f>IF(AND('A-13'!M36="-",'A-13'!M84="-",'A-13'!M132="-"),"-",SUM('A-13'!M36,'A-13'!M84,'A-13'!M132))</f>
        <v>253</v>
      </c>
      <c r="O35" s="24" t="s">
        <v>23</v>
      </c>
      <c r="P35" s="24">
        <f>IF(AND('A-13'!N36="-",'A-13'!N84="-",'A-13'!N132="-"),"-",SUM('A-13'!N36,'A-13'!N84,'A-13'!N132))</f>
        <v>1191</v>
      </c>
    </row>
    <row r="36" spans="1:16" ht="11.25" customHeight="1">
      <c r="A36" s="99">
        <v>2007</v>
      </c>
      <c r="B36" s="24">
        <f>IF(AND('A-13'!B37="-",'A-13'!B85="-",'A-13'!B133="-"),"-",SUM('A-13'!B37,'A-13'!B85,'A-13'!B133))</f>
        <v>5693</v>
      </c>
      <c r="C36" s="24">
        <f>IF(AND('A-13'!C37="-",'A-13'!C85="-",'A-13'!C133="-"),"-",SUM('A-13'!C37,'A-13'!C85,'A-13'!C133))</f>
        <v>3868</v>
      </c>
      <c r="D36" s="24">
        <f>IF(AND('A-13'!D37="-",'A-13'!D85="-",'A-13'!D133="-"),"-",SUM('A-13'!D37,'A-13'!D85,'A-13'!D133))</f>
        <v>3459</v>
      </c>
      <c r="E36" s="24">
        <f>IF(AND('A-13'!E37="-",'A-13'!E85="-",'A-13'!E133="-"),"-",SUM('A-13'!E37,'A-13'!E85,'A-13'!E133))</f>
        <v>721</v>
      </c>
      <c r="F36" s="24">
        <f>IF(AND('A-13'!F37="-",'A-13'!F85="-",'A-13'!F133="-"),"-",SUM('A-13'!F37,'A-13'!F85,'A-13'!F133))</f>
        <v>27</v>
      </c>
      <c r="G36" s="24" t="s">
        <v>23</v>
      </c>
      <c r="H36" s="24">
        <f>IF(AND('A-13'!G37="-",'A-13'!G85="-",'A-13'!G133="-"),"-",SUM('A-13'!G37,'A-13'!G85,'A-13'!G133))</f>
        <v>13768</v>
      </c>
      <c r="I36" s="24"/>
      <c r="J36" s="24" t="s">
        <v>23</v>
      </c>
      <c r="K36" s="24" t="s">
        <v>23</v>
      </c>
      <c r="L36" s="24">
        <f>IF(AND('A-13'!K37="-",'A-13'!K85="-",'A-13'!K133="-"),"-",SUM('A-13'!K37,'A-13'!K85,'A-13'!K133))</f>
        <v>1944</v>
      </c>
      <c r="M36" s="24">
        <f>IF(AND('A-13'!L37="-",'A-13'!L85="-",'A-13'!L133="-"),"-",SUM('A-13'!L37,'A-13'!L85,'A-13'!L133))</f>
        <v>1043</v>
      </c>
      <c r="N36" s="24">
        <f>IF(AND('A-13'!M37="-",'A-13'!M85="-",'A-13'!M133="-"),"-",SUM('A-13'!M37,'A-13'!M85,'A-13'!M133))</f>
        <v>34</v>
      </c>
      <c r="O36" s="24" t="s">
        <v>23</v>
      </c>
      <c r="P36" s="24">
        <f>IF(AND('A-13'!N37="-",'A-13'!N85="-",'A-13'!N133="-"),"-",SUM('A-13'!N37,'A-13'!N85,'A-13'!N133))</f>
        <v>3021</v>
      </c>
    </row>
    <row r="37" spans="1:16" ht="11.25" customHeight="1">
      <c r="A37" s="99">
        <v>2008</v>
      </c>
      <c r="B37" s="24">
        <f>IF(AND('A-13'!B38="-",'A-13'!B86="-",'A-13'!B134="-"),"-",SUM('A-13'!B38,'A-13'!B86,'A-13'!B134))</f>
        <v>1451</v>
      </c>
      <c r="C37" s="24">
        <f>IF(AND('A-13'!C38="-",'A-13'!C86="-",'A-13'!C134="-"),"-",SUM('A-13'!C38,'A-13'!C86,'A-13'!C134))</f>
        <v>3350</v>
      </c>
      <c r="D37" s="24">
        <f>IF(AND('A-13'!D38="-",'A-13'!D86="-",'A-13'!D134="-"),"-",SUM('A-13'!D38,'A-13'!D86,'A-13'!D134))</f>
        <v>1173</v>
      </c>
      <c r="E37" s="24">
        <f>IF(AND('A-13'!E38="-",'A-13'!E86="-",'A-13'!E134="-"),"-",SUM('A-13'!E38,'A-13'!E86,'A-13'!E134))</f>
        <v>1161</v>
      </c>
      <c r="F37" s="24">
        <f>IF(AND('A-13'!F38="-",'A-13'!F86="-",'A-13'!F134="-"),"-",SUM('A-13'!F38,'A-13'!F86,'A-13'!F134))</f>
        <v>259</v>
      </c>
      <c r="G37" s="24" t="s">
        <v>23</v>
      </c>
      <c r="H37" s="24">
        <f>IF(AND('A-13'!G38="-",'A-13'!G86="-",'A-13'!G134="-"),"-",SUM('A-13'!G38,'A-13'!G86,'A-13'!G134))</f>
        <v>7394</v>
      </c>
      <c r="I37" s="24"/>
      <c r="J37" s="24" t="s">
        <v>23</v>
      </c>
      <c r="K37" s="24" t="s">
        <v>23</v>
      </c>
      <c r="L37" s="24">
        <f>IF(AND('A-13'!K38="-",'A-13'!K86="-",'A-13'!K134="-"),"-",SUM('A-13'!K38,'A-13'!K86,'A-13'!K134))</f>
        <v>351</v>
      </c>
      <c r="M37" s="24">
        <f>IF(AND('A-13'!L38="-",'A-13'!L86="-",'A-13'!L134="-"),"-",SUM('A-13'!L38,'A-13'!L86,'A-13'!L134))</f>
        <v>917</v>
      </c>
      <c r="N37" s="24">
        <f>IF(AND('A-13'!M38="-",'A-13'!M86="-",'A-13'!M134="-"),"-",SUM('A-13'!M38,'A-13'!M86,'A-13'!M134))</f>
        <v>361</v>
      </c>
      <c r="O37" s="24" t="s">
        <v>23</v>
      </c>
      <c r="P37" s="24">
        <f>IF(AND('A-13'!N38="-",'A-13'!N86="-",'A-13'!N134="-"),"-",SUM('A-13'!N38,'A-13'!N86,'A-13'!N134))</f>
        <v>1629</v>
      </c>
    </row>
    <row r="38" spans="1:16" ht="11.25" customHeight="1">
      <c r="A38" s="99">
        <v>2009</v>
      </c>
      <c r="B38" s="24">
        <f>IF(AND('A-13'!B39="-",'A-13'!B87="-",'A-13'!B135="-"),"-",SUM('A-13'!B39,'A-13'!B87,'A-13'!B135))</f>
        <v>5545</v>
      </c>
      <c r="C38" s="24">
        <f>IF(AND('A-13'!C39="-",'A-13'!C87="-",'A-13'!C135="-"),"-",SUM('A-13'!C39,'A-13'!C87,'A-13'!C135))</f>
        <v>4095</v>
      </c>
      <c r="D38" s="24">
        <f>IF(AND('A-13'!D39="-",'A-13'!D87="-",'A-13'!D135="-"),"-",SUM('A-13'!D39,'A-13'!D87,'A-13'!D135))</f>
        <v>1615</v>
      </c>
      <c r="E38" s="24">
        <f>IF(AND('A-13'!E39="-",'A-13'!E87="-",'A-13'!E135="-"),"-",SUM('A-13'!E39,'A-13'!E87,'A-13'!E135))</f>
        <v>680</v>
      </c>
      <c r="F38" s="24">
        <f>IF(AND('A-13'!F39="-",'A-13'!F87="-",'A-13'!F135="-"),"-",SUM('A-13'!F39,'A-13'!F87,'A-13'!F135))</f>
        <v>120</v>
      </c>
      <c r="G38" s="24" t="s">
        <v>23</v>
      </c>
      <c r="H38" s="24">
        <f>IF(AND('A-13'!G39="-",'A-13'!G87="-",'A-13'!G135="-"),"-",SUM('A-13'!G39,'A-13'!G87,'A-13'!G135))</f>
        <v>12055</v>
      </c>
      <c r="I38" s="24"/>
      <c r="J38" s="24" t="s">
        <v>23</v>
      </c>
      <c r="K38" s="24" t="s">
        <v>23</v>
      </c>
      <c r="L38" s="24">
        <f>IF(AND('A-13'!K39="-",'A-13'!K87="-",'A-13'!K135="-"),"-",SUM('A-13'!K39,'A-13'!K87,'A-13'!K135))</f>
        <v>4857</v>
      </c>
      <c r="M38" s="24">
        <f>IF(AND('A-13'!L39="-",'A-13'!L87="-",'A-13'!L135="-"),"-",SUM('A-13'!L39,'A-13'!L87,'A-13'!L135))</f>
        <v>9281</v>
      </c>
      <c r="N38" s="24">
        <f>IF(AND('A-13'!M39="-",'A-13'!M87="-",'A-13'!M135="-"),"-",SUM('A-13'!M39,'A-13'!M87,'A-13'!M135))</f>
        <v>3663</v>
      </c>
      <c r="O38" s="24" t="s">
        <v>23</v>
      </c>
      <c r="P38" s="24">
        <f>IF(AND('A-13'!N39="-",'A-13'!N87="-",'A-13'!N135="-"),"-",SUM('A-13'!N39,'A-13'!N87,'A-13'!N135))</f>
        <v>17801</v>
      </c>
    </row>
    <row r="39" spans="1:16" ht="11.25" customHeight="1">
      <c r="A39" s="99">
        <v>2010</v>
      </c>
      <c r="B39" s="24">
        <f>IF(AND('A-13'!B40="-",'A-13'!B88="-",'A-13'!B136="-"),"-",SUM('A-13'!B40,'A-13'!B88,'A-13'!B136))</f>
        <v>8219</v>
      </c>
      <c r="C39" s="24">
        <f>IF(AND('A-13'!C40="-",'A-13'!C88="-",'A-13'!C136="-"),"-",SUM('A-13'!C40,'A-13'!C88,'A-13'!C136))</f>
        <v>22332</v>
      </c>
      <c r="D39" s="24">
        <f>IF(AND('A-13'!D40="-",'A-13'!D88="-",'A-13'!D136="-"),"-",SUM('A-13'!D40,'A-13'!D88,'A-13'!D136))</f>
        <v>6113</v>
      </c>
      <c r="E39" s="24">
        <f>IF(AND('A-13'!E40="-",'A-13'!E88="-",'A-13'!E136="-"),"-",SUM('A-13'!E40,'A-13'!E88,'A-13'!E136))</f>
        <v>7267</v>
      </c>
      <c r="F39" s="24">
        <f>IF(AND('A-13'!F40="-",'A-13'!F88="-",'A-13'!F136="-"),"-",SUM('A-13'!F40,'A-13'!F88,'A-13'!F136))</f>
        <v>282</v>
      </c>
      <c r="G39" s="24" t="s">
        <v>23</v>
      </c>
      <c r="H39" s="24">
        <f>IF(AND('A-13'!G40="-",'A-13'!G88="-",'A-13'!G136="-"),"-",SUM('A-13'!G40,'A-13'!G88,'A-13'!G136))</f>
        <v>44213</v>
      </c>
      <c r="I39" s="24"/>
      <c r="J39" s="24" t="s">
        <v>23</v>
      </c>
      <c r="K39" s="24" t="s">
        <v>23</v>
      </c>
      <c r="L39" s="24">
        <f>IF(AND('A-13'!K40="-",'A-13'!K88="-",'A-13'!K136="-"),"-",SUM('A-13'!K40,'A-13'!K88,'A-13'!K136))</f>
        <v>1085</v>
      </c>
      <c r="M39" s="24">
        <f>IF(AND('A-13'!L40="-",'A-13'!L88="-",'A-13'!L136="-"),"-",SUM('A-13'!L40,'A-13'!L88,'A-13'!L136))</f>
        <v>744</v>
      </c>
      <c r="N39" s="24">
        <f>IF(AND('A-13'!M40="-",'A-13'!M88="-",'A-13'!M136="-"),"-",SUM('A-13'!M40,'A-13'!M88,'A-13'!M136))</f>
        <v>124</v>
      </c>
      <c r="O39" s="24" t="s">
        <v>23</v>
      </c>
      <c r="P39" s="24">
        <f>IF(AND('A-13'!N40="-",'A-13'!N88="-",'A-13'!N136="-"),"-",SUM('A-13'!N40,'A-13'!N88,'A-13'!N136))</f>
        <v>1953</v>
      </c>
    </row>
    <row r="40" spans="1:16" ht="11.25" customHeight="1">
      <c r="A40" s="99">
        <v>2011</v>
      </c>
      <c r="B40" s="24">
        <f>IF(AND('A-13'!B41="-",'A-13'!B89="-",'A-13'!B137="-"),"-",SUM('A-13'!B41,'A-13'!B89,'A-13'!B137))</f>
        <v>7682</v>
      </c>
      <c r="C40" s="24">
        <f>IF(AND('A-13'!C41="-",'A-13'!C89="-",'A-13'!C137="-"),"-",SUM('A-13'!C41,'A-13'!C89,'A-13'!C137))</f>
        <v>9315</v>
      </c>
      <c r="D40" s="24">
        <f>IF(AND('A-13'!D41="-",'A-13'!D89="-",'A-13'!D137="-"),"-",SUM('A-13'!D41,'A-13'!D89,'A-13'!D137))</f>
        <v>6015</v>
      </c>
      <c r="E40" s="24">
        <f>IF(AND('A-13'!E41="-",'A-13'!E89="-",'A-13'!E137="-"),"-",SUM('A-13'!E41,'A-13'!E89,'A-13'!E137))</f>
        <v>2520</v>
      </c>
      <c r="F40" s="24">
        <f>IF(AND('A-13'!F41="-",'A-13'!F89="-",'A-13'!F137="-"),"-",SUM('A-13'!F41,'A-13'!F89,'A-13'!F137))</f>
        <v>338</v>
      </c>
      <c r="G40" s="24" t="s">
        <v>23</v>
      </c>
      <c r="H40" s="24">
        <f>IF(AND('A-13'!G41="-",'A-13'!G89="-",'A-13'!G137="-"),"-",SUM('A-13'!G41,'A-13'!G89,'A-13'!G137))</f>
        <v>25870</v>
      </c>
      <c r="I40" s="24"/>
      <c r="J40" s="24" t="s">
        <v>23</v>
      </c>
      <c r="K40" s="24" t="s">
        <v>23</v>
      </c>
      <c r="L40" s="24">
        <f>IF(AND('A-13'!K41="-",'A-13'!K89="-",'A-13'!K137="-"),"-",SUM('A-13'!K41,'A-13'!K89,'A-13'!K137))</f>
        <v>1630</v>
      </c>
      <c r="M40" s="24">
        <f>IF(AND('A-13'!L41="-",'A-13'!L89="-",'A-13'!L137="-"),"-",SUM('A-13'!L41,'A-13'!L89,'A-13'!L137))</f>
        <v>892</v>
      </c>
      <c r="N40" s="24">
        <f>IF(AND('A-13'!M41="-",'A-13'!M89="-",'A-13'!M137="-"),"-",SUM('A-13'!M41,'A-13'!M89,'A-13'!M137))</f>
        <v>493</v>
      </c>
      <c r="O40" s="24" t="s">
        <v>23</v>
      </c>
      <c r="P40" s="24">
        <f>IF(AND('A-13'!N41="-",'A-13'!N89="-",'A-13'!N137="-"),"-",SUM('A-13'!N41,'A-13'!N89,'A-13'!N137))</f>
        <v>3015</v>
      </c>
    </row>
    <row r="41" spans="1:16" ht="11.25" customHeight="1">
      <c r="A41" s="99">
        <v>2012</v>
      </c>
      <c r="B41" s="24">
        <f>IF(AND('A-13'!B42="-",'A-13'!B90="-",'A-13'!B138="-"),"-",SUM('A-13'!B42,'A-13'!B90,'A-13'!B138))</f>
        <v>10366</v>
      </c>
      <c r="C41" s="24">
        <f>IF(AND('A-13'!C42="-",'A-13'!C90="-",'A-13'!C138="-"),"-",SUM('A-13'!C42,'A-13'!C90,'A-13'!C138))</f>
        <v>10371</v>
      </c>
      <c r="D41" s="24">
        <f>IF(AND('A-13'!D42="-",'A-13'!D90="-",'A-13'!D138="-"),"-",SUM('A-13'!D42,'A-13'!D90,'A-13'!D138))</f>
        <v>5312</v>
      </c>
      <c r="E41" s="24">
        <f>IF(AND('A-13'!E42="-",'A-13'!E90="-",'A-13'!E138="-"),"-",SUM('A-13'!E42,'A-13'!E90,'A-13'!E138))</f>
        <v>6398</v>
      </c>
      <c r="F41" s="24">
        <f>IF(AND('A-13'!F42="-",'A-13'!F90="-",'A-13'!F138="-"),"-",SUM('A-13'!F42,'A-13'!F90,'A-13'!F138))</f>
        <v>2158</v>
      </c>
      <c r="G41" s="24" t="s">
        <v>23</v>
      </c>
      <c r="H41" s="24">
        <f>IF(AND('A-13'!G42="-",'A-13'!G90="-",'A-13'!G138="-"),"-",SUM('A-13'!G42,'A-13'!G90,'A-13'!G138))</f>
        <v>34605</v>
      </c>
      <c r="I41" s="24"/>
      <c r="J41" s="24" t="s">
        <v>23</v>
      </c>
      <c r="K41" s="24" t="s">
        <v>23</v>
      </c>
      <c r="L41" s="24">
        <f>IF(AND('A-13'!K42="-",'A-13'!K90="-",'A-13'!K138="-"),"-",SUM('A-13'!K42,'A-13'!K90,'A-13'!K138))</f>
        <v>746</v>
      </c>
      <c r="M41" s="24">
        <f>IF(AND('A-13'!L42="-",'A-13'!L90="-",'A-13'!L138="-"),"-",SUM('A-13'!L42,'A-13'!L90,'A-13'!L138))</f>
        <v>1116</v>
      </c>
      <c r="N41" s="24">
        <f>IF(AND('A-13'!M42="-",'A-13'!M90="-",'A-13'!M138="-"),"-",SUM('A-13'!M42,'A-13'!M90,'A-13'!M138))</f>
        <v>1317</v>
      </c>
      <c r="O41" s="24" t="s">
        <v>23</v>
      </c>
      <c r="P41" s="24">
        <f>IF(AND('A-13'!N42="-",'A-13'!N90="-",'A-13'!N138="-"),"-",SUM('A-13'!N42,'A-13'!N90,'A-13'!N138))</f>
        <v>3179</v>
      </c>
    </row>
    <row r="42" spans="1:16" ht="11.25" customHeight="1">
      <c r="A42" s="99">
        <v>2013</v>
      </c>
      <c r="B42" s="24">
        <f>IF(AND('A-13'!B43="-",'A-13'!B91="-",'A-13'!B139="-"),"-",SUM('A-13'!B43,'A-13'!B91,'A-13'!B139))</f>
        <v>10487</v>
      </c>
      <c r="C42" s="24">
        <f>IF(AND('A-13'!C43="-",'A-13'!C91="-",'A-13'!C139="-"),"-",SUM('A-13'!C43,'A-13'!C91,'A-13'!C139))</f>
        <v>11848</v>
      </c>
      <c r="D42" s="24">
        <f>IF(AND('A-13'!D43="-",'A-13'!D91="-",'A-13'!D139="-"),"-",SUM('A-13'!D43,'A-13'!D91,'A-13'!D139))</f>
        <v>7816</v>
      </c>
      <c r="E42" s="24">
        <f>IF(AND('A-13'!E43="-",'A-13'!E91="-",'A-13'!E139="-"),"-",SUM('A-13'!E43,'A-13'!E91,'A-13'!E139))</f>
        <v>8689</v>
      </c>
      <c r="F42" s="24">
        <f>IF(AND('A-13'!F43="-",'A-13'!F91="-",'A-13'!F139="-"),"-",SUM('A-13'!F43,'A-13'!F91,'A-13'!F139))</f>
        <v>690</v>
      </c>
      <c r="G42" s="24" t="s">
        <v>23</v>
      </c>
      <c r="H42" s="24">
        <f>IF(AND('A-13'!G43="-",'A-13'!G91="-",'A-13'!G139="-"),"-",SUM('A-13'!G43,'A-13'!G91,'A-13'!G139))</f>
        <v>39530</v>
      </c>
      <c r="I42" s="24"/>
      <c r="J42" s="24" t="s">
        <v>23</v>
      </c>
      <c r="K42" s="24" t="s">
        <v>23</v>
      </c>
      <c r="L42" s="24">
        <f>IF(AND('A-13'!K43="-",'A-13'!K91="-",'A-13'!K139="-"),"-",SUM('A-13'!K43,'A-13'!K91,'A-13'!K139))</f>
        <v>1892</v>
      </c>
      <c r="M42" s="24">
        <f>IF(AND('A-13'!L43="-",'A-13'!L91="-",'A-13'!L139="-"),"-",SUM('A-13'!L43,'A-13'!L91,'A-13'!L139))</f>
        <v>3764</v>
      </c>
      <c r="N42" s="24">
        <f>IF(AND('A-13'!M43="-",'A-13'!M91="-",'A-13'!M139="-"),"-",SUM('A-13'!M43,'A-13'!M91,'A-13'!M139))</f>
        <v>258</v>
      </c>
      <c r="O42" s="24" t="s">
        <v>23</v>
      </c>
      <c r="P42" s="24">
        <f>IF(AND('A-13'!N43="-",'A-13'!N91="-",'A-13'!N139="-"),"-",SUM('A-13'!N43,'A-13'!N91,'A-13'!N139))</f>
        <v>5914</v>
      </c>
    </row>
    <row r="43" spans="1:16" ht="11.25" customHeight="1">
      <c r="A43" s="99">
        <v>2014</v>
      </c>
      <c r="B43" s="24">
        <f>IF(AND('A-13'!B44="-",'A-13'!B92="-",'A-13'!B140="-"),"-",SUM('A-13'!B44,'A-13'!B92,'A-13'!B140))</f>
        <v>12788</v>
      </c>
      <c r="C43" s="24">
        <f>IF(AND('A-13'!C44="-",'A-13'!C92="-",'A-13'!C140="-"),"-",SUM('A-13'!C44,'A-13'!C92,'A-13'!C140))</f>
        <v>2557</v>
      </c>
      <c r="D43" s="24">
        <f>IF(AND('A-13'!D44="-",'A-13'!D92="-",'A-13'!D140="-"),"-",SUM('A-13'!D44,'A-13'!D92,'A-13'!D140))</f>
        <v>8098</v>
      </c>
      <c r="E43" s="24">
        <f>IF(AND('A-13'!E44="-",'A-13'!E92="-",'A-13'!E140="-"),"-",SUM('A-13'!E44,'A-13'!E92,'A-13'!E140))</f>
        <v>5664</v>
      </c>
      <c r="F43" s="24">
        <f>IF(AND('A-13'!F44="-",'A-13'!F92="-",'A-13'!F140="-"),"-",SUM('A-13'!F44,'A-13'!F92,'A-13'!F140))</f>
        <v>620</v>
      </c>
      <c r="G43" s="24" t="s">
        <v>23</v>
      </c>
      <c r="H43" s="24">
        <f>IF(AND('A-13'!G44="-",'A-13'!G92="-",'A-13'!G140="-"),"-",SUM('A-13'!G44,'A-13'!G92,'A-13'!G140))</f>
        <v>29727</v>
      </c>
      <c r="I43" s="24"/>
      <c r="J43" s="24" t="s">
        <v>23</v>
      </c>
      <c r="K43" s="24" t="s">
        <v>23</v>
      </c>
      <c r="L43" s="24">
        <f>IF(AND('A-13'!K44="-",'A-13'!K92="-",'A-13'!K140="-"),"-",SUM('A-13'!K44,'A-13'!K92,'A-13'!K140))</f>
        <v>2907</v>
      </c>
      <c r="M43" s="24">
        <f>IF(AND('A-13'!L44="-",'A-13'!L92="-",'A-13'!L140="-"),"-",SUM('A-13'!L44,'A-13'!L92,'A-13'!L140))</f>
        <v>6050</v>
      </c>
      <c r="N43" s="24">
        <f>IF(AND('A-13'!M44="-",'A-13'!M92="-",'A-13'!M140="-"),"-",SUM('A-13'!M44,'A-13'!M92,'A-13'!M140))</f>
        <v>4211</v>
      </c>
      <c r="O43" s="24" t="s">
        <v>23</v>
      </c>
      <c r="P43" s="24">
        <f>IF(AND('A-13'!N44="-",'A-13'!N92="-",'A-13'!N140="-"),"-",SUM('A-13'!N44,'A-13'!N92,'A-13'!N140))</f>
        <v>13168</v>
      </c>
    </row>
    <row r="44" spans="1:16" ht="11.25" customHeight="1">
      <c r="A44" s="99">
        <v>2015</v>
      </c>
      <c r="B44" s="24">
        <f>IF(AND('A-13'!B45="-",'A-13'!B93="-",'A-13'!B141="-"),"-",SUM('A-13'!B45,'A-13'!B93,'A-13'!B141))</f>
        <v>12922</v>
      </c>
      <c r="C44" s="24">
        <f>IF(AND('A-13'!C45="-",'A-13'!C93="-",'A-13'!C141="-"),"-",SUM('A-13'!C45,'A-13'!C93,'A-13'!C141))</f>
        <v>14408</v>
      </c>
      <c r="D44" s="24">
        <f>IF(AND('A-13'!D45="-",'A-13'!D93="-",'A-13'!D141="-"),"-",SUM('A-13'!D45,'A-13'!D93,'A-13'!D141))</f>
        <v>12610</v>
      </c>
      <c r="E44" s="24">
        <f>IF(AND('A-13'!E45="-",'A-13'!E93="-",'A-13'!E141="-"),"-",SUM('A-13'!E45,'A-13'!E93,'A-13'!E141))</f>
        <v>9831</v>
      </c>
      <c r="F44" s="24">
        <f>IF(AND('A-13'!F45="-",'A-13'!F93="-",'A-13'!F141="-"),"-",SUM('A-13'!F45,'A-13'!F93,'A-13'!F141))</f>
        <v>1517</v>
      </c>
      <c r="G44" s="24" t="s">
        <v>23</v>
      </c>
      <c r="H44" s="24">
        <f>IF(AND('A-13'!G45="-",'A-13'!G93="-",'A-13'!G141="-"),"-",SUM('A-13'!G45,'A-13'!G93,'A-13'!G141))</f>
        <v>51288</v>
      </c>
      <c r="I44" s="24"/>
      <c r="J44" s="24" t="s">
        <v>23</v>
      </c>
      <c r="K44" s="24" t="s">
        <v>23</v>
      </c>
      <c r="L44" s="24">
        <f>IF(AND('A-13'!K45="-",'A-13'!K93="-",'A-13'!K141="-"),"-",SUM('A-13'!K45,'A-13'!K93,'A-13'!K141))</f>
        <v>687</v>
      </c>
      <c r="M44" s="24">
        <f>IF(AND('A-13'!L45="-",'A-13'!L93="-",'A-13'!L141="-"),"-",SUM('A-13'!L45,'A-13'!L93,'A-13'!L141))</f>
        <v>998</v>
      </c>
      <c r="N44" s="24">
        <f>IF(AND('A-13'!M45="-",'A-13'!M93="-",'A-13'!M141="-"),"-",SUM('A-13'!M45,'A-13'!M93,'A-13'!M141))</f>
        <v>497</v>
      </c>
      <c r="O44" s="24" t="s">
        <v>23</v>
      </c>
      <c r="P44" s="24">
        <f>IF(AND('A-13'!N45="-",'A-13'!N93="-",'A-13'!N141="-"),"-",SUM('A-13'!N45,'A-13'!N93,'A-13'!N141))</f>
        <v>2182</v>
      </c>
    </row>
    <row r="45" spans="1:16" ht="11.25" customHeight="1">
      <c r="A45" s="99">
        <v>2016</v>
      </c>
      <c r="B45" s="24">
        <f>IF(AND('A-13'!B46="-",'A-13'!B94="-",'A-13'!B142="-"),"-",SUM('A-13'!B46,'A-13'!B94,'A-13'!B142))</f>
        <v>6434</v>
      </c>
      <c r="C45" s="24">
        <f>IF(AND('A-13'!C46="-",'A-13'!C94="-",'A-13'!C142="-"),"-",SUM('A-13'!C46,'A-13'!C94,'A-13'!C142))</f>
        <v>3964</v>
      </c>
      <c r="D45" s="24">
        <f>IF(AND('A-13'!D46="-",'A-13'!D94="-",'A-13'!D142="-"),"-",SUM('A-13'!D46,'A-13'!D94,'A-13'!D142))</f>
        <v>3325</v>
      </c>
      <c r="E45" s="24">
        <f>IF(AND('A-13'!E46="-",'A-13'!E94="-",'A-13'!E142="-"),"-",SUM('A-13'!E46,'A-13'!E94,'A-13'!E142))</f>
        <v>1962</v>
      </c>
      <c r="F45" s="24" t="str">
        <f>IF(AND('A-13'!F46="-",'A-13'!F94="-",'A-13'!F142="-"),"-",SUM('A-13'!F46,'A-13'!F94,'A-13'!F142))</f>
        <v>-</v>
      </c>
      <c r="G45" s="24" t="s">
        <v>23</v>
      </c>
      <c r="H45" s="24">
        <f>IF(AND('A-13'!G46="-",'A-13'!G94="-",'A-13'!G142="-"),"-",SUM('A-13'!G46,'A-13'!G94,'A-13'!G142))</f>
        <v>15685</v>
      </c>
      <c r="I45" s="24"/>
      <c r="J45" s="24" t="s">
        <v>23</v>
      </c>
      <c r="K45" s="24" t="s">
        <v>23</v>
      </c>
      <c r="L45" s="24" t="str">
        <f>IF(AND('A-13'!K46="-",'A-13'!K94="-",'A-13'!K142="-"),"-",SUM('A-13'!K46,'A-13'!K94,'A-13'!K142))</f>
        <v>-</v>
      </c>
      <c r="M45" s="24" t="str">
        <f>IF(AND('A-13'!L46="-",'A-13'!L94="-",'A-13'!L142="-"),"-",SUM('A-13'!L46,'A-13'!L94,'A-13'!L142))</f>
        <v>-</v>
      </c>
      <c r="N45" s="24" t="str">
        <f>IF(AND('A-13'!M46="-",'A-13'!M94="-",'A-13'!M142="-"),"-",SUM('A-13'!M46,'A-13'!M94,'A-13'!M142))</f>
        <v>-</v>
      </c>
      <c r="O45" s="24" t="s">
        <v>23</v>
      </c>
      <c r="P45" s="179" t="str">
        <f>IF(AND('A-13'!N46="-",'A-13'!N94="-",'A-13'!N142="-"),"-",SUM('A-13'!N46,'A-13'!N94,'A-13'!N142))</f>
        <v>-</v>
      </c>
    </row>
    <row r="46" spans="1:16" ht="11.25" customHeight="1">
      <c r="A46" s="99">
        <v>2017</v>
      </c>
      <c r="B46" s="24">
        <f>IF(AND('A-13'!B47="-",'A-13'!B95="-",'A-13'!B143="-"),"-",SUM('A-13'!B47,'A-13'!B95,'A-13'!B143))</f>
        <v>13356</v>
      </c>
      <c r="C46" s="24">
        <f>IF(AND('A-13'!C47="-",'A-13'!C95="-",'A-13'!C143="-"),"-",SUM('A-13'!C47,'A-13'!C95,'A-13'!C143))</f>
        <v>7246</v>
      </c>
      <c r="D46" s="24">
        <f>IF(AND('A-13'!D47="-",'A-13'!D95="-",'A-13'!D143="-"),"-",SUM('A-13'!D47,'A-13'!D95,'A-13'!D143))</f>
        <v>5706</v>
      </c>
      <c r="E46" s="24">
        <f>IF(AND('A-13'!E47="-",'A-13'!E95="-",'A-13'!E143="-"),"-",SUM('A-13'!E47,'A-13'!E95,'A-13'!E143))</f>
        <v>5285</v>
      </c>
      <c r="F46" s="24">
        <f>IF(AND('A-13'!F47="-",'A-13'!F95="-",'A-13'!F143="-"),"-",SUM('A-13'!F47,'A-13'!F95,'A-13'!F143))</f>
        <v>766</v>
      </c>
      <c r="G46" s="24" t="s">
        <v>23</v>
      </c>
      <c r="H46" s="24">
        <f>IF(AND('A-13'!G47="-",'A-13'!G95="-",'A-13'!G143="-"),"-",SUM('A-13'!G47,'A-13'!G95,'A-13'!G143))</f>
        <v>32359</v>
      </c>
      <c r="I46" s="24"/>
      <c r="J46" s="24" t="s">
        <v>23</v>
      </c>
      <c r="K46" s="24" t="s">
        <v>23</v>
      </c>
      <c r="L46" s="24">
        <f>IF(AND('A-13'!K47="-",'A-13'!K95="-",'A-13'!K143="-"),"-",SUM('A-13'!K47,'A-13'!K95,'A-13'!K143))</f>
        <v>217</v>
      </c>
      <c r="M46" s="24">
        <f>IF(AND('A-13'!L47="-",'A-13'!L95="-",'A-13'!L143="-"),"-",SUM('A-13'!L47,'A-13'!L95,'A-13'!L143))</f>
        <v>719</v>
      </c>
      <c r="N46" s="24">
        <f>IF(AND('A-13'!M47="-",'A-13'!M95="-",'A-13'!M143="-"),"-",SUM('A-13'!M47,'A-13'!M95,'A-13'!M143))</f>
        <v>301</v>
      </c>
      <c r="O46" s="24" t="s">
        <v>23</v>
      </c>
      <c r="P46" s="24">
        <f>IF(AND('A-13'!N47="-",'A-13'!N95="-",'A-13'!N143="-"),"-",SUM('A-13'!N47,'A-13'!N95,'A-13'!N143))</f>
        <v>1237</v>
      </c>
    </row>
    <row r="47" spans="1:16" ht="11.25" customHeight="1">
      <c r="A47" s="122">
        <v>2018</v>
      </c>
      <c r="B47" s="24">
        <f>IF(AND('A-13'!B48="-",'A-13'!B96="-",'A-13'!B144="-"),"-",SUM('A-13'!B48,'A-13'!B96,'A-13'!B144))</f>
        <v>6653</v>
      </c>
      <c r="C47" s="24">
        <f>IF(AND('A-13'!C48="-",'A-13'!C96="-",'A-13'!C144="-"),"-",SUM('A-13'!C48,'A-13'!C96,'A-13'!C144))</f>
        <v>8942</v>
      </c>
      <c r="D47" s="24">
        <f>IF(AND('A-13'!D48="-",'A-13'!D96="-",'A-13'!D144="-"),"-",SUM('A-13'!D48,'A-13'!D96,'A-13'!D144))</f>
        <v>5438</v>
      </c>
      <c r="E47" s="24">
        <f>IF(AND('A-13'!E48="-",'A-13'!E96="-",'A-13'!E144="-"),"-",SUM('A-13'!E48,'A-13'!E96,'A-13'!E144))</f>
        <v>1683</v>
      </c>
      <c r="F47" s="24">
        <f>IF(AND('A-13'!F48="-",'A-13'!F96="-",'A-13'!F144="-"),"-",SUM('A-13'!F48,'A-13'!F96,'A-13'!F144))</f>
        <v>709</v>
      </c>
      <c r="G47" s="24" t="s">
        <v>23</v>
      </c>
      <c r="H47" s="24">
        <f>IF(AND('A-13'!G48="-",'A-13'!G96="-",'A-13'!G144="-"),"-",SUM('A-13'!G48,'A-13'!G96,'A-13'!G144))</f>
        <v>23425</v>
      </c>
      <c r="J47" s="24" t="s">
        <v>23</v>
      </c>
      <c r="K47" s="24" t="s">
        <v>23</v>
      </c>
      <c r="L47" s="24">
        <f>IF(AND('A-13'!K48="-",'A-13'!K96="-",'A-13'!K144="-"),"-",SUM('A-13'!K48,'A-13'!K96,'A-13'!K144))</f>
        <v>415</v>
      </c>
      <c r="M47" s="24">
        <f>IF(AND('A-13'!L48="-",'A-13'!L96="-",'A-13'!L144="-"),"-",SUM('A-13'!L48,'A-13'!L96,'A-13'!L144))</f>
        <v>456</v>
      </c>
      <c r="N47" s="24">
        <f>IF(AND('A-13'!M48="-",'A-13'!M96="-",'A-13'!M144="-"),"-",SUM('A-13'!M48,'A-13'!M96,'A-13'!M144))</f>
        <v>388</v>
      </c>
      <c r="O47" s="24" t="s">
        <v>23</v>
      </c>
      <c r="P47" s="24">
        <f>IF(AND('A-13'!N48="-",'A-13'!N96="-",'A-13'!N144="-"),"-",SUM('A-13'!N48,'A-13'!N96,'A-13'!N144))</f>
        <v>1259</v>
      </c>
    </row>
    <row r="48" spans="1:16" ht="11.25" customHeight="1">
      <c r="A48" s="122">
        <v>2019</v>
      </c>
      <c r="B48" s="24">
        <f>IF(AND('A-13'!B49="-",'A-13'!B97="-",'A-13'!B145="-"),"-",SUM('A-13'!B49,'A-13'!B97,'A-13'!B145))</f>
        <v>3762</v>
      </c>
      <c r="C48" s="24">
        <f>IF(AND('A-13'!C49="-",'A-13'!C97="-",'A-13'!C145="-"),"-",SUM('A-13'!C49,'A-13'!C97,'A-13'!C145))</f>
        <v>3018</v>
      </c>
      <c r="D48" s="24">
        <f>IF(AND('A-13'!D49="-",'A-13'!D97="-",'A-13'!D145="-"),"-",SUM('A-13'!D49,'A-13'!D97,'A-13'!D145))</f>
        <v>11394</v>
      </c>
      <c r="E48" s="24">
        <f>IF(AND('A-13'!E49="-",'A-13'!E97="-",'A-13'!E145="-"),"-",SUM('A-13'!E49,'A-13'!E97,'A-13'!E145))</f>
        <v>2641</v>
      </c>
      <c r="F48" s="24">
        <f>IF(AND('A-13'!F49="-",'A-13'!F97="-",'A-13'!F145="-"),"-",SUM('A-13'!F49,'A-13'!F97,'A-13'!F145))</f>
        <v>1732</v>
      </c>
      <c r="G48" s="24" t="s">
        <v>23</v>
      </c>
      <c r="H48" s="24">
        <f>IF(AND('A-13'!G49="-",'A-13'!G97="-",'A-13'!G145="-"),"-",SUM('A-13'!G49,'A-13'!G97,'A-13'!G145))</f>
        <v>22547</v>
      </c>
      <c r="J48" s="24" t="s">
        <v>23</v>
      </c>
      <c r="K48" s="24" t="s">
        <v>23</v>
      </c>
      <c r="L48" s="24">
        <f>IF(AND('A-13'!K49="-",'A-13'!K97="-",'A-13'!K145="-"),"-",SUM('A-13'!K49,'A-13'!K97,'A-13'!K145))</f>
        <v>1477</v>
      </c>
      <c r="M48" s="24">
        <f>IF(AND('A-13'!L49="-",'A-13'!L97="-",'A-13'!L145="-"),"-",SUM('A-13'!L49,'A-13'!L97,'A-13'!L145))</f>
        <v>1060</v>
      </c>
      <c r="N48" s="24">
        <f>IF(AND('A-13'!M49="-",'A-13'!M97="-",'A-13'!M145="-"),"-",SUM('A-13'!M49,'A-13'!M97,'A-13'!M145))</f>
        <v>1201</v>
      </c>
      <c r="O48" s="24" t="s">
        <v>23</v>
      </c>
      <c r="P48" s="24">
        <f>IF(AND('A-13'!N49="-",'A-13'!N97="-",'A-13'!N145="-"),"-",SUM('A-13'!N49,'A-13'!N97,'A-13'!N145))</f>
        <v>3738</v>
      </c>
    </row>
    <row r="49" spans="1:16" ht="11.25" customHeight="1">
      <c r="A49" s="122">
        <v>2020</v>
      </c>
      <c r="B49" s="24">
        <f>IF(AND('A-13'!B50="-",'A-13'!B98="-",'A-13'!B146="-"),"-",SUM('A-13'!B50,'A-13'!B98,'A-13'!B146))</f>
        <v>478</v>
      </c>
      <c r="C49" s="24">
        <f>IF(AND('A-13'!C50="-",'A-13'!C98="-",'A-13'!C146="-"),"-",SUM('A-13'!C50,'A-13'!C98,'A-13'!C146))</f>
        <v>1175</v>
      </c>
      <c r="D49" s="24">
        <f>IF(AND('A-13'!D50="-",'A-13'!D98="-",'A-13'!D146="-"),"-",SUM('A-13'!D50,'A-13'!D98,'A-13'!D146))</f>
        <v>7269</v>
      </c>
      <c r="E49" s="24">
        <f>IF(AND('A-13'!E50="-",'A-13'!E98="-",'A-13'!E146="-"),"-",SUM('A-13'!E50,'A-13'!E98,'A-13'!E146))</f>
        <v>2861</v>
      </c>
      <c r="F49" s="24">
        <f>IF(AND('A-13'!F50="-",'A-13'!F98="-",'A-13'!F146="-"),"-",SUM('A-13'!F50,'A-13'!F98,'A-13'!F146))</f>
        <v>149</v>
      </c>
      <c r="G49" s="24" t="s">
        <v>23</v>
      </c>
      <c r="H49" s="24">
        <f>IF(AND('A-13'!G50="-",'A-13'!G98="-",'A-13'!G146="-"),"-",SUM('A-13'!G50,'A-13'!G98,'A-13'!G146))</f>
        <v>11932</v>
      </c>
      <c r="J49" s="24" t="s">
        <v>23</v>
      </c>
      <c r="K49" s="24" t="s">
        <v>23</v>
      </c>
      <c r="L49" s="24">
        <f>IF(AND('A-13'!K50="-",'A-13'!K98="-",'A-13'!K146="-"),"-",SUM('A-13'!K50,'A-13'!K98,'A-13'!K146))</f>
        <v>222</v>
      </c>
      <c r="M49" s="24">
        <f>IF(AND('A-13'!L50="-",'A-13'!L98="-",'A-13'!L146="-"),"-",SUM('A-13'!L50,'A-13'!L98,'A-13'!L146))</f>
        <v>314</v>
      </c>
      <c r="N49" s="24">
        <f>IF(AND('A-13'!M50="-",'A-13'!M98="-",'A-13'!M146="-"),"-",SUM('A-13'!M50,'A-13'!M98,'A-13'!M146))</f>
        <v>86</v>
      </c>
      <c r="O49" s="24" t="s">
        <v>23</v>
      </c>
      <c r="P49" s="24">
        <f>IF(AND('A-13'!N50="-",'A-13'!N98="-",'A-13'!N146="-"),"-",SUM('A-13'!N50,'A-13'!N98,'A-13'!N146))</f>
        <v>622</v>
      </c>
    </row>
    <row r="50" spans="1:16" ht="11.25" customHeight="1">
      <c r="A50" s="122" t="s">
        <v>317</v>
      </c>
      <c r="B50" s="24">
        <f>IF(AND('A-13'!B51="-",'A-13'!B99="-",'A-13'!B147="-"),"-",SUM('A-13'!B51,'A-13'!B99,'A-13'!B147))</f>
        <v>2542</v>
      </c>
      <c r="C50" s="24">
        <f>IF(AND('A-13'!C51="-",'A-13'!C99="-",'A-13'!C147="-"),"-",SUM('A-13'!C51,'A-13'!C99,'A-13'!C147))</f>
        <v>7202</v>
      </c>
      <c r="D50" s="24">
        <f>IF(AND('A-13'!D51="-",'A-13'!D99="-",'A-13'!D147="-"),"-",SUM('A-13'!D51,'A-13'!D99,'A-13'!D147))</f>
        <v>5547</v>
      </c>
      <c r="E50" s="24">
        <f>IF(AND('A-13'!E51="-",'A-13'!E99="-",'A-13'!E147="-"),"-",SUM('A-13'!E51,'A-13'!E99,'A-13'!E147))</f>
        <v>3140</v>
      </c>
      <c r="F50" s="24">
        <f>IF(AND('A-13'!F51="-",'A-13'!F99="-",'A-13'!F147="-"),"-",SUM('A-13'!F51,'A-13'!F99,'A-13'!F147))</f>
        <v>508</v>
      </c>
      <c r="G50" s="24" t="s">
        <v>23</v>
      </c>
      <c r="H50" s="24">
        <f>IF(AND('A-13'!G51="-",'A-13'!G99="-",'A-13'!G147="-"),"-",SUM('A-13'!G51,'A-13'!G99,'A-13'!G147))</f>
        <v>18939</v>
      </c>
      <c r="J50" s="24" t="s">
        <v>23</v>
      </c>
      <c r="K50" s="24" t="s">
        <v>23</v>
      </c>
      <c r="L50" s="24">
        <f>IF(AND('A-13'!K51="-",'A-13'!K99="-",'A-13'!K147="-"),"-",SUM('A-13'!K51,'A-13'!K99,'A-13'!K147))</f>
        <v>551</v>
      </c>
      <c r="M50" s="24">
        <f>IF(AND('A-13'!L51="-",'A-13'!L99="-",'A-13'!L147="-"),"-",SUM('A-13'!L51,'A-13'!L99,'A-13'!L147))</f>
        <v>1071</v>
      </c>
      <c r="N50" s="24">
        <f>IF(AND('A-13'!M51="-",'A-13'!M99="-",'A-13'!M147="-"),"-",SUM('A-13'!M51,'A-13'!M99,'A-13'!M147))</f>
        <v>1625</v>
      </c>
      <c r="O50" s="24" t="s">
        <v>23</v>
      </c>
      <c r="P50" s="24">
        <f>IF(AND('A-13'!N51="-",'A-13'!N99="-",'A-13'!N147="-"),"-",SUM('A-13'!N51,'A-13'!N99,'A-13'!N147))</f>
        <v>3247</v>
      </c>
    </row>
    <row r="51" spans="1:16" ht="11.25" customHeight="1"/>
    <row r="52" spans="1:16" ht="11.25" customHeight="1">
      <c r="A52" s="94" t="s">
        <v>229</v>
      </c>
      <c r="B52" s="120"/>
      <c r="C52" s="120"/>
      <c r="D52" s="120"/>
      <c r="E52" s="120"/>
    </row>
    <row r="53" spans="1:16" ht="11.25" customHeight="1">
      <c r="A53" s="99">
        <v>1976</v>
      </c>
      <c r="B53" s="24">
        <f>IF(AND('A-15'!C6="-",'A-15'!C54="-",'A-15'!C102="-",'A-15'!C150="-"),"-",SUM('A-15'!C6,'A-15'!C54,'A-15'!C102,'A-15'!C150))</f>
        <v>381</v>
      </c>
      <c r="C53" s="24">
        <f>IF(AND('A-15'!D6="-",'A-15'!D54="-",'A-15'!D102="-",'A-15'!D150="-"),"-",SUM('A-15'!D6,'A-15'!D54,'A-15'!D102,'A-15'!D150))</f>
        <v>2900</v>
      </c>
      <c r="D53" s="24">
        <f>IF(AND('A-15'!E6="-",'A-15'!E54="-",'A-15'!E102="-",'A-15'!E150="-"),"-",SUM('A-15'!E6,'A-15'!E54,'A-15'!E102,'A-15'!E150))</f>
        <v>3581</v>
      </c>
      <c r="E53" s="24">
        <f>IF(AND('A-15'!F6="-",'A-15'!F54="-",'A-15'!F102="-",'A-15'!F150="-"),"-",SUM('A-15'!F6,'A-15'!F54,'A-15'!F102,'A-15'!F150))</f>
        <v>957</v>
      </c>
      <c r="F53" s="24">
        <f>IF(AND('A-15'!G6="-",'A-15'!G54="-",'A-15'!G102="-",'A-15'!G150="-"),"-",SUM('A-15'!G6,'A-15'!G54,'A-15'!G102,'A-15'!G150))</f>
        <v>70</v>
      </c>
      <c r="G53" s="24">
        <f>IF(AND('A-15'!H6="-",'A-15'!H54="-",'A-15'!H102="-",'A-15'!H150="-"),"-",SUM('A-15'!H6,'A-15'!H54,'A-15'!H102,'A-15'!H150))</f>
        <v>1</v>
      </c>
      <c r="H53" s="24">
        <f>IF(AND('A-15'!J6="-",'A-15'!J54="-",'A-15'!J102="-",'A-15'!J150="-"),"-",SUM('A-15'!J6,'A-15'!J54,'A-15'!J102,'A-15'!J150))</f>
        <v>7889</v>
      </c>
      <c r="J53" s="24">
        <f>IF(AND('A-15'!N6="-",'A-15'!N54="-",'A-15'!N102="-",'A-15'!N150="-"),"-",SUM('A-15'!N6,'A-15'!N54,'A-15'!N102,'A-15'!N150))</f>
        <v>0</v>
      </c>
      <c r="K53" s="24">
        <f>IF(AND('A-15'!O6="-",'A-15'!O54="-",'A-15'!O102="-",'A-15'!O150="-"),"-",SUM('A-15'!O6,'A-15'!O54,'A-15'!O102,'A-15'!O150))</f>
        <v>1466</v>
      </c>
      <c r="L53" s="24">
        <f>IF(AND('A-15'!P6="-",'A-15'!P54="-",'A-15'!P102="-",'A-15'!P150="-"),"-",SUM('A-15'!P6,'A-15'!P54,'A-15'!P102,'A-15'!P150))</f>
        <v>4153</v>
      </c>
      <c r="M53" s="24">
        <f>IF(AND('A-15'!Q6="-",'A-15'!Q54="-",'A-15'!Q102="-",'A-15'!Q150="-"),"-",SUM('A-15'!Q6,'A-15'!Q54,'A-15'!Q102,'A-15'!Q150))</f>
        <v>1583</v>
      </c>
      <c r="N53" s="24">
        <f>IF(AND('A-15'!R6="-",'A-15'!R54="-",'A-15'!R102="-",'A-15'!R150="-"),"-",SUM('A-15'!R6,'A-15'!R54,'A-15'!R102,'A-15'!R150))</f>
        <v>126</v>
      </c>
      <c r="O53" s="24">
        <f>IF(AND('A-15'!S6="-",'A-15'!S54="-",'A-15'!S102="-",'A-15'!S150="-"),"-",SUM('A-15'!S6,'A-15'!S54,'A-15'!S102,'A-15'!S150))</f>
        <v>16</v>
      </c>
      <c r="P53" s="24">
        <f>IF(AND('A-15'!U6="-",'A-15'!U54="-",'A-15'!U102="-",'A-15'!U150="-"),"-",SUM('A-15'!U6,'A-15'!U54,'A-15'!U102,'A-15'!U150))</f>
        <v>7328</v>
      </c>
    </row>
    <row r="54" spans="1:16" ht="11.25" customHeight="1">
      <c r="A54" s="99">
        <v>1977</v>
      </c>
      <c r="B54" s="24">
        <f>IF(AND('A-15'!C7="-",'A-15'!C55="-",'A-15'!C103="-",'A-15'!C151="-"),"-",SUM('A-15'!C7,'A-15'!C55,'A-15'!C103,'A-15'!C151))</f>
        <v>1676</v>
      </c>
      <c r="C54" s="24">
        <f>IF(AND('A-15'!D7="-",'A-15'!D55="-",'A-15'!D103="-",'A-15'!D151="-"),"-",SUM('A-15'!D7,'A-15'!D55,'A-15'!D103,'A-15'!D151))</f>
        <v>1840</v>
      </c>
      <c r="D54" s="24">
        <f>IF(AND('A-15'!E7="-",'A-15'!E55="-",'A-15'!E103="-",'A-15'!E151="-"),"-",SUM('A-15'!E7,'A-15'!E55,'A-15'!E103,'A-15'!E151))</f>
        <v>871</v>
      </c>
      <c r="E54" s="24">
        <f>IF(AND('A-15'!F7="-",'A-15'!F55="-",'A-15'!F103="-",'A-15'!F151="-"),"-",SUM('A-15'!F7,'A-15'!F55,'A-15'!F103,'A-15'!F151))</f>
        <v>413</v>
      </c>
      <c r="F54" s="24">
        <f>IF(AND('A-15'!G7="-",'A-15'!G55="-",'A-15'!G103="-",'A-15'!G151="-"),"-",SUM('A-15'!G7,'A-15'!G55,'A-15'!G103,'A-15'!G151))</f>
        <v>168</v>
      </c>
      <c r="G54" s="24">
        <f>IF(AND('A-15'!H7="-",'A-15'!H55="-",'A-15'!H103="-",'A-15'!H151="-"),"-",SUM('A-15'!H7,'A-15'!H55,'A-15'!H103,'A-15'!H151))</f>
        <v>8</v>
      </c>
      <c r="H54" s="24">
        <f>IF(AND('A-15'!J7="-",'A-15'!J55="-",'A-15'!J103="-",'A-15'!J151="-"),"-",SUM('A-15'!J7,'A-15'!J55,'A-15'!J103,'A-15'!J151))</f>
        <v>4968</v>
      </c>
      <c r="J54" s="24">
        <f>IF(AND('A-15'!N7="-",'A-15'!N55="-",'A-15'!N103="-",'A-15'!N151="-"),"-",SUM('A-15'!N7,'A-15'!N55,'A-15'!N103,'A-15'!N151))</f>
        <v>258</v>
      </c>
      <c r="K54" s="24">
        <f>IF(AND('A-15'!O7="-",'A-15'!O55="-",'A-15'!O103="-",'A-15'!O151="-"),"-",SUM('A-15'!O7,'A-15'!O55,'A-15'!O103,'A-15'!O151))</f>
        <v>3440</v>
      </c>
      <c r="L54" s="24">
        <f>IF(AND('A-15'!P7="-",'A-15'!P55="-",'A-15'!P103="-",'A-15'!P151="-"),"-",SUM('A-15'!P7,'A-15'!P55,'A-15'!P103,'A-15'!P151))</f>
        <v>1263</v>
      </c>
      <c r="M54" s="24">
        <f>IF(AND('A-15'!Q7="-",'A-15'!Q55="-",'A-15'!Q103="-",'A-15'!Q151="-"),"-",SUM('A-15'!Q7,'A-15'!Q55,'A-15'!Q103,'A-15'!Q151))</f>
        <v>1592</v>
      </c>
      <c r="N54" s="24">
        <f>IF(AND('A-15'!R7="-",'A-15'!R55="-",'A-15'!R103="-",'A-15'!R151="-"),"-",SUM('A-15'!R7,'A-15'!R55,'A-15'!R103,'A-15'!R151))</f>
        <v>419</v>
      </c>
      <c r="O54" s="24">
        <f>IF(AND('A-15'!S7="-",'A-15'!S55="-",'A-15'!S103="-",'A-15'!S151="-"),"-",SUM('A-15'!S7,'A-15'!S55,'A-15'!S103,'A-15'!S151))</f>
        <v>4</v>
      </c>
      <c r="P54" s="24">
        <f>IF(AND('A-15'!U7="-",'A-15'!U55="-",'A-15'!U103="-",'A-15'!U151="-"),"-",SUM('A-15'!U7,'A-15'!U55,'A-15'!U103,'A-15'!U151))</f>
        <v>6972</v>
      </c>
    </row>
    <row r="55" spans="1:16" ht="11.25" customHeight="1">
      <c r="A55" s="99">
        <v>1978</v>
      </c>
      <c r="B55" s="24">
        <f>IF(AND('A-15'!C8="-",'A-15'!C56="-",'A-15'!C104="-",'A-15'!C152="-"),"-",SUM('A-15'!C8,'A-15'!C56,'A-15'!C104,'A-15'!C152))</f>
        <v>946</v>
      </c>
      <c r="C55" s="24">
        <f>IF(AND('A-15'!D8="-",'A-15'!D56="-",'A-15'!D104="-",'A-15'!D152="-"),"-",SUM('A-15'!D8,'A-15'!D56,'A-15'!D104,'A-15'!D152))</f>
        <v>3877</v>
      </c>
      <c r="D55" s="24">
        <f>IF(AND('A-15'!E8="-",'A-15'!E56="-",'A-15'!E104="-",'A-15'!E152="-"),"-",SUM('A-15'!E8,'A-15'!E56,'A-15'!E104,'A-15'!E152))</f>
        <v>827</v>
      </c>
      <c r="E55" s="24">
        <f>IF(AND('A-15'!F8="-",'A-15'!F56="-",'A-15'!F104="-",'A-15'!F152="-"),"-",SUM('A-15'!F8,'A-15'!F56,'A-15'!F104,'A-15'!F152))</f>
        <v>232</v>
      </c>
      <c r="F55" s="24">
        <f>IF(AND('A-15'!G8="-",'A-15'!G56="-",'A-15'!G104="-",'A-15'!G152="-"),"-",SUM('A-15'!G8,'A-15'!G56,'A-15'!G104,'A-15'!G152))</f>
        <v>64</v>
      </c>
      <c r="G55" s="24">
        <f>IF(AND('A-15'!H8="-",'A-15'!H56="-",'A-15'!H104="-",'A-15'!H152="-"),"-",SUM('A-15'!H8,'A-15'!H56,'A-15'!H104,'A-15'!H152))</f>
        <v>26</v>
      </c>
      <c r="H55" s="24">
        <f>IF(AND('A-15'!J8="-",'A-15'!J56="-",'A-15'!J104="-",'A-15'!J152="-"),"-",SUM('A-15'!J8,'A-15'!J56,'A-15'!J104,'A-15'!J152))</f>
        <v>5946</v>
      </c>
      <c r="J55" s="24">
        <f>IF(AND('A-15'!N8="-",'A-15'!N56="-",'A-15'!N104="-",'A-15'!N152="-"),"-",SUM('A-15'!N8,'A-15'!N56,'A-15'!N104,'A-15'!N152))</f>
        <v>231</v>
      </c>
      <c r="K55" s="24">
        <f>IF(AND('A-15'!O8="-",'A-15'!O56="-",'A-15'!O104="-",'A-15'!O152="-"),"-",SUM('A-15'!O8,'A-15'!O56,'A-15'!O104,'A-15'!O152))</f>
        <v>3405</v>
      </c>
      <c r="L55" s="24">
        <f>IF(AND('A-15'!P8="-",'A-15'!P56="-",'A-15'!P104="-",'A-15'!P152="-"),"-",SUM('A-15'!P8,'A-15'!P56,'A-15'!P104,'A-15'!P152))</f>
        <v>1307</v>
      </c>
      <c r="M55" s="24">
        <f>IF(AND('A-15'!Q8="-",'A-15'!Q56="-",'A-15'!Q104="-",'A-15'!Q152="-"),"-",SUM('A-15'!Q8,'A-15'!Q56,'A-15'!Q104,'A-15'!Q152))</f>
        <v>509</v>
      </c>
      <c r="N55" s="24">
        <f>IF(AND('A-15'!R8="-",'A-15'!R56="-",'A-15'!R104="-",'A-15'!R152="-"),"-",SUM('A-15'!R8,'A-15'!R56,'A-15'!R104,'A-15'!R152))</f>
        <v>550</v>
      </c>
      <c r="O55" s="24">
        <f>IF(AND('A-15'!S8="-",'A-15'!S56="-",'A-15'!S104="-",'A-15'!S152="-"),"-",SUM('A-15'!S8,'A-15'!S56,'A-15'!S104,'A-15'!S152))</f>
        <v>8</v>
      </c>
      <c r="P55" s="24">
        <f>IF(AND('A-15'!U8="-",'A-15'!U56="-",'A-15'!U104="-",'A-15'!U152="-"),"-",SUM('A-15'!U8,'A-15'!U56,'A-15'!U104,'A-15'!U152))</f>
        <v>6002</v>
      </c>
    </row>
    <row r="56" spans="1:16" ht="11.25" customHeight="1">
      <c r="A56" s="99">
        <v>1979</v>
      </c>
      <c r="B56" s="24">
        <f>IF(AND('A-15'!C9="-",'A-15'!C57="-",'A-15'!C105="-",'A-15'!C153="-"),"-",SUM('A-15'!C9,'A-15'!C57,'A-15'!C105,'A-15'!C153))</f>
        <v>798</v>
      </c>
      <c r="C56" s="24">
        <f>IF(AND('A-15'!D9="-",'A-15'!D57="-",'A-15'!D105="-",'A-15'!D153="-"),"-",SUM('A-15'!D9,'A-15'!D57,'A-15'!D105,'A-15'!D153))</f>
        <v>723</v>
      </c>
      <c r="D56" s="24">
        <f>IF(AND('A-15'!E9="-",'A-15'!E57="-",'A-15'!E105="-",'A-15'!E153="-"),"-",SUM('A-15'!E9,'A-15'!E57,'A-15'!E105,'A-15'!E153))</f>
        <v>330</v>
      </c>
      <c r="E56" s="24">
        <f>IF(AND('A-15'!F9="-",'A-15'!F57="-",'A-15'!F105="-",'A-15'!F153="-"),"-",SUM('A-15'!F9,'A-15'!F57,'A-15'!F105,'A-15'!F153))</f>
        <v>299</v>
      </c>
      <c r="F56" s="24">
        <f>IF(AND('A-15'!G9="-",'A-15'!G57="-",'A-15'!G105="-",'A-15'!G153="-"),"-",SUM('A-15'!G9,'A-15'!G57,'A-15'!G105,'A-15'!G153))</f>
        <v>27</v>
      </c>
      <c r="G56" s="24">
        <f>IF(AND('A-15'!H9="-",'A-15'!H57="-",'A-15'!H105="-",'A-15'!H153="-"),"-",SUM('A-15'!H9,'A-15'!H57,'A-15'!H105,'A-15'!H153))</f>
        <v>4</v>
      </c>
      <c r="H56" s="24">
        <f>IF(AND('A-15'!J9="-",'A-15'!J57="-",'A-15'!J105="-",'A-15'!J153="-"),"-",SUM('A-15'!J9,'A-15'!J57,'A-15'!J105,'A-15'!J153))</f>
        <v>2177</v>
      </c>
      <c r="J56" s="24">
        <f>IF(AND('A-15'!N9="-",'A-15'!N57="-",'A-15'!N105="-",'A-15'!N153="-"),"-",SUM('A-15'!N9,'A-15'!N57,'A-15'!N105,'A-15'!N153))</f>
        <v>1051</v>
      </c>
      <c r="K56" s="24">
        <f>IF(AND('A-15'!O9="-",'A-15'!O57="-",'A-15'!O105="-",'A-15'!O153="-"),"-",SUM('A-15'!O9,'A-15'!O57,'A-15'!O105,'A-15'!O153))</f>
        <v>4777</v>
      </c>
      <c r="L56" s="24">
        <f>IF(AND('A-15'!P9="-",'A-15'!P57="-",'A-15'!P105="-",'A-15'!P153="-"),"-",SUM('A-15'!P9,'A-15'!P57,'A-15'!P105,'A-15'!P153))</f>
        <v>2071</v>
      </c>
      <c r="M56" s="24">
        <f>IF(AND('A-15'!Q9="-",'A-15'!Q57="-",'A-15'!Q105="-",'A-15'!Q153="-"),"-",SUM('A-15'!Q9,'A-15'!Q57,'A-15'!Q105,'A-15'!Q153))</f>
        <v>2132</v>
      </c>
      <c r="N56" s="24">
        <f>IF(AND('A-15'!R9="-",'A-15'!R57="-",'A-15'!R105="-",'A-15'!R153="-"),"-",SUM('A-15'!R9,'A-15'!R57,'A-15'!R105,'A-15'!R153))</f>
        <v>109</v>
      </c>
      <c r="O56" s="24">
        <f>IF(AND('A-15'!S9="-",'A-15'!S57="-",'A-15'!S105="-",'A-15'!S153="-"),"-",SUM('A-15'!S9,'A-15'!S57,'A-15'!S105,'A-15'!S153))</f>
        <v>4</v>
      </c>
      <c r="P56" s="24">
        <f>IF(AND('A-15'!U9="-",'A-15'!U57="-",'A-15'!U105="-",'A-15'!U153="-"),"-",SUM('A-15'!U9,'A-15'!U57,'A-15'!U105,'A-15'!U153))</f>
        <v>10140</v>
      </c>
    </row>
    <row r="57" spans="1:16" ht="11.25" customHeight="1">
      <c r="A57" s="99">
        <v>1980</v>
      </c>
      <c r="B57" s="24">
        <f>IF(AND('A-15'!C10="-",'A-15'!C58="-",'A-15'!C106="-",'A-15'!C154="-"),"-",SUM('A-15'!C10,'A-15'!C58,'A-15'!C106,'A-15'!C154))</f>
        <v>133</v>
      </c>
      <c r="C57" s="24">
        <f>IF(AND('A-15'!D10="-",'A-15'!D58="-",'A-15'!D106="-",'A-15'!D154="-"),"-",SUM('A-15'!D10,'A-15'!D58,'A-15'!D106,'A-15'!D154))</f>
        <v>847</v>
      </c>
      <c r="D57" s="24">
        <f>IF(AND('A-15'!E10="-",'A-15'!E58="-",'A-15'!E106="-",'A-15'!E154="-"),"-",SUM('A-15'!E10,'A-15'!E58,'A-15'!E106,'A-15'!E154))</f>
        <v>3272</v>
      </c>
      <c r="E57" s="24">
        <f>IF(AND('A-15'!F10="-",'A-15'!F58="-",'A-15'!F106="-",'A-15'!F154="-"),"-",SUM('A-15'!F10,'A-15'!F58,'A-15'!F106,'A-15'!F154))</f>
        <v>176</v>
      </c>
      <c r="F57" s="24">
        <f>IF(AND('A-15'!G10="-",'A-15'!G58="-",'A-15'!G106="-",'A-15'!G154="-"),"-",SUM('A-15'!G10,'A-15'!G58,'A-15'!G106,'A-15'!G154))</f>
        <v>22</v>
      </c>
      <c r="G57" s="24">
        <f>IF(AND('A-15'!H10="-",'A-15'!H58="-",'A-15'!H106="-",'A-15'!H154="-"),"-",SUM('A-15'!H10,'A-15'!H58,'A-15'!H106,'A-15'!H154))</f>
        <v>15</v>
      </c>
      <c r="H57" s="24">
        <f>IF(AND('A-15'!J10="-",'A-15'!J58="-",'A-15'!J106="-",'A-15'!J154="-"),"-",SUM('A-15'!J10,'A-15'!J58,'A-15'!J106,'A-15'!J154))</f>
        <v>4450</v>
      </c>
      <c r="J57" s="24">
        <f>IF(AND('A-15'!N10="-",'A-15'!N58="-",'A-15'!N106="-",'A-15'!N154="-"),"-",SUM('A-15'!N10,'A-15'!N58,'A-15'!N106,'A-15'!N154))</f>
        <v>2062</v>
      </c>
      <c r="K57" s="24">
        <f>IF(AND('A-15'!O10="-",'A-15'!O58="-",'A-15'!O106="-",'A-15'!O154="-"),"-",SUM('A-15'!O10,'A-15'!O58,'A-15'!O106,'A-15'!O154))</f>
        <v>25295</v>
      </c>
      <c r="L57" s="24">
        <f>IF(AND('A-15'!P10="-",'A-15'!P58="-",'A-15'!P106="-",'A-15'!P154="-"),"-",SUM('A-15'!P10,'A-15'!P58,'A-15'!P106,'A-15'!P154))</f>
        <v>5779</v>
      </c>
      <c r="M57" s="24">
        <f>IF(AND('A-15'!Q10="-",'A-15'!Q58="-",'A-15'!Q106="-",'A-15'!Q154="-"),"-",SUM('A-15'!Q10,'A-15'!Q58,'A-15'!Q106,'A-15'!Q154))</f>
        <v>558</v>
      </c>
      <c r="N57" s="24">
        <f>IF(AND('A-15'!R10="-",'A-15'!R58="-",'A-15'!R106="-",'A-15'!R154="-"),"-",SUM('A-15'!R10,'A-15'!R58,'A-15'!R106,'A-15'!R154))</f>
        <v>1012</v>
      </c>
      <c r="O57" s="24">
        <f>IF(AND('A-15'!S10="-",'A-15'!S58="-",'A-15'!S106="-",'A-15'!S154="-"),"-",SUM('A-15'!S10,'A-15'!S58,'A-15'!S106,'A-15'!S154))</f>
        <v>25</v>
      </c>
      <c r="P57" s="24">
        <f>IF(AND('A-15'!U10="-",'A-15'!U58="-",'A-15'!U106="-",'A-15'!U154="-"),"-",SUM('A-15'!U10,'A-15'!U58,'A-15'!U106,'A-15'!U154))</f>
        <v>34706</v>
      </c>
    </row>
    <row r="58" spans="1:16" ht="11.25" customHeight="1">
      <c r="A58" s="99">
        <v>1981</v>
      </c>
      <c r="B58" s="24">
        <f>IF(AND('A-15'!C11="-",'A-15'!C59="-",'A-15'!C107="-",'A-15'!C155="-"),"-",SUM('A-15'!C11,'A-15'!C59,'A-15'!C107,'A-15'!C155))</f>
        <v>1579</v>
      </c>
      <c r="C58" s="24">
        <f>IF(AND('A-15'!D11="-",'A-15'!D59="-",'A-15'!D107="-",'A-15'!D155="-"),"-",SUM('A-15'!D11,'A-15'!D59,'A-15'!D107,'A-15'!D155))</f>
        <v>2487</v>
      </c>
      <c r="D58" s="24">
        <f>IF(AND('A-15'!E11="-",'A-15'!E59="-",'A-15'!E107="-",'A-15'!E155="-"),"-",SUM('A-15'!E11,'A-15'!E59,'A-15'!E107,'A-15'!E155))</f>
        <v>3652</v>
      </c>
      <c r="E58" s="24">
        <f>IF(AND('A-15'!F11="-",'A-15'!F59="-",'A-15'!F107="-",'A-15'!F155="-"),"-",SUM('A-15'!F11,'A-15'!F59,'A-15'!F107,'A-15'!F155))</f>
        <v>269</v>
      </c>
      <c r="F58" s="24">
        <f>IF(AND('A-15'!G11="-",'A-15'!G59="-",'A-15'!G107="-",'A-15'!G155="-"),"-",SUM('A-15'!G11,'A-15'!G59,'A-15'!G107,'A-15'!G155))</f>
        <v>270</v>
      </c>
      <c r="G58" s="24">
        <f>IF(AND('A-15'!H11="-",'A-15'!H59="-",'A-15'!H107="-",'A-15'!H155="-"),"-",SUM('A-15'!H11,'A-15'!H59,'A-15'!H107,'A-15'!H155))</f>
        <v>258</v>
      </c>
      <c r="H58" s="24">
        <f>IF(AND('A-15'!J11="-",'A-15'!J59="-",'A-15'!J107="-",'A-15'!J155="-"),"-",SUM('A-15'!J11,'A-15'!J59,'A-15'!J107,'A-15'!J155))</f>
        <v>8257</v>
      </c>
      <c r="J58" s="24">
        <f>IF(AND('A-15'!N11="-",'A-15'!N59="-",'A-15'!N107="-",'A-15'!N155="-"),"-",SUM('A-15'!N11,'A-15'!N59,'A-15'!N107,'A-15'!N155))</f>
        <v>1284</v>
      </c>
      <c r="K58" s="24">
        <f>IF(AND('A-15'!O11="-",'A-15'!O59="-",'A-15'!O107="-",'A-15'!O155="-"),"-",SUM('A-15'!O11,'A-15'!O59,'A-15'!O107,'A-15'!O155))</f>
        <v>7598</v>
      </c>
      <c r="L58" s="24">
        <f>IF(AND('A-15'!P11="-",'A-15'!P59="-",'A-15'!P107="-",'A-15'!P155="-"),"-",SUM('A-15'!P11,'A-15'!P59,'A-15'!P107,'A-15'!P155))</f>
        <v>6925</v>
      </c>
      <c r="M58" s="24">
        <f>IF(AND('A-15'!Q11="-",'A-15'!Q59="-",'A-15'!Q107="-",'A-15'!Q155="-"),"-",SUM('A-15'!Q11,'A-15'!Q59,'A-15'!Q107,'A-15'!Q155))</f>
        <v>3086</v>
      </c>
      <c r="N58" s="24">
        <f>IF(AND('A-15'!R11="-",'A-15'!R59="-",'A-15'!R107="-",'A-15'!R155="-"),"-",SUM('A-15'!R11,'A-15'!R59,'A-15'!R107,'A-15'!R155))</f>
        <v>13717</v>
      </c>
      <c r="O58" s="24">
        <f>IF(AND('A-15'!S11="-",'A-15'!S59="-",'A-15'!S107="-",'A-15'!S155="-"),"-",SUM('A-15'!S11,'A-15'!S59,'A-15'!S107,'A-15'!S155))</f>
        <v>13</v>
      </c>
      <c r="P58" s="24">
        <f>IF(AND('A-15'!U11="-",'A-15'!U59="-",'A-15'!U107="-",'A-15'!U155="-"),"-",SUM('A-15'!U11,'A-15'!U59,'A-15'!U107,'A-15'!U155))</f>
        <v>32610</v>
      </c>
    </row>
    <row r="59" spans="1:16" ht="11.25" customHeight="1">
      <c r="A59" s="99">
        <v>1982</v>
      </c>
      <c r="B59" s="24">
        <f>IF(AND('A-15'!C12="-",'A-15'!C60="-",'A-15'!C108="-",'A-15'!C156="-"),"-",SUM('A-15'!C12,'A-15'!C60,'A-15'!C108,'A-15'!C156))</f>
        <v>1270</v>
      </c>
      <c r="C59" s="24">
        <f>IF(AND('A-15'!D12="-",'A-15'!D60="-",'A-15'!D108="-",'A-15'!D156="-"),"-",SUM('A-15'!D12,'A-15'!D60,'A-15'!D108,'A-15'!D156))</f>
        <v>3392</v>
      </c>
      <c r="D59" s="24">
        <f>IF(AND('A-15'!E12="-",'A-15'!E60="-",'A-15'!E108="-",'A-15'!E156="-"),"-",SUM('A-15'!E12,'A-15'!E60,'A-15'!E108,'A-15'!E156))</f>
        <v>8974</v>
      </c>
      <c r="E59" s="24">
        <f>IF(AND('A-15'!F12="-",'A-15'!F60="-",'A-15'!F108="-",'A-15'!F156="-"),"-",SUM('A-15'!F12,'A-15'!F60,'A-15'!F108,'A-15'!F156))</f>
        <v>1984</v>
      </c>
      <c r="F59" s="24">
        <f>IF(AND('A-15'!G12="-",'A-15'!G60="-",'A-15'!G108="-",'A-15'!G156="-"),"-",SUM('A-15'!G12,'A-15'!G60,'A-15'!G108,'A-15'!G156))</f>
        <v>2656</v>
      </c>
      <c r="G59" s="24">
        <f>IF(AND('A-15'!H12="-",'A-15'!H60="-",'A-15'!H108="-",'A-15'!H156="-"),"-",SUM('A-15'!H12,'A-15'!H60,'A-15'!H108,'A-15'!H156))</f>
        <v>223</v>
      </c>
      <c r="H59" s="24">
        <f>IF(AND('A-15'!J12="-",'A-15'!J60="-",'A-15'!J108="-",'A-15'!J156="-"),"-",SUM('A-15'!J12,'A-15'!J60,'A-15'!J108,'A-15'!J156))</f>
        <v>18276</v>
      </c>
      <c r="J59" s="24">
        <f>IF(AND('A-15'!N12="-",'A-15'!N60="-",'A-15'!N108="-",'A-15'!N156="-"),"-",SUM('A-15'!N12,'A-15'!N60,'A-15'!N108,'A-15'!N156))</f>
        <v>34</v>
      </c>
      <c r="K59" s="24">
        <f>IF(AND('A-15'!O12="-",'A-15'!O60="-",'A-15'!O108="-",'A-15'!O156="-"),"-",SUM('A-15'!O12,'A-15'!O60,'A-15'!O108,'A-15'!O156))</f>
        <v>22681</v>
      </c>
      <c r="L59" s="24">
        <f>IF(AND('A-15'!P12="-",'A-15'!P60="-",'A-15'!P108="-",'A-15'!P156="-"),"-",SUM('A-15'!P12,'A-15'!P60,'A-15'!P108,'A-15'!P156))</f>
        <v>16482</v>
      </c>
      <c r="M59" s="24">
        <f>IF(AND('A-15'!Q12="-",'A-15'!Q60="-",'A-15'!Q108="-",'A-15'!Q156="-"),"-",SUM('A-15'!Q12,'A-15'!Q60,'A-15'!Q108,'A-15'!Q156))</f>
        <v>46240</v>
      </c>
      <c r="N59" s="24">
        <f>IF(AND('A-15'!R12="-",'A-15'!R60="-",'A-15'!R108="-",'A-15'!R156="-"),"-",SUM('A-15'!R12,'A-15'!R60,'A-15'!R108,'A-15'!R156))</f>
        <v>38292</v>
      </c>
      <c r="O59" s="24">
        <f>IF(AND('A-15'!S12="-",'A-15'!S60="-",'A-15'!S108="-",'A-15'!S156="-"),"-",SUM('A-15'!S12,'A-15'!S60,'A-15'!S108,'A-15'!S156))</f>
        <v>57</v>
      </c>
      <c r="P59" s="24">
        <f>IF(AND('A-15'!U12="-",'A-15'!U60="-",'A-15'!U108="-",'A-15'!U156="-"),"-",SUM('A-15'!U12,'A-15'!U60,'A-15'!U108,'A-15'!U156))</f>
        <v>123729</v>
      </c>
    </row>
    <row r="60" spans="1:16" ht="11.25" customHeight="1">
      <c r="A60" s="99">
        <v>1983</v>
      </c>
      <c r="B60" s="24">
        <f>IF(AND('A-15'!C13="-",'A-15'!C61="-",'A-15'!C109="-",'A-15'!C157="-"),"-",SUM('A-15'!C13,'A-15'!C61,'A-15'!C109,'A-15'!C157))</f>
        <v>2540</v>
      </c>
      <c r="C60" s="24">
        <f>IF(AND('A-15'!D13="-",'A-15'!D61="-",'A-15'!D109="-",'A-15'!D157="-"),"-",SUM('A-15'!D13,'A-15'!D61,'A-15'!D109,'A-15'!D157))</f>
        <v>2864</v>
      </c>
      <c r="D60" s="24">
        <f>IF(AND('A-15'!E13="-",'A-15'!E61="-",'A-15'!E109="-",'A-15'!E157="-"),"-",SUM('A-15'!E13,'A-15'!E61,'A-15'!E109,'A-15'!E157))</f>
        <v>1061</v>
      </c>
      <c r="E60" s="24">
        <f>IF(AND('A-15'!F13="-",'A-15'!F61="-",'A-15'!F109="-",'A-15'!F157="-"),"-",SUM('A-15'!F13,'A-15'!F61,'A-15'!F109,'A-15'!F157))</f>
        <v>806</v>
      </c>
      <c r="F60" s="24">
        <f>IF(AND('A-15'!G13="-",'A-15'!G61="-",'A-15'!G109="-",'A-15'!G157="-"),"-",SUM('A-15'!G13,'A-15'!G61,'A-15'!G109,'A-15'!G157))</f>
        <v>255</v>
      </c>
      <c r="G60" s="24">
        <f>IF(AND('A-15'!H13="-",'A-15'!H61="-",'A-15'!H109="-",'A-15'!H157="-"),"-",SUM('A-15'!H13,'A-15'!H61,'A-15'!H109,'A-15'!H157))</f>
        <v>65</v>
      </c>
      <c r="H60" s="24">
        <f>IF(AND('A-15'!J13="-",'A-15'!J61="-",'A-15'!J109="-",'A-15'!J157="-"),"-",SUM('A-15'!J13,'A-15'!J61,'A-15'!J109,'A-15'!J157))</f>
        <v>7526</v>
      </c>
      <c r="J60" s="24">
        <f>IF(AND('A-15'!N13="-",'A-15'!N61="-",'A-15'!N109="-",'A-15'!N157="-"),"-",SUM('A-15'!N13,'A-15'!N61,'A-15'!N109,'A-15'!N157))</f>
        <v>95</v>
      </c>
      <c r="K60" s="24">
        <f>IF(AND('A-15'!O13="-",'A-15'!O61="-",'A-15'!O109="-",'A-15'!O157="-"),"-",SUM('A-15'!O13,'A-15'!O61,'A-15'!O109,'A-15'!O157))</f>
        <v>4987</v>
      </c>
      <c r="L60" s="24">
        <f>IF(AND('A-15'!P13="-",'A-15'!P61="-",'A-15'!P109="-",'A-15'!P157="-"),"-",SUM('A-15'!P13,'A-15'!P61,'A-15'!P109,'A-15'!P157))</f>
        <v>5305</v>
      </c>
      <c r="M60" s="24">
        <f>IF(AND('A-15'!Q13="-",'A-15'!Q61="-",'A-15'!Q109="-",'A-15'!Q157="-"),"-",SUM('A-15'!Q13,'A-15'!Q61,'A-15'!Q109,'A-15'!Q157))</f>
        <v>19961</v>
      </c>
      <c r="N60" s="24">
        <f>IF(AND('A-15'!R13="-",'A-15'!R61="-",'A-15'!R109="-",'A-15'!R157="-"),"-",SUM('A-15'!R13,'A-15'!R61,'A-15'!R109,'A-15'!R157))</f>
        <v>7747</v>
      </c>
      <c r="O60" s="24">
        <f>IF(AND('A-15'!S13="-",'A-15'!S61="-",'A-15'!S109="-",'A-15'!S157="-"),"-",SUM('A-15'!S13,'A-15'!S61,'A-15'!S109,'A-15'!S157))</f>
        <v>17</v>
      </c>
      <c r="P60" s="24">
        <f>IF(AND('A-15'!U13="-",'A-15'!U61="-",'A-15'!U109="-",'A-15'!U157="-"),"-",SUM('A-15'!U13,'A-15'!U61,'A-15'!U109,'A-15'!U157))</f>
        <v>38095</v>
      </c>
    </row>
    <row r="61" spans="1:16" ht="11.25" customHeight="1">
      <c r="A61" s="99">
        <v>1984</v>
      </c>
      <c r="B61" s="24">
        <f>IF(AND('A-15'!C14="-",'A-15'!C62="-",'A-15'!C110="-",'A-15'!C158="-"),"-",SUM('A-15'!C14,'A-15'!C62,'A-15'!C110,'A-15'!C158))</f>
        <v>1348</v>
      </c>
      <c r="C61" s="24">
        <f>IF(AND('A-15'!D14="-",'A-15'!D62="-",'A-15'!D110="-",'A-15'!D158="-"),"-",SUM('A-15'!D14,'A-15'!D62,'A-15'!D110,'A-15'!D158))</f>
        <v>517</v>
      </c>
      <c r="D61" s="24">
        <f>IF(AND('A-15'!E14="-",'A-15'!E62="-",'A-15'!E110="-",'A-15'!E158="-"),"-",SUM('A-15'!E14,'A-15'!E62,'A-15'!E110,'A-15'!E158))</f>
        <v>751</v>
      </c>
      <c r="E61" s="24">
        <f>IF(AND('A-15'!F14="-",'A-15'!F62="-",'A-15'!F110="-",'A-15'!F158="-"),"-",SUM('A-15'!F14,'A-15'!F62,'A-15'!F110,'A-15'!F158))</f>
        <v>1367</v>
      </c>
      <c r="F61" s="24">
        <f>IF(AND('A-15'!G14="-",'A-15'!G62="-",'A-15'!G110="-",'A-15'!G158="-"),"-",SUM('A-15'!G14,'A-15'!G62,'A-15'!G110,'A-15'!G158))</f>
        <v>0</v>
      </c>
      <c r="G61" s="24">
        <f>IF(AND('A-15'!H14="-",'A-15'!H62="-",'A-15'!H110="-",'A-15'!H158="-"),"-",SUM('A-15'!H14,'A-15'!H62,'A-15'!H110,'A-15'!H158))</f>
        <v>147</v>
      </c>
      <c r="H61" s="24">
        <f>IF(AND('A-15'!J14="-",'A-15'!J62="-",'A-15'!J110="-",'A-15'!J158="-"),"-",SUM('A-15'!J14,'A-15'!J62,'A-15'!J110,'A-15'!J158))</f>
        <v>3983</v>
      </c>
      <c r="J61" s="24">
        <f>IF(AND('A-15'!N14="-",'A-15'!N62="-",'A-15'!N110="-",'A-15'!N158="-"),"-",SUM('A-15'!N14,'A-15'!N62,'A-15'!N110,'A-15'!N158))</f>
        <v>0</v>
      </c>
      <c r="K61" s="24">
        <f>IF(AND('A-15'!O14="-",'A-15'!O62="-",'A-15'!O110="-",'A-15'!O158="-"),"-",SUM('A-15'!O14,'A-15'!O62,'A-15'!O110,'A-15'!O158))</f>
        <v>0</v>
      </c>
      <c r="L61" s="24">
        <f>IF(AND('A-15'!P14="-",'A-15'!P62="-",'A-15'!P110="-",'A-15'!P158="-"),"-",SUM('A-15'!P14,'A-15'!P62,'A-15'!P110,'A-15'!P158))</f>
        <v>19715</v>
      </c>
      <c r="M61" s="24">
        <f>IF(AND('A-15'!Q14="-",'A-15'!Q62="-",'A-15'!Q110="-",'A-15'!Q158="-"),"-",SUM('A-15'!Q14,'A-15'!Q62,'A-15'!Q110,'A-15'!Q158))</f>
        <v>23772</v>
      </c>
      <c r="N61" s="24">
        <f>IF(AND('A-15'!R14="-",'A-15'!R62="-",'A-15'!R110="-",'A-15'!R158="-"),"-",SUM('A-15'!R14,'A-15'!R62,'A-15'!R110,'A-15'!R158))</f>
        <v>0</v>
      </c>
      <c r="O61" s="24">
        <f>IF(AND('A-15'!S14="-",'A-15'!S62="-",'A-15'!S110="-",'A-15'!S158="-"),"-",SUM('A-15'!S14,'A-15'!S62,'A-15'!S110,'A-15'!S158))</f>
        <v>147</v>
      </c>
      <c r="P61" s="24">
        <f>IF(AND('A-15'!U14="-",'A-15'!U62="-",'A-15'!U110="-",'A-15'!U158="-"),"-",SUM('A-15'!U14,'A-15'!U62,'A-15'!U110,'A-15'!U158))</f>
        <v>43487</v>
      </c>
    </row>
    <row r="62" spans="1:16" ht="11.25" customHeight="1">
      <c r="A62" s="99">
        <v>1985</v>
      </c>
      <c r="B62" s="24">
        <f>IF(AND('A-15'!C15="-",'A-15'!C63="-",'A-15'!C111="-",'A-15'!C159="-"),"-",SUM('A-15'!C15,'A-15'!C63,'A-15'!C111,'A-15'!C159))</f>
        <v>4014</v>
      </c>
      <c r="C62" s="24">
        <f>IF(AND('A-15'!D15="-",'A-15'!D63="-",'A-15'!D111="-",'A-15'!D159="-"),"-",SUM('A-15'!D15,'A-15'!D63,'A-15'!D111,'A-15'!D159))</f>
        <v>156</v>
      </c>
      <c r="D62" s="24">
        <f>IF(AND('A-15'!E15="-",'A-15'!E63="-",'A-15'!E111="-",'A-15'!E159="-"),"-",SUM('A-15'!E15,'A-15'!E63,'A-15'!E111,'A-15'!E159))</f>
        <v>3743</v>
      </c>
      <c r="E62" s="24">
        <f>IF(AND('A-15'!F15="-",'A-15'!F63="-",'A-15'!F111="-",'A-15'!F159="-"),"-",SUM('A-15'!F15,'A-15'!F63,'A-15'!F111,'A-15'!F159))</f>
        <v>2252</v>
      </c>
      <c r="F62" s="24">
        <f>IF(AND('A-15'!G15="-",'A-15'!G63="-",'A-15'!G111="-",'A-15'!G159="-"),"-",SUM('A-15'!G15,'A-15'!G63,'A-15'!G111,'A-15'!G159))</f>
        <v>1910</v>
      </c>
      <c r="G62" s="24">
        <f>IF(AND('A-15'!H15="-",'A-15'!H63="-",'A-15'!H111="-",'A-15'!H159="-"),"-",SUM('A-15'!H15,'A-15'!H63,'A-15'!H111,'A-15'!H159))</f>
        <v>299</v>
      </c>
      <c r="H62" s="24">
        <f>IF(AND('A-15'!J15="-",'A-15'!J63="-",'A-15'!J111="-",'A-15'!J159="-"),"-",SUM('A-15'!J15,'A-15'!J63,'A-15'!J111,'A-15'!J159))</f>
        <v>12075</v>
      </c>
      <c r="J62" s="24">
        <f>IF(AND('A-15'!N15="-",'A-15'!N63="-",'A-15'!N111="-",'A-15'!N159="-"),"-",SUM('A-15'!N15,'A-15'!N63,'A-15'!N111,'A-15'!N159))</f>
        <v>1</v>
      </c>
      <c r="K62" s="24">
        <f>IF(AND('A-15'!O15="-",'A-15'!O63="-",'A-15'!O111="-",'A-15'!O159="-"),"-",SUM('A-15'!O15,'A-15'!O63,'A-15'!O111,'A-15'!O159))</f>
        <v>1911</v>
      </c>
      <c r="L62" s="24">
        <f>IF(AND('A-15'!P15="-",'A-15'!P63="-",'A-15'!P111="-",'A-15'!P159="-"),"-",SUM('A-15'!P15,'A-15'!P63,'A-15'!P111,'A-15'!P159))</f>
        <v>33602</v>
      </c>
      <c r="M62" s="24">
        <f>IF(AND('A-15'!Q15="-",'A-15'!Q63="-",'A-15'!Q111="-",'A-15'!Q159="-"),"-",SUM('A-15'!Q15,'A-15'!Q63,'A-15'!Q111,'A-15'!Q159))</f>
        <v>29361</v>
      </c>
      <c r="N62" s="24">
        <f>IF(AND('A-15'!R15="-",'A-15'!R63="-",'A-15'!R111="-",'A-15'!R159="-"),"-",SUM('A-15'!R15,'A-15'!R63,'A-15'!R111,'A-15'!R159))</f>
        <v>23573</v>
      </c>
      <c r="O62" s="24">
        <f>IF(AND('A-15'!S15="-",'A-15'!S63="-",'A-15'!S111="-",'A-15'!S159="-"),"-",SUM('A-15'!S15,'A-15'!S63,'A-15'!S111,'A-15'!S159))</f>
        <v>37</v>
      </c>
      <c r="P62" s="24">
        <f>IF(AND('A-15'!U15="-",'A-15'!U63="-",'A-15'!U111="-",'A-15'!U159="-"),"-",SUM('A-15'!U15,'A-15'!U63,'A-15'!U111,'A-15'!U159))</f>
        <v>88448</v>
      </c>
    </row>
    <row r="63" spans="1:16" ht="11.25" customHeight="1">
      <c r="A63" s="99">
        <v>1986</v>
      </c>
      <c r="B63" s="24">
        <f>IF(AND('A-15'!C16="-",'A-15'!C64="-",'A-15'!C112="-",'A-15'!C160="-"),"-",SUM('A-15'!C16,'A-15'!C64,'A-15'!C112,'A-15'!C160))</f>
        <v>3891</v>
      </c>
      <c r="C63" s="24">
        <f>IF(AND('A-15'!D16="-",'A-15'!D64="-",'A-15'!D112="-",'A-15'!D160="-"),"-",SUM('A-15'!D16,'A-15'!D64,'A-15'!D112,'A-15'!D160))</f>
        <v>4461</v>
      </c>
      <c r="D63" s="24">
        <f>IF(AND('A-15'!E16="-",'A-15'!E64="-",'A-15'!E112="-",'A-15'!E160="-"),"-",SUM('A-15'!E16,'A-15'!E64,'A-15'!E112,'A-15'!E160))</f>
        <v>3688</v>
      </c>
      <c r="E63" s="24">
        <f>IF(AND('A-15'!F16="-",'A-15'!F64="-",'A-15'!F112="-",'A-15'!F160="-"),"-",SUM('A-15'!F16,'A-15'!F64,'A-15'!F112,'A-15'!F160))</f>
        <v>418</v>
      </c>
      <c r="F63" s="24">
        <f>IF(AND('A-15'!G16="-",'A-15'!G64="-",'A-15'!G112="-",'A-15'!G160="-"),"-",SUM('A-15'!G16,'A-15'!G64,'A-15'!G112,'A-15'!G160))</f>
        <v>0</v>
      </c>
      <c r="G63" s="24">
        <f>IF(AND('A-15'!H16="-",'A-15'!H64="-",'A-15'!H112="-",'A-15'!H160="-"),"-",SUM('A-15'!H16,'A-15'!H64,'A-15'!H112,'A-15'!H160))</f>
        <v>0</v>
      </c>
      <c r="H63" s="24">
        <f>IF(AND('A-15'!J16="-",'A-15'!J64="-",'A-15'!J112="-",'A-15'!J160="-"),"-",SUM('A-15'!J16,'A-15'!J64,'A-15'!J112,'A-15'!J160))</f>
        <v>12458</v>
      </c>
      <c r="J63" s="24">
        <f>IF(AND('A-15'!N16="-",'A-15'!N64="-",'A-15'!N112="-",'A-15'!N160="-"),"-",SUM('A-15'!N16,'A-15'!N64,'A-15'!N112,'A-15'!N160))</f>
        <v>0</v>
      </c>
      <c r="K63" s="24">
        <f>IF(AND('A-15'!O16="-",'A-15'!O64="-",'A-15'!O112="-",'A-15'!O160="-"),"-",SUM('A-15'!O16,'A-15'!O64,'A-15'!O112,'A-15'!O160))</f>
        <v>21166</v>
      </c>
      <c r="L63" s="24">
        <f>IF(AND('A-15'!P16="-",'A-15'!P64="-",'A-15'!P112="-",'A-15'!P160="-"),"-",SUM('A-15'!P16,'A-15'!P64,'A-15'!P112,'A-15'!P160))</f>
        <v>51622</v>
      </c>
      <c r="M63" s="24">
        <f>IF(AND('A-15'!Q16="-",'A-15'!Q64="-",'A-15'!Q112="-",'A-15'!Q160="-"),"-",SUM('A-15'!Q16,'A-15'!Q64,'A-15'!Q112,'A-15'!Q160))</f>
        <v>11711</v>
      </c>
      <c r="N63" s="24">
        <f>IF(AND('A-15'!R16="-",'A-15'!R64="-",'A-15'!R112="-",'A-15'!R160="-"),"-",SUM('A-15'!R16,'A-15'!R64,'A-15'!R112,'A-15'!R160))</f>
        <v>13</v>
      </c>
      <c r="O63" s="24">
        <f>IF(AND('A-15'!S16="-",'A-15'!S64="-",'A-15'!S112="-",'A-15'!S160="-"),"-",SUM('A-15'!S16,'A-15'!S64,'A-15'!S112,'A-15'!S160))</f>
        <v>0</v>
      </c>
      <c r="P63" s="24">
        <f>IF(AND('A-15'!U16="-",'A-15'!U64="-",'A-15'!U112="-",'A-15'!U160="-"),"-",SUM('A-15'!U16,'A-15'!U64,'A-15'!U112,'A-15'!U160))</f>
        <v>84512</v>
      </c>
    </row>
    <row r="64" spans="1:16" ht="11.25" customHeight="1">
      <c r="A64" s="99">
        <v>1987</v>
      </c>
      <c r="B64" s="24">
        <f>IF(AND('A-15'!C17="-",'A-15'!C65="-",'A-15'!C113="-",'A-15'!C161="-"),"-",SUM('A-15'!C17,'A-15'!C65,'A-15'!C113,'A-15'!C161))</f>
        <v>8563</v>
      </c>
      <c r="C64" s="24">
        <f>IF(AND('A-15'!D17="-",'A-15'!D65="-",'A-15'!D113="-",'A-15'!D161="-"),"-",SUM('A-15'!D17,'A-15'!D65,'A-15'!D113,'A-15'!D161))</f>
        <v>0</v>
      </c>
      <c r="D64" s="24">
        <f>IF(AND('A-15'!E17="-",'A-15'!E65="-",'A-15'!E113="-",'A-15'!E161="-"),"-",SUM('A-15'!E17,'A-15'!E65,'A-15'!E113,'A-15'!E161))</f>
        <v>2181</v>
      </c>
      <c r="E64" s="24">
        <f>IF(AND('A-15'!F17="-",'A-15'!F65="-",'A-15'!F113="-",'A-15'!F161="-"),"-",SUM('A-15'!F17,'A-15'!F65,'A-15'!F113,'A-15'!F161))</f>
        <v>7271</v>
      </c>
      <c r="F64" s="24">
        <f>IF(AND('A-15'!G17="-",'A-15'!G65="-",'A-15'!G113="-",'A-15'!G161="-"),"-",SUM('A-15'!G17,'A-15'!G65,'A-15'!G113,'A-15'!G161))</f>
        <v>0</v>
      </c>
      <c r="G64" s="24">
        <f>IF(AND('A-15'!H17="-",'A-15'!H65="-",'A-15'!H113="-",'A-15'!H161="-"),"-",SUM('A-15'!H17,'A-15'!H65,'A-15'!H113,'A-15'!H161))</f>
        <v>52</v>
      </c>
      <c r="H64" s="24">
        <f>IF(AND('A-15'!J17="-",'A-15'!J65="-",'A-15'!J113="-",'A-15'!J161="-"),"-",SUM('A-15'!J17,'A-15'!J65,'A-15'!J113,'A-15'!J161))</f>
        <v>18015</v>
      </c>
      <c r="J64" s="24">
        <f>IF(AND('A-15'!N17="-",'A-15'!N65="-",'A-15'!N113="-",'A-15'!N161="-"),"-",SUM('A-15'!N17,'A-15'!N65,'A-15'!N113,'A-15'!N161))</f>
        <v>16</v>
      </c>
      <c r="K64" s="24">
        <f>IF(AND('A-15'!O17="-",'A-15'!O65="-",'A-15'!O113="-",'A-15'!O161="-"),"-",SUM('A-15'!O17,'A-15'!O65,'A-15'!O113,'A-15'!O161))</f>
        <v>0</v>
      </c>
      <c r="L64" s="24">
        <f>IF(AND('A-15'!P17="-",'A-15'!P65="-",'A-15'!P113="-",'A-15'!P161="-"),"-",SUM('A-15'!P17,'A-15'!P65,'A-15'!P113,'A-15'!P161))</f>
        <v>45619</v>
      </c>
      <c r="M64" s="24">
        <f>IF(AND('A-15'!Q17="-",'A-15'!Q65="-",'A-15'!Q113="-",'A-15'!Q161="-"),"-",SUM('A-15'!Q17,'A-15'!Q65,'A-15'!Q113,'A-15'!Q161))</f>
        <v>44040</v>
      </c>
      <c r="N64" s="24">
        <f>IF(AND('A-15'!R17="-",'A-15'!R65="-",'A-15'!R113="-",'A-15'!R161="-"),"-",SUM('A-15'!R17,'A-15'!R65,'A-15'!R113,'A-15'!R161))</f>
        <v>0</v>
      </c>
      <c r="O64" s="24">
        <f>IF(AND('A-15'!S17="-",'A-15'!S65="-",'A-15'!S113="-",'A-15'!S161="-"),"-",SUM('A-15'!S17,'A-15'!S65,'A-15'!S113,'A-15'!S161))</f>
        <v>33</v>
      </c>
      <c r="P64" s="24">
        <f>IF(AND('A-15'!U17="-",'A-15'!U65="-",'A-15'!U113="-",'A-15'!U161="-"),"-",SUM('A-15'!U17,'A-15'!U65,'A-15'!U113,'A-15'!U161))</f>
        <v>89675</v>
      </c>
    </row>
    <row r="65" spans="1:16" ht="11.25" customHeight="1">
      <c r="A65" s="99">
        <v>1988</v>
      </c>
      <c r="B65" s="24">
        <f>IF(AND('A-15'!C18="-",'A-15'!C66="-",'A-15'!C114="-",'A-15'!C162="-"),"-",SUM('A-15'!C18,'A-15'!C66,'A-15'!C114,'A-15'!C162))</f>
        <v>7714</v>
      </c>
      <c r="C65" s="24">
        <f>IF(AND('A-15'!D18="-",'A-15'!D66="-",'A-15'!D114="-",'A-15'!D162="-"),"-",SUM('A-15'!D18,'A-15'!D66,'A-15'!D114,'A-15'!D162))</f>
        <v>9764</v>
      </c>
      <c r="D65" s="24">
        <f>IF(AND('A-15'!E18="-",'A-15'!E66="-",'A-15'!E114="-",'A-15'!E162="-"),"-",SUM('A-15'!E18,'A-15'!E66,'A-15'!E114,'A-15'!E162))</f>
        <v>6379</v>
      </c>
      <c r="E65" s="24">
        <f>IF(AND('A-15'!F18="-",'A-15'!F66="-",'A-15'!F114="-",'A-15'!F162="-"),"-",SUM('A-15'!F18,'A-15'!F66,'A-15'!F114,'A-15'!F162))</f>
        <v>6825</v>
      </c>
      <c r="F65" s="24">
        <f>IF(AND('A-15'!G18="-",'A-15'!G66="-",'A-15'!G114="-",'A-15'!G162="-"),"-",SUM('A-15'!G18,'A-15'!G66,'A-15'!G114,'A-15'!G162))</f>
        <v>1968</v>
      </c>
      <c r="G65" s="24">
        <f>IF(AND('A-15'!H18="-",'A-15'!H66="-",'A-15'!H114="-",'A-15'!H162="-"),"-",SUM('A-15'!H18,'A-15'!H66,'A-15'!H114,'A-15'!H162))</f>
        <v>0</v>
      </c>
      <c r="H65" s="24">
        <f>IF(AND('A-15'!J18="-",'A-15'!J66="-",'A-15'!J114="-",'A-15'!J162="-"),"-",SUM('A-15'!J18,'A-15'!J66,'A-15'!J114,'A-15'!J162))</f>
        <v>32650</v>
      </c>
      <c r="J65" s="24">
        <f>IF(AND('A-15'!N18="-",'A-15'!N66="-",'A-15'!N114="-",'A-15'!N162="-"),"-",SUM('A-15'!N18,'A-15'!N66,'A-15'!N114,'A-15'!N162))</f>
        <v>0</v>
      </c>
      <c r="K65" s="24">
        <f>IF(AND('A-15'!O18="-",'A-15'!O66="-",'A-15'!O114="-",'A-15'!O162="-"),"-",SUM('A-15'!O18,'A-15'!O66,'A-15'!O114,'A-15'!O162))</f>
        <v>114</v>
      </c>
      <c r="L65" s="24">
        <f>IF(AND('A-15'!P18="-",'A-15'!P66="-",'A-15'!P114="-",'A-15'!P162="-"),"-",SUM('A-15'!P18,'A-15'!P66,'A-15'!P114,'A-15'!P162))</f>
        <v>11813</v>
      </c>
      <c r="M65" s="24">
        <f>IF(AND('A-15'!Q18="-",'A-15'!Q66="-",'A-15'!Q114="-",'A-15'!Q162="-"),"-",SUM('A-15'!Q18,'A-15'!Q66,'A-15'!Q114,'A-15'!Q162))</f>
        <v>46236</v>
      </c>
      <c r="N65" s="24">
        <f>IF(AND('A-15'!R18="-",'A-15'!R66="-",'A-15'!R114="-",'A-15'!R162="-"),"-",SUM('A-15'!R18,'A-15'!R66,'A-15'!R114,'A-15'!R162))</f>
        <v>10167</v>
      </c>
      <c r="O65" s="24">
        <f>IF(AND('A-15'!S18="-",'A-15'!S66="-",'A-15'!S114="-",'A-15'!S162="-"),"-",SUM('A-15'!S18,'A-15'!S66,'A-15'!S114,'A-15'!S162))</f>
        <v>0</v>
      </c>
      <c r="P65" s="24">
        <f>IF(AND('A-15'!U18="-",'A-15'!U66="-",'A-15'!U114="-",'A-15'!U162="-"),"-",SUM('A-15'!U18,'A-15'!U66,'A-15'!U114,'A-15'!U162))</f>
        <v>68330</v>
      </c>
    </row>
    <row r="66" spans="1:16" ht="11.25" customHeight="1">
      <c r="A66" s="99">
        <v>1989</v>
      </c>
      <c r="B66" s="24">
        <f>IF(AND('A-15'!C19="-",'A-15'!C67="-",'A-15'!C115="-",'A-15'!C163="-"),"-",SUM('A-15'!C19,'A-15'!C67,'A-15'!C115,'A-15'!C163))</f>
        <v>6711</v>
      </c>
      <c r="C66" s="24">
        <f>IF(AND('A-15'!D19="-",'A-15'!D67="-",'A-15'!D115="-",'A-15'!D163="-"),"-",SUM('A-15'!D19,'A-15'!D67,'A-15'!D115,'A-15'!D163))</f>
        <v>7645</v>
      </c>
      <c r="D66" s="24">
        <f>IF(AND('A-15'!E19="-",'A-15'!E67="-",'A-15'!E115="-",'A-15'!E163="-"),"-",SUM('A-15'!E19,'A-15'!E67,'A-15'!E115,'A-15'!E163))</f>
        <v>10111</v>
      </c>
      <c r="E66" s="24">
        <f>IF(AND('A-15'!F19="-",'A-15'!F67="-",'A-15'!F115="-",'A-15'!F163="-"),"-",SUM('A-15'!F19,'A-15'!F67,'A-15'!F115,'A-15'!F163))</f>
        <v>5247</v>
      </c>
      <c r="F66" s="24">
        <f>IF(AND('A-15'!G19="-",'A-15'!G67="-",'A-15'!G115="-",'A-15'!G163="-"),"-",SUM('A-15'!G19,'A-15'!G67,'A-15'!G115,'A-15'!G163))</f>
        <v>1582</v>
      </c>
      <c r="G66" s="24">
        <f>IF(AND('A-15'!H19="-",'A-15'!H67="-",'A-15'!H115="-",'A-15'!H163="-"),"-",SUM('A-15'!H19,'A-15'!H67,'A-15'!H115,'A-15'!H163))</f>
        <v>0</v>
      </c>
      <c r="H66" s="24">
        <f>IF(AND('A-15'!J19="-",'A-15'!J67="-",'A-15'!J115="-",'A-15'!J163="-"),"-",SUM('A-15'!J19,'A-15'!J67,'A-15'!J115,'A-15'!J163))</f>
        <v>31296</v>
      </c>
      <c r="J66" s="24">
        <f>IF(AND('A-15'!N19="-",'A-15'!N67="-",'A-15'!N115="-",'A-15'!N163="-"),"-",SUM('A-15'!N19,'A-15'!N67,'A-15'!N115,'A-15'!N163))</f>
        <v>1</v>
      </c>
      <c r="K66" s="24">
        <f>IF(AND('A-15'!O19="-",'A-15'!O67="-",'A-15'!O115="-",'A-15'!O163="-"),"-",SUM('A-15'!O19,'A-15'!O67,'A-15'!O115,'A-15'!O163))</f>
        <v>0</v>
      </c>
      <c r="L66" s="24">
        <f>IF(AND('A-15'!P19="-",'A-15'!P67="-",'A-15'!P115="-",'A-15'!P163="-"),"-",SUM('A-15'!P19,'A-15'!P67,'A-15'!P115,'A-15'!P163))</f>
        <v>31817</v>
      </c>
      <c r="M66" s="24">
        <f>IF(AND('A-15'!Q19="-",'A-15'!Q67="-",'A-15'!Q115="-",'A-15'!Q163="-"),"-",SUM('A-15'!Q19,'A-15'!Q67,'A-15'!Q115,'A-15'!Q163))</f>
        <v>23499</v>
      </c>
      <c r="N66" s="24">
        <f>IF(AND('A-15'!R19="-",'A-15'!R67="-",'A-15'!R115="-",'A-15'!R163="-"),"-",SUM('A-15'!R19,'A-15'!R67,'A-15'!R115,'A-15'!R163))</f>
        <v>28590</v>
      </c>
      <c r="O66" s="24">
        <f>IF(AND('A-15'!S19="-",'A-15'!S67="-",'A-15'!S115="-",'A-15'!S163="-"),"-",SUM('A-15'!S19,'A-15'!S67,'A-15'!S115,'A-15'!S163))</f>
        <v>0</v>
      </c>
      <c r="P66" s="24">
        <f>IF(AND('A-15'!U19="-",'A-15'!U67="-",'A-15'!U115="-",'A-15'!U163="-"),"-",SUM('A-15'!U19,'A-15'!U67,'A-15'!U115,'A-15'!U163))</f>
        <v>83907</v>
      </c>
    </row>
    <row r="67" spans="1:16" ht="11.25" customHeight="1">
      <c r="A67" s="99">
        <v>1990</v>
      </c>
      <c r="B67" s="24">
        <f>IF(AND('A-15'!C20="-",'A-15'!C68="-",'A-15'!C116="-",'A-15'!C164="-"),"-",SUM('A-15'!C20,'A-15'!C68,'A-15'!C116,'A-15'!C164))</f>
        <v>7504</v>
      </c>
      <c r="C67" s="24">
        <f>IF(AND('A-15'!D20="-",'A-15'!D68="-",'A-15'!D116="-",'A-15'!D164="-"),"-",SUM('A-15'!D20,'A-15'!D68,'A-15'!D116,'A-15'!D164))</f>
        <v>7906</v>
      </c>
      <c r="D67" s="24">
        <f>IF(AND('A-15'!E20="-",'A-15'!E68="-",'A-15'!E116="-",'A-15'!E164="-"),"-",SUM('A-15'!E20,'A-15'!E68,'A-15'!E116,'A-15'!E164))</f>
        <v>11270</v>
      </c>
      <c r="E67" s="24">
        <f>IF(AND('A-15'!F20="-",'A-15'!F68="-",'A-15'!F116="-",'A-15'!F164="-"),"-",SUM('A-15'!F20,'A-15'!F68,'A-15'!F116,'A-15'!F164))</f>
        <v>2771</v>
      </c>
      <c r="F67" s="24">
        <f>IF(AND('A-15'!G20="-",'A-15'!G68="-",'A-15'!G116="-",'A-15'!G164="-"),"-",SUM('A-15'!G20,'A-15'!G68,'A-15'!G116,'A-15'!G164))</f>
        <v>2690</v>
      </c>
      <c r="G67" s="24">
        <f>IF(AND('A-15'!H20="-",'A-15'!H68="-",'A-15'!H116="-",'A-15'!H164="-"),"-",SUM('A-15'!H20,'A-15'!H68,'A-15'!H116,'A-15'!H164))</f>
        <v>8</v>
      </c>
      <c r="H67" s="24">
        <f>IF(AND('A-15'!J20="-",'A-15'!J68="-",'A-15'!J116="-",'A-15'!J164="-"),"-",SUM('A-15'!J20,'A-15'!J68,'A-15'!J116,'A-15'!J164))</f>
        <v>32141</v>
      </c>
      <c r="J67" s="24">
        <f>IF(AND('A-15'!N20="-",'A-15'!N68="-",'A-15'!N116="-",'A-15'!N164="-"),"-",SUM('A-15'!N20,'A-15'!N68,'A-15'!N116,'A-15'!N164))</f>
        <v>0</v>
      </c>
      <c r="K67" s="24">
        <f>IF(AND('A-15'!O20="-",'A-15'!O68="-",'A-15'!O116="-",'A-15'!O164="-"),"-",SUM('A-15'!O20,'A-15'!O68,'A-15'!O116,'A-15'!O164))</f>
        <v>1</v>
      </c>
      <c r="L67" s="24">
        <f>IF(AND('A-15'!P20="-",'A-15'!P68="-",'A-15'!P116="-",'A-15'!P164="-"),"-",SUM('A-15'!P20,'A-15'!P68,'A-15'!P116,'A-15'!P164))</f>
        <v>20680</v>
      </c>
      <c r="M67" s="24">
        <f>IF(AND('A-15'!Q20="-",'A-15'!Q68="-",'A-15'!Q116="-",'A-15'!Q164="-"),"-",SUM('A-15'!Q20,'A-15'!Q68,'A-15'!Q116,'A-15'!Q164))</f>
        <v>54225</v>
      </c>
      <c r="N67" s="24">
        <f>IF(AND('A-15'!R20="-",'A-15'!R68="-",'A-15'!R116="-",'A-15'!R164="-"),"-",SUM('A-15'!R20,'A-15'!R68,'A-15'!R116,'A-15'!R164))</f>
        <v>16485</v>
      </c>
      <c r="O67" s="24">
        <f>IF(AND('A-15'!S20="-",'A-15'!S68="-",'A-15'!S116="-",'A-15'!S164="-"),"-",SUM('A-15'!S20,'A-15'!S68,'A-15'!S116,'A-15'!S164))</f>
        <v>1</v>
      </c>
      <c r="P67" s="24">
        <f>IF(AND('A-15'!U20="-",'A-15'!U68="-",'A-15'!U116="-",'A-15'!U164="-"),"-",SUM('A-15'!U20,'A-15'!U68,'A-15'!U116,'A-15'!U164))</f>
        <v>91391</v>
      </c>
    </row>
    <row r="68" spans="1:16" ht="11.25" customHeight="1">
      <c r="A68" s="99">
        <v>1991</v>
      </c>
      <c r="B68" s="24">
        <f>IF(AND('A-15'!C21="-",'A-15'!C69="-",'A-15'!C117="-",'A-15'!C165="-"),"-",SUM('A-15'!C21,'A-15'!C69,'A-15'!C117,'A-15'!C165))</f>
        <v>4456</v>
      </c>
      <c r="C68" s="24">
        <f>IF(AND('A-15'!D21="-",'A-15'!D69="-",'A-15'!D117="-",'A-15'!D165="-"),"-",SUM('A-15'!D21,'A-15'!D69,'A-15'!D117,'A-15'!D165))</f>
        <v>6039</v>
      </c>
      <c r="D68" s="24">
        <f>IF(AND('A-15'!E21="-",'A-15'!E69="-",'A-15'!E117="-",'A-15'!E165="-"),"-",SUM('A-15'!E21,'A-15'!E69,'A-15'!E117,'A-15'!E165))</f>
        <v>6875</v>
      </c>
      <c r="E68" s="24">
        <f>IF(AND('A-15'!F21="-",'A-15'!F69="-",'A-15'!F117="-",'A-15'!F165="-"),"-",SUM('A-15'!F21,'A-15'!F69,'A-15'!F117,'A-15'!F165))</f>
        <v>4497</v>
      </c>
      <c r="F68" s="24">
        <f>IF(AND('A-15'!G21="-",'A-15'!G69="-",'A-15'!G117="-",'A-15'!G165="-"),"-",SUM('A-15'!G21,'A-15'!G69,'A-15'!G117,'A-15'!G165))</f>
        <v>0</v>
      </c>
      <c r="G68" s="24">
        <f>IF(AND('A-15'!H21="-",'A-15'!H69="-",'A-15'!H117="-",'A-15'!H165="-"),"-",SUM('A-15'!H21,'A-15'!H69,'A-15'!H117,'A-15'!H165))</f>
        <v>147</v>
      </c>
      <c r="H68" s="24">
        <f>IF(AND('A-15'!J21="-",'A-15'!J69="-",'A-15'!J117="-",'A-15'!J165="-"),"-",SUM('A-15'!J21,'A-15'!J69,'A-15'!J117,'A-15'!J165))</f>
        <v>21867</v>
      </c>
      <c r="J68" s="24">
        <f>IF(AND('A-15'!N21="-",'A-15'!N69="-",'A-15'!N117="-",'A-15'!N165="-"),"-",SUM('A-15'!N21,'A-15'!N69,'A-15'!N117,'A-15'!N165))</f>
        <v>0</v>
      </c>
      <c r="K68" s="24">
        <f>IF(AND('A-15'!O21="-",'A-15'!O69="-",'A-15'!O117="-",'A-15'!O165="-"),"-",SUM('A-15'!O21,'A-15'!O69,'A-15'!O117,'A-15'!O165))</f>
        <v>0</v>
      </c>
      <c r="L68" s="24">
        <f>IF(AND('A-15'!P21="-",'A-15'!P69="-",'A-15'!P117="-",'A-15'!P165="-"),"-",SUM('A-15'!P21,'A-15'!P69,'A-15'!P117,'A-15'!P165))</f>
        <v>38943</v>
      </c>
      <c r="M68" s="24">
        <f>IF(AND('A-15'!Q21="-",'A-15'!Q69="-",'A-15'!Q117="-",'A-15'!Q165="-"),"-",SUM('A-15'!Q21,'A-15'!Q69,'A-15'!Q117,'A-15'!Q165))</f>
        <v>38011</v>
      </c>
      <c r="N68" s="24">
        <f>IF(AND('A-15'!R21="-",'A-15'!R69="-",'A-15'!R117="-",'A-15'!R165="-"),"-",SUM('A-15'!R21,'A-15'!R69,'A-15'!R117,'A-15'!R165))</f>
        <v>0</v>
      </c>
      <c r="O68" s="24">
        <f>IF(AND('A-15'!S21="-",'A-15'!S69="-",'A-15'!S117="-",'A-15'!S165="-"),"-",SUM('A-15'!S21,'A-15'!S69,'A-15'!S117,'A-15'!S165))</f>
        <v>498</v>
      </c>
      <c r="P68" s="24">
        <f>IF(AND('A-15'!U21="-",'A-15'!U69="-",'A-15'!U117="-",'A-15'!U165="-"),"-",SUM('A-15'!U21,'A-15'!U69,'A-15'!U117,'A-15'!U165))</f>
        <v>76954</v>
      </c>
    </row>
    <row r="69" spans="1:16" ht="11.25" customHeight="1">
      <c r="A69" s="99">
        <v>1992</v>
      </c>
      <c r="B69" s="24">
        <f>IF(AND('A-15'!C22="-",'A-15'!C70="-",'A-15'!C118="-",'A-15'!C166="-"),"-",SUM('A-15'!C22,'A-15'!C70,'A-15'!C118,'A-15'!C166))</f>
        <v>8787</v>
      </c>
      <c r="C69" s="24">
        <f>IF(AND('A-15'!D22="-",'A-15'!D70="-",'A-15'!D118="-",'A-15'!D166="-"),"-",SUM('A-15'!D22,'A-15'!D70,'A-15'!D118,'A-15'!D166))</f>
        <v>5538</v>
      </c>
      <c r="D69" s="24">
        <f>IF(AND('A-15'!E22="-",'A-15'!E70="-",'A-15'!E118="-",'A-15'!E166="-"),"-",SUM('A-15'!E22,'A-15'!E70,'A-15'!E118,'A-15'!E166))</f>
        <v>4724</v>
      </c>
      <c r="E69" s="24">
        <f>IF(AND('A-15'!F22="-",'A-15'!F70="-",'A-15'!F118="-",'A-15'!F166="-"),"-",SUM('A-15'!F22,'A-15'!F70,'A-15'!F118,'A-15'!F166))</f>
        <v>4027</v>
      </c>
      <c r="F69" s="24">
        <f>IF(AND('A-15'!G22="-",'A-15'!G70="-",'A-15'!G118="-",'A-15'!G166="-"),"-",SUM('A-15'!G22,'A-15'!G70,'A-15'!G118,'A-15'!G166))</f>
        <v>0</v>
      </c>
      <c r="G69" s="24">
        <f>IF(AND('A-15'!H22="-",'A-15'!H70="-",'A-15'!H118="-",'A-15'!H166="-"),"-",SUM('A-15'!H22,'A-15'!H70,'A-15'!H118,'A-15'!H166))</f>
        <v>0</v>
      </c>
      <c r="H69" s="24">
        <f>IF(AND('A-15'!J22="-",'A-15'!J70="-",'A-15'!J118="-",'A-15'!J166="-"),"-",SUM('A-15'!J22,'A-15'!J70,'A-15'!J118,'A-15'!J166))</f>
        <v>23076</v>
      </c>
      <c r="J69" s="24">
        <f>IF(AND('A-15'!N22="-",'A-15'!N70="-",'A-15'!N118="-",'A-15'!N166="-"),"-",SUM('A-15'!N22,'A-15'!N70,'A-15'!N118,'A-15'!N166))</f>
        <v>2</v>
      </c>
      <c r="K69" s="24">
        <f>IF(AND('A-15'!O22="-",'A-15'!O70="-",'A-15'!O118="-",'A-15'!O166="-"),"-",SUM('A-15'!O22,'A-15'!O70,'A-15'!O118,'A-15'!O166))</f>
        <v>3</v>
      </c>
      <c r="L69" s="24">
        <f>IF(AND('A-15'!P22="-",'A-15'!P70="-",'A-15'!P118="-",'A-15'!P166="-"),"-",SUM('A-15'!P22,'A-15'!P70,'A-15'!P118,'A-15'!P166))</f>
        <v>40215</v>
      </c>
      <c r="M69" s="24">
        <f>IF(AND('A-15'!Q22="-",'A-15'!Q70="-",'A-15'!Q118="-",'A-15'!Q166="-"),"-",SUM('A-15'!Q22,'A-15'!Q70,'A-15'!Q118,'A-15'!Q166))</f>
        <v>35369</v>
      </c>
      <c r="N69" s="24">
        <f>IF(AND('A-15'!R22="-",'A-15'!R70="-",'A-15'!R118="-",'A-15'!R166="-"),"-",SUM('A-15'!R22,'A-15'!R70,'A-15'!R118,'A-15'!R166))</f>
        <v>0</v>
      </c>
      <c r="O69" s="24">
        <f>IF(AND('A-15'!S22="-",'A-15'!S70="-",'A-15'!S118="-",'A-15'!S166="-"),"-",SUM('A-15'!S22,'A-15'!S70,'A-15'!S118,'A-15'!S166))</f>
        <v>15</v>
      </c>
      <c r="P69" s="24">
        <f>IF(AND('A-15'!U22="-",'A-15'!U70="-",'A-15'!U118="-",'A-15'!U166="-"),"-",SUM('A-15'!U22,'A-15'!U70,'A-15'!U118,'A-15'!U166))</f>
        <v>75589</v>
      </c>
    </row>
    <row r="70" spans="1:16" ht="11.25" customHeight="1">
      <c r="A70" s="99">
        <v>1993</v>
      </c>
      <c r="B70" s="24">
        <f>IF(AND('A-15'!C23="-",'A-15'!C71="-",'A-15'!C119="-",'A-15'!C167="-"),"-",SUM('A-15'!C23,'A-15'!C71,'A-15'!C119,'A-15'!C167))</f>
        <v>7325</v>
      </c>
      <c r="C70" s="24">
        <f>IF(AND('A-15'!D23="-",'A-15'!D71="-",'A-15'!D119="-",'A-15'!D167="-"),"-",SUM('A-15'!D23,'A-15'!D71,'A-15'!D119,'A-15'!D167))</f>
        <v>5217</v>
      </c>
      <c r="D70" s="24">
        <f>IF(AND('A-15'!E23="-",'A-15'!E71="-",'A-15'!E119="-",'A-15'!E167="-"),"-",SUM('A-15'!E23,'A-15'!E71,'A-15'!E119,'A-15'!E167))</f>
        <v>5923</v>
      </c>
      <c r="E70" s="24">
        <f>IF(AND('A-15'!F23="-",'A-15'!F71="-",'A-15'!F119="-",'A-15'!F167="-"),"-",SUM('A-15'!F23,'A-15'!F71,'A-15'!F119,'A-15'!F167))</f>
        <v>3648</v>
      </c>
      <c r="F70" s="24">
        <f>IF(AND('A-15'!G23="-",'A-15'!G71="-",'A-15'!G119="-",'A-15'!G167="-"),"-",SUM('A-15'!G23,'A-15'!G71,'A-15'!G119,'A-15'!G167))</f>
        <v>2853</v>
      </c>
      <c r="G70" s="24">
        <f>IF(AND('A-15'!H23="-",'A-15'!H71="-",'A-15'!H119="-",'A-15'!H167="-"),"-",SUM('A-15'!H23,'A-15'!H71,'A-15'!H119,'A-15'!H167))</f>
        <v>0</v>
      </c>
      <c r="H70" s="24">
        <f>IF(AND('A-15'!J23="-",'A-15'!J71="-",'A-15'!J119="-",'A-15'!J167="-"),"-",SUM('A-15'!J23,'A-15'!J71,'A-15'!J119,'A-15'!J167))</f>
        <v>24966</v>
      </c>
      <c r="J70" s="24">
        <f>IF(AND('A-15'!N23="-",'A-15'!N71="-",'A-15'!N119="-",'A-15'!N167="-"),"-",SUM('A-15'!N23,'A-15'!N71,'A-15'!N119,'A-15'!N167))</f>
        <v>1</v>
      </c>
      <c r="K70" s="24">
        <f>IF(AND('A-15'!O23="-",'A-15'!O71="-",'A-15'!O119="-",'A-15'!O167="-"),"-",SUM('A-15'!O23,'A-15'!O71,'A-15'!O119,'A-15'!O167))</f>
        <v>0</v>
      </c>
      <c r="L70" s="24">
        <f>IF(AND('A-15'!P23="-",'A-15'!P71="-",'A-15'!P119="-",'A-15'!P167="-"),"-",SUM('A-15'!P23,'A-15'!P71,'A-15'!P119,'A-15'!P167))</f>
        <v>6944</v>
      </c>
      <c r="M70" s="24">
        <f>IF(AND('A-15'!Q23="-",'A-15'!Q71="-",'A-15'!Q119="-",'A-15'!Q167="-"),"-",SUM('A-15'!Q23,'A-15'!Q71,'A-15'!Q119,'A-15'!Q167))</f>
        <v>25420</v>
      </c>
      <c r="N70" s="24">
        <f>IF(AND('A-15'!R23="-",'A-15'!R71="-",'A-15'!R119="-",'A-15'!R167="-"),"-",SUM('A-15'!R23,'A-15'!R71,'A-15'!R119,'A-15'!R167))</f>
        <v>26375</v>
      </c>
      <c r="O70" s="24">
        <f>IF(AND('A-15'!S23="-",'A-15'!S71="-",'A-15'!S119="-",'A-15'!S167="-"),"-",SUM('A-15'!S23,'A-15'!S71,'A-15'!S119,'A-15'!S167))</f>
        <v>0</v>
      </c>
      <c r="P70" s="24">
        <f>IF(AND('A-15'!U23="-",'A-15'!U71="-",'A-15'!U119="-",'A-15'!U167="-"),"-",SUM('A-15'!U23,'A-15'!U71,'A-15'!U119,'A-15'!U167))</f>
        <v>58740</v>
      </c>
    </row>
    <row r="71" spans="1:16" ht="11.25" customHeight="1">
      <c r="A71" s="99">
        <v>1994</v>
      </c>
      <c r="B71" s="24">
        <f>IF(AND('A-15'!C24="-",'A-15'!C72="-",'A-15'!C120="-",'A-15'!C168="-"),"-",SUM('A-15'!C24,'A-15'!C72,'A-15'!C120,'A-15'!C168))</f>
        <v>449</v>
      </c>
      <c r="C71" s="24">
        <f>IF(AND('A-15'!D24="-",'A-15'!D72="-",'A-15'!D120="-",'A-15'!D168="-"),"-",SUM('A-15'!D24,'A-15'!D72,'A-15'!D120,'A-15'!D168))</f>
        <v>4113</v>
      </c>
      <c r="D71" s="24">
        <f>IF(AND('A-15'!E24="-",'A-15'!E72="-",'A-15'!E120="-",'A-15'!E168="-"),"-",SUM('A-15'!E24,'A-15'!E72,'A-15'!E120,'A-15'!E168))</f>
        <v>8</v>
      </c>
      <c r="E71" s="24">
        <f>IF(AND('A-15'!F24="-",'A-15'!F72="-",'A-15'!F120="-",'A-15'!F168="-"),"-",SUM('A-15'!F24,'A-15'!F72,'A-15'!F120,'A-15'!F168))</f>
        <v>0</v>
      </c>
      <c r="F71" s="24">
        <f>IF(AND('A-15'!G24="-",'A-15'!G72="-",'A-15'!G120="-",'A-15'!G168="-"),"-",SUM('A-15'!G24,'A-15'!G72,'A-15'!G120,'A-15'!G168))</f>
        <v>0</v>
      </c>
      <c r="G71" s="24">
        <f>IF(AND('A-15'!H24="-",'A-15'!H72="-",'A-15'!H120="-",'A-15'!H168="-"),"-",SUM('A-15'!H24,'A-15'!H72,'A-15'!H120,'A-15'!H168))</f>
        <v>0</v>
      </c>
      <c r="H71" s="24">
        <f>IF(AND('A-15'!J24="-",'A-15'!J72="-",'A-15'!J120="-",'A-15'!J168="-"),"-",SUM('A-15'!J24,'A-15'!J72,'A-15'!J120,'A-15'!J168))</f>
        <v>4570</v>
      </c>
      <c r="J71" s="24">
        <f>IF(AND('A-15'!N24="-",'A-15'!N72="-",'A-15'!N120="-",'A-15'!N168="-"),"-",SUM('A-15'!N24,'A-15'!N72,'A-15'!N120,'A-15'!N168))</f>
        <v>0</v>
      </c>
      <c r="K71" s="24">
        <f>IF(AND('A-15'!O24="-",'A-15'!O72="-",'A-15'!O120="-",'A-15'!O168="-"),"-",SUM('A-15'!O24,'A-15'!O72,'A-15'!O120,'A-15'!O168))</f>
        <v>0</v>
      </c>
      <c r="L71" s="24">
        <f>IF(AND('A-15'!P24="-",'A-15'!P72="-",'A-15'!P120="-",'A-15'!P168="-"),"-",SUM('A-15'!P24,'A-15'!P72,'A-15'!P120,'A-15'!P168))</f>
        <v>0</v>
      </c>
      <c r="M71" s="24">
        <f>IF(AND('A-15'!Q24="-",'A-15'!Q72="-",'A-15'!Q120="-",'A-15'!Q168="-"),"-",SUM('A-15'!Q24,'A-15'!Q72,'A-15'!Q120,'A-15'!Q168))</f>
        <v>0</v>
      </c>
      <c r="N71" s="24">
        <f>IF(AND('A-15'!R24="-",'A-15'!R72="-",'A-15'!R120="-",'A-15'!R168="-"),"-",SUM('A-15'!R24,'A-15'!R72,'A-15'!R120,'A-15'!R168))</f>
        <v>0</v>
      </c>
      <c r="O71" s="24">
        <f>IF(AND('A-15'!S24="-",'A-15'!S72="-",'A-15'!S120="-",'A-15'!S168="-"),"-",SUM('A-15'!S24,'A-15'!S72,'A-15'!S120,'A-15'!S168))</f>
        <v>0</v>
      </c>
      <c r="P71" s="24">
        <f>IF(AND('A-15'!U24="-",'A-15'!U72="-",'A-15'!U120="-",'A-15'!U168="-"),"-",SUM('A-15'!U24,'A-15'!U72,'A-15'!U120,'A-15'!U168))</f>
        <v>0</v>
      </c>
    </row>
    <row r="72" spans="1:16" ht="11.25" customHeight="1">
      <c r="A72" s="99">
        <v>1995</v>
      </c>
      <c r="B72" s="24">
        <f>IF(AND('A-15'!C25="-",'A-15'!C73="-",'A-15'!C121="-",'A-15'!C169="-"),"-",SUM('A-15'!C25,'A-15'!C73,'A-15'!C121,'A-15'!C169))</f>
        <v>698</v>
      </c>
      <c r="C72" s="24">
        <f>IF(AND('A-15'!D25="-",'A-15'!D73="-",'A-15'!D121="-",'A-15'!D169="-"),"-",SUM('A-15'!D25,'A-15'!D73,'A-15'!D121,'A-15'!D169))</f>
        <v>0</v>
      </c>
      <c r="D72" s="24">
        <f>IF(AND('A-15'!E25="-",'A-15'!E73="-",'A-15'!E121="-",'A-15'!E169="-"),"-",SUM('A-15'!E25,'A-15'!E73,'A-15'!E121,'A-15'!E169))</f>
        <v>23</v>
      </c>
      <c r="E72" s="24">
        <f>IF(AND('A-15'!F25="-",'A-15'!F73="-",'A-15'!F121="-",'A-15'!F169="-"),"-",SUM('A-15'!F25,'A-15'!F73,'A-15'!F121,'A-15'!F169))</f>
        <v>9044</v>
      </c>
      <c r="F72" s="24">
        <f>IF(AND('A-15'!G25="-",'A-15'!G73="-",'A-15'!G121="-",'A-15'!G169="-"),"-",SUM('A-15'!G25,'A-15'!G73,'A-15'!G121,'A-15'!G169))</f>
        <v>0</v>
      </c>
      <c r="G72" s="24">
        <f>IF(AND('A-15'!H25="-",'A-15'!H73="-",'A-15'!H121="-",'A-15'!H169="-"),"-",SUM('A-15'!H25,'A-15'!H73,'A-15'!H121,'A-15'!H169))</f>
        <v>0</v>
      </c>
      <c r="H72" s="24">
        <f>IF(AND('A-15'!J25="-",'A-15'!J73="-",'A-15'!J121="-",'A-15'!J169="-"),"-",SUM('A-15'!J25,'A-15'!J73,'A-15'!J121,'A-15'!J169))</f>
        <v>9765</v>
      </c>
      <c r="J72" s="24">
        <f>IF(AND('A-15'!N25="-",'A-15'!N73="-",'A-15'!N121="-",'A-15'!N169="-"),"-",SUM('A-15'!N25,'A-15'!N73,'A-15'!N121,'A-15'!N169))</f>
        <v>0</v>
      </c>
      <c r="K72" s="24">
        <f>IF(AND('A-15'!O25="-",'A-15'!O73="-",'A-15'!O121="-",'A-15'!O169="-"),"-",SUM('A-15'!O25,'A-15'!O73,'A-15'!O121,'A-15'!O169))</f>
        <v>0</v>
      </c>
      <c r="L72" s="24">
        <f>IF(AND('A-15'!P25="-",'A-15'!P73="-",'A-15'!P121="-",'A-15'!P169="-"),"-",SUM('A-15'!P25,'A-15'!P73,'A-15'!P121,'A-15'!P169))</f>
        <v>0</v>
      </c>
      <c r="M72" s="24">
        <f>IF(AND('A-15'!Q25="-",'A-15'!Q73="-",'A-15'!Q121="-",'A-15'!Q169="-"),"-",SUM('A-15'!Q25,'A-15'!Q73,'A-15'!Q121,'A-15'!Q169))</f>
        <v>31390</v>
      </c>
      <c r="N72" s="24">
        <f>IF(AND('A-15'!R25="-",'A-15'!R73="-",'A-15'!R121="-",'A-15'!R169="-"),"-",SUM('A-15'!R25,'A-15'!R73,'A-15'!R121,'A-15'!R169))</f>
        <v>0</v>
      </c>
      <c r="O72" s="24">
        <f>IF(AND('A-15'!S25="-",'A-15'!S73="-",'A-15'!S121="-",'A-15'!S169="-"),"-",SUM('A-15'!S25,'A-15'!S73,'A-15'!S121,'A-15'!S169))</f>
        <v>0</v>
      </c>
      <c r="P72" s="24">
        <f>IF(AND('A-15'!U25="-",'A-15'!U73="-",'A-15'!U121="-",'A-15'!U169="-"),"-",SUM('A-15'!U25,'A-15'!U73,'A-15'!U121,'A-15'!U169))</f>
        <v>31390</v>
      </c>
    </row>
    <row r="73" spans="1:16" ht="11.25" customHeight="1">
      <c r="A73" s="99">
        <v>1996</v>
      </c>
      <c r="B73" s="24">
        <f>IF(AND('A-15'!C26="-",'A-15'!C74="-",'A-15'!C122="-",'A-15'!C170="-"),"-",SUM('A-15'!C26,'A-15'!C74,'A-15'!C122,'A-15'!C170))</f>
        <v>1473</v>
      </c>
      <c r="C73" s="24">
        <f>IF(AND('A-15'!D26="-",'A-15'!D74="-",'A-15'!D122="-",'A-15'!D170="-"),"-",SUM('A-15'!D26,'A-15'!D74,'A-15'!D122,'A-15'!D170))</f>
        <v>1974</v>
      </c>
      <c r="D73" s="24">
        <f>IF(AND('A-15'!E26="-",'A-15'!E74="-",'A-15'!E122="-",'A-15'!E170="-"),"-",SUM('A-15'!E26,'A-15'!E74,'A-15'!E122,'A-15'!E170))</f>
        <v>457</v>
      </c>
      <c r="E73" s="24">
        <f>IF(AND('A-15'!F26="-",'A-15'!F74="-",'A-15'!F122="-",'A-15'!F170="-"),"-",SUM('A-15'!F26,'A-15'!F74,'A-15'!F122,'A-15'!F170))</f>
        <v>4845</v>
      </c>
      <c r="F73" s="24">
        <f>IF(AND('A-15'!G26="-",'A-15'!G74="-",'A-15'!G122="-",'A-15'!G170="-"),"-",SUM('A-15'!G26,'A-15'!G74,'A-15'!G122,'A-15'!G170))</f>
        <v>3561</v>
      </c>
      <c r="G73" s="24" t="str">
        <f>IF(AND('A-15'!H26="-",'A-15'!H74="-",'A-15'!H122="-",'A-15'!H170="-"),"-",SUM('A-15'!H26,'A-15'!H74,'A-15'!H122,'A-15'!H170))</f>
        <v>-</v>
      </c>
      <c r="H73" s="24">
        <f>IF(AND('A-15'!J26="-",'A-15'!J74="-",'A-15'!J122="-",'A-15'!J170="-"),"-",SUM('A-15'!J26,'A-15'!J74,'A-15'!J122,'A-15'!J170))</f>
        <v>12310</v>
      </c>
      <c r="J73" s="24">
        <f>IF(AND('A-15'!N26="-",'A-15'!N74="-",'A-15'!N122="-",'A-15'!N170="-"),"-",SUM('A-15'!N26,'A-15'!N74,'A-15'!N122,'A-15'!N170))</f>
        <v>0</v>
      </c>
      <c r="K73" s="24">
        <f>IF(AND('A-15'!O26="-",'A-15'!O74="-",'A-15'!O122="-",'A-15'!O170="-"),"-",SUM('A-15'!O26,'A-15'!O74,'A-15'!O122,'A-15'!O170))</f>
        <v>0</v>
      </c>
      <c r="L73" s="24">
        <f>IF(AND('A-15'!P26="-",'A-15'!P74="-",'A-15'!P122="-",'A-15'!P170="-"),"-",SUM('A-15'!P26,'A-15'!P74,'A-15'!P122,'A-15'!P170))</f>
        <v>0</v>
      </c>
      <c r="M73" s="24">
        <f>IF(AND('A-15'!Q26="-",'A-15'!Q74="-",'A-15'!Q122="-",'A-15'!Q170="-"),"-",SUM('A-15'!Q26,'A-15'!Q74,'A-15'!Q122,'A-15'!Q170))</f>
        <v>4655</v>
      </c>
      <c r="N73" s="24">
        <f>IF(AND('A-15'!R26="-",'A-15'!R74="-",'A-15'!R122="-",'A-15'!R170="-"),"-",SUM('A-15'!R26,'A-15'!R74,'A-15'!R122,'A-15'!R170))</f>
        <v>13885</v>
      </c>
      <c r="O73" s="24" t="str">
        <f>IF(AND('A-15'!S26="-",'A-15'!S74="-",'A-15'!S122="-",'A-15'!S170="-"),"-",SUM('A-15'!S26,'A-15'!S74,'A-15'!S122,'A-15'!S170))</f>
        <v>-</v>
      </c>
      <c r="P73" s="24">
        <f>IF(AND('A-15'!U26="-",'A-15'!U74="-",'A-15'!U122="-",'A-15'!U170="-"),"-",SUM('A-15'!U26,'A-15'!U74,'A-15'!U122,'A-15'!U170))</f>
        <v>18540</v>
      </c>
    </row>
    <row r="74" spans="1:16" ht="11.25" customHeight="1">
      <c r="A74" s="99">
        <v>1997</v>
      </c>
      <c r="B74" s="24">
        <f>IF(AND('A-15'!C27="-",'A-15'!C75="-",'A-15'!C123="-",'A-15'!C171="-"),"-",SUM('A-15'!C27,'A-15'!C75,'A-15'!C123,'A-15'!C171))</f>
        <v>819</v>
      </c>
      <c r="C74" s="24">
        <f>IF(AND('A-15'!D27="-",'A-15'!D75="-",'A-15'!D123="-",'A-15'!D171="-"),"-",SUM('A-15'!D27,'A-15'!D75,'A-15'!D123,'A-15'!D171))</f>
        <v>7486</v>
      </c>
      <c r="D74" s="24">
        <f>IF(AND('A-15'!E27="-",'A-15'!E75="-",'A-15'!E123="-",'A-15'!E171="-"),"-",SUM('A-15'!E27,'A-15'!E75,'A-15'!E123,'A-15'!E171))</f>
        <v>0</v>
      </c>
      <c r="E74" s="24">
        <f>IF(AND('A-15'!F27="-",'A-15'!F75="-",'A-15'!F123="-",'A-15'!F171="-"),"-",SUM('A-15'!F27,'A-15'!F75,'A-15'!F123,'A-15'!F171))</f>
        <v>4720</v>
      </c>
      <c r="F74" s="24">
        <f>IF(AND('A-15'!G27="-",'A-15'!G75="-",'A-15'!G123="-",'A-15'!G171="-"),"-",SUM('A-15'!G27,'A-15'!G75,'A-15'!G123,'A-15'!G171))</f>
        <v>1136</v>
      </c>
      <c r="G74" s="24" t="str">
        <f>IF(AND('A-15'!H27="-",'A-15'!H75="-",'A-15'!H123="-",'A-15'!H171="-"),"-",SUM('A-15'!H27,'A-15'!H75,'A-15'!H123,'A-15'!H171))</f>
        <v>-</v>
      </c>
      <c r="H74" s="24">
        <f>IF(AND('A-15'!J27="-",'A-15'!J75="-",'A-15'!J123="-",'A-15'!J171="-"),"-",SUM('A-15'!J27,'A-15'!J75,'A-15'!J123,'A-15'!J171))</f>
        <v>14161</v>
      </c>
      <c r="J74" s="24">
        <f>IF(AND('A-15'!N27="-",'A-15'!N75="-",'A-15'!N123="-",'A-15'!N171="-"),"-",SUM('A-15'!N27,'A-15'!N75,'A-15'!N123,'A-15'!N171))</f>
        <v>0</v>
      </c>
      <c r="K74" s="24">
        <f>IF(AND('A-15'!O27="-",'A-15'!O75="-",'A-15'!O123="-",'A-15'!O171="-"),"-",SUM('A-15'!O27,'A-15'!O75,'A-15'!O123,'A-15'!O171))</f>
        <v>0</v>
      </c>
      <c r="L74" s="24">
        <f>IF(AND('A-15'!P27="-",'A-15'!P75="-",'A-15'!P123="-",'A-15'!P171="-"),"-",SUM('A-15'!P27,'A-15'!P75,'A-15'!P123,'A-15'!P171))</f>
        <v>0</v>
      </c>
      <c r="M74" s="24">
        <f>IF(AND('A-15'!Q27="-",'A-15'!Q75="-",'A-15'!Q123="-",'A-15'!Q171="-"),"-",SUM('A-15'!Q27,'A-15'!Q75,'A-15'!Q123,'A-15'!Q171))</f>
        <v>11481</v>
      </c>
      <c r="N74" s="24">
        <f>IF(AND('A-15'!R27="-",'A-15'!R75="-",'A-15'!R123="-",'A-15'!R171="-"),"-",SUM('A-15'!R27,'A-15'!R75,'A-15'!R123,'A-15'!R171))</f>
        <v>4343</v>
      </c>
      <c r="O74" s="24" t="str">
        <f>IF(AND('A-15'!S27="-",'A-15'!S75="-",'A-15'!S123="-",'A-15'!S171="-"),"-",SUM('A-15'!S27,'A-15'!S75,'A-15'!S123,'A-15'!S171))</f>
        <v>-</v>
      </c>
      <c r="P74" s="24">
        <f>IF(AND('A-15'!U27="-",'A-15'!U75="-",'A-15'!U123="-",'A-15'!U171="-"),"-",SUM('A-15'!U27,'A-15'!U75,'A-15'!U123,'A-15'!U171))</f>
        <v>15824</v>
      </c>
    </row>
    <row r="75" spans="1:16" ht="11.25" customHeight="1">
      <c r="A75" s="99">
        <v>1998</v>
      </c>
      <c r="B75" s="24">
        <f>IF(AND('A-15'!C28="-",'A-15'!C76="-",'A-15'!C124="-",'A-15'!C172="-"),"-",SUM('A-15'!C28,'A-15'!C76,'A-15'!C124,'A-15'!C172))</f>
        <v>5189</v>
      </c>
      <c r="C75" s="24">
        <f>IF(AND('A-15'!D28="-",'A-15'!D76="-",'A-15'!D124="-",'A-15'!D172="-"),"-",SUM('A-15'!D28,'A-15'!D76,'A-15'!D124,'A-15'!D172))</f>
        <v>4442</v>
      </c>
      <c r="D75" s="24">
        <f>IF(AND('A-15'!E28="-",'A-15'!E76="-",'A-15'!E124="-",'A-15'!E172="-"),"-",SUM('A-15'!E28,'A-15'!E76,'A-15'!E124,'A-15'!E172))</f>
        <v>47</v>
      </c>
      <c r="E75" s="24">
        <f>IF(AND('A-15'!F28="-",'A-15'!F76="-",'A-15'!F124="-",'A-15'!F172="-"),"-",SUM('A-15'!F28,'A-15'!F76,'A-15'!F124,'A-15'!F172))</f>
        <v>3860</v>
      </c>
      <c r="F75" s="24">
        <f>IF(AND('A-15'!G28="-",'A-15'!G76="-",'A-15'!G124="-",'A-15'!G172="-"),"-",SUM('A-15'!G28,'A-15'!G76,'A-15'!G124,'A-15'!G172))</f>
        <v>1148</v>
      </c>
      <c r="G75" s="24" t="str">
        <f>IF(AND('A-15'!H28="-",'A-15'!H76="-",'A-15'!H124="-",'A-15'!H172="-"),"-",SUM('A-15'!H28,'A-15'!H76,'A-15'!H124,'A-15'!H172))</f>
        <v>-</v>
      </c>
      <c r="H75" s="24">
        <f>IF(AND('A-15'!J28="-",'A-15'!J76="-",'A-15'!J124="-",'A-15'!J172="-"),"-",SUM('A-15'!J28,'A-15'!J76,'A-15'!J124,'A-15'!J172))</f>
        <v>14686</v>
      </c>
      <c r="J75" s="24">
        <f>IF(AND('A-15'!N28="-",'A-15'!N76="-",'A-15'!N124="-",'A-15'!N172="-"),"-",SUM('A-15'!N28,'A-15'!N76,'A-15'!N124,'A-15'!N172))</f>
        <v>0</v>
      </c>
      <c r="K75" s="24">
        <f>IF(AND('A-15'!O28="-",'A-15'!O76="-",'A-15'!O124="-",'A-15'!O172="-"),"-",SUM('A-15'!O28,'A-15'!O76,'A-15'!O124,'A-15'!O172))</f>
        <v>0</v>
      </c>
      <c r="L75" s="24">
        <f>IF(AND('A-15'!P28="-",'A-15'!P76="-",'A-15'!P124="-",'A-15'!P172="-"),"-",SUM('A-15'!P28,'A-15'!P76,'A-15'!P124,'A-15'!P172))</f>
        <v>74</v>
      </c>
      <c r="M75" s="24">
        <f>IF(AND('A-15'!Q28="-",'A-15'!Q76="-",'A-15'!Q124="-",'A-15'!Q172="-"),"-",SUM('A-15'!Q28,'A-15'!Q76,'A-15'!Q124,'A-15'!Q172))</f>
        <v>3855</v>
      </c>
      <c r="N75" s="24">
        <f>IF(AND('A-15'!R28="-",'A-15'!R76="-",'A-15'!R124="-",'A-15'!R172="-"),"-",SUM('A-15'!R28,'A-15'!R76,'A-15'!R124,'A-15'!R172))</f>
        <v>4225</v>
      </c>
      <c r="O75" s="24" t="str">
        <f>IF(AND('A-15'!S28="-",'A-15'!S76="-",'A-15'!S124="-",'A-15'!S172="-"),"-",SUM('A-15'!S28,'A-15'!S76,'A-15'!S124,'A-15'!S172))</f>
        <v>-</v>
      </c>
      <c r="P75" s="24">
        <f>IF(AND('A-15'!U28="-",'A-15'!U76="-",'A-15'!U124="-",'A-15'!U172="-"),"-",SUM('A-15'!U28,'A-15'!U76,'A-15'!U124,'A-15'!U172))</f>
        <v>8154</v>
      </c>
    </row>
    <row r="76" spans="1:16" ht="11.25" customHeight="1">
      <c r="A76" s="99">
        <v>1999</v>
      </c>
      <c r="B76" s="24">
        <f>IF(AND('A-15'!C29="-",'A-15'!C77="-",'A-15'!C125="-",'A-15'!C173="-"),"-",SUM('A-15'!C29,'A-15'!C77,'A-15'!C125,'A-15'!C173))</f>
        <v>2536</v>
      </c>
      <c r="C76" s="24">
        <f>IF(AND('A-15'!D29="-",'A-15'!D77="-",'A-15'!D125="-",'A-15'!D173="-"),"-",SUM('A-15'!D29,'A-15'!D77,'A-15'!D125,'A-15'!D173))</f>
        <v>15666</v>
      </c>
      <c r="D76" s="24">
        <f>IF(AND('A-15'!E29="-",'A-15'!E77="-",'A-15'!E125="-",'A-15'!E173="-"),"-",SUM('A-15'!E29,'A-15'!E77,'A-15'!E125,'A-15'!E173))</f>
        <v>1530</v>
      </c>
      <c r="E76" s="24">
        <f>IF(AND('A-15'!F29="-",'A-15'!F77="-",'A-15'!F125="-",'A-15'!F173="-"),"-",SUM('A-15'!F29,'A-15'!F77,'A-15'!F125,'A-15'!F173))</f>
        <v>4101</v>
      </c>
      <c r="F76" s="24">
        <f>IF(AND('A-15'!G29="-",'A-15'!G77="-",'A-15'!G125="-",'A-15'!G173="-"),"-",SUM('A-15'!G29,'A-15'!G77,'A-15'!G125,'A-15'!G173))</f>
        <v>3619</v>
      </c>
      <c r="G76" s="24" t="str">
        <f>IF(AND('A-15'!H29="-",'A-15'!H77="-",'A-15'!H125="-",'A-15'!H173="-"),"-",SUM('A-15'!H29,'A-15'!H77,'A-15'!H125,'A-15'!H173))</f>
        <v>-</v>
      </c>
      <c r="H76" s="24">
        <f>IF(AND('A-15'!J29="-",'A-15'!J77="-",'A-15'!J125="-",'A-15'!J173="-"),"-",SUM('A-15'!J29,'A-15'!J77,'A-15'!J125,'A-15'!J173))</f>
        <v>27452</v>
      </c>
      <c r="J76" s="24">
        <f>IF(AND('A-15'!N29="-",'A-15'!N77="-",'A-15'!N125="-",'A-15'!N173="-"),"-",SUM('A-15'!N29,'A-15'!N77,'A-15'!N125,'A-15'!N173))</f>
        <v>0</v>
      </c>
      <c r="K76" s="24">
        <f>IF(AND('A-15'!O29="-",'A-15'!O77="-",'A-15'!O125="-",'A-15'!O173="-"),"-",SUM('A-15'!O29,'A-15'!O77,'A-15'!O125,'A-15'!O173))</f>
        <v>0</v>
      </c>
      <c r="L76" s="24">
        <f>IF(AND('A-15'!P29="-",'A-15'!P77="-",'A-15'!P125="-",'A-15'!P173="-"),"-",SUM('A-15'!P29,'A-15'!P77,'A-15'!P125,'A-15'!P173))</f>
        <v>0</v>
      </c>
      <c r="M76" s="24">
        <f>IF(AND('A-15'!Q29="-",'A-15'!Q77="-",'A-15'!Q125="-",'A-15'!Q173="-"),"-",SUM('A-15'!Q29,'A-15'!Q77,'A-15'!Q125,'A-15'!Q173))</f>
        <v>13151</v>
      </c>
      <c r="N76" s="24">
        <f>IF(AND('A-15'!R29="-",'A-15'!R77="-",'A-15'!R125="-",'A-15'!R173="-"),"-",SUM('A-15'!R29,'A-15'!R77,'A-15'!R125,'A-15'!R173))</f>
        <v>20213</v>
      </c>
      <c r="O76" s="24" t="str">
        <f>IF(AND('A-15'!S29="-",'A-15'!S77="-",'A-15'!S125="-",'A-15'!S173="-"),"-",SUM('A-15'!S29,'A-15'!S77,'A-15'!S125,'A-15'!S173))</f>
        <v>-</v>
      </c>
      <c r="P76" s="24">
        <f>IF(AND('A-15'!U29="-",'A-15'!U77="-",'A-15'!U125="-",'A-15'!U173="-"),"-",SUM('A-15'!U29,'A-15'!U77,'A-15'!U125,'A-15'!U173))</f>
        <v>33364</v>
      </c>
    </row>
    <row r="77" spans="1:16" ht="11.25" customHeight="1">
      <c r="A77" s="99">
        <v>2000</v>
      </c>
      <c r="B77" s="24">
        <f>IF(AND('A-15'!C30="-",'A-15'!C78="-",'A-15'!C126="-",'A-15'!C174="-"),"-",SUM('A-15'!C30,'A-15'!C78,'A-15'!C126,'A-15'!C174))</f>
        <v>2885</v>
      </c>
      <c r="C77" s="24">
        <f>IF(AND('A-15'!D30="-",'A-15'!D78="-",'A-15'!D126="-",'A-15'!D174="-"),"-",SUM('A-15'!D30,'A-15'!D78,'A-15'!D126,'A-15'!D174))</f>
        <v>3052</v>
      </c>
      <c r="D77" s="24">
        <f>IF(AND('A-15'!E30="-",'A-15'!E78="-",'A-15'!E126="-",'A-15'!E174="-"),"-",SUM('A-15'!E30,'A-15'!E78,'A-15'!E126,'A-15'!E174))</f>
        <v>196</v>
      </c>
      <c r="E77" s="24">
        <f>IF(AND('A-15'!F30="-",'A-15'!F78="-",'A-15'!F126="-",'A-15'!F174="-"),"-",SUM('A-15'!F30,'A-15'!F78,'A-15'!F126,'A-15'!F174))</f>
        <v>1505</v>
      </c>
      <c r="F77" s="24">
        <f>IF(AND('A-15'!G30="-",'A-15'!G78="-",'A-15'!G126="-",'A-15'!G174="-"),"-",SUM('A-15'!G30,'A-15'!G78,'A-15'!G126,'A-15'!G174))</f>
        <v>0</v>
      </c>
      <c r="G77" s="24" t="str">
        <f>IF(AND('A-15'!H30="-",'A-15'!H78="-",'A-15'!H126="-",'A-15'!H174="-"),"-",SUM('A-15'!H30,'A-15'!H78,'A-15'!H126,'A-15'!H174))</f>
        <v>-</v>
      </c>
      <c r="H77" s="24">
        <f>IF(AND('A-15'!J30="-",'A-15'!J78="-",'A-15'!J126="-",'A-15'!J174="-"),"-",SUM('A-15'!J30,'A-15'!J78,'A-15'!J126,'A-15'!J174))</f>
        <v>7638</v>
      </c>
      <c r="J77" s="24">
        <f>IF(AND('A-15'!N30="-",'A-15'!N78="-",'A-15'!N126="-",'A-15'!N174="-"),"-",SUM('A-15'!N30,'A-15'!N78,'A-15'!N126,'A-15'!N174))</f>
        <v>0</v>
      </c>
      <c r="K77" s="24">
        <f>IF(AND('A-15'!O30="-",'A-15'!O78="-",'A-15'!O126="-",'A-15'!O174="-"),"-",SUM('A-15'!O30,'A-15'!O78,'A-15'!O126,'A-15'!O174))</f>
        <v>1</v>
      </c>
      <c r="L77" s="24">
        <f>IF(AND('A-15'!P30="-",'A-15'!P78="-",'A-15'!P126="-",'A-15'!P174="-"),"-",SUM('A-15'!P30,'A-15'!P78,'A-15'!P126,'A-15'!P174))</f>
        <v>0</v>
      </c>
      <c r="M77" s="24">
        <f>IF(AND('A-15'!Q30="-",'A-15'!Q78="-",'A-15'!Q126="-",'A-15'!Q174="-"),"-",SUM('A-15'!Q30,'A-15'!Q78,'A-15'!Q126,'A-15'!Q174))</f>
        <v>22174</v>
      </c>
      <c r="N77" s="24">
        <f>IF(AND('A-15'!R30="-",'A-15'!R78="-",'A-15'!R126="-",'A-15'!R174="-"),"-",SUM('A-15'!R30,'A-15'!R78,'A-15'!R126,'A-15'!R174))</f>
        <v>0</v>
      </c>
      <c r="O77" s="24" t="str">
        <f>IF(AND('A-15'!S30="-",'A-15'!S78="-",'A-15'!S126="-",'A-15'!S174="-"),"-",SUM('A-15'!S30,'A-15'!S78,'A-15'!S126,'A-15'!S174))</f>
        <v>-</v>
      </c>
      <c r="P77" s="24">
        <f>IF(AND('A-15'!U30="-",'A-15'!U78="-",'A-15'!U126="-",'A-15'!U174="-"),"-",SUM('A-15'!U30,'A-15'!U78,'A-15'!U126,'A-15'!U174))</f>
        <v>22175</v>
      </c>
    </row>
    <row r="78" spans="1:16" ht="11.25" customHeight="1">
      <c r="A78" s="99">
        <v>2001</v>
      </c>
      <c r="B78" s="24">
        <f>IF(AND('A-15'!C31="-",'A-15'!C79="-",'A-15'!C127="-",'A-15'!C175="-"),"-",SUM('A-15'!C31,'A-15'!C79,'A-15'!C127,'A-15'!C175))</f>
        <v>2278</v>
      </c>
      <c r="C78" s="24">
        <f>IF(AND('A-15'!D31="-",'A-15'!D79="-",'A-15'!D127="-",'A-15'!D175="-"),"-",SUM('A-15'!D31,'A-15'!D79,'A-15'!D127,'A-15'!D175))</f>
        <v>13705</v>
      </c>
      <c r="D78" s="24">
        <f>IF(AND('A-15'!E31="-",'A-15'!E79="-",'A-15'!E127="-",'A-15'!E175="-"),"-",SUM('A-15'!E31,'A-15'!E79,'A-15'!E127,'A-15'!E175))</f>
        <v>6561</v>
      </c>
      <c r="E78" s="24">
        <f>IF(AND('A-15'!F31="-",'A-15'!F79="-",'A-15'!F127="-",'A-15'!F175="-"),"-",SUM('A-15'!F31,'A-15'!F79,'A-15'!F127,'A-15'!F175))</f>
        <v>2988</v>
      </c>
      <c r="F78" s="24">
        <f>IF(AND('A-15'!G31="-",'A-15'!G79="-",'A-15'!G127="-",'A-15'!G175="-"),"-",SUM('A-15'!G31,'A-15'!G79,'A-15'!G127,'A-15'!G175))</f>
        <v>3311</v>
      </c>
      <c r="G78" s="24" t="str">
        <f>IF(AND('A-15'!H31="-",'A-15'!H79="-",'A-15'!H127="-",'A-15'!H175="-"),"-",SUM('A-15'!H31,'A-15'!H79,'A-15'!H127,'A-15'!H175))</f>
        <v>-</v>
      </c>
      <c r="H78" s="24">
        <f>IF(AND('A-15'!J31="-",'A-15'!J79="-",'A-15'!J127="-",'A-15'!J175="-"),"-",SUM('A-15'!J31,'A-15'!J79,'A-15'!J127,'A-15'!J175))</f>
        <v>28843</v>
      </c>
      <c r="J78" s="24">
        <f>IF(AND('A-15'!N31="-",'A-15'!N79="-",'A-15'!N127="-",'A-15'!N175="-"),"-",SUM('A-15'!N31,'A-15'!N79,'A-15'!N127,'A-15'!N175))</f>
        <v>0</v>
      </c>
      <c r="K78" s="24">
        <f>IF(AND('A-15'!O31="-",'A-15'!O79="-",'A-15'!O127="-",'A-15'!O175="-"),"-",SUM('A-15'!O31,'A-15'!O79,'A-15'!O127,'A-15'!O175))</f>
        <v>12</v>
      </c>
      <c r="L78" s="24">
        <f>IF(AND('A-15'!P31="-",'A-15'!P79="-",'A-15'!P127="-",'A-15'!P175="-"),"-",SUM('A-15'!P31,'A-15'!P79,'A-15'!P127,'A-15'!P175))</f>
        <v>8510</v>
      </c>
      <c r="M78" s="24">
        <f>IF(AND('A-15'!Q31="-",'A-15'!Q79="-",'A-15'!Q127="-",'A-15'!Q175="-"),"-",SUM('A-15'!Q31,'A-15'!Q79,'A-15'!Q127,'A-15'!Q175))</f>
        <v>27984</v>
      </c>
      <c r="N78" s="24">
        <f>IF(AND('A-15'!R31="-",'A-15'!R79="-",'A-15'!R127="-",'A-15'!R175="-"),"-",SUM('A-15'!R31,'A-15'!R79,'A-15'!R127,'A-15'!R175))</f>
        <v>22089</v>
      </c>
      <c r="O78" s="24" t="str">
        <f>IF(AND('A-15'!S31="-",'A-15'!S79="-",'A-15'!S127="-",'A-15'!S175="-"),"-",SUM('A-15'!S31,'A-15'!S79,'A-15'!S127,'A-15'!S175))</f>
        <v>-</v>
      </c>
      <c r="P78" s="24">
        <f>IF(AND('A-15'!U31="-",'A-15'!U79="-",'A-15'!U127="-",'A-15'!U175="-"),"-",SUM('A-15'!U31,'A-15'!U79,'A-15'!U127,'A-15'!U175))</f>
        <v>58595</v>
      </c>
    </row>
    <row r="79" spans="1:16" ht="11.25" customHeight="1">
      <c r="A79" s="99">
        <v>2002</v>
      </c>
      <c r="B79" s="24">
        <f>IF(AND('A-15'!C32="-",'A-15'!C80="-",'A-15'!C128="-",'A-15'!C176="-"),"-",SUM('A-15'!C32,'A-15'!C80,'A-15'!C128,'A-15'!C176))</f>
        <v>5364</v>
      </c>
      <c r="C79" s="24">
        <f>IF(AND('A-15'!D32="-",'A-15'!D80="-",'A-15'!D128="-",'A-15'!D176="-"),"-",SUM('A-15'!D32,'A-15'!D80,'A-15'!D128,'A-15'!D176))</f>
        <v>11206</v>
      </c>
      <c r="D79" s="24">
        <f>IF(AND('A-15'!E32="-",'A-15'!E80="-",'A-15'!E128="-",'A-15'!E176="-"),"-",SUM('A-15'!E32,'A-15'!E80,'A-15'!E128,'A-15'!E176))</f>
        <v>12079</v>
      </c>
      <c r="E79" s="24">
        <f>IF(AND('A-15'!F32="-",'A-15'!F80="-",'A-15'!F128="-",'A-15'!F176="-"),"-",SUM('A-15'!F32,'A-15'!F80,'A-15'!F128,'A-15'!F176))</f>
        <v>8074</v>
      </c>
      <c r="F79" s="24">
        <f>IF(AND('A-15'!G32="-",'A-15'!G80="-",'A-15'!G128="-",'A-15'!G176="-"),"-",SUM('A-15'!G32,'A-15'!G80,'A-15'!G128,'A-15'!G176))</f>
        <v>3123</v>
      </c>
      <c r="G79" s="24">
        <f>IF(AND('A-15'!H32="-",'A-15'!H80="-",'A-15'!H128="-",'A-15'!H176="-"),"-",SUM('A-15'!H32,'A-15'!H80,'A-15'!H128,'A-15'!H176))</f>
        <v>30</v>
      </c>
      <c r="H79" s="24">
        <f>IF(AND('A-15'!J32="-",'A-15'!J80="-",'A-15'!J128="-",'A-15'!J176="-"),"-",SUM('A-15'!J32,'A-15'!J80,'A-15'!J128,'A-15'!J176))</f>
        <v>39846</v>
      </c>
      <c r="J79" s="24">
        <f>IF(AND('A-15'!N32="-",'A-15'!N80="-",'A-15'!N128="-",'A-15'!N176="-"),"-",SUM('A-15'!N32,'A-15'!N80,'A-15'!N128,'A-15'!N176))</f>
        <v>1</v>
      </c>
      <c r="K79" s="24">
        <f>IF(AND('A-15'!O32="-",'A-15'!O80="-",'A-15'!O128="-",'A-15'!O176="-"),"-",SUM('A-15'!O32,'A-15'!O80,'A-15'!O128,'A-15'!O176))</f>
        <v>1</v>
      </c>
      <c r="L79" s="24">
        <f>IF(AND('A-15'!P32="-",'A-15'!P80="-",'A-15'!P128="-",'A-15'!P176="-"),"-",SUM('A-15'!P32,'A-15'!P80,'A-15'!P128,'A-15'!P176))</f>
        <v>3449</v>
      </c>
      <c r="M79" s="24">
        <f>IF(AND('A-15'!Q32="-",'A-15'!Q80="-",'A-15'!Q128="-",'A-15'!Q176="-"),"-",SUM('A-15'!Q32,'A-15'!Q80,'A-15'!Q128,'A-15'!Q176))</f>
        <v>4929</v>
      </c>
      <c r="N79" s="24">
        <f>IF(AND('A-15'!R32="-",'A-15'!R80="-",'A-15'!R128="-",'A-15'!R176="-"),"-",SUM('A-15'!R32,'A-15'!R80,'A-15'!R128,'A-15'!R176))</f>
        <v>9042</v>
      </c>
      <c r="O79" s="24">
        <f>IF(AND('A-15'!S32="-",'A-15'!S80="-",'A-15'!S128="-",'A-15'!S176="-"),"-",SUM('A-15'!S32,'A-15'!S80,'A-15'!S128,'A-15'!S176))</f>
        <v>80</v>
      </c>
      <c r="P79" s="24">
        <f>IF(AND('A-15'!U32="-",'A-15'!U80="-",'A-15'!U128="-",'A-15'!U176="-"),"-",SUM('A-15'!U32,'A-15'!U80,'A-15'!U128,'A-15'!U176))</f>
        <v>17422</v>
      </c>
    </row>
    <row r="80" spans="1:16" ht="11.25" customHeight="1">
      <c r="A80" s="99">
        <v>2003</v>
      </c>
      <c r="B80" s="24">
        <f>IF(AND('A-15'!C33="-",'A-15'!C81="-",'A-15'!C129="-",'A-15'!C177="-"),"-",SUM('A-15'!C33,'A-15'!C81,'A-15'!C129,'A-15'!C177))</f>
        <v>2856</v>
      </c>
      <c r="C80" s="24">
        <f>IF(AND('A-15'!D33="-",'A-15'!D81="-",'A-15'!D129="-",'A-15'!D177="-"),"-",SUM('A-15'!D33,'A-15'!D81,'A-15'!D129,'A-15'!D177))</f>
        <v>13039</v>
      </c>
      <c r="D80" s="24">
        <f>IF(AND('A-15'!E33="-",'A-15'!E81="-",'A-15'!E129="-",'A-15'!E177="-"),"-",SUM('A-15'!E33,'A-15'!E81,'A-15'!E129,'A-15'!E177))</f>
        <v>12935</v>
      </c>
      <c r="E80" s="24">
        <f>IF(AND('A-15'!F33="-",'A-15'!F81="-",'A-15'!F129="-",'A-15'!F177="-"),"-",SUM('A-15'!F33,'A-15'!F81,'A-15'!F129,'A-15'!F177))</f>
        <v>5232</v>
      </c>
      <c r="F80" s="24">
        <f>IF(AND('A-15'!G33="-",'A-15'!G81="-",'A-15'!G129="-",'A-15'!G177="-"),"-",SUM('A-15'!G33,'A-15'!G81,'A-15'!G129,'A-15'!G177))</f>
        <v>1110</v>
      </c>
      <c r="G80" s="24">
        <f>IF(AND('A-15'!H33="-",'A-15'!H81="-",'A-15'!H129="-",'A-15'!H177="-"),"-",SUM('A-15'!H33,'A-15'!H81,'A-15'!H129,'A-15'!H177))</f>
        <v>35</v>
      </c>
      <c r="H80" s="24">
        <f>IF(AND('A-15'!J33="-",'A-15'!J81="-",'A-15'!J129="-",'A-15'!J177="-"),"-",SUM('A-15'!J33,'A-15'!J81,'A-15'!J129,'A-15'!J177))</f>
        <v>35172</v>
      </c>
      <c r="J80" s="24">
        <f>IF(AND('A-15'!N33="-",'A-15'!N81="-",'A-15'!N129="-",'A-15'!N177="-"),"-",SUM('A-15'!N33,'A-15'!N81,'A-15'!N129,'A-15'!N177))</f>
        <v>3</v>
      </c>
      <c r="K80" s="24">
        <f>IF(AND('A-15'!O33="-",'A-15'!O81="-",'A-15'!O129="-",'A-15'!O177="-"),"-",SUM('A-15'!O33,'A-15'!O81,'A-15'!O129,'A-15'!O177))</f>
        <v>0</v>
      </c>
      <c r="L80" s="24">
        <f>IF(AND('A-15'!P33="-",'A-15'!P81="-",'A-15'!P129="-",'A-15'!P177="-"),"-",SUM('A-15'!P33,'A-15'!P81,'A-15'!P129,'A-15'!P177))</f>
        <v>4449</v>
      </c>
      <c r="M80" s="24">
        <f>IF(AND('A-15'!Q33="-",'A-15'!Q81="-",'A-15'!Q129="-",'A-15'!Q177="-"),"-",SUM('A-15'!Q33,'A-15'!Q81,'A-15'!Q129,'A-15'!Q177))</f>
        <v>4276</v>
      </c>
      <c r="N80" s="24">
        <f>IF(AND('A-15'!R33="-",'A-15'!R81="-",'A-15'!R129="-",'A-15'!R177="-"),"-",SUM('A-15'!R33,'A-15'!R81,'A-15'!R129,'A-15'!R177))</f>
        <v>2214</v>
      </c>
      <c r="O80" s="24">
        <f>IF(AND('A-15'!S33="-",'A-15'!S81="-",'A-15'!S129="-",'A-15'!S177="-"),"-",SUM('A-15'!S33,'A-15'!S81,'A-15'!S129,'A-15'!S177))</f>
        <v>85</v>
      </c>
      <c r="P80" s="24">
        <f>IF(AND('A-15'!U33="-",'A-15'!U81="-",'A-15'!U129="-",'A-15'!U177="-"),"-",SUM('A-15'!U33,'A-15'!U81,'A-15'!U129,'A-15'!U177))</f>
        <v>10942</v>
      </c>
    </row>
    <row r="81" spans="1:16" ht="11.25" customHeight="1">
      <c r="A81" s="99">
        <v>2004</v>
      </c>
      <c r="B81" s="24">
        <f>IF(AND('A-15'!C34="-",'A-15'!C82="-",'A-15'!C130="-",'A-15'!C178="-"),"-",SUM('A-15'!C34,'A-15'!C82,'A-15'!C130,'A-15'!C178))</f>
        <v>9947</v>
      </c>
      <c r="C81" s="24">
        <f>IF(AND('A-15'!D34="-",'A-15'!D82="-",'A-15'!D130="-",'A-15'!D178="-"),"-",SUM('A-15'!D34,'A-15'!D82,'A-15'!D130,'A-15'!D178))</f>
        <v>16977</v>
      </c>
      <c r="D81" s="24">
        <f>IF(AND('A-15'!E34="-",'A-15'!E82="-",'A-15'!E130="-",'A-15'!E178="-"),"-",SUM('A-15'!E34,'A-15'!E82,'A-15'!E130,'A-15'!E178))</f>
        <v>10765</v>
      </c>
      <c r="E81" s="24">
        <f>IF(AND('A-15'!F34="-",'A-15'!F82="-",'A-15'!F130="-",'A-15'!F178="-"),"-",SUM('A-15'!F34,'A-15'!F82,'A-15'!F130,'A-15'!F178))</f>
        <v>6960</v>
      </c>
      <c r="F81" s="24">
        <f>IF(AND('A-15'!G34="-",'A-15'!G82="-",'A-15'!G130="-",'A-15'!G178="-"),"-",SUM('A-15'!G34,'A-15'!G82,'A-15'!G130,'A-15'!G178))</f>
        <v>5086</v>
      </c>
      <c r="G81" s="24">
        <f>IF(AND('A-15'!H34="-",'A-15'!H82="-",'A-15'!H130="-",'A-15'!H178="-"),"-",SUM('A-15'!H34,'A-15'!H82,'A-15'!H130,'A-15'!H178))</f>
        <v>25</v>
      </c>
      <c r="H81" s="24">
        <f>IF(AND('A-15'!J34="-",'A-15'!J82="-",'A-15'!J130="-",'A-15'!J178="-"),"-",SUM('A-15'!J34,'A-15'!J82,'A-15'!J130,'A-15'!J178))</f>
        <v>49735</v>
      </c>
      <c r="J81" s="24">
        <f>IF(AND('A-15'!N34="-",'A-15'!N82="-",'A-15'!N130="-",'A-15'!N178="-"),"-",SUM('A-15'!N34,'A-15'!N82,'A-15'!N130,'A-15'!N178))</f>
        <v>3</v>
      </c>
      <c r="K81" s="24">
        <f>IF(AND('A-15'!O34="-",'A-15'!O82="-",'A-15'!O130="-",'A-15'!O178="-"),"-",SUM('A-15'!O34,'A-15'!O82,'A-15'!O130,'A-15'!O178))</f>
        <v>3</v>
      </c>
      <c r="L81" s="24">
        <f>IF(AND('A-15'!P34="-",'A-15'!P82="-",'A-15'!P130="-",'A-15'!P178="-"),"-",SUM('A-15'!P34,'A-15'!P82,'A-15'!P130,'A-15'!P178))</f>
        <v>16133</v>
      </c>
      <c r="M81" s="24">
        <f>IF(AND('A-15'!Q34="-",'A-15'!Q82="-",'A-15'!Q130="-",'A-15'!Q178="-"),"-",SUM('A-15'!Q34,'A-15'!Q82,'A-15'!Q130,'A-15'!Q178))</f>
        <v>36684</v>
      </c>
      <c r="N81" s="24">
        <f>IF(AND('A-15'!R34="-",'A-15'!R82="-",'A-15'!R130="-",'A-15'!R178="-"),"-",SUM('A-15'!R34,'A-15'!R82,'A-15'!R130,'A-15'!R178))</f>
        <v>9274</v>
      </c>
      <c r="O81" s="24">
        <f>IF(AND('A-15'!S34="-",'A-15'!S82="-",'A-15'!S130="-",'A-15'!S178="-"),"-",SUM('A-15'!S34,'A-15'!S82,'A-15'!S130,'A-15'!S178))</f>
        <v>100</v>
      </c>
      <c r="P81" s="24">
        <f>IF(AND('A-15'!U34="-",'A-15'!U82="-",'A-15'!U130="-",'A-15'!U178="-"),"-",SUM('A-15'!U34,'A-15'!U82,'A-15'!U130,'A-15'!U178))</f>
        <v>62097</v>
      </c>
    </row>
    <row r="82" spans="1:16" ht="11.25" customHeight="1">
      <c r="A82" s="99">
        <v>2005</v>
      </c>
      <c r="B82" s="24">
        <f>IF(AND('A-15'!C35="-",'A-15'!C83="-",'A-15'!C131="-",'A-15'!C179="-"),"-",SUM('A-15'!C35,'A-15'!C83,'A-15'!C131,'A-15'!C179))</f>
        <v>6858</v>
      </c>
      <c r="C82" s="24">
        <f>IF(AND('A-15'!D35="-",'A-15'!D83="-",'A-15'!D131="-",'A-15'!D179="-"),"-",SUM('A-15'!D35,'A-15'!D83,'A-15'!D131,'A-15'!D179))</f>
        <v>18374</v>
      </c>
      <c r="D82" s="24">
        <f>IF(AND('A-15'!E35="-",'A-15'!E83="-",'A-15'!E131="-",'A-15'!E179="-"),"-",SUM('A-15'!E35,'A-15'!E83,'A-15'!E131,'A-15'!E179))</f>
        <v>4971</v>
      </c>
      <c r="E82" s="24">
        <f>IF(AND('A-15'!F35="-",'A-15'!F83="-",'A-15'!F131="-",'A-15'!F179="-"),"-",SUM('A-15'!F35,'A-15'!F83,'A-15'!F131,'A-15'!F179))</f>
        <v>8100</v>
      </c>
      <c r="F82" s="24">
        <f>IF(AND('A-15'!G35="-",'A-15'!G83="-",'A-15'!G131="-",'A-15'!G179="-"),"-",SUM('A-15'!G35,'A-15'!G83,'A-15'!G131,'A-15'!G179))</f>
        <v>3672</v>
      </c>
      <c r="G82" s="24">
        <f>IF(AND('A-15'!H35="-",'A-15'!H83="-",'A-15'!H131="-",'A-15'!H179="-"),"-",SUM('A-15'!H35,'A-15'!H83,'A-15'!H131,'A-15'!H179))</f>
        <v>0</v>
      </c>
      <c r="H82" s="24">
        <f>IF(AND('A-15'!J35="-",'A-15'!J83="-",'A-15'!J131="-",'A-15'!J179="-"),"-",SUM('A-15'!J35,'A-15'!J83,'A-15'!J131,'A-15'!J179))</f>
        <v>41975</v>
      </c>
      <c r="I82" s="24"/>
      <c r="J82" s="24">
        <f>IF(AND('A-15'!N35="-",'A-15'!N83="-",'A-15'!N131="-",'A-15'!N179="-"),"-",SUM('A-15'!N35,'A-15'!N83,'A-15'!N131,'A-15'!N179))</f>
        <v>3</v>
      </c>
      <c r="K82" s="24">
        <f>IF(AND('A-15'!O35="-",'A-15'!O83="-",'A-15'!O131="-",'A-15'!O179="-"),"-",SUM('A-15'!O35,'A-15'!O83,'A-15'!O131,'A-15'!O179))</f>
        <v>1</v>
      </c>
      <c r="L82" s="24">
        <f>IF(AND('A-15'!P35="-",'A-15'!P83="-",'A-15'!P131="-",'A-15'!P179="-"),"-",SUM('A-15'!P35,'A-15'!P83,'A-15'!P131,'A-15'!P179))</f>
        <v>3756</v>
      </c>
      <c r="M82" s="24">
        <f>IF(AND('A-15'!Q35="-",'A-15'!Q83="-",'A-15'!Q131="-",'A-15'!Q179="-"),"-",SUM('A-15'!Q35,'A-15'!Q83,'A-15'!Q131,'A-15'!Q179))</f>
        <v>15949</v>
      </c>
      <c r="N82" s="24">
        <f>IF(AND('A-15'!R35="-",'A-15'!R83="-",'A-15'!R131="-",'A-15'!R179="-"),"-",SUM('A-15'!R35,'A-15'!R83,'A-15'!R131,'A-15'!R179))</f>
        <v>4288</v>
      </c>
      <c r="O82" s="24">
        <f>IF(AND('A-15'!S35="-",'A-15'!S83="-",'A-15'!S131="-",'A-15'!S179="-"),"-",SUM('A-15'!S35,'A-15'!S83,'A-15'!S131,'A-15'!S179))</f>
        <v>0</v>
      </c>
      <c r="P82" s="24">
        <f>IF(AND('A-15'!U35="-",'A-15'!U83="-",'A-15'!U131="-",'A-15'!U179="-"),"-",SUM('A-15'!U35,'A-15'!U83,'A-15'!U131,'A-15'!U179))</f>
        <v>23997</v>
      </c>
    </row>
    <row r="83" spans="1:16" ht="11.25" customHeight="1">
      <c r="A83" s="99">
        <v>2006</v>
      </c>
      <c r="B83" s="24">
        <f>IF(AND('A-15'!C36="-",'A-15'!C84="-",'A-15'!C132="-",'A-15'!C180="-"),"-",SUM('A-15'!C36,'A-15'!C84,'A-15'!C132,'A-15'!C180))</f>
        <v>2821</v>
      </c>
      <c r="C83" s="24">
        <f>IF(AND('A-15'!D36="-",'A-15'!D84="-",'A-15'!D132="-",'A-15'!D180="-"),"-",SUM('A-15'!D36,'A-15'!D84,'A-15'!D132,'A-15'!D180))</f>
        <v>8341</v>
      </c>
      <c r="D83" s="24">
        <f>IF(AND('A-15'!E36="-",'A-15'!E84="-",'A-15'!E132="-",'A-15'!E180="-"),"-",SUM('A-15'!E36,'A-15'!E84,'A-15'!E132,'A-15'!E180))</f>
        <v>7736</v>
      </c>
      <c r="E83" s="24">
        <f>IF(AND('A-15'!F36="-",'A-15'!F84="-",'A-15'!F132="-",'A-15'!F180="-"),"-",SUM('A-15'!F36,'A-15'!F84,'A-15'!F132,'A-15'!F180))</f>
        <v>6690</v>
      </c>
      <c r="F83" s="24">
        <f>IF(AND('A-15'!G36="-",'A-15'!G84="-",'A-15'!G132="-",'A-15'!G180="-"),"-",SUM('A-15'!G36,'A-15'!G84,'A-15'!G132,'A-15'!G180))</f>
        <v>4957</v>
      </c>
      <c r="G83" s="24">
        <f>IF(AND('A-15'!H36="-",'A-15'!H84="-",'A-15'!H132="-",'A-15'!H180="-"),"-",SUM('A-15'!H36,'A-15'!H84,'A-15'!H132,'A-15'!H180))</f>
        <v>15</v>
      </c>
      <c r="H83" s="24">
        <f>IF(AND('A-15'!J36="-",'A-15'!J84="-",'A-15'!J132="-",'A-15'!J180="-"),"-",SUM('A-15'!J36,'A-15'!J84,'A-15'!J132,'A-15'!J180))</f>
        <v>30545</v>
      </c>
      <c r="J83" s="24">
        <f>IF(AND('A-15'!N36="-",'A-15'!N84="-",'A-15'!N132="-",'A-15'!N180="-"),"-",SUM('A-15'!N36,'A-15'!N84,'A-15'!N132,'A-15'!N180))</f>
        <v>16</v>
      </c>
      <c r="K83" s="24">
        <f>IF(AND('A-15'!O36="-",'A-15'!O84="-",'A-15'!O132="-",'A-15'!O180="-"),"-",SUM('A-15'!O36,'A-15'!O84,'A-15'!O132,'A-15'!O180))</f>
        <v>102</v>
      </c>
      <c r="L83" s="24">
        <f>IF(AND('A-15'!P36="-",'A-15'!P84="-",'A-15'!P132="-",'A-15'!P180="-"),"-",SUM('A-15'!P36,'A-15'!P84,'A-15'!P132,'A-15'!P180))</f>
        <v>10475</v>
      </c>
      <c r="M83" s="24">
        <f>IF(AND('A-15'!Q36="-",'A-15'!Q84="-",'A-15'!Q132="-",'A-15'!Q180="-"),"-",SUM('A-15'!Q36,'A-15'!Q84,'A-15'!Q132,'A-15'!Q180))</f>
        <v>10634</v>
      </c>
      <c r="N83" s="24">
        <f>IF(AND('A-15'!R36="-",'A-15'!R84="-",'A-15'!R132="-",'A-15'!R180="-"),"-",SUM('A-15'!R36,'A-15'!R84,'A-15'!R132,'A-15'!R180))</f>
        <v>10711</v>
      </c>
      <c r="O83" s="24">
        <f>IF(AND('A-15'!S36="-",'A-15'!S84="-",'A-15'!S132="-",'A-15'!S180="-"),"-",SUM('A-15'!S36,'A-15'!S84,'A-15'!S132,'A-15'!S180))</f>
        <v>5</v>
      </c>
      <c r="P83" s="24">
        <f>IF(AND('A-15'!U36="-",'A-15'!U84="-",'A-15'!U132="-",'A-15'!U180="-"),"-",SUM('A-15'!U36,'A-15'!U84,'A-15'!U132,'A-15'!U180))</f>
        <v>31938</v>
      </c>
    </row>
    <row r="84" spans="1:16" ht="11.25" customHeight="1">
      <c r="A84" s="99">
        <v>2007</v>
      </c>
      <c r="B84" s="24">
        <f>IF(AND('A-15'!C37="-",'A-15'!C85="-",'A-15'!C133="-",'A-15'!C181="-"),"-",SUM('A-15'!C37,'A-15'!C85,'A-15'!C133,'A-15'!C181))</f>
        <v>316</v>
      </c>
      <c r="C84" s="24">
        <f>IF(AND('A-15'!D37="-",'A-15'!D85="-",'A-15'!D133="-",'A-15'!D181="-"),"-",SUM('A-15'!D37,'A-15'!D85,'A-15'!D133,'A-15'!D181))</f>
        <v>14629</v>
      </c>
      <c r="D84" s="24">
        <f>IF(AND('A-15'!E37="-",'A-15'!E85="-",'A-15'!E133="-",'A-15'!E181="-"),"-",SUM('A-15'!E37,'A-15'!E85,'A-15'!E133,'A-15'!E181))</f>
        <v>3349</v>
      </c>
      <c r="E84" s="24">
        <f>IF(AND('A-15'!F37="-",'A-15'!F85="-",'A-15'!F133="-",'A-15'!F181="-"),"-",SUM('A-15'!F37,'A-15'!F85,'A-15'!F133,'A-15'!F181))</f>
        <v>4579</v>
      </c>
      <c r="F84" s="24">
        <f>IF(AND('A-15'!G37="-",'A-15'!G85="-",'A-15'!G133="-",'A-15'!G181="-"),"-",SUM('A-15'!G37,'A-15'!G85,'A-15'!G133,'A-15'!G181))</f>
        <v>70</v>
      </c>
      <c r="G84" s="24">
        <f>IF(AND('A-15'!H37="-",'A-15'!H85="-",'A-15'!H133="-",'A-15'!H181="-"),"-",SUM('A-15'!H37,'A-15'!H85,'A-15'!H133,'A-15'!H181))</f>
        <v>0</v>
      </c>
      <c r="H84" s="24">
        <f>IF(AND('A-15'!J37="-",'A-15'!J85="-",'A-15'!J133="-",'A-15'!J181="-"),"-",SUM('A-15'!J37,'A-15'!J85,'A-15'!J133,'A-15'!J181))</f>
        <v>22943</v>
      </c>
      <c r="I84" s="24"/>
      <c r="J84" s="24">
        <f>IF(AND('A-15'!N37="-",'A-15'!N85="-",'A-15'!N133="-",'A-15'!N181="-"),"-",SUM('A-15'!N37,'A-15'!N85,'A-15'!N133,'A-15'!N181))</f>
        <v>0</v>
      </c>
      <c r="K84" s="24">
        <f>IF(AND('A-15'!O37="-",'A-15'!O85="-",'A-15'!O133="-",'A-15'!O181="-"),"-",SUM('A-15'!O37,'A-15'!O85,'A-15'!O133,'A-15'!O181))</f>
        <v>12</v>
      </c>
      <c r="L84" s="24">
        <f>IF(AND('A-15'!P37="-",'A-15'!P85="-",'A-15'!P133="-",'A-15'!P181="-"),"-",SUM('A-15'!P37,'A-15'!P85,'A-15'!P133,'A-15'!P181))</f>
        <v>22743</v>
      </c>
      <c r="M84" s="24">
        <f>IF(AND('A-15'!Q37="-",'A-15'!Q85="-",'A-15'!Q133="-",'A-15'!Q181="-"),"-",SUM('A-15'!Q37,'A-15'!Q85,'A-15'!Q133,'A-15'!Q181))</f>
        <v>16423</v>
      </c>
      <c r="N84" s="24">
        <f>IF(AND('A-15'!R37="-",'A-15'!R85="-",'A-15'!R133="-",'A-15'!R181="-"),"-",SUM('A-15'!R37,'A-15'!R85,'A-15'!R133,'A-15'!R181))</f>
        <v>860</v>
      </c>
      <c r="O84" s="24">
        <f>IF(AND('A-15'!S37="-",'A-15'!S85="-",'A-15'!S133="-",'A-15'!S181="-"),"-",SUM('A-15'!S37,'A-15'!S85,'A-15'!S133,'A-15'!S181))</f>
        <v>0</v>
      </c>
      <c r="P84" s="24">
        <f>IF(AND('A-15'!U37="-",'A-15'!U85="-",'A-15'!U133="-",'A-15'!U181="-"),"-",SUM('A-15'!U37,'A-15'!U85,'A-15'!U133,'A-15'!U181))</f>
        <v>40038</v>
      </c>
    </row>
    <row r="85" spans="1:16" ht="11.25" customHeight="1">
      <c r="A85" s="99">
        <v>2008</v>
      </c>
      <c r="B85" s="24">
        <f>IF(AND('A-15'!C38="-",'A-15'!C86="-",'A-15'!C134="-",'A-15'!C182="-"),"-",SUM('A-15'!C38,'A-15'!C86,'A-15'!C134,'A-15'!C182))</f>
        <v>358</v>
      </c>
      <c r="C85" s="24">
        <f>IF(AND('A-15'!D38="-",'A-15'!D86="-",'A-15'!D134="-",'A-15'!D182="-"),"-",SUM('A-15'!D38,'A-15'!D86,'A-15'!D134,'A-15'!D182))</f>
        <v>8864</v>
      </c>
      <c r="D85" s="24">
        <f>IF(AND('A-15'!E38="-",'A-15'!E86="-",'A-15'!E134="-",'A-15'!E182="-"),"-",SUM('A-15'!E38,'A-15'!E86,'A-15'!E134,'A-15'!E182))</f>
        <v>2099</v>
      </c>
      <c r="E85" s="24">
        <f>IF(AND('A-15'!F38="-",'A-15'!F86="-",'A-15'!F134="-",'A-15'!F182="-"),"-",SUM('A-15'!F38,'A-15'!F86,'A-15'!F134,'A-15'!F182))</f>
        <v>6007</v>
      </c>
      <c r="F85" s="24">
        <f>IF(AND('A-15'!G38="-",'A-15'!G86="-",'A-15'!G134="-",'A-15'!G182="-"),"-",SUM('A-15'!G38,'A-15'!G86,'A-15'!G134,'A-15'!G182))</f>
        <v>3579</v>
      </c>
      <c r="G85" s="24">
        <f>IF(AND('A-15'!H38="-",'A-15'!H86="-",'A-15'!H134="-",'A-15'!H182="-"),"-",SUM('A-15'!H38,'A-15'!H86,'A-15'!H134,'A-15'!H182))</f>
        <v>1</v>
      </c>
      <c r="H85" s="24">
        <f>IF(AND('A-15'!J38="-",'A-15'!J86="-",'A-15'!J134="-",'A-15'!J182="-"),"-",SUM('A-15'!J38,'A-15'!J86,'A-15'!J134,'A-15'!J182))</f>
        <v>20907</v>
      </c>
      <c r="I85" s="24"/>
      <c r="J85" s="24">
        <f>IF(AND('A-15'!N38="-",'A-15'!N86="-",'A-15'!N134="-",'A-15'!N182="-"),"-",SUM('A-15'!N38,'A-15'!N86,'A-15'!N134,'A-15'!N182))</f>
        <v>0</v>
      </c>
      <c r="K85" s="24">
        <f>IF(AND('A-15'!O38="-",'A-15'!O86="-",'A-15'!O134="-",'A-15'!O182="-"),"-",SUM('A-15'!O38,'A-15'!O86,'A-15'!O134,'A-15'!O182))</f>
        <v>18</v>
      </c>
      <c r="L85" s="24">
        <f>IF(AND('A-15'!P38="-",'A-15'!P86="-",'A-15'!P134="-",'A-15'!P182="-"),"-",SUM('A-15'!P38,'A-15'!P86,'A-15'!P134,'A-15'!P182))</f>
        <v>865</v>
      </c>
      <c r="M85" s="24">
        <f>IF(AND('A-15'!Q38="-",'A-15'!Q86="-",'A-15'!Q134="-",'A-15'!Q182="-"),"-",SUM('A-15'!Q38,'A-15'!Q86,'A-15'!Q134,'A-15'!Q182))</f>
        <v>3561</v>
      </c>
      <c r="N85" s="24">
        <f>IF(AND('A-15'!R38="-",'A-15'!R86="-",'A-15'!R134="-",'A-15'!R182="-"),"-",SUM('A-15'!R38,'A-15'!R86,'A-15'!R134,'A-15'!R182))</f>
        <v>9820</v>
      </c>
      <c r="O85" s="24">
        <f>IF(AND('A-15'!S38="-",'A-15'!S86="-",'A-15'!S134="-",'A-15'!S182="-"),"-",SUM('A-15'!S38,'A-15'!S86,'A-15'!S134,'A-15'!S182))</f>
        <v>0</v>
      </c>
      <c r="P85" s="24">
        <f>IF(AND('A-15'!U38="-",'A-15'!U86="-",'A-15'!U134="-",'A-15'!U182="-"),"-",SUM('A-15'!U38,'A-15'!U86,'A-15'!U134,'A-15'!U182))</f>
        <v>14264</v>
      </c>
    </row>
    <row r="86" spans="1:16" ht="11.25" customHeight="1">
      <c r="A86" s="99">
        <v>2009</v>
      </c>
      <c r="B86" s="24">
        <f>IF(AND('A-15'!C39="-",'A-15'!C87="-",'A-15'!C135="-",'A-15'!C183="-"),"-",SUM('A-15'!C39,'A-15'!C87,'A-15'!C135,'A-15'!C183))</f>
        <v>1491</v>
      </c>
      <c r="C86" s="24">
        <f>IF(AND('A-15'!D39="-",'A-15'!D87="-",'A-15'!D135="-",'A-15'!D183="-"),"-",SUM('A-15'!D39,'A-15'!D87,'A-15'!D135,'A-15'!D183))</f>
        <v>5828</v>
      </c>
      <c r="D86" s="24">
        <f>IF(AND('A-15'!E39="-",'A-15'!E87="-",'A-15'!E135="-",'A-15'!E183="-"),"-",SUM('A-15'!E39,'A-15'!E87,'A-15'!E135,'A-15'!E183))</f>
        <v>2329</v>
      </c>
      <c r="E86" s="24">
        <f>IF(AND('A-15'!F39="-",'A-15'!F87="-",'A-15'!F135="-",'A-15'!F183="-"),"-",SUM('A-15'!F39,'A-15'!F87,'A-15'!F135,'A-15'!F183))</f>
        <v>2566</v>
      </c>
      <c r="F86" s="24">
        <f>IF(AND('A-15'!G39="-",'A-15'!G87="-",'A-15'!G135="-",'A-15'!G183="-"),"-",SUM('A-15'!G39,'A-15'!G87,'A-15'!G135,'A-15'!G183))</f>
        <v>12</v>
      </c>
      <c r="G86" s="24">
        <f>IF(AND('A-15'!H39="-",'A-15'!H87="-",'A-15'!H135="-",'A-15'!H183="-"),"-",SUM('A-15'!H39,'A-15'!H87,'A-15'!H135,'A-15'!H183))</f>
        <v>25</v>
      </c>
      <c r="H86" s="24">
        <f>IF(AND('A-15'!J39="-",'A-15'!J87="-",'A-15'!J135="-",'A-15'!J183="-"),"-",SUM('A-15'!J39,'A-15'!J87,'A-15'!J135,'A-15'!J183))</f>
        <v>12226</v>
      </c>
      <c r="I86" s="24"/>
      <c r="J86" s="24">
        <f>IF(AND('A-15'!N39="-",'A-15'!N87="-",'A-15'!N135="-",'A-15'!N183="-"),"-",SUM('A-15'!N39,'A-15'!N87,'A-15'!N135,'A-15'!N183))</f>
        <v>0</v>
      </c>
      <c r="K86" s="24">
        <f>IF(AND('A-15'!O39="-",'A-15'!O87="-",'A-15'!O135="-",'A-15'!O183="-"),"-",SUM('A-15'!O39,'A-15'!O87,'A-15'!O135,'A-15'!O183))</f>
        <v>0</v>
      </c>
      <c r="L86" s="24">
        <f>IF(AND('A-15'!P39="-",'A-15'!P87="-",'A-15'!P135="-",'A-15'!P183="-"),"-",SUM('A-15'!P39,'A-15'!P87,'A-15'!P135,'A-15'!P183))</f>
        <v>25422</v>
      </c>
      <c r="M86" s="24">
        <f>IF(AND('A-15'!Q39="-",'A-15'!Q87="-",'A-15'!Q135="-",'A-15'!Q183="-"),"-",SUM('A-15'!Q39,'A-15'!Q87,'A-15'!Q135,'A-15'!Q183))</f>
        <v>35141</v>
      </c>
      <c r="N86" s="24">
        <f>IF(AND('A-15'!R39="-",'A-15'!R87="-",'A-15'!R135="-",'A-15'!R183="-"),"-",SUM('A-15'!R39,'A-15'!R87,'A-15'!R135,'A-15'!R183))</f>
        <v>100</v>
      </c>
      <c r="O86" s="24">
        <f>IF(AND('A-15'!S39="-",'A-15'!S87="-",'A-15'!S135="-",'A-15'!S183="-"),"-",SUM('A-15'!S39,'A-15'!S87,'A-15'!S135,'A-15'!S183))</f>
        <v>15</v>
      </c>
      <c r="P86" s="24">
        <f>IF(AND('A-15'!U39="-",'A-15'!U87="-",'A-15'!U135="-",'A-15'!U183="-"),"-",SUM('A-15'!U39,'A-15'!U87,'A-15'!U135,'A-15'!U183))</f>
        <v>60663</v>
      </c>
    </row>
    <row r="87" spans="1:16" ht="11.25" customHeight="1">
      <c r="A87" s="99">
        <v>2010</v>
      </c>
      <c r="B87" s="24">
        <f>IF(AND('A-15'!C40="-",'A-15'!C88="-",'A-15'!C136="-",'A-15'!C184="-"),"-",SUM('A-15'!C40,'A-15'!C88,'A-15'!C136,'A-15'!C184))</f>
        <v>1926</v>
      </c>
      <c r="C87" s="24">
        <f>IF(AND('A-15'!D40="-",'A-15'!D88="-",'A-15'!D136="-",'A-15'!D184="-"),"-",SUM('A-15'!D40,'A-15'!D88,'A-15'!D136,'A-15'!D184))</f>
        <v>12150</v>
      </c>
      <c r="D87" s="24">
        <f>IF(AND('A-15'!E40="-",'A-15'!E88="-",'A-15'!E136="-",'A-15'!E184="-"),"-",SUM('A-15'!E40,'A-15'!E88,'A-15'!E136,'A-15'!E184))</f>
        <v>6943</v>
      </c>
      <c r="E87" s="24">
        <f>IF(AND('A-15'!F40="-",'A-15'!F88="-",'A-15'!F136="-",'A-15'!F184="-"),"-",SUM('A-15'!F40,'A-15'!F88,'A-15'!F136,'A-15'!F184))</f>
        <v>9693</v>
      </c>
      <c r="F87" s="24">
        <f>IF(AND('A-15'!G40="-",'A-15'!G88="-",'A-15'!G136="-",'A-15'!G184="-"),"-",SUM('A-15'!G40,'A-15'!G88,'A-15'!G136,'A-15'!G184))</f>
        <v>1664</v>
      </c>
      <c r="G87" s="24">
        <f>IF(AND('A-15'!H40="-",'A-15'!H88="-",'A-15'!H136="-",'A-15'!H184="-"),"-",SUM('A-15'!H40,'A-15'!H88,'A-15'!H136,'A-15'!H184))</f>
        <v>10</v>
      </c>
      <c r="H87" s="24">
        <f>IF(AND('A-15'!J40="-",'A-15'!J88="-",'A-15'!J136="-",'A-15'!J184="-"),"-",SUM('A-15'!J40,'A-15'!J88,'A-15'!J136,'A-15'!J184))</f>
        <v>32376</v>
      </c>
      <c r="I87" s="24"/>
      <c r="J87" s="24">
        <f>IF(AND('A-15'!N40="-",'A-15'!N88="-",'A-15'!N136="-",'A-15'!N184="-"),"-",SUM('A-15'!N40,'A-15'!N88,'A-15'!N136,'A-15'!N184))</f>
        <v>2</v>
      </c>
      <c r="K87" s="24">
        <f>IF(AND('A-15'!O40="-",'A-15'!O88="-",'A-15'!O136="-",'A-15'!O184="-"),"-",SUM('A-15'!O40,'A-15'!O88,'A-15'!O136,'A-15'!O184))</f>
        <v>63</v>
      </c>
      <c r="L87" s="24">
        <f>IF(AND('A-15'!P40="-",'A-15'!P88="-",'A-15'!P136="-",'A-15'!P184="-"),"-",SUM('A-15'!P40,'A-15'!P88,'A-15'!P136,'A-15'!P184))</f>
        <v>2015</v>
      </c>
      <c r="M87" s="24">
        <f>IF(AND('A-15'!Q40="-",'A-15'!Q88="-",'A-15'!Q136="-",'A-15'!Q184="-"),"-",SUM('A-15'!Q40,'A-15'!Q88,'A-15'!Q136,'A-15'!Q184))</f>
        <v>5058</v>
      </c>
      <c r="N87" s="24">
        <f>IF(AND('A-15'!R40="-",'A-15'!R88="-",'A-15'!R136="-",'A-15'!R184="-"),"-",SUM('A-15'!R40,'A-15'!R88,'A-15'!R136,'A-15'!R184))</f>
        <v>4323</v>
      </c>
      <c r="O87" s="24">
        <f>IF(AND('A-15'!S40="-",'A-15'!S88="-",'A-15'!S136="-",'A-15'!S184="-"),"-",SUM('A-15'!S40,'A-15'!S88,'A-15'!S136,'A-15'!S184))</f>
        <v>15</v>
      </c>
      <c r="P87" s="24">
        <f>IF(AND('A-15'!U40="-",'A-15'!U88="-",'A-15'!U136="-",'A-15'!U184="-"),"-",SUM('A-15'!U40,'A-15'!U88,'A-15'!U136,'A-15'!U184))</f>
        <v>11461</v>
      </c>
    </row>
    <row r="88" spans="1:16" ht="11.25" customHeight="1">
      <c r="A88" s="99">
        <v>2011</v>
      </c>
      <c r="B88" s="24">
        <f>IF(AND('A-15'!C41="-",'A-15'!C89="-",'A-15'!C137="-",'A-15'!C185="-"),"-",SUM('A-15'!C41,'A-15'!C89,'A-15'!C137,'A-15'!C185))</f>
        <v>1120</v>
      </c>
      <c r="C88" s="24">
        <f>IF(AND('A-15'!D41="-",'A-15'!D89="-",'A-15'!D137="-",'A-15'!D185="-"),"-",SUM('A-15'!D41,'A-15'!D89,'A-15'!D137,'A-15'!D185))</f>
        <v>8817</v>
      </c>
      <c r="D88" s="24">
        <f>IF(AND('A-15'!E41="-",'A-15'!E89="-",'A-15'!E137="-",'A-15'!E185="-"),"-",SUM('A-15'!E41,'A-15'!E89,'A-15'!E137,'A-15'!E185))</f>
        <v>14761</v>
      </c>
      <c r="E88" s="24">
        <f>IF(AND('A-15'!F41="-",'A-15'!F89="-",'A-15'!F137="-",'A-15'!F185="-"),"-",SUM('A-15'!F41,'A-15'!F89,'A-15'!F137,'A-15'!F185))</f>
        <v>6708</v>
      </c>
      <c r="F88" s="24">
        <f>IF(AND('A-15'!G41="-",'A-15'!G89="-",'A-15'!G137="-",'A-15'!G185="-"),"-",SUM('A-15'!G41,'A-15'!G89,'A-15'!G137,'A-15'!G185))</f>
        <v>418</v>
      </c>
      <c r="G88" s="24">
        <f>IF(AND('A-15'!H41="-",'A-15'!H89="-",'A-15'!H137="-",'A-15'!H185="-"),"-",SUM('A-15'!H41,'A-15'!H89,'A-15'!H137,'A-15'!H185))</f>
        <v>0</v>
      </c>
      <c r="H88" s="24">
        <f>IF(AND('A-15'!J41="-",'A-15'!J89="-",'A-15'!J137="-",'A-15'!J185="-"),"-",SUM('A-15'!J41,'A-15'!J89,'A-15'!J137,'A-15'!J185))</f>
        <v>31824</v>
      </c>
      <c r="I88" s="24"/>
      <c r="J88" s="24">
        <f>IF(AND('A-15'!N41="-",'A-15'!N89="-",'A-15'!N137="-",'A-15'!N185="-"),"-",SUM('A-15'!N41,'A-15'!N89,'A-15'!N137,'A-15'!N185))</f>
        <v>0</v>
      </c>
      <c r="K88" s="24">
        <f>IF(AND('A-15'!O41="-",'A-15'!O89="-",'A-15'!O137="-",'A-15'!O185="-"),"-",SUM('A-15'!O41,'A-15'!O89,'A-15'!O137,'A-15'!O185))</f>
        <v>0</v>
      </c>
      <c r="L88" s="24">
        <f>IF(AND('A-15'!P41="-",'A-15'!P89="-",'A-15'!P137="-",'A-15'!P185="-"),"-",SUM('A-15'!P41,'A-15'!P89,'A-15'!P137,'A-15'!P185))</f>
        <v>2062</v>
      </c>
      <c r="M88" s="24">
        <f>IF(AND('A-15'!Q41="-",'A-15'!Q89="-",'A-15'!Q137="-",'A-15'!Q185="-"),"-",SUM('A-15'!Q41,'A-15'!Q89,'A-15'!Q137,'A-15'!Q185))</f>
        <v>4791</v>
      </c>
      <c r="N88" s="24">
        <f>IF(AND('A-15'!R41="-",'A-15'!R89="-",'A-15'!R137="-",'A-15'!R185="-"),"-",SUM('A-15'!R41,'A-15'!R89,'A-15'!R137,'A-15'!R185))</f>
        <v>6711</v>
      </c>
      <c r="O88" s="24">
        <f>IF(AND('A-15'!S41="-",'A-15'!S89="-",'A-15'!S137="-",'A-15'!S185="-"),"-",SUM('A-15'!S41,'A-15'!S89,'A-15'!S137,'A-15'!S185))</f>
        <v>0</v>
      </c>
      <c r="P88" s="24">
        <f>IF(AND('A-15'!U41="-",'A-15'!U89="-",'A-15'!U137="-",'A-15'!U185="-"),"-",SUM('A-15'!U41,'A-15'!U89,'A-15'!U137,'A-15'!U185))</f>
        <v>13564</v>
      </c>
    </row>
    <row r="89" spans="1:16" ht="11.25" customHeight="1">
      <c r="A89" s="99">
        <v>2012</v>
      </c>
      <c r="B89" s="24">
        <f>IF(AND('A-15'!C42="-",'A-15'!C90="-",'A-15'!C138="-",'A-15'!C186="-"),"-",SUM('A-15'!C42,'A-15'!C90,'A-15'!C138,'A-15'!C186))</f>
        <v>4465</v>
      </c>
      <c r="C89" s="24">
        <f>IF(AND('A-15'!D42="-",'A-15'!D90="-",'A-15'!D138="-",'A-15'!D186="-"),"-",SUM('A-15'!D42,'A-15'!D90,'A-15'!D138,'A-15'!D186))</f>
        <v>20696</v>
      </c>
      <c r="D89" s="24">
        <f>IF(AND('A-15'!E42="-",'A-15'!E90="-",'A-15'!E138="-",'A-15'!E186="-"),"-",SUM('A-15'!E42,'A-15'!E90,'A-15'!E138,'A-15'!E186))</f>
        <v>10144</v>
      </c>
      <c r="E89" s="24">
        <f>IF(AND('A-15'!F42="-",'A-15'!F90="-",'A-15'!F138="-",'A-15'!F186="-"),"-",SUM('A-15'!F42,'A-15'!F90,'A-15'!F138,'A-15'!F186))</f>
        <v>14650</v>
      </c>
      <c r="F89" s="24">
        <f>IF(AND('A-15'!G42="-",'A-15'!G90="-",'A-15'!G138="-",'A-15'!G186="-"),"-",SUM('A-15'!G42,'A-15'!G90,'A-15'!G138,'A-15'!G186))</f>
        <v>4834</v>
      </c>
      <c r="G89" s="24">
        <f>IF(AND('A-15'!H42="-",'A-15'!H90="-",'A-15'!H138="-",'A-15'!H186="-"),"-",SUM('A-15'!H42,'A-15'!H90,'A-15'!H138,'A-15'!H186))</f>
        <v>10</v>
      </c>
      <c r="H89" s="24">
        <f>IF(AND('A-15'!J42="-",'A-15'!J90="-",'A-15'!J138="-",'A-15'!J186="-"),"-",SUM('A-15'!J42,'A-15'!J90,'A-15'!J138,'A-15'!J186))</f>
        <v>54789</v>
      </c>
      <c r="I89" s="24"/>
      <c r="J89" s="24">
        <f>IF(AND('A-15'!N42="-",'A-15'!N90="-",'A-15'!N138="-",'A-15'!N186="-"),"-",SUM('A-15'!N42,'A-15'!N90,'A-15'!N138,'A-15'!N186))</f>
        <v>1</v>
      </c>
      <c r="K89" s="24">
        <f>IF(AND('A-15'!O42="-",'A-15'!O90="-",'A-15'!O138="-",'A-15'!O186="-"),"-",SUM('A-15'!O42,'A-15'!O90,'A-15'!O138,'A-15'!O186))</f>
        <v>101</v>
      </c>
      <c r="L89" s="24">
        <f>IF(AND('A-15'!P42="-",'A-15'!P90="-",'A-15'!P138="-",'A-15'!P186="-"),"-",SUM('A-15'!P42,'A-15'!P90,'A-15'!P138,'A-15'!P186))</f>
        <v>2769</v>
      </c>
      <c r="M89" s="24">
        <f>IF(AND('A-15'!Q42="-",'A-15'!Q90="-",'A-15'!Q138="-",'A-15'!Q186="-"),"-",SUM('A-15'!Q42,'A-15'!Q90,'A-15'!Q138,'A-15'!Q186))</f>
        <v>18790</v>
      </c>
      <c r="N89" s="24">
        <f>IF(AND('A-15'!R42="-",'A-15'!R90="-",'A-15'!R138="-",'A-15'!R186="-"),"-",SUM('A-15'!R42,'A-15'!R90,'A-15'!R138,'A-15'!R186))</f>
        <v>15869</v>
      </c>
      <c r="O89" s="24">
        <f>IF(AND('A-15'!S42="-",'A-15'!S90="-",'A-15'!S138="-",'A-15'!S186="-"),"-",SUM('A-15'!S42,'A-15'!S90,'A-15'!S138,'A-15'!S186))</f>
        <v>0</v>
      </c>
      <c r="P89" s="24">
        <f>IF(AND('A-15'!U42="-",'A-15'!U90="-",'A-15'!U138="-",'A-15'!U186="-"),"-",SUM('A-15'!U42,'A-15'!U90,'A-15'!U138,'A-15'!U186))</f>
        <v>37530</v>
      </c>
    </row>
    <row r="90" spans="1:16" ht="11.25" customHeight="1">
      <c r="A90" s="99">
        <v>2013</v>
      </c>
      <c r="B90" s="24">
        <f>IF(AND('A-15'!C43="-",'A-15'!C91="-",'A-15'!C139="-",'A-15'!C187="-"),"-",SUM('A-15'!C43,'A-15'!C91,'A-15'!C139,'A-15'!C187))</f>
        <v>11929</v>
      </c>
      <c r="C90" s="24">
        <f>IF(AND('A-15'!D43="-",'A-15'!D91="-",'A-15'!D139="-",'A-15'!D187="-"),"-",SUM('A-15'!D43,'A-15'!D91,'A-15'!D139,'A-15'!D187))</f>
        <v>19103</v>
      </c>
      <c r="D90" s="24">
        <f>IF(AND('A-15'!E43="-",'A-15'!E91="-",'A-15'!E139="-",'A-15'!E187="-"),"-",SUM('A-15'!E43,'A-15'!E91,'A-15'!E139,'A-15'!E187))</f>
        <v>9310</v>
      </c>
      <c r="E90" s="24">
        <f>IF(AND('A-15'!F43="-",'A-15'!F91="-",'A-15'!F139="-",'A-15'!F187="-"),"-",SUM('A-15'!F43,'A-15'!F91,'A-15'!F139,'A-15'!F187))</f>
        <v>7916</v>
      </c>
      <c r="F90" s="24">
        <f>IF(AND('A-15'!G43="-",'A-15'!G91="-",'A-15'!G139="-",'A-15'!G187="-"),"-",SUM('A-15'!G43,'A-15'!G91,'A-15'!G139,'A-15'!G187))</f>
        <v>2902</v>
      </c>
      <c r="G90" s="24">
        <f>IF(AND('A-15'!H43="-",'A-15'!H91="-",'A-15'!H139="-",'A-15'!H187="-"),"-",SUM('A-15'!H43,'A-15'!H91,'A-15'!H139,'A-15'!H187))</f>
        <v>0</v>
      </c>
      <c r="H90" s="24">
        <f>IF(AND('A-15'!J43="-",'A-15'!J91="-",'A-15'!J139="-",'A-15'!J187="-"),"-",SUM('A-15'!J43,'A-15'!J91,'A-15'!J139,'A-15'!J187))</f>
        <v>51160</v>
      </c>
      <c r="I90" s="24"/>
      <c r="J90" s="24">
        <f>IF(AND('A-15'!N43="-",'A-15'!N91="-",'A-15'!N139="-",'A-15'!N187="-"),"-",SUM('A-15'!N43,'A-15'!N91,'A-15'!N139,'A-15'!N187))</f>
        <v>0</v>
      </c>
      <c r="K90" s="24">
        <f>IF(AND('A-15'!O43="-",'A-15'!O91="-",'A-15'!O139="-",'A-15'!O187="-"),"-",SUM('A-15'!O43,'A-15'!O91,'A-15'!O139,'A-15'!O187))</f>
        <v>7</v>
      </c>
      <c r="L90" s="24">
        <f>IF(AND('A-15'!P43="-",'A-15'!P91="-",'A-15'!P139="-",'A-15'!P187="-"),"-",SUM('A-15'!P43,'A-15'!P91,'A-15'!P139,'A-15'!P187))</f>
        <v>7722</v>
      </c>
      <c r="M90" s="24">
        <f>IF(AND('A-15'!Q43="-",'A-15'!Q91="-",'A-15'!Q139="-",'A-15'!Q187="-"),"-",SUM('A-15'!Q43,'A-15'!Q91,'A-15'!Q139,'A-15'!Q187))</f>
        <v>36163</v>
      </c>
      <c r="N90" s="24">
        <f>IF(AND('A-15'!R43="-",'A-15'!R91="-",'A-15'!R139="-",'A-15'!R187="-"),"-",SUM('A-15'!R43,'A-15'!R91,'A-15'!R139,'A-15'!R187))</f>
        <v>4376</v>
      </c>
      <c r="O90" s="24">
        <f>IF(AND('A-15'!S43="-",'A-15'!S91="-",'A-15'!S139="-",'A-15'!S187="-"),"-",SUM('A-15'!S43,'A-15'!S91,'A-15'!S139,'A-15'!S187))</f>
        <v>0</v>
      </c>
      <c r="P90" s="24">
        <f>IF(AND('A-15'!U43="-",'A-15'!U91="-",'A-15'!U139="-",'A-15'!U187="-"),"-",SUM('A-15'!U43,'A-15'!U91,'A-15'!U139,'A-15'!U187))</f>
        <v>48268</v>
      </c>
    </row>
    <row r="91" spans="1:16" ht="11.25" customHeight="1">
      <c r="A91" s="99">
        <v>2014</v>
      </c>
      <c r="B91" s="24">
        <f>IF(AND('A-15'!C44="-",'A-15'!C92="-",'A-15'!C140="-",'A-15'!C188="-"),"-",SUM('A-15'!C44,'A-15'!C92,'A-15'!C140,'A-15'!C188))</f>
        <v>12608</v>
      </c>
      <c r="C91" s="24">
        <f>IF(AND('A-15'!D44="-",'A-15'!D92="-",'A-15'!D140="-",'A-15'!D188="-"),"-",SUM('A-15'!D44,'A-15'!D92,'A-15'!D140,'A-15'!D188))</f>
        <v>17002</v>
      </c>
      <c r="D91" s="24">
        <f>IF(AND('A-15'!E44="-",'A-15'!E92="-",'A-15'!E140="-",'A-15'!E188="-"),"-",SUM('A-15'!E44,'A-15'!E92,'A-15'!E140,'A-15'!E188))</f>
        <v>20643</v>
      </c>
      <c r="E91" s="24">
        <f>IF(AND('A-15'!F44="-",'A-15'!F92="-",'A-15'!F140="-",'A-15'!F188="-"),"-",SUM('A-15'!F44,'A-15'!F92,'A-15'!F140,'A-15'!F188))</f>
        <v>8793</v>
      </c>
      <c r="F91" s="24">
        <f>IF(AND('A-15'!G44="-",'A-15'!G92="-",'A-15'!G140="-",'A-15'!G188="-"),"-",SUM('A-15'!G44,'A-15'!G92,'A-15'!G140,'A-15'!G188))</f>
        <v>2715</v>
      </c>
      <c r="G91" s="24">
        <f>IF(AND('A-15'!H44="-",'A-15'!H92="-",'A-15'!H140="-",'A-15'!H188="-"),"-",SUM('A-15'!H44,'A-15'!H92,'A-15'!H140,'A-15'!H188))</f>
        <v>0</v>
      </c>
      <c r="H91" s="24">
        <f>IF(AND('A-15'!J44="-",'A-15'!J92="-",'A-15'!J140="-",'A-15'!J188="-"),"-",SUM('A-15'!J44,'A-15'!J92,'A-15'!J140,'A-15'!J188))</f>
        <v>61761</v>
      </c>
      <c r="I91" s="24"/>
      <c r="J91" s="24">
        <f>IF(AND('A-15'!N44="-",'A-15'!N92="-",'A-15'!N140="-",'A-15'!N188="-"),"-",SUM('A-15'!N44,'A-15'!N92,'A-15'!N140,'A-15'!N188))</f>
        <v>0</v>
      </c>
      <c r="K91" s="24">
        <f>IF(AND('A-15'!O44="-",'A-15'!O92="-",'A-15'!O140="-",'A-15'!O188="-"),"-",SUM('A-15'!O44,'A-15'!O92,'A-15'!O140,'A-15'!O188))</f>
        <v>30</v>
      </c>
      <c r="L91" s="24">
        <f>IF(AND('A-15'!P44="-",'A-15'!P92="-",'A-15'!P140="-",'A-15'!P188="-"),"-",SUM('A-15'!P44,'A-15'!P92,'A-15'!P140,'A-15'!P188))</f>
        <v>10405</v>
      </c>
      <c r="M91" s="24">
        <f>IF(AND('A-15'!Q44="-",'A-15'!Q92="-",'A-15'!Q140="-",'A-15'!Q188="-"),"-",SUM('A-15'!Q44,'A-15'!Q92,'A-15'!Q140,'A-15'!Q188))</f>
        <v>39231</v>
      </c>
      <c r="N91" s="24">
        <f>IF(AND('A-15'!R44="-",'A-15'!R92="-",'A-15'!R140="-",'A-15'!R188="-"),"-",SUM('A-15'!R44,'A-15'!R92,'A-15'!R140,'A-15'!R188))</f>
        <v>6369</v>
      </c>
      <c r="O91" s="24">
        <f>IF(AND('A-15'!S44="-",'A-15'!S92="-",'A-15'!S140="-",'A-15'!S188="-"),"-",SUM('A-15'!S44,'A-15'!S92,'A-15'!S140,'A-15'!S188))</f>
        <v>0</v>
      </c>
      <c r="P91" s="24">
        <f>IF(AND('A-15'!U44="-",'A-15'!U92="-",'A-15'!U140="-",'A-15'!U188="-"),"-",SUM('A-15'!U44,'A-15'!U92,'A-15'!U140,'A-15'!U188))</f>
        <v>56035</v>
      </c>
    </row>
    <row r="92" spans="1:16" ht="11.25" customHeight="1">
      <c r="A92" s="99">
        <v>2015</v>
      </c>
      <c r="B92" s="24">
        <f>IF(AND('A-15'!C45="-",'A-15'!C93="-",'A-15'!C141="-",'A-15'!C189="-"),"-",SUM('A-15'!C45,'A-15'!C93,'A-15'!C141,'A-15'!C189))</f>
        <v>7315</v>
      </c>
      <c r="C92" s="24">
        <f>IF(AND('A-15'!D45="-",'A-15'!D93="-",'A-15'!D141="-",'A-15'!D189="-"),"-",SUM('A-15'!D45,'A-15'!D93,'A-15'!D141,'A-15'!D189))</f>
        <v>23697</v>
      </c>
      <c r="D92" s="24">
        <f>IF(AND('A-15'!E45="-",'A-15'!E93="-",'A-15'!E141="-",'A-15'!E189="-"),"-",SUM('A-15'!E45,'A-15'!E93,'A-15'!E141,'A-15'!E189))</f>
        <v>23110</v>
      </c>
      <c r="E92" s="24">
        <f>IF(AND('A-15'!F45="-",'A-15'!F93="-",'A-15'!F141="-",'A-15'!F189="-"),"-",SUM('A-15'!F45,'A-15'!F93,'A-15'!F141,'A-15'!F189))</f>
        <v>4031</v>
      </c>
      <c r="F92" s="24">
        <f>IF(AND('A-15'!G45="-",'A-15'!G93="-",'A-15'!G141="-",'A-15'!G189="-"),"-",SUM('A-15'!G45,'A-15'!G93,'A-15'!G141,'A-15'!G189))</f>
        <v>786</v>
      </c>
      <c r="G92" s="24">
        <f>IF(AND('A-15'!H45="-",'A-15'!H93="-",'A-15'!H141="-",'A-15'!H189="-"),"-",SUM('A-15'!H45,'A-15'!H93,'A-15'!H141,'A-15'!H189))</f>
        <v>0</v>
      </c>
      <c r="H92" s="24">
        <f>IF(AND('A-15'!J45="-",'A-15'!J93="-",'A-15'!J141="-",'A-15'!J189="-"),"-",SUM('A-15'!J45,'A-15'!J93,'A-15'!J141,'A-15'!J189))</f>
        <v>58939</v>
      </c>
      <c r="I92" s="24"/>
      <c r="J92" s="24">
        <f>IF(AND('A-15'!N45="-",'A-15'!N93="-",'A-15'!N141="-",'A-15'!N189="-"),"-",SUM('A-15'!N45,'A-15'!N93,'A-15'!N141,'A-15'!N189))</f>
        <v>0</v>
      </c>
      <c r="K92" s="24">
        <f>IF(AND('A-15'!O45="-",'A-15'!O93="-",'A-15'!O141="-",'A-15'!O189="-"),"-",SUM('A-15'!O45,'A-15'!O93,'A-15'!O141,'A-15'!O189))</f>
        <v>3</v>
      </c>
      <c r="L92" s="24">
        <f>IF(AND('A-15'!P45="-",'A-15'!P93="-",'A-15'!P141="-",'A-15'!P189="-"),"-",SUM('A-15'!P45,'A-15'!P93,'A-15'!P141,'A-15'!P189))</f>
        <v>1994</v>
      </c>
      <c r="M92" s="24">
        <f>IF(AND('A-15'!Q45="-",'A-15'!Q93="-",'A-15'!Q141="-",'A-15'!Q189="-"),"-",SUM('A-15'!Q45,'A-15'!Q93,'A-15'!Q141,'A-15'!Q189))</f>
        <v>1307</v>
      </c>
      <c r="N92" s="24">
        <f>IF(AND('A-15'!R45="-",'A-15'!R93="-",'A-15'!R141="-",'A-15'!R189="-"),"-",SUM('A-15'!R45,'A-15'!R93,'A-15'!R141,'A-15'!R189))</f>
        <v>706</v>
      </c>
      <c r="O92" s="24">
        <f>IF(AND('A-15'!S45="-",'A-15'!S93="-",'A-15'!S141="-",'A-15'!S189="-"),"-",SUM('A-15'!S45,'A-15'!S93,'A-15'!S141,'A-15'!S189))</f>
        <v>0</v>
      </c>
      <c r="P92" s="24">
        <f>IF(AND('A-15'!U45="-",'A-15'!U93="-",'A-15'!U141="-",'A-15'!U189="-"),"-",SUM('A-15'!U45,'A-15'!U93,'A-15'!U141,'A-15'!U189))</f>
        <v>4010</v>
      </c>
    </row>
    <row r="93" spans="1:16" ht="11.25" customHeight="1">
      <c r="A93" s="99">
        <v>2016</v>
      </c>
      <c r="B93" s="24">
        <f>IF(AND('A-15'!C46="-",'A-15'!C94="-",'A-15'!C142="-",'A-15'!C190="-"),"-",SUM('A-15'!C46,'A-15'!C94,'A-15'!C142,'A-15'!C190))</f>
        <v>2905</v>
      </c>
      <c r="C93" s="24">
        <f>IF(AND('A-15'!D46="-",'A-15'!D94="-",'A-15'!D142="-",'A-15'!D190="-"),"-",SUM('A-15'!D46,'A-15'!D94,'A-15'!D142,'A-15'!D190))</f>
        <v>13752</v>
      </c>
      <c r="D93" s="24">
        <f>IF(AND('A-15'!E46="-",'A-15'!E94="-",'A-15'!E142="-",'A-15'!E190="-"),"-",SUM('A-15'!E46,'A-15'!E94,'A-15'!E142,'A-15'!E190))</f>
        <v>5129</v>
      </c>
      <c r="E93" s="24">
        <f>IF(AND('A-15'!F46="-",'A-15'!F94="-",'A-15'!F142="-",'A-15'!F190="-"),"-",SUM('A-15'!F46,'A-15'!F94,'A-15'!F142,'A-15'!F190))</f>
        <v>1310</v>
      </c>
      <c r="F93" s="24">
        <f>IF(AND('A-15'!G46="-",'A-15'!G94="-",'A-15'!G142="-",'A-15'!G190="-"),"-",SUM('A-15'!G46,'A-15'!G94,'A-15'!G142,'A-15'!G190))</f>
        <v>5</v>
      </c>
      <c r="G93" s="24">
        <f>IF(AND('A-15'!H46="-",'A-15'!H94="-",'A-15'!H142="-",'A-15'!H190="-"),"-",SUM('A-15'!H46,'A-15'!H94,'A-15'!H142,'A-15'!H190))</f>
        <v>0</v>
      </c>
      <c r="H93" s="24">
        <f>IF(AND('A-15'!J46="-",'A-15'!J94="-",'A-15'!J142="-",'A-15'!J190="-"),"-",SUM('A-15'!J46,'A-15'!J94,'A-15'!J142,'A-15'!J190))</f>
        <v>23101</v>
      </c>
      <c r="I93" s="24"/>
      <c r="J93" s="24">
        <f>IF(AND('A-15'!N46="-",'A-15'!N94="-",'A-15'!N142="-",'A-15'!N190="-"),"-",SUM('A-15'!N46,'A-15'!N94,'A-15'!N142,'A-15'!N190))</f>
        <v>0</v>
      </c>
      <c r="K93" s="24">
        <f>IF(AND('A-15'!O46="-",'A-15'!O94="-",'A-15'!O142="-",'A-15'!O190="-"),"-",SUM('A-15'!O46,'A-15'!O94,'A-15'!O142,'A-15'!O190))</f>
        <v>0</v>
      </c>
      <c r="L93" s="24">
        <f>IF(AND('A-15'!P46="-",'A-15'!P94="-",'A-15'!P142="-",'A-15'!P190="-"),"-",SUM('A-15'!P46,'A-15'!P94,'A-15'!P142,'A-15'!P190))</f>
        <v>29</v>
      </c>
      <c r="M93" s="24">
        <f>IF(AND('A-15'!Q46="-",'A-15'!Q94="-",'A-15'!Q142="-",'A-15'!Q190="-"),"-",SUM('A-15'!Q46,'A-15'!Q94,'A-15'!Q142,'A-15'!Q190))</f>
        <v>15</v>
      </c>
      <c r="N93" s="24">
        <f>IF(AND('A-15'!R46="-",'A-15'!R94="-",'A-15'!R142="-",'A-15'!R190="-"),"-",SUM('A-15'!R46,'A-15'!R94,'A-15'!R142,'A-15'!R190))</f>
        <v>0</v>
      </c>
      <c r="O93" s="24">
        <f>IF(AND('A-15'!S46="-",'A-15'!S94="-",'A-15'!S142="-",'A-15'!S190="-"),"-",SUM('A-15'!S46,'A-15'!S94,'A-15'!S142,'A-15'!S190))</f>
        <v>1</v>
      </c>
      <c r="P93" s="24">
        <f>IF(AND('A-15'!U46="-",'A-15'!U94="-",'A-15'!U142="-",'A-15'!U190="-"),"-",SUM('A-15'!U46,'A-15'!U94,'A-15'!U142,'A-15'!U190))</f>
        <v>44</v>
      </c>
    </row>
    <row r="94" spans="1:16" ht="11.25" customHeight="1">
      <c r="A94" s="99">
        <v>2017</v>
      </c>
      <c r="B94" s="24">
        <f>IF(AND('A-15'!C47="-",'A-15'!C95="-",'A-15'!C143="-",'A-15'!C191="-"),"-",SUM('A-15'!C47,'A-15'!C95,'A-15'!C143,'A-15'!C191))</f>
        <v>1253</v>
      </c>
      <c r="C94" s="24">
        <f>IF(AND('A-15'!D47="-",'A-15'!D95="-",'A-15'!D143="-",'A-15'!D191="-"),"-",SUM('A-15'!D47,'A-15'!D95,'A-15'!D143,'A-15'!D191))</f>
        <v>2039</v>
      </c>
      <c r="D94" s="24">
        <f>IF(AND('A-15'!E47="-",'A-15'!E95="-",'A-15'!E143="-",'A-15'!E191="-"),"-",SUM('A-15'!E47,'A-15'!E95,'A-15'!E143,'A-15'!E191))</f>
        <v>15772</v>
      </c>
      <c r="E94" s="24">
        <f>IF(AND('A-15'!F47="-",'A-15'!F95="-",'A-15'!F143="-",'A-15'!F191="-"),"-",SUM('A-15'!F47,'A-15'!F95,'A-15'!F143,'A-15'!F191))</f>
        <v>4605</v>
      </c>
      <c r="F94" s="24">
        <f>IF(AND('A-15'!G47="-",'A-15'!G95="-",'A-15'!G143="-",'A-15'!G191="-"),"-",SUM('A-15'!G47,'A-15'!G95,'A-15'!G143,'A-15'!G191))</f>
        <v>745</v>
      </c>
      <c r="G94" s="24">
        <f>IF(AND('A-15'!H47="-",'A-15'!H95="-",'A-15'!H143="-",'A-15'!H191="-"),"-",SUM('A-15'!H47,'A-15'!H95,'A-15'!H143,'A-15'!H191))</f>
        <v>0</v>
      </c>
      <c r="H94" s="24">
        <f>IF(AND('A-15'!J47="-",'A-15'!J95="-",'A-15'!J143="-",'A-15'!J191="-"),"-",SUM('A-15'!J47,'A-15'!J95,'A-15'!J143,'A-15'!J191))</f>
        <v>24414</v>
      </c>
      <c r="I94" s="24"/>
      <c r="J94" s="24">
        <f>IF(AND('A-15'!N47="-",'A-15'!N95="-",'A-15'!N143="-",'A-15'!N191="-"),"-",SUM('A-15'!N47,'A-15'!N95,'A-15'!N143,'A-15'!N191))</f>
        <v>0</v>
      </c>
      <c r="K94" s="24">
        <f>IF(AND('A-15'!O47="-",'A-15'!O95="-",'A-15'!O143="-",'A-15'!O191="-"),"-",SUM('A-15'!O47,'A-15'!O95,'A-15'!O143,'A-15'!O191))</f>
        <v>0</v>
      </c>
      <c r="L94" s="24">
        <f>IF(AND('A-15'!P47="-",'A-15'!P95="-",'A-15'!P143="-",'A-15'!P191="-"),"-",SUM('A-15'!P47,'A-15'!P95,'A-15'!P143,'A-15'!P191))</f>
        <v>1003</v>
      </c>
      <c r="M94" s="24">
        <f>IF(AND('A-15'!Q47="-",'A-15'!Q95="-",'A-15'!Q143="-",'A-15'!Q191="-"),"-",SUM('A-15'!Q47,'A-15'!Q95,'A-15'!Q143,'A-15'!Q191))</f>
        <v>7150</v>
      </c>
      <c r="N94" s="24">
        <f>IF(AND('A-15'!R47="-",'A-15'!R95="-",'A-15'!R143="-",'A-15'!R191="-"),"-",SUM('A-15'!R47,'A-15'!R95,'A-15'!R143,'A-15'!R191))</f>
        <v>5197</v>
      </c>
      <c r="O94" s="24">
        <f>IF(AND('A-15'!S47="-",'A-15'!S95="-",'A-15'!S143="-",'A-15'!S191="-"),"-",SUM('A-15'!S47,'A-15'!S95,'A-15'!S143,'A-15'!S191))</f>
        <v>0</v>
      </c>
      <c r="P94" s="24">
        <f>IF(AND('A-15'!U47="-",'A-15'!U95="-",'A-15'!U143="-",'A-15'!U191="-"),"-",SUM('A-15'!U47,'A-15'!U95,'A-15'!U143,'A-15'!U191))</f>
        <v>13350</v>
      </c>
    </row>
    <row r="95" spans="1:16" ht="11.25" customHeight="1">
      <c r="A95" s="122">
        <v>2018</v>
      </c>
      <c r="B95" s="24">
        <f>IF(AND('A-15'!C48="-",'A-15'!C96="-",'A-15'!C144="-",'A-15'!C192="-"),"-",SUM('A-15'!C48,'A-15'!C96,'A-15'!C144,'A-15'!C192))</f>
        <v>1319</v>
      </c>
      <c r="C95" s="24">
        <f>IF(AND('A-15'!D48="-",'A-15'!D96="-",'A-15'!D144="-",'A-15'!D192="-"),"-",SUM('A-15'!D48,'A-15'!D96,'A-15'!D144,'A-15'!D192))</f>
        <v>11756</v>
      </c>
      <c r="D95" s="24">
        <f>IF(AND('A-15'!E48="-",'A-15'!E96="-",'A-15'!E144="-",'A-15'!E192="-"),"-",SUM('A-15'!E48,'A-15'!E96,'A-15'!E144,'A-15'!E192))</f>
        <v>8486</v>
      </c>
      <c r="E95" s="24">
        <f>IF(AND('A-15'!F48="-",'A-15'!F96="-",'A-15'!F144="-",'A-15'!F192="-"),"-",SUM('A-15'!F48,'A-15'!F96,'A-15'!F144,'A-15'!F192))</f>
        <v>1883</v>
      </c>
      <c r="F95" s="24">
        <f>IF(AND('A-15'!G48="-",'A-15'!G96="-",'A-15'!G144="-",'A-15'!G192="-"),"-",SUM('A-15'!G48,'A-15'!G96,'A-15'!G144,'A-15'!G192))</f>
        <v>459</v>
      </c>
      <c r="G95" s="24">
        <f>IF(AND('A-15'!H48="-",'A-15'!H96="-",'A-15'!H144="-",'A-15'!H192="-"),"-",SUM('A-15'!H48,'A-15'!H96,'A-15'!H144,'A-15'!H192))</f>
        <v>0</v>
      </c>
      <c r="H95" s="24">
        <f>IF(AND('A-15'!J48="-",'A-15'!J96="-",'A-15'!J144="-",'A-15'!J192="-"),"-",SUM('A-15'!J48,'A-15'!J96,'A-15'!J144,'A-15'!J192))</f>
        <v>23903</v>
      </c>
      <c r="J95" s="24">
        <f>IF(AND('A-15'!N48="-",'A-15'!N96="-",'A-15'!N144="-",'A-15'!N192="-"),"-",SUM('A-15'!N48,'A-15'!N96,'A-15'!N144,'A-15'!N192))</f>
        <v>0</v>
      </c>
      <c r="K95" s="24">
        <f>IF(AND('A-15'!O48="-",'A-15'!O96="-",'A-15'!O144="-",'A-15'!O192="-"),"-",SUM('A-15'!O48,'A-15'!O96,'A-15'!O144,'A-15'!O192))</f>
        <v>15</v>
      </c>
      <c r="L95" s="24">
        <f>IF(AND('A-15'!P48="-",'A-15'!P96="-",'A-15'!P144="-",'A-15'!P192="-"),"-",SUM('A-15'!P48,'A-15'!P96,'A-15'!P144,'A-15'!P192))</f>
        <v>1751</v>
      </c>
      <c r="M95" s="24">
        <f>IF(AND('A-15'!Q48="-",'A-15'!Q96="-",'A-15'!Q144="-",'A-15'!Q192="-"),"-",SUM('A-15'!Q48,'A-15'!Q96,'A-15'!Q144,'A-15'!Q192))</f>
        <v>5512</v>
      </c>
      <c r="N95" s="24">
        <f>IF(AND('A-15'!R48="-",'A-15'!R96="-",'A-15'!R144="-",'A-15'!R192="-"),"-",SUM('A-15'!R48,'A-15'!R96,'A-15'!R144,'A-15'!R192))</f>
        <v>4524</v>
      </c>
      <c r="O95" s="24">
        <f>IF(AND('A-15'!S48="-",'A-15'!S96="-",'A-15'!S144="-",'A-15'!S192="-"),"-",SUM('A-15'!S48,'A-15'!S96,'A-15'!S144,'A-15'!S192))</f>
        <v>0</v>
      </c>
      <c r="P95" s="24">
        <f>IF(AND('A-15'!U48="-",'A-15'!U96="-",'A-15'!U144="-",'A-15'!U192="-"),"-",SUM('A-15'!U48,'A-15'!U96,'A-15'!U144,'A-15'!U192))</f>
        <v>11802</v>
      </c>
    </row>
    <row r="96" spans="1:16" ht="11.25" customHeight="1">
      <c r="A96" s="122">
        <v>2019</v>
      </c>
      <c r="B96" s="24">
        <f>IF(AND('A-15'!C49="-",'A-15'!C97="-",'A-15'!C145="-",'A-15'!C193="-"),"-",SUM('A-15'!C49,'A-15'!C97,'A-15'!C145,'A-15'!C193))</f>
        <v>809</v>
      </c>
      <c r="C96" s="24">
        <f>IF(AND('A-15'!D49="-",'A-15'!D97="-",'A-15'!D145="-",'A-15'!D193="-"),"-",SUM('A-15'!D49,'A-15'!D97,'A-15'!D145,'A-15'!D193))</f>
        <v>2110</v>
      </c>
      <c r="D96" s="24">
        <f>IF(AND('A-15'!E49="-",'A-15'!E97="-",'A-15'!E145="-",'A-15'!E193="-"),"-",SUM('A-15'!E49,'A-15'!E97,'A-15'!E145,'A-15'!E193))</f>
        <v>12314</v>
      </c>
      <c r="E96" s="24">
        <f>IF(AND('A-15'!F49="-",'A-15'!F97="-",'A-15'!F145="-",'A-15'!F193="-"),"-",SUM('A-15'!F49,'A-15'!F97,'A-15'!F145,'A-15'!F193))</f>
        <v>2789</v>
      </c>
      <c r="F96" s="24">
        <f>IF(AND('A-15'!G49="-",'A-15'!G97="-",'A-15'!G145="-",'A-15'!G193="-"),"-",SUM('A-15'!G49,'A-15'!G97,'A-15'!G145,'A-15'!G193))</f>
        <v>299</v>
      </c>
      <c r="G96" s="24">
        <f>IF(AND('A-15'!H49="-",'A-15'!H97="-",'A-15'!H145="-",'A-15'!H193="-"),"-",SUM('A-15'!H49,'A-15'!H97,'A-15'!H145,'A-15'!H193))</f>
        <v>0</v>
      </c>
      <c r="H96" s="24">
        <f>IF(AND('A-15'!J49="-",'A-15'!J97="-",'A-15'!J145="-",'A-15'!J193="-"),"-",SUM('A-15'!J49,'A-15'!J97,'A-15'!J145,'A-15'!J193))</f>
        <v>18321</v>
      </c>
      <c r="J96" s="24">
        <f>IF(AND('A-15'!N49="-",'A-15'!N97="-",'A-15'!N145="-",'A-15'!N193="-"),"-",SUM('A-15'!N49,'A-15'!N97,'A-15'!N145,'A-15'!N193))</f>
        <v>0</v>
      </c>
      <c r="K96" s="24">
        <f>IF(AND('A-15'!O49="-",'A-15'!O97="-",'A-15'!O145="-",'A-15'!O193="-"),"-",SUM('A-15'!O49,'A-15'!O97,'A-15'!O145,'A-15'!O193))</f>
        <v>0</v>
      </c>
      <c r="L96" s="24">
        <f>IF(AND('A-15'!P49="-",'A-15'!P97="-",'A-15'!P145="-",'A-15'!P193="-"),"-",SUM('A-15'!P49,'A-15'!P97,'A-15'!P145,'A-15'!P193))</f>
        <v>14414</v>
      </c>
      <c r="M96" s="24">
        <f>IF(AND('A-15'!Q49="-",'A-15'!Q97="-",'A-15'!Q145="-",'A-15'!Q193="-"),"-",SUM('A-15'!Q49,'A-15'!Q97,'A-15'!Q145,'A-15'!Q193))</f>
        <v>33818</v>
      </c>
      <c r="N96" s="24">
        <f>IF(AND('A-15'!R49="-",'A-15'!R97="-",'A-15'!R145="-",'A-15'!R193="-"),"-",SUM('A-15'!R49,'A-15'!R97,'A-15'!R145,'A-15'!R193))</f>
        <v>7273</v>
      </c>
      <c r="O96" s="24">
        <f>IF(AND('A-15'!S49="-",'A-15'!S97="-",'A-15'!S145="-",'A-15'!S193="-"),"-",SUM('A-15'!S49,'A-15'!S97,'A-15'!S145,'A-15'!S193))</f>
        <v>0</v>
      </c>
      <c r="P96" s="24">
        <f>IF(AND('A-15'!U49="-",'A-15'!U97="-",'A-15'!U145="-",'A-15'!U193="-"),"-",SUM('A-15'!U49,'A-15'!U97,'A-15'!U145,'A-15'!U193))</f>
        <v>55505</v>
      </c>
    </row>
    <row r="97" spans="1:16" ht="11.25" customHeight="1">
      <c r="A97" s="122">
        <v>2020</v>
      </c>
      <c r="B97" s="24">
        <f>IF(AND('A-15'!C50="-",'A-15'!C98="-",'A-15'!C146="-",'A-15'!C194="-"),"-",SUM('A-15'!C50,'A-15'!C98,'A-15'!C146,'A-15'!C194))</f>
        <v>8</v>
      </c>
      <c r="C97" s="24">
        <f>IF(AND('A-15'!D50="-",'A-15'!D98="-",'A-15'!D146="-",'A-15'!D194="-"),"-",SUM('A-15'!D50,'A-15'!D98,'A-15'!D146,'A-15'!D194))</f>
        <v>23</v>
      </c>
      <c r="D97" s="24">
        <f>IF(AND('A-15'!E50="-",'A-15'!E98="-",'A-15'!E146="-",'A-15'!E194="-"),"-",SUM('A-15'!E50,'A-15'!E98,'A-15'!E146,'A-15'!E194))</f>
        <v>622</v>
      </c>
      <c r="E97" s="24">
        <f>IF(AND('A-15'!F50="-",'A-15'!F98="-",'A-15'!F146="-",'A-15'!F194="-"),"-",SUM('A-15'!F50,'A-15'!F98,'A-15'!F146,'A-15'!F194))</f>
        <v>1718</v>
      </c>
      <c r="F97" s="24">
        <f>IF(AND('A-15'!G50="-",'A-15'!G98="-",'A-15'!G146="-",'A-15'!G194="-"),"-",SUM('A-15'!G50,'A-15'!G98,'A-15'!G146,'A-15'!G194))</f>
        <v>66</v>
      </c>
      <c r="G97" s="24">
        <f>IF(AND('A-15'!H50="-",'A-15'!H98="-",'A-15'!H146="-",'A-15'!H194="-"),"-",SUM('A-15'!H50,'A-15'!H98,'A-15'!H146,'A-15'!H194))</f>
        <v>0</v>
      </c>
      <c r="H97" s="24">
        <f>IF(AND('A-15'!J50="-",'A-15'!J98="-",'A-15'!J146="-",'A-15'!J194="-"),"-",SUM('A-15'!J50,'A-15'!J98,'A-15'!J146,'A-15'!J194))</f>
        <v>2437</v>
      </c>
      <c r="J97" s="24">
        <f>IF(AND('A-15'!N50="-",'A-15'!N98="-",'A-15'!N146="-",'A-15'!N194="-"),"-",SUM('A-15'!N50,'A-15'!N98,'A-15'!N146,'A-15'!N194))</f>
        <v>0</v>
      </c>
      <c r="K97" s="24">
        <f>IF(AND('A-15'!O50="-",'A-15'!O98="-",'A-15'!O146="-",'A-15'!O194="-"),"-",SUM('A-15'!O50,'A-15'!O98,'A-15'!O146,'A-15'!O194))</f>
        <v>0</v>
      </c>
      <c r="L97" s="24">
        <f>IF(AND('A-15'!P50="-",'A-15'!P98="-",'A-15'!P146="-",'A-15'!P194="-"),"-",SUM('A-15'!P50,'A-15'!P98,'A-15'!P146,'A-15'!P194))</f>
        <v>587</v>
      </c>
      <c r="M97" s="24">
        <f>IF(AND('A-15'!Q50="-",'A-15'!Q98="-",'A-15'!Q146="-",'A-15'!Q194="-"),"-",SUM('A-15'!Q50,'A-15'!Q98,'A-15'!Q146,'A-15'!Q194))</f>
        <v>10864</v>
      </c>
      <c r="N97" s="24">
        <f>IF(AND('A-15'!R50="-",'A-15'!R98="-",'A-15'!R146="-",'A-15'!R194="-"),"-",SUM('A-15'!R50,'A-15'!R98,'A-15'!R146,'A-15'!R194))</f>
        <v>2940</v>
      </c>
      <c r="O97" s="24">
        <f>IF(AND('A-15'!S50="-",'A-15'!S98="-",'A-15'!S146="-",'A-15'!S194="-"),"-",SUM('A-15'!S50,'A-15'!S98,'A-15'!S146,'A-15'!S194))</f>
        <v>0</v>
      </c>
      <c r="P97" s="24">
        <f>IF(AND('A-15'!U50="-",'A-15'!U98="-",'A-15'!U146="-",'A-15'!U194="-"),"-",SUM('A-15'!U50,'A-15'!U98,'A-15'!U146,'A-15'!U194))</f>
        <v>14391</v>
      </c>
    </row>
    <row r="98" spans="1:16" ht="11.25" customHeight="1">
      <c r="A98" s="122" t="s">
        <v>317</v>
      </c>
      <c r="B98" s="24">
        <f>IF(AND('A-15'!C51="-",'A-15'!C99="-",'A-15'!C147="-",'A-15'!C195="-"),"-",SUM('A-15'!C51,'A-15'!C99,'A-15'!C147,'A-15'!C195))</f>
        <v>421</v>
      </c>
      <c r="C98" s="24">
        <f>IF(AND('A-15'!D51="-",'A-15'!D99="-",'A-15'!D147="-",'A-15'!D195="-"),"-",SUM('A-15'!D51,'A-15'!D99,'A-15'!D147,'A-15'!D195))</f>
        <v>2144</v>
      </c>
      <c r="D98" s="24">
        <f>IF(AND('A-15'!E51="-",'A-15'!E99="-",'A-15'!E147="-",'A-15'!E195="-"),"-",SUM('A-15'!E51,'A-15'!E99,'A-15'!E147,'A-15'!E195))</f>
        <v>3761</v>
      </c>
      <c r="E98" s="24">
        <f>IF(AND('A-15'!F51="-",'A-15'!F99="-",'A-15'!F147="-",'A-15'!F195="-"),"-",SUM('A-15'!F51,'A-15'!F99,'A-15'!F147,'A-15'!F195))</f>
        <v>1668</v>
      </c>
      <c r="F98" s="24">
        <f>IF(AND('A-15'!G51="-",'A-15'!G99="-",'A-15'!G147="-",'A-15'!G195="-"),"-",SUM('A-15'!G51,'A-15'!G99,'A-15'!G147,'A-15'!G195))</f>
        <v>233</v>
      </c>
      <c r="G98" s="24">
        <f>IF(AND('A-15'!H51="-",'A-15'!H99="-",'A-15'!H147="-",'A-15'!H195="-"),"-",SUM('A-15'!H51,'A-15'!H99,'A-15'!H147,'A-15'!H195))</f>
        <v>0</v>
      </c>
      <c r="H98" s="24">
        <f>IF(AND('A-15'!J51="-",'A-15'!J99="-",'A-15'!J147="-",'A-15'!J195="-"),"-",SUM('A-15'!J51,'A-15'!J99,'A-15'!J147,'A-15'!J195))</f>
        <v>8227</v>
      </c>
      <c r="J98" s="24">
        <f>IF(AND('A-15'!N51="-",'A-15'!N99="-",'A-15'!N147="-",'A-15'!N195="-"),"-",SUM('A-15'!N51,'A-15'!N99,'A-15'!N147,'A-15'!N195))</f>
        <v>0</v>
      </c>
      <c r="K98" s="24">
        <f>IF(AND('A-15'!O51="-",'A-15'!O99="-",'A-15'!O147="-",'A-15'!O195="-"),"-",SUM('A-15'!O51,'A-15'!O99,'A-15'!O147,'A-15'!O195))</f>
        <v>0</v>
      </c>
      <c r="L98" s="24">
        <f>IF(AND('A-15'!P51="-",'A-15'!P99="-",'A-15'!P147="-",'A-15'!P195="-"),"-",SUM('A-15'!P51,'A-15'!P99,'A-15'!P147,'A-15'!P195))</f>
        <v>1039</v>
      </c>
      <c r="M98" s="24">
        <f>IF(AND('A-15'!Q51="-",'A-15'!Q99="-",'A-15'!Q147="-",'A-15'!Q195="-"),"-",SUM('A-15'!Q51,'A-15'!Q99,'A-15'!Q147,'A-15'!Q195))</f>
        <v>14995</v>
      </c>
      <c r="N98" s="24">
        <f>IF(AND('A-15'!R51="-",'A-15'!R99="-",'A-15'!R147="-",'A-15'!R195="-"),"-",SUM('A-15'!R51,'A-15'!R99,'A-15'!R147,'A-15'!R195))</f>
        <v>10377</v>
      </c>
      <c r="O98" s="24">
        <f>IF(AND('A-15'!S51="-",'A-15'!S99="-",'A-15'!S147="-",'A-15'!S195="-"),"-",SUM('A-15'!S51,'A-15'!S99,'A-15'!S147,'A-15'!S195))</f>
        <v>0</v>
      </c>
      <c r="P98" s="24">
        <f>IF(AND('A-15'!U51="-",'A-15'!U99="-",'A-15'!U147="-",'A-15'!U195="-"),"-",SUM('A-15'!U51,'A-15'!U99,'A-15'!U147,'A-15'!U195))</f>
        <v>26411</v>
      </c>
    </row>
    <row r="99" spans="1:16" ht="11.25" customHeight="1"/>
    <row r="100" spans="1:16" ht="11.25" customHeight="1">
      <c r="A100" s="97" t="s">
        <v>230</v>
      </c>
      <c r="B100" s="120"/>
      <c r="C100" s="120"/>
      <c r="D100" s="120"/>
      <c r="E100" s="120"/>
    </row>
    <row r="101" spans="1:16" ht="11.25" customHeight="1">
      <c r="A101" s="99">
        <v>1976</v>
      </c>
      <c r="B101" s="24">
        <f t="shared" ref="B101:H110" si="0">IF(AND(B53="-",B5="-"),"-",SUM(B53,B5))</f>
        <v>57811</v>
      </c>
      <c r="C101" s="24">
        <f t="shared" si="0"/>
        <v>79222</v>
      </c>
      <c r="D101" s="24">
        <f t="shared" si="0"/>
        <v>85435</v>
      </c>
      <c r="E101" s="24">
        <f t="shared" si="0"/>
        <v>54605</v>
      </c>
      <c r="F101" s="24">
        <f t="shared" si="0"/>
        <v>19767</v>
      </c>
      <c r="G101" s="24">
        <f t="shared" si="0"/>
        <v>1</v>
      </c>
      <c r="H101" s="24">
        <f t="shared" si="0"/>
        <v>296840</v>
      </c>
      <c r="J101" s="24">
        <f t="shared" ref="J101:P110" si="1">IF(AND(J53="-",J5="-"),"-",SUM(J53,J5))</f>
        <v>0</v>
      </c>
      <c r="K101" s="24">
        <f t="shared" si="1"/>
        <v>136322</v>
      </c>
      <c r="L101" s="24">
        <f t="shared" si="1"/>
        <v>503605</v>
      </c>
      <c r="M101" s="24">
        <f t="shared" si="1"/>
        <v>260358</v>
      </c>
      <c r="N101" s="24">
        <f t="shared" si="1"/>
        <v>128146</v>
      </c>
      <c r="O101" s="24">
        <f t="shared" si="1"/>
        <v>16</v>
      </c>
      <c r="P101" s="24">
        <f t="shared" si="1"/>
        <v>1028431</v>
      </c>
    </row>
    <row r="102" spans="1:16" ht="11.25" customHeight="1">
      <c r="A102" s="99">
        <v>1977</v>
      </c>
      <c r="B102" s="24">
        <f t="shared" si="0"/>
        <v>48398</v>
      </c>
      <c r="C102" s="24">
        <f t="shared" si="0"/>
        <v>27293</v>
      </c>
      <c r="D102" s="24">
        <f t="shared" si="0"/>
        <v>57204</v>
      </c>
      <c r="E102" s="24">
        <f t="shared" si="0"/>
        <v>30385</v>
      </c>
      <c r="F102" s="24">
        <f t="shared" si="0"/>
        <v>18857</v>
      </c>
      <c r="G102" s="24">
        <f t="shared" si="0"/>
        <v>8</v>
      </c>
      <c r="H102" s="24">
        <f t="shared" si="0"/>
        <v>182137</v>
      </c>
      <c r="J102" s="24">
        <f t="shared" si="1"/>
        <v>258</v>
      </c>
      <c r="K102" s="24">
        <f t="shared" si="1"/>
        <v>3440</v>
      </c>
      <c r="L102" s="24">
        <f t="shared" si="1"/>
        <v>307711</v>
      </c>
      <c r="M102" s="24">
        <f t="shared" si="1"/>
        <v>169188</v>
      </c>
      <c r="N102" s="24">
        <f t="shared" si="1"/>
        <v>83162</v>
      </c>
      <c r="O102" s="24">
        <f t="shared" si="1"/>
        <v>4</v>
      </c>
      <c r="P102" s="24">
        <f t="shared" si="1"/>
        <v>563759</v>
      </c>
    </row>
    <row r="103" spans="1:16" ht="11.25" customHeight="1">
      <c r="A103" s="99">
        <v>1978</v>
      </c>
      <c r="B103" s="24">
        <f t="shared" si="0"/>
        <v>24824</v>
      </c>
      <c r="C103" s="24">
        <f t="shared" si="0"/>
        <v>23050</v>
      </c>
      <c r="D103" s="24">
        <f t="shared" si="0"/>
        <v>43260</v>
      </c>
      <c r="E103" s="24">
        <f t="shared" si="0"/>
        <v>25226</v>
      </c>
      <c r="F103" s="24">
        <f t="shared" si="0"/>
        <v>8582</v>
      </c>
      <c r="G103" s="24">
        <f t="shared" si="0"/>
        <v>26</v>
      </c>
      <c r="H103" s="24">
        <f t="shared" si="0"/>
        <v>124942</v>
      </c>
      <c r="J103" s="24">
        <f t="shared" si="1"/>
        <v>231</v>
      </c>
      <c r="K103" s="24">
        <f t="shared" si="1"/>
        <v>3405</v>
      </c>
      <c r="L103" s="24">
        <f t="shared" si="1"/>
        <v>258028</v>
      </c>
      <c r="M103" s="24">
        <f t="shared" si="1"/>
        <v>100824</v>
      </c>
      <c r="N103" s="24">
        <f t="shared" si="1"/>
        <v>98361</v>
      </c>
      <c r="O103" s="24">
        <f t="shared" si="1"/>
        <v>8</v>
      </c>
      <c r="P103" s="24">
        <f t="shared" si="1"/>
        <v>460849</v>
      </c>
    </row>
    <row r="104" spans="1:16" ht="11.25" customHeight="1">
      <c r="A104" s="99">
        <v>1979</v>
      </c>
      <c r="B104" s="24">
        <f t="shared" si="0"/>
        <v>44177</v>
      </c>
      <c r="C104" s="24">
        <f t="shared" si="0"/>
        <v>1022</v>
      </c>
      <c r="D104" s="24">
        <f t="shared" si="0"/>
        <v>34133</v>
      </c>
      <c r="E104" s="24">
        <f t="shared" si="0"/>
        <v>35377</v>
      </c>
      <c r="F104" s="24">
        <f t="shared" si="0"/>
        <v>385</v>
      </c>
      <c r="G104" s="24">
        <f t="shared" si="0"/>
        <v>4</v>
      </c>
      <c r="H104" s="24">
        <f t="shared" si="0"/>
        <v>115094</v>
      </c>
      <c r="J104" s="24">
        <f t="shared" si="1"/>
        <v>1051</v>
      </c>
      <c r="K104" s="24">
        <f t="shared" si="1"/>
        <v>4777</v>
      </c>
      <c r="L104" s="24">
        <f t="shared" si="1"/>
        <v>287304</v>
      </c>
      <c r="M104" s="24">
        <f t="shared" si="1"/>
        <v>231619</v>
      </c>
      <c r="N104" s="24">
        <f t="shared" si="1"/>
        <v>2664</v>
      </c>
      <c r="O104" s="24">
        <f t="shared" si="1"/>
        <v>4</v>
      </c>
      <c r="P104" s="24">
        <f t="shared" si="1"/>
        <v>527415</v>
      </c>
    </row>
    <row r="105" spans="1:16" ht="11.25" customHeight="1">
      <c r="A105" s="99">
        <v>1980</v>
      </c>
      <c r="B105" s="24">
        <f t="shared" si="0"/>
        <v>37530</v>
      </c>
      <c r="C105" s="24">
        <f t="shared" si="0"/>
        <v>2944</v>
      </c>
      <c r="D105" s="24">
        <f t="shared" si="0"/>
        <v>44035</v>
      </c>
      <c r="E105" s="24">
        <f t="shared" si="0"/>
        <v>21898</v>
      </c>
      <c r="F105" s="24">
        <f t="shared" si="0"/>
        <v>39</v>
      </c>
      <c r="G105" s="24">
        <f t="shared" si="0"/>
        <v>15</v>
      </c>
      <c r="H105" s="24">
        <f t="shared" si="0"/>
        <v>106446</v>
      </c>
      <c r="J105" s="24">
        <f t="shared" si="1"/>
        <v>2159</v>
      </c>
      <c r="K105" s="24">
        <f t="shared" si="1"/>
        <v>25295</v>
      </c>
      <c r="L105" s="24">
        <f t="shared" si="1"/>
        <v>174560</v>
      </c>
      <c r="M105" s="24">
        <f t="shared" si="1"/>
        <v>118383</v>
      </c>
      <c r="N105" s="24">
        <f t="shared" si="1"/>
        <v>1030</v>
      </c>
      <c r="O105" s="24">
        <f t="shared" si="1"/>
        <v>25</v>
      </c>
      <c r="P105" s="24">
        <f t="shared" si="1"/>
        <v>321427</v>
      </c>
    </row>
    <row r="106" spans="1:16" ht="11.25" customHeight="1">
      <c r="A106" s="99">
        <v>1981</v>
      </c>
      <c r="B106" s="24">
        <f t="shared" si="0"/>
        <v>38452</v>
      </c>
      <c r="C106" s="24">
        <f t="shared" si="0"/>
        <v>5027</v>
      </c>
      <c r="D106" s="24">
        <f t="shared" si="0"/>
        <v>26732</v>
      </c>
      <c r="E106" s="24">
        <f t="shared" si="0"/>
        <v>17586</v>
      </c>
      <c r="F106" s="24">
        <f t="shared" si="0"/>
        <v>270</v>
      </c>
      <c r="G106" s="24">
        <f t="shared" si="0"/>
        <v>258</v>
      </c>
      <c r="H106" s="24">
        <f t="shared" si="0"/>
        <v>88067</v>
      </c>
      <c r="J106" s="24">
        <f t="shared" si="1"/>
        <v>1284</v>
      </c>
      <c r="K106" s="24">
        <f t="shared" si="1"/>
        <v>7598</v>
      </c>
      <c r="L106" s="24">
        <f t="shared" si="1"/>
        <v>180802</v>
      </c>
      <c r="M106" s="24">
        <f t="shared" si="1"/>
        <v>101559</v>
      </c>
      <c r="N106" s="24">
        <f t="shared" si="1"/>
        <v>13717</v>
      </c>
      <c r="O106" s="24">
        <f t="shared" si="1"/>
        <v>13</v>
      </c>
      <c r="P106" s="24">
        <f t="shared" si="1"/>
        <v>304960</v>
      </c>
    </row>
    <row r="107" spans="1:16" ht="11.25" customHeight="1">
      <c r="A107" s="99">
        <v>1982</v>
      </c>
      <c r="B107" s="24">
        <f t="shared" si="0"/>
        <v>44989</v>
      </c>
      <c r="C107" s="24">
        <f t="shared" si="0"/>
        <v>10497</v>
      </c>
      <c r="D107" s="24">
        <f t="shared" si="0"/>
        <v>60865</v>
      </c>
      <c r="E107" s="24">
        <f t="shared" si="0"/>
        <v>2331</v>
      </c>
      <c r="F107" s="24">
        <f t="shared" si="0"/>
        <v>2656</v>
      </c>
      <c r="G107" s="24">
        <f t="shared" si="0"/>
        <v>223</v>
      </c>
      <c r="H107" s="24">
        <f t="shared" si="0"/>
        <v>121338</v>
      </c>
      <c r="J107" s="24">
        <f t="shared" si="1"/>
        <v>34</v>
      </c>
      <c r="K107" s="24">
        <f t="shared" si="1"/>
        <v>22681</v>
      </c>
      <c r="L107" s="24">
        <f t="shared" si="1"/>
        <v>196134</v>
      </c>
      <c r="M107" s="24">
        <f t="shared" si="1"/>
        <v>60158</v>
      </c>
      <c r="N107" s="24">
        <f t="shared" si="1"/>
        <v>38451</v>
      </c>
      <c r="O107" s="24">
        <f t="shared" si="1"/>
        <v>57</v>
      </c>
      <c r="P107" s="24">
        <f t="shared" si="1"/>
        <v>317458</v>
      </c>
    </row>
    <row r="108" spans="1:16" ht="11.25" customHeight="1">
      <c r="A108" s="99">
        <v>1983</v>
      </c>
      <c r="B108" s="24">
        <f t="shared" si="0"/>
        <v>26783</v>
      </c>
      <c r="C108" s="24">
        <f t="shared" si="0"/>
        <v>6756</v>
      </c>
      <c r="D108" s="24">
        <f t="shared" si="0"/>
        <v>13955</v>
      </c>
      <c r="E108" s="24">
        <f t="shared" si="0"/>
        <v>1660</v>
      </c>
      <c r="F108" s="24">
        <f t="shared" si="0"/>
        <v>255</v>
      </c>
      <c r="G108" s="24">
        <f t="shared" si="0"/>
        <v>65</v>
      </c>
      <c r="H108" s="24">
        <f t="shared" si="0"/>
        <v>49409</v>
      </c>
      <c r="J108" s="24">
        <f t="shared" si="1"/>
        <v>95</v>
      </c>
      <c r="K108" s="24">
        <f t="shared" si="1"/>
        <v>4987</v>
      </c>
      <c r="L108" s="24">
        <f t="shared" si="1"/>
        <v>9172</v>
      </c>
      <c r="M108" s="24">
        <f t="shared" si="1"/>
        <v>21045</v>
      </c>
      <c r="N108" s="24">
        <f t="shared" si="1"/>
        <v>7747</v>
      </c>
      <c r="O108" s="24">
        <f t="shared" si="1"/>
        <v>17</v>
      </c>
      <c r="P108" s="24">
        <f t="shared" si="1"/>
        <v>43046</v>
      </c>
    </row>
    <row r="109" spans="1:16" ht="11.25" customHeight="1">
      <c r="A109" s="99">
        <v>1984</v>
      </c>
      <c r="B109" s="24">
        <f t="shared" si="0"/>
        <v>8528</v>
      </c>
      <c r="C109" s="24">
        <f t="shared" si="0"/>
        <v>517</v>
      </c>
      <c r="D109" s="24">
        <f t="shared" si="0"/>
        <v>751</v>
      </c>
      <c r="E109" s="24">
        <f t="shared" si="0"/>
        <v>2611</v>
      </c>
      <c r="F109" s="24">
        <f t="shared" si="0"/>
        <v>0</v>
      </c>
      <c r="G109" s="24">
        <f t="shared" si="0"/>
        <v>147</v>
      </c>
      <c r="H109" s="24">
        <f t="shared" si="0"/>
        <v>12407</v>
      </c>
      <c r="J109" s="24">
        <f t="shared" si="1"/>
        <v>0</v>
      </c>
      <c r="K109" s="24">
        <f t="shared" si="1"/>
        <v>0</v>
      </c>
      <c r="L109" s="24">
        <f t="shared" si="1"/>
        <v>19715</v>
      </c>
      <c r="M109" s="24">
        <f t="shared" si="1"/>
        <v>40213</v>
      </c>
      <c r="N109" s="24">
        <f t="shared" si="1"/>
        <v>0</v>
      </c>
      <c r="O109" s="24">
        <f t="shared" si="1"/>
        <v>147</v>
      </c>
      <c r="P109" s="24">
        <f t="shared" si="1"/>
        <v>59928</v>
      </c>
    </row>
    <row r="110" spans="1:16" ht="11.25" customHeight="1">
      <c r="A110" s="99">
        <v>1985</v>
      </c>
      <c r="B110" s="24">
        <f t="shared" si="0"/>
        <v>17974</v>
      </c>
      <c r="C110" s="24">
        <f t="shared" si="0"/>
        <v>386</v>
      </c>
      <c r="D110" s="24">
        <f t="shared" si="0"/>
        <v>13403</v>
      </c>
      <c r="E110" s="24">
        <f t="shared" si="0"/>
        <v>5845</v>
      </c>
      <c r="F110" s="24">
        <f t="shared" si="0"/>
        <v>1941</v>
      </c>
      <c r="G110" s="24">
        <f t="shared" si="0"/>
        <v>299</v>
      </c>
      <c r="H110" s="24">
        <f t="shared" si="0"/>
        <v>39549</v>
      </c>
      <c r="J110" s="24">
        <f t="shared" si="1"/>
        <v>1</v>
      </c>
      <c r="K110" s="24">
        <f t="shared" si="1"/>
        <v>1911</v>
      </c>
      <c r="L110" s="24">
        <f t="shared" si="1"/>
        <v>148005</v>
      </c>
      <c r="M110" s="24">
        <f t="shared" si="1"/>
        <v>29415</v>
      </c>
      <c r="N110" s="24">
        <f t="shared" si="1"/>
        <v>23613</v>
      </c>
      <c r="O110" s="24">
        <f t="shared" si="1"/>
        <v>37</v>
      </c>
      <c r="P110" s="24">
        <f t="shared" si="1"/>
        <v>202945</v>
      </c>
    </row>
    <row r="111" spans="1:16" ht="11.25" customHeight="1">
      <c r="A111" s="99">
        <v>1986</v>
      </c>
      <c r="B111" s="24">
        <f t="shared" ref="B111:H120" si="2">IF(AND(B63="-",B15="-"),"-",SUM(B63,B15))</f>
        <v>22442</v>
      </c>
      <c r="C111" s="24">
        <f t="shared" si="2"/>
        <v>4624</v>
      </c>
      <c r="D111" s="24">
        <f t="shared" si="2"/>
        <v>3688</v>
      </c>
      <c r="E111" s="24">
        <f t="shared" si="2"/>
        <v>2973</v>
      </c>
      <c r="F111" s="24">
        <f t="shared" si="2"/>
        <v>0</v>
      </c>
      <c r="G111" s="24">
        <f t="shared" si="2"/>
        <v>0</v>
      </c>
      <c r="H111" s="24">
        <f t="shared" si="2"/>
        <v>33727</v>
      </c>
      <c r="J111" s="24">
        <f t="shared" ref="J111:P120" si="3">IF(AND(J63="-",J15="-"),"-",SUM(J63,J15))</f>
        <v>0</v>
      </c>
      <c r="K111" s="24">
        <f t="shared" si="3"/>
        <v>21166</v>
      </c>
      <c r="L111" s="24">
        <f t="shared" si="3"/>
        <v>51622</v>
      </c>
      <c r="M111" s="24">
        <f t="shared" si="3"/>
        <v>41145</v>
      </c>
      <c r="N111" s="24">
        <f t="shared" si="3"/>
        <v>13</v>
      </c>
      <c r="O111" s="24">
        <f t="shared" si="3"/>
        <v>0</v>
      </c>
      <c r="P111" s="24">
        <f t="shared" si="3"/>
        <v>113946</v>
      </c>
    </row>
    <row r="112" spans="1:16" ht="11.25" customHeight="1">
      <c r="A112" s="99">
        <v>1987</v>
      </c>
      <c r="B112" s="24">
        <f t="shared" si="2"/>
        <v>40181</v>
      </c>
      <c r="C112" s="24">
        <f t="shared" si="2"/>
        <v>0</v>
      </c>
      <c r="D112" s="24">
        <f t="shared" si="2"/>
        <v>19951</v>
      </c>
      <c r="E112" s="24">
        <f t="shared" si="2"/>
        <v>7271</v>
      </c>
      <c r="F112" s="24">
        <f t="shared" si="2"/>
        <v>0</v>
      </c>
      <c r="G112" s="24">
        <f t="shared" si="2"/>
        <v>52</v>
      </c>
      <c r="H112" s="24">
        <f t="shared" si="2"/>
        <v>67403</v>
      </c>
      <c r="J112" s="24">
        <f t="shared" si="3"/>
        <v>16</v>
      </c>
      <c r="K112" s="24">
        <f t="shared" si="3"/>
        <v>0</v>
      </c>
      <c r="L112" s="24">
        <f t="shared" si="3"/>
        <v>82132</v>
      </c>
      <c r="M112" s="24">
        <f t="shared" si="3"/>
        <v>44040</v>
      </c>
      <c r="N112" s="24">
        <f t="shared" si="3"/>
        <v>0</v>
      </c>
      <c r="O112" s="24">
        <f t="shared" si="3"/>
        <v>33</v>
      </c>
      <c r="P112" s="24">
        <f t="shared" si="3"/>
        <v>126188</v>
      </c>
    </row>
    <row r="113" spans="1:16" ht="11.25" customHeight="1">
      <c r="A113" s="99">
        <v>1988</v>
      </c>
      <c r="B113" s="24">
        <f t="shared" si="2"/>
        <v>47726</v>
      </c>
      <c r="C113" s="24">
        <f t="shared" si="2"/>
        <v>38396</v>
      </c>
      <c r="D113" s="24">
        <f t="shared" si="2"/>
        <v>6436</v>
      </c>
      <c r="E113" s="24">
        <f t="shared" si="2"/>
        <v>7067</v>
      </c>
      <c r="F113" s="24">
        <f t="shared" si="2"/>
        <v>1968</v>
      </c>
      <c r="G113" s="24">
        <f t="shared" si="2"/>
        <v>0</v>
      </c>
      <c r="H113" s="24">
        <f t="shared" si="2"/>
        <v>101593</v>
      </c>
      <c r="J113" s="24">
        <f t="shared" si="3"/>
        <v>0</v>
      </c>
      <c r="K113" s="24">
        <f t="shared" si="3"/>
        <v>114</v>
      </c>
      <c r="L113" s="24">
        <f t="shared" si="3"/>
        <v>12194</v>
      </c>
      <c r="M113" s="24">
        <f t="shared" si="3"/>
        <v>48084</v>
      </c>
      <c r="N113" s="24">
        <f t="shared" si="3"/>
        <v>10167</v>
      </c>
      <c r="O113" s="24">
        <f t="shared" si="3"/>
        <v>0</v>
      </c>
      <c r="P113" s="24">
        <f t="shared" si="3"/>
        <v>70559</v>
      </c>
    </row>
    <row r="114" spans="1:16" ht="11.25" customHeight="1">
      <c r="A114" s="99">
        <v>1989</v>
      </c>
      <c r="B114" s="24">
        <f t="shared" si="2"/>
        <v>28931</v>
      </c>
      <c r="C114" s="24">
        <f t="shared" si="2"/>
        <v>22198</v>
      </c>
      <c r="D114" s="24">
        <f t="shared" si="2"/>
        <v>10111</v>
      </c>
      <c r="E114" s="24">
        <f t="shared" si="2"/>
        <v>5529</v>
      </c>
      <c r="F114" s="24">
        <f t="shared" si="2"/>
        <v>1582</v>
      </c>
      <c r="G114" s="24">
        <f t="shared" si="2"/>
        <v>0</v>
      </c>
      <c r="H114" s="24">
        <f t="shared" si="2"/>
        <v>68351</v>
      </c>
      <c r="J114" s="24">
        <f t="shared" si="3"/>
        <v>1</v>
      </c>
      <c r="K114" s="24">
        <f t="shared" si="3"/>
        <v>0</v>
      </c>
      <c r="L114" s="24">
        <f t="shared" si="3"/>
        <v>31817</v>
      </c>
      <c r="M114" s="24">
        <f t="shared" si="3"/>
        <v>64608</v>
      </c>
      <c r="N114" s="24">
        <f t="shared" si="3"/>
        <v>28590</v>
      </c>
      <c r="O114" s="24">
        <f t="shared" si="3"/>
        <v>0</v>
      </c>
      <c r="P114" s="24">
        <f t="shared" si="3"/>
        <v>125016</v>
      </c>
    </row>
    <row r="115" spans="1:16" ht="11.25" customHeight="1">
      <c r="A115" s="99">
        <v>1990</v>
      </c>
      <c r="B115" s="24">
        <f t="shared" si="2"/>
        <v>30509</v>
      </c>
      <c r="C115" s="24">
        <f t="shared" si="2"/>
        <v>9733</v>
      </c>
      <c r="D115" s="24">
        <f t="shared" si="2"/>
        <v>11270</v>
      </c>
      <c r="E115" s="24">
        <f t="shared" si="2"/>
        <v>6937</v>
      </c>
      <c r="F115" s="24">
        <f t="shared" si="2"/>
        <v>2701</v>
      </c>
      <c r="G115" s="24">
        <f t="shared" si="2"/>
        <v>8</v>
      </c>
      <c r="H115" s="24">
        <f t="shared" si="2"/>
        <v>61150</v>
      </c>
      <c r="J115" s="24">
        <f t="shared" si="3"/>
        <v>0</v>
      </c>
      <c r="K115" s="24">
        <f t="shared" si="3"/>
        <v>1</v>
      </c>
      <c r="L115" s="24">
        <f t="shared" si="3"/>
        <v>20680</v>
      </c>
      <c r="M115" s="24">
        <f t="shared" si="3"/>
        <v>121759</v>
      </c>
      <c r="N115" s="24">
        <f t="shared" si="3"/>
        <v>16501</v>
      </c>
      <c r="O115" s="24">
        <f t="shared" si="3"/>
        <v>1</v>
      </c>
      <c r="P115" s="24">
        <f t="shared" si="3"/>
        <v>158941</v>
      </c>
    </row>
    <row r="116" spans="1:16" ht="11.25" customHeight="1">
      <c r="A116" s="99">
        <v>1991</v>
      </c>
      <c r="B116" s="24">
        <f t="shared" si="2"/>
        <v>18098</v>
      </c>
      <c r="C116" s="24">
        <f t="shared" si="2"/>
        <v>18400</v>
      </c>
      <c r="D116" s="24">
        <f t="shared" si="2"/>
        <v>6875</v>
      </c>
      <c r="E116" s="24">
        <f t="shared" si="2"/>
        <v>5180</v>
      </c>
      <c r="F116" s="24">
        <f t="shared" si="2"/>
        <v>751</v>
      </c>
      <c r="G116" s="24">
        <f t="shared" si="2"/>
        <v>147</v>
      </c>
      <c r="H116" s="24">
        <f t="shared" si="2"/>
        <v>49304</v>
      </c>
      <c r="J116" s="24">
        <f t="shared" si="3"/>
        <v>0</v>
      </c>
      <c r="K116" s="24">
        <f t="shared" si="3"/>
        <v>0</v>
      </c>
      <c r="L116" s="24">
        <f t="shared" si="3"/>
        <v>38943</v>
      </c>
      <c r="M116" s="24">
        <f t="shared" si="3"/>
        <v>63441</v>
      </c>
      <c r="N116" s="24">
        <f t="shared" si="3"/>
        <v>12492</v>
      </c>
      <c r="O116" s="24">
        <f t="shared" si="3"/>
        <v>498</v>
      </c>
      <c r="P116" s="24">
        <f t="shared" si="3"/>
        <v>114876</v>
      </c>
    </row>
    <row r="117" spans="1:16" ht="11.25" customHeight="1">
      <c r="A117" s="99">
        <v>1992</v>
      </c>
      <c r="B117" s="24">
        <f t="shared" si="2"/>
        <v>28364</v>
      </c>
      <c r="C117" s="24">
        <f t="shared" si="2"/>
        <v>18131</v>
      </c>
      <c r="D117" s="24">
        <f t="shared" si="2"/>
        <v>9969</v>
      </c>
      <c r="E117" s="24">
        <f t="shared" si="2"/>
        <v>7510</v>
      </c>
      <c r="F117" s="24">
        <f t="shared" si="2"/>
        <v>0</v>
      </c>
      <c r="G117" s="24">
        <f t="shared" si="2"/>
        <v>0</v>
      </c>
      <c r="H117" s="24">
        <f t="shared" si="2"/>
        <v>63974</v>
      </c>
      <c r="J117" s="24">
        <f t="shared" si="3"/>
        <v>2</v>
      </c>
      <c r="K117" s="24">
        <f t="shared" si="3"/>
        <v>3</v>
      </c>
      <c r="L117" s="24">
        <f t="shared" si="3"/>
        <v>49704</v>
      </c>
      <c r="M117" s="24">
        <f t="shared" si="3"/>
        <v>42475</v>
      </c>
      <c r="N117" s="24">
        <f t="shared" si="3"/>
        <v>0</v>
      </c>
      <c r="O117" s="24">
        <f t="shared" si="3"/>
        <v>15</v>
      </c>
      <c r="P117" s="24">
        <f t="shared" si="3"/>
        <v>92184</v>
      </c>
    </row>
    <row r="118" spans="1:16" ht="11.25" customHeight="1">
      <c r="A118" s="99">
        <v>1993</v>
      </c>
      <c r="B118" s="24">
        <f t="shared" si="2"/>
        <v>21676</v>
      </c>
      <c r="C118" s="24">
        <f t="shared" si="2"/>
        <v>15840</v>
      </c>
      <c r="D118" s="24">
        <f t="shared" si="2"/>
        <v>8535</v>
      </c>
      <c r="E118" s="24">
        <f t="shared" si="2"/>
        <v>4594</v>
      </c>
      <c r="F118" s="24">
        <f t="shared" si="2"/>
        <v>4337</v>
      </c>
      <c r="G118" s="24">
        <f t="shared" si="2"/>
        <v>0</v>
      </c>
      <c r="H118" s="24">
        <f t="shared" si="2"/>
        <v>54982</v>
      </c>
      <c r="J118" s="24">
        <f t="shared" si="3"/>
        <v>1</v>
      </c>
      <c r="K118" s="24">
        <f t="shared" si="3"/>
        <v>0</v>
      </c>
      <c r="L118" s="24">
        <f t="shared" si="3"/>
        <v>11692</v>
      </c>
      <c r="M118" s="24">
        <f t="shared" si="3"/>
        <v>28884</v>
      </c>
      <c r="N118" s="24">
        <f t="shared" si="3"/>
        <v>31548</v>
      </c>
      <c r="O118" s="24">
        <f t="shared" si="3"/>
        <v>0</v>
      </c>
      <c r="P118" s="24">
        <f t="shared" si="3"/>
        <v>72125</v>
      </c>
    </row>
    <row r="119" spans="1:16" ht="11.25" customHeight="1">
      <c r="A119" s="99">
        <v>1994</v>
      </c>
      <c r="B119" s="24">
        <f t="shared" si="2"/>
        <v>449</v>
      </c>
      <c r="C119" s="24">
        <f t="shared" si="2"/>
        <v>4113</v>
      </c>
      <c r="D119" s="24">
        <f t="shared" si="2"/>
        <v>8</v>
      </c>
      <c r="E119" s="24">
        <f t="shared" si="2"/>
        <v>0</v>
      </c>
      <c r="F119" s="24">
        <f t="shared" si="2"/>
        <v>0</v>
      </c>
      <c r="G119" s="24">
        <f t="shared" si="2"/>
        <v>0</v>
      </c>
      <c r="H119" s="24">
        <f t="shared" si="2"/>
        <v>4570</v>
      </c>
      <c r="J119" s="24">
        <f t="shared" si="3"/>
        <v>0</v>
      </c>
      <c r="K119" s="24">
        <f t="shared" si="3"/>
        <v>0</v>
      </c>
      <c r="L119" s="24">
        <f t="shared" si="3"/>
        <v>0</v>
      </c>
      <c r="M119" s="24">
        <f t="shared" si="3"/>
        <v>0</v>
      </c>
      <c r="N119" s="24">
        <f t="shared" si="3"/>
        <v>0</v>
      </c>
      <c r="O119" s="24">
        <f t="shared" si="3"/>
        <v>0</v>
      </c>
      <c r="P119" s="24">
        <f t="shared" si="3"/>
        <v>0</v>
      </c>
    </row>
    <row r="120" spans="1:16" ht="11.25" customHeight="1">
      <c r="A120" s="99">
        <v>1995</v>
      </c>
      <c r="B120" s="24">
        <f t="shared" si="2"/>
        <v>698</v>
      </c>
      <c r="C120" s="24">
        <f t="shared" si="2"/>
        <v>0</v>
      </c>
      <c r="D120" s="24">
        <f t="shared" si="2"/>
        <v>23</v>
      </c>
      <c r="E120" s="24">
        <f t="shared" si="2"/>
        <v>9047</v>
      </c>
      <c r="F120" s="24">
        <f t="shared" si="2"/>
        <v>0</v>
      </c>
      <c r="G120" s="24">
        <f t="shared" si="2"/>
        <v>0</v>
      </c>
      <c r="H120" s="24">
        <f t="shared" si="2"/>
        <v>9768</v>
      </c>
      <c r="J120" s="24">
        <f t="shared" si="3"/>
        <v>0</v>
      </c>
      <c r="K120" s="24">
        <f t="shared" si="3"/>
        <v>0</v>
      </c>
      <c r="L120" s="24">
        <f t="shared" si="3"/>
        <v>0</v>
      </c>
      <c r="M120" s="24">
        <f t="shared" si="3"/>
        <v>49756</v>
      </c>
      <c r="N120" s="24">
        <f t="shared" si="3"/>
        <v>7060</v>
      </c>
      <c r="O120" s="24">
        <f t="shared" si="3"/>
        <v>0</v>
      </c>
      <c r="P120" s="24">
        <f t="shared" si="3"/>
        <v>56816</v>
      </c>
    </row>
    <row r="121" spans="1:16" ht="11.25" customHeight="1">
      <c r="A121" s="99">
        <v>1996</v>
      </c>
      <c r="B121" s="24">
        <f t="shared" ref="B121:H130" si="4">IF(AND(B73="-",B25="-"),"-",SUM(B73,B25))</f>
        <v>1473</v>
      </c>
      <c r="C121" s="24">
        <f t="shared" si="4"/>
        <v>1974</v>
      </c>
      <c r="D121" s="24">
        <f t="shared" si="4"/>
        <v>457</v>
      </c>
      <c r="E121" s="24">
        <f t="shared" si="4"/>
        <v>4845</v>
      </c>
      <c r="F121" s="24">
        <f t="shared" si="4"/>
        <v>3561</v>
      </c>
      <c r="G121" s="24" t="str">
        <f t="shared" si="4"/>
        <v>-</v>
      </c>
      <c r="H121" s="24">
        <f t="shared" si="4"/>
        <v>12310</v>
      </c>
      <c r="J121" s="24">
        <f t="shared" ref="J121:P127" si="5">IF(AND(J73="-",J25="-"),"-",SUM(J73,J25))</f>
        <v>0</v>
      </c>
      <c r="K121" s="24">
        <f t="shared" si="5"/>
        <v>0</v>
      </c>
      <c r="L121" s="24">
        <f t="shared" si="5"/>
        <v>7137</v>
      </c>
      <c r="M121" s="24">
        <f t="shared" si="5"/>
        <v>15044</v>
      </c>
      <c r="N121" s="24">
        <f t="shared" si="5"/>
        <v>13885</v>
      </c>
      <c r="O121" s="24" t="str">
        <f t="shared" si="5"/>
        <v>-</v>
      </c>
      <c r="P121" s="24">
        <f t="shared" si="5"/>
        <v>36066</v>
      </c>
    </row>
    <row r="122" spans="1:16" ht="11.25" customHeight="1">
      <c r="A122" s="99">
        <v>1997</v>
      </c>
      <c r="B122" s="24">
        <f t="shared" si="4"/>
        <v>5333</v>
      </c>
      <c r="C122" s="24">
        <f t="shared" si="4"/>
        <v>9390</v>
      </c>
      <c r="D122" s="24">
        <f t="shared" si="4"/>
        <v>0</v>
      </c>
      <c r="E122" s="24">
        <f t="shared" si="4"/>
        <v>4720</v>
      </c>
      <c r="F122" s="24">
        <f t="shared" si="4"/>
        <v>1136</v>
      </c>
      <c r="G122" s="24" t="str">
        <f t="shared" si="4"/>
        <v>-</v>
      </c>
      <c r="H122" s="24">
        <f t="shared" si="4"/>
        <v>20579</v>
      </c>
      <c r="J122" s="24">
        <f t="shared" si="5"/>
        <v>0</v>
      </c>
      <c r="K122" s="24">
        <f t="shared" si="5"/>
        <v>0</v>
      </c>
      <c r="L122" s="24">
        <f t="shared" si="5"/>
        <v>0</v>
      </c>
      <c r="M122" s="24">
        <f t="shared" si="5"/>
        <v>11481</v>
      </c>
      <c r="N122" s="24">
        <f t="shared" si="5"/>
        <v>4343</v>
      </c>
      <c r="O122" s="24" t="str">
        <f t="shared" si="5"/>
        <v>-</v>
      </c>
      <c r="P122" s="24">
        <f t="shared" si="5"/>
        <v>15824</v>
      </c>
    </row>
    <row r="123" spans="1:16" ht="11.25" customHeight="1">
      <c r="A123" s="99">
        <v>1998</v>
      </c>
      <c r="B123" s="24">
        <f t="shared" si="4"/>
        <v>10936</v>
      </c>
      <c r="C123" s="24">
        <f t="shared" si="4"/>
        <v>4624</v>
      </c>
      <c r="D123" s="24">
        <f t="shared" si="4"/>
        <v>47</v>
      </c>
      <c r="E123" s="24">
        <f t="shared" si="4"/>
        <v>3860</v>
      </c>
      <c r="F123" s="24">
        <f t="shared" si="4"/>
        <v>1148</v>
      </c>
      <c r="G123" s="24" t="str">
        <f t="shared" si="4"/>
        <v>-</v>
      </c>
      <c r="H123" s="24">
        <f t="shared" si="4"/>
        <v>20615</v>
      </c>
      <c r="J123" s="24">
        <f t="shared" si="5"/>
        <v>0</v>
      </c>
      <c r="K123" s="24">
        <f t="shared" si="5"/>
        <v>0</v>
      </c>
      <c r="L123" s="24">
        <f t="shared" si="5"/>
        <v>74</v>
      </c>
      <c r="M123" s="24">
        <f t="shared" si="5"/>
        <v>3855</v>
      </c>
      <c r="N123" s="24">
        <f t="shared" si="5"/>
        <v>4225</v>
      </c>
      <c r="O123" s="24" t="str">
        <f t="shared" si="5"/>
        <v>-</v>
      </c>
      <c r="P123" s="24">
        <f t="shared" si="5"/>
        <v>8154</v>
      </c>
    </row>
    <row r="124" spans="1:16" ht="11.25" customHeight="1">
      <c r="A124" s="99">
        <v>1999</v>
      </c>
      <c r="B124" s="24">
        <f t="shared" si="4"/>
        <v>6727</v>
      </c>
      <c r="C124" s="24">
        <f t="shared" si="4"/>
        <v>22741</v>
      </c>
      <c r="D124" s="24">
        <f t="shared" si="4"/>
        <v>5560</v>
      </c>
      <c r="E124" s="24">
        <f t="shared" si="4"/>
        <v>6261</v>
      </c>
      <c r="F124" s="24">
        <f t="shared" si="4"/>
        <v>3619</v>
      </c>
      <c r="G124" s="24" t="str">
        <f t="shared" si="4"/>
        <v>-</v>
      </c>
      <c r="H124" s="24">
        <f t="shared" si="4"/>
        <v>44908</v>
      </c>
      <c r="J124" s="24">
        <f t="shared" si="5"/>
        <v>0</v>
      </c>
      <c r="K124" s="24">
        <f t="shared" si="5"/>
        <v>0</v>
      </c>
      <c r="L124" s="24">
        <f t="shared" si="5"/>
        <v>673</v>
      </c>
      <c r="M124" s="24">
        <f t="shared" si="5"/>
        <v>15964</v>
      </c>
      <c r="N124" s="24">
        <f t="shared" si="5"/>
        <v>20550</v>
      </c>
      <c r="O124" s="24" t="str">
        <f t="shared" si="5"/>
        <v>-</v>
      </c>
      <c r="P124" s="24">
        <f t="shared" si="5"/>
        <v>37187</v>
      </c>
    </row>
    <row r="125" spans="1:16" ht="11.25" customHeight="1">
      <c r="A125" s="99">
        <v>2000</v>
      </c>
      <c r="B125" s="24">
        <f t="shared" si="4"/>
        <v>9419</v>
      </c>
      <c r="C125" s="24">
        <f t="shared" si="4"/>
        <v>5479</v>
      </c>
      <c r="D125" s="24">
        <f t="shared" si="4"/>
        <v>196</v>
      </c>
      <c r="E125" s="24">
        <f t="shared" si="4"/>
        <v>2257</v>
      </c>
      <c r="F125" s="24">
        <f t="shared" si="4"/>
        <v>3</v>
      </c>
      <c r="G125" s="24" t="str">
        <f t="shared" si="4"/>
        <v>-</v>
      </c>
      <c r="H125" s="24">
        <f t="shared" si="4"/>
        <v>17354</v>
      </c>
      <c r="J125" s="24">
        <f t="shared" si="5"/>
        <v>0</v>
      </c>
      <c r="K125" s="24">
        <f t="shared" si="5"/>
        <v>1</v>
      </c>
      <c r="L125" s="24">
        <f t="shared" si="5"/>
        <v>0</v>
      </c>
      <c r="M125" s="24">
        <f t="shared" si="5"/>
        <v>24593</v>
      </c>
      <c r="N125" s="24">
        <f t="shared" si="5"/>
        <v>49</v>
      </c>
      <c r="O125" s="24" t="str">
        <f t="shared" si="5"/>
        <v>-</v>
      </c>
      <c r="P125" s="24">
        <f t="shared" si="5"/>
        <v>24643</v>
      </c>
    </row>
    <row r="126" spans="1:16" ht="11.25" customHeight="1">
      <c r="A126" s="99">
        <v>2001</v>
      </c>
      <c r="B126" s="24">
        <f t="shared" si="4"/>
        <v>9370</v>
      </c>
      <c r="C126" s="24">
        <f t="shared" si="4"/>
        <v>20893</v>
      </c>
      <c r="D126" s="24">
        <f t="shared" si="4"/>
        <v>11501</v>
      </c>
      <c r="E126" s="24">
        <f t="shared" si="4"/>
        <v>3834</v>
      </c>
      <c r="F126" s="24">
        <f t="shared" si="4"/>
        <v>3530</v>
      </c>
      <c r="G126" s="24" t="str">
        <f t="shared" si="4"/>
        <v>-</v>
      </c>
      <c r="H126" s="24">
        <f t="shared" si="4"/>
        <v>49128</v>
      </c>
      <c r="J126" s="24">
        <f t="shared" si="5"/>
        <v>0</v>
      </c>
      <c r="K126" s="24">
        <f t="shared" si="5"/>
        <v>12</v>
      </c>
      <c r="L126" s="24">
        <f t="shared" si="5"/>
        <v>10479</v>
      </c>
      <c r="M126" s="24">
        <f t="shared" si="5"/>
        <v>30054</v>
      </c>
      <c r="N126" s="24">
        <f t="shared" si="5"/>
        <v>24704</v>
      </c>
      <c r="O126" s="24" t="str">
        <f t="shared" si="5"/>
        <v>-</v>
      </c>
      <c r="P126" s="24">
        <f t="shared" si="5"/>
        <v>65249</v>
      </c>
    </row>
    <row r="127" spans="1:16" ht="11.25" customHeight="1">
      <c r="A127" s="99">
        <v>2002</v>
      </c>
      <c r="B127" s="24">
        <f t="shared" si="4"/>
        <v>23374</v>
      </c>
      <c r="C127" s="24">
        <f t="shared" si="4"/>
        <v>22207</v>
      </c>
      <c r="D127" s="24">
        <f t="shared" si="4"/>
        <v>27350</v>
      </c>
      <c r="E127" s="24">
        <f t="shared" si="4"/>
        <v>15855</v>
      </c>
      <c r="F127" s="24">
        <f t="shared" si="4"/>
        <v>3123</v>
      </c>
      <c r="G127" s="24">
        <f t="shared" si="4"/>
        <v>30</v>
      </c>
      <c r="H127" s="24">
        <f t="shared" si="4"/>
        <v>91909</v>
      </c>
      <c r="J127" s="24">
        <f t="shared" si="5"/>
        <v>1</v>
      </c>
      <c r="K127" s="24">
        <f t="shared" si="5"/>
        <v>1</v>
      </c>
      <c r="L127" s="24">
        <f t="shared" si="5"/>
        <v>3449</v>
      </c>
      <c r="M127" s="24">
        <f t="shared" si="5"/>
        <v>4982</v>
      </c>
      <c r="N127" s="24">
        <f t="shared" si="5"/>
        <v>9042</v>
      </c>
      <c r="O127" s="24">
        <f t="shared" si="5"/>
        <v>80</v>
      </c>
      <c r="P127" s="24">
        <f t="shared" si="5"/>
        <v>17475</v>
      </c>
    </row>
    <row r="128" spans="1:16" ht="11.25" customHeight="1">
      <c r="A128" s="99">
        <v>2003</v>
      </c>
      <c r="B128" s="24">
        <f t="shared" si="4"/>
        <v>20776</v>
      </c>
      <c r="C128" s="24">
        <f t="shared" si="4"/>
        <v>21847</v>
      </c>
      <c r="D128" s="24">
        <f t="shared" si="4"/>
        <v>27307</v>
      </c>
      <c r="E128" s="24">
        <f t="shared" si="4"/>
        <v>17288</v>
      </c>
      <c r="F128" s="24">
        <f t="shared" si="4"/>
        <v>2236</v>
      </c>
      <c r="G128" s="24">
        <f t="shared" si="4"/>
        <v>35</v>
      </c>
      <c r="H128" s="24">
        <f t="shared" si="4"/>
        <v>89454</v>
      </c>
      <c r="J128" s="24">
        <f t="shared" ref="J128:P128" si="6">IF(AND(J80="-",J32="-"),"-",SUM(J80,J32))</f>
        <v>3</v>
      </c>
      <c r="K128" s="24">
        <f t="shared" si="6"/>
        <v>0</v>
      </c>
      <c r="L128" s="24">
        <f t="shared" si="6"/>
        <v>7728</v>
      </c>
      <c r="M128" s="24">
        <f t="shared" si="6"/>
        <v>8031</v>
      </c>
      <c r="N128" s="24">
        <f t="shared" si="6"/>
        <v>2847</v>
      </c>
      <c r="O128" s="24">
        <f t="shared" si="6"/>
        <v>85</v>
      </c>
      <c r="P128" s="24">
        <f t="shared" si="6"/>
        <v>18609</v>
      </c>
    </row>
    <row r="129" spans="1:16" ht="11.25" customHeight="1">
      <c r="A129" s="99">
        <v>2004</v>
      </c>
      <c r="B129" s="24">
        <f t="shared" si="4"/>
        <v>25201</v>
      </c>
      <c r="C129" s="24">
        <f t="shared" si="4"/>
        <v>18134</v>
      </c>
      <c r="D129" s="24">
        <f t="shared" si="4"/>
        <v>18656</v>
      </c>
      <c r="E129" s="24">
        <f t="shared" si="4"/>
        <v>15845</v>
      </c>
      <c r="F129" s="24">
        <f t="shared" si="4"/>
        <v>6913</v>
      </c>
      <c r="G129" s="24">
        <f t="shared" si="4"/>
        <v>25</v>
      </c>
      <c r="H129" s="24">
        <f t="shared" si="4"/>
        <v>84749</v>
      </c>
      <c r="J129" s="24">
        <f t="shared" ref="J129:P129" si="7">IF(AND(J81="-",J33="-"),"-",SUM(J81,J33))</f>
        <v>3</v>
      </c>
      <c r="K129" s="24">
        <f t="shared" si="7"/>
        <v>3</v>
      </c>
      <c r="L129" s="24">
        <f t="shared" si="7"/>
        <v>18175</v>
      </c>
      <c r="M129" s="24">
        <f t="shared" si="7"/>
        <v>41336</v>
      </c>
      <c r="N129" s="24">
        <f t="shared" si="7"/>
        <v>14743</v>
      </c>
      <c r="O129" s="24">
        <f t="shared" si="7"/>
        <v>100</v>
      </c>
      <c r="P129" s="24">
        <f t="shared" si="7"/>
        <v>74260</v>
      </c>
    </row>
    <row r="130" spans="1:16" ht="11.25" customHeight="1">
      <c r="A130" s="99">
        <v>2005</v>
      </c>
      <c r="B130" s="24">
        <f t="shared" si="4"/>
        <v>25152</v>
      </c>
      <c r="C130" s="24">
        <f t="shared" si="4"/>
        <v>20578</v>
      </c>
      <c r="D130" s="24">
        <f t="shared" si="4"/>
        <v>10980</v>
      </c>
      <c r="E130" s="24">
        <f t="shared" si="4"/>
        <v>15173</v>
      </c>
      <c r="F130" s="24">
        <f t="shared" si="4"/>
        <v>3672</v>
      </c>
      <c r="G130" s="24">
        <f t="shared" si="4"/>
        <v>0</v>
      </c>
      <c r="H130" s="24">
        <f t="shared" si="4"/>
        <v>75555</v>
      </c>
      <c r="I130" s="24"/>
      <c r="J130" s="24">
        <f t="shared" ref="J130:P130" si="8">IF(AND(J82="-",J34="-"),"-",SUM(J82,J34))</f>
        <v>3</v>
      </c>
      <c r="K130" s="24">
        <f t="shared" si="8"/>
        <v>1</v>
      </c>
      <c r="L130" s="24">
        <f t="shared" si="8"/>
        <v>3922</v>
      </c>
      <c r="M130" s="24">
        <f t="shared" si="8"/>
        <v>16587</v>
      </c>
      <c r="N130" s="24">
        <f t="shared" si="8"/>
        <v>4288</v>
      </c>
      <c r="O130" s="24">
        <f t="shared" si="8"/>
        <v>0</v>
      </c>
      <c r="P130" s="24">
        <f t="shared" si="8"/>
        <v>24801</v>
      </c>
    </row>
    <row r="131" spans="1:16" ht="11.25" customHeight="1">
      <c r="A131" s="99">
        <v>2006</v>
      </c>
      <c r="B131" s="24">
        <f t="shared" ref="B131:H131" si="9">IF(AND(B83="-",B35="-"),"-",SUM(B83,B35))</f>
        <v>7556</v>
      </c>
      <c r="C131" s="24">
        <f t="shared" si="9"/>
        <v>11889</v>
      </c>
      <c r="D131" s="24">
        <f t="shared" si="9"/>
        <v>8809</v>
      </c>
      <c r="E131" s="24">
        <f t="shared" si="9"/>
        <v>10148</v>
      </c>
      <c r="F131" s="24">
        <f t="shared" si="9"/>
        <v>6788</v>
      </c>
      <c r="G131" s="24">
        <f t="shared" si="9"/>
        <v>15</v>
      </c>
      <c r="H131" s="24">
        <f t="shared" si="9"/>
        <v>45190</v>
      </c>
      <c r="J131" s="24">
        <f t="shared" ref="J131:P131" si="10">IF(AND(J83="-",J35="-"),"-",SUM(J83,J35))</f>
        <v>16</v>
      </c>
      <c r="K131" s="24">
        <f t="shared" si="10"/>
        <v>102</v>
      </c>
      <c r="L131" s="24">
        <f t="shared" si="10"/>
        <v>10597</v>
      </c>
      <c r="M131" s="24">
        <f t="shared" si="10"/>
        <v>11450</v>
      </c>
      <c r="N131" s="24">
        <f t="shared" si="10"/>
        <v>10964</v>
      </c>
      <c r="O131" s="24">
        <f t="shared" si="10"/>
        <v>5</v>
      </c>
      <c r="P131" s="24">
        <f t="shared" si="10"/>
        <v>33129</v>
      </c>
    </row>
    <row r="132" spans="1:16" ht="11.25" customHeight="1">
      <c r="A132" s="99">
        <v>2007</v>
      </c>
      <c r="B132" s="24">
        <f t="shared" ref="B132:H132" si="11">IF(AND(B84="-",B36="-"),"-",SUM(B84,B36))</f>
        <v>6009</v>
      </c>
      <c r="C132" s="24">
        <f t="shared" si="11"/>
        <v>18497</v>
      </c>
      <c r="D132" s="24">
        <f t="shared" si="11"/>
        <v>6808</v>
      </c>
      <c r="E132" s="24">
        <f t="shared" si="11"/>
        <v>5300</v>
      </c>
      <c r="F132" s="24">
        <f t="shared" si="11"/>
        <v>97</v>
      </c>
      <c r="G132" s="24">
        <f t="shared" si="11"/>
        <v>0</v>
      </c>
      <c r="H132" s="24">
        <f t="shared" si="11"/>
        <v>36711</v>
      </c>
      <c r="I132" s="24"/>
      <c r="J132" s="24">
        <f t="shared" ref="J132:P132" si="12">IF(AND(J84="-",J36="-"),"-",SUM(J84,J36))</f>
        <v>0</v>
      </c>
      <c r="K132" s="24">
        <f t="shared" si="12"/>
        <v>12</v>
      </c>
      <c r="L132" s="24">
        <f t="shared" si="12"/>
        <v>24687</v>
      </c>
      <c r="M132" s="24">
        <f t="shared" si="12"/>
        <v>17466</v>
      </c>
      <c r="N132" s="24">
        <f t="shared" si="12"/>
        <v>894</v>
      </c>
      <c r="O132" s="24">
        <f t="shared" si="12"/>
        <v>0</v>
      </c>
      <c r="P132" s="24">
        <f t="shared" si="12"/>
        <v>43059</v>
      </c>
    </row>
    <row r="133" spans="1:16" ht="11.25" customHeight="1">
      <c r="A133" s="99">
        <v>2008</v>
      </c>
      <c r="B133" s="24">
        <f t="shared" ref="B133:H133" si="13">IF(AND(B85="-",B37="-"),"-",SUM(B85,B37))</f>
        <v>1809</v>
      </c>
      <c r="C133" s="24">
        <f t="shared" si="13"/>
        <v>12214</v>
      </c>
      <c r="D133" s="24">
        <f t="shared" si="13"/>
        <v>3272</v>
      </c>
      <c r="E133" s="24">
        <f t="shared" si="13"/>
        <v>7168</v>
      </c>
      <c r="F133" s="24">
        <f t="shared" si="13"/>
        <v>3838</v>
      </c>
      <c r="G133" s="24">
        <f t="shared" si="13"/>
        <v>1</v>
      </c>
      <c r="H133" s="24">
        <f t="shared" si="13"/>
        <v>28301</v>
      </c>
      <c r="I133" s="24"/>
      <c r="J133" s="24">
        <f t="shared" ref="J133:P133" si="14">IF(AND(J85="-",J37="-"),"-",SUM(J85,J37))</f>
        <v>0</v>
      </c>
      <c r="K133" s="24">
        <f t="shared" si="14"/>
        <v>18</v>
      </c>
      <c r="L133" s="24">
        <f t="shared" si="14"/>
        <v>1216</v>
      </c>
      <c r="M133" s="24">
        <f t="shared" si="14"/>
        <v>4478</v>
      </c>
      <c r="N133" s="24">
        <f t="shared" si="14"/>
        <v>10181</v>
      </c>
      <c r="O133" s="24">
        <f t="shared" si="14"/>
        <v>0</v>
      </c>
      <c r="P133" s="24">
        <f t="shared" si="14"/>
        <v>15893</v>
      </c>
    </row>
    <row r="134" spans="1:16" ht="11.25" customHeight="1">
      <c r="A134" s="99">
        <v>2009</v>
      </c>
      <c r="B134" s="24">
        <f t="shared" ref="B134:H134" si="15">IF(AND(B86="-",B38="-"),"-",SUM(B86,B38))</f>
        <v>7036</v>
      </c>
      <c r="C134" s="24">
        <f t="shared" si="15"/>
        <v>9923</v>
      </c>
      <c r="D134" s="24">
        <f t="shared" si="15"/>
        <v>3944</v>
      </c>
      <c r="E134" s="24">
        <f t="shared" si="15"/>
        <v>3246</v>
      </c>
      <c r="F134" s="24">
        <f t="shared" si="15"/>
        <v>132</v>
      </c>
      <c r="G134" s="24">
        <f t="shared" si="15"/>
        <v>25</v>
      </c>
      <c r="H134" s="24">
        <f t="shared" si="15"/>
        <v>24281</v>
      </c>
      <c r="I134" s="24"/>
      <c r="J134" s="24">
        <f t="shared" ref="J134:P134" si="16">IF(AND(J86="-",J38="-"),"-",SUM(J86,J38))</f>
        <v>0</v>
      </c>
      <c r="K134" s="24">
        <f t="shared" si="16"/>
        <v>0</v>
      </c>
      <c r="L134" s="24">
        <f t="shared" si="16"/>
        <v>30279</v>
      </c>
      <c r="M134" s="24">
        <f t="shared" si="16"/>
        <v>44422</v>
      </c>
      <c r="N134" s="24">
        <f t="shared" si="16"/>
        <v>3763</v>
      </c>
      <c r="O134" s="24">
        <f t="shared" si="16"/>
        <v>15</v>
      </c>
      <c r="P134" s="24">
        <f t="shared" si="16"/>
        <v>78464</v>
      </c>
    </row>
    <row r="135" spans="1:16" ht="11.25" customHeight="1">
      <c r="A135" s="99">
        <v>2010</v>
      </c>
      <c r="B135" s="24">
        <f t="shared" ref="B135:H135" si="17">IF(AND(B87="-",B39="-"),"-",SUM(B87,B39))</f>
        <v>10145</v>
      </c>
      <c r="C135" s="24">
        <f t="shared" si="17"/>
        <v>34482</v>
      </c>
      <c r="D135" s="24">
        <f t="shared" si="17"/>
        <v>13056</v>
      </c>
      <c r="E135" s="24">
        <f t="shared" si="17"/>
        <v>16960</v>
      </c>
      <c r="F135" s="24">
        <f t="shared" si="17"/>
        <v>1946</v>
      </c>
      <c r="G135" s="24">
        <f t="shared" si="17"/>
        <v>10</v>
      </c>
      <c r="H135" s="24">
        <f t="shared" si="17"/>
        <v>76589</v>
      </c>
      <c r="I135" s="24"/>
      <c r="J135" s="24">
        <f t="shared" ref="J135:P135" si="18">IF(AND(J87="-",J39="-"),"-",SUM(J87,J39))</f>
        <v>2</v>
      </c>
      <c r="K135" s="24">
        <f t="shared" si="18"/>
        <v>63</v>
      </c>
      <c r="L135" s="24">
        <f t="shared" si="18"/>
        <v>3100</v>
      </c>
      <c r="M135" s="24">
        <f t="shared" si="18"/>
        <v>5802</v>
      </c>
      <c r="N135" s="24">
        <f t="shared" si="18"/>
        <v>4447</v>
      </c>
      <c r="O135" s="24">
        <f t="shared" si="18"/>
        <v>15</v>
      </c>
      <c r="P135" s="24">
        <f t="shared" si="18"/>
        <v>13414</v>
      </c>
    </row>
    <row r="136" spans="1:16" ht="11.25" customHeight="1">
      <c r="A136" s="99">
        <v>2011</v>
      </c>
      <c r="B136" s="24">
        <f t="shared" ref="B136:H136" si="19">IF(AND(B88="-",B40="-"),"-",SUM(B88,B40))</f>
        <v>8802</v>
      </c>
      <c r="C136" s="24">
        <f t="shared" si="19"/>
        <v>18132</v>
      </c>
      <c r="D136" s="24">
        <f t="shared" si="19"/>
        <v>20776</v>
      </c>
      <c r="E136" s="24">
        <f t="shared" si="19"/>
        <v>9228</v>
      </c>
      <c r="F136" s="24">
        <f t="shared" si="19"/>
        <v>756</v>
      </c>
      <c r="G136" s="24">
        <f t="shared" si="19"/>
        <v>0</v>
      </c>
      <c r="H136" s="24">
        <f t="shared" si="19"/>
        <v>57694</v>
      </c>
      <c r="I136" s="24"/>
      <c r="J136" s="24">
        <f t="shared" ref="J136:P136" si="20">IF(AND(J88="-",J40="-"),"-",SUM(J88,J40))</f>
        <v>0</v>
      </c>
      <c r="K136" s="24">
        <f t="shared" si="20"/>
        <v>0</v>
      </c>
      <c r="L136" s="24">
        <f t="shared" si="20"/>
        <v>3692</v>
      </c>
      <c r="M136" s="24">
        <f t="shared" si="20"/>
        <v>5683</v>
      </c>
      <c r="N136" s="24">
        <f t="shared" si="20"/>
        <v>7204</v>
      </c>
      <c r="O136" s="24">
        <f t="shared" si="20"/>
        <v>0</v>
      </c>
      <c r="P136" s="24">
        <f t="shared" si="20"/>
        <v>16579</v>
      </c>
    </row>
    <row r="137" spans="1:16" ht="11.25" customHeight="1">
      <c r="A137" s="99">
        <v>2012</v>
      </c>
      <c r="B137" s="24">
        <f t="shared" ref="B137:H137" si="21">IF(AND(B89="-",B41="-"),"-",SUM(B89,B41))</f>
        <v>14831</v>
      </c>
      <c r="C137" s="24">
        <f t="shared" si="21"/>
        <v>31067</v>
      </c>
      <c r="D137" s="24">
        <f t="shared" si="21"/>
        <v>15456</v>
      </c>
      <c r="E137" s="24">
        <f t="shared" si="21"/>
        <v>21048</v>
      </c>
      <c r="F137" s="24">
        <f t="shared" si="21"/>
        <v>6992</v>
      </c>
      <c r="G137" s="24">
        <f t="shared" si="21"/>
        <v>10</v>
      </c>
      <c r="H137" s="24">
        <f t="shared" si="21"/>
        <v>89394</v>
      </c>
      <c r="I137" s="24"/>
      <c r="J137" s="24">
        <f t="shared" ref="J137:P137" si="22">IF(AND(J89="-",J41="-"),"-",SUM(J89,J41))</f>
        <v>1</v>
      </c>
      <c r="K137" s="24">
        <f t="shared" si="22"/>
        <v>101</v>
      </c>
      <c r="L137" s="24">
        <f t="shared" si="22"/>
        <v>3515</v>
      </c>
      <c r="M137" s="24">
        <f t="shared" si="22"/>
        <v>19906</v>
      </c>
      <c r="N137" s="24">
        <f t="shared" si="22"/>
        <v>17186</v>
      </c>
      <c r="O137" s="24">
        <f t="shared" si="22"/>
        <v>0</v>
      </c>
      <c r="P137" s="24">
        <f t="shared" si="22"/>
        <v>40709</v>
      </c>
    </row>
    <row r="138" spans="1:16" ht="11.25" customHeight="1">
      <c r="A138" s="99">
        <v>2013</v>
      </c>
      <c r="B138" s="24">
        <f t="shared" ref="B138:H138" si="23">IF(AND(B90="-",B42="-"),"-",SUM(B90,B42))</f>
        <v>22416</v>
      </c>
      <c r="C138" s="24">
        <f t="shared" si="23"/>
        <v>30951</v>
      </c>
      <c r="D138" s="24">
        <f t="shared" si="23"/>
        <v>17126</v>
      </c>
      <c r="E138" s="24">
        <f t="shared" si="23"/>
        <v>16605</v>
      </c>
      <c r="F138" s="24">
        <f t="shared" si="23"/>
        <v>3592</v>
      </c>
      <c r="G138" s="24">
        <f t="shared" si="23"/>
        <v>0</v>
      </c>
      <c r="H138" s="24">
        <f t="shared" si="23"/>
        <v>90690</v>
      </c>
      <c r="I138" s="24"/>
      <c r="J138" s="24">
        <f t="shared" ref="J138:P138" si="24">IF(AND(J90="-",J42="-"),"-",SUM(J90,J42))</f>
        <v>0</v>
      </c>
      <c r="K138" s="24">
        <f t="shared" si="24"/>
        <v>7</v>
      </c>
      <c r="L138" s="24">
        <f t="shared" si="24"/>
        <v>9614</v>
      </c>
      <c r="M138" s="24">
        <f t="shared" si="24"/>
        <v>39927</v>
      </c>
      <c r="N138" s="24">
        <f t="shared" si="24"/>
        <v>4634</v>
      </c>
      <c r="O138" s="24">
        <f t="shared" si="24"/>
        <v>0</v>
      </c>
      <c r="P138" s="24">
        <f t="shared" si="24"/>
        <v>54182</v>
      </c>
    </row>
    <row r="139" spans="1:16" ht="11.25" customHeight="1">
      <c r="A139" s="99">
        <v>2014</v>
      </c>
      <c r="B139" s="24">
        <f t="shared" ref="B139:H139" si="25">IF(AND(B91="-",B43="-"),"-",SUM(B91,B43))</f>
        <v>25396</v>
      </c>
      <c r="C139" s="24">
        <f t="shared" si="25"/>
        <v>19559</v>
      </c>
      <c r="D139" s="24">
        <f t="shared" si="25"/>
        <v>28741</v>
      </c>
      <c r="E139" s="24">
        <f t="shared" si="25"/>
        <v>14457</v>
      </c>
      <c r="F139" s="24">
        <f t="shared" si="25"/>
        <v>3335</v>
      </c>
      <c r="G139" s="24">
        <f t="shared" si="25"/>
        <v>0</v>
      </c>
      <c r="H139" s="24">
        <f t="shared" si="25"/>
        <v>91488</v>
      </c>
      <c r="I139" s="24"/>
      <c r="J139" s="24">
        <f t="shared" ref="J139:P139" si="26">IF(AND(J91="-",J43="-"),"-",SUM(J91,J43))</f>
        <v>0</v>
      </c>
      <c r="K139" s="24">
        <f t="shared" si="26"/>
        <v>30</v>
      </c>
      <c r="L139" s="24">
        <f t="shared" si="26"/>
        <v>13312</v>
      </c>
      <c r="M139" s="24">
        <f t="shared" si="26"/>
        <v>45281</v>
      </c>
      <c r="N139" s="24">
        <f t="shared" si="26"/>
        <v>10580</v>
      </c>
      <c r="O139" s="24">
        <f t="shared" si="26"/>
        <v>0</v>
      </c>
      <c r="P139" s="24">
        <f t="shared" si="26"/>
        <v>69203</v>
      </c>
    </row>
    <row r="140" spans="1:16" ht="11.25" customHeight="1">
      <c r="A140" s="99">
        <v>2015</v>
      </c>
      <c r="B140" s="24">
        <f t="shared" ref="B140:H140" si="27">IF(AND(B92="-",B44="-"),"-",SUM(B92,B44))</f>
        <v>20237</v>
      </c>
      <c r="C140" s="24">
        <f t="shared" si="27"/>
        <v>38105</v>
      </c>
      <c r="D140" s="24">
        <f t="shared" si="27"/>
        <v>35720</v>
      </c>
      <c r="E140" s="24">
        <f t="shared" si="27"/>
        <v>13862</v>
      </c>
      <c r="F140" s="24">
        <f t="shared" si="27"/>
        <v>2303</v>
      </c>
      <c r="G140" s="24">
        <f t="shared" si="27"/>
        <v>0</v>
      </c>
      <c r="H140" s="24">
        <f t="shared" si="27"/>
        <v>110227</v>
      </c>
      <c r="I140" s="24"/>
      <c r="J140" s="24">
        <f t="shared" ref="J140:P140" si="28">IF(AND(J92="-",J44="-"),"-",SUM(J92,J44))</f>
        <v>0</v>
      </c>
      <c r="K140" s="24">
        <f t="shared" si="28"/>
        <v>3</v>
      </c>
      <c r="L140" s="24">
        <f t="shared" si="28"/>
        <v>2681</v>
      </c>
      <c r="M140" s="24">
        <f t="shared" si="28"/>
        <v>2305</v>
      </c>
      <c r="N140" s="24">
        <f t="shared" si="28"/>
        <v>1203</v>
      </c>
      <c r="O140" s="24">
        <f t="shared" si="28"/>
        <v>0</v>
      </c>
      <c r="P140" s="24">
        <f t="shared" si="28"/>
        <v>6192</v>
      </c>
    </row>
    <row r="141" spans="1:16" ht="11.25" customHeight="1">
      <c r="A141" s="99">
        <v>2016</v>
      </c>
      <c r="B141" s="24">
        <f t="shared" ref="B141:H141" si="29">IF(AND(B93="-",B45="-"),"-",SUM(B93,B45))</f>
        <v>9339</v>
      </c>
      <c r="C141" s="24">
        <f t="shared" si="29"/>
        <v>17716</v>
      </c>
      <c r="D141" s="24">
        <f t="shared" si="29"/>
        <v>8454</v>
      </c>
      <c r="E141" s="24">
        <f t="shared" si="29"/>
        <v>3272</v>
      </c>
      <c r="F141" s="24">
        <f t="shared" si="29"/>
        <v>5</v>
      </c>
      <c r="G141" s="24">
        <f t="shared" si="29"/>
        <v>0</v>
      </c>
      <c r="H141" s="24">
        <f t="shared" si="29"/>
        <v>38786</v>
      </c>
      <c r="I141" s="24"/>
      <c r="J141" s="24">
        <f t="shared" ref="J141:P141" si="30">IF(AND(J93="-",J45="-"),"-",SUM(J93,J45))</f>
        <v>0</v>
      </c>
      <c r="K141" s="24">
        <f t="shared" si="30"/>
        <v>0</v>
      </c>
      <c r="L141" s="24">
        <f t="shared" si="30"/>
        <v>29</v>
      </c>
      <c r="M141" s="24">
        <f t="shared" si="30"/>
        <v>15</v>
      </c>
      <c r="N141" s="24">
        <f t="shared" si="30"/>
        <v>0</v>
      </c>
      <c r="O141" s="24">
        <f t="shared" si="30"/>
        <v>1</v>
      </c>
      <c r="P141" s="24">
        <f t="shared" si="30"/>
        <v>44</v>
      </c>
    </row>
    <row r="142" spans="1:16" ht="11.25" customHeight="1">
      <c r="A142" s="99">
        <v>2017</v>
      </c>
      <c r="B142" s="24">
        <f t="shared" ref="B142:H142" si="31">IF(AND(B94="-",B46="-"),"-",SUM(B94,B46))</f>
        <v>14609</v>
      </c>
      <c r="C142" s="24">
        <f t="shared" si="31"/>
        <v>9285</v>
      </c>
      <c r="D142" s="24">
        <f t="shared" si="31"/>
        <v>21478</v>
      </c>
      <c r="E142" s="24">
        <f t="shared" si="31"/>
        <v>9890</v>
      </c>
      <c r="F142" s="24">
        <f t="shared" si="31"/>
        <v>1511</v>
      </c>
      <c r="G142" s="24">
        <f t="shared" si="31"/>
        <v>0</v>
      </c>
      <c r="H142" s="24">
        <f t="shared" si="31"/>
        <v>56773</v>
      </c>
      <c r="I142" s="24"/>
      <c r="J142" s="24">
        <f t="shared" ref="J142:P142" si="32">IF(AND(J94="-",J46="-"),"-",SUM(J94,J46))</f>
        <v>0</v>
      </c>
      <c r="K142" s="24">
        <f t="shared" si="32"/>
        <v>0</v>
      </c>
      <c r="L142" s="24">
        <f t="shared" si="32"/>
        <v>1220</v>
      </c>
      <c r="M142" s="24">
        <f t="shared" si="32"/>
        <v>7869</v>
      </c>
      <c r="N142" s="24">
        <f t="shared" si="32"/>
        <v>5498</v>
      </c>
      <c r="O142" s="24">
        <f t="shared" si="32"/>
        <v>0</v>
      </c>
      <c r="P142" s="24">
        <f t="shared" si="32"/>
        <v>14587</v>
      </c>
    </row>
    <row r="143" spans="1:16" ht="11.25" customHeight="1">
      <c r="A143" s="122">
        <v>2018</v>
      </c>
      <c r="B143" s="24">
        <f t="shared" ref="B143:H143" si="33">IF(AND(B95="-",B47="-"),"-",SUM(B95,B47))</f>
        <v>7972</v>
      </c>
      <c r="C143" s="24">
        <f t="shared" si="33"/>
        <v>20698</v>
      </c>
      <c r="D143" s="24">
        <f t="shared" si="33"/>
        <v>13924</v>
      </c>
      <c r="E143" s="24">
        <f t="shared" si="33"/>
        <v>3566</v>
      </c>
      <c r="F143" s="24">
        <f t="shared" si="33"/>
        <v>1168</v>
      </c>
      <c r="G143" s="24">
        <f t="shared" si="33"/>
        <v>0</v>
      </c>
      <c r="H143" s="24">
        <f t="shared" si="33"/>
        <v>47328</v>
      </c>
      <c r="J143" s="24">
        <f t="shared" ref="J143:P143" si="34">IF(AND(J95="-",J47="-"),"-",SUM(J95,J47))</f>
        <v>0</v>
      </c>
      <c r="K143" s="24">
        <f t="shared" si="34"/>
        <v>15</v>
      </c>
      <c r="L143" s="24">
        <f t="shared" si="34"/>
        <v>2166</v>
      </c>
      <c r="M143" s="24">
        <f t="shared" si="34"/>
        <v>5968</v>
      </c>
      <c r="N143" s="24">
        <f t="shared" si="34"/>
        <v>4912</v>
      </c>
      <c r="O143" s="24">
        <f t="shared" si="34"/>
        <v>0</v>
      </c>
      <c r="P143" s="24">
        <f t="shared" si="34"/>
        <v>13061</v>
      </c>
    </row>
    <row r="144" spans="1:16" ht="11.25" customHeight="1">
      <c r="A144" s="122">
        <v>2019</v>
      </c>
      <c r="B144" s="24">
        <f t="shared" ref="B144:H144" si="35">IF(AND(B96="-",B48="-"),"-",SUM(B96,B48))</f>
        <v>4571</v>
      </c>
      <c r="C144" s="24">
        <f t="shared" si="35"/>
        <v>5128</v>
      </c>
      <c r="D144" s="24">
        <f t="shared" si="35"/>
        <v>23708</v>
      </c>
      <c r="E144" s="24">
        <f t="shared" si="35"/>
        <v>5430</v>
      </c>
      <c r="F144" s="24">
        <f t="shared" si="35"/>
        <v>2031</v>
      </c>
      <c r="G144" s="24">
        <f t="shared" si="35"/>
        <v>0</v>
      </c>
      <c r="H144" s="24">
        <f t="shared" si="35"/>
        <v>40868</v>
      </c>
      <c r="J144" s="24">
        <f t="shared" ref="J144:P144" si="36">IF(AND(J96="-",J48="-"),"-",SUM(J96,J48))</f>
        <v>0</v>
      </c>
      <c r="K144" s="24">
        <f t="shared" si="36"/>
        <v>0</v>
      </c>
      <c r="L144" s="24">
        <f t="shared" si="36"/>
        <v>15891</v>
      </c>
      <c r="M144" s="24">
        <f t="shared" si="36"/>
        <v>34878</v>
      </c>
      <c r="N144" s="24">
        <f t="shared" si="36"/>
        <v>8474</v>
      </c>
      <c r="O144" s="24">
        <f t="shared" si="36"/>
        <v>0</v>
      </c>
      <c r="P144" s="24">
        <f t="shared" si="36"/>
        <v>59243</v>
      </c>
    </row>
    <row r="145" spans="1:16" ht="11.25" customHeight="1">
      <c r="A145" s="122">
        <v>2020</v>
      </c>
      <c r="B145" s="24">
        <f t="shared" ref="B145:H146" si="37">IF(AND(B97="-",B49="-"),"-",SUM(B97,B49))</f>
        <v>486</v>
      </c>
      <c r="C145" s="24">
        <f t="shared" si="37"/>
        <v>1198</v>
      </c>
      <c r="D145" s="24">
        <f t="shared" si="37"/>
        <v>7891</v>
      </c>
      <c r="E145" s="24">
        <f t="shared" si="37"/>
        <v>4579</v>
      </c>
      <c r="F145" s="24">
        <f t="shared" si="37"/>
        <v>215</v>
      </c>
      <c r="G145" s="24">
        <f t="shared" si="37"/>
        <v>0</v>
      </c>
      <c r="H145" s="24">
        <f t="shared" si="37"/>
        <v>14369</v>
      </c>
      <c r="J145" s="24">
        <f t="shared" ref="J145:P146" si="38">IF(AND(J97="-",J49="-"),"-",SUM(J97,J49))</f>
        <v>0</v>
      </c>
      <c r="K145" s="24">
        <f t="shared" si="38"/>
        <v>0</v>
      </c>
      <c r="L145" s="24">
        <f t="shared" si="38"/>
        <v>809</v>
      </c>
      <c r="M145" s="24">
        <f t="shared" si="38"/>
        <v>11178</v>
      </c>
      <c r="N145" s="24">
        <f t="shared" si="38"/>
        <v>3026</v>
      </c>
      <c r="O145" s="24">
        <f t="shared" si="38"/>
        <v>0</v>
      </c>
      <c r="P145" s="24">
        <f t="shared" si="38"/>
        <v>15013</v>
      </c>
    </row>
    <row r="146" spans="1:16" ht="11.25" customHeight="1">
      <c r="A146" s="122" t="s">
        <v>317</v>
      </c>
      <c r="B146" s="24">
        <f t="shared" si="37"/>
        <v>2963</v>
      </c>
      <c r="C146" s="24">
        <f t="shared" si="37"/>
        <v>9346</v>
      </c>
      <c r="D146" s="24">
        <f t="shared" si="37"/>
        <v>9308</v>
      </c>
      <c r="E146" s="24">
        <f t="shared" si="37"/>
        <v>4808</v>
      </c>
      <c r="F146" s="24">
        <f t="shared" si="37"/>
        <v>741</v>
      </c>
      <c r="G146" s="24">
        <f t="shared" si="37"/>
        <v>0</v>
      </c>
      <c r="H146" s="24">
        <f t="shared" si="37"/>
        <v>27166</v>
      </c>
      <c r="J146" s="24">
        <f t="shared" si="38"/>
        <v>0</v>
      </c>
      <c r="K146" s="24">
        <f t="shared" si="38"/>
        <v>0</v>
      </c>
      <c r="L146" s="24">
        <f t="shared" si="38"/>
        <v>1590</v>
      </c>
      <c r="M146" s="24">
        <f t="shared" si="38"/>
        <v>16066</v>
      </c>
      <c r="N146" s="24">
        <f t="shared" si="38"/>
        <v>12002</v>
      </c>
      <c r="O146" s="24">
        <f t="shared" si="38"/>
        <v>0</v>
      </c>
      <c r="P146" s="24">
        <f t="shared" si="38"/>
        <v>29658</v>
      </c>
    </row>
    <row r="147" spans="1:16" ht="11.25" customHeight="1"/>
    <row r="148" spans="1:16" ht="11.25" customHeight="1">
      <c r="A148" s="94" t="s">
        <v>86</v>
      </c>
      <c r="B148" s="89"/>
      <c r="C148" s="89"/>
      <c r="D148" s="89"/>
    </row>
    <row r="149" spans="1:16" ht="11.25" customHeight="1">
      <c r="A149" s="99">
        <v>1976</v>
      </c>
      <c r="B149" s="24">
        <f>IF(AND('A-13'!B150="-",'A-8'!D29="-"),"-",SUM('A-13'!B150,'A-8'!D29))</f>
        <v>26728</v>
      </c>
      <c r="C149" s="24">
        <f>IF(AND('A-13'!C150="-",'A-8'!E29="-"),"-",SUM('A-13'!C150,'A-8'!E29))</f>
        <v>28181</v>
      </c>
      <c r="D149" s="24">
        <f>IF(AND('A-13'!D150="-",'A-8'!F29="-"),"-",SUM('A-13'!D150,'A-8'!F29))</f>
        <v>9056</v>
      </c>
      <c r="E149" s="24">
        <f>IF(AND('A-13'!E150="-",'A-8'!G29="-"),"-",SUM('A-13'!E150,'A-8'!G29))</f>
        <v>5894</v>
      </c>
      <c r="F149" s="24">
        <f>IF(AND('A-13'!F150="-",'A-8'!H29="-"),"-",SUM('A-13'!F150,'A-8'!H29))</f>
        <v>4232</v>
      </c>
      <c r="G149" s="24">
        <f>'A-8'!I29</f>
        <v>210</v>
      </c>
      <c r="H149" s="24">
        <f>SUM(B149:G149)</f>
        <v>74301</v>
      </c>
      <c r="J149" s="24" t="s">
        <v>23</v>
      </c>
      <c r="K149" s="24">
        <f>IF(AND('A-13'!J150="-",'A-8'!N29="-"),"-",SUM('A-13'!J150,'A-8'!N29))</f>
        <v>162988</v>
      </c>
      <c r="L149" s="24">
        <f>IF(AND('A-13'!K150="-",'A-8'!O29="-"),"-",SUM('A-13'!K150,'A-8'!O29))</f>
        <v>194685</v>
      </c>
      <c r="M149" s="24">
        <f>IF(AND('A-13'!L150="-",'A-8'!P29="-"),"-",SUM('A-13'!L150,'A-8'!P29))</f>
        <v>85875</v>
      </c>
      <c r="N149" s="24">
        <f>IF(AND('A-13'!M150="-",'A-8'!Q29="-"),"-",SUM('A-13'!M150,'A-8'!Q29))</f>
        <v>57506</v>
      </c>
      <c r="O149" s="24">
        <f>'A-8'!R29</f>
        <v>1747</v>
      </c>
      <c r="P149" s="24">
        <v>398636</v>
      </c>
    </row>
    <row r="150" spans="1:16" ht="11.25" customHeight="1">
      <c r="A150" s="99">
        <v>1977</v>
      </c>
      <c r="B150" s="24">
        <f>IF(AND('A-13'!B151="-",'A-8'!D30="-"),"-",SUM('A-13'!B151,'A-8'!D30))</f>
        <v>21182</v>
      </c>
      <c r="C150" s="24">
        <f>IF(AND('A-13'!C151="-",'A-8'!E30="-"),"-",SUM('A-13'!C151,'A-8'!E30))</f>
        <v>12219</v>
      </c>
      <c r="D150" s="24">
        <f>IF(AND('A-13'!D151="-",'A-8'!F30="-"),"-",SUM('A-13'!D151,'A-8'!F30))</f>
        <v>10755</v>
      </c>
      <c r="E150" s="24">
        <f>IF(AND('A-13'!E151="-",'A-8'!G30="-"),"-",SUM('A-13'!E151,'A-8'!G30))</f>
        <v>6185</v>
      </c>
      <c r="F150" s="24">
        <f>IF(AND('A-13'!F151="-",'A-8'!H30="-"),"-",SUM('A-13'!F151,'A-8'!H30))</f>
        <v>11290</v>
      </c>
      <c r="G150" s="24">
        <f>'A-8'!I30</f>
        <v>697</v>
      </c>
      <c r="H150" s="24">
        <f t="shared" ref="H150:H177" si="39">SUM(B150:G150)</f>
        <v>62328</v>
      </c>
      <c r="J150" s="24">
        <v>4</v>
      </c>
      <c r="K150" s="24">
        <f>IF(AND('A-13'!J151="-",'A-8'!N30="-"),"-",SUM('A-13'!J151,'A-8'!N30))</f>
        <v>26661</v>
      </c>
      <c r="L150" s="24">
        <f>IF(AND('A-13'!K151="-",'A-8'!O30="-"),"-",SUM('A-13'!K151,'A-8'!O30))</f>
        <v>102923</v>
      </c>
      <c r="M150" s="24">
        <f>IF(AND('A-13'!L151="-",'A-8'!P30="-"),"-",SUM('A-13'!L151,'A-8'!P30))</f>
        <v>23826</v>
      </c>
      <c r="N150" s="24">
        <f>IF(AND('A-13'!M151="-",'A-8'!Q30="-"),"-",SUM('A-13'!M151,'A-8'!Q30))</f>
        <v>18464</v>
      </c>
      <c r="O150" s="24">
        <f>'A-8'!R30</f>
        <v>374</v>
      </c>
      <c r="P150" s="24">
        <v>172252</v>
      </c>
    </row>
    <row r="151" spans="1:16" ht="11.25" customHeight="1">
      <c r="A151" s="99">
        <v>1978</v>
      </c>
      <c r="B151" s="24">
        <f>IF(AND('A-13'!B152="-",'A-8'!D31="-"),"-",SUM('A-13'!B152,'A-8'!D31))</f>
        <v>1892</v>
      </c>
      <c r="C151" s="24">
        <f>IF(AND('A-13'!C152="-",'A-8'!E31="-"),"-",SUM('A-13'!C152,'A-8'!E31))</f>
        <v>8166</v>
      </c>
      <c r="D151" s="24">
        <f>IF(AND('A-13'!D152="-",'A-8'!F31="-"),"-",SUM('A-13'!D152,'A-8'!F31))</f>
        <v>9530</v>
      </c>
      <c r="E151" s="24">
        <f>IF(AND('A-13'!E152="-",'A-8'!G31="-"),"-",SUM('A-13'!E152,'A-8'!G31))</f>
        <v>2479</v>
      </c>
      <c r="F151" s="24">
        <f>IF(AND('A-13'!F152="-",'A-8'!H31="-"),"-",SUM('A-13'!F152,'A-8'!H31))</f>
        <v>1694</v>
      </c>
      <c r="G151" s="24">
        <f>'A-8'!I31</f>
        <v>1966</v>
      </c>
      <c r="H151" s="24">
        <f t="shared" si="39"/>
        <v>25727</v>
      </c>
      <c r="J151" s="24" t="s">
        <v>23</v>
      </c>
      <c r="K151" s="24">
        <f>IF(AND('A-13'!J152="-",'A-8'!N31="-"),"-",SUM('A-13'!J152,'A-8'!N31))</f>
        <v>17840</v>
      </c>
      <c r="L151" s="24">
        <f>IF(AND('A-13'!K152="-",'A-8'!O31="-"),"-",SUM('A-13'!K152,'A-8'!O31))</f>
        <v>83076</v>
      </c>
      <c r="M151" s="24">
        <f>IF(AND('A-13'!L152="-",'A-8'!P31="-"),"-",SUM('A-13'!L152,'A-8'!P31))</f>
        <v>20265</v>
      </c>
      <c r="N151" s="24">
        <f>IF(AND('A-13'!M152="-",'A-8'!Q31="-"),"-",SUM('A-13'!M152,'A-8'!Q31))</f>
        <v>25692</v>
      </c>
      <c r="O151" s="24">
        <f>'A-8'!R31</f>
        <v>1092</v>
      </c>
      <c r="P151" s="24">
        <v>147965</v>
      </c>
    </row>
    <row r="152" spans="1:16" ht="11.25" customHeight="1">
      <c r="A152" s="99">
        <v>1979</v>
      </c>
      <c r="B152" s="24">
        <f>IF(AND('A-13'!B153="-",'A-8'!D32="-"),"-",SUM('A-13'!B153,'A-8'!D32))</f>
        <v>3829</v>
      </c>
      <c r="C152" s="24">
        <f>IF(AND('A-13'!C153="-",'A-8'!E32="-"),"-",SUM('A-13'!C153,'A-8'!E32))</f>
        <v>15</v>
      </c>
      <c r="D152" s="24">
        <f>IF(AND('A-13'!D153="-",'A-8'!F32="-"),"-",SUM('A-13'!D153,'A-8'!F32))</f>
        <v>4428</v>
      </c>
      <c r="E152" s="24">
        <f>IF(AND('A-13'!E153="-",'A-8'!G32="-"),"-",SUM('A-13'!E153,'A-8'!G32))</f>
        <v>6647</v>
      </c>
      <c r="F152" s="24">
        <f>IF(AND('A-13'!F153="-",'A-8'!H32="-"),"-",SUM('A-13'!F153,'A-8'!H32))</f>
        <v>629</v>
      </c>
      <c r="G152" s="24">
        <f>'A-8'!I32</f>
        <v>9</v>
      </c>
      <c r="H152" s="24">
        <f t="shared" si="39"/>
        <v>15557</v>
      </c>
      <c r="J152" s="24">
        <v>7</v>
      </c>
      <c r="K152" s="24">
        <f>IF(AND('A-13'!J153="-",'A-8'!N32="-"),"-",SUM('A-13'!J153,'A-8'!N32))</f>
        <v>11</v>
      </c>
      <c r="L152" s="24">
        <f>IF(AND('A-13'!K153="-",'A-8'!O32="-"),"-",SUM('A-13'!K153,'A-8'!O32))</f>
        <v>107189</v>
      </c>
      <c r="M152" s="24">
        <f>IF(AND('A-13'!L153="-",'A-8'!P32="-"),"-",SUM('A-13'!L153,'A-8'!P32))</f>
        <v>51453</v>
      </c>
      <c r="N152" s="24">
        <f>IF(AND('A-13'!M153="-",'A-8'!Q32="-"),"-",SUM('A-13'!M153,'A-8'!Q32))</f>
        <v>2626</v>
      </c>
      <c r="O152" s="24" t="str">
        <f>'A-8'!R32</f>
        <v>-</v>
      </c>
      <c r="P152" s="24">
        <v>161286</v>
      </c>
    </row>
    <row r="153" spans="1:16" ht="11.25" customHeight="1">
      <c r="A153" s="99">
        <v>1980</v>
      </c>
      <c r="B153" s="24">
        <f>IF(AND('A-13'!B154="-",'A-8'!D33="-"),"-",SUM('A-13'!B154,'A-8'!D33))</f>
        <v>11515</v>
      </c>
      <c r="C153" s="24">
        <f>IF(AND('A-13'!C154="-",'A-8'!E33="-"),"-",SUM('A-13'!C154,'A-8'!E33))</f>
        <v>15</v>
      </c>
      <c r="D153" s="24">
        <f>IF(AND('A-13'!D154="-",'A-8'!F33="-"),"-",SUM('A-13'!D154,'A-8'!F33))</f>
        <v>1511</v>
      </c>
      <c r="E153" s="24">
        <f>IF(AND('A-13'!E154="-",'A-8'!G33="-"),"-",SUM('A-13'!E154,'A-8'!G33))</f>
        <v>2755</v>
      </c>
      <c r="F153" s="24">
        <f>IF(AND('A-13'!F154="-",'A-8'!H33="-"),"-",SUM('A-13'!F154,'A-8'!H33))</f>
        <v>557</v>
      </c>
      <c r="G153" s="24">
        <f>'A-8'!I33</f>
        <v>5</v>
      </c>
      <c r="H153" s="24">
        <f t="shared" si="39"/>
        <v>16358</v>
      </c>
      <c r="J153" s="24" t="s">
        <v>23</v>
      </c>
      <c r="K153" s="24" t="str">
        <f>IF(AND('A-13'!J154="-",'A-8'!N33="-"),"-",SUM('A-13'!J154,'A-8'!N33))</f>
        <v>-</v>
      </c>
      <c r="L153" s="24">
        <f>IF(AND('A-13'!K154="-",'A-8'!O33="-"),"-",SUM('A-13'!K154,'A-8'!O33))</f>
        <v>30259</v>
      </c>
      <c r="M153" s="24">
        <f>IF(AND('A-13'!L154="-",'A-8'!P33="-"),"-",SUM('A-13'!L154,'A-8'!P33))</f>
        <v>25561</v>
      </c>
      <c r="N153" s="24">
        <f>IF(AND('A-13'!M154="-",'A-8'!Q33="-"),"-",SUM('A-13'!M154,'A-8'!Q33))</f>
        <v>9812</v>
      </c>
      <c r="O153" s="24">
        <f>'A-8'!R33</f>
        <v>304</v>
      </c>
      <c r="P153" s="24">
        <v>65936</v>
      </c>
    </row>
    <row r="154" spans="1:16" ht="11.25" customHeight="1">
      <c r="A154" s="99">
        <v>1981</v>
      </c>
      <c r="B154" s="24">
        <f>IF(AND('A-13'!B155="-",'A-8'!D34="-"),"-",SUM('A-13'!B155,'A-8'!D34))</f>
        <v>15893</v>
      </c>
      <c r="C154" s="24">
        <f>IF(AND('A-13'!C155="-",'A-8'!E34="-"),"-",SUM('A-13'!C155,'A-8'!E34))</f>
        <v>28</v>
      </c>
      <c r="D154" s="24">
        <f>IF(AND('A-13'!D155="-",'A-8'!F34="-"),"-",SUM('A-13'!D155,'A-8'!F34))</f>
        <v>2184</v>
      </c>
      <c r="E154" s="24">
        <f>IF(AND('A-13'!E155="-",'A-8'!G34="-"),"-",SUM('A-13'!E155,'A-8'!G34))</f>
        <v>1802</v>
      </c>
      <c r="F154" s="24">
        <f>IF(AND('A-13'!F155="-",'A-8'!H34="-"),"-",SUM('A-13'!F155,'A-8'!H34))</f>
        <v>0</v>
      </c>
      <c r="G154" s="24">
        <f>'A-8'!I34</f>
        <v>9</v>
      </c>
      <c r="H154" s="24">
        <f t="shared" si="39"/>
        <v>19916</v>
      </c>
      <c r="J154" s="24" t="s">
        <v>23</v>
      </c>
      <c r="K154" s="24" t="str">
        <f>IF(AND('A-13'!J155="-",'A-8'!N34="-"),"-",SUM('A-13'!J155,'A-8'!N34))</f>
        <v>-</v>
      </c>
      <c r="L154" s="24">
        <f>IF(AND('A-13'!K155="-",'A-8'!O34="-"),"-",SUM('A-13'!K155,'A-8'!O34))</f>
        <v>77778</v>
      </c>
      <c r="M154" s="24">
        <f>IF(AND('A-13'!L155="-",'A-8'!P34="-"),"-",SUM('A-13'!L155,'A-8'!P34))</f>
        <v>45012</v>
      </c>
      <c r="N154" s="24" t="str">
        <f>IF(AND('A-13'!M155="-",'A-8'!Q34="-"),"-",SUM('A-13'!M155,'A-8'!Q34))</f>
        <v>-</v>
      </c>
      <c r="O154" s="24" t="str">
        <f>'A-8'!R34</f>
        <v>-</v>
      </c>
      <c r="P154" s="24">
        <v>122790</v>
      </c>
    </row>
    <row r="155" spans="1:16" ht="11.25" customHeight="1">
      <c r="A155" s="99">
        <v>1982</v>
      </c>
      <c r="B155" s="24">
        <f>IF(AND('A-13'!B156="-",'A-8'!D35="-"),"-",SUM('A-13'!B156,'A-8'!D35))</f>
        <v>19036</v>
      </c>
      <c r="C155" s="24">
        <f>IF(AND('A-13'!C156="-",'A-8'!E35="-"),"-",SUM('A-13'!C156,'A-8'!E35))</f>
        <v>1577</v>
      </c>
      <c r="D155" s="24">
        <f>IF(AND('A-13'!D156="-",'A-8'!F35="-"),"-",SUM('A-13'!D156,'A-8'!F35))</f>
        <v>6720</v>
      </c>
      <c r="E155" s="24">
        <f>IF(AND('A-13'!E156="-",'A-8'!G35="-"),"-",SUM('A-13'!E156,'A-8'!G35))</f>
        <v>0</v>
      </c>
      <c r="F155" s="24">
        <f>IF(AND('A-13'!F156="-",'A-8'!H35="-"),"-",SUM('A-13'!F156,'A-8'!H35))</f>
        <v>0</v>
      </c>
      <c r="G155" s="24">
        <f>'A-8'!I35</f>
        <v>0</v>
      </c>
      <c r="H155" s="24">
        <f t="shared" si="39"/>
        <v>27333</v>
      </c>
      <c r="J155" s="24" t="s">
        <v>23</v>
      </c>
      <c r="K155" s="24" t="str">
        <f>IF(AND('A-13'!J156="-",'A-8'!N35="-"),"-",SUM('A-13'!J156,'A-8'!N35))</f>
        <v>-</v>
      </c>
      <c r="L155" s="24">
        <f>IF(AND('A-13'!K156="-",'A-8'!O35="-"),"-",SUM('A-13'!K156,'A-8'!O35))</f>
        <v>67866</v>
      </c>
      <c r="M155" s="24" t="str">
        <f>IF(AND('A-13'!L156="-",'A-8'!P35="-"),"-",SUM('A-13'!L156,'A-8'!P35))</f>
        <v>-</v>
      </c>
      <c r="N155" s="24" t="str">
        <f>IF(AND('A-13'!M156="-",'A-8'!Q35="-"),"-",SUM('A-13'!M156,'A-8'!Q35))</f>
        <v>-</v>
      </c>
      <c r="O155" s="24" t="str">
        <f>'A-8'!R35</f>
        <v>-</v>
      </c>
      <c r="P155" s="24">
        <v>67866</v>
      </c>
    </row>
    <row r="156" spans="1:16" ht="11.25" customHeight="1">
      <c r="A156" s="99">
        <v>1983</v>
      </c>
      <c r="B156" s="24">
        <f>IF(AND('A-13'!B157="-",'A-8'!D36="-"),"-",SUM('A-13'!B157,'A-8'!D36))</f>
        <v>8255</v>
      </c>
      <c r="C156" s="24">
        <f>IF(AND('A-13'!C157="-",'A-8'!E36="-"),"-",SUM('A-13'!C157,'A-8'!E36))</f>
        <v>2185</v>
      </c>
      <c r="D156" s="24">
        <f>IF(AND('A-13'!D157="-",'A-8'!F36="-"),"-",SUM('A-13'!D157,'A-8'!F36))</f>
        <v>516</v>
      </c>
      <c r="E156" s="24">
        <f>IF(AND('A-13'!E157="-",'A-8'!G36="-"),"-",SUM('A-13'!E157,'A-8'!G36))</f>
        <v>563</v>
      </c>
      <c r="F156" s="24">
        <f>IF(AND('A-13'!F157="-",'A-8'!H36="-"),"-",SUM('A-13'!F157,'A-8'!H36))</f>
        <v>534</v>
      </c>
      <c r="G156" s="24">
        <f>'A-8'!I36</f>
        <v>0</v>
      </c>
      <c r="H156" s="24">
        <f t="shared" si="39"/>
        <v>12053</v>
      </c>
      <c r="J156" s="24" t="s">
        <v>23</v>
      </c>
      <c r="K156" s="24" t="str">
        <f>IF(AND('A-13'!J157="-",'A-8'!N36="-"),"-",SUM('A-13'!J157,'A-8'!N36))</f>
        <v>-</v>
      </c>
      <c r="L156" s="24">
        <f>IF(AND('A-13'!K157="-",'A-8'!O36="-"),"-",SUM('A-13'!K157,'A-8'!O36))</f>
        <v>243</v>
      </c>
      <c r="M156" s="24">
        <f>IF(AND('A-13'!L157="-",'A-8'!P36="-"),"-",SUM('A-13'!L157,'A-8'!P36))</f>
        <v>7265</v>
      </c>
      <c r="N156" s="24">
        <f>IF(AND('A-13'!M157="-",'A-8'!Q36="-"),"-",SUM('A-13'!M157,'A-8'!Q36))</f>
        <v>15916</v>
      </c>
      <c r="O156" s="24" t="str">
        <f>'A-8'!R36</f>
        <v>-</v>
      </c>
      <c r="P156" s="24">
        <v>23424</v>
      </c>
    </row>
    <row r="157" spans="1:16" ht="11.25" customHeight="1">
      <c r="A157" s="99">
        <v>1984</v>
      </c>
      <c r="B157" s="24">
        <f>IF(AND('A-13'!B158="-",'A-8'!D37="-"),"-",SUM('A-13'!B158,'A-8'!D37))</f>
        <v>1909</v>
      </c>
      <c r="C157" s="24">
        <f>IF(AND('A-13'!C158="-",'A-8'!E37="-"),"-",SUM('A-13'!C158,'A-8'!E37))</f>
        <v>0</v>
      </c>
      <c r="D157" s="24">
        <f>IF(AND('A-13'!D158="-",'A-8'!F37="-"),"-",SUM('A-13'!D158,'A-8'!F37))</f>
        <v>0</v>
      </c>
      <c r="E157" s="24">
        <f>IF(AND('A-13'!E158="-",'A-8'!G37="-"),"-",SUM('A-13'!E158,'A-8'!G37))</f>
        <v>569</v>
      </c>
      <c r="F157" s="24">
        <f>IF(AND('A-13'!F158="-",'A-8'!H37="-"),"-",SUM('A-13'!F158,'A-8'!H37))</f>
        <v>0</v>
      </c>
      <c r="G157" s="24">
        <f>'A-8'!I37</f>
        <v>0</v>
      </c>
      <c r="H157" s="24">
        <f t="shared" si="39"/>
        <v>2478</v>
      </c>
      <c r="J157" s="24" t="s">
        <v>23</v>
      </c>
      <c r="K157" s="24" t="str">
        <f>IF(AND('A-13'!J158="-",'A-8'!N37="-"),"-",SUM('A-13'!J158,'A-8'!N37))</f>
        <v>-</v>
      </c>
      <c r="L157" s="24" t="str">
        <f>IF(AND('A-13'!K158="-",'A-8'!O37="-"),"-",SUM('A-13'!K158,'A-8'!O37))</f>
        <v>-</v>
      </c>
      <c r="M157" s="24">
        <f>IF(AND('A-13'!L158="-",'A-8'!P37="-"),"-",SUM('A-13'!L158,'A-8'!P37))</f>
        <v>20298</v>
      </c>
      <c r="N157" s="24" t="str">
        <f>IF(AND('A-13'!M158="-",'A-8'!Q37="-"),"-",SUM('A-13'!M158,'A-8'!Q37))</f>
        <v>-</v>
      </c>
      <c r="O157" s="24" t="str">
        <f>'A-8'!R37</f>
        <v>-</v>
      </c>
      <c r="P157" s="24">
        <v>20298</v>
      </c>
    </row>
    <row r="158" spans="1:16" ht="11.25" customHeight="1">
      <c r="A158" s="99">
        <v>1985</v>
      </c>
      <c r="B158" s="24">
        <f>IF(AND('A-13'!B159="-",'A-8'!D38="-"),"-",SUM('A-13'!B159,'A-8'!D38))</f>
        <v>10916</v>
      </c>
      <c r="C158" s="24">
        <f>IF(AND('A-13'!C159="-",'A-8'!E38="-"),"-",SUM('A-13'!C159,'A-8'!E38))</f>
        <v>0</v>
      </c>
      <c r="D158" s="24">
        <f>IF(AND('A-13'!D159="-",'A-8'!F38="-"),"-",SUM('A-13'!D159,'A-8'!F38))</f>
        <v>0</v>
      </c>
      <c r="E158" s="24">
        <f>IF(AND('A-13'!E159="-",'A-8'!G38="-"),"-",SUM('A-13'!E159,'A-8'!G38))</f>
        <v>942</v>
      </c>
      <c r="F158" s="24">
        <f>IF(AND('A-13'!F159="-",'A-8'!H38="-"),"-",SUM('A-13'!F159,'A-8'!H38))</f>
        <v>0</v>
      </c>
      <c r="G158" s="24">
        <f>'A-8'!I38</f>
        <v>3</v>
      </c>
      <c r="H158" s="24">
        <f t="shared" si="39"/>
        <v>11861</v>
      </c>
      <c r="J158" s="24" t="s">
        <v>23</v>
      </c>
      <c r="K158" s="24" t="str">
        <f>IF(AND('A-13'!J159="-",'A-8'!N38="-"),"-",SUM('A-13'!J159,'A-8'!N38))</f>
        <v>-</v>
      </c>
      <c r="L158" s="24" t="str">
        <f>IF(AND('A-13'!K159="-",'A-8'!O38="-"),"-",SUM('A-13'!K159,'A-8'!O38))</f>
        <v>-</v>
      </c>
      <c r="M158" s="24">
        <f>IF(AND('A-13'!L159="-",'A-8'!P38="-"),"-",SUM('A-13'!L159,'A-8'!P38))</f>
        <v>32581</v>
      </c>
      <c r="N158" s="24" t="str">
        <f>IF(AND('A-13'!M159="-",'A-8'!Q38="-"),"-",SUM('A-13'!M159,'A-8'!Q38))</f>
        <v>-</v>
      </c>
      <c r="O158" s="24" t="str">
        <f>'A-8'!R38</f>
        <v>-</v>
      </c>
      <c r="P158" s="24">
        <v>32581</v>
      </c>
    </row>
    <row r="159" spans="1:16" ht="11.25" customHeight="1">
      <c r="A159" s="99">
        <v>1986</v>
      </c>
      <c r="B159" s="24">
        <f>IF(AND('A-13'!B160="-",'A-8'!D39="-"),"-",SUM('A-13'!B160,'A-8'!D39))</f>
        <v>12647</v>
      </c>
      <c r="C159" s="24" t="str">
        <f>IF(AND('A-13'!C160="-",'A-8'!E39="-"),"-",SUM('A-13'!C160,'A-8'!E39))</f>
        <v>-</v>
      </c>
      <c r="D159" s="24" t="str">
        <f>IF(AND('A-13'!D160="-",'A-8'!F39="-"),"-",SUM('A-13'!D160,'A-8'!F39))</f>
        <v>-</v>
      </c>
      <c r="E159" s="24">
        <f>IF(AND('A-13'!E160="-",'A-8'!G39="-"),"-",SUM('A-13'!E160,'A-8'!G39))</f>
        <v>5021</v>
      </c>
      <c r="F159" s="24" t="str">
        <f>IF(AND('A-13'!F160="-",'A-8'!H39="-"),"-",SUM('A-13'!F160,'A-8'!H39))</f>
        <v>-</v>
      </c>
      <c r="G159" s="24" t="str">
        <f>'A-8'!I39</f>
        <v>-</v>
      </c>
      <c r="H159" s="24">
        <f t="shared" si="39"/>
        <v>17668</v>
      </c>
      <c r="J159" s="24" t="s">
        <v>23</v>
      </c>
      <c r="K159" s="24" t="str">
        <f>IF(AND('A-13'!J160="-",'A-8'!N39="-"),"-",SUM('A-13'!J160,'A-8'!N39))</f>
        <v>-</v>
      </c>
      <c r="L159" s="24" t="str">
        <f>IF(AND('A-13'!K160="-",'A-8'!O39="-"),"-",SUM('A-13'!K160,'A-8'!O39))</f>
        <v>-</v>
      </c>
      <c r="M159" s="24">
        <f>IF(AND('A-13'!L160="-",'A-8'!P39="-"),"-",SUM('A-13'!L160,'A-8'!P39))</f>
        <v>91665</v>
      </c>
      <c r="N159" s="24" t="str">
        <f>IF(AND('A-13'!M160="-",'A-8'!Q39="-"),"-",SUM('A-13'!M160,'A-8'!Q39))</f>
        <v>-</v>
      </c>
      <c r="O159" s="24" t="str">
        <f>'A-8'!R39</f>
        <v>-</v>
      </c>
      <c r="P159" s="24">
        <v>91665</v>
      </c>
    </row>
    <row r="160" spans="1:16" ht="11.25" customHeight="1">
      <c r="A160" s="99">
        <v>1987</v>
      </c>
      <c r="B160" s="24">
        <f>IF(AND('A-13'!B161="-",'A-8'!D40="-"),"-",SUM('A-13'!B161,'A-8'!D40))</f>
        <v>6341</v>
      </c>
      <c r="C160" s="24" t="str">
        <f>IF(AND('A-13'!C161="-",'A-8'!E40="-"),"-",SUM('A-13'!C161,'A-8'!E40))</f>
        <v>-</v>
      </c>
      <c r="D160" s="24">
        <f>IF(AND('A-13'!D161="-",'A-8'!F40="-"),"-",SUM('A-13'!D161,'A-8'!F40))</f>
        <v>3549</v>
      </c>
      <c r="E160" s="24" t="str">
        <f>IF(AND('A-13'!E161="-",'A-8'!G40="-"),"-",SUM('A-13'!E161,'A-8'!G40))</f>
        <v>-</v>
      </c>
      <c r="F160" s="24" t="str">
        <f>IF(AND('A-13'!F161="-",'A-8'!H40="-"),"-",SUM('A-13'!F161,'A-8'!H40))</f>
        <v>-</v>
      </c>
      <c r="G160" s="24" t="str">
        <f>'A-8'!I40</f>
        <v>-</v>
      </c>
      <c r="H160" s="24">
        <f t="shared" si="39"/>
        <v>9890</v>
      </c>
      <c r="J160" s="24" t="s">
        <v>23</v>
      </c>
      <c r="K160" s="24" t="str">
        <f>IF(AND('A-13'!J161="-",'A-8'!N40="-"),"-",SUM('A-13'!J161,'A-8'!N40))</f>
        <v>-</v>
      </c>
      <c r="L160" s="24">
        <f>IF(AND('A-13'!K161="-",'A-8'!O40="-"),"-",SUM('A-13'!K161,'A-8'!O40))</f>
        <v>18234</v>
      </c>
      <c r="M160" s="24" t="str">
        <f>IF(AND('A-13'!L161="-",'A-8'!P40="-"),"-",SUM('A-13'!L161,'A-8'!P40))</f>
        <v>-</v>
      </c>
      <c r="N160" s="24" t="str">
        <f>IF(AND('A-13'!M161="-",'A-8'!Q40="-"),"-",SUM('A-13'!M161,'A-8'!Q40))</f>
        <v>-</v>
      </c>
      <c r="O160" s="24" t="str">
        <f>'A-8'!R40</f>
        <v>-</v>
      </c>
      <c r="P160" s="24">
        <v>18234</v>
      </c>
    </row>
    <row r="161" spans="1:16" ht="11.25" customHeight="1">
      <c r="A161" s="99">
        <v>1988</v>
      </c>
      <c r="B161" s="24">
        <f>IF(AND('A-13'!B162="-",'A-8'!D41="-"),"-",SUM('A-13'!B162,'A-8'!D41))</f>
        <v>2635</v>
      </c>
      <c r="C161" s="24">
        <f>IF(AND('A-13'!C162="-",'A-8'!E41="-"),"-",SUM('A-13'!C162,'A-8'!E41))</f>
        <v>2268</v>
      </c>
      <c r="D161" s="24" t="str">
        <f>IF(AND('A-13'!D162="-",'A-8'!F41="-"),"-",SUM('A-13'!D162,'A-8'!F41))</f>
        <v>-</v>
      </c>
      <c r="E161" s="24" t="str">
        <f>IF(AND('A-13'!E162="-",'A-8'!G41="-"),"-",SUM('A-13'!E162,'A-8'!G41))</f>
        <v>-</v>
      </c>
      <c r="F161" s="24" t="str">
        <f>IF(AND('A-13'!F162="-",'A-8'!H41="-"),"-",SUM('A-13'!F162,'A-8'!H41))</f>
        <v>-</v>
      </c>
      <c r="G161" s="24" t="str">
        <f>'A-8'!I41</f>
        <v>-</v>
      </c>
      <c r="H161" s="24">
        <f t="shared" si="39"/>
        <v>4903</v>
      </c>
      <c r="J161" s="24" t="s">
        <v>23</v>
      </c>
      <c r="K161" s="24" t="str">
        <f>IF(AND('A-13'!J162="-",'A-8'!N41="-"),"-",SUM('A-13'!J162,'A-8'!N41))</f>
        <v>-</v>
      </c>
      <c r="L161" s="24" t="str">
        <f>IF(AND('A-13'!K162="-",'A-8'!O41="-"),"-",SUM('A-13'!K162,'A-8'!O41))</f>
        <v>-</v>
      </c>
      <c r="M161" s="24" t="str">
        <f>IF(AND('A-13'!L162="-",'A-8'!P41="-"),"-",SUM('A-13'!L162,'A-8'!P41))</f>
        <v>-</v>
      </c>
      <c r="N161" s="24" t="str">
        <f>IF(AND('A-13'!M162="-",'A-8'!Q41="-"),"-",SUM('A-13'!M162,'A-8'!Q41))</f>
        <v>-</v>
      </c>
      <c r="O161" s="24" t="str">
        <f>'A-8'!R41</f>
        <v>-</v>
      </c>
      <c r="P161" s="24" t="s">
        <v>23</v>
      </c>
    </row>
    <row r="162" spans="1:16" ht="11.25" customHeight="1">
      <c r="A162" s="99">
        <v>1989</v>
      </c>
      <c r="B162" s="24">
        <f>IF(AND('A-13'!B163="-",'A-8'!D42="-"),"-",SUM('A-13'!B163,'A-8'!D42))</f>
        <v>1697</v>
      </c>
      <c r="C162" s="24">
        <f>IF(AND('A-13'!C163="-",'A-8'!E42="-"),"-",SUM('A-13'!C163,'A-8'!E42))</f>
        <v>1292</v>
      </c>
      <c r="D162" s="24" t="str">
        <f>IF(AND('A-13'!D163="-",'A-8'!F42="-"),"-",SUM('A-13'!D163,'A-8'!F42))</f>
        <v>-</v>
      </c>
      <c r="E162" s="24">
        <f>IF(AND('A-13'!E163="-",'A-8'!G42="-"),"-",SUM('A-13'!E163,'A-8'!G42))</f>
        <v>1979</v>
      </c>
      <c r="F162" s="24">
        <f>IF(AND('A-13'!F163="-",'A-8'!H42="-"),"-",SUM('A-13'!F163,'A-8'!H42))</f>
        <v>1055</v>
      </c>
      <c r="G162" s="24" t="str">
        <f>'A-8'!I42</f>
        <v>-</v>
      </c>
      <c r="H162" s="24">
        <f t="shared" si="39"/>
        <v>6023</v>
      </c>
      <c r="J162" s="24" t="s">
        <v>23</v>
      </c>
      <c r="K162" s="24" t="str">
        <f>IF(AND('A-13'!J163="-",'A-8'!N42="-"),"-",SUM('A-13'!J163,'A-8'!N42))</f>
        <v>-</v>
      </c>
      <c r="L162" s="24" t="str">
        <f>IF(AND('A-13'!K163="-",'A-8'!O42="-"),"-",SUM('A-13'!K163,'A-8'!O42))</f>
        <v>-</v>
      </c>
      <c r="M162" s="24">
        <f>IF(AND('A-13'!L163="-",'A-8'!P42="-"),"-",SUM('A-13'!L163,'A-8'!P42))</f>
        <v>20989</v>
      </c>
      <c r="N162" s="24">
        <f>IF(AND('A-13'!M163="-",'A-8'!Q42="-"),"-",SUM('A-13'!M163,'A-8'!Q42))</f>
        <v>16165</v>
      </c>
      <c r="O162" s="24" t="str">
        <f>'A-8'!R42</f>
        <v>-</v>
      </c>
      <c r="P162" s="24">
        <v>37154</v>
      </c>
    </row>
    <row r="163" spans="1:16" ht="11.25" customHeight="1">
      <c r="A163" s="99">
        <v>1990</v>
      </c>
      <c r="B163" s="24">
        <f>IF(AND('A-13'!B164="-",'A-8'!D43="-"),"-",SUM('A-13'!B164,'A-8'!D43))</f>
        <v>624</v>
      </c>
      <c r="C163" s="24">
        <f>IF(AND('A-13'!C164="-",'A-8'!E43="-"),"-",SUM('A-13'!C164,'A-8'!E43))</f>
        <v>232</v>
      </c>
      <c r="D163" s="24" t="str">
        <f>IF(AND('A-13'!D164="-",'A-8'!F43="-"),"-",SUM('A-13'!D164,'A-8'!F43))</f>
        <v>-</v>
      </c>
      <c r="E163" s="24">
        <f>IF(AND('A-13'!E164="-",'A-8'!G43="-"),"-",SUM('A-13'!E164,'A-8'!G43))</f>
        <v>1072</v>
      </c>
      <c r="F163" s="24">
        <f>IF(AND('A-13'!F164="-",'A-8'!H43="-"),"-",SUM('A-13'!F164,'A-8'!H43))</f>
        <v>2349</v>
      </c>
      <c r="G163" s="24">
        <f>'A-8'!I43</f>
        <v>71</v>
      </c>
      <c r="H163" s="24">
        <f t="shared" si="39"/>
        <v>4348</v>
      </c>
      <c r="J163" s="24" t="s">
        <v>23</v>
      </c>
      <c r="K163" s="24" t="str">
        <f>IF(AND('A-13'!J164="-",'A-8'!N43="-"),"-",SUM('A-13'!J164,'A-8'!N43))</f>
        <v>-</v>
      </c>
      <c r="L163" s="24" t="str">
        <f>IF(AND('A-13'!K164="-",'A-8'!O43="-"),"-",SUM('A-13'!K164,'A-8'!O43))</f>
        <v>-</v>
      </c>
      <c r="M163" s="24">
        <f>IF(AND('A-13'!L164="-",'A-8'!P43="-"),"-",SUM('A-13'!L164,'A-8'!P43))</f>
        <v>10709</v>
      </c>
      <c r="N163" s="24">
        <f>IF(AND('A-13'!M164="-",'A-8'!Q43="-"),"-",SUM('A-13'!M164,'A-8'!Q43))</f>
        <v>22447</v>
      </c>
      <c r="O163" s="24">
        <f>'A-8'!R43</f>
        <v>304</v>
      </c>
      <c r="P163" s="24">
        <v>33460</v>
      </c>
    </row>
    <row r="164" spans="1:16" ht="11.25" customHeight="1">
      <c r="A164" s="99">
        <v>1991</v>
      </c>
      <c r="B164" s="24">
        <f>IF(AND('A-13'!B165="-",'A-8'!D44="-"),"-",SUM('A-13'!B165,'A-8'!D44))</f>
        <v>1173</v>
      </c>
      <c r="C164" s="24">
        <f>IF(AND('A-13'!C165="-",'A-8'!E44="-"),"-",SUM('A-13'!C165,'A-8'!E44))</f>
        <v>93</v>
      </c>
      <c r="D164" s="24" t="str">
        <f>IF(AND('A-13'!D165="-",'A-8'!F44="-"),"-",SUM('A-13'!D165,'A-8'!F44))</f>
        <v>-</v>
      </c>
      <c r="E164" s="24">
        <f>IF(AND('A-13'!E165="-",'A-8'!G44="-"),"-",SUM('A-13'!E165,'A-8'!G44))</f>
        <v>898</v>
      </c>
      <c r="F164" s="24">
        <f>IF(AND('A-13'!F165="-",'A-8'!H44="-"),"-",SUM('A-13'!F165,'A-8'!H44))</f>
        <v>122</v>
      </c>
      <c r="G164" s="24" t="str">
        <f>'A-8'!I44</f>
        <v>-</v>
      </c>
      <c r="H164" s="24">
        <f t="shared" si="39"/>
        <v>2286</v>
      </c>
      <c r="J164" s="24" t="s">
        <v>23</v>
      </c>
      <c r="K164" s="24" t="str">
        <f>IF(AND('A-13'!J165="-",'A-8'!N44="-"),"-",SUM('A-13'!J165,'A-8'!N44))</f>
        <v>-</v>
      </c>
      <c r="L164" s="24" t="str">
        <f>IF(AND('A-13'!K165="-",'A-8'!O44="-"),"-",SUM('A-13'!K165,'A-8'!O44))</f>
        <v>-</v>
      </c>
      <c r="M164" s="24">
        <f>IF(AND('A-13'!L165="-",'A-8'!P44="-"),"-",SUM('A-13'!L165,'A-8'!P44))</f>
        <v>36213</v>
      </c>
      <c r="N164" s="24">
        <f>IF(AND('A-13'!M165="-",'A-8'!Q44="-"),"-",SUM('A-13'!M165,'A-8'!Q44))</f>
        <v>6813</v>
      </c>
      <c r="O164" s="24" t="str">
        <f>'A-8'!R44</f>
        <v>-</v>
      </c>
      <c r="P164" s="24">
        <v>43026</v>
      </c>
    </row>
    <row r="165" spans="1:16" ht="11.25" customHeight="1">
      <c r="A165" s="99">
        <v>1992</v>
      </c>
      <c r="B165" s="24">
        <f>IF(AND('A-13'!B166="-",'A-8'!D45="-"),"-",SUM('A-13'!B166,'A-8'!D45))</f>
        <v>2960</v>
      </c>
      <c r="C165" s="24">
        <f>IF(AND('A-13'!C166="-",'A-8'!E45="-"),"-",SUM('A-13'!C166,'A-8'!E45))</f>
        <v>963</v>
      </c>
      <c r="D165" s="24">
        <f>IF(AND('A-13'!D166="-",'A-8'!F45="-"),"-",SUM('A-13'!D166,'A-8'!F45))</f>
        <v>211</v>
      </c>
      <c r="E165" s="24">
        <f>IF(AND('A-13'!E166="-",'A-8'!G45="-"),"-",SUM('A-13'!E166,'A-8'!G45))</f>
        <v>89</v>
      </c>
      <c r="F165" s="24" t="str">
        <f>IF(AND('A-13'!F166="-",'A-8'!H45="-"),"-",SUM('A-13'!F166,'A-8'!H45))</f>
        <v>-</v>
      </c>
      <c r="G165" s="24" t="str">
        <f>'A-8'!I45</f>
        <v>-</v>
      </c>
      <c r="H165" s="24">
        <f t="shared" si="39"/>
        <v>4223</v>
      </c>
      <c r="J165" s="24" t="s">
        <v>23</v>
      </c>
      <c r="K165" s="24" t="str">
        <f>IF(AND('A-13'!J166="-",'A-8'!N45="-"),"-",SUM('A-13'!J166,'A-8'!N45))</f>
        <v>-</v>
      </c>
      <c r="L165" s="24">
        <f>IF(AND('A-13'!K166="-",'A-8'!O45="-"),"-",SUM('A-13'!K166,'A-8'!O45))</f>
        <v>1445</v>
      </c>
      <c r="M165" s="24">
        <f>IF(AND('A-13'!L166="-",'A-8'!P45="-"),"-",SUM('A-13'!L166,'A-8'!P45))</f>
        <v>1068</v>
      </c>
      <c r="N165" s="24" t="str">
        <f>IF(AND('A-13'!M166="-",'A-8'!Q45="-"),"-",SUM('A-13'!M166,'A-8'!Q45))</f>
        <v>-</v>
      </c>
      <c r="O165" s="24" t="str">
        <f>'A-8'!R45</f>
        <v>-</v>
      </c>
      <c r="P165" s="24">
        <v>2513</v>
      </c>
    </row>
    <row r="166" spans="1:16" ht="11.25" customHeight="1">
      <c r="A166" s="99">
        <v>1993</v>
      </c>
      <c r="B166" s="24">
        <f>IF(AND('A-13'!B167="-",'A-8'!D46="-"),"-",SUM('A-13'!B167,'A-8'!D46))</f>
        <v>261</v>
      </c>
      <c r="C166" s="24">
        <f>IF(AND('A-13'!C167="-",'A-8'!E46="-"),"-",SUM('A-13'!C167,'A-8'!E46))</f>
        <v>16</v>
      </c>
      <c r="D166" s="24">
        <f>IF(AND('A-13'!D167="-",'A-8'!F46="-"),"-",SUM('A-13'!D167,'A-8'!F46))</f>
        <v>57</v>
      </c>
      <c r="E166" s="24">
        <f>IF(AND('A-13'!E167="-",'A-8'!G46="-"),"-",SUM('A-13'!E167,'A-8'!G46))</f>
        <v>44</v>
      </c>
      <c r="F166" s="24">
        <f>IF(AND('A-13'!F167="-",'A-8'!H46="-"),"-",SUM('A-13'!F167,'A-8'!H46))</f>
        <v>83</v>
      </c>
      <c r="G166" s="24" t="str">
        <f>'A-8'!I46</f>
        <v>-</v>
      </c>
      <c r="H166" s="24">
        <f t="shared" si="39"/>
        <v>461</v>
      </c>
      <c r="J166" s="24" t="s">
        <v>23</v>
      </c>
      <c r="K166" s="24" t="str">
        <f>IF(AND('A-13'!J167="-",'A-8'!N46="-"),"-",SUM('A-13'!J167,'A-8'!N46))</f>
        <v>-</v>
      </c>
      <c r="L166" s="24">
        <f>IF(AND('A-13'!K167="-",'A-8'!O46="-"),"-",SUM('A-13'!K167,'A-8'!O46))</f>
        <v>377</v>
      </c>
      <c r="M166" s="24">
        <f>IF(AND('A-13'!L167="-",'A-8'!P46="-"),"-",SUM('A-13'!L167,'A-8'!P46))</f>
        <v>741</v>
      </c>
      <c r="N166" s="24">
        <f>IF(AND('A-13'!M167="-",'A-8'!Q46="-"),"-",SUM('A-13'!M167,'A-8'!Q46))</f>
        <v>1060</v>
      </c>
      <c r="O166" s="24" t="str">
        <f>'A-8'!R46</f>
        <v>-</v>
      </c>
      <c r="P166" s="24">
        <v>2178</v>
      </c>
    </row>
    <row r="167" spans="1:16" ht="11.25" customHeight="1">
      <c r="A167" s="99">
        <v>1994</v>
      </c>
      <c r="B167" s="24" t="str">
        <f>IF(AND('A-13'!B168="-",'A-8'!D47="-"),"-",SUM('A-13'!B168,'A-8'!D47))</f>
        <v>-</v>
      </c>
      <c r="C167" s="24" t="str">
        <f>IF(AND('A-13'!C168="-",'A-8'!E47="-"),"-",SUM('A-13'!C168,'A-8'!E47))</f>
        <v>-</v>
      </c>
      <c r="D167" s="24" t="str">
        <f>IF(AND('A-13'!D168="-",'A-8'!F47="-"),"-",SUM('A-13'!D168,'A-8'!F47))</f>
        <v>-</v>
      </c>
      <c r="E167" s="24" t="str">
        <f>IF(AND('A-13'!E168="-",'A-8'!G47="-"),"-",SUM('A-13'!E168,'A-8'!G47))</f>
        <v>-</v>
      </c>
      <c r="F167" s="24" t="str">
        <f>IF(AND('A-13'!F168="-",'A-8'!H47="-"),"-",SUM('A-13'!F168,'A-8'!H47))</f>
        <v>-</v>
      </c>
      <c r="G167" s="24" t="str">
        <f>'A-8'!I47</f>
        <v>-</v>
      </c>
      <c r="H167" s="24" t="s">
        <v>23</v>
      </c>
      <c r="J167" s="24" t="s">
        <v>23</v>
      </c>
      <c r="K167" s="24" t="str">
        <f>IF(AND('A-13'!J168="-",'A-8'!N47="-"),"-",SUM('A-13'!J168,'A-8'!N47))</f>
        <v>-</v>
      </c>
      <c r="L167" s="24" t="str">
        <f>IF(AND('A-13'!K168="-",'A-8'!O47="-"),"-",SUM('A-13'!K168,'A-8'!O47))</f>
        <v>-</v>
      </c>
      <c r="M167" s="24" t="str">
        <f>IF(AND('A-13'!L168="-",'A-8'!P47="-"),"-",SUM('A-13'!L168,'A-8'!P47))</f>
        <v>-</v>
      </c>
      <c r="N167" s="24" t="str">
        <f>IF(AND('A-13'!M168="-",'A-8'!Q47="-"),"-",SUM('A-13'!M168,'A-8'!Q47))</f>
        <v>-</v>
      </c>
      <c r="O167" s="24" t="str">
        <f>'A-8'!R47</f>
        <v>-</v>
      </c>
      <c r="P167" s="24" t="s">
        <v>23</v>
      </c>
    </row>
    <row r="168" spans="1:16" ht="11.25" customHeight="1">
      <c r="A168" s="99">
        <v>1995</v>
      </c>
      <c r="B168" s="24" t="str">
        <f>IF(AND('A-13'!B169="-",'A-8'!D48="-"),"-",SUM('A-13'!B169,'A-8'!D48))</f>
        <v>-</v>
      </c>
      <c r="C168" s="24" t="str">
        <f>IF(AND('A-13'!C169="-",'A-8'!E48="-"),"-",SUM('A-13'!C169,'A-8'!E48))</f>
        <v>-</v>
      </c>
      <c r="D168" s="24" t="str">
        <f>IF(AND('A-13'!D169="-",'A-8'!F48="-"),"-",SUM('A-13'!D169,'A-8'!F48))</f>
        <v>-</v>
      </c>
      <c r="E168" s="24" t="str">
        <f>IF(AND('A-13'!E169="-",'A-8'!G48="-"),"-",SUM('A-13'!E169,'A-8'!G48))</f>
        <v>-</v>
      </c>
      <c r="F168" s="24" t="str">
        <f>IF(AND('A-13'!F169="-",'A-8'!H48="-"),"-",SUM('A-13'!F169,'A-8'!H48))</f>
        <v>-</v>
      </c>
      <c r="G168" s="24" t="str">
        <f>'A-8'!I48</f>
        <v>-</v>
      </c>
      <c r="H168" s="24" t="s">
        <v>23</v>
      </c>
      <c r="J168" s="24" t="s">
        <v>23</v>
      </c>
      <c r="K168" s="24" t="str">
        <f>IF(AND('A-13'!J169="-",'A-8'!N48="-"),"-",SUM('A-13'!J169,'A-8'!N48))</f>
        <v>-</v>
      </c>
      <c r="L168" s="24" t="str">
        <f>IF(AND('A-13'!K169="-",'A-8'!O48="-"),"-",SUM('A-13'!K169,'A-8'!O48))</f>
        <v>-</v>
      </c>
      <c r="M168" s="24" t="str">
        <f>IF(AND('A-13'!L169="-",'A-8'!P48="-"),"-",SUM('A-13'!L169,'A-8'!P48))</f>
        <v>-</v>
      </c>
      <c r="N168" s="24" t="str">
        <f>IF(AND('A-13'!M169="-",'A-8'!Q48="-"),"-",SUM('A-13'!M169,'A-8'!Q48))</f>
        <v>-</v>
      </c>
      <c r="O168" s="24" t="str">
        <f>'A-8'!R48</f>
        <v>-</v>
      </c>
      <c r="P168" s="24" t="s">
        <v>23</v>
      </c>
    </row>
    <row r="169" spans="1:16" ht="11.25" customHeight="1">
      <c r="A169" s="99">
        <v>1996</v>
      </c>
      <c r="B169" s="24" t="str">
        <f>IF(AND('A-13'!B170="-",'A-8'!D49="-"),"-",SUM('A-13'!B170,'A-8'!D49))</f>
        <v>-</v>
      </c>
      <c r="C169" s="24" t="str">
        <f>IF(AND('A-13'!C170="-",'A-8'!E49="-"),"-",SUM('A-13'!C170,'A-8'!E49))</f>
        <v>-</v>
      </c>
      <c r="D169" s="24" t="str">
        <f>IF(AND('A-13'!D170="-",'A-8'!F49="-"),"-",SUM('A-13'!D170,'A-8'!F49))</f>
        <v>-</v>
      </c>
      <c r="E169" s="24" t="str">
        <f>IF(AND('A-13'!E170="-",'A-8'!G49="-"),"-",SUM('A-13'!E170,'A-8'!G49))</f>
        <v>-</v>
      </c>
      <c r="F169" s="24" t="str">
        <f>IF(AND('A-13'!F170="-",'A-8'!H49="-"),"-",SUM('A-13'!F170,'A-8'!H49))</f>
        <v>-</v>
      </c>
      <c r="G169" s="24" t="str">
        <f>'A-8'!I49</f>
        <v>-</v>
      </c>
      <c r="H169" s="24" t="s">
        <v>23</v>
      </c>
      <c r="J169" s="24" t="s">
        <v>23</v>
      </c>
      <c r="K169" s="24" t="str">
        <f>IF(AND('A-13'!J170="-",'A-8'!N49="-"),"-",SUM('A-13'!J170,'A-8'!N49))</f>
        <v>-</v>
      </c>
      <c r="L169" s="24" t="str">
        <f>IF(AND('A-13'!K170="-",'A-8'!O49="-"),"-",SUM('A-13'!K170,'A-8'!O49))</f>
        <v>-</v>
      </c>
      <c r="M169" s="24" t="str">
        <f>IF(AND('A-13'!L170="-",'A-8'!P49="-"),"-",SUM('A-13'!L170,'A-8'!P49))</f>
        <v>-</v>
      </c>
      <c r="N169" s="24" t="str">
        <f>IF(AND('A-13'!M170="-",'A-8'!Q49="-"),"-",SUM('A-13'!M170,'A-8'!Q49))</f>
        <v>-</v>
      </c>
      <c r="O169" s="24" t="str">
        <f>'A-8'!R49</f>
        <v>-</v>
      </c>
      <c r="P169" s="24" t="s">
        <v>23</v>
      </c>
    </row>
    <row r="170" spans="1:16" ht="11.25" customHeight="1">
      <c r="A170" s="99">
        <v>1997</v>
      </c>
      <c r="B170" s="24">
        <f>IF(AND('A-13'!B171="-",'A-8'!D50="-"),"-",SUM('A-13'!B171,'A-8'!D50))</f>
        <v>25</v>
      </c>
      <c r="C170" s="24">
        <f>IF(AND('A-13'!C171="-",'A-8'!E50="-"),"-",SUM('A-13'!C171,'A-8'!E50))</f>
        <v>3</v>
      </c>
      <c r="D170" s="24" t="str">
        <f>IF(AND('A-13'!D171="-",'A-8'!F50="-"),"-",SUM('A-13'!D171,'A-8'!F50))</f>
        <v>-</v>
      </c>
      <c r="E170" s="24" t="str">
        <f>IF(AND('A-13'!E171="-",'A-8'!G50="-"),"-",SUM('A-13'!E171,'A-8'!G50))</f>
        <v>-</v>
      </c>
      <c r="F170" s="24" t="str">
        <f>IF(AND('A-13'!F171="-",'A-8'!H50="-"),"-",SUM('A-13'!F171,'A-8'!H50))</f>
        <v>-</v>
      </c>
      <c r="G170" s="24" t="str">
        <f>'A-8'!I50</f>
        <v>-</v>
      </c>
      <c r="H170" s="24">
        <f t="shared" si="39"/>
        <v>28</v>
      </c>
      <c r="J170" s="24" t="s">
        <v>23</v>
      </c>
      <c r="K170" s="24" t="str">
        <f>IF(AND('A-13'!J171="-",'A-8'!N50="-"),"-",SUM('A-13'!J171,'A-8'!N50))</f>
        <v>-</v>
      </c>
      <c r="L170" s="24" t="str">
        <f>IF(AND('A-13'!K171="-",'A-8'!O50="-"),"-",SUM('A-13'!K171,'A-8'!O50))</f>
        <v>-</v>
      </c>
      <c r="M170" s="24" t="str">
        <f>IF(AND('A-13'!L171="-",'A-8'!P50="-"),"-",SUM('A-13'!L171,'A-8'!P50))</f>
        <v>-</v>
      </c>
      <c r="N170" s="24" t="str">
        <f>IF(AND('A-13'!M171="-",'A-8'!Q50="-"),"-",SUM('A-13'!M171,'A-8'!Q50))</f>
        <v>-</v>
      </c>
      <c r="O170" s="24" t="str">
        <f>'A-8'!R50</f>
        <v>-</v>
      </c>
      <c r="P170" s="24" t="s">
        <v>23</v>
      </c>
    </row>
    <row r="171" spans="1:16" ht="11.25" customHeight="1">
      <c r="A171" s="99">
        <v>1998</v>
      </c>
      <c r="B171" s="24">
        <f>IF(AND('A-13'!B172="-",'A-8'!D51="-"),"-",SUM('A-13'!B172,'A-8'!D51))</f>
        <v>0</v>
      </c>
      <c r="C171" s="24">
        <f>IF(AND('A-13'!C172="-",'A-8'!E51="-"),"-",SUM('A-13'!C172,'A-8'!E51))</f>
        <v>0</v>
      </c>
      <c r="D171" s="24" t="str">
        <f>IF(AND('A-13'!D172="-",'A-8'!F51="-"),"-",SUM('A-13'!D172,'A-8'!F51))</f>
        <v>-</v>
      </c>
      <c r="E171" s="24" t="str">
        <f>IF(AND('A-13'!E172="-",'A-8'!G51="-"),"-",SUM('A-13'!E172,'A-8'!G51))</f>
        <v>-</v>
      </c>
      <c r="F171" s="24" t="str">
        <f>IF(AND('A-13'!F172="-",'A-8'!H51="-"),"-",SUM('A-13'!F172,'A-8'!H51))</f>
        <v>-</v>
      </c>
      <c r="G171" s="24" t="str">
        <f>'A-8'!I51</f>
        <v>-</v>
      </c>
      <c r="H171" s="24">
        <f t="shared" si="39"/>
        <v>0</v>
      </c>
      <c r="J171" s="24" t="s">
        <v>23</v>
      </c>
      <c r="K171" s="24" t="str">
        <f>IF(AND('A-13'!J172="-",'A-8'!N51="-"),"-",SUM('A-13'!J172,'A-8'!N51))</f>
        <v>-</v>
      </c>
      <c r="L171" s="24" t="str">
        <f>IF(AND('A-13'!K172="-",'A-8'!O51="-"),"-",SUM('A-13'!K172,'A-8'!O51))</f>
        <v>-</v>
      </c>
      <c r="M171" s="24" t="str">
        <f>IF(AND('A-13'!L172="-",'A-8'!P51="-"),"-",SUM('A-13'!L172,'A-8'!P51))</f>
        <v>-</v>
      </c>
      <c r="N171" s="24" t="str">
        <f>IF(AND('A-13'!M172="-",'A-8'!Q51="-"),"-",SUM('A-13'!M172,'A-8'!Q51))</f>
        <v>-</v>
      </c>
      <c r="O171" s="24" t="str">
        <f>'A-8'!R51</f>
        <v>-</v>
      </c>
      <c r="P171" s="24" t="s">
        <v>23</v>
      </c>
    </row>
    <row r="172" spans="1:16" ht="11.25" customHeight="1">
      <c r="A172" s="99">
        <v>1999</v>
      </c>
      <c r="B172" s="24">
        <f>IF(AND('A-13'!B173="-",'A-8'!D52="-"),"-",SUM('A-13'!B173,'A-8'!D52))</f>
        <v>0</v>
      </c>
      <c r="C172" s="24">
        <f>IF(AND('A-13'!C173="-",'A-8'!E52="-"),"-",SUM('A-13'!C173,'A-8'!E52))</f>
        <v>15</v>
      </c>
      <c r="D172" s="24" t="str">
        <f>IF(AND('A-13'!D173="-",'A-8'!F52="-"),"-",SUM('A-13'!D173,'A-8'!F52))</f>
        <v>-</v>
      </c>
      <c r="E172" s="24" t="str">
        <f>IF(AND('A-13'!E173="-",'A-8'!G52="-"),"-",SUM('A-13'!E173,'A-8'!G52))</f>
        <v>-</v>
      </c>
      <c r="F172" s="24" t="str">
        <f>IF(AND('A-13'!F173="-",'A-8'!H52="-"),"-",SUM('A-13'!F173,'A-8'!H52))</f>
        <v>-</v>
      </c>
      <c r="G172" s="24" t="str">
        <f>'A-8'!I52</f>
        <v>-</v>
      </c>
      <c r="H172" s="24">
        <f t="shared" si="39"/>
        <v>15</v>
      </c>
      <c r="J172" s="24" t="s">
        <v>23</v>
      </c>
      <c r="K172" s="24" t="str">
        <f>IF(AND('A-13'!J173="-",'A-8'!N52="-"),"-",SUM('A-13'!J173,'A-8'!N52))</f>
        <v>-</v>
      </c>
      <c r="L172" s="24" t="str">
        <f>IF(AND('A-13'!K173="-",'A-8'!O52="-"),"-",SUM('A-13'!K173,'A-8'!O52))</f>
        <v>-</v>
      </c>
      <c r="M172" s="24">
        <f>IF(AND('A-13'!L173="-",'A-8'!P52="-"),"-",SUM('A-13'!L173,'A-8'!P52))</f>
        <v>27</v>
      </c>
      <c r="N172" s="24" t="str">
        <f>IF(AND('A-13'!M173="-",'A-8'!Q52="-"),"-",SUM('A-13'!M173,'A-8'!Q52))</f>
        <v>-</v>
      </c>
      <c r="O172" s="24" t="str">
        <f>'A-8'!R52</f>
        <v>-</v>
      </c>
      <c r="P172" s="24">
        <f t="shared" ref="P172:P187" si="40">SUM(J172:O172)</f>
        <v>27</v>
      </c>
    </row>
    <row r="173" spans="1:16" ht="11.25" customHeight="1">
      <c r="A173" s="99">
        <v>2000</v>
      </c>
      <c r="B173" s="24">
        <f>IF(AND('A-13'!B174="-",'A-8'!D53="-"),"-",SUM('A-13'!B174,'A-8'!D53))</f>
        <v>9</v>
      </c>
      <c r="C173" s="24">
        <f>IF(AND('A-13'!C174="-",'A-8'!E53="-"),"-",SUM('A-13'!C174,'A-8'!E53))</f>
        <v>236</v>
      </c>
      <c r="D173" s="24" t="str">
        <f>IF(AND('A-13'!D174="-",'A-8'!F53="-"),"-",SUM('A-13'!D174,'A-8'!F53))</f>
        <v>-</v>
      </c>
      <c r="E173" s="24">
        <f>IF(AND('A-13'!E174="-",'A-8'!G53="-"),"-",SUM('A-13'!E174,'A-8'!G53))</f>
        <v>2464</v>
      </c>
      <c r="F173" s="24">
        <f>IF(AND('A-13'!F174="-",'A-8'!H53="-"),"-",SUM('A-13'!F174,'A-8'!H53))</f>
        <v>89</v>
      </c>
      <c r="G173" s="24" t="str">
        <f>'A-8'!I53</f>
        <v>-</v>
      </c>
      <c r="H173" s="24">
        <f t="shared" si="39"/>
        <v>2798</v>
      </c>
      <c r="J173" s="24" t="s">
        <v>23</v>
      </c>
      <c r="K173" s="24" t="str">
        <f>IF(AND('A-13'!J174="-",'A-8'!N53="-"),"-",SUM('A-13'!J174,'A-8'!N53))</f>
        <v>-</v>
      </c>
      <c r="L173" s="24" t="str">
        <f>IF(AND('A-13'!K174="-",'A-8'!O53="-"),"-",SUM('A-13'!K174,'A-8'!O53))</f>
        <v>-</v>
      </c>
      <c r="M173" s="24">
        <f>IF(AND('A-13'!L174="-",'A-8'!P53="-"),"-",SUM('A-13'!L174,'A-8'!P53))</f>
        <v>14014</v>
      </c>
      <c r="N173" s="24">
        <f>IF(AND('A-13'!M174="-",'A-8'!Q53="-"),"-",SUM('A-13'!M174,'A-8'!Q53))</f>
        <v>1043</v>
      </c>
      <c r="O173" s="24" t="str">
        <f>'A-8'!R53</f>
        <v>-</v>
      </c>
      <c r="P173" s="24">
        <f t="shared" si="40"/>
        <v>15057</v>
      </c>
    </row>
    <row r="174" spans="1:16" ht="11.25" customHeight="1">
      <c r="A174" s="99">
        <v>2001</v>
      </c>
      <c r="B174" s="24">
        <f>IF(AND('A-13'!B175="-",'A-8'!D54="-"),"-",SUM('A-13'!B175,'A-8'!D54))</f>
        <v>898</v>
      </c>
      <c r="C174" s="24">
        <f>IF(AND('A-13'!C175="-",'A-8'!E54="-"),"-",SUM('A-13'!C175,'A-8'!E54))</f>
        <v>1713</v>
      </c>
      <c r="D174" s="24">
        <f>IF(AND('A-13'!D175="-",'A-8'!F54="-"),"-",SUM('A-13'!D175,'A-8'!F54))</f>
        <v>1036</v>
      </c>
      <c r="E174" s="24">
        <f>IF(AND('A-13'!E175="-",'A-8'!G54="-"),"-",SUM('A-13'!E175,'A-8'!G54))</f>
        <v>901</v>
      </c>
      <c r="F174" s="24">
        <f>IF(AND('A-13'!F175="-",'A-8'!H54="-"),"-",SUM('A-13'!F175,'A-8'!H54))</f>
        <v>487</v>
      </c>
      <c r="G174" s="24" t="str">
        <f>'A-8'!I54</f>
        <v>-</v>
      </c>
      <c r="H174" s="24">
        <f t="shared" si="39"/>
        <v>5035</v>
      </c>
      <c r="J174" s="24" t="s">
        <v>23</v>
      </c>
      <c r="K174" s="24" t="str">
        <f>IF(AND('A-13'!J175="-",'A-8'!N54="-"),"-",SUM('A-13'!J175,'A-8'!N54))</f>
        <v>-</v>
      </c>
      <c r="L174" s="24">
        <f>IF(AND('A-13'!K175="-",'A-8'!O54="-"),"-",SUM('A-13'!K175,'A-8'!O54))</f>
        <v>4052</v>
      </c>
      <c r="M174" s="24">
        <f>IF(AND('A-13'!L175="-",'A-8'!P54="-"),"-",SUM('A-13'!L175,'A-8'!P54))</f>
        <v>3970</v>
      </c>
      <c r="N174" s="24">
        <f>IF(AND('A-13'!M175="-",'A-8'!Q54="-"),"-",SUM('A-13'!M175,'A-8'!Q54))</f>
        <v>2769</v>
      </c>
      <c r="O174" s="24" t="str">
        <f>'A-8'!R54</f>
        <v>-</v>
      </c>
      <c r="P174" s="24">
        <f t="shared" si="40"/>
        <v>10791</v>
      </c>
    </row>
    <row r="175" spans="1:16" ht="11.25" customHeight="1">
      <c r="A175" s="99">
        <v>2002</v>
      </c>
      <c r="B175" s="24">
        <f>IF(AND('A-13'!B176="-",'A-8'!D55="-"),"-",SUM('A-13'!B176,'A-8'!D55))</f>
        <v>1226</v>
      </c>
      <c r="C175" s="24">
        <f>IF(AND('A-13'!C176="-",'A-8'!E55="-"),"-",SUM('A-13'!C176,'A-8'!E55))</f>
        <v>3237</v>
      </c>
      <c r="D175" s="24">
        <f>IF(AND('A-13'!D176="-",'A-8'!F55="-"),"-",SUM('A-13'!D176,'A-8'!F55))</f>
        <v>5096</v>
      </c>
      <c r="E175" s="24">
        <f>IF(AND('A-13'!E176="-",'A-8'!G55="-"),"-",SUM('A-13'!E176,'A-8'!G55))</f>
        <v>4994</v>
      </c>
      <c r="F175" s="24" t="str">
        <f>IF(AND('A-13'!F176="-",'A-8'!H55="-"),"-",SUM('A-13'!F176,'A-8'!H55))</f>
        <v>-</v>
      </c>
      <c r="G175" s="24" t="str">
        <f>'A-8'!I55</f>
        <v>-</v>
      </c>
      <c r="H175" s="24">
        <f t="shared" si="39"/>
        <v>14553</v>
      </c>
      <c r="J175" s="24" t="s">
        <v>23</v>
      </c>
      <c r="K175" s="24" t="str">
        <f>IF(AND('A-13'!J176="-",'A-8'!N55="-"),"-",SUM('A-13'!J176,'A-8'!N55))</f>
        <v>-</v>
      </c>
      <c r="L175" s="24" t="str">
        <f>IF(AND('A-13'!K176="-",'A-8'!O55="-"),"-",SUM('A-13'!K176,'A-8'!O55))</f>
        <v>-</v>
      </c>
      <c r="M175" s="24">
        <f>IF(AND('A-13'!L176="-",'A-8'!P55="-"),"-",SUM('A-13'!L176,'A-8'!P55))</f>
        <v>1642</v>
      </c>
      <c r="N175" s="24" t="str">
        <f>IF(AND('A-13'!M176="-",'A-8'!Q55="-"),"-",SUM('A-13'!M176,'A-8'!Q55))</f>
        <v>-</v>
      </c>
      <c r="O175" s="24" t="str">
        <f>'A-8'!R55</f>
        <v>-</v>
      </c>
      <c r="P175" s="24">
        <f t="shared" si="40"/>
        <v>1642</v>
      </c>
    </row>
    <row r="176" spans="1:16" ht="11.25" customHeight="1">
      <c r="A176" s="99">
        <v>2003</v>
      </c>
      <c r="B176" s="24">
        <f>IF(AND('A-13'!B177="-",'A-8'!D56="-"),"-",SUM('A-13'!B177,'A-8'!D56))</f>
        <v>5717</v>
      </c>
      <c r="C176" s="24">
        <f>IF(AND('A-13'!C177="-",'A-8'!E56="-"),"-",SUM('A-13'!C177,'A-8'!E56))</f>
        <v>1281</v>
      </c>
      <c r="D176" s="24">
        <f>IF(AND('A-13'!D177="-",'A-8'!F56="-"),"-",SUM('A-13'!D177,'A-8'!F56))</f>
        <v>1796</v>
      </c>
      <c r="E176" s="24">
        <f>IF(AND('A-13'!E177="-",'A-8'!G56="-"),"-",SUM('A-13'!E177,'A-8'!G56))</f>
        <v>2760</v>
      </c>
      <c r="F176" s="24">
        <f>IF(AND('A-13'!F177="-",'A-8'!H56="-"),"-",SUM('A-13'!F177,'A-8'!H56))</f>
        <v>750</v>
      </c>
      <c r="G176" s="24" t="str">
        <f>'A-8'!I56</f>
        <v>-</v>
      </c>
      <c r="H176" s="24">
        <f t="shared" si="39"/>
        <v>12304</v>
      </c>
      <c r="J176" s="24" t="s">
        <v>23</v>
      </c>
      <c r="K176" s="24" t="str">
        <f>IF(AND('A-13'!J177="-",'A-8'!N56="-"),"-",SUM('A-13'!J177,'A-8'!N56))</f>
        <v>-</v>
      </c>
      <c r="L176" s="24">
        <f>IF(AND('A-13'!K177="-",'A-8'!O56="-"),"-",SUM('A-13'!K177,'A-8'!O56))</f>
        <v>1890</v>
      </c>
      <c r="M176" s="24">
        <f>IF(AND('A-13'!L177="-",'A-8'!P56="-"),"-",SUM('A-13'!L177,'A-8'!P56))</f>
        <v>4169</v>
      </c>
      <c r="N176" s="24">
        <f>IF(AND('A-13'!M177="-",'A-8'!Q56="-"),"-",SUM('A-13'!M177,'A-8'!Q56))</f>
        <v>1672</v>
      </c>
      <c r="O176" s="24" t="str">
        <f>'A-8'!R56</f>
        <v>-</v>
      </c>
      <c r="P176" s="24">
        <f t="shared" si="40"/>
        <v>7731</v>
      </c>
    </row>
    <row r="177" spans="1:16" ht="11.25" customHeight="1">
      <c r="A177" s="99">
        <v>2004</v>
      </c>
      <c r="B177" s="24">
        <f>IF(AND('A-13'!B178="-",'A-8'!D57="-"),"-",SUM('A-13'!B178,'A-8'!D57))</f>
        <v>1940</v>
      </c>
      <c r="C177" s="24">
        <f>IF(AND('A-13'!C178="-",'A-8'!E57="-"),"-",SUM('A-13'!C178,'A-8'!E57))</f>
        <v>94</v>
      </c>
      <c r="D177" s="24">
        <f>IF(AND('A-13'!D178="-",'A-8'!F57="-"),"-",SUM('A-13'!D178,'A-8'!F57))</f>
        <v>453</v>
      </c>
      <c r="E177" s="24">
        <f>IF(AND('A-13'!E178="-",'A-8'!G57="-"),"-",SUM('A-13'!E178,'A-8'!G57))</f>
        <v>430</v>
      </c>
      <c r="F177" s="24">
        <f>IF(AND('A-13'!F178="-",'A-8'!H57="-"),"-",SUM('A-13'!F178,'A-8'!H57))</f>
        <v>559</v>
      </c>
      <c r="G177" s="24" t="str">
        <f>'A-8'!I57</f>
        <v>-</v>
      </c>
      <c r="H177" s="24">
        <f t="shared" si="39"/>
        <v>3476</v>
      </c>
      <c r="J177" s="24" t="s">
        <v>23</v>
      </c>
      <c r="K177" s="24" t="str">
        <f>IF(AND('A-13'!J178="-",'A-8'!N57="-"),"-",SUM('A-13'!J178,'A-8'!N57))</f>
        <v>-</v>
      </c>
      <c r="L177" s="24">
        <f>IF(AND('A-13'!K178="-",'A-8'!O57="-"),"-",SUM('A-13'!K178,'A-8'!O57))</f>
        <v>906</v>
      </c>
      <c r="M177" s="24">
        <f>IF(AND('A-13'!L178="-",'A-8'!P57="-"),"-",SUM('A-13'!L178,'A-8'!P57))</f>
        <v>1708</v>
      </c>
      <c r="N177" s="24">
        <f>IF(AND('A-13'!M178="-",'A-8'!Q57="-"),"-",SUM('A-13'!M178,'A-8'!Q57))</f>
        <v>7355</v>
      </c>
      <c r="O177" s="24" t="str">
        <f>'A-8'!R57</f>
        <v>-</v>
      </c>
      <c r="P177" s="24">
        <f t="shared" si="40"/>
        <v>9969</v>
      </c>
    </row>
    <row r="178" spans="1:16" ht="11.25" customHeight="1">
      <c r="A178" s="99">
        <v>2005</v>
      </c>
      <c r="B178" s="24">
        <f>IF(AND('A-13'!B179="-",'A-8'!D58="-"),"-",SUM('A-13'!B179,'A-8'!D58))</f>
        <v>5373</v>
      </c>
      <c r="C178" s="24">
        <f>IF(AND('A-13'!C179="-",'A-8'!E58="-"),"-",SUM('A-13'!C179,'A-8'!E58))</f>
        <v>1235</v>
      </c>
      <c r="D178" s="24">
        <f>IF(AND('A-13'!D179="-",'A-8'!F58="-"),"-",SUM('A-13'!D179,'A-8'!F58))</f>
        <v>629</v>
      </c>
      <c r="E178" s="24">
        <f>IF(AND('A-13'!E179="-",'A-8'!G58="-"),"-",SUM('A-13'!E179,'A-8'!G58))</f>
        <v>4334</v>
      </c>
      <c r="F178" s="24" t="str">
        <f>IF(AND('A-13'!F179="-",'A-8'!H58="-"),"-",SUM('A-13'!F179,'A-8'!H58))</f>
        <v>-</v>
      </c>
      <c r="G178" s="24" t="str">
        <f>'A-8'!I58</f>
        <v>-</v>
      </c>
      <c r="H178" s="24">
        <f>SUM(B178:G178)</f>
        <v>11571</v>
      </c>
      <c r="I178" s="24"/>
      <c r="J178" s="24" t="s">
        <v>23</v>
      </c>
      <c r="K178" s="24" t="str">
        <f>IF(AND('A-13'!J179="-",'A-8'!N58="-"),"-",SUM('A-13'!J179,'A-8'!N58))</f>
        <v>-</v>
      </c>
      <c r="L178" s="24">
        <f>IF(AND('A-13'!K179="-",'A-8'!O58="-"),"-",SUM('A-13'!K179,'A-8'!O58))</f>
        <v>358</v>
      </c>
      <c r="M178" s="24">
        <f>IF(AND('A-13'!L179="-",'A-8'!P58="-"),"-",SUM('A-13'!L179,'A-8'!P58))</f>
        <v>2898</v>
      </c>
      <c r="N178" s="24" t="str">
        <f>IF(AND('A-13'!M179="-",'A-8'!Q58="-"),"-",SUM('A-13'!M179,'A-8'!Q58))</f>
        <v>-</v>
      </c>
      <c r="O178" s="24" t="str">
        <f>'A-8'!R58</f>
        <v>-</v>
      </c>
      <c r="P178" s="24">
        <f t="shared" si="40"/>
        <v>3256</v>
      </c>
    </row>
    <row r="179" spans="1:16" ht="11.25" customHeight="1">
      <c r="A179" s="99">
        <v>2006</v>
      </c>
      <c r="B179" s="24">
        <f>IF(AND('A-13'!B180="-",'A-8'!D59="-"),"-",SUM('A-13'!B180,'A-8'!D59))</f>
        <v>8913</v>
      </c>
      <c r="C179" s="24">
        <f>IF(AND('A-13'!C180="-",'A-8'!E59="-"),"-",SUM('A-13'!C180,'A-8'!E59))</f>
        <v>3532</v>
      </c>
      <c r="D179" s="24">
        <f>IF(AND('A-13'!D180="-",'A-8'!F59="-"),"-",SUM('A-13'!D180,'A-8'!F59))</f>
        <v>1</v>
      </c>
      <c r="E179" s="24">
        <f>IF(AND('A-13'!E180="-",'A-8'!G59="-"),"-",SUM('A-13'!E180,'A-8'!G59))</f>
        <v>62</v>
      </c>
      <c r="F179" s="24">
        <f>IF(AND('A-13'!F180="-",'A-8'!H59="-"),"-",SUM('A-13'!F180,'A-8'!H59))</f>
        <v>105</v>
      </c>
      <c r="G179" s="24" t="str">
        <f>'A-8'!I59</f>
        <v>-</v>
      </c>
      <c r="H179" s="24">
        <f>SUM(B179:G179)</f>
        <v>12613</v>
      </c>
      <c r="J179" s="24" t="s">
        <v>23</v>
      </c>
      <c r="K179" s="24" t="str">
        <f>IF(AND('A-13'!J180="-",'A-8'!N59="-"),"-",SUM('A-13'!J180,'A-8'!N59))</f>
        <v>-</v>
      </c>
      <c r="L179" s="24">
        <f>IF(AND('A-13'!K180="-",'A-8'!O59="-"),"-",SUM('A-13'!K180,'A-8'!O59))</f>
        <v>17</v>
      </c>
      <c r="M179" s="24">
        <f>IF(AND('A-13'!L180="-",'A-8'!P59="-"),"-",SUM('A-13'!L180,'A-8'!P59))</f>
        <v>944</v>
      </c>
      <c r="N179" s="24">
        <f>IF(AND('A-13'!M180="-",'A-8'!Q59="-"),"-",SUM('A-13'!M180,'A-8'!Q59))</f>
        <v>527</v>
      </c>
      <c r="O179" s="24" t="str">
        <f>'A-8'!R59</f>
        <v>-</v>
      </c>
      <c r="P179" s="24">
        <f t="shared" si="40"/>
        <v>1488</v>
      </c>
    </row>
    <row r="180" spans="1:16" ht="11.25" customHeight="1">
      <c r="A180" s="99">
        <v>2007</v>
      </c>
      <c r="B180" s="24">
        <f>IF(AND('A-13'!B181="-",'A-8'!D60="-"),"-",SUM('A-13'!B181,'A-8'!D60))</f>
        <v>950</v>
      </c>
      <c r="C180" s="24">
        <f>IF(AND('A-13'!C181="-",'A-8'!E60="-"),"-",SUM('A-13'!C181,'A-8'!E60))</f>
        <v>600</v>
      </c>
      <c r="D180" s="24">
        <f>IF(AND('A-13'!D181="-",'A-8'!F60="-"),"-",SUM('A-13'!D181,'A-8'!F60))</f>
        <v>158</v>
      </c>
      <c r="E180" s="24">
        <f>IF(AND('A-13'!E181="-",'A-8'!G60="-"),"-",SUM('A-13'!E181,'A-8'!G60))</f>
        <v>213</v>
      </c>
      <c r="F180" s="24">
        <f>IF(AND('A-13'!F181="-",'A-8'!H60="-"),"-",SUM('A-13'!F181,'A-8'!H60))</f>
        <v>22</v>
      </c>
      <c r="G180" s="24" t="str">
        <f>'A-8'!I60</f>
        <v>-</v>
      </c>
      <c r="H180" s="24">
        <f>SUM(B180:G180)</f>
        <v>1943</v>
      </c>
      <c r="I180" s="24"/>
      <c r="J180" s="24" t="s">
        <v>23</v>
      </c>
      <c r="K180" s="24" t="str">
        <f>IF(AND('A-13'!J181="-",'A-8'!N60="-"),"-",SUM('A-13'!J181,'A-8'!N60))</f>
        <v>-</v>
      </c>
      <c r="L180" s="24">
        <f>IF(AND('A-13'!K181="-",'A-8'!O60="-"),"-",SUM('A-13'!K181,'A-8'!O60))</f>
        <v>1400</v>
      </c>
      <c r="M180" s="24">
        <f>IF(AND('A-13'!L181="-",'A-8'!P60="-"),"-",SUM('A-13'!L181,'A-8'!P60))</f>
        <v>12736</v>
      </c>
      <c r="N180" s="24">
        <f>IF(AND('A-13'!M181="-",'A-8'!Q60="-"),"-",SUM('A-13'!M181,'A-8'!Q60))</f>
        <v>283</v>
      </c>
      <c r="O180" s="24" t="str">
        <f>'A-8'!R60</f>
        <v>-</v>
      </c>
      <c r="P180" s="24">
        <f t="shared" si="40"/>
        <v>14419</v>
      </c>
    </row>
    <row r="181" spans="1:16" ht="11.25" customHeight="1">
      <c r="A181" s="99">
        <v>2008</v>
      </c>
      <c r="B181" s="24">
        <f>IF(AND('A-13'!B182="-",'A-8'!D61="-"),"-",SUM('A-13'!B182,'A-8'!D61))</f>
        <v>2977</v>
      </c>
      <c r="C181" s="24">
        <f>IF(AND('A-13'!C182="-",'A-8'!E61="-"),"-",SUM('A-13'!C182,'A-8'!E61))</f>
        <v>3355</v>
      </c>
      <c r="D181" s="24">
        <f>IF(AND('A-13'!D182="-",'A-8'!F61="-"),"-",SUM('A-13'!D182,'A-8'!F61))</f>
        <v>136</v>
      </c>
      <c r="E181" s="24">
        <f>IF(AND('A-13'!E182="-",'A-8'!G61="-"),"-",SUM('A-13'!E182,'A-8'!G61))</f>
        <v>185</v>
      </c>
      <c r="F181" s="24">
        <f>IF(AND('A-13'!F182="-",'A-8'!H61="-"),"-",SUM('A-13'!F182,'A-8'!H61))</f>
        <v>23</v>
      </c>
      <c r="G181" s="24" t="str">
        <f>'A-8'!I61</f>
        <v>-</v>
      </c>
      <c r="H181" s="24">
        <f>SUM(B181:G181)</f>
        <v>6676</v>
      </c>
      <c r="I181" s="24"/>
      <c r="J181" s="24" t="s">
        <v>23</v>
      </c>
      <c r="K181" s="24" t="str">
        <f>IF(AND('A-13'!J182="-",'A-8'!N61="-"),"-",SUM('A-13'!J182,'A-8'!N61))</f>
        <v>-</v>
      </c>
      <c r="L181" s="24">
        <f>IF(AND('A-13'!K182="-",'A-8'!O61="-"),"-",SUM('A-13'!K182,'A-8'!O61))</f>
        <v>53</v>
      </c>
      <c r="M181" s="24">
        <f>IF(AND('A-13'!L182="-",'A-8'!P61="-"),"-",SUM('A-13'!L182,'A-8'!P61))</f>
        <v>421</v>
      </c>
      <c r="N181" s="24">
        <f>IF(AND('A-13'!M182="-",'A-8'!Q61="-"),"-",SUM('A-13'!M182,'A-8'!Q61))</f>
        <v>37</v>
      </c>
      <c r="O181" s="24" t="str">
        <f>'A-8'!R61</f>
        <v>-</v>
      </c>
      <c r="P181" s="24">
        <f t="shared" si="40"/>
        <v>511</v>
      </c>
    </row>
    <row r="182" spans="1:16" ht="11.25" customHeight="1">
      <c r="A182" s="99">
        <v>2009</v>
      </c>
      <c r="B182" s="24">
        <f>IF(AND('A-13'!B183="-",'A-8'!D62="-"),"-",SUM('A-13'!B183,'A-8'!D62))</f>
        <v>265</v>
      </c>
      <c r="C182" s="24">
        <f>IF(AND('A-13'!C183="-",'A-8'!E62="-"),"-",SUM('A-13'!C183,'A-8'!E62))</f>
        <v>281</v>
      </c>
      <c r="D182" s="24">
        <f>IF(AND('A-13'!D183="-",'A-8'!F62="-"),"-",SUM('A-13'!D183,'A-8'!F62))</f>
        <v>260</v>
      </c>
      <c r="E182" s="24">
        <f>IF(AND('A-13'!E183="-",'A-8'!G62="-"),"-",SUM('A-13'!E183,'A-8'!G62))</f>
        <v>163</v>
      </c>
      <c r="F182" s="24">
        <f>IF(AND('A-13'!F183="-",'A-8'!H62="-"),"-",SUM('A-13'!F183,'A-8'!H62))</f>
        <v>4</v>
      </c>
      <c r="G182" s="24" t="str">
        <f>'A-8'!I62</f>
        <v>-</v>
      </c>
      <c r="H182" s="24">
        <f>SUM(B182:G182)</f>
        <v>973</v>
      </c>
      <c r="I182" s="24"/>
      <c r="J182" s="24" t="s">
        <v>23</v>
      </c>
      <c r="K182" s="24" t="str">
        <f>IF(AND('A-13'!J183="-",'A-8'!N62="-"),"-",SUM('A-13'!J183,'A-8'!N62))</f>
        <v>-</v>
      </c>
      <c r="L182" s="24">
        <f>IF(AND('A-13'!K183="-",'A-8'!O62="-"),"-",SUM('A-13'!K183,'A-8'!O62))</f>
        <v>9648</v>
      </c>
      <c r="M182" s="24">
        <f>IF(AND('A-13'!L183="-",'A-8'!P62="-"),"-",SUM('A-13'!L183,'A-8'!P62))</f>
        <v>5125</v>
      </c>
      <c r="N182" s="24">
        <f>IF(AND('A-13'!M183="-",'A-8'!Q62="-"),"-",SUM('A-13'!M183,'A-8'!Q62))</f>
        <v>165</v>
      </c>
      <c r="O182" s="24" t="str">
        <f>'A-8'!R62</f>
        <v>-</v>
      </c>
      <c r="P182" s="24">
        <f t="shared" si="40"/>
        <v>14938</v>
      </c>
    </row>
    <row r="183" spans="1:16" ht="11.25" customHeight="1">
      <c r="A183" s="99">
        <v>2010</v>
      </c>
      <c r="B183" s="24">
        <f>IF(AND('A-13'!B184="-",'A-8'!D63="-"),"-",SUM('A-13'!B184,'A-8'!D63))</f>
        <v>790</v>
      </c>
      <c r="C183" s="24">
        <f>IF(AND('A-13'!C184="-",'A-8'!E63="-"),"-",SUM('A-13'!C184,'A-8'!E63))</f>
        <v>6882</v>
      </c>
      <c r="D183" s="24">
        <f>IF(AND('A-13'!D184="-",'A-8'!F63="-"),"-",SUM('A-13'!D184,'A-8'!F63))</f>
        <v>2289</v>
      </c>
      <c r="E183" s="24">
        <f>IF(AND('A-13'!E184="-",'A-8'!G63="-"),"-",SUM('A-13'!E184,'A-8'!G63))</f>
        <v>1894</v>
      </c>
      <c r="F183" s="24">
        <f>IF(AND('A-13'!F184="-",'A-8'!H63="-"),"-",SUM('A-13'!F184,'A-8'!H63))</f>
        <v>151</v>
      </c>
      <c r="G183" s="24" t="str">
        <f>'A-8'!I63</f>
        <v>-</v>
      </c>
      <c r="H183" s="24">
        <f t="shared" ref="H183:H191" si="41">SUM(B183:G183)</f>
        <v>12006</v>
      </c>
      <c r="I183" s="24"/>
      <c r="J183" s="24" t="s">
        <v>23</v>
      </c>
      <c r="K183" s="24" t="str">
        <f>IF(AND('A-13'!J184="-",'A-8'!N63="-"),"-",SUM('A-13'!J184,'A-8'!N63))</f>
        <v>-</v>
      </c>
      <c r="L183" s="24">
        <f>IF(AND('A-13'!K184="-",'A-8'!O63="-"),"-",SUM('A-13'!K184,'A-8'!O63))</f>
        <v>736</v>
      </c>
      <c r="M183" s="24">
        <f>IF(AND('A-13'!L184="-",'A-8'!P63="-"),"-",SUM('A-13'!L184,'A-8'!P63))</f>
        <v>406</v>
      </c>
      <c r="N183" s="24">
        <f>IF(AND('A-13'!M184="-",'A-8'!Q63="-"),"-",SUM('A-13'!M184,'A-8'!Q63))</f>
        <v>49</v>
      </c>
      <c r="O183" s="24" t="str">
        <f>'A-8'!R63</f>
        <v>-</v>
      </c>
      <c r="P183" s="24">
        <f t="shared" si="40"/>
        <v>1191</v>
      </c>
    </row>
    <row r="184" spans="1:16" ht="11.25" customHeight="1">
      <c r="A184" s="99">
        <v>2011</v>
      </c>
      <c r="B184" s="24">
        <f>IF(AND('A-13'!B185="-",'A-8'!D64="-"),"-",SUM('A-13'!B185,'A-8'!D64))</f>
        <v>1529</v>
      </c>
      <c r="C184" s="24">
        <f>IF(AND('A-13'!C185="-",'A-8'!E64="-"),"-",SUM('A-13'!C185,'A-8'!E64))</f>
        <v>1943</v>
      </c>
      <c r="D184" s="24">
        <f>IF(AND('A-13'!D185="-",'A-8'!F64="-"),"-",SUM('A-13'!D185,'A-8'!F64))</f>
        <v>115</v>
      </c>
      <c r="E184" s="24">
        <f>IF(AND('A-13'!E185="-",'A-8'!G64="-"),"-",SUM('A-13'!E185,'A-8'!G64))</f>
        <v>251</v>
      </c>
      <c r="F184" s="24">
        <f>IF(AND('A-13'!F185="-",'A-8'!H64="-"),"-",SUM('A-13'!F185,'A-8'!H64))</f>
        <v>30</v>
      </c>
      <c r="G184" s="24" t="str">
        <f>'A-8'!I64</f>
        <v>-</v>
      </c>
      <c r="H184" s="24">
        <f t="shared" si="41"/>
        <v>3868</v>
      </c>
      <c r="I184" s="24"/>
      <c r="J184" s="24" t="s">
        <v>23</v>
      </c>
      <c r="K184" s="24" t="str">
        <f>IF(AND('A-13'!J185="-",'A-8'!N64="-"),"-",SUM('A-13'!J185,'A-8'!N64))</f>
        <v>-</v>
      </c>
      <c r="L184" s="24">
        <f>IF(AND('A-13'!K185="-",'A-8'!O64="-"),"-",SUM('A-13'!K185,'A-8'!O64))</f>
        <v>235</v>
      </c>
      <c r="M184" s="24">
        <f>IF(AND('A-13'!L185="-",'A-8'!P64="-"),"-",SUM('A-13'!L185,'A-8'!P64))</f>
        <v>172</v>
      </c>
      <c r="N184" s="24">
        <f>IF(AND('A-13'!M185="-",'A-8'!Q64="-"),"-",SUM('A-13'!M185,'A-8'!Q64))</f>
        <v>95</v>
      </c>
      <c r="O184" s="24" t="str">
        <f>'A-8'!R64</f>
        <v>-</v>
      </c>
      <c r="P184" s="24">
        <f t="shared" si="40"/>
        <v>502</v>
      </c>
    </row>
    <row r="185" spans="1:16" ht="11.25" customHeight="1">
      <c r="A185" s="99">
        <v>2012</v>
      </c>
      <c r="B185" s="24">
        <f>IF(AND('A-13'!B186="-",'A-8'!D65="-"),"-",SUM('A-13'!B186,'A-8'!D65))</f>
        <v>1297</v>
      </c>
      <c r="C185" s="24">
        <f>IF(AND('A-13'!C186="-",'A-8'!E65="-"),"-",SUM('A-13'!C186,'A-8'!E65))</f>
        <v>7053</v>
      </c>
      <c r="D185" s="24">
        <f>IF(AND('A-13'!D186="-",'A-8'!F65="-"),"-",SUM('A-13'!D186,'A-8'!F65))</f>
        <v>276</v>
      </c>
      <c r="E185" s="24">
        <f>IF(AND('A-13'!E186="-",'A-8'!G65="-"),"-",SUM('A-13'!E186,'A-8'!G65))</f>
        <v>149</v>
      </c>
      <c r="F185" s="24">
        <f>IF(AND('A-13'!F186="-",'A-8'!H65="-"),"-",SUM('A-13'!F186,'A-8'!H65))</f>
        <v>1919</v>
      </c>
      <c r="G185" s="24" t="str">
        <f>'A-8'!I65</f>
        <v>-</v>
      </c>
      <c r="H185" s="24">
        <f t="shared" si="41"/>
        <v>10694</v>
      </c>
      <c r="I185" s="24"/>
      <c r="J185" s="24" t="s">
        <v>23</v>
      </c>
      <c r="K185" s="24" t="str">
        <f>IF(AND('A-13'!J186="-",'A-8'!N65="-"),"-",SUM('A-13'!J186,'A-8'!N65))</f>
        <v>-</v>
      </c>
      <c r="L185" s="24">
        <f>IF(AND('A-13'!K186="-",'A-8'!O65="-"),"-",SUM('A-13'!K186,'A-8'!O65))</f>
        <v>61</v>
      </c>
      <c r="M185" s="24">
        <f>IF(AND('A-13'!L186="-",'A-8'!P65="-"),"-",SUM('A-13'!L186,'A-8'!P65))</f>
        <v>37</v>
      </c>
      <c r="N185" s="24">
        <f>IF(AND('A-13'!M186="-",'A-8'!Q65="-"),"-",SUM('A-13'!M186,'A-8'!Q65))</f>
        <v>615</v>
      </c>
      <c r="O185" s="24" t="str">
        <f>'A-8'!R65</f>
        <v>-</v>
      </c>
      <c r="P185" s="24">
        <f t="shared" si="40"/>
        <v>713</v>
      </c>
    </row>
    <row r="186" spans="1:16" ht="11.25" customHeight="1">
      <c r="A186" s="99">
        <v>2013</v>
      </c>
      <c r="B186" s="24">
        <f>IF(AND('A-13'!B187="-",'A-8'!D66="-"),"-",SUM('A-13'!B187,'A-8'!D66))</f>
        <v>534</v>
      </c>
      <c r="C186" s="24">
        <f>IF(AND('A-13'!C187="-",'A-8'!E66="-"),"-",SUM('A-13'!C187,'A-8'!E66))</f>
        <v>1062</v>
      </c>
      <c r="D186" s="24">
        <f>IF(AND('A-13'!D187="-",'A-8'!F66="-"),"-",SUM('A-13'!D187,'A-8'!F66))</f>
        <v>178</v>
      </c>
      <c r="E186" s="24">
        <f>IF(AND('A-13'!E187="-",'A-8'!G66="-"),"-",SUM('A-13'!E187,'A-8'!G66))</f>
        <v>298</v>
      </c>
      <c r="F186" s="24">
        <f>IF(AND('A-13'!F187="-",'A-8'!H66="-"),"-",SUM('A-13'!F187,'A-8'!H66))</f>
        <v>433</v>
      </c>
      <c r="G186" s="24" t="str">
        <f>'A-8'!I66</f>
        <v>-</v>
      </c>
      <c r="H186" s="24">
        <f t="shared" si="41"/>
        <v>2505</v>
      </c>
      <c r="I186" s="24"/>
      <c r="J186" s="24" t="s">
        <v>23</v>
      </c>
      <c r="K186" s="24" t="str">
        <f>IF(AND('A-13'!J187="-",'A-8'!N66="-"),"-",SUM('A-13'!J187,'A-8'!N66))</f>
        <v>-</v>
      </c>
      <c r="L186" s="24">
        <f>IF(AND('A-13'!K187="-",'A-8'!O66="-"),"-",SUM('A-13'!K187,'A-8'!O66))</f>
        <v>67</v>
      </c>
      <c r="M186" s="24">
        <f>IF(AND('A-13'!L187="-",'A-8'!P66="-"),"-",SUM('A-13'!L187,'A-8'!P66))</f>
        <v>375</v>
      </c>
      <c r="N186" s="24">
        <f>IF(AND('A-13'!M187="-",'A-8'!Q66="-"),"-",SUM('A-13'!M187,'A-8'!Q66))</f>
        <v>137</v>
      </c>
      <c r="O186" s="24" t="str">
        <f>'A-8'!R66</f>
        <v>-</v>
      </c>
      <c r="P186" s="24">
        <f t="shared" si="40"/>
        <v>579</v>
      </c>
    </row>
    <row r="187" spans="1:16" ht="11.25" customHeight="1">
      <c r="A187" s="99">
        <v>2014</v>
      </c>
      <c r="B187" s="24">
        <f>IF(AND('A-13'!B188="-",'A-8'!D67="-"),"-",SUM('A-13'!B188,'A-8'!D67))</f>
        <v>20242</v>
      </c>
      <c r="C187" s="24">
        <f>IF(AND('A-13'!C188="-",'A-8'!E67="-"),"-",SUM('A-13'!C188,'A-8'!E67))</f>
        <v>1278</v>
      </c>
      <c r="D187" s="24">
        <f>IF(AND('A-13'!D188="-",'A-8'!F67="-"),"-",SUM('A-13'!D188,'A-8'!F67))</f>
        <v>2880</v>
      </c>
      <c r="E187" s="24">
        <f>IF(AND('A-13'!E188="-",'A-8'!G67="-"),"-",SUM('A-13'!E188,'A-8'!G67))</f>
        <v>472</v>
      </c>
      <c r="F187" s="24">
        <f>IF(AND('A-13'!F188="-",'A-8'!H67="-"),"-",SUM('A-13'!F188,'A-8'!H67))</f>
        <v>290</v>
      </c>
      <c r="G187" s="24" t="str">
        <f>'A-8'!I67</f>
        <v>-</v>
      </c>
      <c r="H187" s="24">
        <f t="shared" si="41"/>
        <v>25162</v>
      </c>
      <c r="I187" s="24"/>
      <c r="J187" s="24" t="s">
        <v>23</v>
      </c>
      <c r="K187" s="24" t="str">
        <f>IF(AND('A-13'!J188="-",'A-8'!N67="-"),"-",SUM('A-13'!J188,'A-8'!N67))</f>
        <v>-</v>
      </c>
      <c r="L187" s="24">
        <f>IF(AND('A-13'!K188="-",'A-8'!O67="-"),"-",SUM('A-13'!K188,'A-8'!O67))</f>
        <v>2962</v>
      </c>
      <c r="M187" s="24">
        <f>IF(AND('A-13'!L188="-",'A-8'!P67="-"),"-",SUM('A-13'!L188,'A-8'!P67))</f>
        <v>2392</v>
      </c>
      <c r="N187" s="24">
        <f>IF(AND('A-13'!M188="-",'A-8'!Q67="-"),"-",SUM('A-13'!M188,'A-8'!Q67))</f>
        <v>4587</v>
      </c>
      <c r="O187" s="24" t="str">
        <f>'A-8'!R67</f>
        <v>-</v>
      </c>
      <c r="P187" s="24">
        <f t="shared" si="40"/>
        <v>9941</v>
      </c>
    </row>
    <row r="188" spans="1:16" ht="11.25" customHeight="1">
      <c r="A188" s="99">
        <v>2015</v>
      </c>
      <c r="B188" s="24">
        <f>IF(AND('A-13'!B189="-",'A-8'!D68="-"),"-",SUM('A-13'!B189,'A-8'!D68))</f>
        <v>9487</v>
      </c>
      <c r="C188" s="24">
        <f>IF(AND('A-13'!C189="-",'A-8'!E68="-"),"-",SUM('A-13'!C189,'A-8'!E68))</f>
        <v>2177</v>
      </c>
      <c r="D188" s="24">
        <f>IF(AND('A-13'!D189="-",'A-8'!F68="-"),"-",SUM('A-13'!D189,'A-8'!F68))</f>
        <v>1389</v>
      </c>
      <c r="E188" s="24">
        <f>IF(AND('A-13'!E189="-",'A-8'!G68="-"),"-",SUM('A-13'!E189,'A-8'!G68))</f>
        <v>1037</v>
      </c>
      <c r="F188" s="24">
        <f>IF(AND('A-13'!F189="-",'A-8'!H68="-"),"-",SUM('A-13'!F189,'A-8'!H68))</f>
        <v>817</v>
      </c>
      <c r="G188" s="24" t="str">
        <f>'A-8'!I68</f>
        <v>-</v>
      </c>
      <c r="H188" s="24">
        <f t="shared" si="41"/>
        <v>14907</v>
      </c>
      <c r="I188" s="24"/>
      <c r="J188" s="24" t="s">
        <v>23</v>
      </c>
      <c r="K188" s="24" t="str">
        <f>IF(AND('A-13'!J189="-",'A-8'!N68="-"),"-",SUM('A-13'!J189,'A-8'!N68))</f>
        <v>-</v>
      </c>
      <c r="L188" s="24">
        <f>IF(AND('A-13'!K189="-",'A-8'!O68="-"),"-",SUM('A-13'!K189,'A-8'!O68))</f>
        <v>369</v>
      </c>
      <c r="M188" s="24">
        <f>IF(AND('A-13'!L189="-",'A-8'!P68="-"),"-",SUM('A-13'!L189,'A-8'!P68))</f>
        <v>582</v>
      </c>
      <c r="N188" s="24">
        <f>IF(AND('A-13'!M189="-",'A-8'!Q68="-"),"-",SUM('A-13'!M189,'A-8'!Q68))</f>
        <v>1952</v>
      </c>
      <c r="O188" s="24" t="str">
        <f>'A-8'!R68</f>
        <v>-</v>
      </c>
      <c r="P188" s="24">
        <f t="shared" ref="P188:P191" si="42">SUM(J188:O188)</f>
        <v>2903</v>
      </c>
    </row>
    <row r="189" spans="1:16" ht="11.25" customHeight="1">
      <c r="A189" s="99">
        <v>2016</v>
      </c>
      <c r="B189" s="24">
        <f>IF(AND('A-13'!B190="-",'A-8'!D69="-"),"-",SUM('A-13'!B190,'A-8'!D69))</f>
        <v>1175</v>
      </c>
      <c r="C189" s="24">
        <f>IF(AND('A-13'!C190="-",'A-8'!E69="-"),"-",SUM('A-13'!C190,'A-8'!E69))</f>
        <v>1089</v>
      </c>
      <c r="D189" s="24">
        <f>IF(AND('A-13'!D190="-",'A-8'!F69="-"),"-",SUM('A-13'!D190,'A-8'!F69))</f>
        <v>428</v>
      </c>
      <c r="E189" s="24">
        <f>IF(AND('A-13'!E190="-",'A-8'!G69="-"),"-",SUM('A-13'!E190,'A-8'!G69))</f>
        <v>1025</v>
      </c>
      <c r="F189" s="24" t="str">
        <f>IF(AND('A-13'!F190="-",'A-8'!H69="-"),"-",SUM('A-13'!F190,'A-8'!H69))</f>
        <v>-</v>
      </c>
      <c r="G189" s="24" t="str">
        <f>'A-8'!I69</f>
        <v>-</v>
      </c>
      <c r="H189" s="24">
        <f t="shared" si="41"/>
        <v>3717</v>
      </c>
      <c r="I189" s="24"/>
      <c r="J189" s="24" t="s">
        <v>23</v>
      </c>
      <c r="K189" s="24" t="str">
        <f>IF(AND('A-13'!J190="-",'A-8'!N69="-"),"-",SUM('A-13'!J190,'A-8'!N69))</f>
        <v>-</v>
      </c>
      <c r="L189" s="24" t="str">
        <f>IF(AND('A-13'!K190="-",'A-8'!O69="-"),"-",SUM('A-13'!K190,'A-8'!O69))</f>
        <v>-</v>
      </c>
      <c r="M189" s="24" t="str">
        <f>IF(AND('A-13'!L190="-",'A-8'!P69="-"),"-",SUM('A-13'!L190,'A-8'!P69))</f>
        <v>-</v>
      </c>
      <c r="N189" s="24" t="str">
        <f>IF(AND('A-13'!M190="-",'A-8'!Q69="-"),"-",SUM('A-13'!M190,'A-8'!Q69))</f>
        <v>-</v>
      </c>
      <c r="O189" s="24" t="str">
        <f>'A-8'!R69</f>
        <v>-</v>
      </c>
      <c r="P189" s="24" t="str">
        <f>'A-8'!S69</f>
        <v>-</v>
      </c>
    </row>
    <row r="190" spans="1:16" ht="11.25" customHeight="1">
      <c r="A190" s="99">
        <v>2017</v>
      </c>
      <c r="B190" s="24">
        <f>IF(AND('A-13'!B191="-",'A-8'!D70="-"),"-",SUM('A-13'!B191,'A-8'!D70))</f>
        <v>1228</v>
      </c>
      <c r="C190" s="24">
        <f>IF(AND('A-13'!C191="-",'A-8'!E70="-"),"-",SUM('A-13'!C191,'A-8'!E70))</f>
        <v>874</v>
      </c>
      <c r="D190" s="24">
        <f>IF(AND('A-13'!D191="-",'A-8'!F70="-"),"-",SUM('A-13'!D191,'A-8'!F70))</f>
        <v>124</v>
      </c>
      <c r="E190" s="24">
        <f>IF(AND('A-13'!E191="-",'A-8'!G70="-"),"-",SUM('A-13'!E191,'A-8'!G70))</f>
        <v>632</v>
      </c>
      <c r="F190" s="24">
        <f>IF(AND('A-13'!F191="-",'A-8'!H70="-"),"-",SUM('A-13'!F191,'A-8'!H70))</f>
        <v>343</v>
      </c>
      <c r="G190" s="24" t="str">
        <f>'A-8'!I70</f>
        <v>-</v>
      </c>
      <c r="H190" s="24">
        <f t="shared" si="41"/>
        <v>3201</v>
      </c>
      <c r="I190" s="24"/>
      <c r="J190" s="24" t="s">
        <v>23</v>
      </c>
      <c r="K190" s="24" t="str">
        <f>IF(AND('A-13'!J191="-",'A-8'!N70="-"),"-",SUM('A-13'!J191,'A-8'!N70))</f>
        <v>-</v>
      </c>
      <c r="L190" s="24">
        <f>IF(AND('A-13'!K191="-",'A-8'!O70="-"),"-",SUM('A-13'!K191,'A-8'!O70))</f>
        <v>30</v>
      </c>
      <c r="M190" s="24">
        <f>IF(AND('A-13'!L191="-",'A-8'!P70="-"),"-",SUM('A-13'!L191,'A-8'!P70))</f>
        <v>355</v>
      </c>
      <c r="N190" s="24">
        <f>IF(AND('A-13'!M191="-",'A-8'!Q70="-"),"-",SUM('A-13'!M191,'A-8'!Q70))</f>
        <v>216</v>
      </c>
      <c r="O190" s="24" t="str">
        <f>'A-8'!R70</f>
        <v>-</v>
      </c>
      <c r="P190" s="24">
        <f t="shared" si="42"/>
        <v>601</v>
      </c>
    </row>
    <row r="191" spans="1:16" ht="11.25" customHeight="1">
      <c r="A191" s="122">
        <v>2018</v>
      </c>
      <c r="B191" s="24">
        <f>IF(AND('A-13'!B192="-",'A-8'!D71="-"),"-",SUM('A-13'!B192,'A-8'!D71))</f>
        <v>36</v>
      </c>
      <c r="C191" s="24">
        <f>IF(AND('A-13'!C192="-",'A-8'!E71="-"),"-",SUM('A-13'!C192,'A-8'!E71))</f>
        <v>337</v>
      </c>
      <c r="D191" s="24">
        <f>IF(AND('A-13'!D192="-",'A-8'!F71="-"),"-",SUM('A-13'!D192,'A-8'!F71))</f>
        <v>30</v>
      </c>
      <c r="E191" s="24">
        <f>IF(AND('A-13'!E192="-",'A-8'!G71="-"),"-",SUM('A-13'!E192,'A-8'!G71))</f>
        <v>57</v>
      </c>
      <c r="F191" s="24">
        <f>IF(AND('A-13'!F192="-",'A-8'!H71="-"),"-",SUM('A-13'!F192,'A-8'!H71))</f>
        <v>4</v>
      </c>
      <c r="G191" s="24" t="str">
        <f>'A-8'!I71</f>
        <v>-</v>
      </c>
      <c r="H191" s="24">
        <f t="shared" si="41"/>
        <v>464</v>
      </c>
      <c r="J191" s="24" t="s">
        <v>23</v>
      </c>
      <c r="K191" s="24" t="str">
        <f>IF(AND('A-13'!J192="-",'A-8'!N71="-"),"-",SUM('A-13'!J192,'A-8'!N71))</f>
        <v>-</v>
      </c>
      <c r="L191" s="24">
        <f>IF(AND('A-13'!K192="-",'A-8'!O71="-"),"-",SUM('A-13'!K192,'A-8'!O71))</f>
        <v>40</v>
      </c>
      <c r="M191" s="24">
        <f>IF(AND('A-13'!L192="-",'A-8'!P71="-"),"-",SUM('A-13'!L192,'A-8'!P71))</f>
        <v>85</v>
      </c>
      <c r="N191" s="24" t="str">
        <f>IF(AND('A-13'!M192="-",'A-8'!Q71="-"),"-",SUM('A-13'!M192,'A-8'!Q71))</f>
        <v>-</v>
      </c>
      <c r="O191" s="24" t="str">
        <f>'A-8'!R71</f>
        <v>-</v>
      </c>
      <c r="P191" s="24">
        <f t="shared" si="42"/>
        <v>125</v>
      </c>
    </row>
    <row r="192" spans="1:16" ht="11.25" customHeight="1">
      <c r="A192" s="122">
        <v>2019</v>
      </c>
      <c r="B192" s="24">
        <f>IF(AND('A-13'!B193="-",'A-8'!D72="-"),"-",SUM('A-13'!B193,'A-8'!D72))</f>
        <v>156</v>
      </c>
      <c r="C192" s="24">
        <f>IF(AND('A-13'!C193="-",'A-8'!E72="-"),"-",SUM('A-13'!C193,'A-8'!E72))</f>
        <v>62</v>
      </c>
      <c r="D192" s="24">
        <f>IF(AND('A-13'!D193="-",'A-8'!F72="-"),"-",SUM('A-13'!D193,'A-8'!F72))</f>
        <v>370</v>
      </c>
      <c r="E192" s="24">
        <f>IF(AND('A-13'!E193="-",'A-8'!G72="-"),"-",SUM('A-13'!E193,'A-8'!G72))</f>
        <v>121</v>
      </c>
      <c r="F192" s="24">
        <f>IF(AND('A-13'!F193="-",'A-8'!H72="-"),"-",SUM('A-13'!F193,'A-8'!H72))</f>
        <v>28</v>
      </c>
      <c r="G192" s="24" t="str">
        <f>'A-8'!I72</f>
        <v>-</v>
      </c>
      <c r="H192" s="24">
        <f>SUM(B192:G192)</f>
        <v>737</v>
      </c>
      <c r="J192" s="24" t="s">
        <v>23</v>
      </c>
      <c r="K192" s="24" t="str">
        <f>IF(AND('A-13'!J193="-",'A-8'!N72="-"),"-",SUM('A-13'!J193,'A-8'!N72))</f>
        <v>-</v>
      </c>
      <c r="L192" s="24">
        <f>IF(AND('A-13'!K193="-",'A-8'!O72="-"),"-",SUM('A-13'!K193,'A-8'!O72))</f>
        <v>1190</v>
      </c>
      <c r="M192" s="24">
        <f>IF(AND('A-13'!L193="-",'A-8'!P72="-"),"-",SUM('A-13'!L193,'A-8'!P72))</f>
        <v>400</v>
      </c>
      <c r="N192" s="24">
        <f>IF(AND('A-13'!M193="-",'A-8'!Q72="-"),"-",SUM('A-13'!M193,'A-8'!Q72))</f>
        <v>81</v>
      </c>
      <c r="O192" s="24" t="str">
        <f>'A-8'!R72</f>
        <v>-</v>
      </c>
      <c r="P192" s="24">
        <f>SUM(J192:O192)</f>
        <v>1671</v>
      </c>
    </row>
    <row r="193" spans="1:16" ht="11.25" customHeight="1">
      <c r="A193" s="122">
        <v>2020</v>
      </c>
      <c r="B193" s="24">
        <f>IF(AND('A-13'!B194="-",'A-8'!D73="-"),"-",SUM('A-13'!B194,'A-8'!D73))</f>
        <v>231</v>
      </c>
      <c r="C193" s="24">
        <f>IF(AND('A-13'!C194="-",'A-8'!E73="-"),"-",SUM('A-13'!C194,'A-8'!E73))</f>
        <v>168</v>
      </c>
      <c r="D193" s="24">
        <f>IF(AND('A-13'!D194="-",'A-8'!F73="-"),"-",SUM('A-13'!D194,'A-8'!F73))</f>
        <v>57</v>
      </c>
      <c r="E193" s="24">
        <f>IF(AND('A-13'!E194="-",'A-8'!G73="-"),"-",SUM('A-13'!E194,'A-8'!G73))</f>
        <v>101</v>
      </c>
      <c r="F193" s="24">
        <f>IF(AND('A-13'!F194="-",'A-8'!H73="-"),"-",SUM('A-13'!F194,'A-8'!H73))</f>
        <v>11</v>
      </c>
      <c r="G193" s="24" t="str">
        <f>'A-8'!I73</f>
        <v>-</v>
      </c>
      <c r="H193" s="24">
        <f>SUM(B193:G193)</f>
        <v>568</v>
      </c>
      <c r="J193" s="24" t="s">
        <v>23</v>
      </c>
      <c r="K193" s="24" t="str">
        <f>IF(AND('A-13'!J194="-",'A-8'!N73="-"),"-",SUM('A-13'!J194,'A-8'!N73))</f>
        <v>-</v>
      </c>
      <c r="L193" s="24">
        <f>IF(AND('A-13'!K194="-",'A-8'!O73="-"),"-",SUM('A-13'!K194,'A-8'!O73))</f>
        <v>63</v>
      </c>
      <c r="M193" s="24">
        <f>IF(AND('A-13'!L194="-",'A-8'!P73="-"),"-",SUM('A-13'!L194,'A-8'!P73))</f>
        <v>64</v>
      </c>
      <c r="N193" s="24">
        <f>IF(AND('A-13'!M194="-",'A-8'!Q73="-"),"-",SUM('A-13'!M194,'A-8'!Q73))</f>
        <v>17</v>
      </c>
      <c r="O193" s="24" t="str">
        <f>'A-8'!R73</f>
        <v>-</v>
      </c>
      <c r="P193" s="24">
        <f>SUM(J193:O193)</f>
        <v>144</v>
      </c>
    </row>
    <row r="194" spans="1:16" ht="11.25" customHeight="1">
      <c r="A194" s="122" t="s">
        <v>317</v>
      </c>
      <c r="B194" s="24">
        <f>IF(AND('A-13'!B195="-",'A-8'!D74="-"),"-",SUM('A-13'!B195,'A-8'!D74))</f>
        <v>39</v>
      </c>
      <c r="C194" s="24">
        <f>IF(AND('A-13'!C195="-",'A-8'!E74="-"),"-",SUM('A-13'!C195,'A-8'!E74))</f>
        <v>85</v>
      </c>
      <c r="D194" s="24">
        <f>IF(AND('A-13'!D195="-",'A-8'!F74="-"),"-",SUM('A-13'!D195,'A-8'!F74))</f>
        <v>128</v>
      </c>
      <c r="E194" s="24">
        <f>IF(AND('A-13'!E195="-",'A-8'!G74="-"),"-",SUM('A-13'!E195,'A-8'!G74))</f>
        <v>57</v>
      </c>
      <c r="F194" s="24">
        <f>IF(AND('A-13'!F195="-",'A-8'!H74="-"),"-",SUM('A-13'!F195,'A-8'!H74))</f>
        <v>15</v>
      </c>
      <c r="G194" s="24" t="str">
        <f>'A-8'!I74</f>
        <v>-</v>
      </c>
      <c r="H194" s="24">
        <f>SUM(B194:G194)</f>
        <v>324</v>
      </c>
      <c r="J194" s="24" t="s">
        <v>23</v>
      </c>
      <c r="K194" s="24" t="str">
        <f>IF(AND('A-13'!J195="-",'A-8'!N74="-"),"-",SUM('A-13'!J195,'A-8'!N74))</f>
        <v>-</v>
      </c>
      <c r="L194" s="24">
        <f>IF(AND('A-13'!K195="-",'A-8'!O74="-"),"-",SUM('A-13'!K195,'A-8'!O74))</f>
        <v>75</v>
      </c>
      <c r="M194" s="24">
        <f>IF(AND('A-13'!L195="-",'A-8'!P74="-"),"-",SUM('A-13'!L195,'A-8'!P74))</f>
        <v>68</v>
      </c>
      <c r="N194" s="24">
        <f>IF(AND('A-13'!M195="-",'A-8'!Q74="-"),"-",SUM('A-13'!M195,'A-8'!Q74))</f>
        <v>121</v>
      </c>
      <c r="O194" s="24" t="str">
        <f>'A-8'!R74</f>
        <v>-</v>
      </c>
      <c r="P194" s="24">
        <f>SUM(J194:O194)</f>
        <v>264</v>
      </c>
    </row>
    <row r="195" spans="1:16" ht="11.25" customHeight="1"/>
    <row r="196" spans="1:16" ht="11.25" customHeight="1">
      <c r="A196" s="94" t="s">
        <v>87</v>
      </c>
      <c r="B196" s="120"/>
      <c r="C196" s="120"/>
      <c r="D196" s="120"/>
      <c r="E196" s="21"/>
    </row>
    <row r="197" spans="1:16" ht="11.25" customHeight="1">
      <c r="A197" s="99">
        <v>1976</v>
      </c>
      <c r="B197" s="24">
        <f t="shared" ref="B197:H206" si="43">IF(AND(B149="-",B5="-"),"-",SUM(B149,B5))</f>
        <v>84158</v>
      </c>
      <c r="C197" s="24">
        <f t="shared" si="43"/>
        <v>104503</v>
      </c>
      <c r="D197" s="24">
        <f t="shared" si="43"/>
        <v>90910</v>
      </c>
      <c r="E197" s="24">
        <f t="shared" si="43"/>
        <v>59542</v>
      </c>
      <c r="F197" s="24">
        <f t="shared" si="43"/>
        <v>23929</v>
      </c>
      <c r="G197" s="24">
        <f t="shared" si="43"/>
        <v>210</v>
      </c>
      <c r="H197" s="24">
        <f t="shared" si="43"/>
        <v>363252</v>
      </c>
      <c r="J197" s="24" t="str">
        <f t="shared" ref="J197:P206" si="44">IF(AND(J149="-",J5="-"),"-",SUM(J149,J5))</f>
        <v>-</v>
      </c>
      <c r="K197" s="24">
        <f t="shared" si="44"/>
        <v>297844</v>
      </c>
      <c r="L197" s="24">
        <f t="shared" si="44"/>
        <v>694137</v>
      </c>
      <c r="M197" s="24">
        <f t="shared" si="44"/>
        <v>344650</v>
      </c>
      <c r="N197" s="24">
        <f t="shared" si="44"/>
        <v>185526</v>
      </c>
      <c r="O197" s="24">
        <f t="shared" si="44"/>
        <v>1747</v>
      </c>
      <c r="P197" s="24">
        <f t="shared" si="44"/>
        <v>1419739</v>
      </c>
    </row>
    <row r="198" spans="1:16" ht="11.25" customHeight="1">
      <c r="A198" s="99">
        <v>1977</v>
      </c>
      <c r="B198" s="24">
        <f t="shared" si="43"/>
        <v>67904</v>
      </c>
      <c r="C198" s="24">
        <f t="shared" si="43"/>
        <v>37672</v>
      </c>
      <c r="D198" s="24">
        <f t="shared" si="43"/>
        <v>67088</v>
      </c>
      <c r="E198" s="24">
        <f t="shared" si="43"/>
        <v>36157</v>
      </c>
      <c r="F198" s="24">
        <f t="shared" si="43"/>
        <v>29979</v>
      </c>
      <c r="G198" s="24">
        <f t="shared" si="43"/>
        <v>697</v>
      </c>
      <c r="H198" s="24">
        <f t="shared" si="43"/>
        <v>239497</v>
      </c>
      <c r="J198" s="24">
        <f t="shared" si="44"/>
        <v>4</v>
      </c>
      <c r="K198" s="24">
        <f t="shared" si="44"/>
        <v>26661</v>
      </c>
      <c r="L198" s="24">
        <f t="shared" si="44"/>
        <v>409371</v>
      </c>
      <c r="M198" s="24">
        <f t="shared" si="44"/>
        <v>191422</v>
      </c>
      <c r="N198" s="24">
        <f t="shared" si="44"/>
        <v>101207</v>
      </c>
      <c r="O198" s="24">
        <f t="shared" si="44"/>
        <v>374</v>
      </c>
      <c r="P198" s="24">
        <f t="shared" si="44"/>
        <v>729039</v>
      </c>
    </row>
    <row r="199" spans="1:16" ht="11.25" customHeight="1">
      <c r="A199" s="99">
        <v>1978</v>
      </c>
      <c r="B199" s="24">
        <f t="shared" si="43"/>
        <v>25770</v>
      </c>
      <c r="C199" s="24">
        <f t="shared" si="43"/>
        <v>27339</v>
      </c>
      <c r="D199" s="24">
        <f t="shared" si="43"/>
        <v>51963</v>
      </c>
      <c r="E199" s="24">
        <f t="shared" si="43"/>
        <v>27473</v>
      </c>
      <c r="F199" s="24">
        <f t="shared" si="43"/>
        <v>10212</v>
      </c>
      <c r="G199" s="24">
        <f t="shared" si="43"/>
        <v>1966</v>
      </c>
      <c r="H199" s="24">
        <f t="shared" si="43"/>
        <v>144723</v>
      </c>
      <c r="J199" s="24" t="str">
        <f t="shared" si="44"/>
        <v>-</v>
      </c>
      <c r="K199" s="24">
        <f t="shared" si="44"/>
        <v>17840</v>
      </c>
      <c r="L199" s="24">
        <f t="shared" si="44"/>
        <v>339797</v>
      </c>
      <c r="M199" s="24">
        <f t="shared" si="44"/>
        <v>120580</v>
      </c>
      <c r="N199" s="24">
        <f t="shared" si="44"/>
        <v>123503</v>
      </c>
      <c r="O199" s="24">
        <f t="shared" si="44"/>
        <v>1092</v>
      </c>
      <c r="P199" s="24">
        <f t="shared" si="44"/>
        <v>602812</v>
      </c>
    </row>
    <row r="200" spans="1:16" ht="11.25" customHeight="1">
      <c r="A200" s="99">
        <v>1979</v>
      </c>
      <c r="B200" s="24">
        <f t="shared" si="43"/>
        <v>47208</v>
      </c>
      <c r="C200" s="24">
        <f t="shared" si="43"/>
        <v>314</v>
      </c>
      <c r="D200" s="24">
        <f t="shared" si="43"/>
        <v>38231</v>
      </c>
      <c r="E200" s="24">
        <f t="shared" si="43"/>
        <v>41725</v>
      </c>
      <c r="F200" s="24">
        <f t="shared" si="43"/>
        <v>987</v>
      </c>
      <c r="G200" s="24">
        <f t="shared" si="43"/>
        <v>9</v>
      </c>
      <c r="H200" s="24">
        <f t="shared" si="43"/>
        <v>128474</v>
      </c>
      <c r="J200" s="24">
        <f t="shared" si="44"/>
        <v>7</v>
      </c>
      <c r="K200" s="24">
        <f t="shared" si="44"/>
        <v>11</v>
      </c>
      <c r="L200" s="24">
        <f t="shared" si="44"/>
        <v>392422</v>
      </c>
      <c r="M200" s="24">
        <f t="shared" si="44"/>
        <v>280940</v>
      </c>
      <c r="N200" s="24">
        <f t="shared" si="44"/>
        <v>5181</v>
      </c>
      <c r="O200" s="24" t="str">
        <f t="shared" si="44"/>
        <v>-</v>
      </c>
      <c r="P200" s="24">
        <f t="shared" si="44"/>
        <v>678561</v>
      </c>
    </row>
    <row r="201" spans="1:16" ht="11.25" customHeight="1">
      <c r="A201" s="99">
        <v>1980</v>
      </c>
      <c r="B201" s="24">
        <f t="shared" si="43"/>
        <v>48912</v>
      </c>
      <c r="C201" s="24">
        <f t="shared" si="43"/>
        <v>2112</v>
      </c>
      <c r="D201" s="24">
        <f t="shared" si="43"/>
        <v>42274</v>
      </c>
      <c r="E201" s="24">
        <f t="shared" si="43"/>
        <v>24477</v>
      </c>
      <c r="F201" s="24">
        <f t="shared" si="43"/>
        <v>574</v>
      </c>
      <c r="G201" s="24">
        <f t="shared" si="43"/>
        <v>5</v>
      </c>
      <c r="H201" s="24">
        <f t="shared" si="43"/>
        <v>118354</v>
      </c>
      <c r="J201" s="24">
        <f t="shared" si="44"/>
        <v>97</v>
      </c>
      <c r="K201" s="24" t="str">
        <f t="shared" si="44"/>
        <v>-</v>
      </c>
      <c r="L201" s="24">
        <f t="shared" si="44"/>
        <v>199040</v>
      </c>
      <c r="M201" s="24">
        <f t="shared" si="44"/>
        <v>143386</v>
      </c>
      <c r="N201" s="24">
        <f t="shared" si="44"/>
        <v>9830</v>
      </c>
      <c r="O201" s="24">
        <f t="shared" si="44"/>
        <v>304</v>
      </c>
      <c r="P201" s="24">
        <f t="shared" si="44"/>
        <v>352657</v>
      </c>
    </row>
    <row r="202" spans="1:16" ht="11.25" customHeight="1">
      <c r="A202" s="99">
        <v>1981</v>
      </c>
      <c r="B202" s="24">
        <f t="shared" si="43"/>
        <v>52766</v>
      </c>
      <c r="C202" s="24">
        <f t="shared" si="43"/>
        <v>2568</v>
      </c>
      <c r="D202" s="24">
        <f t="shared" si="43"/>
        <v>25264</v>
      </c>
      <c r="E202" s="24">
        <f t="shared" si="43"/>
        <v>19119</v>
      </c>
      <c r="F202" s="24">
        <f t="shared" si="43"/>
        <v>0</v>
      </c>
      <c r="G202" s="24">
        <f t="shared" si="43"/>
        <v>9</v>
      </c>
      <c r="H202" s="24">
        <f t="shared" si="43"/>
        <v>99726</v>
      </c>
      <c r="J202" s="24" t="str">
        <f t="shared" si="44"/>
        <v>-</v>
      </c>
      <c r="K202" s="24" t="str">
        <f t="shared" si="44"/>
        <v>-</v>
      </c>
      <c r="L202" s="24">
        <f t="shared" si="44"/>
        <v>251655</v>
      </c>
      <c r="M202" s="24">
        <f t="shared" si="44"/>
        <v>143485</v>
      </c>
      <c r="N202" s="24" t="str">
        <f t="shared" si="44"/>
        <v>-</v>
      </c>
      <c r="O202" s="24" t="str">
        <f t="shared" si="44"/>
        <v>-</v>
      </c>
      <c r="P202" s="24">
        <f t="shared" si="44"/>
        <v>395140</v>
      </c>
    </row>
    <row r="203" spans="1:16" ht="11.25" customHeight="1">
      <c r="A203" s="99">
        <v>1982</v>
      </c>
      <c r="B203" s="24">
        <f t="shared" si="43"/>
        <v>62755</v>
      </c>
      <c r="C203" s="24">
        <f t="shared" si="43"/>
        <v>8682</v>
      </c>
      <c r="D203" s="24">
        <f t="shared" si="43"/>
        <v>58611</v>
      </c>
      <c r="E203" s="24">
        <f t="shared" si="43"/>
        <v>347</v>
      </c>
      <c r="F203" s="24">
        <f t="shared" si="43"/>
        <v>0</v>
      </c>
      <c r="G203" s="24">
        <f t="shared" si="43"/>
        <v>0</v>
      </c>
      <c r="H203" s="24">
        <f t="shared" si="43"/>
        <v>130395</v>
      </c>
      <c r="J203" s="24" t="str">
        <f t="shared" si="44"/>
        <v>-</v>
      </c>
      <c r="K203" s="24" t="str">
        <f t="shared" si="44"/>
        <v>-</v>
      </c>
      <c r="L203" s="24">
        <f t="shared" si="44"/>
        <v>247518</v>
      </c>
      <c r="M203" s="24">
        <f t="shared" si="44"/>
        <v>13918</v>
      </c>
      <c r="N203" s="24">
        <f t="shared" si="44"/>
        <v>159</v>
      </c>
      <c r="O203" s="24" t="str">
        <f t="shared" si="44"/>
        <v>-</v>
      </c>
      <c r="P203" s="24">
        <f t="shared" si="44"/>
        <v>261595</v>
      </c>
    </row>
    <row r="204" spans="1:16" ht="11.25" customHeight="1">
      <c r="A204" s="99">
        <v>1983</v>
      </c>
      <c r="B204" s="24">
        <f t="shared" si="43"/>
        <v>32498</v>
      </c>
      <c r="C204" s="24">
        <f t="shared" si="43"/>
        <v>6077</v>
      </c>
      <c r="D204" s="24">
        <f t="shared" si="43"/>
        <v>13410</v>
      </c>
      <c r="E204" s="24">
        <f t="shared" si="43"/>
        <v>1417</v>
      </c>
      <c r="F204" s="24">
        <f t="shared" si="43"/>
        <v>534</v>
      </c>
      <c r="G204" s="24">
        <f t="shared" si="43"/>
        <v>0</v>
      </c>
      <c r="H204" s="24">
        <f t="shared" si="43"/>
        <v>53936</v>
      </c>
      <c r="J204" s="24" t="str">
        <f t="shared" si="44"/>
        <v>-</v>
      </c>
      <c r="K204" s="24" t="str">
        <f t="shared" si="44"/>
        <v>-</v>
      </c>
      <c r="L204" s="24">
        <f t="shared" si="44"/>
        <v>4110</v>
      </c>
      <c r="M204" s="24">
        <f t="shared" si="44"/>
        <v>8349</v>
      </c>
      <c r="N204" s="24">
        <f t="shared" si="44"/>
        <v>15916</v>
      </c>
      <c r="O204" s="24" t="str">
        <f t="shared" si="44"/>
        <v>-</v>
      </c>
      <c r="P204" s="24">
        <f t="shared" si="44"/>
        <v>28375</v>
      </c>
    </row>
    <row r="205" spans="1:16" ht="11.25" customHeight="1">
      <c r="A205" s="99">
        <v>1984</v>
      </c>
      <c r="B205" s="24">
        <f t="shared" si="43"/>
        <v>9089</v>
      </c>
      <c r="C205" s="24">
        <f t="shared" si="43"/>
        <v>0</v>
      </c>
      <c r="D205" s="24">
        <f t="shared" si="43"/>
        <v>0</v>
      </c>
      <c r="E205" s="24">
        <f t="shared" si="43"/>
        <v>1813</v>
      </c>
      <c r="F205" s="24">
        <f t="shared" si="43"/>
        <v>0</v>
      </c>
      <c r="G205" s="24">
        <f t="shared" si="43"/>
        <v>0</v>
      </c>
      <c r="H205" s="24">
        <f t="shared" si="43"/>
        <v>10902</v>
      </c>
      <c r="J205" s="24" t="str">
        <f t="shared" si="44"/>
        <v>-</v>
      </c>
      <c r="K205" s="24" t="str">
        <f t="shared" si="44"/>
        <v>-</v>
      </c>
      <c r="L205" s="24" t="str">
        <f t="shared" si="44"/>
        <v>-</v>
      </c>
      <c r="M205" s="24">
        <f t="shared" si="44"/>
        <v>36739</v>
      </c>
      <c r="N205" s="24" t="str">
        <f t="shared" si="44"/>
        <v>-</v>
      </c>
      <c r="O205" s="24" t="str">
        <f t="shared" si="44"/>
        <v>-</v>
      </c>
      <c r="P205" s="24">
        <f t="shared" si="44"/>
        <v>36739</v>
      </c>
    </row>
    <row r="206" spans="1:16" ht="11.25" customHeight="1">
      <c r="A206" s="99">
        <v>1985</v>
      </c>
      <c r="B206" s="24">
        <f t="shared" si="43"/>
        <v>24876</v>
      </c>
      <c r="C206" s="24">
        <f t="shared" si="43"/>
        <v>230</v>
      </c>
      <c r="D206" s="24">
        <f t="shared" si="43"/>
        <v>9660</v>
      </c>
      <c r="E206" s="24">
        <f t="shared" si="43"/>
        <v>4535</v>
      </c>
      <c r="F206" s="24">
        <f t="shared" si="43"/>
        <v>31</v>
      </c>
      <c r="G206" s="24">
        <f t="shared" si="43"/>
        <v>3</v>
      </c>
      <c r="H206" s="24">
        <f t="shared" si="43"/>
        <v>39335</v>
      </c>
      <c r="J206" s="24" t="str">
        <f t="shared" si="44"/>
        <v>-</v>
      </c>
      <c r="K206" s="24" t="str">
        <f t="shared" si="44"/>
        <v>-</v>
      </c>
      <c r="L206" s="24">
        <f t="shared" si="44"/>
        <v>114403</v>
      </c>
      <c r="M206" s="24">
        <f t="shared" si="44"/>
        <v>32635</v>
      </c>
      <c r="N206" s="24">
        <f t="shared" si="44"/>
        <v>40</v>
      </c>
      <c r="O206" s="24" t="str">
        <f t="shared" si="44"/>
        <v>-</v>
      </c>
      <c r="P206" s="24">
        <f t="shared" si="44"/>
        <v>147078</v>
      </c>
    </row>
    <row r="207" spans="1:16" ht="11.25" customHeight="1">
      <c r="A207" s="99">
        <v>1986</v>
      </c>
      <c r="B207" s="24">
        <f t="shared" ref="B207:H216" si="45">IF(AND(B159="-",B15="-"),"-",SUM(B159,B15))</f>
        <v>31198</v>
      </c>
      <c r="C207" s="24">
        <f t="shared" si="45"/>
        <v>163</v>
      </c>
      <c r="D207" s="24" t="str">
        <f t="shared" si="45"/>
        <v>-</v>
      </c>
      <c r="E207" s="24">
        <f t="shared" si="45"/>
        <v>7576</v>
      </c>
      <c r="F207" s="24" t="str">
        <f t="shared" si="45"/>
        <v>-</v>
      </c>
      <c r="G207" s="24" t="str">
        <f t="shared" si="45"/>
        <v>-</v>
      </c>
      <c r="H207" s="24">
        <f t="shared" si="45"/>
        <v>38937</v>
      </c>
      <c r="J207" s="24" t="str">
        <f t="shared" ref="J207:P216" si="46">IF(AND(J159="-",J15="-"),"-",SUM(J159,J15))</f>
        <v>-</v>
      </c>
      <c r="K207" s="24" t="str">
        <f t="shared" si="46"/>
        <v>-</v>
      </c>
      <c r="L207" s="24" t="str">
        <f t="shared" si="46"/>
        <v>-</v>
      </c>
      <c r="M207" s="24">
        <f t="shared" si="46"/>
        <v>121099</v>
      </c>
      <c r="N207" s="24" t="str">
        <f t="shared" si="46"/>
        <v>-</v>
      </c>
      <c r="O207" s="24" t="str">
        <f t="shared" si="46"/>
        <v>-</v>
      </c>
      <c r="P207" s="24">
        <f t="shared" si="46"/>
        <v>121099</v>
      </c>
    </row>
    <row r="208" spans="1:16" ht="11.25" customHeight="1">
      <c r="A208" s="99">
        <v>1987</v>
      </c>
      <c r="B208" s="24">
        <f t="shared" si="45"/>
        <v>37959</v>
      </c>
      <c r="C208" s="24" t="str">
        <f t="shared" si="45"/>
        <v>-</v>
      </c>
      <c r="D208" s="24">
        <f t="shared" si="45"/>
        <v>21319</v>
      </c>
      <c r="E208" s="24" t="str">
        <f t="shared" si="45"/>
        <v>-</v>
      </c>
      <c r="F208" s="24" t="str">
        <f t="shared" si="45"/>
        <v>-</v>
      </c>
      <c r="G208" s="24" t="str">
        <f t="shared" si="45"/>
        <v>-</v>
      </c>
      <c r="H208" s="24">
        <f t="shared" si="45"/>
        <v>59278</v>
      </c>
      <c r="J208" s="24" t="str">
        <f t="shared" si="46"/>
        <v>-</v>
      </c>
      <c r="K208" s="24" t="str">
        <f t="shared" si="46"/>
        <v>-</v>
      </c>
      <c r="L208" s="24">
        <f t="shared" si="46"/>
        <v>54747</v>
      </c>
      <c r="M208" s="24" t="str">
        <f t="shared" si="46"/>
        <v>-</v>
      </c>
      <c r="N208" s="24" t="str">
        <f t="shared" si="46"/>
        <v>-</v>
      </c>
      <c r="O208" s="24" t="str">
        <f t="shared" si="46"/>
        <v>-</v>
      </c>
      <c r="P208" s="24">
        <f t="shared" si="46"/>
        <v>54747</v>
      </c>
    </row>
    <row r="209" spans="1:16" ht="11.25" customHeight="1">
      <c r="A209" s="99">
        <v>1988</v>
      </c>
      <c r="B209" s="24">
        <f t="shared" si="45"/>
        <v>42647</v>
      </c>
      <c r="C209" s="24">
        <f t="shared" si="45"/>
        <v>30900</v>
      </c>
      <c r="D209" s="24">
        <f t="shared" si="45"/>
        <v>57</v>
      </c>
      <c r="E209" s="24">
        <f t="shared" si="45"/>
        <v>242</v>
      </c>
      <c r="F209" s="24" t="str">
        <f t="shared" si="45"/>
        <v>-</v>
      </c>
      <c r="G209" s="24" t="str">
        <f t="shared" si="45"/>
        <v>-</v>
      </c>
      <c r="H209" s="24">
        <f t="shared" si="45"/>
        <v>73846</v>
      </c>
      <c r="J209" s="24" t="str">
        <f t="shared" si="46"/>
        <v>-</v>
      </c>
      <c r="K209" s="24" t="str">
        <f t="shared" si="46"/>
        <v>-</v>
      </c>
      <c r="L209" s="24">
        <f t="shared" si="46"/>
        <v>381</v>
      </c>
      <c r="M209" s="24">
        <f t="shared" si="46"/>
        <v>1848</v>
      </c>
      <c r="N209" s="24" t="str">
        <f t="shared" si="46"/>
        <v>-</v>
      </c>
      <c r="O209" s="24" t="str">
        <f t="shared" si="46"/>
        <v>-</v>
      </c>
      <c r="P209" s="24">
        <f t="shared" si="46"/>
        <v>2229</v>
      </c>
    </row>
    <row r="210" spans="1:16" ht="11.25" customHeight="1">
      <c r="A210" s="99">
        <v>1989</v>
      </c>
      <c r="B210" s="24">
        <f t="shared" si="45"/>
        <v>23917</v>
      </c>
      <c r="C210" s="24">
        <f t="shared" si="45"/>
        <v>15845</v>
      </c>
      <c r="D210" s="24" t="str">
        <f t="shared" si="45"/>
        <v>-</v>
      </c>
      <c r="E210" s="24">
        <f t="shared" si="45"/>
        <v>2261</v>
      </c>
      <c r="F210" s="24">
        <f t="shared" si="45"/>
        <v>1055</v>
      </c>
      <c r="G210" s="24" t="str">
        <f t="shared" si="45"/>
        <v>-</v>
      </c>
      <c r="H210" s="24">
        <f t="shared" si="45"/>
        <v>43078</v>
      </c>
      <c r="J210" s="24" t="str">
        <f t="shared" si="46"/>
        <v>-</v>
      </c>
      <c r="K210" s="24" t="str">
        <f t="shared" si="46"/>
        <v>-</v>
      </c>
      <c r="L210" s="24" t="str">
        <f t="shared" si="46"/>
        <v>-</v>
      </c>
      <c r="M210" s="24">
        <f t="shared" si="46"/>
        <v>62098</v>
      </c>
      <c r="N210" s="24">
        <f t="shared" si="46"/>
        <v>16165</v>
      </c>
      <c r="O210" s="24" t="str">
        <f t="shared" si="46"/>
        <v>-</v>
      </c>
      <c r="P210" s="24">
        <f t="shared" si="46"/>
        <v>78263</v>
      </c>
    </row>
    <row r="211" spans="1:16" ht="11.25" customHeight="1">
      <c r="A211" s="99">
        <v>1990</v>
      </c>
      <c r="B211" s="24">
        <f t="shared" si="45"/>
        <v>23629</v>
      </c>
      <c r="C211" s="24">
        <f t="shared" si="45"/>
        <v>2059</v>
      </c>
      <c r="D211" s="24" t="str">
        <f t="shared" si="45"/>
        <v>-</v>
      </c>
      <c r="E211" s="24">
        <f t="shared" si="45"/>
        <v>5238</v>
      </c>
      <c r="F211" s="24">
        <f t="shared" si="45"/>
        <v>2360</v>
      </c>
      <c r="G211" s="24">
        <f t="shared" si="45"/>
        <v>71</v>
      </c>
      <c r="H211" s="24">
        <f t="shared" si="45"/>
        <v>33357</v>
      </c>
      <c r="J211" s="24" t="str">
        <f t="shared" si="46"/>
        <v>-</v>
      </c>
      <c r="K211" s="24" t="str">
        <f t="shared" si="46"/>
        <v>-</v>
      </c>
      <c r="L211" s="24" t="str">
        <f t="shared" si="46"/>
        <v>-</v>
      </c>
      <c r="M211" s="24">
        <f t="shared" si="46"/>
        <v>78243</v>
      </c>
      <c r="N211" s="24">
        <f t="shared" si="46"/>
        <v>22463</v>
      </c>
      <c r="O211" s="24">
        <f t="shared" si="46"/>
        <v>304</v>
      </c>
      <c r="P211" s="24">
        <f t="shared" si="46"/>
        <v>101010</v>
      </c>
    </row>
    <row r="212" spans="1:16" ht="11.25" customHeight="1">
      <c r="A212" s="99">
        <v>1991</v>
      </c>
      <c r="B212" s="24">
        <f t="shared" si="45"/>
        <v>14815</v>
      </c>
      <c r="C212" s="24">
        <f t="shared" si="45"/>
        <v>12454</v>
      </c>
      <c r="D212" s="24" t="str">
        <f t="shared" si="45"/>
        <v>-</v>
      </c>
      <c r="E212" s="24">
        <f t="shared" si="45"/>
        <v>1581</v>
      </c>
      <c r="F212" s="24">
        <f t="shared" si="45"/>
        <v>873</v>
      </c>
      <c r="G212" s="24" t="str">
        <f t="shared" si="45"/>
        <v>-</v>
      </c>
      <c r="H212" s="24">
        <f t="shared" si="45"/>
        <v>29723</v>
      </c>
      <c r="J212" s="24" t="str">
        <f t="shared" si="46"/>
        <v>-</v>
      </c>
      <c r="K212" s="24" t="str">
        <f t="shared" si="46"/>
        <v>-</v>
      </c>
      <c r="L212" s="24" t="str">
        <f t="shared" si="46"/>
        <v>-</v>
      </c>
      <c r="M212" s="24">
        <f t="shared" si="46"/>
        <v>61643</v>
      </c>
      <c r="N212" s="24">
        <f t="shared" si="46"/>
        <v>19305</v>
      </c>
      <c r="O212" s="24" t="str">
        <f t="shared" si="46"/>
        <v>-</v>
      </c>
      <c r="P212" s="24">
        <f t="shared" si="46"/>
        <v>80948</v>
      </c>
    </row>
    <row r="213" spans="1:16" ht="11.25" customHeight="1">
      <c r="A213" s="99">
        <v>1992</v>
      </c>
      <c r="B213" s="24">
        <f t="shared" si="45"/>
        <v>22537</v>
      </c>
      <c r="C213" s="24">
        <f t="shared" si="45"/>
        <v>13556</v>
      </c>
      <c r="D213" s="24">
        <f t="shared" si="45"/>
        <v>5456</v>
      </c>
      <c r="E213" s="24">
        <f t="shared" si="45"/>
        <v>3572</v>
      </c>
      <c r="F213" s="24" t="str">
        <f t="shared" si="45"/>
        <v>-</v>
      </c>
      <c r="G213" s="24" t="str">
        <f t="shared" si="45"/>
        <v>-</v>
      </c>
      <c r="H213" s="24">
        <f t="shared" si="45"/>
        <v>45121</v>
      </c>
      <c r="J213" s="24" t="str">
        <f t="shared" si="46"/>
        <v>-</v>
      </c>
      <c r="K213" s="24" t="str">
        <f t="shared" si="46"/>
        <v>-</v>
      </c>
      <c r="L213" s="24">
        <f t="shared" si="46"/>
        <v>10934</v>
      </c>
      <c r="M213" s="24">
        <f t="shared" si="46"/>
        <v>8174</v>
      </c>
      <c r="N213" s="24" t="str">
        <f t="shared" si="46"/>
        <v>-</v>
      </c>
      <c r="O213" s="24" t="str">
        <f t="shared" si="46"/>
        <v>-</v>
      </c>
      <c r="P213" s="24">
        <f t="shared" si="46"/>
        <v>19108</v>
      </c>
    </row>
    <row r="214" spans="1:16" ht="11.25" customHeight="1">
      <c r="A214" s="99">
        <v>1993</v>
      </c>
      <c r="B214" s="24">
        <f t="shared" si="45"/>
        <v>14612</v>
      </c>
      <c r="C214" s="24">
        <f t="shared" si="45"/>
        <v>10639</v>
      </c>
      <c r="D214" s="24">
        <f t="shared" si="45"/>
        <v>2669</v>
      </c>
      <c r="E214" s="24">
        <f t="shared" si="45"/>
        <v>990</v>
      </c>
      <c r="F214" s="24">
        <f t="shared" si="45"/>
        <v>1567</v>
      </c>
      <c r="G214" s="24" t="str">
        <f t="shared" si="45"/>
        <v>-</v>
      </c>
      <c r="H214" s="24">
        <f t="shared" si="45"/>
        <v>30477</v>
      </c>
      <c r="J214" s="24" t="str">
        <f t="shared" si="46"/>
        <v>-</v>
      </c>
      <c r="K214" s="24" t="str">
        <f t="shared" si="46"/>
        <v>-</v>
      </c>
      <c r="L214" s="24">
        <f t="shared" si="46"/>
        <v>5125</v>
      </c>
      <c r="M214" s="24">
        <f t="shared" si="46"/>
        <v>4205</v>
      </c>
      <c r="N214" s="24">
        <f t="shared" si="46"/>
        <v>6233</v>
      </c>
      <c r="O214" s="24" t="str">
        <f t="shared" si="46"/>
        <v>-</v>
      </c>
      <c r="P214" s="24">
        <f t="shared" si="46"/>
        <v>15563</v>
      </c>
    </row>
    <row r="215" spans="1:16" ht="11.25" customHeight="1">
      <c r="A215" s="99">
        <v>1994</v>
      </c>
      <c r="B215" s="24" t="str">
        <f t="shared" si="45"/>
        <v>-</v>
      </c>
      <c r="C215" s="24" t="str">
        <f t="shared" si="45"/>
        <v>-</v>
      </c>
      <c r="D215" s="24" t="str">
        <f t="shared" si="45"/>
        <v>-</v>
      </c>
      <c r="E215" s="24" t="str">
        <f t="shared" si="45"/>
        <v>-</v>
      </c>
      <c r="F215" s="24" t="str">
        <f t="shared" si="45"/>
        <v>-</v>
      </c>
      <c r="G215" s="24" t="str">
        <f t="shared" si="45"/>
        <v>-</v>
      </c>
      <c r="H215" s="24" t="str">
        <f t="shared" si="45"/>
        <v>-</v>
      </c>
      <c r="J215" s="24" t="str">
        <f t="shared" si="46"/>
        <v>-</v>
      </c>
      <c r="K215" s="24" t="str">
        <f t="shared" si="46"/>
        <v>-</v>
      </c>
      <c r="L215" s="24" t="str">
        <f t="shared" si="46"/>
        <v>-</v>
      </c>
      <c r="M215" s="24" t="str">
        <f t="shared" si="46"/>
        <v>-</v>
      </c>
      <c r="N215" s="24" t="str">
        <f t="shared" si="46"/>
        <v>-</v>
      </c>
      <c r="O215" s="24" t="str">
        <f t="shared" si="46"/>
        <v>-</v>
      </c>
      <c r="P215" s="24" t="str">
        <f t="shared" si="46"/>
        <v>-</v>
      </c>
    </row>
    <row r="216" spans="1:16" ht="11.25" customHeight="1">
      <c r="A216" s="99">
        <v>1995</v>
      </c>
      <c r="B216" s="24" t="str">
        <f t="shared" si="45"/>
        <v>-</v>
      </c>
      <c r="C216" s="24" t="str">
        <f t="shared" si="45"/>
        <v>-</v>
      </c>
      <c r="D216" s="24" t="str">
        <f t="shared" si="45"/>
        <v>-</v>
      </c>
      <c r="E216" s="24">
        <f t="shared" si="45"/>
        <v>3</v>
      </c>
      <c r="F216" s="24" t="str">
        <f t="shared" si="45"/>
        <v>-</v>
      </c>
      <c r="G216" s="24" t="str">
        <f t="shared" si="45"/>
        <v>-</v>
      </c>
      <c r="H216" s="24">
        <f t="shared" si="45"/>
        <v>3</v>
      </c>
      <c r="J216" s="24" t="str">
        <f t="shared" si="46"/>
        <v>-</v>
      </c>
      <c r="K216" s="24" t="str">
        <f t="shared" si="46"/>
        <v>-</v>
      </c>
      <c r="L216" s="24" t="str">
        <f t="shared" si="46"/>
        <v>-</v>
      </c>
      <c r="M216" s="24">
        <f t="shared" si="46"/>
        <v>18366</v>
      </c>
      <c r="N216" s="24">
        <f t="shared" si="46"/>
        <v>7060</v>
      </c>
      <c r="O216" s="24" t="str">
        <f t="shared" si="46"/>
        <v>-</v>
      </c>
      <c r="P216" s="24">
        <f t="shared" si="46"/>
        <v>25426</v>
      </c>
    </row>
    <row r="217" spans="1:16" ht="11.25" customHeight="1">
      <c r="A217" s="99">
        <v>1996</v>
      </c>
      <c r="B217" s="24" t="str">
        <f t="shared" ref="B217:H226" si="47">IF(AND(B169="-",B25="-"),"-",SUM(B169,B25))</f>
        <v>-</v>
      </c>
      <c r="C217" s="24" t="str">
        <f t="shared" si="47"/>
        <v>-</v>
      </c>
      <c r="D217" s="24" t="str">
        <f t="shared" si="47"/>
        <v>-</v>
      </c>
      <c r="E217" s="24" t="str">
        <f t="shared" si="47"/>
        <v>-</v>
      </c>
      <c r="F217" s="24" t="str">
        <f t="shared" si="47"/>
        <v>-</v>
      </c>
      <c r="G217" s="24" t="str">
        <f t="shared" si="47"/>
        <v>-</v>
      </c>
      <c r="H217" s="24" t="str">
        <f t="shared" si="47"/>
        <v>-</v>
      </c>
      <c r="J217" s="24" t="str">
        <f t="shared" ref="J217:P223" si="48">IF(AND(J169="-",J25="-"),"-",SUM(J169,J25))</f>
        <v>-</v>
      </c>
      <c r="K217" s="24" t="str">
        <f t="shared" si="48"/>
        <v>-</v>
      </c>
      <c r="L217" s="24">
        <f t="shared" si="48"/>
        <v>7137</v>
      </c>
      <c r="M217" s="24">
        <f t="shared" si="48"/>
        <v>10389</v>
      </c>
      <c r="N217" s="24" t="str">
        <f t="shared" si="48"/>
        <v>-</v>
      </c>
      <c r="O217" s="24" t="str">
        <f t="shared" si="48"/>
        <v>-</v>
      </c>
      <c r="P217" s="24">
        <f t="shared" si="48"/>
        <v>17526</v>
      </c>
    </row>
    <row r="218" spans="1:16" ht="11.25" customHeight="1">
      <c r="A218" s="99">
        <v>1997</v>
      </c>
      <c r="B218" s="24">
        <f t="shared" si="47"/>
        <v>4539</v>
      </c>
      <c r="C218" s="24">
        <f t="shared" si="47"/>
        <v>1907</v>
      </c>
      <c r="D218" s="24" t="str">
        <f t="shared" si="47"/>
        <v>-</v>
      </c>
      <c r="E218" s="24" t="str">
        <f t="shared" si="47"/>
        <v>-</v>
      </c>
      <c r="F218" s="24" t="str">
        <f t="shared" si="47"/>
        <v>-</v>
      </c>
      <c r="G218" s="24" t="str">
        <f t="shared" si="47"/>
        <v>-</v>
      </c>
      <c r="H218" s="24">
        <f t="shared" si="47"/>
        <v>6446</v>
      </c>
      <c r="J218" s="24" t="str">
        <f t="shared" si="48"/>
        <v>-</v>
      </c>
      <c r="K218" s="24" t="str">
        <f t="shared" si="48"/>
        <v>-</v>
      </c>
      <c r="L218" s="24" t="str">
        <f t="shared" si="48"/>
        <v>-</v>
      </c>
      <c r="M218" s="24" t="str">
        <f t="shared" si="48"/>
        <v>-</v>
      </c>
      <c r="N218" s="24" t="str">
        <f t="shared" si="48"/>
        <v>-</v>
      </c>
      <c r="O218" s="24" t="str">
        <f t="shared" si="48"/>
        <v>-</v>
      </c>
      <c r="P218" s="24" t="str">
        <f t="shared" si="48"/>
        <v>-</v>
      </c>
    </row>
    <row r="219" spans="1:16" ht="11.25" customHeight="1">
      <c r="A219" s="99">
        <v>1998</v>
      </c>
      <c r="B219" s="24">
        <f t="shared" si="47"/>
        <v>5747</v>
      </c>
      <c r="C219" s="24">
        <f t="shared" si="47"/>
        <v>182</v>
      </c>
      <c r="D219" s="24" t="str">
        <f t="shared" si="47"/>
        <v>-</v>
      </c>
      <c r="E219" s="24" t="str">
        <f t="shared" si="47"/>
        <v>-</v>
      </c>
      <c r="F219" s="24" t="str">
        <f t="shared" si="47"/>
        <v>-</v>
      </c>
      <c r="G219" s="24" t="str">
        <f t="shared" si="47"/>
        <v>-</v>
      </c>
      <c r="H219" s="24">
        <f t="shared" si="47"/>
        <v>5929</v>
      </c>
      <c r="J219" s="24" t="str">
        <f t="shared" si="48"/>
        <v>-</v>
      </c>
      <c r="K219" s="24" t="str">
        <f t="shared" si="48"/>
        <v>-</v>
      </c>
      <c r="L219" s="24" t="str">
        <f t="shared" si="48"/>
        <v>-</v>
      </c>
      <c r="M219" s="24" t="str">
        <f t="shared" si="48"/>
        <v>-</v>
      </c>
      <c r="N219" s="24" t="str">
        <f t="shared" si="48"/>
        <v>-</v>
      </c>
      <c r="O219" s="24" t="str">
        <f t="shared" si="48"/>
        <v>-</v>
      </c>
      <c r="P219" s="24" t="str">
        <f t="shared" si="48"/>
        <v>-</v>
      </c>
    </row>
    <row r="220" spans="1:16" ht="11.25" customHeight="1">
      <c r="A220" s="99">
        <v>1999</v>
      </c>
      <c r="B220" s="24">
        <f t="shared" si="47"/>
        <v>4191</v>
      </c>
      <c r="C220" s="24">
        <f t="shared" si="47"/>
        <v>7090</v>
      </c>
      <c r="D220" s="24">
        <f t="shared" si="47"/>
        <v>4030</v>
      </c>
      <c r="E220" s="24">
        <f t="shared" si="47"/>
        <v>2160</v>
      </c>
      <c r="F220" s="24" t="str">
        <f t="shared" si="47"/>
        <v>-</v>
      </c>
      <c r="G220" s="24" t="str">
        <f t="shared" si="47"/>
        <v>-</v>
      </c>
      <c r="H220" s="24">
        <f t="shared" si="47"/>
        <v>17471</v>
      </c>
      <c r="J220" s="24" t="str">
        <f t="shared" si="48"/>
        <v>-</v>
      </c>
      <c r="K220" s="24" t="str">
        <f t="shared" si="48"/>
        <v>-</v>
      </c>
      <c r="L220" s="24">
        <f t="shared" si="48"/>
        <v>673</v>
      </c>
      <c r="M220" s="24">
        <f t="shared" si="48"/>
        <v>2840</v>
      </c>
      <c r="N220" s="24">
        <f t="shared" si="48"/>
        <v>337</v>
      </c>
      <c r="O220" s="24" t="str">
        <f t="shared" si="48"/>
        <v>-</v>
      </c>
      <c r="P220" s="24">
        <f t="shared" si="48"/>
        <v>3850</v>
      </c>
    </row>
    <row r="221" spans="1:16" ht="11.25" customHeight="1">
      <c r="A221" s="99">
        <v>2000</v>
      </c>
      <c r="B221" s="24">
        <f t="shared" si="47"/>
        <v>6543</v>
      </c>
      <c r="C221" s="24">
        <f t="shared" si="47"/>
        <v>2663</v>
      </c>
      <c r="D221" s="24" t="str">
        <f t="shared" si="47"/>
        <v>-</v>
      </c>
      <c r="E221" s="24">
        <f t="shared" si="47"/>
        <v>3216</v>
      </c>
      <c r="F221" s="24">
        <f t="shared" si="47"/>
        <v>92</v>
      </c>
      <c r="G221" s="24" t="str">
        <f t="shared" si="47"/>
        <v>-</v>
      </c>
      <c r="H221" s="24">
        <f t="shared" si="47"/>
        <v>12514</v>
      </c>
      <c r="J221" s="24" t="str">
        <f t="shared" si="48"/>
        <v>-</v>
      </c>
      <c r="K221" s="24" t="str">
        <f t="shared" si="48"/>
        <v>-</v>
      </c>
      <c r="L221" s="24" t="str">
        <f t="shared" si="48"/>
        <v>-</v>
      </c>
      <c r="M221" s="24">
        <f t="shared" si="48"/>
        <v>16433</v>
      </c>
      <c r="N221" s="24">
        <f t="shared" si="48"/>
        <v>1092</v>
      </c>
      <c r="O221" s="24" t="str">
        <f t="shared" si="48"/>
        <v>-</v>
      </c>
      <c r="P221" s="24">
        <f t="shared" si="48"/>
        <v>17525</v>
      </c>
    </row>
    <row r="222" spans="1:16" ht="11.25" customHeight="1">
      <c r="A222" s="99">
        <v>2001</v>
      </c>
      <c r="B222" s="24">
        <f t="shared" si="47"/>
        <v>7990</v>
      </c>
      <c r="C222" s="24">
        <f t="shared" si="47"/>
        <v>8901</v>
      </c>
      <c r="D222" s="24">
        <f t="shared" si="47"/>
        <v>5976</v>
      </c>
      <c r="E222" s="24">
        <f t="shared" si="47"/>
        <v>1747</v>
      </c>
      <c r="F222" s="24">
        <f t="shared" si="47"/>
        <v>706</v>
      </c>
      <c r="G222" s="24" t="str">
        <f t="shared" si="47"/>
        <v>-</v>
      </c>
      <c r="H222" s="24">
        <f t="shared" si="47"/>
        <v>25320</v>
      </c>
      <c r="J222" s="24" t="str">
        <f t="shared" si="48"/>
        <v>-</v>
      </c>
      <c r="K222" s="24" t="str">
        <f t="shared" si="48"/>
        <v>-</v>
      </c>
      <c r="L222" s="24">
        <f t="shared" si="48"/>
        <v>6021</v>
      </c>
      <c r="M222" s="24">
        <f t="shared" si="48"/>
        <v>6040</v>
      </c>
      <c r="N222" s="24">
        <f t="shared" si="48"/>
        <v>5384</v>
      </c>
      <c r="O222" s="24" t="str">
        <f t="shared" si="48"/>
        <v>-</v>
      </c>
      <c r="P222" s="24">
        <f t="shared" si="48"/>
        <v>17445</v>
      </c>
    </row>
    <row r="223" spans="1:16" ht="11.25" customHeight="1">
      <c r="A223" s="99">
        <v>2002</v>
      </c>
      <c r="B223" s="24">
        <f t="shared" si="47"/>
        <v>19236</v>
      </c>
      <c r="C223" s="24">
        <f t="shared" si="47"/>
        <v>14238</v>
      </c>
      <c r="D223" s="24">
        <f t="shared" si="47"/>
        <v>20367</v>
      </c>
      <c r="E223" s="24">
        <f t="shared" si="47"/>
        <v>12775</v>
      </c>
      <c r="F223" s="24" t="str">
        <f t="shared" si="47"/>
        <v>-</v>
      </c>
      <c r="G223" s="24" t="str">
        <f t="shared" si="47"/>
        <v>-</v>
      </c>
      <c r="H223" s="24">
        <f t="shared" si="47"/>
        <v>66616</v>
      </c>
      <c r="J223" s="24" t="str">
        <f t="shared" si="48"/>
        <v>-</v>
      </c>
      <c r="K223" s="24" t="str">
        <f t="shared" si="48"/>
        <v>-</v>
      </c>
      <c r="L223" s="24" t="str">
        <f t="shared" si="48"/>
        <v>-</v>
      </c>
      <c r="M223" s="24">
        <f t="shared" si="48"/>
        <v>1695</v>
      </c>
      <c r="N223" s="24" t="str">
        <f t="shared" si="48"/>
        <v>-</v>
      </c>
      <c r="O223" s="24" t="str">
        <f t="shared" si="48"/>
        <v>-</v>
      </c>
      <c r="P223" s="24">
        <f t="shared" si="48"/>
        <v>1695</v>
      </c>
    </row>
    <row r="224" spans="1:16" ht="11.25" customHeight="1">
      <c r="A224" s="99">
        <v>2003</v>
      </c>
      <c r="B224" s="24">
        <f t="shared" si="47"/>
        <v>23637</v>
      </c>
      <c r="C224" s="24">
        <f t="shared" si="47"/>
        <v>10089</v>
      </c>
      <c r="D224" s="24">
        <f t="shared" si="47"/>
        <v>16168</v>
      </c>
      <c r="E224" s="24">
        <f t="shared" si="47"/>
        <v>14816</v>
      </c>
      <c r="F224" s="24">
        <f t="shared" si="47"/>
        <v>1876</v>
      </c>
      <c r="G224" s="24" t="str">
        <f t="shared" si="47"/>
        <v>-</v>
      </c>
      <c r="H224" s="24">
        <f t="shared" si="47"/>
        <v>66586</v>
      </c>
      <c r="J224" s="24" t="str">
        <f t="shared" ref="J224:P224" si="49">IF(AND(J176="-",J32="-"),"-",SUM(J176,J32))</f>
        <v>-</v>
      </c>
      <c r="K224" s="24" t="str">
        <f t="shared" si="49"/>
        <v>-</v>
      </c>
      <c r="L224" s="24">
        <f t="shared" si="49"/>
        <v>5169</v>
      </c>
      <c r="M224" s="24">
        <f t="shared" si="49"/>
        <v>7924</v>
      </c>
      <c r="N224" s="24">
        <f t="shared" si="49"/>
        <v>2305</v>
      </c>
      <c r="O224" s="24" t="str">
        <f t="shared" si="49"/>
        <v>-</v>
      </c>
      <c r="P224" s="24">
        <f t="shared" si="49"/>
        <v>15398</v>
      </c>
    </row>
    <row r="225" spans="1:17" ht="11.25" customHeight="1">
      <c r="A225" s="99">
        <v>2004</v>
      </c>
      <c r="B225" s="24">
        <f t="shared" si="47"/>
        <v>17194</v>
      </c>
      <c r="C225" s="24">
        <f t="shared" si="47"/>
        <v>1251</v>
      </c>
      <c r="D225" s="24">
        <f t="shared" si="47"/>
        <v>8344</v>
      </c>
      <c r="E225" s="24">
        <f t="shared" si="47"/>
        <v>9315</v>
      </c>
      <c r="F225" s="24">
        <f t="shared" si="47"/>
        <v>2386</v>
      </c>
      <c r="G225" s="24" t="str">
        <f t="shared" si="47"/>
        <v>-</v>
      </c>
      <c r="H225" s="24">
        <f t="shared" si="47"/>
        <v>38490</v>
      </c>
      <c r="J225" s="24" t="str">
        <f t="shared" ref="J225:P225" si="50">IF(AND(J177="-",J33="-"),"-",SUM(J177,J33))</f>
        <v>-</v>
      </c>
      <c r="K225" s="24" t="str">
        <f t="shared" si="50"/>
        <v>-</v>
      </c>
      <c r="L225" s="24">
        <f t="shared" si="50"/>
        <v>2948</v>
      </c>
      <c r="M225" s="24">
        <f t="shared" si="50"/>
        <v>6360</v>
      </c>
      <c r="N225" s="24">
        <f t="shared" si="50"/>
        <v>12824</v>
      </c>
      <c r="O225" s="24" t="str">
        <f t="shared" si="50"/>
        <v>-</v>
      </c>
      <c r="P225" s="24">
        <f t="shared" si="50"/>
        <v>22132</v>
      </c>
    </row>
    <row r="226" spans="1:17" ht="11.25" customHeight="1">
      <c r="A226" s="99">
        <v>2005</v>
      </c>
      <c r="B226" s="24">
        <f t="shared" si="47"/>
        <v>23667</v>
      </c>
      <c r="C226" s="24">
        <f t="shared" si="47"/>
        <v>3439</v>
      </c>
      <c r="D226" s="24">
        <f t="shared" si="47"/>
        <v>6638</v>
      </c>
      <c r="E226" s="24">
        <f t="shared" si="47"/>
        <v>11407</v>
      </c>
      <c r="F226" s="24" t="str">
        <f t="shared" si="47"/>
        <v>-</v>
      </c>
      <c r="G226" s="24" t="str">
        <f t="shared" si="47"/>
        <v>-</v>
      </c>
      <c r="H226" s="24">
        <f t="shared" si="47"/>
        <v>45151</v>
      </c>
      <c r="I226" s="24"/>
      <c r="J226" s="24" t="str">
        <f t="shared" ref="J226:P226" si="51">IF(AND(J178="-",J34="-"),"-",SUM(J178,J34))</f>
        <v>-</v>
      </c>
      <c r="K226" s="24" t="str">
        <f t="shared" si="51"/>
        <v>-</v>
      </c>
      <c r="L226" s="24">
        <f t="shared" si="51"/>
        <v>524</v>
      </c>
      <c r="M226" s="24">
        <f t="shared" si="51"/>
        <v>3536</v>
      </c>
      <c r="N226" s="24" t="str">
        <f t="shared" si="51"/>
        <v>-</v>
      </c>
      <c r="O226" s="24" t="str">
        <f t="shared" si="51"/>
        <v>-</v>
      </c>
      <c r="P226" s="24">
        <f t="shared" si="51"/>
        <v>4060</v>
      </c>
    </row>
    <row r="227" spans="1:17" ht="11.25" customHeight="1">
      <c r="A227" s="99">
        <v>2006</v>
      </c>
      <c r="B227" s="24">
        <f t="shared" ref="B227:H227" si="52">IF(AND(B179="-",B35="-"),"-",SUM(B179,B35))</f>
        <v>13648</v>
      </c>
      <c r="C227" s="24">
        <f t="shared" si="52"/>
        <v>7080</v>
      </c>
      <c r="D227" s="24">
        <f t="shared" si="52"/>
        <v>1074</v>
      </c>
      <c r="E227" s="24">
        <f t="shared" si="52"/>
        <v>3520</v>
      </c>
      <c r="F227" s="24">
        <f t="shared" si="52"/>
        <v>1936</v>
      </c>
      <c r="G227" s="24" t="str">
        <f t="shared" si="52"/>
        <v>-</v>
      </c>
      <c r="H227" s="24">
        <f t="shared" si="52"/>
        <v>27258</v>
      </c>
      <c r="J227" s="24" t="str">
        <f t="shared" ref="J227:P227" si="53">IF(AND(J179="-",J35="-"),"-",SUM(J179,J35))</f>
        <v>-</v>
      </c>
      <c r="K227" s="24" t="str">
        <f t="shared" si="53"/>
        <v>-</v>
      </c>
      <c r="L227" s="24">
        <f t="shared" si="53"/>
        <v>139</v>
      </c>
      <c r="M227" s="24">
        <f t="shared" si="53"/>
        <v>1760</v>
      </c>
      <c r="N227" s="24">
        <f t="shared" si="53"/>
        <v>780</v>
      </c>
      <c r="O227" s="24" t="str">
        <f t="shared" si="53"/>
        <v>-</v>
      </c>
      <c r="P227" s="24">
        <f t="shared" si="53"/>
        <v>2679</v>
      </c>
    </row>
    <row r="228" spans="1:17" ht="11.25" customHeight="1">
      <c r="A228" s="99">
        <v>2007</v>
      </c>
      <c r="B228" s="24">
        <f t="shared" ref="B228:H228" si="54">IF(AND(B180="-",B36="-"),"-",SUM(B180,B36))</f>
        <v>6643</v>
      </c>
      <c r="C228" s="24">
        <f t="shared" si="54"/>
        <v>4468</v>
      </c>
      <c r="D228" s="24">
        <f t="shared" si="54"/>
        <v>3617</v>
      </c>
      <c r="E228" s="24">
        <f t="shared" si="54"/>
        <v>934</v>
      </c>
      <c r="F228" s="24">
        <f t="shared" si="54"/>
        <v>49</v>
      </c>
      <c r="G228" s="24" t="str">
        <f t="shared" si="54"/>
        <v>-</v>
      </c>
      <c r="H228" s="24">
        <f t="shared" si="54"/>
        <v>15711</v>
      </c>
      <c r="I228" s="24"/>
      <c r="J228" s="24" t="str">
        <f t="shared" ref="J228:P228" si="55">IF(AND(J180="-",J36="-"),"-",SUM(J180,J36))</f>
        <v>-</v>
      </c>
      <c r="K228" s="24" t="str">
        <f t="shared" si="55"/>
        <v>-</v>
      </c>
      <c r="L228" s="24">
        <f t="shared" si="55"/>
        <v>3344</v>
      </c>
      <c r="M228" s="24">
        <f t="shared" si="55"/>
        <v>13779</v>
      </c>
      <c r="N228" s="24">
        <f t="shared" si="55"/>
        <v>317</v>
      </c>
      <c r="O228" s="24" t="str">
        <f t="shared" si="55"/>
        <v>-</v>
      </c>
      <c r="P228" s="24">
        <f t="shared" si="55"/>
        <v>17440</v>
      </c>
    </row>
    <row r="229" spans="1:17" ht="11.25" customHeight="1">
      <c r="A229" s="99">
        <v>2008</v>
      </c>
      <c r="B229" s="24">
        <f t="shared" ref="B229:H229" si="56">IF(AND(B181="-",B37="-"),"-",SUM(B181,B37))</f>
        <v>4428</v>
      </c>
      <c r="C229" s="24">
        <f t="shared" si="56"/>
        <v>6705</v>
      </c>
      <c r="D229" s="24">
        <f t="shared" si="56"/>
        <v>1309</v>
      </c>
      <c r="E229" s="24">
        <f t="shared" si="56"/>
        <v>1346</v>
      </c>
      <c r="F229" s="24">
        <f t="shared" si="56"/>
        <v>282</v>
      </c>
      <c r="G229" s="24" t="str">
        <f t="shared" si="56"/>
        <v>-</v>
      </c>
      <c r="H229" s="24">
        <f t="shared" si="56"/>
        <v>14070</v>
      </c>
      <c r="I229" s="24"/>
      <c r="J229" s="24" t="str">
        <f t="shared" ref="J229:P229" si="57">IF(AND(J181="-",J37="-"),"-",SUM(J181,J37))</f>
        <v>-</v>
      </c>
      <c r="K229" s="24" t="str">
        <f t="shared" si="57"/>
        <v>-</v>
      </c>
      <c r="L229" s="24">
        <f t="shared" si="57"/>
        <v>404</v>
      </c>
      <c r="M229" s="24">
        <f t="shared" si="57"/>
        <v>1338</v>
      </c>
      <c r="N229" s="24">
        <f t="shared" si="57"/>
        <v>398</v>
      </c>
      <c r="O229" s="24" t="str">
        <f t="shared" si="57"/>
        <v>-</v>
      </c>
      <c r="P229" s="24">
        <f t="shared" si="57"/>
        <v>2140</v>
      </c>
    </row>
    <row r="230" spans="1:17" ht="11.25" customHeight="1">
      <c r="A230" s="99">
        <v>2009</v>
      </c>
      <c r="B230" s="24">
        <f t="shared" ref="B230:H230" si="58">IF(AND(B182="-",B38="-"),"-",SUM(B182,B38))</f>
        <v>5810</v>
      </c>
      <c r="C230" s="24">
        <f t="shared" si="58"/>
        <v>4376</v>
      </c>
      <c r="D230" s="24">
        <f t="shared" si="58"/>
        <v>1875</v>
      </c>
      <c r="E230" s="24">
        <f t="shared" si="58"/>
        <v>843</v>
      </c>
      <c r="F230" s="24">
        <f t="shared" si="58"/>
        <v>124</v>
      </c>
      <c r="G230" s="24" t="str">
        <f t="shared" si="58"/>
        <v>-</v>
      </c>
      <c r="H230" s="24">
        <f t="shared" si="58"/>
        <v>13028</v>
      </c>
      <c r="I230" s="24"/>
      <c r="J230" s="24" t="str">
        <f t="shared" ref="J230:P230" si="59">IF(AND(J182="-",J38="-"),"-",SUM(J182,J38))</f>
        <v>-</v>
      </c>
      <c r="K230" s="24" t="str">
        <f t="shared" si="59"/>
        <v>-</v>
      </c>
      <c r="L230" s="24">
        <f t="shared" si="59"/>
        <v>14505</v>
      </c>
      <c r="M230" s="24">
        <f t="shared" si="59"/>
        <v>14406</v>
      </c>
      <c r="N230" s="24">
        <f t="shared" si="59"/>
        <v>3828</v>
      </c>
      <c r="O230" s="24" t="str">
        <f t="shared" si="59"/>
        <v>-</v>
      </c>
      <c r="P230" s="24">
        <f t="shared" si="59"/>
        <v>32739</v>
      </c>
    </row>
    <row r="231" spans="1:17" ht="11.25" customHeight="1">
      <c r="A231" s="99">
        <v>2010</v>
      </c>
      <c r="B231" s="24">
        <f t="shared" ref="B231:H231" si="60">IF(AND(B183="-",B39="-"),"-",SUM(B183,B39))</f>
        <v>9009</v>
      </c>
      <c r="C231" s="24">
        <f t="shared" si="60"/>
        <v>29214</v>
      </c>
      <c r="D231" s="24">
        <f t="shared" si="60"/>
        <v>8402</v>
      </c>
      <c r="E231" s="24">
        <f t="shared" si="60"/>
        <v>9161</v>
      </c>
      <c r="F231" s="24">
        <f t="shared" si="60"/>
        <v>433</v>
      </c>
      <c r="G231" s="24" t="str">
        <f t="shared" si="60"/>
        <v>-</v>
      </c>
      <c r="H231" s="178">
        <f t="shared" si="60"/>
        <v>56219</v>
      </c>
      <c r="I231" s="24"/>
      <c r="J231" s="24" t="str">
        <f t="shared" ref="J231:P231" si="61">IF(AND(J183="-",J39="-"),"-",SUM(J183,J39))</f>
        <v>-</v>
      </c>
      <c r="K231" s="24" t="str">
        <f t="shared" si="61"/>
        <v>-</v>
      </c>
      <c r="L231" s="24">
        <f t="shared" si="61"/>
        <v>1821</v>
      </c>
      <c r="M231" s="24">
        <f t="shared" si="61"/>
        <v>1150</v>
      </c>
      <c r="N231" s="24">
        <f t="shared" si="61"/>
        <v>173</v>
      </c>
      <c r="O231" s="24" t="str">
        <f t="shared" si="61"/>
        <v>-</v>
      </c>
      <c r="P231" s="178">
        <f t="shared" si="61"/>
        <v>3144</v>
      </c>
    </row>
    <row r="232" spans="1:17" ht="11.25" customHeight="1">
      <c r="A232" s="99">
        <v>2011</v>
      </c>
      <c r="B232" s="24">
        <f t="shared" ref="B232:H232" si="62">IF(AND(B184="-",B40="-"),"-",SUM(B184,B40))</f>
        <v>9211</v>
      </c>
      <c r="C232" s="24">
        <f t="shared" si="62"/>
        <v>11258</v>
      </c>
      <c r="D232" s="24">
        <f t="shared" si="62"/>
        <v>6130</v>
      </c>
      <c r="E232" s="24">
        <f t="shared" si="62"/>
        <v>2771</v>
      </c>
      <c r="F232" s="24">
        <f t="shared" si="62"/>
        <v>368</v>
      </c>
      <c r="G232" s="24" t="str">
        <f t="shared" si="62"/>
        <v>-</v>
      </c>
      <c r="H232" s="24">
        <f t="shared" si="62"/>
        <v>29738</v>
      </c>
      <c r="I232" s="24"/>
      <c r="J232" s="24" t="str">
        <f t="shared" ref="J232:P232" si="63">IF(AND(J184="-",J40="-"),"-",SUM(J184,J40))</f>
        <v>-</v>
      </c>
      <c r="K232" s="24" t="str">
        <f t="shared" si="63"/>
        <v>-</v>
      </c>
      <c r="L232" s="24">
        <f t="shared" si="63"/>
        <v>1865</v>
      </c>
      <c r="M232" s="24">
        <f t="shared" si="63"/>
        <v>1064</v>
      </c>
      <c r="N232" s="24">
        <f t="shared" si="63"/>
        <v>588</v>
      </c>
      <c r="O232" s="24" t="str">
        <f t="shared" si="63"/>
        <v>-</v>
      </c>
      <c r="P232" s="24">
        <f t="shared" si="63"/>
        <v>3517</v>
      </c>
    </row>
    <row r="233" spans="1:17" ht="11.25" customHeight="1">
      <c r="A233" s="99">
        <v>2012</v>
      </c>
      <c r="B233" s="24">
        <f t="shared" ref="B233:H233" si="64">IF(AND(B185="-",B41="-"),"-",SUM(B185,B41))</f>
        <v>11663</v>
      </c>
      <c r="C233" s="24">
        <f t="shared" si="64"/>
        <v>17424</v>
      </c>
      <c r="D233" s="24">
        <f t="shared" si="64"/>
        <v>5588</v>
      </c>
      <c r="E233" s="24">
        <f t="shared" si="64"/>
        <v>6547</v>
      </c>
      <c r="F233" s="24">
        <f t="shared" si="64"/>
        <v>4077</v>
      </c>
      <c r="G233" s="24" t="str">
        <f t="shared" si="64"/>
        <v>-</v>
      </c>
      <c r="H233" s="24">
        <f t="shared" si="64"/>
        <v>45299</v>
      </c>
      <c r="I233" s="24"/>
      <c r="J233" s="24" t="str">
        <f t="shared" ref="J233:P233" si="65">IF(AND(J185="-",J41="-"),"-",SUM(J185,J41))</f>
        <v>-</v>
      </c>
      <c r="K233" s="24" t="str">
        <f t="shared" si="65"/>
        <v>-</v>
      </c>
      <c r="L233" s="24">
        <f t="shared" si="65"/>
        <v>807</v>
      </c>
      <c r="M233" s="24">
        <f t="shared" si="65"/>
        <v>1153</v>
      </c>
      <c r="N233" s="24">
        <f t="shared" si="65"/>
        <v>1932</v>
      </c>
      <c r="O233" s="24" t="str">
        <f t="shared" si="65"/>
        <v>-</v>
      </c>
      <c r="P233" s="24">
        <f t="shared" si="65"/>
        <v>3892</v>
      </c>
    </row>
    <row r="234" spans="1:17" ht="11.25" customHeight="1">
      <c r="A234" s="99">
        <v>2013</v>
      </c>
      <c r="B234" s="24">
        <f t="shared" ref="B234:H234" si="66">IF(AND(B186="-",B42="-"),"-",SUM(B186,B42))</f>
        <v>11021</v>
      </c>
      <c r="C234" s="24">
        <f t="shared" si="66"/>
        <v>12910</v>
      </c>
      <c r="D234" s="24">
        <f t="shared" si="66"/>
        <v>7994</v>
      </c>
      <c r="E234" s="24">
        <f t="shared" si="66"/>
        <v>8987</v>
      </c>
      <c r="F234" s="24">
        <f t="shared" si="66"/>
        <v>1123</v>
      </c>
      <c r="G234" s="24" t="str">
        <f t="shared" si="66"/>
        <v>-</v>
      </c>
      <c r="H234" s="24">
        <f t="shared" si="66"/>
        <v>42035</v>
      </c>
      <c r="I234" s="24"/>
      <c r="J234" s="24" t="str">
        <f t="shared" ref="J234:P234" si="67">IF(AND(J186="-",J42="-"),"-",SUM(J186,J42))</f>
        <v>-</v>
      </c>
      <c r="K234" s="24" t="str">
        <f t="shared" si="67"/>
        <v>-</v>
      </c>
      <c r="L234" s="24">
        <f t="shared" si="67"/>
        <v>1959</v>
      </c>
      <c r="M234" s="24">
        <f t="shared" si="67"/>
        <v>4139</v>
      </c>
      <c r="N234" s="24">
        <f t="shared" si="67"/>
        <v>395</v>
      </c>
      <c r="O234" s="24" t="str">
        <f t="shared" si="67"/>
        <v>-</v>
      </c>
      <c r="P234" s="24">
        <f t="shared" si="67"/>
        <v>6493</v>
      </c>
      <c r="Q234" s="17"/>
    </row>
    <row r="235" spans="1:17" ht="11.25" customHeight="1">
      <c r="A235" s="99">
        <v>2014</v>
      </c>
      <c r="B235" s="24">
        <f t="shared" ref="B235:H235" si="68">IF(AND(B187="-",B43="-"),"-",SUM(B187,B43))</f>
        <v>33030</v>
      </c>
      <c r="C235" s="24">
        <f t="shared" si="68"/>
        <v>3835</v>
      </c>
      <c r="D235" s="24">
        <f t="shared" si="68"/>
        <v>10978</v>
      </c>
      <c r="E235" s="24">
        <f t="shared" si="68"/>
        <v>6136</v>
      </c>
      <c r="F235" s="24">
        <f t="shared" si="68"/>
        <v>910</v>
      </c>
      <c r="G235" s="24" t="str">
        <f t="shared" si="68"/>
        <v>-</v>
      </c>
      <c r="H235" s="24">
        <f t="shared" si="68"/>
        <v>54889</v>
      </c>
      <c r="I235" s="24"/>
      <c r="J235" s="24" t="str">
        <f t="shared" ref="J235:P235" si="69">IF(AND(J187="-",J43="-"),"-",SUM(J187,J43))</f>
        <v>-</v>
      </c>
      <c r="K235" s="24" t="str">
        <f t="shared" si="69"/>
        <v>-</v>
      </c>
      <c r="L235" s="24">
        <f t="shared" si="69"/>
        <v>5869</v>
      </c>
      <c r="M235" s="24">
        <f t="shared" si="69"/>
        <v>8442</v>
      </c>
      <c r="N235" s="24">
        <f t="shared" si="69"/>
        <v>8798</v>
      </c>
      <c r="O235" s="24" t="str">
        <f t="shared" si="69"/>
        <v>-</v>
      </c>
      <c r="P235" s="24">
        <f t="shared" si="69"/>
        <v>23109</v>
      </c>
      <c r="Q235" s="17"/>
    </row>
    <row r="236" spans="1:17" ht="11.25" customHeight="1">
      <c r="A236" s="99">
        <v>2015</v>
      </c>
      <c r="B236" s="24">
        <f t="shared" ref="B236:H236" si="70">IF(AND(B188="-",B44="-"),"-",SUM(B188,B44))</f>
        <v>22409</v>
      </c>
      <c r="C236" s="24">
        <f t="shared" si="70"/>
        <v>16585</v>
      </c>
      <c r="D236" s="24">
        <f t="shared" si="70"/>
        <v>13999</v>
      </c>
      <c r="E236" s="24">
        <f t="shared" si="70"/>
        <v>10868</v>
      </c>
      <c r="F236" s="24">
        <f t="shared" si="70"/>
        <v>2334</v>
      </c>
      <c r="G236" s="24" t="str">
        <f t="shared" si="70"/>
        <v>-</v>
      </c>
      <c r="H236" s="24">
        <f t="shared" si="70"/>
        <v>66195</v>
      </c>
      <c r="I236" s="24"/>
      <c r="J236" s="24" t="str">
        <f t="shared" ref="J236:P236" si="71">IF(AND(J188="-",J44="-"),"-",SUM(J188,J44))</f>
        <v>-</v>
      </c>
      <c r="K236" s="24" t="str">
        <f t="shared" si="71"/>
        <v>-</v>
      </c>
      <c r="L236" s="24">
        <f t="shared" si="71"/>
        <v>1056</v>
      </c>
      <c r="M236" s="24">
        <f t="shared" si="71"/>
        <v>1580</v>
      </c>
      <c r="N236" s="24">
        <f t="shared" si="71"/>
        <v>2449</v>
      </c>
      <c r="O236" s="24" t="str">
        <f t="shared" si="71"/>
        <v>-</v>
      </c>
      <c r="P236" s="24">
        <f t="shared" si="71"/>
        <v>5085</v>
      </c>
      <c r="Q236" s="17"/>
    </row>
    <row r="237" spans="1:17" ht="11.25" customHeight="1">
      <c r="A237" s="99">
        <v>2016</v>
      </c>
      <c r="B237" s="24">
        <f t="shared" ref="B237:H237" si="72">IF(AND(B189="-",B45="-"),"-",SUM(B189,B45))</f>
        <v>7609</v>
      </c>
      <c r="C237" s="24">
        <f t="shared" si="72"/>
        <v>5053</v>
      </c>
      <c r="D237" s="24">
        <f t="shared" si="72"/>
        <v>3753</v>
      </c>
      <c r="E237" s="24">
        <f t="shared" si="72"/>
        <v>2987</v>
      </c>
      <c r="F237" s="24" t="str">
        <f t="shared" si="72"/>
        <v>-</v>
      </c>
      <c r="G237" s="24" t="str">
        <f t="shared" si="72"/>
        <v>-</v>
      </c>
      <c r="H237" s="24">
        <f t="shared" si="72"/>
        <v>19402</v>
      </c>
      <c r="I237" s="24"/>
      <c r="J237" s="24" t="str">
        <f t="shared" ref="J237:P237" si="73">IF(AND(J189="-",J45="-"),"-",SUM(J189,J45))</f>
        <v>-</v>
      </c>
      <c r="K237" s="24" t="str">
        <f t="shared" si="73"/>
        <v>-</v>
      </c>
      <c r="L237" s="24" t="str">
        <f t="shared" si="73"/>
        <v>-</v>
      </c>
      <c r="M237" s="24" t="str">
        <f t="shared" si="73"/>
        <v>-</v>
      </c>
      <c r="N237" s="24" t="str">
        <f t="shared" si="73"/>
        <v>-</v>
      </c>
      <c r="O237" s="24" t="str">
        <f t="shared" si="73"/>
        <v>-</v>
      </c>
      <c r="P237" s="24" t="str">
        <f t="shared" si="73"/>
        <v>-</v>
      </c>
      <c r="Q237" s="17"/>
    </row>
    <row r="238" spans="1:17" ht="11.25" customHeight="1">
      <c r="A238" s="99">
        <v>2017</v>
      </c>
      <c r="B238" s="24">
        <f t="shared" ref="B238:H238" si="74">IF(AND(B190="-",B46="-"),"-",SUM(B190,B46))</f>
        <v>14584</v>
      </c>
      <c r="C238" s="24">
        <f t="shared" si="74"/>
        <v>8120</v>
      </c>
      <c r="D238" s="24">
        <f t="shared" si="74"/>
        <v>5830</v>
      </c>
      <c r="E238" s="24">
        <f t="shared" si="74"/>
        <v>5917</v>
      </c>
      <c r="F238" s="24">
        <f t="shared" si="74"/>
        <v>1109</v>
      </c>
      <c r="G238" s="24" t="str">
        <f t="shared" si="74"/>
        <v>-</v>
      </c>
      <c r="H238" s="24">
        <f t="shared" si="74"/>
        <v>35560</v>
      </c>
      <c r="I238" s="24"/>
      <c r="J238" s="24" t="str">
        <f t="shared" ref="J238:P238" si="75">IF(AND(J190="-",J46="-"),"-",SUM(J190,J46))</f>
        <v>-</v>
      </c>
      <c r="K238" s="24" t="str">
        <f t="shared" si="75"/>
        <v>-</v>
      </c>
      <c r="L238" s="24">
        <f t="shared" si="75"/>
        <v>247</v>
      </c>
      <c r="M238" s="24">
        <f t="shared" si="75"/>
        <v>1074</v>
      </c>
      <c r="N238" s="24">
        <f t="shared" si="75"/>
        <v>517</v>
      </c>
      <c r="O238" s="24" t="str">
        <f t="shared" si="75"/>
        <v>-</v>
      </c>
      <c r="P238" s="24">
        <f t="shared" si="75"/>
        <v>1838</v>
      </c>
      <c r="Q238" s="17"/>
    </row>
    <row r="239" spans="1:17" ht="11.25" customHeight="1">
      <c r="A239" s="122">
        <v>2018</v>
      </c>
      <c r="B239" s="24">
        <f t="shared" ref="B239:H239" si="76">IF(AND(B191="-",B47="-"),"-",SUM(B191,B47))</f>
        <v>6689</v>
      </c>
      <c r="C239" s="24">
        <f t="shared" si="76"/>
        <v>9279</v>
      </c>
      <c r="D239" s="24">
        <f t="shared" si="76"/>
        <v>5468</v>
      </c>
      <c r="E239" s="24">
        <f t="shared" si="76"/>
        <v>1740</v>
      </c>
      <c r="F239" s="24">
        <f t="shared" si="76"/>
        <v>713</v>
      </c>
      <c r="G239" s="24" t="str">
        <f t="shared" si="76"/>
        <v>-</v>
      </c>
      <c r="H239" s="24">
        <f t="shared" si="76"/>
        <v>23889</v>
      </c>
      <c r="J239" s="24" t="str">
        <f t="shared" ref="J239:P239" si="77">IF(AND(J191="-",J47="-"),"-",SUM(J191,J47))</f>
        <v>-</v>
      </c>
      <c r="K239" s="24" t="str">
        <f t="shared" si="77"/>
        <v>-</v>
      </c>
      <c r="L239" s="24">
        <f t="shared" si="77"/>
        <v>455</v>
      </c>
      <c r="M239" s="24">
        <f t="shared" si="77"/>
        <v>541</v>
      </c>
      <c r="N239" s="24">
        <f t="shared" si="77"/>
        <v>388</v>
      </c>
      <c r="O239" s="24" t="str">
        <f t="shared" si="77"/>
        <v>-</v>
      </c>
      <c r="P239" s="24">
        <f t="shared" si="77"/>
        <v>1384</v>
      </c>
      <c r="Q239" s="17"/>
    </row>
    <row r="240" spans="1:17" ht="11.25" customHeight="1">
      <c r="A240" s="122">
        <v>2019</v>
      </c>
      <c r="B240" s="24">
        <f t="shared" ref="B240:H240" si="78">IF(AND(B192="-",B48="-"),"-",SUM(B192,B48))</f>
        <v>3918</v>
      </c>
      <c r="C240" s="24">
        <f t="shared" si="78"/>
        <v>3080</v>
      </c>
      <c r="D240" s="24">
        <f t="shared" si="78"/>
        <v>11764</v>
      </c>
      <c r="E240" s="24">
        <f t="shared" si="78"/>
        <v>2762</v>
      </c>
      <c r="F240" s="24">
        <f t="shared" si="78"/>
        <v>1760</v>
      </c>
      <c r="G240" s="24" t="str">
        <f t="shared" si="78"/>
        <v>-</v>
      </c>
      <c r="H240" s="24">
        <f t="shared" si="78"/>
        <v>23284</v>
      </c>
      <c r="J240" s="24" t="str">
        <f t="shared" ref="J240:P240" si="79">IF(AND(J192="-",J48="-"),"-",SUM(J192,J48))</f>
        <v>-</v>
      </c>
      <c r="K240" s="24" t="str">
        <f t="shared" si="79"/>
        <v>-</v>
      </c>
      <c r="L240" s="24">
        <f t="shared" si="79"/>
        <v>2667</v>
      </c>
      <c r="M240" s="24">
        <f t="shared" si="79"/>
        <v>1460</v>
      </c>
      <c r="N240" s="24">
        <f t="shared" si="79"/>
        <v>1282</v>
      </c>
      <c r="O240" s="24" t="str">
        <f t="shared" si="79"/>
        <v>-</v>
      </c>
      <c r="P240" s="24">
        <f t="shared" si="79"/>
        <v>5409</v>
      </c>
      <c r="Q240" s="17"/>
    </row>
    <row r="241" spans="1:17" ht="11.25" customHeight="1">
      <c r="A241" s="122">
        <v>2020</v>
      </c>
      <c r="B241" s="24">
        <f t="shared" ref="B241:H242" si="80">IF(AND(B193="-",B49="-"),"-",SUM(B193,B49))</f>
        <v>709</v>
      </c>
      <c r="C241" s="24">
        <f t="shared" si="80"/>
        <v>1343</v>
      </c>
      <c r="D241" s="24">
        <f t="shared" si="80"/>
        <v>7326</v>
      </c>
      <c r="E241" s="24">
        <f t="shared" si="80"/>
        <v>2962</v>
      </c>
      <c r="F241" s="24">
        <f t="shared" si="80"/>
        <v>160</v>
      </c>
      <c r="G241" s="24" t="str">
        <f t="shared" si="80"/>
        <v>-</v>
      </c>
      <c r="H241" s="24">
        <f t="shared" si="80"/>
        <v>12500</v>
      </c>
      <c r="J241" s="24" t="str">
        <f t="shared" ref="J241:P242" si="81">IF(AND(J193="-",J49="-"),"-",SUM(J193,J49))</f>
        <v>-</v>
      </c>
      <c r="K241" s="24" t="str">
        <f t="shared" si="81"/>
        <v>-</v>
      </c>
      <c r="L241" s="24">
        <f t="shared" si="81"/>
        <v>285</v>
      </c>
      <c r="M241" s="24">
        <f t="shared" si="81"/>
        <v>378</v>
      </c>
      <c r="N241" s="24">
        <f t="shared" si="81"/>
        <v>103</v>
      </c>
      <c r="O241" s="24" t="str">
        <f t="shared" si="81"/>
        <v>-</v>
      </c>
      <c r="P241" s="24">
        <f t="shared" si="81"/>
        <v>766</v>
      </c>
      <c r="Q241" s="17"/>
    </row>
    <row r="242" spans="1:17" ht="11.25" customHeight="1">
      <c r="A242" s="122" t="s">
        <v>317</v>
      </c>
      <c r="B242" s="24">
        <f t="shared" si="80"/>
        <v>2581</v>
      </c>
      <c r="C242" s="24">
        <f t="shared" si="80"/>
        <v>7287</v>
      </c>
      <c r="D242" s="24">
        <f t="shared" si="80"/>
        <v>5675</v>
      </c>
      <c r="E242" s="24">
        <f t="shared" si="80"/>
        <v>3197</v>
      </c>
      <c r="F242" s="24">
        <f t="shared" si="80"/>
        <v>523</v>
      </c>
      <c r="G242" s="24" t="str">
        <f t="shared" si="80"/>
        <v>-</v>
      </c>
      <c r="H242" s="24">
        <f t="shared" si="80"/>
        <v>19263</v>
      </c>
      <c r="J242" s="24" t="str">
        <f t="shared" si="81"/>
        <v>-</v>
      </c>
      <c r="K242" s="24" t="str">
        <f t="shared" si="81"/>
        <v>-</v>
      </c>
      <c r="L242" s="24">
        <f t="shared" si="81"/>
        <v>626</v>
      </c>
      <c r="M242" s="24">
        <f t="shared" si="81"/>
        <v>1139</v>
      </c>
      <c r="N242" s="24">
        <f t="shared" si="81"/>
        <v>1746</v>
      </c>
      <c r="O242" s="24" t="str">
        <f t="shared" si="81"/>
        <v>-</v>
      </c>
      <c r="P242" s="24">
        <f t="shared" si="81"/>
        <v>3511</v>
      </c>
      <c r="Q242" s="17"/>
    </row>
    <row r="243" spans="1:17" ht="11.25" customHeight="1"/>
    <row r="244" spans="1:17" ht="11.25" customHeight="1">
      <c r="A244" s="94" t="s">
        <v>234</v>
      </c>
      <c r="B244" s="120"/>
      <c r="C244" s="120"/>
      <c r="D244" s="120"/>
      <c r="E244" s="120"/>
      <c r="F244" s="21"/>
    </row>
    <row r="245" spans="1:17" ht="11.25" customHeight="1">
      <c r="A245" s="99">
        <v>1976</v>
      </c>
      <c r="B245" s="24">
        <f>'A-15'!C198</f>
        <v>381</v>
      </c>
      <c r="C245" s="24">
        <f>'A-15'!D198</f>
        <v>2900</v>
      </c>
      <c r="D245" s="24">
        <f>'A-15'!E198</f>
        <v>3581</v>
      </c>
      <c r="E245" s="24">
        <f>'A-15'!F198</f>
        <v>957</v>
      </c>
      <c r="F245" s="24">
        <f>'A-15'!G198</f>
        <v>70</v>
      </c>
      <c r="G245" s="24">
        <f>'A-15'!H198</f>
        <v>1</v>
      </c>
      <c r="H245" s="24">
        <f>'A-15'!J198</f>
        <v>7889</v>
      </c>
      <c r="J245" s="24">
        <f>'A-15'!N198</f>
        <v>0</v>
      </c>
      <c r="K245" s="24">
        <f>'A-15'!O198</f>
        <v>1466</v>
      </c>
      <c r="L245" s="24">
        <f>'A-15'!P198</f>
        <v>4153</v>
      </c>
      <c r="M245" s="24">
        <f>'A-15'!Q198</f>
        <v>1583</v>
      </c>
      <c r="N245" s="24">
        <f>'A-15'!R198</f>
        <v>126</v>
      </c>
      <c r="O245" s="24">
        <f>'A-15'!S198</f>
        <v>16</v>
      </c>
      <c r="P245" s="24">
        <f>'A-15'!U198</f>
        <v>7328</v>
      </c>
    </row>
    <row r="246" spans="1:17" ht="11.25" customHeight="1">
      <c r="A246" s="99">
        <v>1977</v>
      </c>
      <c r="B246" s="24">
        <f>'A-15'!C199</f>
        <v>1676</v>
      </c>
      <c r="C246" s="24">
        <f>'A-15'!D199</f>
        <v>1840</v>
      </c>
      <c r="D246" s="24">
        <f>'A-15'!E199</f>
        <v>871</v>
      </c>
      <c r="E246" s="24">
        <f>'A-15'!F199</f>
        <v>413</v>
      </c>
      <c r="F246" s="24">
        <f>'A-15'!G199</f>
        <v>168</v>
      </c>
      <c r="G246" s="24">
        <f>'A-15'!H199</f>
        <v>8</v>
      </c>
      <c r="H246" s="24">
        <f>'A-15'!J199</f>
        <v>4968</v>
      </c>
      <c r="J246" s="24">
        <f>'A-15'!N199</f>
        <v>258</v>
      </c>
      <c r="K246" s="24">
        <f>'A-15'!O199</f>
        <v>3440</v>
      </c>
      <c r="L246" s="24">
        <f>'A-15'!P199</f>
        <v>1263</v>
      </c>
      <c r="M246" s="24">
        <f>'A-15'!Q199</f>
        <v>1592</v>
      </c>
      <c r="N246" s="24">
        <f>'A-15'!R199</f>
        <v>419</v>
      </c>
      <c r="O246" s="24">
        <f>'A-15'!S199</f>
        <v>4</v>
      </c>
      <c r="P246" s="24">
        <f>'A-15'!U199</f>
        <v>6972</v>
      </c>
    </row>
    <row r="247" spans="1:17" ht="11.25" customHeight="1">
      <c r="A247" s="99">
        <v>1978</v>
      </c>
      <c r="B247" s="24">
        <f>'A-15'!C200</f>
        <v>946</v>
      </c>
      <c r="C247" s="24">
        <f>'A-15'!D200</f>
        <v>3877</v>
      </c>
      <c r="D247" s="24">
        <f>'A-15'!E200</f>
        <v>827</v>
      </c>
      <c r="E247" s="24">
        <f>'A-15'!F200</f>
        <v>232</v>
      </c>
      <c r="F247" s="24">
        <f>'A-15'!G200</f>
        <v>64</v>
      </c>
      <c r="G247" s="24">
        <f>'A-15'!H200</f>
        <v>26</v>
      </c>
      <c r="H247" s="24">
        <f>'A-15'!J200</f>
        <v>5946</v>
      </c>
      <c r="J247" s="24">
        <f>'A-15'!N200</f>
        <v>231</v>
      </c>
      <c r="K247" s="24">
        <f>'A-15'!O200</f>
        <v>3405</v>
      </c>
      <c r="L247" s="24">
        <f>'A-15'!P200</f>
        <v>1307</v>
      </c>
      <c r="M247" s="24">
        <f>'A-15'!Q200</f>
        <v>509</v>
      </c>
      <c r="N247" s="24">
        <f>'A-15'!R200</f>
        <v>550</v>
      </c>
      <c r="O247" s="24">
        <f>'A-15'!S200</f>
        <v>8</v>
      </c>
      <c r="P247" s="24">
        <f>'A-15'!U200</f>
        <v>6002</v>
      </c>
    </row>
    <row r="248" spans="1:17" ht="11.25" customHeight="1">
      <c r="A248" s="99">
        <v>1979</v>
      </c>
      <c r="B248" s="24">
        <f>'A-15'!C201</f>
        <v>798</v>
      </c>
      <c r="C248" s="24">
        <f>'A-15'!D201</f>
        <v>723</v>
      </c>
      <c r="D248" s="24">
        <f>'A-15'!E201</f>
        <v>330</v>
      </c>
      <c r="E248" s="24">
        <f>'A-15'!F201</f>
        <v>299</v>
      </c>
      <c r="F248" s="24">
        <f>'A-15'!G201</f>
        <v>27</v>
      </c>
      <c r="G248" s="24">
        <f>'A-15'!H201</f>
        <v>4</v>
      </c>
      <c r="H248" s="24">
        <f>'A-15'!J201</f>
        <v>2177</v>
      </c>
      <c r="J248" s="24">
        <f>'A-15'!N201</f>
        <v>1051</v>
      </c>
      <c r="K248" s="24">
        <f>'A-15'!O201</f>
        <v>4777</v>
      </c>
      <c r="L248" s="24">
        <f>'A-15'!P201</f>
        <v>2071</v>
      </c>
      <c r="M248" s="24">
        <f>'A-15'!Q201</f>
        <v>2132</v>
      </c>
      <c r="N248" s="24">
        <f>'A-15'!R201</f>
        <v>109</v>
      </c>
      <c r="O248" s="24">
        <f>'A-15'!S201</f>
        <v>4</v>
      </c>
      <c r="P248" s="24">
        <f>'A-15'!U201</f>
        <v>10140</v>
      </c>
    </row>
    <row r="249" spans="1:17" ht="11.25" customHeight="1">
      <c r="A249" s="99">
        <v>1980</v>
      </c>
      <c r="B249" s="24">
        <f>'A-15'!C202</f>
        <v>133</v>
      </c>
      <c r="C249" s="24">
        <f>'A-15'!D202</f>
        <v>847</v>
      </c>
      <c r="D249" s="24">
        <f>'A-15'!E202</f>
        <v>3272</v>
      </c>
      <c r="E249" s="24">
        <f>'A-15'!F202</f>
        <v>176</v>
      </c>
      <c r="F249" s="24">
        <f>'A-15'!G202</f>
        <v>22</v>
      </c>
      <c r="G249" s="24">
        <f>'A-15'!H202</f>
        <v>15</v>
      </c>
      <c r="H249" s="24">
        <f>'A-15'!J202</f>
        <v>4450</v>
      </c>
      <c r="J249" s="24">
        <f>'A-15'!N202</f>
        <v>2062</v>
      </c>
      <c r="K249" s="24">
        <f>'A-15'!O202</f>
        <v>25295</v>
      </c>
      <c r="L249" s="24">
        <f>'A-15'!P202</f>
        <v>5779</v>
      </c>
      <c r="M249" s="24">
        <f>'A-15'!Q202</f>
        <v>558</v>
      </c>
      <c r="N249" s="24">
        <f>'A-15'!R202</f>
        <v>1012</v>
      </c>
      <c r="O249" s="24">
        <f>'A-15'!S202</f>
        <v>25</v>
      </c>
      <c r="P249" s="24">
        <f>'A-15'!U202</f>
        <v>34706</v>
      </c>
    </row>
    <row r="250" spans="1:17" ht="11.25" customHeight="1">
      <c r="A250" s="99">
        <v>1981</v>
      </c>
      <c r="B250" s="24">
        <f>'A-15'!C203</f>
        <v>1579</v>
      </c>
      <c r="C250" s="24">
        <f>'A-15'!D203</f>
        <v>2487</v>
      </c>
      <c r="D250" s="24">
        <f>'A-15'!E203</f>
        <v>3652</v>
      </c>
      <c r="E250" s="24">
        <f>'A-15'!F203</f>
        <v>269</v>
      </c>
      <c r="F250" s="24">
        <f>'A-15'!G203</f>
        <v>270</v>
      </c>
      <c r="G250" s="24">
        <f>'A-15'!H203</f>
        <v>258</v>
      </c>
      <c r="H250" s="24">
        <f>'A-15'!J203</f>
        <v>8257</v>
      </c>
      <c r="J250" s="24">
        <f>'A-15'!N203</f>
        <v>1284</v>
      </c>
      <c r="K250" s="24">
        <f>'A-15'!O203</f>
        <v>7598</v>
      </c>
      <c r="L250" s="24">
        <f>'A-15'!P203</f>
        <v>6925</v>
      </c>
      <c r="M250" s="24">
        <f>'A-15'!Q203</f>
        <v>3086</v>
      </c>
      <c r="N250" s="24">
        <f>'A-15'!R203</f>
        <v>13717</v>
      </c>
      <c r="O250" s="24">
        <f>'A-15'!S203</f>
        <v>13</v>
      </c>
      <c r="P250" s="24">
        <f>'A-15'!U203</f>
        <v>32610</v>
      </c>
    </row>
    <row r="251" spans="1:17" ht="11.25" customHeight="1">
      <c r="A251" s="99">
        <v>1982</v>
      </c>
      <c r="B251" s="24">
        <f>'A-15'!C204</f>
        <v>1270</v>
      </c>
      <c r="C251" s="24">
        <f>'A-15'!D204</f>
        <v>3392</v>
      </c>
      <c r="D251" s="24">
        <f>'A-15'!E204</f>
        <v>8974</v>
      </c>
      <c r="E251" s="24">
        <f>'A-15'!F204</f>
        <v>1984</v>
      </c>
      <c r="F251" s="24">
        <f>'A-15'!G204</f>
        <v>2656</v>
      </c>
      <c r="G251" s="24">
        <f>'A-15'!H204</f>
        <v>223</v>
      </c>
      <c r="H251" s="24">
        <f>'A-15'!J204</f>
        <v>18276</v>
      </c>
      <c r="J251" s="24">
        <f>'A-15'!N204</f>
        <v>34</v>
      </c>
      <c r="K251" s="24">
        <f>'A-15'!O204</f>
        <v>22681</v>
      </c>
      <c r="L251" s="24">
        <f>'A-15'!P204</f>
        <v>16482</v>
      </c>
      <c r="M251" s="24">
        <f>'A-15'!Q204</f>
        <v>46240</v>
      </c>
      <c r="N251" s="24">
        <f>'A-15'!R204</f>
        <v>38292</v>
      </c>
      <c r="O251" s="24">
        <f>'A-15'!S204</f>
        <v>57</v>
      </c>
      <c r="P251" s="24">
        <f>'A-15'!U204</f>
        <v>123729</v>
      </c>
    </row>
    <row r="252" spans="1:17" ht="11.25" customHeight="1">
      <c r="A252" s="99">
        <v>1983</v>
      </c>
      <c r="B252" s="24">
        <f>'A-15'!C205</f>
        <v>2540</v>
      </c>
      <c r="C252" s="24">
        <f>'A-15'!D205</f>
        <v>2864</v>
      </c>
      <c r="D252" s="24">
        <f>'A-15'!E205</f>
        <v>1061</v>
      </c>
      <c r="E252" s="24">
        <f>'A-15'!F205</f>
        <v>806</v>
      </c>
      <c r="F252" s="24">
        <f>'A-15'!G205</f>
        <v>255</v>
      </c>
      <c r="G252" s="24">
        <f>'A-15'!H205</f>
        <v>65</v>
      </c>
      <c r="H252" s="24">
        <f>'A-15'!J205</f>
        <v>7526</v>
      </c>
      <c r="J252" s="24">
        <f>'A-15'!N205</f>
        <v>95</v>
      </c>
      <c r="K252" s="24">
        <f>'A-15'!O205</f>
        <v>4987</v>
      </c>
      <c r="L252" s="24">
        <f>'A-15'!P205</f>
        <v>5305</v>
      </c>
      <c r="M252" s="24">
        <f>'A-15'!Q205</f>
        <v>19961</v>
      </c>
      <c r="N252" s="24">
        <f>'A-15'!R205</f>
        <v>7747</v>
      </c>
      <c r="O252" s="24">
        <f>'A-15'!S205</f>
        <v>17</v>
      </c>
      <c r="P252" s="24">
        <f>'A-15'!U205</f>
        <v>38095</v>
      </c>
    </row>
    <row r="253" spans="1:17" ht="11.25" customHeight="1">
      <c r="A253" s="99">
        <v>1984</v>
      </c>
      <c r="B253" s="24">
        <f>'A-15'!C206</f>
        <v>1348</v>
      </c>
      <c r="C253" s="24">
        <f>'A-15'!D206</f>
        <v>517</v>
      </c>
      <c r="D253" s="24">
        <f>'A-15'!E206</f>
        <v>751</v>
      </c>
      <c r="E253" s="24">
        <f>'A-15'!F206</f>
        <v>1367</v>
      </c>
      <c r="F253" s="24">
        <f>'A-15'!G206</f>
        <v>0</v>
      </c>
      <c r="G253" s="24">
        <f>'A-15'!H206</f>
        <v>147</v>
      </c>
      <c r="H253" s="24">
        <f>'A-15'!J206</f>
        <v>3983</v>
      </c>
      <c r="J253" s="24">
        <f>'A-15'!N206</f>
        <v>0</v>
      </c>
      <c r="K253" s="24">
        <f>'A-15'!O206</f>
        <v>0</v>
      </c>
      <c r="L253" s="24">
        <f>'A-15'!P206</f>
        <v>19715</v>
      </c>
      <c r="M253" s="24">
        <f>'A-15'!Q206</f>
        <v>23772</v>
      </c>
      <c r="N253" s="24">
        <f>'A-15'!R206</f>
        <v>0</v>
      </c>
      <c r="O253" s="24">
        <f>'A-15'!S206</f>
        <v>147</v>
      </c>
      <c r="P253" s="24">
        <f>'A-15'!U206</f>
        <v>43487</v>
      </c>
    </row>
    <row r="254" spans="1:17" ht="11.25" customHeight="1">
      <c r="A254" s="99">
        <v>1985</v>
      </c>
      <c r="B254" s="24">
        <f>'A-15'!C207</f>
        <v>4014</v>
      </c>
      <c r="C254" s="24">
        <f>'A-15'!D207</f>
        <v>156</v>
      </c>
      <c r="D254" s="24">
        <f>'A-15'!E207</f>
        <v>3743</v>
      </c>
      <c r="E254" s="24">
        <f>'A-15'!F207</f>
        <v>2252</v>
      </c>
      <c r="F254" s="24">
        <f>'A-15'!G207</f>
        <v>1910</v>
      </c>
      <c r="G254" s="24">
        <f>'A-15'!H207</f>
        <v>299</v>
      </c>
      <c r="H254" s="24">
        <f>'A-15'!J207</f>
        <v>12075</v>
      </c>
      <c r="J254" s="24">
        <f>'A-15'!N207</f>
        <v>1</v>
      </c>
      <c r="K254" s="24">
        <f>'A-15'!O207</f>
        <v>1911</v>
      </c>
      <c r="L254" s="24">
        <f>'A-15'!P207</f>
        <v>33602</v>
      </c>
      <c r="M254" s="24">
        <f>'A-15'!Q207</f>
        <v>29361</v>
      </c>
      <c r="N254" s="24">
        <f>'A-15'!R207</f>
        <v>23573</v>
      </c>
      <c r="O254" s="24">
        <f>'A-15'!S207</f>
        <v>37</v>
      </c>
      <c r="P254" s="24">
        <f>'A-15'!U207</f>
        <v>88448</v>
      </c>
    </row>
    <row r="255" spans="1:17" ht="11.25" customHeight="1">
      <c r="A255" s="99">
        <v>1986</v>
      </c>
      <c r="B255" s="24">
        <f>'A-15'!C208</f>
        <v>3891</v>
      </c>
      <c r="C255" s="24">
        <f>'A-15'!D208</f>
        <v>4461</v>
      </c>
      <c r="D255" s="24">
        <f>'A-15'!E208</f>
        <v>3688</v>
      </c>
      <c r="E255" s="24">
        <f>'A-15'!F208</f>
        <v>418</v>
      </c>
      <c r="F255" s="24">
        <f>'A-15'!G208</f>
        <v>0</v>
      </c>
      <c r="G255" s="24">
        <f>'A-15'!H208</f>
        <v>0</v>
      </c>
      <c r="H255" s="24">
        <f>'A-15'!J208</f>
        <v>12458</v>
      </c>
      <c r="J255" s="24">
        <f>'A-15'!N208</f>
        <v>0</v>
      </c>
      <c r="K255" s="24">
        <f>'A-15'!O208</f>
        <v>21166</v>
      </c>
      <c r="L255" s="24">
        <f>'A-15'!P208</f>
        <v>51622</v>
      </c>
      <c r="M255" s="24">
        <f>'A-15'!Q208</f>
        <v>11711</v>
      </c>
      <c r="N255" s="24">
        <f>'A-15'!R208</f>
        <v>13</v>
      </c>
      <c r="O255" s="24">
        <f>'A-15'!S208</f>
        <v>0</v>
      </c>
      <c r="P255" s="24">
        <f>'A-15'!U208</f>
        <v>84512</v>
      </c>
    </row>
    <row r="256" spans="1:17" ht="11.25" customHeight="1">
      <c r="A256" s="99">
        <v>1987</v>
      </c>
      <c r="B256" s="24">
        <f>'A-15'!C209</f>
        <v>8563</v>
      </c>
      <c r="C256" s="24">
        <f>'A-15'!D209</f>
        <v>0</v>
      </c>
      <c r="D256" s="24">
        <f>'A-15'!E209</f>
        <v>2181</v>
      </c>
      <c r="E256" s="24">
        <f>'A-15'!F209</f>
        <v>7271</v>
      </c>
      <c r="F256" s="24">
        <f>'A-15'!G209</f>
        <v>0</v>
      </c>
      <c r="G256" s="24">
        <f>'A-15'!H209</f>
        <v>52</v>
      </c>
      <c r="H256" s="24">
        <f>'A-15'!J209</f>
        <v>18015</v>
      </c>
      <c r="J256" s="24">
        <f>'A-15'!N209</f>
        <v>16</v>
      </c>
      <c r="K256" s="24">
        <f>'A-15'!O209</f>
        <v>0</v>
      </c>
      <c r="L256" s="24">
        <f>'A-15'!P209</f>
        <v>45619</v>
      </c>
      <c r="M256" s="24">
        <f>'A-15'!Q209</f>
        <v>44040</v>
      </c>
      <c r="N256" s="24">
        <f>'A-15'!R209</f>
        <v>0</v>
      </c>
      <c r="O256" s="24">
        <f>'A-15'!S209</f>
        <v>33</v>
      </c>
      <c r="P256" s="24">
        <f>'A-15'!U209</f>
        <v>89675</v>
      </c>
    </row>
    <row r="257" spans="1:16" ht="11.25" customHeight="1">
      <c r="A257" s="99">
        <v>1988</v>
      </c>
      <c r="B257" s="24">
        <f>'A-15'!C210</f>
        <v>7714</v>
      </c>
      <c r="C257" s="24">
        <f>'A-15'!D210</f>
        <v>9764</v>
      </c>
      <c r="D257" s="24">
        <f>'A-15'!E210</f>
        <v>6379</v>
      </c>
      <c r="E257" s="24">
        <f>'A-15'!F210</f>
        <v>6825</v>
      </c>
      <c r="F257" s="24">
        <f>'A-15'!G210</f>
        <v>1968</v>
      </c>
      <c r="G257" s="24">
        <f>'A-15'!H210</f>
        <v>0</v>
      </c>
      <c r="H257" s="24">
        <f>'A-15'!J210</f>
        <v>32650</v>
      </c>
      <c r="J257" s="24">
        <f>'A-15'!N210</f>
        <v>0</v>
      </c>
      <c r="K257" s="24">
        <f>'A-15'!O210</f>
        <v>114</v>
      </c>
      <c r="L257" s="24">
        <f>'A-15'!P210</f>
        <v>11813</v>
      </c>
      <c r="M257" s="24">
        <f>'A-15'!Q210</f>
        <v>46236</v>
      </c>
      <c r="N257" s="24">
        <f>'A-15'!R210</f>
        <v>10167</v>
      </c>
      <c r="O257" s="24">
        <f>'A-15'!S210</f>
        <v>0</v>
      </c>
      <c r="P257" s="24">
        <f>'A-15'!U210</f>
        <v>68330</v>
      </c>
    </row>
    <row r="258" spans="1:16" ht="11.25" customHeight="1">
      <c r="A258" s="99">
        <v>1989</v>
      </c>
      <c r="B258" s="24">
        <f>'A-15'!C211</f>
        <v>6711</v>
      </c>
      <c r="C258" s="24">
        <f>'A-15'!D211</f>
        <v>7645</v>
      </c>
      <c r="D258" s="24">
        <f>'A-15'!E211</f>
        <v>10111</v>
      </c>
      <c r="E258" s="24">
        <f>'A-15'!F211</f>
        <v>5247</v>
      </c>
      <c r="F258" s="24">
        <f>'A-15'!G211</f>
        <v>1582</v>
      </c>
      <c r="G258" s="24">
        <f>'A-15'!H211</f>
        <v>0</v>
      </c>
      <c r="H258" s="24">
        <f>'A-15'!J211</f>
        <v>31296</v>
      </c>
      <c r="J258" s="24">
        <f>'A-15'!N211</f>
        <v>1</v>
      </c>
      <c r="K258" s="24">
        <f>'A-15'!O211</f>
        <v>0</v>
      </c>
      <c r="L258" s="24">
        <f>'A-15'!P211</f>
        <v>31817</v>
      </c>
      <c r="M258" s="24">
        <f>'A-15'!Q211</f>
        <v>23499</v>
      </c>
      <c r="N258" s="24">
        <f>'A-15'!R211</f>
        <v>28590</v>
      </c>
      <c r="O258" s="24">
        <f>'A-15'!S211</f>
        <v>0</v>
      </c>
      <c r="P258" s="24">
        <f>'A-15'!U211</f>
        <v>83907</v>
      </c>
    </row>
    <row r="259" spans="1:16" ht="11.25" customHeight="1">
      <c r="A259" s="99">
        <v>1990</v>
      </c>
      <c r="B259" s="24">
        <f>'A-15'!C212</f>
        <v>7504</v>
      </c>
      <c r="C259" s="24">
        <f>'A-15'!D212</f>
        <v>7906</v>
      </c>
      <c r="D259" s="24">
        <f>'A-15'!E212</f>
        <v>11270</v>
      </c>
      <c r="E259" s="24">
        <f>'A-15'!F212</f>
        <v>2771</v>
      </c>
      <c r="F259" s="24">
        <f>'A-15'!G212</f>
        <v>2690</v>
      </c>
      <c r="G259" s="24">
        <f>'A-15'!H212</f>
        <v>8</v>
      </c>
      <c r="H259" s="24">
        <f>'A-15'!J212</f>
        <v>32141</v>
      </c>
      <c r="J259" s="24">
        <f>'A-15'!N212</f>
        <v>0</v>
      </c>
      <c r="K259" s="24">
        <f>'A-15'!O212</f>
        <v>1</v>
      </c>
      <c r="L259" s="24">
        <f>'A-15'!P212</f>
        <v>20680</v>
      </c>
      <c r="M259" s="24">
        <f>'A-15'!Q212</f>
        <v>54225</v>
      </c>
      <c r="N259" s="24">
        <f>'A-15'!R212</f>
        <v>16485</v>
      </c>
      <c r="O259" s="24">
        <f>'A-15'!S212</f>
        <v>1</v>
      </c>
      <c r="P259" s="24">
        <f>'A-15'!U212</f>
        <v>91391</v>
      </c>
    </row>
    <row r="260" spans="1:16" ht="11.25" customHeight="1">
      <c r="A260" s="99">
        <v>1991</v>
      </c>
      <c r="B260" s="24">
        <f>'A-15'!C213</f>
        <v>4456</v>
      </c>
      <c r="C260" s="24">
        <f>'A-15'!D213</f>
        <v>6039</v>
      </c>
      <c r="D260" s="24">
        <f>'A-15'!E213</f>
        <v>6875</v>
      </c>
      <c r="E260" s="24">
        <f>'A-15'!F213</f>
        <v>4497</v>
      </c>
      <c r="F260" s="24">
        <f>'A-15'!G213</f>
        <v>0</v>
      </c>
      <c r="G260" s="24">
        <f>'A-15'!H213</f>
        <v>147</v>
      </c>
      <c r="H260" s="24">
        <f>'A-15'!J213</f>
        <v>21867</v>
      </c>
      <c r="J260" s="24">
        <f>'A-15'!N213</f>
        <v>0</v>
      </c>
      <c r="K260" s="24">
        <f>'A-15'!O213</f>
        <v>0</v>
      </c>
      <c r="L260" s="24">
        <f>'A-15'!P213</f>
        <v>38943</v>
      </c>
      <c r="M260" s="24">
        <f>'A-15'!Q213</f>
        <v>38011</v>
      </c>
      <c r="N260" s="24">
        <f>'A-15'!R213</f>
        <v>0</v>
      </c>
      <c r="O260" s="24">
        <f>'A-15'!S213</f>
        <v>498</v>
      </c>
      <c r="P260" s="24">
        <f>'A-15'!U213</f>
        <v>76954</v>
      </c>
    </row>
    <row r="261" spans="1:16" ht="11.25" customHeight="1">
      <c r="A261" s="99">
        <v>1992</v>
      </c>
      <c r="B261" s="24">
        <f>'A-15'!C214</f>
        <v>8787</v>
      </c>
      <c r="C261" s="24">
        <f>'A-15'!D214</f>
        <v>5538</v>
      </c>
      <c r="D261" s="24">
        <f>'A-15'!E214</f>
        <v>4724</v>
      </c>
      <c r="E261" s="24">
        <f>'A-15'!F214</f>
        <v>4027</v>
      </c>
      <c r="F261" s="24">
        <f>'A-15'!G214</f>
        <v>0</v>
      </c>
      <c r="G261" s="24">
        <f>'A-15'!H214</f>
        <v>0</v>
      </c>
      <c r="H261" s="24">
        <f>'A-15'!J214</f>
        <v>23076</v>
      </c>
      <c r="J261" s="24">
        <f>'A-15'!N214</f>
        <v>2</v>
      </c>
      <c r="K261" s="24">
        <f>'A-15'!O214</f>
        <v>3</v>
      </c>
      <c r="L261" s="24">
        <f>'A-15'!P214</f>
        <v>40215</v>
      </c>
      <c r="M261" s="24">
        <f>'A-15'!Q214</f>
        <v>35369</v>
      </c>
      <c r="N261" s="24">
        <f>'A-15'!R214</f>
        <v>0</v>
      </c>
      <c r="O261" s="24">
        <f>'A-15'!S214</f>
        <v>15</v>
      </c>
      <c r="P261" s="24">
        <f>'A-15'!U214</f>
        <v>75589</v>
      </c>
    </row>
    <row r="262" spans="1:16" ht="11.25" customHeight="1">
      <c r="A262" s="99">
        <v>1993</v>
      </c>
      <c r="B262" s="24">
        <f>'A-15'!C215</f>
        <v>7325</v>
      </c>
      <c r="C262" s="24">
        <f>'A-15'!D215</f>
        <v>5217</v>
      </c>
      <c r="D262" s="24">
        <f>'A-15'!E215</f>
        <v>5923</v>
      </c>
      <c r="E262" s="24">
        <f>'A-15'!F215</f>
        <v>3648</v>
      </c>
      <c r="F262" s="24">
        <f>'A-15'!G215</f>
        <v>2853</v>
      </c>
      <c r="G262" s="24">
        <f>'A-15'!H215</f>
        <v>0</v>
      </c>
      <c r="H262" s="24">
        <f>'A-15'!J215</f>
        <v>24966</v>
      </c>
      <c r="J262" s="24">
        <f>'A-15'!N215</f>
        <v>1</v>
      </c>
      <c r="K262" s="24">
        <f>'A-15'!O215</f>
        <v>0</v>
      </c>
      <c r="L262" s="24">
        <f>'A-15'!P215</f>
        <v>6944</v>
      </c>
      <c r="M262" s="24">
        <f>'A-15'!Q215</f>
        <v>25420</v>
      </c>
      <c r="N262" s="24">
        <f>'A-15'!R215</f>
        <v>26375</v>
      </c>
      <c r="O262" s="24">
        <f>'A-15'!S215</f>
        <v>0</v>
      </c>
      <c r="P262" s="24">
        <f>'A-15'!U215</f>
        <v>58740</v>
      </c>
    </row>
    <row r="263" spans="1:16" ht="11.25" customHeight="1">
      <c r="A263" s="99">
        <v>1994</v>
      </c>
      <c r="B263" s="24">
        <f>'A-15'!C216</f>
        <v>449</v>
      </c>
      <c r="C263" s="24">
        <f>'A-15'!D216</f>
        <v>4113</v>
      </c>
      <c r="D263" s="24">
        <f>'A-15'!E216</f>
        <v>8</v>
      </c>
      <c r="E263" s="24">
        <f>'A-15'!F216</f>
        <v>0</v>
      </c>
      <c r="F263" s="24">
        <f>'A-15'!G216</f>
        <v>0</v>
      </c>
      <c r="G263" s="24">
        <f>'A-15'!H216</f>
        <v>0</v>
      </c>
      <c r="H263" s="24">
        <f>'A-15'!J216</f>
        <v>4570</v>
      </c>
      <c r="J263" s="24">
        <f>'A-15'!N216</f>
        <v>0</v>
      </c>
      <c r="K263" s="24">
        <f>'A-15'!O216</f>
        <v>0</v>
      </c>
      <c r="L263" s="24">
        <f>'A-15'!P216</f>
        <v>0</v>
      </c>
      <c r="M263" s="24">
        <f>'A-15'!Q216</f>
        <v>0</v>
      </c>
      <c r="N263" s="24">
        <f>'A-15'!R216</f>
        <v>0</v>
      </c>
      <c r="O263" s="24">
        <f>'A-15'!S216</f>
        <v>0</v>
      </c>
      <c r="P263" s="24">
        <f>'A-15'!U216</f>
        <v>0</v>
      </c>
    </row>
    <row r="264" spans="1:16" ht="11.25" customHeight="1">
      <c r="A264" s="99">
        <v>1995</v>
      </c>
      <c r="B264" s="24">
        <f>'A-15'!C217</f>
        <v>698</v>
      </c>
      <c r="C264" s="24">
        <f>'A-15'!D217</f>
        <v>0</v>
      </c>
      <c r="D264" s="24">
        <f>'A-15'!E217</f>
        <v>23</v>
      </c>
      <c r="E264" s="24">
        <f>'A-15'!F217</f>
        <v>9044</v>
      </c>
      <c r="F264" s="24">
        <f>'A-15'!G217</f>
        <v>0</v>
      </c>
      <c r="G264" s="24">
        <f>'A-15'!H217</f>
        <v>0</v>
      </c>
      <c r="H264" s="24">
        <f>'A-15'!J217</f>
        <v>9765</v>
      </c>
      <c r="J264" s="24">
        <f>'A-15'!N217</f>
        <v>0</v>
      </c>
      <c r="K264" s="24">
        <f>'A-15'!O217</f>
        <v>0</v>
      </c>
      <c r="L264" s="24">
        <f>'A-15'!P217</f>
        <v>0</v>
      </c>
      <c r="M264" s="24">
        <f>'A-15'!Q217</f>
        <v>31390</v>
      </c>
      <c r="N264" s="24">
        <f>'A-15'!R217</f>
        <v>0</v>
      </c>
      <c r="O264" s="24">
        <f>'A-15'!S217</f>
        <v>0</v>
      </c>
      <c r="P264" s="24">
        <f>'A-15'!U217</f>
        <v>31390</v>
      </c>
    </row>
    <row r="265" spans="1:16" ht="11.25" customHeight="1">
      <c r="A265" s="99">
        <v>1996</v>
      </c>
      <c r="B265" s="24">
        <f>'A-15'!C218</f>
        <v>1473</v>
      </c>
      <c r="C265" s="24">
        <f>'A-15'!D218</f>
        <v>1974</v>
      </c>
      <c r="D265" s="24">
        <f>'A-15'!E218</f>
        <v>457</v>
      </c>
      <c r="E265" s="24">
        <f>'A-15'!F218</f>
        <v>4845</v>
      </c>
      <c r="F265" s="24">
        <f>'A-15'!G218</f>
        <v>3561</v>
      </c>
      <c r="G265" s="24" t="str">
        <f>'A-15'!H218</f>
        <v>-</v>
      </c>
      <c r="H265" s="24">
        <f>'A-15'!J218</f>
        <v>12310</v>
      </c>
      <c r="J265" s="24">
        <f>'A-15'!N218</f>
        <v>0</v>
      </c>
      <c r="K265" s="24">
        <f>'A-15'!O218</f>
        <v>0</v>
      </c>
      <c r="L265" s="24">
        <f>'A-15'!P218</f>
        <v>0</v>
      </c>
      <c r="M265" s="24">
        <f>'A-15'!Q218</f>
        <v>4655</v>
      </c>
      <c r="N265" s="24">
        <f>'A-15'!R218</f>
        <v>13885</v>
      </c>
      <c r="O265" s="24" t="str">
        <f>'A-15'!S218</f>
        <v>-</v>
      </c>
      <c r="P265" s="24">
        <f>'A-15'!U218</f>
        <v>18540</v>
      </c>
    </row>
    <row r="266" spans="1:16" ht="11.25" customHeight="1">
      <c r="A266" s="99">
        <v>1997</v>
      </c>
      <c r="B266" s="24">
        <f>'A-15'!C219</f>
        <v>819</v>
      </c>
      <c r="C266" s="24">
        <f>'A-15'!D219</f>
        <v>7486</v>
      </c>
      <c r="D266" s="24">
        <f>'A-15'!E219</f>
        <v>0</v>
      </c>
      <c r="E266" s="24">
        <f>'A-15'!F219</f>
        <v>4720</v>
      </c>
      <c r="F266" s="24">
        <f>'A-15'!G219</f>
        <v>1136</v>
      </c>
      <c r="G266" s="24" t="str">
        <f>'A-15'!H219</f>
        <v>-</v>
      </c>
      <c r="H266" s="24">
        <f>'A-15'!J219</f>
        <v>14161</v>
      </c>
      <c r="J266" s="24">
        <f>'A-15'!N219</f>
        <v>0</v>
      </c>
      <c r="K266" s="24">
        <f>'A-15'!O219</f>
        <v>0</v>
      </c>
      <c r="L266" s="24">
        <f>'A-15'!P219</f>
        <v>0</v>
      </c>
      <c r="M266" s="24">
        <f>'A-15'!Q219</f>
        <v>11481</v>
      </c>
      <c r="N266" s="24">
        <f>'A-15'!R219</f>
        <v>4343</v>
      </c>
      <c r="O266" s="24" t="str">
        <f>'A-15'!S219</f>
        <v>-</v>
      </c>
      <c r="P266" s="24">
        <f>'A-15'!U219</f>
        <v>15824</v>
      </c>
    </row>
    <row r="267" spans="1:16" ht="11.25" customHeight="1">
      <c r="A267" s="99">
        <v>1998</v>
      </c>
      <c r="B267" s="24">
        <f>'A-15'!C220</f>
        <v>5189</v>
      </c>
      <c r="C267" s="24">
        <f>'A-15'!D220</f>
        <v>4442</v>
      </c>
      <c r="D267" s="24">
        <f>'A-15'!E220</f>
        <v>47</v>
      </c>
      <c r="E267" s="24">
        <f>'A-15'!F220</f>
        <v>3860</v>
      </c>
      <c r="F267" s="24">
        <f>'A-15'!G220</f>
        <v>1148</v>
      </c>
      <c r="G267" s="24" t="str">
        <f>'A-15'!H220</f>
        <v>-</v>
      </c>
      <c r="H267" s="24">
        <f>'A-15'!J220</f>
        <v>14686</v>
      </c>
      <c r="J267" s="24">
        <f>'A-15'!N220</f>
        <v>0</v>
      </c>
      <c r="K267" s="24">
        <f>'A-15'!O220</f>
        <v>0</v>
      </c>
      <c r="L267" s="24">
        <f>'A-15'!P220</f>
        <v>74</v>
      </c>
      <c r="M267" s="24">
        <f>'A-15'!Q220</f>
        <v>3855</v>
      </c>
      <c r="N267" s="24">
        <f>'A-15'!R220</f>
        <v>4225</v>
      </c>
      <c r="O267" s="24" t="str">
        <f>'A-15'!S220</f>
        <v>-</v>
      </c>
      <c r="P267" s="24">
        <f>'A-15'!U220</f>
        <v>8154</v>
      </c>
    </row>
    <row r="268" spans="1:16" ht="11.25" customHeight="1">
      <c r="A268" s="99">
        <v>1999</v>
      </c>
      <c r="B268" s="24">
        <f>'A-15'!C221</f>
        <v>2536</v>
      </c>
      <c r="C268" s="24">
        <f>'A-15'!D221</f>
        <v>15666</v>
      </c>
      <c r="D268" s="24">
        <f>'A-15'!E221</f>
        <v>1530</v>
      </c>
      <c r="E268" s="24">
        <f>'A-15'!F221</f>
        <v>4101</v>
      </c>
      <c r="F268" s="24">
        <f>'A-15'!G221</f>
        <v>3619</v>
      </c>
      <c r="G268" s="24" t="str">
        <f>'A-15'!H221</f>
        <v>-</v>
      </c>
      <c r="H268" s="24">
        <f>'A-15'!J221</f>
        <v>27452</v>
      </c>
      <c r="J268" s="24">
        <f>'A-15'!N221</f>
        <v>0</v>
      </c>
      <c r="K268" s="24">
        <f>'A-15'!O221</f>
        <v>0</v>
      </c>
      <c r="L268" s="24">
        <f>'A-15'!P221</f>
        <v>0</v>
      </c>
      <c r="M268" s="24">
        <f>'A-15'!Q221</f>
        <v>13151</v>
      </c>
      <c r="N268" s="24">
        <f>'A-15'!R221</f>
        <v>20213</v>
      </c>
      <c r="O268" s="24" t="str">
        <f>'A-15'!S221</f>
        <v>-</v>
      </c>
      <c r="P268" s="24">
        <f>'A-15'!U221</f>
        <v>33364</v>
      </c>
    </row>
    <row r="269" spans="1:16" ht="11.25" customHeight="1">
      <c r="A269" s="99">
        <v>2000</v>
      </c>
      <c r="B269" s="24">
        <f>'A-15'!C222</f>
        <v>2885</v>
      </c>
      <c r="C269" s="24">
        <f>'A-15'!D222</f>
        <v>3052</v>
      </c>
      <c r="D269" s="24">
        <f>'A-15'!E222</f>
        <v>196</v>
      </c>
      <c r="E269" s="24">
        <f>'A-15'!F222</f>
        <v>1505</v>
      </c>
      <c r="F269" s="24">
        <f>'A-15'!G222</f>
        <v>0</v>
      </c>
      <c r="G269" s="24" t="str">
        <f>'A-15'!H222</f>
        <v>-</v>
      </c>
      <c r="H269" s="24">
        <f>'A-15'!J222</f>
        <v>7638</v>
      </c>
      <c r="J269" s="24">
        <f>'A-15'!N222</f>
        <v>0</v>
      </c>
      <c r="K269" s="24">
        <f>'A-15'!O222</f>
        <v>1</v>
      </c>
      <c r="L269" s="24">
        <f>'A-15'!P222</f>
        <v>0</v>
      </c>
      <c r="M269" s="24">
        <f>'A-15'!Q222</f>
        <v>22174</v>
      </c>
      <c r="N269" s="24">
        <f>'A-15'!R222</f>
        <v>0</v>
      </c>
      <c r="O269" s="24" t="str">
        <f>'A-15'!S222</f>
        <v>-</v>
      </c>
      <c r="P269" s="24">
        <f>'A-15'!U222</f>
        <v>22175</v>
      </c>
    </row>
    <row r="270" spans="1:16" ht="11.25" customHeight="1">
      <c r="A270" s="99">
        <v>2001</v>
      </c>
      <c r="B270" s="24">
        <f>'A-15'!C223</f>
        <v>2278</v>
      </c>
      <c r="C270" s="24">
        <f>'A-15'!D223</f>
        <v>13705</v>
      </c>
      <c r="D270" s="24">
        <f>'A-15'!E223</f>
        <v>6561</v>
      </c>
      <c r="E270" s="24">
        <f>'A-15'!F223</f>
        <v>2988</v>
      </c>
      <c r="F270" s="24">
        <f>'A-15'!G223</f>
        <v>3311</v>
      </c>
      <c r="G270" s="24" t="str">
        <f>'A-15'!H223</f>
        <v>-</v>
      </c>
      <c r="H270" s="24">
        <f>'A-15'!J223</f>
        <v>28843</v>
      </c>
      <c r="J270" s="24">
        <f>'A-15'!N223</f>
        <v>0</v>
      </c>
      <c r="K270" s="24">
        <f>'A-15'!O223</f>
        <v>12</v>
      </c>
      <c r="L270" s="24">
        <f>'A-15'!P223</f>
        <v>8510</v>
      </c>
      <c r="M270" s="24">
        <f>'A-15'!Q223</f>
        <v>27984</v>
      </c>
      <c r="N270" s="24">
        <f>'A-15'!R223</f>
        <v>22089</v>
      </c>
      <c r="O270" s="24" t="str">
        <f>'A-15'!S223</f>
        <v>-</v>
      </c>
      <c r="P270" s="24">
        <f>'A-15'!U223</f>
        <v>58595</v>
      </c>
    </row>
    <row r="271" spans="1:16" ht="11.25" customHeight="1">
      <c r="A271" s="99">
        <v>2002</v>
      </c>
      <c r="B271" s="24">
        <f>'A-15'!C224</f>
        <v>5364</v>
      </c>
      <c r="C271" s="24">
        <f>'A-15'!D224</f>
        <v>11206</v>
      </c>
      <c r="D271" s="24">
        <f>'A-15'!E224</f>
        <v>12079</v>
      </c>
      <c r="E271" s="24">
        <f>'A-15'!F224</f>
        <v>8074</v>
      </c>
      <c r="F271" s="24">
        <f>'A-15'!G224</f>
        <v>3123</v>
      </c>
      <c r="G271" s="24">
        <f>'A-15'!H224</f>
        <v>30</v>
      </c>
      <c r="H271" s="24">
        <f>'A-15'!J224</f>
        <v>39846</v>
      </c>
      <c r="J271" s="24">
        <f>'A-15'!N224</f>
        <v>1</v>
      </c>
      <c r="K271" s="24">
        <f>'A-15'!O224</f>
        <v>1</v>
      </c>
      <c r="L271" s="24">
        <f>'A-15'!P224</f>
        <v>3449</v>
      </c>
      <c r="M271" s="24">
        <f>'A-15'!Q224</f>
        <v>4929</v>
      </c>
      <c r="N271" s="24">
        <f>'A-15'!R224</f>
        <v>9042</v>
      </c>
      <c r="O271" s="24">
        <f>'A-15'!S224</f>
        <v>80</v>
      </c>
      <c r="P271" s="24">
        <f>'A-15'!U224</f>
        <v>17422</v>
      </c>
    </row>
    <row r="272" spans="1:16" ht="11.25" customHeight="1">
      <c r="A272" s="99">
        <v>2003</v>
      </c>
      <c r="B272" s="24">
        <f>'A-15'!C225</f>
        <v>2856</v>
      </c>
      <c r="C272" s="24">
        <f>'A-15'!D225</f>
        <v>13039</v>
      </c>
      <c r="D272" s="24">
        <f>'A-15'!E225</f>
        <v>12935</v>
      </c>
      <c r="E272" s="24">
        <f>'A-15'!F225</f>
        <v>5232</v>
      </c>
      <c r="F272" s="24">
        <f>'A-15'!G225</f>
        <v>1110</v>
      </c>
      <c r="G272" s="24">
        <f>'A-15'!H225</f>
        <v>35</v>
      </c>
      <c r="H272" s="24">
        <f>'A-15'!J225</f>
        <v>35172</v>
      </c>
      <c r="J272" s="24">
        <f>'A-15'!N225</f>
        <v>3</v>
      </c>
      <c r="K272" s="24">
        <f>'A-15'!O225</f>
        <v>0</v>
      </c>
      <c r="L272" s="24">
        <f>'A-15'!P225</f>
        <v>4449</v>
      </c>
      <c r="M272" s="24">
        <f>'A-15'!Q225</f>
        <v>4276</v>
      </c>
      <c r="N272" s="24">
        <f>'A-15'!R225</f>
        <v>2214</v>
      </c>
      <c r="O272" s="24">
        <f>'A-15'!S225</f>
        <v>85</v>
      </c>
      <c r="P272" s="24">
        <f>'A-15'!U225</f>
        <v>10942</v>
      </c>
    </row>
    <row r="273" spans="1:16" ht="11.25" customHeight="1">
      <c r="A273" s="99">
        <v>2004</v>
      </c>
      <c r="B273" s="24">
        <f>'A-15'!C226</f>
        <v>9947</v>
      </c>
      <c r="C273" s="24">
        <f>'A-15'!D226</f>
        <v>16977</v>
      </c>
      <c r="D273" s="24">
        <f>'A-15'!E226</f>
        <v>10765</v>
      </c>
      <c r="E273" s="24">
        <f>'A-15'!F226</f>
        <v>6960</v>
      </c>
      <c r="F273" s="24">
        <f>'A-15'!G226</f>
        <v>5086</v>
      </c>
      <c r="G273" s="24">
        <f>'A-15'!H226</f>
        <v>25</v>
      </c>
      <c r="H273" s="24">
        <f>'A-15'!J226</f>
        <v>49735</v>
      </c>
      <c r="J273" s="24">
        <f>'A-15'!N226</f>
        <v>3</v>
      </c>
      <c r="K273" s="24">
        <f>'A-15'!O226</f>
        <v>3</v>
      </c>
      <c r="L273" s="24">
        <f>'A-15'!P226</f>
        <v>16133</v>
      </c>
      <c r="M273" s="24">
        <f>'A-15'!Q226</f>
        <v>36684</v>
      </c>
      <c r="N273" s="24">
        <f>'A-15'!R226</f>
        <v>9274</v>
      </c>
      <c r="O273" s="24">
        <f>'A-15'!S226</f>
        <v>100</v>
      </c>
      <c r="P273" s="24">
        <f>'A-15'!U226</f>
        <v>62097</v>
      </c>
    </row>
    <row r="274" spans="1:16" ht="11.25" customHeight="1">
      <c r="A274" s="99">
        <v>2005</v>
      </c>
      <c r="B274" s="24">
        <f>'A-15'!C227</f>
        <v>6858</v>
      </c>
      <c r="C274" s="24">
        <f>'A-15'!D227</f>
        <v>18374</v>
      </c>
      <c r="D274" s="24">
        <f>'A-15'!E227</f>
        <v>4971</v>
      </c>
      <c r="E274" s="24">
        <f>'A-15'!F227</f>
        <v>8100</v>
      </c>
      <c r="F274" s="24">
        <f>'A-15'!G227</f>
        <v>3672</v>
      </c>
      <c r="G274" s="24">
        <f>'A-15'!H227</f>
        <v>0</v>
      </c>
      <c r="H274" s="24">
        <f>'A-15'!J227</f>
        <v>41975</v>
      </c>
      <c r="I274" s="24"/>
      <c r="J274" s="24">
        <f>'A-15'!N227</f>
        <v>3</v>
      </c>
      <c r="K274" s="24">
        <f>'A-15'!O227</f>
        <v>1</v>
      </c>
      <c r="L274" s="24">
        <f>'A-15'!P227</f>
        <v>3756</v>
      </c>
      <c r="M274" s="24">
        <f>'A-15'!Q227</f>
        <v>15949</v>
      </c>
      <c r="N274" s="24">
        <f>'A-15'!R227</f>
        <v>4288</v>
      </c>
      <c r="O274" s="24">
        <f>'A-15'!S227</f>
        <v>0</v>
      </c>
      <c r="P274" s="24">
        <f>'A-15'!U227</f>
        <v>23997</v>
      </c>
    </row>
    <row r="275" spans="1:16" ht="11.25" customHeight="1">
      <c r="A275" s="99">
        <v>2006</v>
      </c>
      <c r="B275" s="24">
        <f>'A-15'!C228</f>
        <v>2821</v>
      </c>
      <c r="C275" s="24">
        <f>'A-15'!D228</f>
        <v>8341</v>
      </c>
      <c r="D275" s="24">
        <f>'A-15'!E228</f>
        <v>7736</v>
      </c>
      <c r="E275" s="24">
        <f>'A-15'!F228</f>
        <v>6690</v>
      </c>
      <c r="F275" s="24">
        <f>'A-15'!G228</f>
        <v>4957</v>
      </c>
      <c r="G275" s="24">
        <f>'A-15'!H228</f>
        <v>15</v>
      </c>
      <c r="H275" s="24">
        <f>'A-15'!J228</f>
        <v>30545</v>
      </c>
      <c r="J275" s="24">
        <f>'A-15'!N228</f>
        <v>16</v>
      </c>
      <c r="K275" s="24">
        <f>'A-15'!O228</f>
        <v>102</v>
      </c>
      <c r="L275" s="24">
        <f>'A-15'!P228</f>
        <v>10475</v>
      </c>
      <c r="M275" s="24">
        <f>'A-15'!Q228</f>
        <v>10634</v>
      </c>
      <c r="N275" s="24">
        <f>'A-15'!R228</f>
        <v>10711</v>
      </c>
      <c r="O275" s="24">
        <f>'A-15'!S228</f>
        <v>5</v>
      </c>
      <c r="P275" s="24">
        <f>'A-15'!U228</f>
        <v>31938</v>
      </c>
    </row>
    <row r="276" spans="1:16" ht="11.25" customHeight="1">
      <c r="A276" s="99">
        <v>2007</v>
      </c>
      <c r="B276" s="24">
        <f>'A-15'!C229</f>
        <v>316</v>
      </c>
      <c r="C276" s="24">
        <f>'A-15'!D229</f>
        <v>14629</v>
      </c>
      <c r="D276" s="24">
        <f>'A-15'!E229</f>
        <v>3349</v>
      </c>
      <c r="E276" s="24">
        <f>'A-15'!F229</f>
        <v>4579</v>
      </c>
      <c r="F276" s="24">
        <f>'A-15'!G229</f>
        <v>70</v>
      </c>
      <c r="G276" s="24">
        <f>'A-15'!H229</f>
        <v>0</v>
      </c>
      <c r="H276" s="24">
        <f>'A-15'!J229</f>
        <v>22943</v>
      </c>
      <c r="I276" s="24"/>
      <c r="J276" s="24">
        <f>'A-15'!N229</f>
        <v>0</v>
      </c>
      <c r="K276" s="24">
        <f>'A-15'!O229</f>
        <v>12</v>
      </c>
      <c r="L276" s="24">
        <f>'A-15'!P229</f>
        <v>22743</v>
      </c>
      <c r="M276" s="24">
        <f>'A-15'!Q229</f>
        <v>16423</v>
      </c>
      <c r="N276" s="24">
        <f>'A-15'!R229</f>
        <v>860</v>
      </c>
      <c r="O276" s="24">
        <f>'A-15'!S229</f>
        <v>0</v>
      </c>
      <c r="P276" s="24">
        <f>'A-15'!U229</f>
        <v>40038</v>
      </c>
    </row>
    <row r="277" spans="1:16" ht="11.25" customHeight="1">
      <c r="A277" s="99">
        <v>2008</v>
      </c>
      <c r="B277" s="24">
        <f>'A-15'!C230</f>
        <v>358</v>
      </c>
      <c r="C277" s="24">
        <f>'A-15'!D230</f>
        <v>8864</v>
      </c>
      <c r="D277" s="24">
        <f>'A-15'!E230</f>
        <v>2099</v>
      </c>
      <c r="E277" s="24">
        <f>'A-15'!F230</f>
        <v>6007</v>
      </c>
      <c r="F277" s="24">
        <f>'A-15'!G230</f>
        <v>3579</v>
      </c>
      <c r="G277" s="24">
        <f>'A-15'!H230</f>
        <v>1</v>
      </c>
      <c r="H277" s="24">
        <f>'A-15'!J230</f>
        <v>20907</v>
      </c>
      <c r="I277" s="24"/>
      <c r="J277" s="24">
        <f>'A-15'!N230</f>
        <v>0</v>
      </c>
      <c r="K277" s="24">
        <f>'A-15'!O230</f>
        <v>18</v>
      </c>
      <c r="L277" s="24">
        <f>'A-15'!P230</f>
        <v>865</v>
      </c>
      <c r="M277" s="24">
        <f>'A-15'!Q230</f>
        <v>3561</v>
      </c>
      <c r="N277" s="24">
        <f>'A-15'!R230</f>
        <v>9820</v>
      </c>
      <c r="O277" s="24">
        <f>'A-15'!S230</f>
        <v>0</v>
      </c>
      <c r="P277" s="24">
        <f>'A-15'!U230</f>
        <v>14264</v>
      </c>
    </row>
    <row r="278" spans="1:16" ht="11.25" customHeight="1">
      <c r="A278" s="99">
        <v>2009</v>
      </c>
      <c r="B278" s="24">
        <f>'A-15'!C231</f>
        <v>1491</v>
      </c>
      <c r="C278" s="24">
        <f>'A-15'!D231</f>
        <v>5828</v>
      </c>
      <c r="D278" s="24">
        <f>'A-15'!E231</f>
        <v>2329</v>
      </c>
      <c r="E278" s="24">
        <f>'A-15'!F231</f>
        <v>2566</v>
      </c>
      <c r="F278" s="24">
        <f>'A-15'!G231</f>
        <v>12</v>
      </c>
      <c r="G278" s="24">
        <f>'A-15'!H231</f>
        <v>25</v>
      </c>
      <c r="H278" s="24">
        <f>'A-15'!J231</f>
        <v>12226</v>
      </c>
      <c r="I278" s="24"/>
      <c r="J278" s="24">
        <f>'A-15'!N231</f>
        <v>0</v>
      </c>
      <c r="K278" s="24">
        <f>'A-15'!O231</f>
        <v>0</v>
      </c>
      <c r="L278" s="24">
        <f>'A-15'!P231</f>
        <v>25422</v>
      </c>
      <c r="M278" s="24">
        <f>'A-15'!Q231</f>
        <v>35141</v>
      </c>
      <c r="N278" s="24">
        <f>'A-15'!R231</f>
        <v>100</v>
      </c>
      <c r="O278" s="24">
        <f>'A-15'!S231</f>
        <v>15</v>
      </c>
      <c r="P278" s="24">
        <f>'A-15'!U231</f>
        <v>60663</v>
      </c>
    </row>
    <row r="279" spans="1:16" ht="11.25" customHeight="1">
      <c r="A279" s="99">
        <v>2010</v>
      </c>
      <c r="B279" s="24">
        <f>'A-15'!C232</f>
        <v>1926</v>
      </c>
      <c r="C279" s="24">
        <f>'A-15'!D232</f>
        <v>12150</v>
      </c>
      <c r="D279" s="24">
        <f>'A-15'!E232</f>
        <v>6943</v>
      </c>
      <c r="E279" s="24">
        <f>'A-15'!F232</f>
        <v>9693</v>
      </c>
      <c r="F279" s="24">
        <f>'A-15'!G232</f>
        <v>1664</v>
      </c>
      <c r="G279" s="24">
        <f>'A-15'!H232</f>
        <v>10</v>
      </c>
      <c r="H279" s="24">
        <f>'A-15'!J232</f>
        <v>32376</v>
      </c>
      <c r="I279" s="24"/>
      <c r="J279" s="24">
        <f>'A-15'!N232</f>
        <v>2</v>
      </c>
      <c r="K279" s="24">
        <f>'A-15'!O232</f>
        <v>63</v>
      </c>
      <c r="L279" s="24">
        <f>'A-15'!P232</f>
        <v>2015</v>
      </c>
      <c r="M279" s="24">
        <f>'A-15'!Q232</f>
        <v>5058</v>
      </c>
      <c r="N279" s="24">
        <f>'A-15'!R232</f>
        <v>4323</v>
      </c>
      <c r="O279" s="24">
        <f>'A-15'!S232</f>
        <v>15</v>
      </c>
      <c r="P279" s="24">
        <f>'A-15'!U232</f>
        <v>11461</v>
      </c>
    </row>
    <row r="280" spans="1:16" ht="11.25" customHeight="1">
      <c r="A280" s="99">
        <v>2011</v>
      </c>
      <c r="B280" s="24">
        <f>'A-15'!C233</f>
        <v>1120</v>
      </c>
      <c r="C280" s="24">
        <f>'A-15'!D233</f>
        <v>8817</v>
      </c>
      <c r="D280" s="24">
        <f>'A-15'!E233</f>
        <v>14761</v>
      </c>
      <c r="E280" s="24">
        <f>'A-15'!F233</f>
        <v>6708</v>
      </c>
      <c r="F280" s="24">
        <f>'A-15'!G233</f>
        <v>418</v>
      </c>
      <c r="G280" s="24">
        <f>'A-15'!H233</f>
        <v>0</v>
      </c>
      <c r="H280" s="24">
        <f>'A-15'!J233</f>
        <v>31824</v>
      </c>
      <c r="I280" s="24"/>
      <c r="J280" s="24">
        <f>'A-15'!N233</f>
        <v>0</v>
      </c>
      <c r="K280" s="24">
        <f>'A-15'!O233</f>
        <v>0</v>
      </c>
      <c r="L280" s="24">
        <f>'A-15'!P233</f>
        <v>2062</v>
      </c>
      <c r="M280" s="24">
        <f>'A-15'!Q233</f>
        <v>4791</v>
      </c>
      <c r="N280" s="24">
        <f>'A-15'!R233</f>
        <v>6711</v>
      </c>
      <c r="O280" s="24">
        <f>'A-15'!S233</f>
        <v>0</v>
      </c>
      <c r="P280" s="24">
        <f>'A-15'!U233</f>
        <v>13564</v>
      </c>
    </row>
    <row r="281" spans="1:16" ht="11.25" customHeight="1">
      <c r="A281" s="99">
        <v>2012</v>
      </c>
      <c r="B281" s="24">
        <f>'A-15'!C234</f>
        <v>4465</v>
      </c>
      <c r="C281" s="24">
        <f>'A-15'!D234</f>
        <v>20696</v>
      </c>
      <c r="D281" s="24">
        <f>'A-15'!E234</f>
        <v>10144</v>
      </c>
      <c r="E281" s="24">
        <f>'A-15'!F234</f>
        <v>14650</v>
      </c>
      <c r="F281" s="24">
        <f>'A-15'!G234</f>
        <v>4834</v>
      </c>
      <c r="G281" s="24">
        <f>'A-15'!H234</f>
        <v>10</v>
      </c>
      <c r="H281" s="24">
        <f>'A-15'!J234</f>
        <v>54789</v>
      </c>
      <c r="I281" s="24"/>
      <c r="J281" s="24">
        <f>'A-15'!N234</f>
        <v>1</v>
      </c>
      <c r="K281" s="24">
        <f>'A-15'!O234</f>
        <v>101</v>
      </c>
      <c r="L281" s="24">
        <f>'A-15'!P234</f>
        <v>2769</v>
      </c>
      <c r="M281" s="24">
        <f>'A-15'!Q234</f>
        <v>18790</v>
      </c>
      <c r="N281" s="24">
        <f>'A-15'!R234</f>
        <v>15869</v>
      </c>
      <c r="O281" s="24">
        <f>'A-15'!S234</f>
        <v>0</v>
      </c>
      <c r="P281" s="24">
        <f>'A-15'!U234</f>
        <v>37530</v>
      </c>
    </row>
    <row r="282" spans="1:16" ht="11.25" customHeight="1">
      <c r="A282" s="99">
        <v>2013</v>
      </c>
      <c r="B282" s="24">
        <f>'A-15'!C235</f>
        <v>11929</v>
      </c>
      <c r="C282" s="24">
        <f>'A-15'!D235</f>
        <v>19103</v>
      </c>
      <c r="D282" s="24">
        <f>'A-15'!E235</f>
        <v>9310</v>
      </c>
      <c r="E282" s="24">
        <f>'A-15'!F235</f>
        <v>7916</v>
      </c>
      <c r="F282" s="24">
        <f>'A-15'!G235</f>
        <v>2902</v>
      </c>
      <c r="G282" s="24">
        <f>'A-15'!H235</f>
        <v>0</v>
      </c>
      <c r="H282" s="24">
        <f>'A-15'!J235</f>
        <v>51160</v>
      </c>
      <c r="I282" s="24"/>
      <c r="J282" s="24">
        <f>'A-15'!N235</f>
        <v>0</v>
      </c>
      <c r="K282" s="24">
        <f>'A-15'!O235</f>
        <v>7</v>
      </c>
      <c r="L282" s="24">
        <f>'A-15'!P235</f>
        <v>7722</v>
      </c>
      <c r="M282" s="24">
        <f>'A-15'!Q235</f>
        <v>36163</v>
      </c>
      <c r="N282" s="24">
        <f>'A-15'!R235</f>
        <v>4376</v>
      </c>
      <c r="O282" s="24">
        <f>'A-15'!S235</f>
        <v>0</v>
      </c>
      <c r="P282" s="24">
        <f>'A-15'!U235</f>
        <v>48268</v>
      </c>
    </row>
    <row r="283" spans="1:16" ht="11.25" customHeight="1">
      <c r="A283" s="99">
        <v>2014</v>
      </c>
      <c r="B283" s="24">
        <f>'A-15'!C236</f>
        <v>12608</v>
      </c>
      <c r="C283" s="24">
        <f>'A-15'!D236</f>
        <v>17002</v>
      </c>
      <c r="D283" s="24">
        <f>'A-15'!E236</f>
        <v>20643</v>
      </c>
      <c r="E283" s="24">
        <f>'A-15'!F236</f>
        <v>8793</v>
      </c>
      <c r="F283" s="24">
        <f>'A-15'!G236</f>
        <v>2715</v>
      </c>
      <c r="G283" s="24">
        <f>'A-15'!H236</f>
        <v>0</v>
      </c>
      <c r="H283" s="24">
        <f>'A-15'!J236</f>
        <v>61761</v>
      </c>
      <c r="I283" s="24"/>
      <c r="J283" s="24">
        <f>'A-15'!N236</f>
        <v>0</v>
      </c>
      <c r="K283" s="24">
        <f>'A-15'!O236</f>
        <v>30</v>
      </c>
      <c r="L283" s="24">
        <f>'A-15'!P236</f>
        <v>10405</v>
      </c>
      <c r="M283" s="24">
        <f>'A-15'!Q236</f>
        <v>39231</v>
      </c>
      <c r="N283" s="24">
        <f>'A-15'!R236</f>
        <v>6369</v>
      </c>
      <c r="O283" s="24">
        <f>'A-15'!S236</f>
        <v>0</v>
      </c>
      <c r="P283" s="24">
        <f>'A-15'!U236</f>
        <v>56035</v>
      </c>
    </row>
    <row r="284" spans="1:16" ht="11.25" customHeight="1">
      <c r="A284" s="99">
        <v>2015</v>
      </c>
      <c r="B284" s="24">
        <f>'A-15'!C237</f>
        <v>7315</v>
      </c>
      <c r="C284" s="24">
        <f>'A-15'!D237</f>
        <v>23697</v>
      </c>
      <c r="D284" s="24">
        <f>'A-15'!E237</f>
        <v>23110</v>
      </c>
      <c r="E284" s="24">
        <f>'A-15'!F237</f>
        <v>4031</v>
      </c>
      <c r="F284" s="24">
        <f>'A-15'!G237</f>
        <v>786</v>
      </c>
      <c r="G284" s="24">
        <f>'A-15'!H237</f>
        <v>0</v>
      </c>
      <c r="H284" s="24">
        <f>'A-15'!J237</f>
        <v>58939</v>
      </c>
      <c r="I284" s="24"/>
      <c r="J284" s="24">
        <f>'A-15'!N237</f>
        <v>0</v>
      </c>
      <c r="K284" s="24">
        <f>'A-15'!O237</f>
        <v>3</v>
      </c>
      <c r="L284" s="24">
        <f>'A-15'!P237</f>
        <v>1994</v>
      </c>
      <c r="M284" s="24">
        <f>'A-15'!Q237</f>
        <v>1307</v>
      </c>
      <c r="N284" s="24">
        <f>'A-15'!R237</f>
        <v>706</v>
      </c>
      <c r="O284" s="24">
        <f>'A-15'!S237</f>
        <v>0</v>
      </c>
      <c r="P284" s="24">
        <f>'A-15'!U237</f>
        <v>4010</v>
      </c>
    </row>
    <row r="285" spans="1:16" ht="11.25" customHeight="1">
      <c r="A285" s="99">
        <v>2016</v>
      </c>
      <c r="B285" s="24">
        <f>'A-15'!C238</f>
        <v>2905</v>
      </c>
      <c r="C285" s="24">
        <f>'A-15'!D238</f>
        <v>13752</v>
      </c>
      <c r="D285" s="24">
        <f>'A-15'!E238</f>
        <v>5129</v>
      </c>
      <c r="E285" s="24">
        <f>'A-15'!F238</f>
        <v>1310</v>
      </c>
      <c r="F285" s="24">
        <f>'A-15'!G238</f>
        <v>5</v>
      </c>
      <c r="G285" s="24">
        <f>'A-15'!H238</f>
        <v>0</v>
      </c>
      <c r="H285" s="24">
        <f>'A-15'!J238</f>
        <v>23101</v>
      </c>
      <c r="I285" s="24"/>
      <c r="J285" s="24">
        <f>'A-15'!N238</f>
        <v>0</v>
      </c>
      <c r="K285" s="24">
        <f>'A-15'!O238</f>
        <v>0</v>
      </c>
      <c r="L285" s="24">
        <f>'A-15'!P238</f>
        <v>29</v>
      </c>
      <c r="M285" s="24">
        <f>'A-15'!Q238</f>
        <v>15</v>
      </c>
      <c r="N285" s="24">
        <f>'A-15'!R238</f>
        <v>0</v>
      </c>
      <c r="O285" s="24">
        <f>'A-15'!S238</f>
        <v>1</v>
      </c>
      <c r="P285" s="24">
        <f>'A-15'!U238</f>
        <v>44</v>
      </c>
    </row>
    <row r="286" spans="1:16" ht="11.25" customHeight="1">
      <c r="A286" s="99">
        <v>2017</v>
      </c>
      <c r="B286" s="24">
        <f>'A-15'!C239</f>
        <v>1253</v>
      </c>
      <c r="C286" s="24">
        <f>'A-15'!D239</f>
        <v>2039</v>
      </c>
      <c r="D286" s="24">
        <f>'A-15'!E239</f>
        <v>15772</v>
      </c>
      <c r="E286" s="24">
        <f>'A-15'!F239</f>
        <v>4605</v>
      </c>
      <c r="F286" s="24">
        <f>'A-15'!G239</f>
        <v>745</v>
      </c>
      <c r="G286" s="24">
        <f>'A-15'!H239</f>
        <v>0</v>
      </c>
      <c r="H286" s="24">
        <f>'A-15'!J239</f>
        <v>24414</v>
      </c>
      <c r="I286" s="24"/>
      <c r="J286" s="24">
        <f>'A-15'!N239</f>
        <v>0</v>
      </c>
      <c r="K286" s="24">
        <f>'A-15'!O239</f>
        <v>0</v>
      </c>
      <c r="L286" s="24">
        <f>'A-15'!P239</f>
        <v>1003</v>
      </c>
      <c r="M286" s="24">
        <f>'A-15'!Q239</f>
        <v>7150</v>
      </c>
      <c r="N286" s="24">
        <f>'A-15'!R239</f>
        <v>5197</v>
      </c>
      <c r="O286" s="24">
        <f>'A-15'!S239</f>
        <v>0</v>
      </c>
      <c r="P286" s="24">
        <f>'A-15'!U239</f>
        <v>13350</v>
      </c>
    </row>
    <row r="287" spans="1:16" ht="11.25" customHeight="1">
      <c r="A287" s="122">
        <v>2018</v>
      </c>
      <c r="B287" s="24">
        <f>'A-15'!C240</f>
        <v>1319</v>
      </c>
      <c r="C287" s="24">
        <f>'A-15'!D240</f>
        <v>11756</v>
      </c>
      <c r="D287" s="24">
        <f>'A-15'!E240</f>
        <v>8486</v>
      </c>
      <c r="E287" s="24">
        <f>'A-15'!F240</f>
        <v>1883</v>
      </c>
      <c r="F287" s="24">
        <f>'A-15'!G240</f>
        <v>459</v>
      </c>
      <c r="G287" s="24">
        <f>'A-15'!H240</f>
        <v>0</v>
      </c>
      <c r="H287" s="24">
        <f>'A-15'!J240</f>
        <v>23903</v>
      </c>
      <c r="J287" s="24">
        <f>'A-15'!N240</f>
        <v>0</v>
      </c>
      <c r="K287" s="24">
        <f>'A-15'!O240</f>
        <v>15</v>
      </c>
      <c r="L287" s="24">
        <f>'A-15'!P240</f>
        <v>1751</v>
      </c>
      <c r="M287" s="24">
        <f>'A-15'!Q240</f>
        <v>5512</v>
      </c>
      <c r="N287" s="24">
        <f>'A-15'!R240</f>
        <v>4524</v>
      </c>
      <c r="O287" s="24">
        <f>'A-15'!S240</f>
        <v>0</v>
      </c>
      <c r="P287" s="24">
        <f>'A-15'!U240</f>
        <v>11802</v>
      </c>
    </row>
    <row r="288" spans="1:16" ht="11.25" customHeight="1">
      <c r="A288" s="122">
        <v>2019</v>
      </c>
      <c r="B288" s="24">
        <f>'A-15'!C241</f>
        <v>809</v>
      </c>
      <c r="C288" s="24">
        <f>'A-15'!D241</f>
        <v>2110</v>
      </c>
      <c r="D288" s="24">
        <f>'A-15'!E241</f>
        <v>12314</v>
      </c>
      <c r="E288" s="24">
        <f>'A-15'!F241</f>
        <v>2789</v>
      </c>
      <c r="F288" s="24">
        <f>'A-15'!G241</f>
        <v>299</v>
      </c>
      <c r="G288" s="24">
        <f>'A-15'!H241</f>
        <v>0</v>
      </c>
      <c r="H288" s="24">
        <f>'A-15'!J241</f>
        <v>18321</v>
      </c>
      <c r="J288" s="24">
        <f>'A-15'!N241</f>
        <v>0</v>
      </c>
      <c r="K288" s="24">
        <f>'A-15'!O241</f>
        <v>0</v>
      </c>
      <c r="L288" s="24">
        <f>'A-15'!P241</f>
        <v>14414</v>
      </c>
      <c r="M288" s="24">
        <f>'A-15'!Q241</f>
        <v>33818</v>
      </c>
      <c r="N288" s="24">
        <f>'A-15'!R241</f>
        <v>7273</v>
      </c>
      <c r="O288" s="24">
        <f>'A-15'!S241</f>
        <v>0</v>
      </c>
      <c r="P288" s="24">
        <f>'A-15'!U241</f>
        <v>55505</v>
      </c>
    </row>
    <row r="289" spans="1:16" ht="11.25" customHeight="1">
      <c r="A289" s="122">
        <v>2020</v>
      </c>
      <c r="B289" s="24">
        <f>'A-15'!C242</f>
        <v>8</v>
      </c>
      <c r="C289" s="24">
        <f>'A-15'!D242</f>
        <v>23</v>
      </c>
      <c r="D289" s="24">
        <f>'A-15'!E242</f>
        <v>622</v>
      </c>
      <c r="E289" s="24">
        <f>'A-15'!F242</f>
        <v>1718</v>
      </c>
      <c r="F289" s="24">
        <f>'A-15'!G242</f>
        <v>66</v>
      </c>
      <c r="G289" s="24">
        <f>'A-15'!H242</f>
        <v>0</v>
      </c>
      <c r="H289" s="24">
        <f>'A-15'!J242</f>
        <v>2437</v>
      </c>
      <c r="J289" s="24">
        <f>'A-15'!N242</f>
        <v>0</v>
      </c>
      <c r="K289" s="24">
        <f>'A-15'!O242</f>
        <v>0</v>
      </c>
      <c r="L289" s="24">
        <f>'A-15'!P242</f>
        <v>587</v>
      </c>
      <c r="M289" s="24">
        <f>'A-15'!Q242</f>
        <v>10864</v>
      </c>
      <c r="N289" s="24">
        <f>'A-15'!R242</f>
        <v>2940</v>
      </c>
      <c r="O289" s="24">
        <f>'A-15'!S242</f>
        <v>0</v>
      </c>
      <c r="P289" s="24">
        <f>'A-15'!U242</f>
        <v>14391</v>
      </c>
    </row>
    <row r="290" spans="1:16" ht="11.25" customHeight="1">
      <c r="A290" s="122" t="s">
        <v>317</v>
      </c>
      <c r="B290" s="24">
        <f>'A-15'!C243</f>
        <v>421</v>
      </c>
      <c r="C290" s="24">
        <f>'A-15'!D243</f>
        <v>2144</v>
      </c>
      <c r="D290" s="24">
        <f>'A-15'!E243</f>
        <v>3761</v>
      </c>
      <c r="E290" s="24">
        <f>'A-15'!F243</f>
        <v>1668</v>
      </c>
      <c r="F290" s="24">
        <f>'A-15'!G243</f>
        <v>233</v>
      </c>
      <c r="G290" s="24">
        <f>'A-15'!H243</f>
        <v>0</v>
      </c>
      <c r="H290" s="24">
        <f>'A-15'!J243</f>
        <v>8227</v>
      </c>
      <c r="J290" s="24">
        <f>'A-15'!N243</f>
        <v>0</v>
      </c>
      <c r="K290" s="24">
        <f>'A-15'!O243</f>
        <v>0</v>
      </c>
      <c r="L290" s="24">
        <f>'A-15'!P243</f>
        <v>1039</v>
      </c>
      <c r="M290" s="24">
        <f>'A-15'!Q243</f>
        <v>14995</v>
      </c>
      <c r="N290" s="24">
        <f>'A-15'!R243</f>
        <v>10377</v>
      </c>
      <c r="O290" s="24">
        <f>'A-15'!S243</f>
        <v>0</v>
      </c>
      <c r="P290" s="24">
        <f>'A-15'!U243</f>
        <v>26411</v>
      </c>
    </row>
    <row r="291" spans="1:16" ht="11.25" customHeight="1"/>
    <row r="292" spans="1:16" ht="11.25" customHeight="1">
      <c r="A292" s="97" t="s">
        <v>232</v>
      </c>
      <c r="B292" s="89"/>
      <c r="C292" s="89"/>
      <c r="D292" s="89"/>
      <c r="E292" s="89"/>
    </row>
    <row r="293" spans="1:16" ht="11.25" customHeight="1">
      <c r="A293" s="99">
        <v>1976</v>
      </c>
      <c r="B293" s="24">
        <f t="shared" ref="B293:H302" si="82">IF(AND(B245="-",B197="-"),"-",SUM(B245,B197))</f>
        <v>84539</v>
      </c>
      <c r="C293" s="24">
        <f t="shared" si="82"/>
        <v>107403</v>
      </c>
      <c r="D293" s="24">
        <f t="shared" si="82"/>
        <v>94491</v>
      </c>
      <c r="E293" s="24">
        <f t="shared" si="82"/>
        <v>60499</v>
      </c>
      <c r="F293" s="24">
        <f t="shared" si="82"/>
        <v>23999</v>
      </c>
      <c r="G293" s="24">
        <f t="shared" si="82"/>
        <v>211</v>
      </c>
      <c r="H293" s="24">
        <f t="shared" si="82"/>
        <v>371141</v>
      </c>
      <c r="J293" s="24">
        <f t="shared" ref="J293:P302" si="83">IF(AND(J245="-",J197="-"),"-",SUM(J245,J197))</f>
        <v>0</v>
      </c>
      <c r="K293" s="24">
        <f t="shared" si="83"/>
        <v>299310</v>
      </c>
      <c r="L293" s="24">
        <f t="shared" si="83"/>
        <v>698290</v>
      </c>
      <c r="M293" s="24">
        <f t="shared" si="83"/>
        <v>346233</v>
      </c>
      <c r="N293" s="24">
        <f t="shared" si="83"/>
        <v>185652</v>
      </c>
      <c r="O293" s="24">
        <f t="shared" si="83"/>
        <v>1763</v>
      </c>
      <c r="P293" s="24">
        <f t="shared" si="83"/>
        <v>1427067</v>
      </c>
    </row>
    <row r="294" spans="1:16" ht="11.25" customHeight="1">
      <c r="A294" s="99">
        <v>1977</v>
      </c>
      <c r="B294" s="24">
        <f t="shared" si="82"/>
        <v>69580</v>
      </c>
      <c r="C294" s="24">
        <f t="shared" si="82"/>
        <v>39512</v>
      </c>
      <c r="D294" s="24">
        <f t="shared" si="82"/>
        <v>67959</v>
      </c>
      <c r="E294" s="24">
        <f t="shared" si="82"/>
        <v>36570</v>
      </c>
      <c r="F294" s="24">
        <f t="shared" si="82"/>
        <v>30147</v>
      </c>
      <c r="G294" s="24">
        <f t="shared" si="82"/>
        <v>705</v>
      </c>
      <c r="H294" s="24">
        <f t="shared" si="82"/>
        <v>244465</v>
      </c>
      <c r="J294" s="24">
        <f t="shared" si="83"/>
        <v>262</v>
      </c>
      <c r="K294" s="24">
        <f t="shared" si="83"/>
        <v>30101</v>
      </c>
      <c r="L294" s="24">
        <f t="shared" si="83"/>
        <v>410634</v>
      </c>
      <c r="M294" s="24">
        <f t="shared" si="83"/>
        <v>193014</v>
      </c>
      <c r="N294" s="24">
        <f t="shared" si="83"/>
        <v>101626</v>
      </c>
      <c r="O294" s="24">
        <f t="shared" si="83"/>
        <v>378</v>
      </c>
      <c r="P294" s="24">
        <f t="shared" si="83"/>
        <v>736011</v>
      </c>
    </row>
    <row r="295" spans="1:16" ht="11.25" customHeight="1">
      <c r="A295" s="99">
        <v>1978</v>
      </c>
      <c r="B295" s="24">
        <f t="shared" si="82"/>
        <v>26716</v>
      </c>
      <c r="C295" s="24">
        <f t="shared" si="82"/>
        <v>31216</v>
      </c>
      <c r="D295" s="24">
        <f t="shared" si="82"/>
        <v>52790</v>
      </c>
      <c r="E295" s="24">
        <f t="shared" si="82"/>
        <v>27705</v>
      </c>
      <c r="F295" s="24">
        <f t="shared" si="82"/>
        <v>10276</v>
      </c>
      <c r="G295" s="24">
        <f t="shared" si="82"/>
        <v>1992</v>
      </c>
      <c r="H295" s="24">
        <f t="shared" si="82"/>
        <v>150669</v>
      </c>
      <c r="J295" s="24">
        <f t="shared" si="83"/>
        <v>231</v>
      </c>
      <c r="K295" s="24">
        <f t="shared" si="83"/>
        <v>21245</v>
      </c>
      <c r="L295" s="24">
        <f t="shared" si="83"/>
        <v>341104</v>
      </c>
      <c r="M295" s="24">
        <f t="shared" si="83"/>
        <v>121089</v>
      </c>
      <c r="N295" s="24">
        <f t="shared" si="83"/>
        <v>124053</v>
      </c>
      <c r="O295" s="24">
        <f t="shared" si="83"/>
        <v>1100</v>
      </c>
      <c r="P295" s="24">
        <f t="shared" si="83"/>
        <v>608814</v>
      </c>
    </row>
    <row r="296" spans="1:16" ht="11.25" customHeight="1">
      <c r="A296" s="99">
        <v>1979</v>
      </c>
      <c r="B296" s="24">
        <f t="shared" si="82"/>
        <v>48006</v>
      </c>
      <c r="C296" s="24">
        <f t="shared" si="82"/>
        <v>1037</v>
      </c>
      <c r="D296" s="24">
        <f t="shared" si="82"/>
        <v>38561</v>
      </c>
      <c r="E296" s="24">
        <f t="shared" si="82"/>
        <v>42024</v>
      </c>
      <c r="F296" s="24">
        <f t="shared" si="82"/>
        <v>1014</v>
      </c>
      <c r="G296" s="24">
        <f t="shared" si="82"/>
        <v>13</v>
      </c>
      <c r="H296" s="24">
        <f t="shared" si="82"/>
        <v>130651</v>
      </c>
      <c r="J296" s="24">
        <f t="shared" si="83"/>
        <v>1058</v>
      </c>
      <c r="K296" s="24">
        <f t="shared" si="83"/>
        <v>4788</v>
      </c>
      <c r="L296" s="24">
        <f t="shared" si="83"/>
        <v>394493</v>
      </c>
      <c r="M296" s="24">
        <f t="shared" si="83"/>
        <v>283072</v>
      </c>
      <c r="N296" s="24">
        <f t="shared" si="83"/>
        <v>5290</v>
      </c>
      <c r="O296" s="24">
        <f t="shared" si="83"/>
        <v>4</v>
      </c>
      <c r="P296" s="24">
        <f t="shared" si="83"/>
        <v>688701</v>
      </c>
    </row>
    <row r="297" spans="1:16" ht="11.25" customHeight="1">
      <c r="A297" s="99">
        <v>1980</v>
      </c>
      <c r="B297" s="24">
        <f t="shared" si="82"/>
        <v>49045</v>
      </c>
      <c r="C297" s="24">
        <f t="shared" si="82"/>
        <v>2959</v>
      </c>
      <c r="D297" s="24">
        <f t="shared" si="82"/>
        <v>45546</v>
      </c>
      <c r="E297" s="24">
        <f t="shared" si="82"/>
        <v>24653</v>
      </c>
      <c r="F297" s="24">
        <f t="shared" si="82"/>
        <v>596</v>
      </c>
      <c r="G297" s="24">
        <f t="shared" si="82"/>
        <v>20</v>
      </c>
      <c r="H297" s="24">
        <f t="shared" si="82"/>
        <v>122804</v>
      </c>
      <c r="J297" s="24">
        <f t="shared" si="83"/>
        <v>2159</v>
      </c>
      <c r="K297" s="24">
        <f t="shared" si="83"/>
        <v>25295</v>
      </c>
      <c r="L297" s="24">
        <f t="shared" si="83"/>
        <v>204819</v>
      </c>
      <c r="M297" s="24">
        <f t="shared" si="83"/>
        <v>143944</v>
      </c>
      <c r="N297" s="24">
        <f t="shared" si="83"/>
        <v>10842</v>
      </c>
      <c r="O297" s="24">
        <f t="shared" si="83"/>
        <v>329</v>
      </c>
      <c r="P297" s="24">
        <f t="shared" si="83"/>
        <v>387363</v>
      </c>
    </row>
    <row r="298" spans="1:16" ht="11.25" customHeight="1">
      <c r="A298" s="99">
        <v>1981</v>
      </c>
      <c r="B298" s="24">
        <f t="shared" si="82"/>
        <v>54345</v>
      </c>
      <c r="C298" s="24">
        <f t="shared" si="82"/>
        <v>5055</v>
      </c>
      <c r="D298" s="24">
        <f t="shared" si="82"/>
        <v>28916</v>
      </c>
      <c r="E298" s="24">
        <f t="shared" si="82"/>
        <v>19388</v>
      </c>
      <c r="F298" s="24">
        <f t="shared" si="82"/>
        <v>270</v>
      </c>
      <c r="G298" s="24">
        <f t="shared" si="82"/>
        <v>267</v>
      </c>
      <c r="H298" s="24">
        <f t="shared" si="82"/>
        <v>107983</v>
      </c>
      <c r="J298" s="24">
        <f t="shared" si="83"/>
        <v>1284</v>
      </c>
      <c r="K298" s="24">
        <f t="shared" si="83"/>
        <v>7598</v>
      </c>
      <c r="L298" s="24">
        <f t="shared" si="83"/>
        <v>258580</v>
      </c>
      <c r="M298" s="24">
        <f t="shared" si="83"/>
        <v>146571</v>
      </c>
      <c r="N298" s="24">
        <f t="shared" si="83"/>
        <v>13717</v>
      </c>
      <c r="O298" s="24">
        <f t="shared" si="83"/>
        <v>13</v>
      </c>
      <c r="P298" s="24">
        <f t="shared" si="83"/>
        <v>427750</v>
      </c>
    </row>
    <row r="299" spans="1:16" ht="11.25" customHeight="1">
      <c r="A299" s="99">
        <v>1982</v>
      </c>
      <c r="B299" s="24">
        <f t="shared" si="82"/>
        <v>64025</v>
      </c>
      <c r="C299" s="24">
        <f t="shared" si="82"/>
        <v>12074</v>
      </c>
      <c r="D299" s="24">
        <f t="shared" si="82"/>
        <v>67585</v>
      </c>
      <c r="E299" s="24">
        <f t="shared" si="82"/>
        <v>2331</v>
      </c>
      <c r="F299" s="24">
        <f t="shared" si="82"/>
        <v>2656</v>
      </c>
      <c r="G299" s="24">
        <f t="shared" si="82"/>
        <v>223</v>
      </c>
      <c r="H299" s="24">
        <f t="shared" si="82"/>
        <v>148671</v>
      </c>
      <c r="J299" s="24">
        <f t="shared" si="83"/>
        <v>34</v>
      </c>
      <c r="K299" s="24">
        <f t="shared" si="83"/>
        <v>22681</v>
      </c>
      <c r="L299" s="24">
        <f t="shared" si="83"/>
        <v>264000</v>
      </c>
      <c r="M299" s="24">
        <f t="shared" si="83"/>
        <v>60158</v>
      </c>
      <c r="N299" s="24">
        <f t="shared" si="83"/>
        <v>38451</v>
      </c>
      <c r="O299" s="24">
        <f t="shared" si="83"/>
        <v>57</v>
      </c>
      <c r="P299" s="24">
        <f t="shared" si="83"/>
        <v>385324</v>
      </c>
    </row>
    <row r="300" spans="1:16" ht="11.25" customHeight="1">
      <c r="A300" s="99">
        <v>1983</v>
      </c>
      <c r="B300" s="24">
        <f t="shared" si="82"/>
        <v>35038</v>
      </c>
      <c r="C300" s="24">
        <f t="shared" si="82"/>
        <v>8941</v>
      </c>
      <c r="D300" s="24">
        <f t="shared" si="82"/>
        <v>14471</v>
      </c>
      <c r="E300" s="24">
        <f t="shared" si="82"/>
        <v>2223</v>
      </c>
      <c r="F300" s="24">
        <f t="shared" si="82"/>
        <v>789</v>
      </c>
      <c r="G300" s="24">
        <f t="shared" si="82"/>
        <v>65</v>
      </c>
      <c r="H300" s="24">
        <f t="shared" si="82"/>
        <v>61462</v>
      </c>
      <c r="J300" s="24">
        <f t="shared" si="83"/>
        <v>95</v>
      </c>
      <c r="K300" s="24">
        <f t="shared" si="83"/>
        <v>4987</v>
      </c>
      <c r="L300" s="24">
        <f t="shared" si="83"/>
        <v>9415</v>
      </c>
      <c r="M300" s="24">
        <f t="shared" si="83"/>
        <v>28310</v>
      </c>
      <c r="N300" s="24">
        <f t="shared" si="83"/>
        <v>23663</v>
      </c>
      <c r="O300" s="24">
        <f t="shared" si="83"/>
        <v>17</v>
      </c>
      <c r="P300" s="24">
        <f t="shared" si="83"/>
        <v>66470</v>
      </c>
    </row>
    <row r="301" spans="1:16" ht="11.25" customHeight="1">
      <c r="A301" s="99">
        <v>1984</v>
      </c>
      <c r="B301" s="24">
        <f t="shared" si="82"/>
        <v>10437</v>
      </c>
      <c r="C301" s="24">
        <f t="shared" si="82"/>
        <v>517</v>
      </c>
      <c r="D301" s="24">
        <f t="shared" si="82"/>
        <v>751</v>
      </c>
      <c r="E301" s="24">
        <f t="shared" si="82"/>
        <v>3180</v>
      </c>
      <c r="F301" s="24">
        <f t="shared" si="82"/>
        <v>0</v>
      </c>
      <c r="G301" s="24">
        <f t="shared" si="82"/>
        <v>147</v>
      </c>
      <c r="H301" s="24">
        <f t="shared" si="82"/>
        <v>14885</v>
      </c>
      <c r="J301" s="24">
        <f t="shared" si="83"/>
        <v>0</v>
      </c>
      <c r="K301" s="24">
        <f t="shared" si="83"/>
        <v>0</v>
      </c>
      <c r="L301" s="24">
        <f t="shared" si="83"/>
        <v>19715</v>
      </c>
      <c r="M301" s="24">
        <f t="shared" si="83"/>
        <v>60511</v>
      </c>
      <c r="N301" s="24">
        <f t="shared" si="83"/>
        <v>0</v>
      </c>
      <c r="O301" s="24">
        <f t="shared" si="83"/>
        <v>147</v>
      </c>
      <c r="P301" s="24">
        <f t="shared" si="83"/>
        <v>80226</v>
      </c>
    </row>
    <row r="302" spans="1:16" ht="11.25" customHeight="1">
      <c r="A302" s="99">
        <v>1985</v>
      </c>
      <c r="B302" s="24">
        <f t="shared" si="82"/>
        <v>28890</v>
      </c>
      <c r="C302" s="24">
        <f t="shared" si="82"/>
        <v>386</v>
      </c>
      <c r="D302" s="24">
        <f t="shared" si="82"/>
        <v>13403</v>
      </c>
      <c r="E302" s="24">
        <f t="shared" si="82"/>
        <v>6787</v>
      </c>
      <c r="F302" s="24">
        <f t="shared" si="82"/>
        <v>1941</v>
      </c>
      <c r="G302" s="24">
        <f t="shared" si="82"/>
        <v>302</v>
      </c>
      <c r="H302" s="24">
        <f t="shared" si="82"/>
        <v>51410</v>
      </c>
      <c r="J302" s="24">
        <f t="shared" si="83"/>
        <v>1</v>
      </c>
      <c r="K302" s="24">
        <f t="shared" si="83"/>
        <v>1911</v>
      </c>
      <c r="L302" s="24">
        <f t="shared" si="83"/>
        <v>148005</v>
      </c>
      <c r="M302" s="24">
        <f t="shared" si="83"/>
        <v>61996</v>
      </c>
      <c r="N302" s="24">
        <f t="shared" si="83"/>
        <v>23613</v>
      </c>
      <c r="O302" s="24">
        <f t="shared" si="83"/>
        <v>37</v>
      </c>
      <c r="P302" s="24">
        <f t="shared" si="83"/>
        <v>235526</v>
      </c>
    </row>
    <row r="303" spans="1:16" ht="11.25" customHeight="1">
      <c r="A303" s="99">
        <v>1986</v>
      </c>
      <c r="B303" s="24">
        <f t="shared" ref="B303:H312" si="84">IF(AND(B255="-",B207="-"),"-",SUM(B255,B207))</f>
        <v>35089</v>
      </c>
      <c r="C303" s="24">
        <f t="shared" si="84"/>
        <v>4624</v>
      </c>
      <c r="D303" s="24">
        <f t="shared" si="84"/>
        <v>3688</v>
      </c>
      <c r="E303" s="24">
        <f t="shared" si="84"/>
        <v>7994</v>
      </c>
      <c r="F303" s="24">
        <f t="shared" si="84"/>
        <v>0</v>
      </c>
      <c r="G303" s="24">
        <f t="shared" si="84"/>
        <v>0</v>
      </c>
      <c r="H303" s="24">
        <f t="shared" si="84"/>
        <v>51395</v>
      </c>
      <c r="J303" s="24">
        <f t="shared" ref="J303:P312" si="85">IF(AND(J255="-",J207="-"),"-",SUM(J255,J207))</f>
        <v>0</v>
      </c>
      <c r="K303" s="24">
        <f t="shared" si="85"/>
        <v>21166</v>
      </c>
      <c r="L303" s="24">
        <f t="shared" si="85"/>
        <v>51622</v>
      </c>
      <c r="M303" s="24">
        <f t="shared" si="85"/>
        <v>132810</v>
      </c>
      <c r="N303" s="24">
        <f t="shared" si="85"/>
        <v>13</v>
      </c>
      <c r="O303" s="24">
        <f t="shared" si="85"/>
        <v>0</v>
      </c>
      <c r="P303" s="24">
        <f t="shared" si="85"/>
        <v>205611</v>
      </c>
    </row>
    <row r="304" spans="1:16" ht="11.25" customHeight="1">
      <c r="A304" s="99">
        <v>1987</v>
      </c>
      <c r="B304" s="24">
        <f t="shared" si="84"/>
        <v>46522</v>
      </c>
      <c r="C304" s="24">
        <f t="shared" si="84"/>
        <v>0</v>
      </c>
      <c r="D304" s="24">
        <f t="shared" si="84"/>
        <v>23500</v>
      </c>
      <c r="E304" s="24">
        <f t="shared" si="84"/>
        <v>7271</v>
      </c>
      <c r="F304" s="24">
        <f t="shared" si="84"/>
        <v>0</v>
      </c>
      <c r="G304" s="24">
        <f t="shared" si="84"/>
        <v>52</v>
      </c>
      <c r="H304" s="24">
        <f t="shared" si="84"/>
        <v>77293</v>
      </c>
      <c r="J304" s="24">
        <f t="shared" si="85"/>
        <v>16</v>
      </c>
      <c r="K304" s="24">
        <f t="shared" si="85"/>
        <v>0</v>
      </c>
      <c r="L304" s="24">
        <f t="shared" si="85"/>
        <v>100366</v>
      </c>
      <c r="M304" s="24">
        <f t="shared" si="85"/>
        <v>44040</v>
      </c>
      <c r="N304" s="24">
        <f t="shared" si="85"/>
        <v>0</v>
      </c>
      <c r="O304" s="24">
        <f t="shared" si="85"/>
        <v>33</v>
      </c>
      <c r="P304" s="24">
        <f t="shared" si="85"/>
        <v>144422</v>
      </c>
    </row>
    <row r="305" spans="1:16" ht="11.25" customHeight="1">
      <c r="A305" s="99">
        <v>1988</v>
      </c>
      <c r="B305" s="24">
        <f t="shared" si="84"/>
        <v>50361</v>
      </c>
      <c r="C305" s="24">
        <f t="shared" si="84"/>
        <v>40664</v>
      </c>
      <c r="D305" s="24">
        <f t="shared" si="84"/>
        <v>6436</v>
      </c>
      <c r="E305" s="24">
        <f t="shared" si="84"/>
        <v>7067</v>
      </c>
      <c r="F305" s="24">
        <f t="shared" si="84"/>
        <v>1968</v>
      </c>
      <c r="G305" s="24">
        <f t="shared" si="84"/>
        <v>0</v>
      </c>
      <c r="H305" s="24">
        <f t="shared" si="84"/>
        <v>106496</v>
      </c>
      <c r="J305" s="24">
        <f t="shared" si="85"/>
        <v>0</v>
      </c>
      <c r="K305" s="24">
        <f t="shared" si="85"/>
        <v>114</v>
      </c>
      <c r="L305" s="24">
        <f t="shared" si="85"/>
        <v>12194</v>
      </c>
      <c r="M305" s="24">
        <f t="shared" si="85"/>
        <v>48084</v>
      </c>
      <c r="N305" s="24">
        <f t="shared" si="85"/>
        <v>10167</v>
      </c>
      <c r="O305" s="24">
        <f t="shared" si="85"/>
        <v>0</v>
      </c>
      <c r="P305" s="24">
        <f t="shared" si="85"/>
        <v>70559</v>
      </c>
    </row>
    <row r="306" spans="1:16" ht="11.25" customHeight="1">
      <c r="A306" s="99">
        <v>1989</v>
      </c>
      <c r="B306" s="24">
        <f t="shared" si="84"/>
        <v>30628</v>
      </c>
      <c r="C306" s="24">
        <f t="shared" si="84"/>
        <v>23490</v>
      </c>
      <c r="D306" s="24">
        <f t="shared" si="84"/>
        <v>10111</v>
      </c>
      <c r="E306" s="24">
        <f t="shared" si="84"/>
        <v>7508</v>
      </c>
      <c r="F306" s="24">
        <f t="shared" si="84"/>
        <v>2637</v>
      </c>
      <c r="G306" s="24">
        <f t="shared" si="84"/>
        <v>0</v>
      </c>
      <c r="H306" s="24">
        <f t="shared" si="84"/>
        <v>74374</v>
      </c>
      <c r="J306" s="24">
        <f t="shared" si="85"/>
        <v>1</v>
      </c>
      <c r="K306" s="24">
        <f t="shared" si="85"/>
        <v>0</v>
      </c>
      <c r="L306" s="24">
        <f t="shared" si="85"/>
        <v>31817</v>
      </c>
      <c r="M306" s="24">
        <f t="shared" si="85"/>
        <v>85597</v>
      </c>
      <c r="N306" s="24">
        <f t="shared" si="85"/>
        <v>44755</v>
      </c>
      <c r="O306" s="24">
        <f t="shared" si="85"/>
        <v>0</v>
      </c>
      <c r="P306" s="24">
        <f t="shared" si="85"/>
        <v>162170</v>
      </c>
    </row>
    <row r="307" spans="1:16" ht="11.25" customHeight="1">
      <c r="A307" s="99">
        <v>1990</v>
      </c>
      <c r="B307" s="24">
        <f t="shared" si="84"/>
        <v>31133</v>
      </c>
      <c r="C307" s="24">
        <f t="shared" si="84"/>
        <v>9965</v>
      </c>
      <c r="D307" s="24">
        <f t="shared" si="84"/>
        <v>11270</v>
      </c>
      <c r="E307" s="24">
        <f t="shared" si="84"/>
        <v>8009</v>
      </c>
      <c r="F307" s="24">
        <f t="shared" si="84"/>
        <v>5050</v>
      </c>
      <c r="G307" s="24">
        <f t="shared" si="84"/>
        <v>79</v>
      </c>
      <c r="H307" s="24">
        <f t="shared" si="84"/>
        <v>65498</v>
      </c>
      <c r="J307" s="24">
        <f t="shared" si="85"/>
        <v>0</v>
      </c>
      <c r="K307" s="24">
        <f t="shared" si="85"/>
        <v>1</v>
      </c>
      <c r="L307" s="24">
        <f t="shared" si="85"/>
        <v>20680</v>
      </c>
      <c r="M307" s="24">
        <f t="shared" si="85"/>
        <v>132468</v>
      </c>
      <c r="N307" s="24">
        <f t="shared" si="85"/>
        <v>38948</v>
      </c>
      <c r="O307" s="24">
        <f t="shared" si="85"/>
        <v>305</v>
      </c>
      <c r="P307" s="24">
        <f t="shared" si="85"/>
        <v>192401</v>
      </c>
    </row>
    <row r="308" spans="1:16" ht="11.25" customHeight="1">
      <c r="A308" s="99">
        <v>1991</v>
      </c>
      <c r="B308" s="24">
        <f t="shared" si="84"/>
        <v>19271</v>
      </c>
      <c r="C308" s="24">
        <f t="shared" si="84"/>
        <v>18493</v>
      </c>
      <c r="D308" s="24">
        <f t="shared" si="84"/>
        <v>6875</v>
      </c>
      <c r="E308" s="24">
        <f t="shared" si="84"/>
        <v>6078</v>
      </c>
      <c r="F308" s="24">
        <f t="shared" si="84"/>
        <v>873</v>
      </c>
      <c r="G308" s="24">
        <f t="shared" si="84"/>
        <v>147</v>
      </c>
      <c r="H308" s="24">
        <f t="shared" si="84"/>
        <v>51590</v>
      </c>
      <c r="J308" s="24">
        <f t="shared" si="85"/>
        <v>0</v>
      </c>
      <c r="K308" s="24">
        <f t="shared" si="85"/>
        <v>0</v>
      </c>
      <c r="L308" s="24">
        <f t="shared" si="85"/>
        <v>38943</v>
      </c>
      <c r="M308" s="24">
        <f t="shared" si="85"/>
        <v>99654</v>
      </c>
      <c r="N308" s="24">
        <f t="shared" si="85"/>
        <v>19305</v>
      </c>
      <c r="O308" s="24">
        <f t="shared" si="85"/>
        <v>498</v>
      </c>
      <c r="P308" s="24">
        <f t="shared" si="85"/>
        <v>157902</v>
      </c>
    </row>
    <row r="309" spans="1:16" ht="11.25" customHeight="1">
      <c r="A309" s="99">
        <v>1992</v>
      </c>
      <c r="B309" s="24">
        <f t="shared" si="84"/>
        <v>31324</v>
      </c>
      <c r="C309" s="24">
        <f t="shared" si="84"/>
        <v>19094</v>
      </c>
      <c r="D309" s="24">
        <f t="shared" si="84"/>
        <v>10180</v>
      </c>
      <c r="E309" s="24">
        <f t="shared" si="84"/>
        <v>7599</v>
      </c>
      <c r="F309" s="24">
        <f t="shared" si="84"/>
        <v>0</v>
      </c>
      <c r="G309" s="24">
        <f t="shared" si="84"/>
        <v>0</v>
      </c>
      <c r="H309" s="24">
        <f t="shared" si="84"/>
        <v>68197</v>
      </c>
      <c r="J309" s="24">
        <f t="shared" si="85"/>
        <v>2</v>
      </c>
      <c r="K309" s="24">
        <f t="shared" si="85"/>
        <v>3</v>
      </c>
      <c r="L309" s="24">
        <f t="shared" si="85"/>
        <v>51149</v>
      </c>
      <c r="M309" s="24">
        <f t="shared" si="85"/>
        <v>43543</v>
      </c>
      <c r="N309" s="24">
        <f t="shared" si="85"/>
        <v>0</v>
      </c>
      <c r="O309" s="24">
        <f t="shared" si="85"/>
        <v>15</v>
      </c>
      <c r="P309" s="24">
        <f t="shared" si="85"/>
        <v>94697</v>
      </c>
    </row>
    <row r="310" spans="1:16" ht="11.25" customHeight="1">
      <c r="A310" s="99">
        <v>1993</v>
      </c>
      <c r="B310" s="24">
        <f t="shared" si="84"/>
        <v>21937</v>
      </c>
      <c r="C310" s="24">
        <f t="shared" si="84"/>
        <v>15856</v>
      </c>
      <c r="D310" s="24">
        <f t="shared" si="84"/>
        <v>8592</v>
      </c>
      <c r="E310" s="24">
        <f t="shared" si="84"/>
        <v>4638</v>
      </c>
      <c r="F310" s="24">
        <f t="shared" si="84"/>
        <v>4420</v>
      </c>
      <c r="G310" s="24">
        <f t="shared" si="84"/>
        <v>0</v>
      </c>
      <c r="H310" s="24">
        <f t="shared" si="84"/>
        <v>55443</v>
      </c>
      <c r="J310" s="24">
        <f t="shared" si="85"/>
        <v>1</v>
      </c>
      <c r="K310" s="24">
        <f t="shared" si="85"/>
        <v>0</v>
      </c>
      <c r="L310" s="24">
        <f t="shared" si="85"/>
        <v>12069</v>
      </c>
      <c r="M310" s="24">
        <f t="shared" si="85"/>
        <v>29625</v>
      </c>
      <c r="N310" s="24">
        <f t="shared" si="85"/>
        <v>32608</v>
      </c>
      <c r="O310" s="24">
        <f t="shared" si="85"/>
        <v>0</v>
      </c>
      <c r="P310" s="24">
        <f t="shared" si="85"/>
        <v>74303</v>
      </c>
    </row>
    <row r="311" spans="1:16" ht="11.25" customHeight="1">
      <c r="A311" s="99">
        <v>1994</v>
      </c>
      <c r="B311" s="24">
        <f t="shared" si="84"/>
        <v>449</v>
      </c>
      <c r="C311" s="24">
        <f t="shared" si="84"/>
        <v>4113</v>
      </c>
      <c r="D311" s="24">
        <f t="shared" si="84"/>
        <v>8</v>
      </c>
      <c r="E311" s="24">
        <f t="shared" si="84"/>
        <v>0</v>
      </c>
      <c r="F311" s="24">
        <f t="shared" si="84"/>
        <v>0</v>
      </c>
      <c r="G311" s="24">
        <f t="shared" si="84"/>
        <v>0</v>
      </c>
      <c r="H311" s="24">
        <f t="shared" si="84"/>
        <v>4570</v>
      </c>
      <c r="J311" s="24">
        <f t="shared" si="85"/>
        <v>0</v>
      </c>
      <c r="K311" s="24">
        <f t="shared" si="85"/>
        <v>0</v>
      </c>
      <c r="L311" s="24">
        <f t="shared" si="85"/>
        <v>0</v>
      </c>
      <c r="M311" s="24">
        <f t="shared" si="85"/>
        <v>0</v>
      </c>
      <c r="N311" s="24">
        <f t="shared" si="85"/>
        <v>0</v>
      </c>
      <c r="O311" s="24">
        <f t="shared" si="85"/>
        <v>0</v>
      </c>
      <c r="P311" s="24">
        <f t="shared" si="85"/>
        <v>0</v>
      </c>
    </row>
    <row r="312" spans="1:16" ht="11.25" customHeight="1">
      <c r="A312" s="99">
        <v>1995</v>
      </c>
      <c r="B312" s="24">
        <f t="shared" si="84"/>
        <v>698</v>
      </c>
      <c r="C312" s="24">
        <f t="shared" si="84"/>
        <v>0</v>
      </c>
      <c r="D312" s="24">
        <f t="shared" si="84"/>
        <v>23</v>
      </c>
      <c r="E312" s="24">
        <f t="shared" si="84"/>
        <v>9047</v>
      </c>
      <c r="F312" s="24">
        <f t="shared" si="84"/>
        <v>0</v>
      </c>
      <c r="G312" s="24">
        <f t="shared" si="84"/>
        <v>0</v>
      </c>
      <c r="H312" s="24">
        <f t="shared" si="84"/>
        <v>9768</v>
      </c>
      <c r="J312" s="24">
        <f t="shared" si="85"/>
        <v>0</v>
      </c>
      <c r="K312" s="24">
        <f t="shared" si="85"/>
        <v>0</v>
      </c>
      <c r="L312" s="24">
        <f t="shared" si="85"/>
        <v>0</v>
      </c>
      <c r="M312" s="24">
        <f t="shared" si="85"/>
        <v>49756</v>
      </c>
      <c r="N312" s="24">
        <f t="shared" si="85"/>
        <v>7060</v>
      </c>
      <c r="O312" s="24">
        <f t="shared" si="85"/>
        <v>0</v>
      </c>
      <c r="P312" s="24">
        <f t="shared" si="85"/>
        <v>56816</v>
      </c>
    </row>
    <row r="313" spans="1:16" ht="11.25" customHeight="1">
      <c r="A313" s="99">
        <v>1996</v>
      </c>
      <c r="B313" s="24">
        <f t="shared" ref="B313:H322" si="86">IF(AND(B265="-",B217="-"),"-",SUM(B265,B217))</f>
        <v>1473</v>
      </c>
      <c r="C313" s="24">
        <f t="shared" si="86"/>
        <v>1974</v>
      </c>
      <c r="D313" s="24">
        <f t="shared" si="86"/>
        <v>457</v>
      </c>
      <c r="E313" s="24">
        <f t="shared" si="86"/>
        <v>4845</v>
      </c>
      <c r="F313" s="24">
        <f t="shared" si="86"/>
        <v>3561</v>
      </c>
      <c r="G313" s="24" t="str">
        <f t="shared" si="86"/>
        <v>-</v>
      </c>
      <c r="H313" s="24">
        <f t="shared" si="86"/>
        <v>12310</v>
      </c>
      <c r="J313" s="24">
        <f t="shared" ref="J313:P319" si="87">IF(AND(J265="-",J217="-"),"-",SUM(J265,J217))</f>
        <v>0</v>
      </c>
      <c r="K313" s="24">
        <f t="shared" si="87"/>
        <v>0</v>
      </c>
      <c r="L313" s="24">
        <f t="shared" si="87"/>
        <v>7137</v>
      </c>
      <c r="M313" s="24">
        <f t="shared" si="87"/>
        <v>15044</v>
      </c>
      <c r="N313" s="24">
        <f t="shared" si="87"/>
        <v>13885</v>
      </c>
      <c r="O313" s="24" t="str">
        <f t="shared" si="87"/>
        <v>-</v>
      </c>
      <c r="P313" s="24">
        <f t="shared" si="87"/>
        <v>36066</v>
      </c>
    </row>
    <row r="314" spans="1:16" ht="11.25" customHeight="1">
      <c r="A314" s="99">
        <v>1997</v>
      </c>
      <c r="B314" s="24">
        <f t="shared" si="86"/>
        <v>5358</v>
      </c>
      <c r="C314" s="24">
        <f t="shared" si="86"/>
        <v>9393</v>
      </c>
      <c r="D314" s="24">
        <f t="shared" si="86"/>
        <v>0</v>
      </c>
      <c r="E314" s="24">
        <f t="shared" si="86"/>
        <v>4720</v>
      </c>
      <c r="F314" s="24">
        <f t="shared" si="86"/>
        <v>1136</v>
      </c>
      <c r="G314" s="24" t="str">
        <f t="shared" si="86"/>
        <v>-</v>
      </c>
      <c r="H314" s="24">
        <f t="shared" si="86"/>
        <v>20607</v>
      </c>
      <c r="J314" s="24">
        <f t="shared" si="87"/>
        <v>0</v>
      </c>
      <c r="K314" s="24">
        <f t="shared" si="87"/>
        <v>0</v>
      </c>
      <c r="L314" s="24">
        <f t="shared" si="87"/>
        <v>0</v>
      </c>
      <c r="M314" s="24">
        <f t="shared" si="87"/>
        <v>11481</v>
      </c>
      <c r="N314" s="24">
        <f t="shared" si="87"/>
        <v>4343</v>
      </c>
      <c r="O314" s="24" t="str">
        <f t="shared" si="87"/>
        <v>-</v>
      </c>
      <c r="P314" s="24">
        <f t="shared" si="87"/>
        <v>15824</v>
      </c>
    </row>
    <row r="315" spans="1:16" ht="11.25" customHeight="1">
      <c r="A315" s="99">
        <v>1998</v>
      </c>
      <c r="B315" s="24">
        <f t="shared" si="86"/>
        <v>10936</v>
      </c>
      <c r="C315" s="24">
        <f t="shared" si="86"/>
        <v>4624</v>
      </c>
      <c r="D315" s="24">
        <f t="shared" si="86"/>
        <v>47</v>
      </c>
      <c r="E315" s="24">
        <f t="shared" si="86"/>
        <v>3860</v>
      </c>
      <c r="F315" s="24">
        <f t="shared" si="86"/>
        <v>1148</v>
      </c>
      <c r="G315" s="24" t="str">
        <f t="shared" si="86"/>
        <v>-</v>
      </c>
      <c r="H315" s="24">
        <f t="shared" si="86"/>
        <v>20615</v>
      </c>
      <c r="J315" s="24">
        <f t="shared" si="87"/>
        <v>0</v>
      </c>
      <c r="K315" s="24">
        <f t="shared" si="87"/>
        <v>0</v>
      </c>
      <c r="L315" s="24">
        <f t="shared" si="87"/>
        <v>74</v>
      </c>
      <c r="M315" s="24">
        <f t="shared" si="87"/>
        <v>3855</v>
      </c>
      <c r="N315" s="24">
        <f t="shared" si="87"/>
        <v>4225</v>
      </c>
      <c r="O315" s="24" t="str">
        <f t="shared" si="87"/>
        <v>-</v>
      </c>
      <c r="P315" s="24">
        <f t="shared" si="87"/>
        <v>8154</v>
      </c>
    </row>
    <row r="316" spans="1:16" ht="11.25" customHeight="1">
      <c r="A316" s="99">
        <v>1999</v>
      </c>
      <c r="B316" s="24">
        <f t="shared" si="86"/>
        <v>6727</v>
      </c>
      <c r="C316" s="24">
        <f t="shared" si="86"/>
        <v>22756</v>
      </c>
      <c r="D316" s="24">
        <f t="shared" si="86"/>
        <v>5560</v>
      </c>
      <c r="E316" s="24">
        <f t="shared" si="86"/>
        <v>6261</v>
      </c>
      <c r="F316" s="24">
        <f t="shared" si="86"/>
        <v>3619</v>
      </c>
      <c r="G316" s="24" t="str">
        <f t="shared" si="86"/>
        <v>-</v>
      </c>
      <c r="H316" s="24">
        <f t="shared" si="86"/>
        <v>44923</v>
      </c>
      <c r="J316" s="24">
        <f t="shared" si="87"/>
        <v>0</v>
      </c>
      <c r="K316" s="24">
        <f t="shared" si="87"/>
        <v>0</v>
      </c>
      <c r="L316" s="24">
        <f t="shared" si="87"/>
        <v>673</v>
      </c>
      <c r="M316" s="24">
        <f t="shared" si="87"/>
        <v>15991</v>
      </c>
      <c r="N316" s="24">
        <f t="shared" si="87"/>
        <v>20550</v>
      </c>
      <c r="O316" s="24" t="str">
        <f t="shared" si="87"/>
        <v>-</v>
      </c>
      <c r="P316" s="24">
        <f t="shared" si="87"/>
        <v>37214</v>
      </c>
    </row>
    <row r="317" spans="1:16" ht="11.25" customHeight="1">
      <c r="A317" s="99">
        <v>2000</v>
      </c>
      <c r="B317" s="24">
        <f t="shared" si="86"/>
        <v>9428</v>
      </c>
      <c r="C317" s="24">
        <f t="shared" si="86"/>
        <v>5715</v>
      </c>
      <c r="D317" s="24">
        <f t="shared" si="86"/>
        <v>196</v>
      </c>
      <c r="E317" s="24">
        <f t="shared" si="86"/>
        <v>4721</v>
      </c>
      <c r="F317" s="24">
        <f t="shared" si="86"/>
        <v>92</v>
      </c>
      <c r="G317" s="24" t="str">
        <f t="shared" si="86"/>
        <v>-</v>
      </c>
      <c r="H317" s="24">
        <f t="shared" si="86"/>
        <v>20152</v>
      </c>
      <c r="J317" s="24">
        <f t="shared" si="87"/>
        <v>0</v>
      </c>
      <c r="K317" s="24">
        <f t="shared" si="87"/>
        <v>1</v>
      </c>
      <c r="L317" s="24">
        <f t="shared" si="87"/>
        <v>0</v>
      </c>
      <c r="M317" s="24">
        <f t="shared" si="87"/>
        <v>38607</v>
      </c>
      <c r="N317" s="24">
        <f t="shared" si="87"/>
        <v>1092</v>
      </c>
      <c r="O317" s="24" t="str">
        <f t="shared" si="87"/>
        <v>-</v>
      </c>
      <c r="P317" s="24">
        <f t="shared" si="87"/>
        <v>39700</v>
      </c>
    </row>
    <row r="318" spans="1:16" ht="11.25" customHeight="1">
      <c r="A318" s="99">
        <v>2001</v>
      </c>
      <c r="B318" s="24">
        <f t="shared" si="86"/>
        <v>10268</v>
      </c>
      <c r="C318" s="24">
        <f t="shared" si="86"/>
        <v>22606</v>
      </c>
      <c r="D318" s="24">
        <f t="shared" si="86"/>
        <v>12537</v>
      </c>
      <c r="E318" s="24">
        <f t="shared" si="86"/>
        <v>4735</v>
      </c>
      <c r="F318" s="24">
        <f t="shared" si="86"/>
        <v>4017</v>
      </c>
      <c r="G318" s="24" t="str">
        <f t="shared" si="86"/>
        <v>-</v>
      </c>
      <c r="H318" s="24">
        <f t="shared" si="86"/>
        <v>54163</v>
      </c>
      <c r="J318" s="24">
        <f t="shared" si="87"/>
        <v>0</v>
      </c>
      <c r="K318" s="24">
        <f t="shared" si="87"/>
        <v>12</v>
      </c>
      <c r="L318" s="24">
        <f t="shared" si="87"/>
        <v>14531</v>
      </c>
      <c r="M318" s="24">
        <f t="shared" si="87"/>
        <v>34024</v>
      </c>
      <c r="N318" s="24">
        <f t="shared" si="87"/>
        <v>27473</v>
      </c>
      <c r="O318" s="24" t="str">
        <f t="shared" si="87"/>
        <v>-</v>
      </c>
      <c r="P318" s="24">
        <f t="shared" si="87"/>
        <v>76040</v>
      </c>
    </row>
    <row r="319" spans="1:16" ht="11.25" customHeight="1">
      <c r="A319" s="99">
        <v>2002</v>
      </c>
      <c r="B319" s="24">
        <f t="shared" si="86"/>
        <v>24600</v>
      </c>
      <c r="C319" s="24">
        <f t="shared" si="86"/>
        <v>25444</v>
      </c>
      <c r="D319" s="24">
        <f t="shared" si="86"/>
        <v>32446</v>
      </c>
      <c r="E319" s="24">
        <f t="shared" si="86"/>
        <v>20849</v>
      </c>
      <c r="F319" s="24">
        <f t="shared" si="86"/>
        <v>3123</v>
      </c>
      <c r="G319" s="24">
        <f t="shared" si="86"/>
        <v>30</v>
      </c>
      <c r="H319" s="24">
        <f t="shared" si="86"/>
        <v>106462</v>
      </c>
      <c r="J319" s="24">
        <f t="shared" si="87"/>
        <v>1</v>
      </c>
      <c r="K319" s="24">
        <f t="shared" si="87"/>
        <v>1</v>
      </c>
      <c r="L319" s="24">
        <f t="shared" si="87"/>
        <v>3449</v>
      </c>
      <c r="M319" s="24">
        <f t="shared" si="87"/>
        <v>6624</v>
      </c>
      <c r="N319" s="24">
        <f t="shared" si="87"/>
        <v>9042</v>
      </c>
      <c r="O319" s="24">
        <f t="shared" si="87"/>
        <v>80</v>
      </c>
      <c r="P319" s="24">
        <f t="shared" si="87"/>
        <v>19117</v>
      </c>
    </row>
    <row r="320" spans="1:16" ht="11.25" customHeight="1">
      <c r="A320" s="99">
        <v>2003</v>
      </c>
      <c r="B320" s="24">
        <f t="shared" si="86"/>
        <v>26493</v>
      </c>
      <c r="C320" s="24">
        <f t="shared" si="86"/>
        <v>23128</v>
      </c>
      <c r="D320" s="24">
        <f t="shared" si="86"/>
        <v>29103</v>
      </c>
      <c r="E320" s="24">
        <f t="shared" si="86"/>
        <v>20048</v>
      </c>
      <c r="F320" s="24">
        <f t="shared" si="86"/>
        <v>2986</v>
      </c>
      <c r="G320" s="24">
        <f t="shared" si="86"/>
        <v>35</v>
      </c>
      <c r="H320" s="24">
        <f t="shared" si="86"/>
        <v>101758</v>
      </c>
      <c r="J320" s="24">
        <f t="shared" ref="J320:P320" si="88">IF(AND(J272="-",J224="-"),"-",SUM(J272,J224))</f>
        <v>3</v>
      </c>
      <c r="K320" s="24">
        <f t="shared" si="88"/>
        <v>0</v>
      </c>
      <c r="L320" s="24">
        <f t="shared" si="88"/>
        <v>9618</v>
      </c>
      <c r="M320" s="24">
        <f t="shared" si="88"/>
        <v>12200</v>
      </c>
      <c r="N320" s="24">
        <f t="shared" si="88"/>
        <v>4519</v>
      </c>
      <c r="O320" s="24">
        <f t="shared" si="88"/>
        <v>85</v>
      </c>
      <c r="P320" s="24">
        <f t="shared" si="88"/>
        <v>26340</v>
      </c>
    </row>
    <row r="321" spans="1:16" ht="11.25" customHeight="1">
      <c r="A321" s="99">
        <v>2004</v>
      </c>
      <c r="B321" s="24">
        <f t="shared" si="86"/>
        <v>27141</v>
      </c>
      <c r="C321" s="24">
        <f t="shared" si="86"/>
        <v>18228</v>
      </c>
      <c r="D321" s="24">
        <f t="shared" si="86"/>
        <v>19109</v>
      </c>
      <c r="E321" s="24">
        <f t="shared" si="86"/>
        <v>16275</v>
      </c>
      <c r="F321" s="24">
        <f t="shared" si="86"/>
        <v>7472</v>
      </c>
      <c r="G321" s="24">
        <f t="shared" si="86"/>
        <v>25</v>
      </c>
      <c r="H321" s="24">
        <f t="shared" si="86"/>
        <v>88225</v>
      </c>
      <c r="I321" s="24"/>
      <c r="J321" s="24">
        <f t="shared" ref="J321:P321" si="89">IF(AND(J273="-",J225="-"),"-",SUM(J273,J225))</f>
        <v>3</v>
      </c>
      <c r="K321" s="24">
        <f t="shared" si="89"/>
        <v>3</v>
      </c>
      <c r="L321" s="24">
        <f t="shared" si="89"/>
        <v>19081</v>
      </c>
      <c r="M321" s="24">
        <f t="shared" si="89"/>
        <v>43044</v>
      </c>
      <c r="N321" s="24">
        <f t="shared" si="89"/>
        <v>22098</v>
      </c>
      <c r="O321" s="24">
        <f t="shared" si="89"/>
        <v>100</v>
      </c>
      <c r="P321" s="24">
        <f t="shared" si="89"/>
        <v>84229</v>
      </c>
    </row>
    <row r="322" spans="1:16" ht="11.25" customHeight="1">
      <c r="A322" s="99">
        <v>2005</v>
      </c>
      <c r="B322" s="24">
        <f t="shared" si="86"/>
        <v>30525</v>
      </c>
      <c r="C322" s="24">
        <f t="shared" si="86"/>
        <v>21813</v>
      </c>
      <c r="D322" s="24">
        <f t="shared" si="86"/>
        <v>11609</v>
      </c>
      <c r="E322" s="24">
        <f t="shared" si="86"/>
        <v>19507</v>
      </c>
      <c r="F322" s="24">
        <f t="shared" si="86"/>
        <v>3672</v>
      </c>
      <c r="G322" s="24">
        <f t="shared" si="86"/>
        <v>0</v>
      </c>
      <c r="H322" s="24">
        <f t="shared" si="86"/>
        <v>87126</v>
      </c>
      <c r="I322" s="24"/>
      <c r="J322" s="24">
        <f t="shared" ref="J322:P322" si="90">IF(AND(J274="-",J226="-"),"-",SUM(J274,J226))</f>
        <v>3</v>
      </c>
      <c r="K322" s="24">
        <f t="shared" si="90"/>
        <v>1</v>
      </c>
      <c r="L322" s="24">
        <f t="shared" si="90"/>
        <v>4280</v>
      </c>
      <c r="M322" s="24">
        <f t="shared" si="90"/>
        <v>19485</v>
      </c>
      <c r="N322" s="24">
        <f t="shared" si="90"/>
        <v>4288</v>
      </c>
      <c r="O322" s="24">
        <f t="shared" si="90"/>
        <v>0</v>
      </c>
      <c r="P322" s="24">
        <f t="shared" si="90"/>
        <v>28057</v>
      </c>
    </row>
    <row r="323" spans="1:16" ht="11.25" customHeight="1">
      <c r="A323" s="99">
        <v>2006</v>
      </c>
      <c r="B323" s="24">
        <f t="shared" ref="B323:H323" si="91">IF(AND(B275="-",B227="-"),"-",SUM(B275,B227))</f>
        <v>16469</v>
      </c>
      <c r="C323" s="24">
        <f t="shared" si="91"/>
        <v>15421</v>
      </c>
      <c r="D323" s="24">
        <f t="shared" si="91"/>
        <v>8810</v>
      </c>
      <c r="E323" s="24">
        <f t="shared" si="91"/>
        <v>10210</v>
      </c>
      <c r="F323" s="24">
        <f t="shared" si="91"/>
        <v>6893</v>
      </c>
      <c r="G323" s="24">
        <f t="shared" si="91"/>
        <v>15</v>
      </c>
      <c r="H323" s="24">
        <f t="shared" si="91"/>
        <v>57803</v>
      </c>
      <c r="I323" s="24"/>
      <c r="J323" s="24">
        <f t="shared" ref="J323:P323" si="92">IF(AND(J275="-",J227="-"),"-",SUM(J275,J227))</f>
        <v>16</v>
      </c>
      <c r="K323" s="24">
        <f t="shared" si="92"/>
        <v>102</v>
      </c>
      <c r="L323" s="24">
        <f t="shared" si="92"/>
        <v>10614</v>
      </c>
      <c r="M323" s="24">
        <f t="shared" si="92"/>
        <v>12394</v>
      </c>
      <c r="N323" s="24">
        <f t="shared" si="92"/>
        <v>11491</v>
      </c>
      <c r="O323" s="24">
        <f t="shared" si="92"/>
        <v>5</v>
      </c>
      <c r="P323" s="24">
        <f t="shared" si="92"/>
        <v>34617</v>
      </c>
    </row>
    <row r="324" spans="1:16" ht="11.25" customHeight="1">
      <c r="A324" s="99">
        <v>2007</v>
      </c>
      <c r="B324" s="24">
        <f t="shared" ref="B324:H324" si="93">IF(AND(B276="-",B228="-"),"-",SUM(B276,B228))</f>
        <v>6959</v>
      </c>
      <c r="C324" s="24">
        <f t="shared" si="93"/>
        <v>19097</v>
      </c>
      <c r="D324" s="24">
        <f t="shared" si="93"/>
        <v>6966</v>
      </c>
      <c r="E324" s="24">
        <f t="shared" si="93"/>
        <v>5513</v>
      </c>
      <c r="F324" s="24">
        <f t="shared" si="93"/>
        <v>119</v>
      </c>
      <c r="G324" s="24">
        <f t="shared" si="93"/>
        <v>0</v>
      </c>
      <c r="H324" s="24">
        <f t="shared" si="93"/>
        <v>38654</v>
      </c>
      <c r="I324" s="24"/>
      <c r="J324" s="24">
        <f t="shared" ref="J324:P324" si="94">IF(AND(J276="-",J228="-"),"-",SUM(J276,J228))</f>
        <v>0</v>
      </c>
      <c r="K324" s="24">
        <f t="shared" si="94"/>
        <v>12</v>
      </c>
      <c r="L324" s="24">
        <f t="shared" si="94"/>
        <v>26087</v>
      </c>
      <c r="M324" s="24">
        <f t="shared" si="94"/>
        <v>30202</v>
      </c>
      <c r="N324" s="24">
        <f t="shared" si="94"/>
        <v>1177</v>
      </c>
      <c r="O324" s="24">
        <f t="shared" si="94"/>
        <v>0</v>
      </c>
      <c r="P324" s="24">
        <f t="shared" si="94"/>
        <v>57478</v>
      </c>
    </row>
    <row r="325" spans="1:16" ht="11.25" customHeight="1">
      <c r="A325" s="99">
        <v>2008</v>
      </c>
      <c r="B325" s="24">
        <f t="shared" ref="B325:H325" si="95">IF(AND(B277="-",B229="-"),"-",SUM(B277,B229))</f>
        <v>4786</v>
      </c>
      <c r="C325" s="24">
        <f t="shared" si="95"/>
        <v>15569</v>
      </c>
      <c r="D325" s="24">
        <f t="shared" si="95"/>
        <v>3408</v>
      </c>
      <c r="E325" s="24">
        <f t="shared" si="95"/>
        <v>7353</v>
      </c>
      <c r="F325" s="24">
        <f t="shared" si="95"/>
        <v>3861</v>
      </c>
      <c r="G325" s="24">
        <f t="shared" si="95"/>
        <v>1</v>
      </c>
      <c r="H325" s="24">
        <f t="shared" si="95"/>
        <v>34977</v>
      </c>
      <c r="I325" s="24"/>
      <c r="J325" s="24">
        <f t="shared" ref="J325:P325" si="96">IF(AND(J277="-",J229="-"),"-",SUM(J277,J229))</f>
        <v>0</v>
      </c>
      <c r="K325" s="24">
        <f t="shared" si="96"/>
        <v>18</v>
      </c>
      <c r="L325" s="24">
        <f t="shared" si="96"/>
        <v>1269</v>
      </c>
      <c r="M325" s="24">
        <f t="shared" si="96"/>
        <v>4899</v>
      </c>
      <c r="N325" s="24">
        <f t="shared" si="96"/>
        <v>10218</v>
      </c>
      <c r="O325" s="24">
        <f t="shared" si="96"/>
        <v>0</v>
      </c>
      <c r="P325" s="24">
        <f t="shared" si="96"/>
        <v>16404</v>
      </c>
    </row>
    <row r="326" spans="1:16" ht="11.25" customHeight="1">
      <c r="A326" s="99">
        <v>2009</v>
      </c>
      <c r="B326" s="24">
        <f t="shared" ref="B326:H326" si="97">IF(AND(B278="-",B230="-"),"-",SUM(B278,B230))</f>
        <v>7301</v>
      </c>
      <c r="C326" s="24">
        <f t="shared" si="97"/>
        <v>10204</v>
      </c>
      <c r="D326" s="24">
        <f t="shared" si="97"/>
        <v>4204</v>
      </c>
      <c r="E326" s="24">
        <f t="shared" si="97"/>
        <v>3409</v>
      </c>
      <c r="F326" s="24">
        <f t="shared" si="97"/>
        <v>136</v>
      </c>
      <c r="G326" s="24">
        <f t="shared" si="97"/>
        <v>25</v>
      </c>
      <c r="H326" s="24">
        <f t="shared" si="97"/>
        <v>25254</v>
      </c>
      <c r="I326" s="24"/>
      <c r="J326" s="24">
        <f t="shared" ref="J326:P326" si="98">IF(AND(J278="-",J230="-"),"-",SUM(J278,J230))</f>
        <v>0</v>
      </c>
      <c r="K326" s="24">
        <f t="shared" si="98"/>
        <v>0</v>
      </c>
      <c r="L326" s="24">
        <f t="shared" si="98"/>
        <v>39927</v>
      </c>
      <c r="M326" s="24">
        <f t="shared" si="98"/>
        <v>49547</v>
      </c>
      <c r="N326" s="24">
        <f t="shared" si="98"/>
        <v>3928</v>
      </c>
      <c r="O326" s="24">
        <f t="shared" si="98"/>
        <v>15</v>
      </c>
      <c r="P326" s="24">
        <f t="shared" si="98"/>
        <v>93402</v>
      </c>
    </row>
    <row r="327" spans="1:16" ht="11.25" customHeight="1">
      <c r="A327" s="99">
        <v>2010</v>
      </c>
      <c r="B327" s="24">
        <f t="shared" ref="B327:H327" si="99">IF(AND(B279="-",B231="-"),"-",SUM(B279,B231))</f>
        <v>10935</v>
      </c>
      <c r="C327" s="24">
        <f t="shared" si="99"/>
        <v>41364</v>
      </c>
      <c r="D327" s="24">
        <f t="shared" si="99"/>
        <v>15345</v>
      </c>
      <c r="E327" s="24">
        <f t="shared" si="99"/>
        <v>18854</v>
      </c>
      <c r="F327" s="24">
        <f t="shared" si="99"/>
        <v>2097</v>
      </c>
      <c r="G327" s="24">
        <f t="shared" si="99"/>
        <v>10</v>
      </c>
      <c r="H327" s="24">
        <f t="shared" si="99"/>
        <v>88595</v>
      </c>
      <c r="I327" s="24"/>
      <c r="J327" s="24">
        <f t="shared" ref="J327:P327" si="100">IF(AND(J279="-",J231="-"),"-",SUM(J279,J231))</f>
        <v>2</v>
      </c>
      <c r="K327" s="24">
        <f t="shared" si="100"/>
        <v>63</v>
      </c>
      <c r="L327" s="24">
        <f t="shared" si="100"/>
        <v>3836</v>
      </c>
      <c r="M327" s="24">
        <f t="shared" si="100"/>
        <v>6208</v>
      </c>
      <c r="N327" s="24">
        <f t="shared" si="100"/>
        <v>4496</v>
      </c>
      <c r="O327" s="24">
        <f t="shared" si="100"/>
        <v>15</v>
      </c>
      <c r="P327" s="24">
        <f t="shared" si="100"/>
        <v>14605</v>
      </c>
    </row>
    <row r="328" spans="1:16" ht="11.25" customHeight="1">
      <c r="A328" s="99">
        <v>2011</v>
      </c>
      <c r="B328" s="24">
        <f t="shared" ref="B328:H328" si="101">IF(AND(B280="-",B232="-"),"-",SUM(B280,B232))</f>
        <v>10331</v>
      </c>
      <c r="C328" s="24">
        <f t="shared" si="101"/>
        <v>20075</v>
      </c>
      <c r="D328" s="24">
        <f t="shared" si="101"/>
        <v>20891</v>
      </c>
      <c r="E328" s="24">
        <f t="shared" si="101"/>
        <v>9479</v>
      </c>
      <c r="F328" s="24">
        <f t="shared" si="101"/>
        <v>786</v>
      </c>
      <c r="G328" s="24">
        <f t="shared" si="101"/>
        <v>0</v>
      </c>
      <c r="H328" s="24">
        <f t="shared" si="101"/>
        <v>61562</v>
      </c>
      <c r="I328" s="24"/>
      <c r="J328" s="24">
        <f t="shared" ref="J328:P328" si="102">IF(AND(J280="-",J232="-"),"-",SUM(J280,J232))</f>
        <v>0</v>
      </c>
      <c r="K328" s="24">
        <f t="shared" si="102"/>
        <v>0</v>
      </c>
      <c r="L328" s="24">
        <f t="shared" si="102"/>
        <v>3927</v>
      </c>
      <c r="M328" s="24">
        <f t="shared" si="102"/>
        <v>5855</v>
      </c>
      <c r="N328" s="24">
        <f t="shared" si="102"/>
        <v>7299</v>
      </c>
      <c r="O328" s="24">
        <f t="shared" si="102"/>
        <v>0</v>
      </c>
      <c r="P328" s="24">
        <f t="shared" si="102"/>
        <v>17081</v>
      </c>
    </row>
    <row r="329" spans="1:16" ht="11.25" customHeight="1">
      <c r="A329" s="99">
        <v>2012</v>
      </c>
      <c r="B329" s="24">
        <f t="shared" ref="B329:H329" si="103">IF(AND(B281="-",B233="-"),"-",SUM(B281,B233))</f>
        <v>16128</v>
      </c>
      <c r="C329" s="24">
        <f t="shared" si="103"/>
        <v>38120</v>
      </c>
      <c r="D329" s="24">
        <f t="shared" si="103"/>
        <v>15732</v>
      </c>
      <c r="E329" s="24">
        <f t="shared" si="103"/>
        <v>21197</v>
      </c>
      <c r="F329" s="24">
        <f t="shared" si="103"/>
        <v>8911</v>
      </c>
      <c r="G329" s="24">
        <f t="shared" si="103"/>
        <v>10</v>
      </c>
      <c r="H329" s="24">
        <f t="shared" si="103"/>
        <v>100088</v>
      </c>
      <c r="I329" s="24"/>
      <c r="J329" s="24">
        <f t="shared" ref="J329:P329" si="104">IF(AND(J281="-",J233="-"),"-",SUM(J281,J233))</f>
        <v>1</v>
      </c>
      <c r="K329" s="24">
        <f t="shared" si="104"/>
        <v>101</v>
      </c>
      <c r="L329" s="24">
        <f t="shared" si="104"/>
        <v>3576</v>
      </c>
      <c r="M329" s="24">
        <f t="shared" si="104"/>
        <v>19943</v>
      </c>
      <c r="N329" s="24">
        <f t="shared" si="104"/>
        <v>17801</v>
      </c>
      <c r="O329" s="24">
        <f t="shared" si="104"/>
        <v>0</v>
      </c>
      <c r="P329" s="24">
        <f t="shared" si="104"/>
        <v>41422</v>
      </c>
    </row>
    <row r="330" spans="1:16" ht="11.25" customHeight="1">
      <c r="A330" s="99">
        <v>2013</v>
      </c>
      <c r="B330" s="24">
        <f t="shared" ref="B330:H330" si="105">IF(AND(B282="-",B234="-"),"-",SUM(B282,B234))</f>
        <v>22950</v>
      </c>
      <c r="C330" s="24">
        <f t="shared" si="105"/>
        <v>32013</v>
      </c>
      <c r="D330" s="24">
        <f t="shared" si="105"/>
        <v>17304</v>
      </c>
      <c r="E330" s="24">
        <f t="shared" si="105"/>
        <v>16903</v>
      </c>
      <c r="F330" s="24">
        <f t="shared" si="105"/>
        <v>4025</v>
      </c>
      <c r="G330" s="24">
        <f t="shared" si="105"/>
        <v>0</v>
      </c>
      <c r="H330" s="24">
        <f t="shared" si="105"/>
        <v>93195</v>
      </c>
      <c r="I330" s="24"/>
      <c r="J330" s="24">
        <f t="shared" ref="J330:P330" si="106">IF(AND(J282="-",J234="-"),"-",SUM(J282,J234))</f>
        <v>0</v>
      </c>
      <c r="K330" s="24">
        <f t="shared" si="106"/>
        <v>7</v>
      </c>
      <c r="L330" s="24">
        <f t="shared" si="106"/>
        <v>9681</v>
      </c>
      <c r="M330" s="24">
        <f t="shared" si="106"/>
        <v>40302</v>
      </c>
      <c r="N330" s="24">
        <f t="shared" si="106"/>
        <v>4771</v>
      </c>
      <c r="O330" s="24">
        <f t="shared" si="106"/>
        <v>0</v>
      </c>
      <c r="P330" s="24">
        <f t="shared" si="106"/>
        <v>54761</v>
      </c>
    </row>
    <row r="331" spans="1:16" ht="11.25" customHeight="1">
      <c r="A331" s="99">
        <v>2014</v>
      </c>
      <c r="B331" s="24">
        <f t="shared" ref="B331:H331" si="107">IF(AND(B283="-",B235="-"),"-",SUM(B283,B235))</f>
        <v>45638</v>
      </c>
      <c r="C331" s="24">
        <f t="shared" si="107"/>
        <v>20837</v>
      </c>
      <c r="D331" s="24">
        <f t="shared" si="107"/>
        <v>31621</v>
      </c>
      <c r="E331" s="24">
        <f t="shared" si="107"/>
        <v>14929</v>
      </c>
      <c r="F331" s="24">
        <f t="shared" si="107"/>
        <v>3625</v>
      </c>
      <c r="G331" s="24">
        <f t="shared" si="107"/>
        <v>0</v>
      </c>
      <c r="H331" s="24">
        <f t="shared" si="107"/>
        <v>116650</v>
      </c>
      <c r="I331" s="24"/>
      <c r="J331" s="24">
        <f t="shared" ref="J331:P331" si="108">IF(AND(J283="-",J235="-"),"-",SUM(J283,J235))</f>
        <v>0</v>
      </c>
      <c r="K331" s="24">
        <f t="shared" si="108"/>
        <v>30</v>
      </c>
      <c r="L331" s="24">
        <f t="shared" si="108"/>
        <v>16274</v>
      </c>
      <c r="M331" s="24">
        <f t="shared" si="108"/>
        <v>47673</v>
      </c>
      <c r="N331" s="24">
        <f t="shared" si="108"/>
        <v>15167</v>
      </c>
      <c r="O331" s="24">
        <f t="shared" si="108"/>
        <v>0</v>
      </c>
      <c r="P331" s="24">
        <f t="shared" si="108"/>
        <v>79144</v>
      </c>
    </row>
    <row r="332" spans="1:16" ht="11.25" customHeight="1">
      <c r="A332" s="99">
        <v>2015</v>
      </c>
      <c r="B332" s="24">
        <f t="shared" ref="B332:H332" si="109">IF(AND(B284="-",B236="-"),"-",SUM(B284,B236))</f>
        <v>29724</v>
      </c>
      <c r="C332" s="24">
        <f t="shared" si="109"/>
        <v>40282</v>
      </c>
      <c r="D332" s="24">
        <f t="shared" si="109"/>
        <v>37109</v>
      </c>
      <c r="E332" s="24">
        <f t="shared" si="109"/>
        <v>14899</v>
      </c>
      <c r="F332" s="24">
        <f t="shared" si="109"/>
        <v>3120</v>
      </c>
      <c r="G332" s="24">
        <f t="shared" si="109"/>
        <v>0</v>
      </c>
      <c r="H332" s="24">
        <f t="shared" si="109"/>
        <v>125134</v>
      </c>
      <c r="I332" s="24"/>
      <c r="J332" s="24">
        <f t="shared" ref="J332:P332" si="110">IF(AND(J284="-",J236="-"),"-",SUM(J284,J236))</f>
        <v>0</v>
      </c>
      <c r="K332" s="24">
        <f t="shared" si="110"/>
        <v>3</v>
      </c>
      <c r="L332" s="24">
        <f t="shared" si="110"/>
        <v>3050</v>
      </c>
      <c r="M332" s="24">
        <f t="shared" si="110"/>
        <v>2887</v>
      </c>
      <c r="N332" s="24">
        <f t="shared" si="110"/>
        <v>3155</v>
      </c>
      <c r="O332" s="24">
        <f t="shared" si="110"/>
        <v>0</v>
      </c>
      <c r="P332" s="24">
        <f t="shared" si="110"/>
        <v>9095</v>
      </c>
    </row>
    <row r="333" spans="1:16" ht="11.25" customHeight="1">
      <c r="A333" s="99">
        <v>2016</v>
      </c>
      <c r="B333" s="24">
        <f t="shared" ref="B333:H333" si="111">IF(AND(B285="-",B237="-"),"-",SUM(B285,B237))</f>
        <v>10514</v>
      </c>
      <c r="C333" s="24">
        <f t="shared" si="111"/>
        <v>18805</v>
      </c>
      <c r="D333" s="24">
        <f t="shared" si="111"/>
        <v>8882</v>
      </c>
      <c r="E333" s="24">
        <f t="shared" si="111"/>
        <v>4297</v>
      </c>
      <c r="F333" s="24">
        <f t="shared" si="111"/>
        <v>5</v>
      </c>
      <c r="G333" s="24">
        <f t="shared" si="111"/>
        <v>0</v>
      </c>
      <c r="H333" s="24">
        <f t="shared" si="111"/>
        <v>42503</v>
      </c>
      <c r="I333" s="24"/>
      <c r="J333" s="24">
        <f t="shared" ref="J333:P333" si="112">IF(AND(J285="-",J237="-"),"-",SUM(J285,J237))</f>
        <v>0</v>
      </c>
      <c r="K333" s="24">
        <f t="shared" si="112"/>
        <v>0</v>
      </c>
      <c r="L333" s="24">
        <f t="shared" si="112"/>
        <v>29</v>
      </c>
      <c r="M333" s="24">
        <f t="shared" si="112"/>
        <v>15</v>
      </c>
      <c r="N333" s="24">
        <f t="shared" si="112"/>
        <v>0</v>
      </c>
      <c r="O333" s="24">
        <f t="shared" si="112"/>
        <v>1</v>
      </c>
      <c r="P333" s="24">
        <f t="shared" si="112"/>
        <v>44</v>
      </c>
    </row>
    <row r="334" spans="1:16" ht="11.25" customHeight="1">
      <c r="A334" s="99">
        <v>2017</v>
      </c>
      <c r="B334" s="24">
        <f t="shared" ref="B334:H334" si="113">IF(AND(B286="-",B238="-"),"-",SUM(B286,B238))</f>
        <v>15837</v>
      </c>
      <c r="C334" s="24">
        <f t="shared" si="113"/>
        <v>10159</v>
      </c>
      <c r="D334" s="24">
        <f t="shared" si="113"/>
        <v>21602</v>
      </c>
      <c r="E334" s="24">
        <f t="shared" si="113"/>
        <v>10522</v>
      </c>
      <c r="F334" s="24">
        <f t="shared" si="113"/>
        <v>1854</v>
      </c>
      <c r="G334" s="24">
        <f t="shared" si="113"/>
        <v>0</v>
      </c>
      <c r="H334" s="24">
        <f t="shared" si="113"/>
        <v>59974</v>
      </c>
      <c r="I334" s="24"/>
      <c r="J334" s="24">
        <f t="shared" ref="J334:P334" si="114">IF(AND(J286="-",J238="-"),"-",SUM(J286,J238))</f>
        <v>0</v>
      </c>
      <c r="K334" s="24">
        <f t="shared" si="114"/>
        <v>0</v>
      </c>
      <c r="L334" s="24">
        <f t="shared" si="114"/>
        <v>1250</v>
      </c>
      <c r="M334" s="24">
        <f t="shared" si="114"/>
        <v>8224</v>
      </c>
      <c r="N334" s="24">
        <f t="shared" si="114"/>
        <v>5714</v>
      </c>
      <c r="O334" s="24">
        <f t="shared" si="114"/>
        <v>0</v>
      </c>
      <c r="P334" s="24">
        <f t="shared" si="114"/>
        <v>15188</v>
      </c>
    </row>
    <row r="335" spans="1:16" ht="11.25" customHeight="1">
      <c r="A335" s="122">
        <v>2018</v>
      </c>
      <c r="B335" s="24">
        <f t="shared" ref="B335:H335" si="115">IF(AND(B287="-",B239="-"),"-",SUM(B287,B239))</f>
        <v>8008</v>
      </c>
      <c r="C335" s="24">
        <f t="shared" si="115"/>
        <v>21035</v>
      </c>
      <c r="D335" s="24">
        <f t="shared" si="115"/>
        <v>13954</v>
      </c>
      <c r="E335" s="24">
        <f t="shared" si="115"/>
        <v>3623</v>
      </c>
      <c r="F335" s="24">
        <f t="shared" si="115"/>
        <v>1172</v>
      </c>
      <c r="G335" s="24">
        <f t="shared" si="115"/>
        <v>0</v>
      </c>
      <c r="H335" s="24">
        <f t="shared" si="115"/>
        <v>47792</v>
      </c>
      <c r="I335" s="24"/>
      <c r="J335" s="24">
        <f t="shared" ref="J335:P335" si="116">IF(AND(J287="-",J239="-"),"-",SUM(J287,J239))</f>
        <v>0</v>
      </c>
      <c r="K335" s="24">
        <f t="shared" si="116"/>
        <v>15</v>
      </c>
      <c r="L335" s="24">
        <f t="shared" si="116"/>
        <v>2206</v>
      </c>
      <c r="M335" s="24">
        <f t="shared" si="116"/>
        <v>6053</v>
      </c>
      <c r="N335" s="24">
        <f t="shared" si="116"/>
        <v>4912</v>
      </c>
      <c r="O335" s="24">
        <f t="shared" si="116"/>
        <v>0</v>
      </c>
      <c r="P335" s="24">
        <f t="shared" si="116"/>
        <v>13186</v>
      </c>
    </row>
    <row r="336" spans="1:16" ht="11.25" customHeight="1">
      <c r="A336" s="122">
        <v>2019</v>
      </c>
      <c r="B336" s="24">
        <f t="shared" ref="B336:H336" si="117">IF(AND(B288="-",B240="-"),"-",SUM(B288,B240))</f>
        <v>4727</v>
      </c>
      <c r="C336" s="24">
        <f t="shared" si="117"/>
        <v>5190</v>
      </c>
      <c r="D336" s="24">
        <f t="shared" si="117"/>
        <v>24078</v>
      </c>
      <c r="E336" s="24">
        <f t="shared" si="117"/>
        <v>5551</v>
      </c>
      <c r="F336" s="24">
        <f t="shared" si="117"/>
        <v>2059</v>
      </c>
      <c r="G336" s="24">
        <f t="shared" si="117"/>
        <v>0</v>
      </c>
      <c r="H336" s="24">
        <f t="shared" si="117"/>
        <v>41605</v>
      </c>
      <c r="I336" s="24"/>
      <c r="J336" s="24">
        <f t="shared" ref="J336:P336" si="118">IF(AND(J288="-",J240="-"),"-",SUM(J288,J240))</f>
        <v>0</v>
      </c>
      <c r="K336" s="24">
        <f t="shared" si="118"/>
        <v>0</v>
      </c>
      <c r="L336" s="24">
        <f t="shared" si="118"/>
        <v>17081</v>
      </c>
      <c r="M336" s="24">
        <f t="shared" si="118"/>
        <v>35278</v>
      </c>
      <c r="N336" s="24">
        <f t="shared" si="118"/>
        <v>8555</v>
      </c>
      <c r="O336" s="24">
        <f t="shared" si="118"/>
        <v>0</v>
      </c>
      <c r="P336" s="24">
        <f t="shared" si="118"/>
        <v>60914</v>
      </c>
    </row>
    <row r="337" spans="1:16" ht="11.25" customHeight="1">
      <c r="A337" s="122">
        <v>2020</v>
      </c>
      <c r="B337" s="24">
        <f>IF(AND(B289="-",B241="-"),"-",SUM(B289,B241))</f>
        <v>717</v>
      </c>
      <c r="C337" s="24">
        <f t="shared" ref="C337:H338" si="119">IF(AND(C289="-",C241="-"),"-",SUM(C289,C241))</f>
        <v>1366</v>
      </c>
      <c r="D337" s="24">
        <f t="shared" si="119"/>
        <v>7948</v>
      </c>
      <c r="E337" s="24">
        <f t="shared" si="119"/>
        <v>4680</v>
      </c>
      <c r="F337" s="24">
        <f t="shared" si="119"/>
        <v>226</v>
      </c>
      <c r="G337" s="24">
        <f t="shared" si="119"/>
        <v>0</v>
      </c>
      <c r="H337" s="24">
        <f t="shared" si="119"/>
        <v>14937</v>
      </c>
      <c r="I337" s="24"/>
      <c r="J337" s="24">
        <f t="shared" ref="J337:P338" si="120">IF(AND(J289="-",J241="-"),"-",SUM(J289,J241))</f>
        <v>0</v>
      </c>
      <c r="K337" s="24">
        <f t="shared" si="120"/>
        <v>0</v>
      </c>
      <c r="L337" s="24">
        <f t="shared" si="120"/>
        <v>872</v>
      </c>
      <c r="M337" s="24">
        <f t="shared" si="120"/>
        <v>11242</v>
      </c>
      <c r="N337" s="24">
        <f t="shared" si="120"/>
        <v>3043</v>
      </c>
      <c r="O337" s="24">
        <f t="shared" si="120"/>
        <v>0</v>
      </c>
      <c r="P337" s="24">
        <f t="shared" si="120"/>
        <v>15157</v>
      </c>
    </row>
    <row r="338" spans="1:16" ht="11.25" customHeight="1">
      <c r="A338" s="122" t="s">
        <v>317</v>
      </c>
      <c r="B338" s="25">
        <f>IF(AND(B290="-",B242="-"),"-",SUM(B290,B242))</f>
        <v>3002</v>
      </c>
      <c r="C338" s="25">
        <f t="shared" si="119"/>
        <v>9431</v>
      </c>
      <c r="D338" s="25">
        <f t="shared" si="119"/>
        <v>9436</v>
      </c>
      <c r="E338" s="25">
        <f t="shared" si="119"/>
        <v>4865</v>
      </c>
      <c r="F338" s="25">
        <f t="shared" si="119"/>
        <v>756</v>
      </c>
      <c r="G338" s="25">
        <f t="shared" si="119"/>
        <v>0</v>
      </c>
      <c r="H338" s="25">
        <f t="shared" si="119"/>
        <v>27490</v>
      </c>
      <c r="I338" s="25"/>
      <c r="J338" s="25">
        <f t="shared" si="120"/>
        <v>0</v>
      </c>
      <c r="K338" s="25">
        <f t="shared" si="120"/>
        <v>0</v>
      </c>
      <c r="L338" s="25">
        <f t="shared" si="120"/>
        <v>1665</v>
      </c>
      <c r="M338" s="25">
        <f t="shared" si="120"/>
        <v>16134</v>
      </c>
      <c r="N338" s="25">
        <f t="shared" si="120"/>
        <v>12123</v>
      </c>
      <c r="O338" s="25">
        <f t="shared" si="120"/>
        <v>0</v>
      </c>
      <c r="P338" s="25">
        <f t="shared" si="120"/>
        <v>29922</v>
      </c>
    </row>
    <row r="339" spans="1:16" ht="11.25" customHeight="1">
      <c r="A339" s="266" t="s">
        <v>88</v>
      </c>
      <c r="B339" s="266"/>
      <c r="C339" s="266"/>
      <c r="D339" s="266"/>
      <c r="E339" s="266"/>
      <c r="F339" s="266"/>
      <c r="G339" s="266"/>
      <c r="H339" s="266"/>
      <c r="I339" s="266"/>
      <c r="J339" s="266"/>
      <c r="K339" s="266"/>
      <c r="L339" s="266"/>
      <c r="M339" s="266"/>
      <c r="N339" s="266"/>
      <c r="O339" s="266"/>
      <c r="P339" s="266"/>
    </row>
    <row r="340" spans="1:16" ht="11.25" customHeight="1">
      <c r="A340" s="71" t="s">
        <v>42</v>
      </c>
      <c r="B340" s="71"/>
      <c r="C340" s="71"/>
      <c r="D340" s="71"/>
      <c r="E340" s="71"/>
      <c r="F340" s="71"/>
      <c r="G340" s="71"/>
      <c r="H340" s="71"/>
      <c r="I340" s="71"/>
      <c r="J340" s="71"/>
      <c r="K340" s="71"/>
      <c r="L340" s="71"/>
      <c r="M340" s="71"/>
      <c r="N340" s="71"/>
      <c r="O340" s="71"/>
      <c r="P340" s="71"/>
    </row>
    <row r="341" spans="1:16" ht="11.25" customHeight="1">
      <c r="A341" s="71" t="s">
        <v>13</v>
      </c>
      <c r="B341" s="71"/>
      <c r="C341" s="71"/>
      <c r="D341" s="71"/>
      <c r="E341" s="71"/>
      <c r="F341" s="71"/>
      <c r="G341" s="71"/>
      <c r="H341" s="71"/>
      <c r="I341" s="71"/>
      <c r="J341" s="71"/>
      <c r="K341" s="71"/>
      <c r="L341" s="71"/>
      <c r="M341" s="71"/>
      <c r="N341" s="71"/>
      <c r="O341" s="71"/>
      <c r="P341" s="71"/>
    </row>
    <row r="342" spans="1:16" ht="11.25" customHeight="1"/>
    <row r="343" spans="1:16" ht="11.25" customHeight="1"/>
    <row r="344" spans="1:16" ht="11.25" customHeight="1"/>
    <row r="345" spans="1:16" ht="11.25" customHeight="1"/>
    <row r="346" spans="1:16" ht="11.25" customHeight="1"/>
    <row r="347" spans="1:16" ht="11.25" customHeight="1"/>
    <row r="348" spans="1:16" ht="11.25" customHeight="1">
      <c r="A348" s="158"/>
      <c r="B348" s="160"/>
      <c r="C348" s="160"/>
      <c r="D348" s="160"/>
      <c r="E348" s="160"/>
      <c r="F348" s="160"/>
      <c r="G348" s="160"/>
      <c r="H348" s="160"/>
      <c r="I348" s="160"/>
      <c r="J348" s="160"/>
      <c r="K348" s="160"/>
      <c r="L348" s="160"/>
      <c r="M348" s="160"/>
      <c r="N348" s="160"/>
      <c r="O348" s="160"/>
      <c r="P348" s="160"/>
    </row>
    <row r="349" spans="1:16" ht="14.75" customHeight="1">
      <c r="A349" s="283" t="s">
        <v>297</v>
      </c>
      <c r="B349" s="283"/>
      <c r="C349" s="283"/>
      <c r="D349" s="283"/>
      <c r="E349" s="283"/>
      <c r="F349" s="283"/>
      <c r="G349" s="283"/>
      <c r="H349" s="283"/>
      <c r="I349" s="283"/>
      <c r="J349" s="283"/>
      <c r="K349" s="283"/>
      <c r="L349" s="283"/>
      <c r="M349" s="283"/>
      <c r="N349" s="283"/>
      <c r="O349" s="283"/>
      <c r="P349" s="283"/>
    </row>
    <row r="350" spans="1:16" ht="11.25" customHeight="1">
      <c r="A350" s="98" t="s">
        <v>27</v>
      </c>
      <c r="B350" s="46" t="s">
        <v>29</v>
      </c>
      <c r="C350" s="46" t="s">
        <v>30</v>
      </c>
      <c r="D350" s="46" t="s">
        <v>89</v>
      </c>
      <c r="E350" s="46" t="s">
        <v>90</v>
      </c>
      <c r="F350" s="46" t="s">
        <v>33</v>
      </c>
      <c r="G350" s="46" t="s">
        <v>34</v>
      </c>
      <c r="H350" s="46" t="s">
        <v>22</v>
      </c>
      <c r="I350" s="46"/>
      <c r="J350" s="46" t="s">
        <v>29</v>
      </c>
      <c r="K350" s="46" t="s">
        <v>30</v>
      </c>
      <c r="L350" s="46" t="s">
        <v>91</v>
      </c>
      <c r="M350" s="46" t="s">
        <v>92</v>
      </c>
      <c r="N350" s="46" t="s">
        <v>33</v>
      </c>
      <c r="O350" s="46" t="s">
        <v>34</v>
      </c>
      <c r="P350" s="46" t="s">
        <v>22</v>
      </c>
    </row>
    <row r="351" spans="1:16" ht="11.25" customHeight="1">
      <c r="B351" s="334" t="s">
        <v>61</v>
      </c>
      <c r="C351" s="334"/>
      <c r="D351" s="334"/>
      <c r="E351" s="334"/>
      <c r="F351" s="334"/>
      <c r="G351" s="334"/>
      <c r="H351" s="334"/>
      <c r="I351" s="14"/>
      <c r="J351" s="334" t="s">
        <v>62</v>
      </c>
      <c r="K351" s="334"/>
      <c r="L351" s="334"/>
      <c r="M351" s="334"/>
      <c r="N351" s="334"/>
      <c r="O351" s="334"/>
      <c r="P351" s="334"/>
    </row>
    <row r="352" spans="1:16" ht="11.25" customHeight="1">
      <c r="A352" s="94" t="s">
        <v>85</v>
      </c>
    </row>
    <row r="353" spans="1:16" ht="11.25" customHeight="1">
      <c r="A353" s="99" t="s">
        <v>24</v>
      </c>
      <c r="B353" s="142">
        <f>AVERAGE(B10:B14)</f>
        <v>25195</v>
      </c>
      <c r="C353" s="142">
        <f t="shared" ref="C353:H353" si="121">AVERAGE(C10:C14)</f>
        <v>3441.75</v>
      </c>
      <c r="D353" s="142">
        <f t="shared" si="121"/>
        <v>24381.25</v>
      </c>
      <c r="E353" s="142">
        <f t="shared" si="121"/>
        <v>4671</v>
      </c>
      <c r="F353" s="142">
        <f t="shared" si="121"/>
        <v>31</v>
      </c>
      <c r="G353" s="142" t="s">
        <v>23</v>
      </c>
      <c r="H353" s="142">
        <f t="shared" si="121"/>
        <v>52130.6</v>
      </c>
      <c r="I353" s="142"/>
      <c r="J353" s="142" t="s">
        <v>23</v>
      </c>
      <c r="K353" s="142" t="s">
        <v>23</v>
      </c>
      <c r="L353" s="142">
        <f>AVERAGE(L10:L14)</f>
        <v>117949.75</v>
      </c>
      <c r="M353" s="142">
        <f>AVERAGE(M10:M14)</f>
        <v>25994</v>
      </c>
      <c r="N353" s="142">
        <f>AVERAGE(N10:N14)</f>
        <v>99.5</v>
      </c>
      <c r="O353" s="142" t="s">
        <v>23</v>
      </c>
      <c r="P353" s="142">
        <f>AVERAGE(P10:P14)</f>
        <v>120393.60000000001</v>
      </c>
    </row>
    <row r="354" spans="1:16" ht="11.25" customHeight="1">
      <c r="A354" s="99" t="s">
        <v>78</v>
      </c>
      <c r="B354" s="142">
        <f>AVERAGE(B15:B19)</f>
        <v>27081.200000000001</v>
      </c>
      <c r="C354" s="142">
        <f t="shared" ref="C354:H354" si="122">AVERAGE(C15:C19)</f>
        <v>11293.75</v>
      </c>
      <c r="D354" s="142">
        <f t="shared" si="122"/>
        <v>8913.5</v>
      </c>
      <c r="E354" s="142">
        <f t="shared" si="122"/>
        <v>1811.25</v>
      </c>
      <c r="F354" s="142">
        <f t="shared" si="122"/>
        <v>11</v>
      </c>
      <c r="G354" s="142" t="s">
        <v>23</v>
      </c>
      <c r="H354" s="142">
        <f t="shared" si="122"/>
        <v>41132.800000000003</v>
      </c>
      <c r="I354" s="142"/>
      <c r="J354" s="142" t="s">
        <v>23</v>
      </c>
      <c r="K354" s="142" t="s">
        <v>23</v>
      </c>
      <c r="L354" s="142">
        <f>AVERAGE(L15:L19)</f>
        <v>18447</v>
      </c>
      <c r="M354" s="142">
        <f>AVERAGE(M15:M19)</f>
        <v>34981.25</v>
      </c>
      <c r="N354" s="142">
        <f>AVERAGE(N15:N19)</f>
        <v>16</v>
      </c>
      <c r="O354" s="142" t="s">
        <v>23</v>
      </c>
      <c r="P354" s="142">
        <f>AVERAGE(P15:P19)</f>
        <v>35367</v>
      </c>
    </row>
    <row r="355" spans="1:16" ht="11.25" customHeight="1">
      <c r="A355" s="99" t="s">
        <v>10</v>
      </c>
      <c r="B355" s="142">
        <f>AVERAGE(B20:B24)</f>
        <v>15856.666666666666</v>
      </c>
      <c r="C355" s="142">
        <f t="shared" ref="C355:P355" si="123">AVERAGE(C20:C24)</f>
        <v>11859</v>
      </c>
      <c r="D355" s="142">
        <f t="shared" si="123"/>
        <v>3928.5</v>
      </c>
      <c r="E355" s="142">
        <f t="shared" si="123"/>
        <v>1278.75</v>
      </c>
      <c r="F355" s="142">
        <f t="shared" si="123"/>
        <v>1117.5</v>
      </c>
      <c r="G355" s="142" t="s">
        <v>23</v>
      </c>
      <c r="H355" s="142">
        <f t="shared" si="123"/>
        <v>24588.5</v>
      </c>
      <c r="I355" s="142"/>
      <c r="J355" s="142" t="s">
        <v>23</v>
      </c>
      <c r="K355" s="142" t="s">
        <v>23</v>
      </c>
      <c r="L355" s="142">
        <f t="shared" si="123"/>
        <v>7118.5</v>
      </c>
      <c r="M355" s="142">
        <f t="shared" si="123"/>
        <v>13591.5</v>
      </c>
      <c r="N355" s="142">
        <f t="shared" si="123"/>
        <v>8241.6666666666661</v>
      </c>
      <c r="O355" s="142" t="s">
        <v>23</v>
      </c>
      <c r="P355" s="142">
        <f t="shared" si="123"/>
        <v>23332</v>
      </c>
    </row>
    <row r="356" spans="1:16" ht="11.25" customHeight="1">
      <c r="A356" s="99" t="s">
        <v>144</v>
      </c>
      <c r="B356" s="142">
        <f>AVERAGE(B25:B29)</f>
        <v>5246.5</v>
      </c>
      <c r="C356" s="142">
        <f t="shared" ref="C356:P356" si="124">AVERAGE(C25:C29)</f>
        <v>2897</v>
      </c>
      <c r="D356" s="142">
        <f t="shared" si="124"/>
        <v>4030</v>
      </c>
      <c r="E356" s="142">
        <f t="shared" si="124"/>
        <v>1456</v>
      </c>
      <c r="F356" s="142">
        <f t="shared" si="124"/>
        <v>3</v>
      </c>
      <c r="G356" s="142" t="s">
        <v>23</v>
      </c>
      <c r="H356" s="142">
        <f t="shared" si="124"/>
        <v>9879.75</v>
      </c>
      <c r="I356" s="142"/>
      <c r="J356" s="142" t="s">
        <v>23</v>
      </c>
      <c r="K356" s="142" t="s">
        <v>23</v>
      </c>
      <c r="L356" s="142">
        <f t="shared" si="124"/>
        <v>3905</v>
      </c>
      <c r="M356" s="142">
        <f t="shared" si="124"/>
        <v>5207</v>
      </c>
      <c r="N356" s="142">
        <f t="shared" si="124"/>
        <v>193</v>
      </c>
      <c r="O356" s="142" t="s">
        <v>23</v>
      </c>
      <c r="P356" s="142">
        <f t="shared" si="124"/>
        <v>7939</v>
      </c>
    </row>
    <row r="357" spans="1:16" ht="11.25" customHeight="1">
      <c r="A357" s="99" t="s">
        <v>166</v>
      </c>
      <c r="B357" s="142">
        <f>AVERAGE(B30:B34)</f>
        <v>15314</v>
      </c>
      <c r="C357" s="142">
        <f>AVERAGE(C30:C34)</f>
        <v>6071.6</v>
      </c>
      <c r="D357" s="142">
        <f>AVERAGE(D30:D34)</f>
        <v>9696.6</v>
      </c>
      <c r="E357" s="142">
        <f>AVERAGE(E30:E34)</f>
        <v>7328.2</v>
      </c>
      <c r="F357" s="142">
        <f>AVERAGE(F30:F34)</f>
        <v>1057.3333333333333</v>
      </c>
      <c r="G357" s="142" t="str">
        <f>G30</f>
        <v>-</v>
      </c>
      <c r="H357" s="142">
        <f>AVERAGE(H30:H34)</f>
        <v>39044.800000000003</v>
      </c>
      <c r="I357" s="142"/>
      <c r="J357" s="142" t="str">
        <f t="shared" ref="J357:O357" si="125">J30</f>
        <v>-</v>
      </c>
      <c r="K357" s="142" t="str">
        <f t="shared" si="125"/>
        <v>-</v>
      </c>
      <c r="L357" s="142">
        <f>AVERAGE(L30:L34)</f>
        <v>1864</v>
      </c>
      <c r="M357" s="142">
        <f>AVERAGE(M30:M34)</f>
        <v>2233.6</v>
      </c>
      <c r="N357" s="142">
        <f>AVERAGE(N30:N34)</f>
        <v>2905.6666666666665</v>
      </c>
      <c r="O357" s="142" t="str">
        <f t="shared" si="125"/>
        <v>-</v>
      </c>
      <c r="P357" s="142">
        <f>AVERAGE(P30:P34)</f>
        <v>5468.2</v>
      </c>
    </row>
    <row r="358" spans="1:16" ht="11.25" customHeight="1">
      <c r="A358" s="99" t="s">
        <v>315</v>
      </c>
      <c r="B358" s="142">
        <f>AVERAGE(B35:B39)</f>
        <v>5128.6000000000004</v>
      </c>
      <c r="C358" s="142">
        <f t="shared" ref="C358:H358" si="126">AVERAGE(C35:C39)</f>
        <v>7438.6</v>
      </c>
      <c r="D358" s="142">
        <f t="shared" si="126"/>
        <v>2686.6</v>
      </c>
      <c r="E358" s="142">
        <f t="shared" si="126"/>
        <v>2657.4</v>
      </c>
      <c r="F358" s="142">
        <f t="shared" si="126"/>
        <v>503.8</v>
      </c>
      <c r="G358" s="142" t="str">
        <f>G35</f>
        <v>-</v>
      </c>
      <c r="H358" s="142">
        <f t="shared" si="126"/>
        <v>18415</v>
      </c>
      <c r="I358" s="142"/>
      <c r="J358" s="142" t="str">
        <f t="shared" ref="J358:K358" si="127">J35</f>
        <v>-</v>
      </c>
      <c r="K358" s="142" t="str">
        <f t="shared" si="127"/>
        <v>-</v>
      </c>
      <c r="L358" s="142">
        <f t="shared" ref="L358:P358" si="128">AVERAGE(L35:L39)</f>
        <v>1671.8</v>
      </c>
      <c r="M358" s="142">
        <f t="shared" si="128"/>
        <v>2560.1999999999998</v>
      </c>
      <c r="N358" s="142">
        <f t="shared" si="128"/>
        <v>887</v>
      </c>
      <c r="O358" s="142" t="str">
        <f>O35</f>
        <v>-</v>
      </c>
      <c r="P358" s="142">
        <f t="shared" si="128"/>
        <v>5119</v>
      </c>
    </row>
    <row r="359" spans="1:16" ht="11.25" customHeight="1">
      <c r="A359" s="99">
        <v>2011</v>
      </c>
      <c r="B359" s="142">
        <f t="shared" ref="B359:H359" si="129">B40</f>
        <v>7682</v>
      </c>
      <c r="C359" s="142">
        <f t="shared" si="129"/>
        <v>9315</v>
      </c>
      <c r="D359" s="142">
        <f t="shared" si="129"/>
        <v>6015</v>
      </c>
      <c r="E359" s="142">
        <f t="shared" si="129"/>
        <v>2520</v>
      </c>
      <c r="F359" s="142">
        <f t="shared" si="129"/>
        <v>338</v>
      </c>
      <c r="G359" s="142" t="str">
        <f t="shared" si="129"/>
        <v>-</v>
      </c>
      <c r="H359" s="142">
        <f t="shared" si="129"/>
        <v>25870</v>
      </c>
      <c r="I359" s="142"/>
      <c r="J359" s="142" t="str">
        <f t="shared" ref="J359:P359" si="130">J40</f>
        <v>-</v>
      </c>
      <c r="K359" s="142" t="str">
        <f t="shared" si="130"/>
        <v>-</v>
      </c>
      <c r="L359" s="142">
        <f t="shared" si="130"/>
        <v>1630</v>
      </c>
      <c r="M359" s="142">
        <f t="shared" si="130"/>
        <v>892</v>
      </c>
      <c r="N359" s="142">
        <f t="shared" si="130"/>
        <v>493</v>
      </c>
      <c r="O359" s="142" t="str">
        <f t="shared" si="130"/>
        <v>-</v>
      </c>
      <c r="P359" s="142">
        <f t="shared" si="130"/>
        <v>3015</v>
      </c>
    </row>
    <row r="360" spans="1:16" ht="11.25" customHeight="1">
      <c r="A360" s="99">
        <v>2012</v>
      </c>
      <c r="B360" s="142">
        <f t="shared" ref="B360:H367" si="131">B41</f>
        <v>10366</v>
      </c>
      <c r="C360" s="142">
        <f t="shared" si="131"/>
        <v>10371</v>
      </c>
      <c r="D360" s="142">
        <f t="shared" si="131"/>
        <v>5312</v>
      </c>
      <c r="E360" s="142">
        <f t="shared" si="131"/>
        <v>6398</v>
      </c>
      <c r="F360" s="142">
        <f t="shared" si="131"/>
        <v>2158</v>
      </c>
      <c r="G360" s="142" t="str">
        <f t="shared" si="131"/>
        <v>-</v>
      </c>
      <c r="H360" s="142">
        <f t="shared" si="131"/>
        <v>34605</v>
      </c>
      <c r="I360" s="142"/>
      <c r="J360" s="142" t="str">
        <f t="shared" ref="J360:P367" si="132">J41</f>
        <v>-</v>
      </c>
      <c r="K360" s="142" t="str">
        <f t="shared" si="132"/>
        <v>-</v>
      </c>
      <c r="L360" s="142">
        <f t="shared" si="132"/>
        <v>746</v>
      </c>
      <c r="M360" s="142">
        <f t="shared" si="132"/>
        <v>1116</v>
      </c>
      <c r="N360" s="142">
        <f t="shared" si="132"/>
        <v>1317</v>
      </c>
      <c r="O360" s="142" t="str">
        <f t="shared" si="132"/>
        <v>-</v>
      </c>
      <c r="P360" s="142">
        <f t="shared" si="132"/>
        <v>3179</v>
      </c>
    </row>
    <row r="361" spans="1:16" ht="11.25" customHeight="1">
      <c r="A361" s="99">
        <v>2013</v>
      </c>
      <c r="B361" s="142">
        <f t="shared" si="131"/>
        <v>10487</v>
      </c>
      <c r="C361" s="142">
        <f t="shared" si="131"/>
        <v>11848</v>
      </c>
      <c r="D361" s="142">
        <f t="shared" si="131"/>
        <v>7816</v>
      </c>
      <c r="E361" s="142">
        <f t="shared" si="131"/>
        <v>8689</v>
      </c>
      <c r="F361" s="142">
        <f t="shared" si="131"/>
        <v>690</v>
      </c>
      <c r="G361" s="142" t="str">
        <f t="shared" si="131"/>
        <v>-</v>
      </c>
      <c r="H361" s="142">
        <f t="shared" si="131"/>
        <v>39530</v>
      </c>
      <c r="I361" s="142"/>
      <c r="J361" s="142" t="str">
        <f t="shared" si="132"/>
        <v>-</v>
      </c>
      <c r="K361" s="142" t="str">
        <f t="shared" si="132"/>
        <v>-</v>
      </c>
      <c r="L361" s="142">
        <f t="shared" si="132"/>
        <v>1892</v>
      </c>
      <c r="M361" s="142">
        <f t="shared" si="132"/>
        <v>3764</v>
      </c>
      <c r="N361" s="142">
        <f t="shared" si="132"/>
        <v>258</v>
      </c>
      <c r="O361" s="142" t="str">
        <f t="shared" si="132"/>
        <v>-</v>
      </c>
      <c r="P361" s="142">
        <f t="shared" si="132"/>
        <v>5914</v>
      </c>
    </row>
    <row r="362" spans="1:16" ht="11.25" customHeight="1">
      <c r="A362" s="99">
        <v>2014</v>
      </c>
      <c r="B362" s="142">
        <f t="shared" si="131"/>
        <v>12788</v>
      </c>
      <c r="C362" s="142">
        <f t="shared" si="131"/>
        <v>2557</v>
      </c>
      <c r="D362" s="142">
        <f t="shared" si="131"/>
        <v>8098</v>
      </c>
      <c r="E362" s="142">
        <f t="shared" si="131"/>
        <v>5664</v>
      </c>
      <c r="F362" s="142">
        <f t="shared" si="131"/>
        <v>620</v>
      </c>
      <c r="G362" s="142" t="str">
        <f t="shared" si="131"/>
        <v>-</v>
      </c>
      <c r="H362" s="142">
        <f t="shared" si="131"/>
        <v>29727</v>
      </c>
      <c r="I362" s="142"/>
      <c r="J362" s="142" t="str">
        <f t="shared" si="132"/>
        <v>-</v>
      </c>
      <c r="K362" s="142" t="str">
        <f t="shared" si="132"/>
        <v>-</v>
      </c>
      <c r="L362" s="142">
        <f t="shared" si="132"/>
        <v>2907</v>
      </c>
      <c r="M362" s="142">
        <f t="shared" si="132"/>
        <v>6050</v>
      </c>
      <c r="N362" s="142">
        <f t="shared" si="132"/>
        <v>4211</v>
      </c>
      <c r="O362" s="142" t="str">
        <f t="shared" si="132"/>
        <v>-</v>
      </c>
      <c r="P362" s="142">
        <f t="shared" si="132"/>
        <v>13168</v>
      </c>
    </row>
    <row r="363" spans="1:16" ht="11.25" customHeight="1">
      <c r="A363" s="99">
        <v>2015</v>
      </c>
      <c r="B363" s="142">
        <f t="shared" si="131"/>
        <v>12922</v>
      </c>
      <c r="C363" s="142">
        <f t="shared" si="131"/>
        <v>14408</v>
      </c>
      <c r="D363" s="142">
        <f t="shared" si="131"/>
        <v>12610</v>
      </c>
      <c r="E363" s="142">
        <f t="shared" si="131"/>
        <v>9831</v>
      </c>
      <c r="F363" s="142">
        <f t="shared" si="131"/>
        <v>1517</v>
      </c>
      <c r="G363" s="142" t="str">
        <f t="shared" si="131"/>
        <v>-</v>
      </c>
      <c r="H363" s="142">
        <f t="shared" si="131"/>
        <v>51288</v>
      </c>
      <c r="I363" s="142"/>
      <c r="J363" s="142" t="str">
        <f t="shared" si="132"/>
        <v>-</v>
      </c>
      <c r="K363" s="142" t="str">
        <f t="shared" si="132"/>
        <v>-</v>
      </c>
      <c r="L363" s="142">
        <f t="shared" si="132"/>
        <v>687</v>
      </c>
      <c r="M363" s="142">
        <f t="shared" si="132"/>
        <v>998</v>
      </c>
      <c r="N363" s="142">
        <f t="shared" si="132"/>
        <v>497</v>
      </c>
      <c r="O363" s="142" t="str">
        <f t="shared" si="132"/>
        <v>-</v>
      </c>
      <c r="P363" s="142">
        <f t="shared" si="132"/>
        <v>2182</v>
      </c>
    </row>
    <row r="364" spans="1:16" ht="11.25" customHeight="1">
      <c r="A364" s="99">
        <v>2016</v>
      </c>
      <c r="B364" s="142">
        <f t="shared" si="131"/>
        <v>6434</v>
      </c>
      <c r="C364" s="142">
        <f t="shared" si="131"/>
        <v>3964</v>
      </c>
      <c r="D364" s="142">
        <f t="shared" si="131"/>
        <v>3325</v>
      </c>
      <c r="E364" s="142">
        <f t="shared" si="131"/>
        <v>1962</v>
      </c>
      <c r="F364" s="142" t="str">
        <f t="shared" si="131"/>
        <v>-</v>
      </c>
      <c r="G364" s="142" t="str">
        <f t="shared" si="131"/>
        <v>-</v>
      </c>
      <c r="H364" s="142">
        <f t="shared" si="131"/>
        <v>15685</v>
      </c>
      <c r="I364" s="142"/>
      <c r="J364" s="142" t="str">
        <f t="shared" si="132"/>
        <v>-</v>
      </c>
      <c r="K364" s="142" t="str">
        <f t="shared" si="132"/>
        <v>-</v>
      </c>
      <c r="L364" s="142" t="str">
        <f t="shared" si="132"/>
        <v>-</v>
      </c>
      <c r="M364" s="142" t="str">
        <f t="shared" si="132"/>
        <v>-</v>
      </c>
      <c r="N364" s="142" t="str">
        <f t="shared" si="132"/>
        <v>-</v>
      </c>
      <c r="O364" s="142" t="str">
        <f t="shared" si="132"/>
        <v>-</v>
      </c>
      <c r="P364" s="142" t="str">
        <f t="shared" si="132"/>
        <v>-</v>
      </c>
    </row>
    <row r="365" spans="1:16" ht="11.25" customHeight="1">
      <c r="A365" s="99">
        <v>2017</v>
      </c>
      <c r="B365" s="142">
        <f t="shared" si="131"/>
        <v>13356</v>
      </c>
      <c r="C365" s="142">
        <f t="shared" si="131"/>
        <v>7246</v>
      </c>
      <c r="D365" s="142">
        <f t="shared" si="131"/>
        <v>5706</v>
      </c>
      <c r="E365" s="142">
        <f t="shared" si="131"/>
        <v>5285</v>
      </c>
      <c r="F365" s="142">
        <f t="shared" si="131"/>
        <v>766</v>
      </c>
      <c r="G365" s="142" t="str">
        <f t="shared" si="131"/>
        <v>-</v>
      </c>
      <c r="H365" s="142">
        <f t="shared" si="131"/>
        <v>32359</v>
      </c>
      <c r="I365" s="142"/>
      <c r="J365" s="142" t="str">
        <f t="shared" si="132"/>
        <v>-</v>
      </c>
      <c r="K365" s="142" t="str">
        <f t="shared" si="132"/>
        <v>-</v>
      </c>
      <c r="L365" s="142">
        <f t="shared" si="132"/>
        <v>217</v>
      </c>
      <c r="M365" s="142">
        <f t="shared" si="132"/>
        <v>719</v>
      </c>
      <c r="N365" s="142">
        <f t="shared" si="132"/>
        <v>301</v>
      </c>
      <c r="O365" s="142" t="str">
        <f t="shared" si="132"/>
        <v>-</v>
      </c>
      <c r="P365" s="142">
        <f t="shared" si="132"/>
        <v>1237</v>
      </c>
    </row>
    <row r="366" spans="1:16" ht="11.25" customHeight="1">
      <c r="A366" s="122">
        <v>2018</v>
      </c>
      <c r="B366" s="142">
        <f t="shared" si="131"/>
        <v>6653</v>
      </c>
      <c r="C366" s="142">
        <f t="shared" si="131"/>
        <v>8942</v>
      </c>
      <c r="D366" s="142">
        <f t="shared" si="131"/>
        <v>5438</v>
      </c>
      <c r="E366" s="142">
        <f t="shared" si="131"/>
        <v>1683</v>
      </c>
      <c r="F366" s="142">
        <f t="shared" si="131"/>
        <v>709</v>
      </c>
      <c r="G366" s="142" t="str">
        <f t="shared" si="131"/>
        <v>-</v>
      </c>
      <c r="H366" s="142">
        <f t="shared" si="131"/>
        <v>23425</v>
      </c>
      <c r="I366" s="142"/>
      <c r="J366" s="142" t="str">
        <f t="shared" si="132"/>
        <v>-</v>
      </c>
      <c r="K366" s="142" t="str">
        <f t="shared" si="132"/>
        <v>-</v>
      </c>
      <c r="L366" s="142">
        <f t="shared" si="132"/>
        <v>415</v>
      </c>
      <c r="M366" s="142">
        <f t="shared" si="132"/>
        <v>456</v>
      </c>
      <c r="N366" s="142">
        <f t="shared" si="132"/>
        <v>388</v>
      </c>
      <c r="O366" s="142" t="str">
        <f t="shared" si="132"/>
        <v>-</v>
      </c>
      <c r="P366" s="142">
        <f t="shared" si="132"/>
        <v>1259</v>
      </c>
    </row>
    <row r="367" spans="1:16" ht="11.25" customHeight="1">
      <c r="A367" s="122">
        <v>2019</v>
      </c>
      <c r="B367" s="142">
        <f t="shared" si="131"/>
        <v>3762</v>
      </c>
      <c r="C367" s="142">
        <f t="shared" si="131"/>
        <v>3018</v>
      </c>
      <c r="D367" s="142">
        <f t="shared" si="131"/>
        <v>11394</v>
      </c>
      <c r="E367" s="142">
        <f t="shared" si="131"/>
        <v>2641</v>
      </c>
      <c r="F367" s="142">
        <f t="shared" si="131"/>
        <v>1732</v>
      </c>
      <c r="G367" s="142" t="str">
        <f t="shared" si="131"/>
        <v>-</v>
      </c>
      <c r="H367" s="142">
        <f t="shared" si="131"/>
        <v>22547</v>
      </c>
      <c r="I367" s="142"/>
      <c r="J367" s="142" t="str">
        <f t="shared" si="132"/>
        <v>-</v>
      </c>
      <c r="K367" s="142" t="str">
        <f t="shared" si="132"/>
        <v>-</v>
      </c>
      <c r="L367" s="142">
        <f t="shared" si="132"/>
        <v>1477</v>
      </c>
      <c r="M367" s="142">
        <f t="shared" si="132"/>
        <v>1060</v>
      </c>
      <c r="N367" s="142">
        <f t="shared" si="132"/>
        <v>1201</v>
      </c>
      <c r="O367" s="142" t="str">
        <f t="shared" si="132"/>
        <v>-</v>
      </c>
      <c r="P367" s="142">
        <f t="shared" si="132"/>
        <v>3738</v>
      </c>
    </row>
    <row r="368" spans="1:16" ht="11.25" customHeight="1">
      <c r="A368" s="122">
        <v>2020</v>
      </c>
      <c r="B368" s="142">
        <f>B49</f>
        <v>478</v>
      </c>
      <c r="C368" s="142">
        <f t="shared" ref="C368:H369" si="133">C49</f>
        <v>1175</v>
      </c>
      <c r="D368" s="142">
        <f t="shared" si="133"/>
        <v>7269</v>
      </c>
      <c r="E368" s="142">
        <f t="shared" si="133"/>
        <v>2861</v>
      </c>
      <c r="F368" s="142">
        <f t="shared" si="133"/>
        <v>149</v>
      </c>
      <c r="G368" s="142" t="str">
        <f t="shared" si="133"/>
        <v>-</v>
      </c>
      <c r="H368" s="142">
        <f t="shared" si="133"/>
        <v>11932</v>
      </c>
      <c r="I368" s="142"/>
      <c r="J368" s="142" t="str">
        <f t="shared" ref="J368:P369" si="134">J49</f>
        <v>-</v>
      </c>
      <c r="K368" s="142" t="str">
        <f t="shared" si="134"/>
        <v>-</v>
      </c>
      <c r="L368" s="142">
        <f t="shared" si="134"/>
        <v>222</v>
      </c>
      <c r="M368" s="142">
        <f t="shared" si="134"/>
        <v>314</v>
      </c>
      <c r="N368" s="142">
        <f t="shared" si="134"/>
        <v>86</v>
      </c>
      <c r="O368" s="142" t="str">
        <f t="shared" si="134"/>
        <v>-</v>
      </c>
      <c r="P368" s="142">
        <f t="shared" si="134"/>
        <v>622</v>
      </c>
    </row>
    <row r="369" spans="1:16" ht="11.25" customHeight="1">
      <c r="A369" s="122" t="s">
        <v>317</v>
      </c>
      <c r="B369" s="142">
        <f>B50</f>
        <v>2542</v>
      </c>
      <c r="C369" s="142">
        <f t="shared" si="133"/>
        <v>7202</v>
      </c>
      <c r="D369" s="142">
        <f t="shared" si="133"/>
        <v>5547</v>
      </c>
      <c r="E369" s="142">
        <f t="shared" si="133"/>
        <v>3140</v>
      </c>
      <c r="F369" s="142">
        <f t="shared" si="133"/>
        <v>508</v>
      </c>
      <c r="G369" s="142" t="str">
        <f t="shared" si="133"/>
        <v>-</v>
      </c>
      <c r="H369" s="142">
        <f t="shared" si="133"/>
        <v>18939</v>
      </c>
      <c r="I369" s="142"/>
      <c r="J369" s="142" t="str">
        <f t="shared" si="134"/>
        <v>-</v>
      </c>
      <c r="K369" s="142" t="str">
        <f t="shared" si="134"/>
        <v>-</v>
      </c>
      <c r="L369" s="142">
        <f t="shared" si="134"/>
        <v>551</v>
      </c>
      <c r="M369" s="142">
        <f t="shared" si="134"/>
        <v>1071</v>
      </c>
      <c r="N369" s="142">
        <f t="shared" si="134"/>
        <v>1625</v>
      </c>
      <c r="O369" s="142" t="str">
        <f t="shared" si="134"/>
        <v>-</v>
      </c>
      <c r="P369" s="142">
        <f t="shared" si="134"/>
        <v>3247</v>
      </c>
    </row>
    <row r="370" spans="1:16" ht="11.25" customHeight="1">
      <c r="B370" s="142"/>
      <c r="C370" s="142"/>
      <c r="D370" s="142"/>
      <c r="E370" s="142"/>
      <c r="F370" s="142"/>
      <c r="G370" s="142"/>
      <c r="H370" s="142"/>
      <c r="I370" s="142"/>
      <c r="J370" s="142"/>
      <c r="K370" s="142"/>
      <c r="L370" s="142"/>
      <c r="M370" s="142"/>
      <c r="N370" s="142"/>
      <c r="O370" s="142"/>
      <c r="P370" s="142"/>
    </row>
    <row r="371" spans="1:16">
      <c r="A371" s="94" t="s">
        <v>229</v>
      </c>
      <c r="B371" s="120"/>
      <c r="C371" s="120"/>
      <c r="D371" s="120"/>
      <c r="E371" s="120"/>
      <c r="F371" s="120"/>
      <c r="G371" s="120"/>
      <c r="H371" s="120"/>
      <c r="I371" s="120"/>
      <c r="J371" s="120"/>
      <c r="K371" s="120"/>
      <c r="L371" s="120"/>
      <c r="M371" s="120"/>
      <c r="N371" s="120"/>
      <c r="O371" s="120"/>
      <c r="P371" s="120"/>
    </row>
    <row r="372" spans="1:16" ht="11.25" customHeight="1">
      <c r="A372" s="99" t="s">
        <v>24</v>
      </c>
      <c r="B372" s="142">
        <f>AVERAGE(B58:B62)</f>
        <v>2150.1999999999998</v>
      </c>
      <c r="C372" s="142">
        <f t="shared" ref="C372:H372" si="135">AVERAGE(C58:C62)</f>
        <v>1883.2</v>
      </c>
      <c r="D372" s="142">
        <f t="shared" si="135"/>
        <v>3636.2</v>
      </c>
      <c r="E372" s="142">
        <f t="shared" si="135"/>
        <v>1335.6</v>
      </c>
      <c r="F372" s="142">
        <f t="shared" si="135"/>
        <v>1018.2</v>
      </c>
      <c r="G372" s="142">
        <f t="shared" si="135"/>
        <v>198.4</v>
      </c>
      <c r="H372" s="142">
        <f t="shared" si="135"/>
        <v>10023.4</v>
      </c>
      <c r="I372" s="142"/>
      <c r="J372" s="142">
        <f t="shared" ref="J372:P372" si="136">AVERAGE(J58:J62)</f>
        <v>282.8</v>
      </c>
      <c r="K372" s="142">
        <f t="shared" si="136"/>
        <v>7435.4</v>
      </c>
      <c r="L372" s="142">
        <f t="shared" si="136"/>
        <v>16405.8</v>
      </c>
      <c r="M372" s="142">
        <f t="shared" si="136"/>
        <v>24484</v>
      </c>
      <c r="N372" s="142">
        <f t="shared" si="136"/>
        <v>16665.8</v>
      </c>
      <c r="O372" s="142">
        <f t="shared" si="136"/>
        <v>54.2</v>
      </c>
      <c r="P372" s="142">
        <f t="shared" si="136"/>
        <v>65273.8</v>
      </c>
    </row>
    <row r="373" spans="1:16" ht="11.25" customHeight="1">
      <c r="A373" s="99" t="s">
        <v>78</v>
      </c>
      <c r="B373" s="142">
        <f>AVERAGE(B63:B67)</f>
        <v>6876.6</v>
      </c>
      <c r="C373" s="142">
        <f t="shared" ref="C373:H373" si="137">AVERAGE(C63:C67)</f>
        <v>5955.2</v>
      </c>
      <c r="D373" s="142">
        <f t="shared" si="137"/>
        <v>6725.8</v>
      </c>
      <c r="E373" s="142">
        <f t="shared" si="137"/>
        <v>4506.3999999999996</v>
      </c>
      <c r="F373" s="142">
        <f t="shared" si="137"/>
        <v>1248</v>
      </c>
      <c r="G373" s="142">
        <f t="shared" si="137"/>
        <v>12</v>
      </c>
      <c r="H373" s="142">
        <f t="shared" si="137"/>
        <v>25312</v>
      </c>
      <c r="I373" s="142"/>
      <c r="J373" s="142">
        <f t="shared" ref="J373:P373" si="138">AVERAGE(J63:J67)</f>
        <v>3.4</v>
      </c>
      <c r="K373" s="142">
        <f t="shared" si="138"/>
        <v>4256.2</v>
      </c>
      <c r="L373" s="142">
        <f t="shared" si="138"/>
        <v>32310.2</v>
      </c>
      <c r="M373" s="142">
        <f t="shared" si="138"/>
        <v>35942.199999999997</v>
      </c>
      <c r="N373" s="142">
        <f t="shared" si="138"/>
        <v>11051</v>
      </c>
      <c r="O373" s="142">
        <f t="shared" si="138"/>
        <v>6.8</v>
      </c>
      <c r="P373" s="142">
        <f t="shared" si="138"/>
        <v>83563</v>
      </c>
    </row>
    <row r="374" spans="1:16" ht="11.25" customHeight="1">
      <c r="A374" s="99" t="s">
        <v>10</v>
      </c>
      <c r="B374" s="142">
        <f>AVERAGE(B68:B72)</f>
        <v>4343</v>
      </c>
      <c r="C374" s="142">
        <f t="shared" ref="C374:P374" si="139">AVERAGE(C68:C72)</f>
        <v>4181.3999999999996</v>
      </c>
      <c r="D374" s="142">
        <f t="shared" si="139"/>
        <v>3510.6</v>
      </c>
      <c r="E374" s="142">
        <f t="shared" si="139"/>
        <v>4243.2</v>
      </c>
      <c r="F374" s="142">
        <f t="shared" si="139"/>
        <v>570.6</v>
      </c>
      <c r="G374" s="142">
        <f t="shared" si="139"/>
        <v>29.4</v>
      </c>
      <c r="H374" s="142">
        <f t="shared" si="139"/>
        <v>16848.8</v>
      </c>
      <c r="I374" s="142"/>
      <c r="J374" s="142">
        <f t="shared" si="139"/>
        <v>0.6</v>
      </c>
      <c r="K374" s="142">
        <f t="shared" si="139"/>
        <v>0.6</v>
      </c>
      <c r="L374" s="142">
        <f t="shared" si="139"/>
        <v>17220.400000000001</v>
      </c>
      <c r="M374" s="142">
        <f t="shared" si="139"/>
        <v>26038</v>
      </c>
      <c r="N374" s="142">
        <f t="shared" si="139"/>
        <v>5275</v>
      </c>
      <c r="O374" s="142">
        <f t="shared" si="139"/>
        <v>102.6</v>
      </c>
      <c r="P374" s="142">
        <f t="shared" si="139"/>
        <v>48534.6</v>
      </c>
    </row>
    <row r="375" spans="1:16" ht="11.25" customHeight="1">
      <c r="A375" s="99" t="s">
        <v>144</v>
      </c>
      <c r="B375" s="142">
        <f>AVERAGE(B73:B77)</f>
        <v>2580.4</v>
      </c>
      <c r="C375" s="142">
        <f t="shared" ref="C375:P375" si="140">AVERAGE(C73:C77)</f>
        <v>6524</v>
      </c>
      <c r="D375" s="142">
        <f t="shared" si="140"/>
        <v>446</v>
      </c>
      <c r="E375" s="142">
        <f t="shared" si="140"/>
        <v>3806.2</v>
      </c>
      <c r="F375" s="142">
        <f t="shared" si="140"/>
        <v>1892.8</v>
      </c>
      <c r="G375" s="142" t="s">
        <v>23</v>
      </c>
      <c r="H375" s="142">
        <f t="shared" si="140"/>
        <v>15249.4</v>
      </c>
      <c r="I375" s="142"/>
      <c r="J375" s="142">
        <f t="shared" si="140"/>
        <v>0</v>
      </c>
      <c r="K375" s="142">
        <f t="shared" si="140"/>
        <v>0.2</v>
      </c>
      <c r="L375" s="142">
        <f t="shared" si="140"/>
        <v>14.8</v>
      </c>
      <c r="M375" s="142">
        <f t="shared" si="140"/>
        <v>11063.2</v>
      </c>
      <c r="N375" s="142">
        <f t="shared" si="140"/>
        <v>8533.2000000000007</v>
      </c>
      <c r="O375" s="142" t="s">
        <v>23</v>
      </c>
      <c r="P375" s="142">
        <f t="shared" si="140"/>
        <v>19611.400000000001</v>
      </c>
    </row>
    <row r="376" spans="1:16" ht="11.25" customHeight="1">
      <c r="A376" s="99" t="s">
        <v>166</v>
      </c>
      <c r="B376" s="142">
        <f t="shared" ref="B376:H376" si="141">AVERAGE(B78:B82)</f>
        <v>5460.6</v>
      </c>
      <c r="C376" s="142">
        <f t="shared" si="141"/>
        <v>14660.2</v>
      </c>
      <c r="D376" s="142">
        <f t="shared" si="141"/>
        <v>9462.2000000000007</v>
      </c>
      <c r="E376" s="142">
        <f t="shared" si="141"/>
        <v>6270.8</v>
      </c>
      <c r="F376" s="142">
        <f t="shared" si="141"/>
        <v>3260.4</v>
      </c>
      <c r="G376" s="142">
        <f t="shared" si="141"/>
        <v>22.5</v>
      </c>
      <c r="H376" s="142">
        <f t="shared" si="141"/>
        <v>39114.199999999997</v>
      </c>
      <c r="I376" s="142"/>
      <c r="J376" s="142">
        <f t="shared" ref="J376:P376" si="142">AVERAGE(J78:J82)</f>
        <v>2</v>
      </c>
      <c r="K376" s="142">
        <f t="shared" si="142"/>
        <v>3.4</v>
      </c>
      <c r="L376" s="142">
        <f t="shared" si="142"/>
        <v>7259.4</v>
      </c>
      <c r="M376" s="142">
        <f t="shared" si="142"/>
        <v>17964.400000000001</v>
      </c>
      <c r="N376" s="142">
        <f t="shared" si="142"/>
        <v>9381.4</v>
      </c>
      <c r="O376" s="142">
        <f t="shared" si="142"/>
        <v>66.25</v>
      </c>
      <c r="P376" s="142">
        <f t="shared" si="142"/>
        <v>34610.6</v>
      </c>
    </row>
    <row r="377" spans="1:16" ht="11.25" customHeight="1">
      <c r="A377" s="99" t="s">
        <v>315</v>
      </c>
      <c r="B377" s="142">
        <f>AVERAGE(B83:B87)</f>
        <v>1382.4</v>
      </c>
      <c r="C377" s="142">
        <f t="shared" ref="C377:P377" si="143">AVERAGE(C83:C87)</f>
        <v>9962.4</v>
      </c>
      <c r="D377" s="142">
        <f t="shared" si="143"/>
        <v>4491.2</v>
      </c>
      <c r="E377" s="142">
        <f t="shared" si="143"/>
        <v>5907</v>
      </c>
      <c r="F377" s="142">
        <f t="shared" si="143"/>
        <v>2056.4</v>
      </c>
      <c r="G377" s="142">
        <f t="shared" si="143"/>
        <v>10.199999999999999</v>
      </c>
      <c r="H377" s="142">
        <f t="shared" si="143"/>
        <v>23799.4</v>
      </c>
      <c r="I377" s="142"/>
      <c r="J377" s="142">
        <f t="shared" si="143"/>
        <v>3.6</v>
      </c>
      <c r="K377" s="142">
        <f t="shared" si="143"/>
        <v>39</v>
      </c>
      <c r="L377" s="142">
        <f t="shared" si="143"/>
        <v>12304</v>
      </c>
      <c r="M377" s="142">
        <f t="shared" si="143"/>
        <v>14163.4</v>
      </c>
      <c r="N377" s="142">
        <f t="shared" si="143"/>
        <v>5162.8</v>
      </c>
      <c r="O377" s="142">
        <f t="shared" si="143"/>
        <v>7</v>
      </c>
      <c r="P377" s="142">
        <f t="shared" si="143"/>
        <v>31672.799999999999</v>
      </c>
    </row>
    <row r="378" spans="1:16" ht="11.25" customHeight="1">
      <c r="A378" s="99">
        <v>2011</v>
      </c>
      <c r="B378" s="142">
        <f t="shared" ref="B378:H378" si="144">B88</f>
        <v>1120</v>
      </c>
      <c r="C378" s="142">
        <f t="shared" si="144"/>
        <v>8817</v>
      </c>
      <c r="D378" s="142">
        <f t="shared" si="144"/>
        <v>14761</v>
      </c>
      <c r="E378" s="142">
        <f t="shared" si="144"/>
        <v>6708</v>
      </c>
      <c r="F378" s="142">
        <f t="shared" si="144"/>
        <v>418</v>
      </c>
      <c r="G378" s="142">
        <f t="shared" si="144"/>
        <v>0</v>
      </c>
      <c r="H378" s="142">
        <f t="shared" si="144"/>
        <v>31824</v>
      </c>
      <c r="I378" s="142"/>
      <c r="J378" s="142">
        <f t="shared" ref="J378:P378" si="145">J88</f>
        <v>0</v>
      </c>
      <c r="K378" s="142">
        <f t="shared" si="145"/>
        <v>0</v>
      </c>
      <c r="L378" s="142">
        <f t="shared" si="145"/>
        <v>2062</v>
      </c>
      <c r="M378" s="142">
        <f t="shared" si="145"/>
        <v>4791</v>
      </c>
      <c r="N378" s="142">
        <f t="shared" si="145"/>
        <v>6711</v>
      </c>
      <c r="O378" s="142">
        <f t="shared" si="145"/>
        <v>0</v>
      </c>
      <c r="P378" s="142">
        <f t="shared" si="145"/>
        <v>13564</v>
      </c>
    </row>
    <row r="379" spans="1:16" ht="11.25" customHeight="1">
      <c r="A379" s="99">
        <v>2012</v>
      </c>
      <c r="B379" s="142">
        <f t="shared" ref="B379:H386" si="146">B89</f>
        <v>4465</v>
      </c>
      <c r="C379" s="142">
        <f t="shared" si="146"/>
        <v>20696</v>
      </c>
      <c r="D379" s="142">
        <f t="shared" si="146"/>
        <v>10144</v>
      </c>
      <c r="E379" s="142">
        <f t="shared" si="146"/>
        <v>14650</v>
      </c>
      <c r="F379" s="142">
        <f t="shared" si="146"/>
        <v>4834</v>
      </c>
      <c r="G379" s="142">
        <f t="shared" si="146"/>
        <v>10</v>
      </c>
      <c r="H379" s="142">
        <f t="shared" si="146"/>
        <v>54789</v>
      </c>
      <c r="I379" s="142"/>
      <c r="J379" s="142">
        <f t="shared" ref="J379:P386" si="147">J89</f>
        <v>1</v>
      </c>
      <c r="K379" s="142">
        <f t="shared" si="147"/>
        <v>101</v>
      </c>
      <c r="L379" s="142">
        <f t="shared" si="147"/>
        <v>2769</v>
      </c>
      <c r="M379" s="142">
        <f t="shared" si="147"/>
        <v>18790</v>
      </c>
      <c r="N379" s="142">
        <f t="shared" si="147"/>
        <v>15869</v>
      </c>
      <c r="O379" s="142">
        <f t="shared" si="147"/>
        <v>0</v>
      </c>
      <c r="P379" s="142">
        <f t="shared" si="147"/>
        <v>37530</v>
      </c>
    </row>
    <row r="380" spans="1:16" ht="11.25" customHeight="1">
      <c r="A380" s="99">
        <v>2013</v>
      </c>
      <c r="B380" s="142">
        <f t="shared" si="146"/>
        <v>11929</v>
      </c>
      <c r="C380" s="142">
        <f t="shared" si="146"/>
        <v>19103</v>
      </c>
      <c r="D380" s="142">
        <f t="shared" si="146"/>
        <v>9310</v>
      </c>
      <c r="E380" s="142">
        <f t="shared" si="146"/>
        <v>7916</v>
      </c>
      <c r="F380" s="142">
        <f t="shared" si="146"/>
        <v>2902</v>
      </c>
      <c r="G380" s="142">
        <f t="shared" si="146"/>
        <v>0</v>
      </c>
      <c r="H380" s="142">
        <f t="shared" si="146"/>
        <v>51160</v>
      </c>
      <c r="I380" s="142"/>
      <c r="J380" s="142">
        <f t="shared" si="147"/>
        <v>0</v>
      </c>
      <c r="K380" s="142">
        <f t="shared" si="147"/>
        <v>7</v>
      </c>
      <c r="L380" s="142">
        <f t="shared" si="147"/>
        <v>7722</v>
      </c>
      <c r="M380" s="142">
        <f t="shared" si="147"/>
        <v>36163</v>
      </c>
      <c r="N380" s="142">
        <f t="shared" si="147"/>
        <v>4376</v>
      </c>
      <c r="O380" s="142">
        <f t="shared" si="147"/>
        <v>0</v>
      </c>
      <c r="P380" s="142">
        <f t="shared" si="147"/>
        <v>48268</v>
      </c>
    </row>
    <row r="381" spans="1:16" ht="11.25" customHeight="1">
      <c r="A381" s="99">
        <v>2014</v>
      </c>
      <c r="B381" s="142">
        <f t="shared" si="146"/>
        <v>12608</v>
      </c>
      <c r="C381" s="142">
        <f t="shared" si="146"/>
        <v>17002</v>
      </c>
      <c r="D381" s="142">
        <f t="shared" si="146"/>
        <v>20643</v>
      </c>
      <c r="E381" s="142">
        <f t="shared" si="146"/>
        <v>8793</v>
      </c>
      <c r="F381" s="142">
        <f t="shared" si="146"/>
        <v>2715</v>
      </c>
      <c r="G381" s="142">
        <f t="shared" si="146"/>
        <v>0</v>
      </c>
      <c r="H381" s="142">
        <f t="shared" si="146"/>
        <v>61761</v>
      </c>
      <c r="I381" s="142"/>
      <c r="J381" s="142">
        <f t="shared" si="147"/>
        <v>0</v>
      </c>
      <c r="K381" s="142">
        <f t="shared" si="147"/>
        <v>30</v>
      </c>
      <c r="L381" s="142">
        <f t="shared" si="147"/>
        <v>10405</v>
      </c>
      <c r="M381" s="142">
        <f t="shared" si="147"/>
        <v>39231</v>
      </c>
      <c r="N381" s="142">
        <f t="shared" si="147"/>
        <v>6369</v>
      </c>
      <c r="O381" s="142">
        <f t="shared" si="147"/>
        <v>0</v>
      </c>
      <c r="P381" s="142">
        <f t="shared" si="147"/>
        <v>56035</v>
      </c>
    </row>
    <row r="382" spans="1:16" ht="11.25" customHeight="1">
      <c r="A382" s="99">
        <v>2015</v>
      </c>
      <c r="B382" s="142">
        <f t="shared" si="146"/>
        <v>7315</v>
      </c>
      <c r="C382" s="142">
        <f t="shared" si="146"/>
        <v>23697</v>
      </c>
      <c r="D382" s="142">
        <f t="shared" si="146"/>
        <v>23110</v>
      </c>
      <c r="E382" s="142">
        <f t="shared" si="146"/>
        <v>4031</v>
      </c>
      <c r="F382" s="142">
        <f t="shared" si="146"/>
        <v>786</v>
      </c>
      <c r="G382" s="142">
        <f t="shared" si="146"/>
        <v>0</v>
      </c>
      <c r="H382" s="142">
        <f t="shared" si="146"/>
        <v>58939</v>
      </c>
      <c r="I382" s="142"/>
      <c r="J382" s="142">
        <f t="shared" si="147"/>
        <v>0</v>
      </c>
      <c r="K382" s="142">
        <f t="shared" si="147"/>
        <v>3</v>
      </c>
      <c r="L382" s="142">
        <f t="shared" si="147"/>
        <v>1994</v>
      </c>
      <c r="M382" s="142">
        <f t="shared" si="147"/>
        <v>1307</v>
      </c>
      <c r="N382" s="142">
        <f t="shared" si="147"/>
        <v>706</v>
      </c>
      <c r="O382" s="142">
        <f t="shared" si="147"/>
        <v>0</v>
      </c>
      <c r="P382" s="142">
        <f t="shared" si="147"/>
        <v>4010</v>
      </c>
    </row>
    <row r="383" spans="1:16" ht="11.25" customHeight="1">
      <c r="A383" s="99">
        <v>2016</v>
      </c>
      <c r="B383" s="142">
        <f t="shared" si="146"/>
        <v>2905</v>
      </c>
      <c r="C383" s="142">
        <f t="shared" si="146"/>
        <v>13752</v>
      </c>
      <c r="D383" s="142">
        <f t="shared" si="146"/>
        <v>5129</v>
      </c>
      <c r="E383" s="142">
        <f t="shared" si="146"/>
        <v>1310</v>
      </c>
      <c r="F383" s="142">
        <f t="shared" si="146"/>
        <v>5</v>
      </c>
      <c r="G383" s="142">
        <f t="shared" si="146"/>
        <v>0</v>
      </c>
      <c r="H383" s="142">
        <f t="shared" si="146"/>
        <v>23101</v>
      </c>
      <c r="I383" s="142"/>
      <c r="J383" s="142">
        <f t="shared" si="147"/>
        <v>0</v>
      </c>
      <c r="K383" s="142">
        <f t="shared" si="147"/>
        <v>0</v>
      </c>
      <c r="L383" s="142">
        <f t="shared" si="147"/>
        <v>29</v>
      </c>
      <c r="M383" s="142">
        <f t="shared" si="147"/>
        <v>15</v>
      </c>
      <c r="N383" s="142">
        <f t="shared" si="147"/>
        <v>0</v>
      </c>
      <c r="O383" s="142">
        <f t="shared" si="147"/>
        <v>1</v>
      </c>
      <c r="P383" s="142">
        <f t="shared" si="147"/>
        <v>44</v>
      </c>
    </row>
    <row r="384" spans="1:16" ht="11.25" customHeight="1">
      <c r="A384" s="99">
        <v>2017</v>
      </c>
      <c r="B384" s="142">
        <f t="shared" si="146"/>
        <v>1253</v>
      </c>
      <c r="C384" s="142">
        <f t="shared" si="146"/>
        <v>2039</v>
      </c>
      <c r="D384" s="142">
        <f t="shared" si="146"/>
        <v>15772</v>
      </c>
      <c r="E384" s="142">
        <f t="shared" si="146"/>
        <v>4605</v>
      </c>
      <c r="F384" s="142">
        <f t="shared" si="146"/>
        <v>745</v>
      </c>
      <c r="G384" s="142">
        <f t="shared" si="146"/>
        <v>0</v>
      </c>
      <c r="H384" s="142">
        <f t="shared" si="146"/>
        <v>24414</v>
      </c>
      <c r="I384" s="142"/>
      <c r="J384" s="142">
        <f t="shared" si="147"/>
        <v>0</v>
      </c>
      <c r="K384" s="142">
        <f t="shared" si="147"/>
        <v>0</v>
      </c>
      <c r="L384" s="142">
        <f t="shared" si="147"/>
        <v>1003</v>
      </c>
      <c r="M384" s="142">
        <f t="shared" si="147"/>
        <v>7150</v>
      </c>
      <c r="N384" s="142">
        <f t="shared" si="147"/>
        <v>5197</v>
      </c>
      <c r="O384" s="142">
        <f t="shared" si="147"/>
        <v>0</v>
      </c>
      <c r="P384" s="142">
        <f t="shared" si="147"/>
        <v>13350</v>
      </c>
    </row>
    <row r="385" spans="1:16" ht="11.25" customHeight="1">
      <c r="A385" s="122">
        <v>2018</v>
      </c>
      <c r="B385" s="142">
        <f t="shared" si="146"/>
        <v>1319</v>
      </c>
      <c r="C385" s="142">
        <f t="shared" si="146"/>
        <v>11756</v>
      </c>
      <c r="D385" s="142">
        <f t="shared" si="146"/>
        <v>8486</v>
      </c>
      <c r="E385" s="142">
        <f t="shared" si="146"/>
        <v>1883</v>
      </c>
      <c r="F385" s="142">
        <f t="shared" si="146"/>
        <v>459</v>
      </c>
      <c r="G385" s="142">
        <f t="shared" si="146"/>
        <v>0</v>
      </c>
      <c r="H385" s="142">
        <f t="shared" si="146"/>
        <v>23903</v>
      </c>
      <c r="I385" s="142"/>
      <c r="J385" s="142">
        <f t="shared" si="147"/>
        <v>0</v>
      </c>
      <c r="K385" s="142">
        <f t="shared" si="147"/>
        <v>15</v>
      </c>
      <c r="L385" s="142">
        <f t="shared" si="147"/>
        <v>1751</v>
      </c>
      <c r="M385" s="142">
        <f t="shared" si="147"/>
        <v>5512</v>
      </c>
      <c r="N385" s="142">
        <f t="shared" si="147"/>
        <v>4524</v>
      </c>
      <c r="O385" s="142">
        <f t="shared" si="147"/>
        <v>0</v>
      </c>
      <c r="P385" s="142">
        <f t="shared" si="147"/>
        <v>11802</v>
      </c>
    </row>
    <row r="386" spans="1:16" ht="11.25" customHeight="1">
      <c r="A386" s="122">
        <v>2019</v>
      </c>
      <c r="B386" s="142">
        <f t="shared" si="146"/>
        <v>809</v>
      </c>
      <c r="C386" s="142">
        <f t="shared" si="146"/>
        <v>2110</v>
      </c>
      <c r="D386" s="142">
        <f t="shared" si="146"/>
        <v>12314</v>
      </c>
      <c r="E386" s="142">
        <f t="shared" si="146"/>
        <v>2789</v>
      </c>
      <c r="F386" s="142">
        <f t="shared" si="146"/>
        <v>299</v>
      </c>
      <c r="G386" s="142">
        <f t="shared" si="146"/>
        <v>0</v>
      </c>
      <c r="H386" s="142">
        <f t="shared" si="146"/>
        <v>18321</v>
      </c>
      <c r="I386" s="142"/>
      <c r="J386" s="142">
        <f t="shared" si="147"/>
        <v>0</v>
      </c>
      <c r="K386" s="142">
        <f t="shared" si="147"/>
        <v>0</v>
      </c>
      <c r="L386" s="142">
        <f t="shared" si="147"/>
        <v>14414</v>
      </c>
      <c r="M386" s="142">
        <f t="shared" si="147"/>
        <v>33818</v>
      </c>
      <c r="N386" s="142">
        <f t="shared" si="147"/>
        <v>7273</v>
      </c>
      <c r="O386" s="142">
        <f t="shared" si="147"/>
        <v>0</v>
      </c>
      <c r="P386" s="142">
        <f t="shared" si="147"/>
        <v>55505</v>
      </c>
    </row>
    <row r="387" spans="1:16" ht="11.25" customHeight="1">
      <c r="A387" s="122">
        <v>2020</v>
      </c>
      <c r="B387" s="142">
        <f t="shared" ref="B387:H388" si="148">B97</f>
        <v>8</v>
      </c>
      <c r="C387" s="142">
        <f t="shared" si="148"/>
        <v>23</v>
      </c>
      <c r="D387" s="142">
        <f t="shared" si="148"/>
        <v>622</v>
      </c>
      <c r="E387" s="142">
        <f t="shared" si="148"/>
        <v>1718</v>
      </c>
      <c r="F387" s="142">
        <f t="shared" si="148"/>
        <v>66</v>
      </c>
      <c r="G387" s="142">
        <f t="shared" si="148"/>
        <v>0</v>
      </c>
      <c r="H387" s="142">
        <f t="shared" si="148"/>
        <v>2437</v>
      </c>
      <c r="I387" s="142"/>
      <c r="J387" s="142">
        <f t="shared" ref="J387:P388" si="149">J97</f>
        <v>0</v>
      </c>
      <c r="K387" s="142">
        <f t="shared" si="149"/>
        <v>0</v>
      </c>
      <c r="L387" s="142">
        <f t="shared" si="149"/>
        <v>587</v>
      </c>
      <c r="M387" s="142">
        <f t="shared" si="149"/>
        <v>10864</v>
      </c>
      <c r="N387" s="142">
        <f t="shared" si="149"/>
        <v>2940</v>
      </c>
      <c r="O387" s="142">
        <f t="shared" si="149"/>
        <v>0</v>
      </c>
      <c r="P387" s="142">
        <f t="shared" si="149"/>
        <v>14391</v>
      </c>
    </row>
    <row r="388" spans="1:16" ht="11.25" customHeight="1">
      <c r="A388" s="122" t="s">
        <v>317</v>
      </c>
      <c r="B388" s="142">
        <f t="shared" si="148"/>
        <v>421</v>
      </c>
      <c r="C388" s="142">
        <f t="shared" si="148"/>
        <v>2144</v>
      </c>
      <c r="D388" s="142">
        <f t="shared" si="148"/>
        <v>3761</v>
      </c>
      <c r="E388" s="142">
        <f t="shared" si="148"/>
        <v>1668</v>
      </c>
      <c r="F388" s="142">
        <f t="shared" si="148"/>
        <v>233</v>
      </c>
      <c r="G388" s="142">
        <f t="shared" si="148"/>
        <v>0</v>
      </c>
      <c r="H388" s="142">
        <f t="shared" si="148"/>
        <v>8227</v>
      </c>
      <c r="I388" s="142"/>
      <c r="J388" s="142">
        <f t="shared" si="149"/>
        <v>0</v>
      </c>
      <c r="K388" s="142">
        <f t="shared" si="149"/>
        <v>0</v>
      </c>
      <c r="L388" s="142">
        <f t="shared" si="149"/>
        <v>1039</v>
      </c>
      <c r="M388" s="142">
        <f t="shared" si="149"/>
        <v>14995</v>
      </c>
      <c r="N388" s="142">
        <f t="shared" si="149"/>
        <v>10377</v>
      </c>
      <c r="O388" s="142">
        <f t="shared" si="149"/>
        <v>0</v>
      </c>
      <c r="P388" s="142">
        <f t="shared" si="149"/>
        <v>26411</v>
      </c>
    </row>
    <row r="389" spans="1:16" ht="11.25" customHeight="1">
      <c r="B389" s="142"/>
      <c r="C389" s="142"/>
      <c r="D389" s="142"/>
      <c r="E389" s="142"/>
      <c r="F389" s="142"/>
      <c r="G389" s="142"/>
      <c r="H389" s="142"/>
      <c r="I389" s="142"/>
      <c r="J389" s="142"/>
      <c r="K389" s="142"/>
      <c r="L389" s="142"/>
      <c r="M389" s="142"/>
      <c r="N389" s="142"/>
      <c r="O389" s="142"/>
      <c r="P389" s="142"/>
    </row>
    <row r="390" spans="1:16" ht="11.25" customHeight="1">
      <c r="A390" s="282" t="s">
        <v>298</v>
      </c>
      <c r="B390" s="282"/>
      <c r="C390" s="282"/>
      <c r="D390" s="282"/>
      <c r="E390" s="282"/>
      <c r="F390" s="282"/>
      <c r="G390" s="282"/>
      <c r="H390" s="282"/>
      <c r="I390" s="282"/>
      <c r="J390" s="282"/>
      <c r="K390" s="282"/>
      <c r="L390" s="282"/>
      <c r="M390" s="282"/>
      <c r="N390" s="282"/>
      <c r="O390" s="282"/>
      <c r="P390" s="282"/>
    </row>
    <row r="391" spans="1:16" ht="11.25" customHeight="1">
      <c r="A391" s="98" t="s">
        <v>27</v>
      </c>
      <c r="B391" s="46" t="s">
        <v>29</v>
      </c>
      <c r="C391" s="46" t="s">
        <v>30</v>
      </c>
      <c r="D391" s="46" t="s">
        <v>89</v>
      </c>
      <c r="E391" s="46" t="s">
        <v>90</v>
      </c>
      <c r="F391" s="46" t="s">
        <v>33</v>
      </c>
      <c r="G391" s="46" t="s">
        <v>34</v>
      </c>
      <c r="H391" s="46" t="s">
        <v>22</v>
      </c>
      <c r="I391" s="46"/>
      <c r="J391" s="46" t="s">
        <v>29</v>
      </c>
      <c r="K391" s="46" t="s">
        <v>30</v>
      </c>
      <c r="L391" s="46" t="s">
        <v>91</v>
      </c>
      <c r="M391" s="46" t="s">
        <v>92</v>
      </c>
      <c r="N391" s="46" t="s">
        <v>33</v>
      </c>
      <c r="O391" s="46" t="s">
        <v>34</v>
      </c>
      <c r="P391" s="46" t="s">
        <v>22</v>
      </c>
    </row>
    <row r="392" spans="1:16" ht="11.25" customHeight="1">
      <c r="B392" s="334" t="s">
        <v>61</v>
      </c>
      <c r="C392" s="334"/>
      <c r="D392" s="334"/>
      <c r="E392" s="334"/>
      <c r="F392" s="334"/>
      <c r="G392" s="334"/>
      <c r="H392" s="334"/>
      <c r="I392" s="14"/>
      <c r="J392" s="334" t="s">
        <v>62</v>
      </c>
      <c r="K392" s="334"/>
      <c r="L392" s="334"/>
      <c r="M392" s="334"/>
      <c r="N392" s="334"/>
      <c r="O392" s="334"/>
      <c r="P392" s="334"/>
    </row>
    <row r="393" spans="1:16">
      <c r="A393" s="97" t="s">
        <v>230</v>
      </c>
      <c r="B393" s="120"/>
      <c r="C393" s="120"/>
      <c r="D393" s="120"/>
      <c r="E393" s="120"/>
      <c r="F393" s="24"/>
      <c r="G393" s="24"/>
      <c r="H393" s="24"/>
      <c r="I393" s="24"/>
      <c r="J393" s="24"/>
      <c r="K393" s="24"/>
      <c r="L393" s="24"/>
      <c r="M393" s="24"/>
      <c r="N393" s="24"/>
      <c r="O393" s="24"/>
      <c r="P393" s="24"/>
    </row>
    <row r="394" spans="1:16" ht="11.25" customHeight="1">
      <c r="A394" s="99" t="s">
        <v>24</v>
      </c>
      <c r="B394" s="142">
        <f>AVERAGE(B106:B110)</f>
        <v>27345.200000000001</v>
      </c>
      <c r="C394" s="142">
        <f t="shared" ref="C394:H394" si="150">AVERAGE(C106:C110)</f>
        <v>4636.6000000000004</v>
      </c>
      <c r="D394" s="142">
        <f t="shared" si="150"/>
        <v>23141.200000000001</v>
      </c>
      <c r="E394" s="142">
        <f t="shared" si="150"/>
        <v>6006.6</v>
      </c>
      <c r="F394" s="142">
        <f t="shared" si="150"/>
        <v>1024.4000000000001</v>
      </c>
      <c r="G394" s="142">
        <f t="shared" si="150"/>
        <v>198.4</v>
      </c>
      <c r="H394" s="142">
        <f t="shared" si="150"/>
        <v>62154</v>
      </c>
      <c r="I394" s="142"/>
      <c r="J394" s="142">
        <f t="shared" ref="J394:P394" si="151">AVERAGE(J106:J110)</f>
        <v>282.8</v>
      </c>
      <c r="K394" s="142">
        <f t="shared" si="151"/>
        <v>7435.4</v>
      </c>
      <c r="L394" s="142">
        <f t="shared" si="151"/>
        <v>110765.6</v>
      </c>
      <c r="M394" s="142">
        <f t="shared" si="151"/>
        <v>50478</v>
      </c>
      <c r="N394" s="142">
        <f t="shared" si="151"/>
        <v>16705.599999999999</v>
      </c>
      <c r="O394" s="142">
        <f t="shared" si="151"/>
        <v>54.2</v>
      </c>
      <c r="P394" s="142">
        <f t="shared" si="151"/>
        <v>185667.4</v>
      </c>
    </row>
    <row r="395" spans="1:16" ht="11.25" customHeight="1">
      <c r="A395" s="99" t="s">
        <v>78</v>
      </c>
      <c r="B395" s="142">
        <f>AVERAGE(B111:B115)</f>
        <v>33957.800000000003</v>
      </c>
      <c r="C395" s="142">
        <f t="shared" ref="C395:H395" si="152">AVERAGE(C111:C115)</f>
        <v>14990.2</v>
      </c>
      <c r="D395" s="142">
        <f t="shared" si="152"/>
        <v>10291.200000000001</v>
      </c>
      <c r="E395" s="142">
        <f t="shared" si="152"/>
        <v>5955.4</v>
      </c>
      <c r="F395" s="142">
        <f t="shared" si="152"/>
        <v>1250.2</v>
      </c>
      <c r="G395" s="142">
        <f t="shared" si="152"/>
        <v>12</v>
      </c>
      <c r="H395" s="142">
        <f t="shared" si="152"/>
        <v>66444.800000000003</v>
      </c>
      <c r="I395" s="142"/>
      <c r="J395" s="142">
        <f t="shared" ref="J395:P395" si="153">AVERAGE(J111:J115)</f>
        <v>3.4</v>
      </c>
      <c r="K395" s="142">
        <f t="shared" si="153"/>
        <v>4256.2</v>
      </c>
      <c r="L395" s="142">
        <f t="shared" si="153"/>
        <v>39689</v>
      </c>
      <c r="M395" s="142">
        <f t="shared" si="153"/>
        <v>63927.199999999997</v>
      </c>
      <c r="N395" s="142">
        <f t="shared" si="153"/>
        <v>11054.2</v>
      </c>
      <c r="O395" s="142">
        <f t="shared" si="153"/>
        <v>6.8</v>
      </c>
      <c r="P395" s="142">
        <f t="shared" si="153"/>
        <v>118930</v>
      </c>
    </row>
    <row r="396" spans="1:16" ht="11.25" customHeight="1">
      <c r="A396" s="99" t="s">
        <v>10</v>
      </c>
      <c r="B396" s="142">
        <f>AVERAGE(B116:B120)</f>
        <v>13857</v>
      </c>
      <c r="C396" s="142">
        <f t="shared" ref="C396:P396" si="154">AVERAGE(C116:C120)</f>
        <v>11296.8</v>
      </c>
      <c r="D396" s="142">
        <f t="shared" si="154"/>
        <v>5082</v>
      </c>
      <c r="E396" s="142">
        <f t="shared" si="154"/>
        <v>5266.2</v>
      </c>
      <c r="F396" s="142">
        <f t="shared" si="154"/>
        <v>1017.6</v>
      </c>
      <c r="G396" s="142">
        <f t="shared" si="154"/>
        <v>29.4</v>
      </c>
      <c r="H396" s="142">
        <f t="shared" si="154"/>
        <v>36519.599999999999</v>
      </c>
      <c r="I396" s="142"/>
      <c r="J396" s="142">
        <f t="shared" si="154"/>
        <v>0.6</v>
      </c>
      <c r="K396" s="142">
        <f t="shared" si="154"/>
        <v>0.6</v>
      </c>
      <c r="L396" s="142">
        <f t="shared" si="154"/>
        <v>20067.8</v>
      </c>
      <c r="M396" s="142">
        <f t="shared" si="154"/>
        <v>36911.199999999997</v>
      </c>
      <c r="N396" s="142">
        <f t="shared" si="154"/>
        <v>10220</v>
      </c>
      <c r="O396" s="142">
        <f t="shared" si="154"/>
        <v>102.6</v>
      </c>
      <c r="P396" s="142">
        <f t="shared" si="154"/>
        <v>67200.2</v>
      </c>
    </row>
    <row r="397" spans="1:16" ht="11.25" customHeight="1">
      <c r="A397" s="99" t="s">
        <v>144</v>
      </c>
      <c r="B397" s="142">
        <f>AVERAGE(B121:B125)</f>
        <v>6777.6</v>
      </c>
      <c r="C397" s="142">
        <f t="shared" ref="C397:P397" si="155">AVERAGE(C121:C125)</f>
        <v>8841.6</v>
      </c>
      <c r="D397" s="142">
        <f t="shared" si="155"/>
        <v>1252</v>
      </c>
      <c r="E397" s="142">
        <f t="shared" si="155"/>
        <v>4388.6000000000004</v>
      </c>
      <c r="F397" s="142">
        <f t="shared" si="155"/>
        <v>1893.4</v>
      </c>
      <c r="G397" s="142" t="s">
        <v>23</v>
      </c>
      <c r="H397" s="142">
        <f t="shared" si="155"/>
        <v>23153.200000000001</v>
      </c>
      <c r="I397" s="142"/>
      <c r="J397" s="142">
        <f t="shared" si="155"/>
        <v>0</v>
      </c>
      <c r="K397" s="142">
        <f t="shared" si="155"/>
        <v>0.2</v>
      </c>
      <c r="L397" s="142">
        <f t="shared" si="155"/>
        <v>1576.8</v>
      </c>
      <c r="M397" s="142">
        <f t="shared" si="155"/>
        <v>14187.4</v>
      </c>
      <c r="N397" s="142">
        <f t="shared" si="155"/>
        <v>8610.4</v>
      </c>
      <c r="O397" s="142" t="s">
        <v>23</v>
      </c>
      <c r="P397" s="142">
        <f t="shared" si="155"/>
        <v>24374.799999999999</v>
      </c>
    </row>
    <row r="398" spans="1:16" ht="11.25" customHeight="1">
      <c r="A398" s="99" t="s">
        <v>166</v>
      </c>
      <c r="B398" s="142">
        <f>AVERAGE(B126:B130)</f>
        <v>20774.599999999999</v>
      </c>
      <c r="C398" s="142">
        <f t="shared" ref="C398:H398" si="156">AVERAGE(C126:C130)</f>
        <v>20731.8</v>
      </c>
      <c r="D398" s="142">
        <f t="shared" si="156"/>
        <v>19158.8</v>
      </c>
      <c r="E398" s="142">
        <f t="shared" si="156"/>
        <v>13599</v>
      </c>
      <c r="F398" s="142">
        <f t="shared" si="156"/>
        <v>3894.8</v>
      </c>
      <c r="G398" s="142">
        <f t="shared" si="156"/>
        <v>22.5</v>
      </c>
      <c r="H398" s="142">
        <f t="shared" si="156"/>
        <v>78159</v>
      </c>
      <c r="I398" s="142"/>
      <c r="J398" s="142">
        <f t="shared" ref="J398:P398" si="157">AVERAGE(J126:J130)</f>
        <v>2</v>
      </c>
      <c r="K398" s="142">
        <f t="shared" si="157"/>
        <v>3.4</v>
      </c>
      <c r="L398" s="142">
        <f t="shared" si="157"/>
        <v>8750.6</v>
      </c>
      <c r="M398" s="142">
        <f t="shared" si="157"/>
        <v>20198</v>
      </c>
      <c r="N398" s="142">
        <f t="shared" si="157"/>
        <v>11124.8</v>
      </c>
      <c r="O398" s="142">
        <f t="shared" si="157"/>
        <v>66.25</v>
      </c>
      <c r="P398" s="142">
        <f t="shared" si="157"/>
        <v>40078.800000000003</v>
      </c>
    </row>
    <row r="399" spans="1:16" ht="11.25" customHeight="1">
      <c r="A399" s="99" t="s">
        <v>315</v>
      </c>
      <c r="B399" s="142">
        <f>AVERAGE(B131:B135)</f>
        <v>6511</v>
      </c>
      <c r="C399" s="142">
        <f t="shared" ref="C399:P399" si="158">AVERAGE(C131:C135)</f>
        <v>17401</v>
      </c>
      <c r="D399" s="142">
        <f t="shared" si="158"/>
        <v>7177.8</v>
      </c>
      <c r="E399" s="142">
        <f t="shared" si="158"/>
        <v>8564.4</v>
      </c>
      <c r="F399" s="142">
        <f t="shared" si="158"/>
        <v>2560.1999999999998</v>
      </c>
      <c r="G399" s="142">
        <f t="shared" si="158"/>
        <v>10.199999999999999</v>
      </c>
      <c r="H399" s="142">
        <f t="shared" si="158"/>
        <v>42214.400000000001</v>
      </c>
      <c r="I399" s="142"/>
      <c r="J399" s="142">
        <f t="shared" si="158"/>
        <v>3.6</v>
      </c>
      <c r="K399" s="142">
        <f t="shared" si="158"/>
        <v>39</v>
      </c>
      <c r="L399" s="142">
        <f t="shared" si="158"/>
        <v>13975.8</v>
      </c>
      <c r="M399" s="142">
        <f t="shared" si="158"/>
        <v>16723.599999999999</v>
      </c>
      <c r="N399" s="142">
        <f t="shared" si="158"/>
        <v>6049.8</v>
      </c>
      <c r="O399" s="142">
        <f t="shared" si="158"/>
        <v>7</v>
      </c>
      <c r="P399" s="142">
        <f t="shared" si="158"/>
        <v>36791.800000000003</v>
      </c>
    </row>
    <row r="400" spans="1:16" ht="11.25" customHeight="1">
      <c r="A400" s="99">
        <v>2011</v>
      </c>
      <c r="B400" s="142">
        <f t="shared" ref="B400:H400" si="159">B136</f>
        <v>8802</v>
      </c>
      <c r="C400" s="142">
        <f t="shared" si="159"/>
        <v>18132</v>
      </c>
      <c r="D400" s="142">
        <f t="shared" si="159"/>
        <v>20776</v>
      </c>
      <c r="E400" s="142">
        <f t="shared" si="159"/>
        <v>9228</v>
      </c>
      <c r="F400" s="142">
        <f t="shared" si="159"/>
        <v>756</v>
      </c>
      <c r="G400" s="142">
        <f t="shared" si="159"/>
        <v>0</v>
      </c>
      <c r="H400" s="142">
        <f t="shared" si="159"/>
        <v>57694</v>
      </c>
      <c r="I400" s="142"/>
      <c r="J400" s="142">
        <f t="shared" ref="J400:P400" si="160">J136</f>
        <v>0</v>
      </c>
      <c r="K400" s="142">
        <f t="shared" si="160"/>
        <v>0</v>
      </c>
      <c r="L400" s="142">
        <f t="shared" si="160"/>
        <v>3692</v>
      </c>
      <c r="M400" s="142">
        <f t="shared" si="160"/>
        <v>5683</v>
      </c>
      <c r="N400" s="142">
        <f t="shared" si="160"/>
        <v>7204</v>
      </c>
      <c r="O400" s="142">
        <f t="shared" si="160"/>
        <v>0</v>
      </c>
      <c r="P400" s="142">
        <f t="shared" si="160"/>
        <v>16579</v>
      </c>
    </row>
    <row r="401" spans="1:16" ht="11.25" customHeight="1">
      <c r="A401" s="99">
        <v>2012</v>
      </c>
      <c r="B401" s="142">
        <f t="shared" ref="B401:H408" si="161">B137</f>
        <v>14831</v>
      </c>
      <c r="C401" s="142">
        <f t="shared" si="161"/>
        <v>31067</v>
      </c>
      <c r="D401" s="142">
        <f t="shared" si="161"/>
        <v>15456</v>
      </c>
      <c r="E401" s="142">
        <f t="shared" si="161"/>
        <v>21048</v>
      </c>
      <c r="F401" s="142">
        <f t="shared" si="161"/>
        <v>6992</v>
      </c>
      <c r="G401" s="142">
        <f t="shared" si="161"/>
        <v>10</v>
      </c>
      <c r="H401" s="142">
        <f t="shared" si="161"/>
        <v>89394</v>
      </c>
      <c r="I401" s="142"/>
      <c r="J401" s="142">
        <f t="shared" ref="J401:P408" si="162">J137</f>
        <v>1</v>
      </c>
      <c r="K401" s="142">
        <f t="shared" si="162"/>
        <v>101</v>
      </c>
      <c r="L401" s="142">
        <f t="shared" si="162"/>
        <v>3515</v>
      </c>
      <c r="M401" s="142">
        <f t="shared" si="162"/>
        <v>19906</v>
      </c>
      <c r="N401" s="142">
        <f t="shared" si="162"/>
        <v>17186</v>
      </c>
      <c r="O401" s="142">
        <f t="shared" si="162"/>
        <v>0</v>
      </c>
      <c r="P401" s="142">
        <f t="shared" si="162"/>
        <v>40709</v>
      </c>
    </row>
    <row r="402" spans="1:16" ht="11.25" customHeight="1">
      <c r="A402" s="99">
        <v>2013</v>
      </c>
      <c r="B402" s="142">
        <f t="shared" si="161"/>
        <v>22416</v>
      </c>
      <c r="C402" s="142">
        <f t="shared" si="161"/>
        <v>30951</v>
      </c>
      <c r="D402" s="142">
        <f t="shared" si="161"/>
        <v>17126</v>
      </c>
      <c r="E402" s="142">
        <f t="shared" si="161"/>
        <v>16605</v>
      </c>
      <c r="F402" s="142">
        <f t="shared" si="161"/>
        <v>3592</v>
      </c>
      <c r="G402" s="142">
        <f t="shared" si="161"/>
        <v>0</v>
      </c>
      <c r="H402" s="142">
        <f t="shared" si="161"/>
        <v>90690</v>
      </c>
      <c r="I402" s="142"/>
      <c r="J402" s="142">
        <f t="shared" si="162"/>
        <v>0</v>
      </c>
      <c r="K402" s="142">
        <f t="shared" si="162"/>
        <v>7</v>
      </c>
      <c r="L402" s="142">
        <f t="shared" si="162"/>
        <v>9614</v>
      </c>
      <c r="M402" s="142">
        <f t="shared" si="162"/>
        <v>39927</v>
      </c>
      <c r="N402" s="142">
        <f t="shared" si="162"/>
        <v>4634</v>
      </c>
      <c r="O402" s="142">
        <f t="shared" si="162"/>
        <v>0</v>
      </c>
      <c r="P402" s="142">
        <f t="shared" si="162"/>
        <v>54182</v>
      </c>
    </row>
    <row r="403" spans="1:16" ht="11.25" customHeight="1">
      <c r="A403" s="99">
        <v>2014</v>
      </c>
      <c r="B403" s="142">
        <f t="shared" si="161"/>
        <v>25396</v>
      </c>
      <c r="C403" s="142">
        <f t="shared" si="161"/>
        <v>19559</v>
      </c>
      <c r="D403" s="142">
        <f t="shared" si="161"/>
        <v>28741</v>
      </c>
      <c r="E403" s="142">
        <f t="shared" si="161"/>
        <v>14457</v>
      </c>
      <c r="F403" s="142">
        <f t="shared" si="161"/>
        <v>3335</v>
      </c>
      <c r="G403" s="142">
        <f t="shared" si="161"/>
        <v>0</v>
      </c>
      <c r="H403" s="142">
        <f t="shared" si="161"/>
        <v>91488</v>
      </c>
      <c r="I403" s="142"/>
      <c r="J403" s="142">
        <f t="shared" si="162"/>
        <v>0</v>
      </c>
      <c r="K403" s="142">
        <f t="shared" si="162"/>
        <v>30</v>
      </c>
      <c r="L403" s="142">
        <f t="shared" si="162"/>
        <v>13312</v>
      </c>
      <c r="M403" s="142">
        <f t="shared" si="162"/>
        <v>45281</v>
      </c>
      <c r="N403" s="142">
        <f t="shared" si="162"/>
        <v>10580</v>
      </c>
      <c r="O403" s="142">
        <f t="shared" si="162"/>
        <v>0</v>
      </c>
      <c r="P403" s="142">
        <f t="shared" si="162"/>
        <v>69203</v>
      </c>
    </row>
    <row r="404" spans="1:16" ht="11.25" customHeight="1">
      <c r="A404" s="99">
        <v>2015</v>
      </c>
      <c r="B404" s="142">
        <f t="shared" si="161"/>
        <v>20237</v>
      </c>
      <c r="C404" s="142">
        <f t="shared" si="161"/>
        <v>38105</v>
      </c>
      <c r="D404" s="142">
        <f t="shared" si="161"/>
        <v>35720</v>
      </c>
      <c r="E404" s="142">
        <f t="shared" si="161"/>
        <v>13862</v>
      </c>
      <c r="F404" s="142">
        <f t="shared" si="161"/>
        <v>2303</v>
      </c>
      <c r="G404" s="142">
        <f t="shared" si="161"/>
        <v>0</v>
      </c>
      <c r="H404" s="142">
        <f t="shared" si="161"/>
        <v>110227</v>
      </c>
      <c r="I404" s="142"/>
      <c r="J404" s="142">
        <f t="shared" si="162"/>
        <v>0</v>
      </c>
      <c r="K404" s="142">
        <f t="shared" si="162"/>
        <v>3</v>
      </c>
      <c r="L404" s="142">
        <f t="shared" si="162"/>
        <v>2681</v>
      </c>
      <c r="M404" s="142">
        <f t="shared" si="162"/>
        <v>2305</v>
      </c>
      <c r="N404" s="142">
        <f t="shared" si="162"/>
        <v>1203</v>
      </c>
      <c r="O404" s="142">
        <f t="shared" si="162"/>
        <v>0</v>
      </c>
      <c r="P404" s="142">
        <f t="shared" si="162"/>
        <v>6192</v>
      </c>
    </row>
    <row r="405" spans="1:16" ht="11.25" customHeight="1">
      <c r="A405" s="99">
        <v>2016</v>
      </c>
      <c r="B405" s="142">
        <f t="shared" si="161"/>
        <v>9339</v>
      </c>
      <c r="C405" s="142">
        <f t="shared" si="161"/>
        <v>17716</v>
      </c>
      <c r="D405" s="142">
        <f t="shared" si="161"/>
        <v>8454</v>
      </c>
      <c r="E405" s="142">
        <f t="shared" si="161"/>
        <v>3272</v>
      </c>
      <c r="F405" s="142">
        <f t="shared" si="161"/>
        <v>5</v>
      </c>
      <c r="G405" s="142">
        <f t="shared" si="161"/>
        <v>0</v>
      </c>
      <c r="H405" s="142">
        <f t="shared" si="161"/>
        <v>38786</v>
      </c>
      <c r="I405" s="142"/>
      <c r="J405" s="142">
        <f t="shared" si="162"/>
        <v>0</v>
      </c>
      <c r="K405" s="142">
        <f t="shared" si="162"/>
        <v>0</v>
      </c>
      <c r="L405" s="142">
        <f t="shared" si="162"/>
        <v>29</v>
      </c>
      <c r="M405" s="142">
        <f t="shared" si="162"/>
        <v>15</v>
      </c>
      <c r="N405" s="142">
        <f t="shared" si="162"/>
        <v>0</v>
      </c>
      <c r="O405" s="142">
        <f t="shared" si="162"/>
        <v>1</v>
      </c>
      <c r="P405" s="142">
        <f t="shared" si="162"/>
        <v>44</v>
      </c>
    </row>
    <row r="406" spans="1:16" ht="11.25" customHeight="1">
      <c r="A406" s="99">
        <v>2017</v>
      </c>
      <c r="B406" s="142">
        <f t="shared" si="161"/>
        <v>14609</v>
      </c>
      <c r="C406" s="142">
        <f t="shared" si="161"/>
        <v>9285</v>
      </c>
      <c r="D406" s="142">
        <f t="shared" si="161"/>
        <v>21478</v>
      </c>
      <c r="E406" s="142">
        <f t="shared" si="161"/>
        <v>9890</v>
      </c>
      <c r="F406" s="142">
        <f t="shared" si="161"/>
        <v>1511</v>
      </c>
      <c r="G406" s="142">
        <f t="shared" si="161"/>
        <v>0</v>
      </c>
      <c r="H406" s="142">
        <f t="shared" si="161"/>
        <v>56773</v>
      </c>
      <c r="I406" s="142"/>
      <c r="J406" s="142">
        <f t="shared" si="162"/>
        <v>0</v>
      </c>
      <c r="K406" s="142">
        <f t="shared" si="162"/>
        <v>0</v>
      </c>
      <c r="L406" s="142">
        <f t="shared" si="162"/>
        <v>1220</v>
      </c>
      <c r="M406" s="142">
        <f t="shared" si="162"/>
        <v>7869</v>
      </c>
      <c r="N406" s="142">
        <f t="shared" si="162"/>
        <v>5498</v>
      </c>
      <c r="O406" s="142">
        <f t="shared" si="162"/>
        <v>0</v>
      </c>
      <c r="P406" s="142">
        <f t="shared" si="162"/>
        <v>14587</v>
      </c>
    </row>
    <row r="407" spans="1:16" ht="11.25" customHeight="1">
      <c r="A407" s="122">
        <v>2018</v>
      </c>
      <c r="B407" s="142">
        <f t="shared" si="161"/>
        <v>7972</v>
      </c>
      <c r="C407" s="142">
        <f t="shared" si="161"/>
        <v>20698</v>
      </c>
      <c r="D407" s="142">
        <f t="shared" si="161"/>
        <v>13924</v>
      </c>
      <c r="E407" s="142">
        <f t="shared" si="161"/>
        <v>3566</v>
      </c>
      <c r="F407" s="142">
        <f t="shared" si="161"/>
        <v>1168</v>
      </c>
      <c r="G407" s="142">
        <f t="shared" si="161"/>
        <v>0</v>
      </c>
      <c r="H407" s="142">
        <f t="shared" si="161"/>
        <v>47328</v>
      </c>
      <c r="I407" s="142"/>
      <c r="J407" s="142">
        <f t="shared" si="162"/>
        <v>0</v>
      </c>
      <c r="K407" s="142">
        <f t="shared" si="162"/>
        <v>15</v>
      </c>
      <c r="L407" s="142">
        <f t="shared" si="162"/>
        <v>2166</v>
      </c>
      <c r="M407" s="142">
        <f t="shared" si="162"/>
        <v>5968</v>
      </c>
      <c r="N407" s="142">
        <f t="shared" si="162"/>
        <v>4912</v>
      </c>
      <c r="O407" s="142">
        <f t="shared" si="162"/>
        <v>0</v>
      </c>
      <c r="P407" s="142">
        <f t="shared" si="162"/>
        <v>13061</v>
      </c>
    </row>
    <row r="408" spans="1:16" ht="11.25" customHeight="1">
      <c r="A408" s="122">
        <v>2019</v>
      </c>
      <c r="B408" s="142">
        <f t="shared" si="161"/>
        <v>4571</v>
      </c>
      <c r="C408" s="142">
        <f t="shared" si="161"/>
        <v>5128</v>
      </c>
      <c r="D408" s="142">
        <f t="shared" si="161"/>
        <v>23708</v>
      </c>
      <c r="E408" s="142">
        <f t="shared" si="161"/>
        <v>5430</v>
      </c>
      <c r="F408" s="142">
        <f t="shared" si="161"/>
        <v>2031</v>
      </c>
      <c r="G408" s="142">
        <f t="shared" si="161"/>
        <v>0</v>
      </c>
      <c r="H408" s="142">
        <f t="shared" si="161"/>
        <v>40868</v>
      </c>
      <c r="I408" s="142"/>
      <c r="J408" s="142">
        <f t="shared" si="162"/>
        <v>0</v>
      </c>
      <c r="K408" s="142">
        <f t="shared" si="162"/>
        <v>0</v>
      </c>
      <c r="L408" s="142">
        <f t="shared" si="162"/>
        <v>15891</v>
      </c>
      <c r="M408" s="142">
        <f t="shared" si="162"/>
        <v>34878</v>
      </c>
      <c r="N408" s="142">
        <f t="shared" si="162"/>
        <v>8474</v>
      </c>
      <c r="O408" s="142">
        <f t="shared" si="162"/>
        <v>0</v>
      </c>
      <c r="P408" s="142">
        <f t="shared" si="162"/>
        <v>59243</v>
      </c>
    </row>
    <row r="409" spans="1:16" ht="11.25" customHeight="1">
      <c r="A409" s="122">
        <v>2020</v>
      </c>
      <c r="B409" s="142">
        <f t="shared" ref="B409:H410" si="163">B145</f>
        <v>486</v>
      </c>
      <c r="C409" s="142">
        <f t="shared" si="163"/>
        <v>1198</v>
      </c>
      <c r="D409" s="142">
        <f t="shared" si="163"/>
        <v>7891</v>
      </c>
      <c r="E409" s="142">
        <f t="shared" si="163"/>
        <v>4579</v>
      </c>
      <c r="F409" s="142">
        <f t="shared" si="163"/>
        <v>215</v>
      </c>
      <c r="G409" s="142">
        <f t="shared" si="163"/>
        <v>0</v>
      </c>
      <c r="H409" s="142">
        <f t="shared" si="163"/>
        <v>14369</v>
      </c>
      <c r="I409" s="142"/>
      <c r="J409" s="142">
        <f t="shared" ref="J409:P410" si="164">J145</f>
        <v>0</v>
      </c>
      <c r="K409" s="142">
        <f t="shared" si="164"/>
        <v>0</v>
      </c>
      <c r="L409" s="142">
        <f t="shared" si="164"/>
        <v>809</v>
      </c>
      <c r="M409" s="142">
        <f t="shared" si="164"/>
        <v>11178</v>
      </c>
      <c r="N409" s="142">
        <f t="shared" si="164"/>
        <v>3026</v>
      </c>
      <c r="O409" s="142">
        <f t="shared" si="164"/>
        <v>0</v>
      </c>
      <c r="P409" s="142">
        <f t="shared" si="164"/>
        <v>15013</v>
      </c>
    </row>
    <row r="410" spans="1:16" ht="11.25" customHeight="1">
      <c r="A410" s="122" t="s">
        <v>317</v>
      </c>
      <c r="B410" s="142">
        <f t="shared" si="163"/>
        <v>2963</v>
      </c>
      <c r="C410" s="142">
        <f t="shared" si="163"/>
        <v>9346</v>
      </c>
      <c r="D410" s="142">
        <f t="shared" si="163"/>
        <v>9308</v>
      </c>
      <c r="E410" s="142">
        <f t="shared" si="163"/>
        <v>4808</v>
      </c>
      <c r="F410" s="142">
        <f t="shared" si="163"/>
        <v>741</v>
      </c>
      <c r="G410" s="142">
        <f t="shared" si="163"/>
        <v>0</v>
      </c>
      <c r="H410" s="142">
        <f t="shared" si="163"/>
        <v>27166</v>
      </c>
      <c r="I410" s="142"/>
      <c r="J410" s="142">
        <f t="shared" si="164"/>
        <v>0</v>
      </c>
      <c r="K410" s="142">
        <f t="shared" si="164"/>
        <v>0</v>
      </c>
      <c r="L410" s="142">
        <f t="shared" si="164"/>
        <v>1590</v>
      </c>
      <c r="M410" s="142">
        <f t="shared" si="164"/>
        <v>16066</v>
      </c>
      <c r="N410" s="142">
        <f t="shared" si="164"/>
        <v>12002</v>
      </c>
      <c r="O410" s="142">
        <f t="shared" si="164"/>
        <v>0</v>
      </c>
      <c r="P410" s="142">
        <f t="shared" si="164"/>
        <v>29658</v>
      </c>
    </row>
    <row r="411" spans="1:16" ht="11.25" customHeight="1">
      <c r="B411" s="142"/>
      <c r="C411" s="142"/>
      <c r="D411" s="142"/>
      <c r="E411" s="142"/>
      <c r="F411" s="142"/>
      <c r="G411" s="142"/>
      <c r="H411" s="142"/>
      <c r="I411" s="142"/>
      <c r="J411" s="142"/>
      <c r="K411" s="142"/>
      <c r="L411" s="142"/>
      <c r="M411" s="142"/>
      <c r="N411" s="142"/>
      <c r="O411" s="142"/>
      <c r="P411" s="142"/>
    </row>
    <row r="412" spans="1:16">
      <c r="A412" s="94" t="s">
        <v>86</v>
      </c>
      <c r="B412" s="120"/>
      <c r="C412" s="120"/>
      <c r="D412" s="120"/>
      <c r="E412" s="104"/>
      <c r="F412" s="104"/>
      <c r="G412" s="104"/>
      <c r="H412" s="104"/>
      <c r="I412" s="104"/>
      <c r="J412" s="104"/>
      <c r="K412" s="104"/>
      <c r="L412" s="104"/>
      <c r="M412" s="104"/>
      <c r="N412" s="104"/>
      <c r="O412" s="104"/>
      <c r="P412" s="104"/>
    </row>
    <row r="413" spans="1:16" ht="11.25" customHeight="1">
      <c r="A413" s="99" t="s">
        <v>24</v>
      </c>
      <c r="B413" s="142">
        <f>AVERAGE(B154:B158)</f>
        <v>11201.8</v>
      </c>
      <c r="C413" s="142">
        <f t="shared" ref="C413:H413" si="165">AVERAGE(C154:C158)</f>
        <v>758</v>
      </c>
      <c r="D413" s="142">
        <f t="shared" si="165"/>
        <v>1884</v>
      </c>
      <c r="E413" s="142">
        <f t="shared" si="165"/>
        <v>775.2</v>
      </c>
      <c r="F413" s="142">
        <f t="shared" si="165"/>
        <v>106.8</v>
      </c>
      <c r="G413" s="142">
        <f t="shared" si="165"/>
        <v>2.4</v>
      </c>
      <c r="H413" s="142">
        <f t="shared" si="165"/>
        <v>14728.2</v>
      </c>
      <c r="I413" s="142"/>
      <c r="J413" s="142" t="s">
        <v>23</v>
      </c>
      <c r="K413" s="142" t="s">
        <v>23</v>
      </c>
      <c r="L413" s="142">
        <f>AVERAGE(L154:L158)</f>
        <v>48629</v>
      </c>
      <c r="M413" s="142">
        <f>AVERAGE(M154:M158)</f>
        <v>26289</v>
      </c>
      <c r="N413" s="142">
        <f>AVERAGE(N154:N158)</f>
        <v>15916</v>
      </c>
      <c r="O413" s="142" t="s">
        <v>23</v>
      </c>
      <c r="P413" s="142">
        <f>AVERAGE(P154:P158)</f>
        <v>53391.8</v>
      </c>
    </row>
    <row r="414" spans="1:16" ht="11.25" customHeight="1">
      <c r="A414" s="99" t="s">
        <v>78</v>
      </c>
      <c r="B414" s="142">
        <f>AVERAGE(B159:B163)</f>
        <v>4788.8</v>
      </c>
      <c r="C414" s="142">
        <f t="shared" ref="C414:H414" si="166">AVERAGE(C159:C163)</f>
        <v>1264</v>
      </c>
      <c r="D414" s="142">
        <f t="shared" si="166"/>
        <v>3549</v>
      </c>
      <c r="E414" s="142">
        <f t="shared" si="166"/>
        <v>2690.6666666666665</v>
      </c>
      <c r="F414" s="142">
        <f t="shared" si="166"/>
        <v>1702</v>
      </c>
      <c r="G414" s="142">
        <f t="shared" si="166"/>
        <v>71</v>
      </c>
      <c r="H414" s="142">
        <f t="shared" si="166"/>
        <v>8566.4</v>
      </c>
      <c r="I414" s="142"/>
      <c r="J414" s="142" t="s">
        <v>23</v>
      </c>
      <c r="K414" s="142" t="s">
        <v>23</v>
      </c>
      <c r="L414" s="142">
        <f>AVERAGE(L159:L163)</f>
        <v>18234</v>
      </c>
      <c r="M414" s="142">
        <f>AVERAGE(M159:M163)</f>
        <v>41121</v>
      </c>
      <c r="N414" s="142">
        <f>AVERAGE(N159:N163)</f>
        <v>19306</v>
      </c>
      <c r="O414" s="142">
        <f>AVERAGE(O159:O163)</f>
        <v>304</v>
      </c>
      <c r="P414" s="142">
        <f>AVERAGE(P159:P163)</f>
        <v>45128.25</v>
      </c>
    </row>
    <row r="415" spans="1:16" ht="11.25" customHeight="1">
      <c r="A415" s="99" t="s">
        <v>10</v>
      </c>
      <c r="B415" s="142">
        <f>AVERAGE(B164:B168)</f>
        <v>1464.6666666666667</v>
      </c>
      <c r="C415" s="142">
        <f t="shared" ref="C415:P415" si="167">AVERAGE(C164:C168)</f>
        <v>357.33333333333331</v>
      </c>
      <c r="D415" s="142">
        <f t="shared" si="167"/>
        <v>134</v>
      </c>
      <c r="E415" s="142">
        <f t="shared" si="167"/>
        <v>343.66666666666669</v>
      </c>
      <c r="F415" s="142">
        <f t="shared" si="167"/>
        <v>102.5</v>
      </c>
      <c r="G415" s="142" t="s">
        <v>23</v>
      </c>
      <c r="H415" s="142">
        <f t="shared" si="167"/>
        <v>2323.3333333333335</v>
      </c>
      <c r="I415" s="142"/>
      <c r="J415" s="142" t="s">
        <v>23</v>
      </c>
      <c r="K415" s="142" t="s">
        <v>23</v>
      </c>
      <c r="L415" s="142">
        <f t="shared" si="167"/>
        <v>911</v>
      </c>
      <c r="M415" s="142">
        <f t="shared" si="167"/>
        <v>12674</v>
      </c>
      <c r="N415" s="142">
        <f t="shared" si="167"/>
        <v>3936.5</v>
      </c>
      <c r="O415" s="142" t="s">
        <v>23</v>
      </c>
      <c r="P415" s="142">
        <f t="shared" si="167"/>
        <v>15905.666666666666</v>
      </c>
    </row>
    <row r="416" spans="1:16" ht="11.25" customHeight="1">
      <c r="A416" s="99" t="s">
        <v>144</v>
      </c>
      <c r="B416" s="142">
        <f>AVERAGE(B169:B173)</f>
        <v>8.5</v>
      </c>
      <c r="C416" s="142">
        <f t="shared" ref="C416:P416" si="168">AVERAGE(C169:C173)</f>
        <v>63.5</v>
      </c>
      <c r="D416" s="142" t="s">
        <v>23</v>
      </c>
      <c r="E416" s="142">
        <f t="shared" si="168"/>
        <v>2464</v>
      </c>
      <c r="F416" s="142">
        <f t="shared" si="168"/>
        <v>89</v>
      </c>
      <c r="G416" s="142" t="s">
        <v>23</v>
      </c>
      <c r="H416" s="142">
        <f t="shared" si="168"/>
        <v>710.25</v>
      </c>
      <c r="I416" s="142"/>
      <c r="J416" s="142" t="s">
        <v>23</v>
      </c>
      <c r="K416" s="142" t="s">
        <v>23</v>
      </c>
      <c r="L416" s="142" t="s">
        <v>23</v>
      </c>
      <c r="M416" s="142">
        <f t="shared" si="168"/>
        <v>7020.5</v>
      </c>
      <c r="N416" s="142">
        <f t="shared" si="168"/>
        <v>1043</v>
      </c>
      <c r="O416" s="142" t="s">
        <v>23</v>
      </c>
      <c r="P416" s="142">
        <f t="shared" si="168"/>
        <v>7542</v>
      </c>
    </row>
    <row r="417" spans="1:16" ht="11.25" customHeight="1">
      <c r="A417" s="99" t="s">
        <v>166</v>
      </c>
      <c r="B417" s="142">
        <f>AVERAGE(B174:B178)</f>
        <v>3030.8</v>
      </c>
      <c r="C417" s="142">
        <f t="shared" ref="C417:H417" si="169">AVERAGE(C174:C178)</f>
        <v>1512</v>
      </c>
      <c r="D417" s="142">
        <f t="shared" si="169"/>
        <v>1802</v>
      </c>
      <c r="E417" s="142">
        <f t="shared" si="169"/>
        <v>2683.8</v>
      </c>
      <c r="F417" s="142">
        <f t="shared" si="169"/>
        <v>598.66666666666663</v>
      </c>
      <c r="G417" s="142" t="s">
        <v>23</v>
      </c>
      <c r="H417" s="142">
        <f t="shared" si="169"/>
        <v>9387.7999999999993</v>
      </c>
      <c r="I417" s="142"/>
      <c r="J417" s="142" t="str">
        <f t="shared" ref="J417:O417" si="170">J174</f>
        <v>-</v>
      </c>
      <c r="K417" s="142" t="str">
        <f t="shared" si="170"/>
        <v>-</v>
      </c>
      <c r="L417" s="142">
        <f>AVERAGE(L174:L178)</f>
        <v>1801.5</v>
      </c>
      <c r="M417" s="142">
        <f>AVERAGE(M174:M178)</f>
        <v>2877.4</v>
      </c>
      <c r="N417" s="142">
        <f>AVERAGE(N174:N178)</f>
        <v>3932</v>
      </c>
      <c r="O417" s="142" t="str">
        <f t="shared" si="170"/>
        <v>-</v>
      </c>
      <c r="P417" s="142">
        <f>AVERAGE(P174:P178)</f>
        <v>6677.8</v>
      </c>
    </row>
    <row r="418" spans="1:16" ht="11.25" customHeight="1">
      <c r="A418" s="99" t="s">
        <v>315</v>
      </c>
      <c r="B418" s="142">
        <f>AVERAGE(B179:B183)</f>
        <v>2779</v>
      </c>
      <c r="C418" s="142">
        <f t="shared" ref="C418:H418" si="171">AVERAGE(C179:C183)</f>
        <v>2930</v>
      </c>
      <c r="D418" s="142">
        <f t="shared" si="171"/>
        <v>568.79999999999995</v>
      </c>
      <c r="E418" s="142">
        <f t="shared" si="171"/>
        <v>503.4</v>
      </c>
      <c r="F418" s="142">
        <f t="shared" si="171"/>
        <v>61</v>
      </c>
      <c r="G418" s="142" t="str">
        <f>G179</f>
        <v>-</v>
      </c>
      <c r="H418" s="142">
        <f t="shared" si="171"/>
        <v>6842.2</v>
      </c>
      <c r="I418" s="142"/>
      <c r="J418" s="142" t="str">
        <f t="shared" ref="J418:K418" si="172">J179</f>
        <v>-</v>
      </c>
      <c r="K418" s="142" t="str">
        <f t="shared" si="172"/>
        <v>-</v>
      </c>
      <c r="L418" s="142">
        <f t="shared" ref="L418:P418" si="173">AVERAGE(L179:L183)</f>
        <v>2370.8000000000002</v>
      </c>
      <c r="M418" s="142">
        <f t="shared" si="173"/>
        <v>3926.4</v>
      </c>
      <c r="N418" s="142">
        <f t="shared" si="173"/>
        <v>212.2</v>
      </c>
      <c r="O418" s="142" t="str">
        <f>O179</f>
        <v>-</v>
      </c>
      <c r="P418" s="142">
        <f t="shared" si="173"/>
        <v>6509.4</v>
      </c>
    </row>
    <row r="419" spans="1:16" ht="11.25" customHeight="1">
      <c r="A419" s="99">
        <v>2011</v>
      </c>
      <c r="B419" s="142">
        <f t="shared" ref="B419:H419" si="174">B184</f>
        <v>1529</v>
      </c>
      <c r="C419" s="142">
        <f t="shared" si="174"/>
        <v>1943</v>
      </c>
      <c r="D419" s="142">
        <f t="shared" si="174"/>
        <v>115</v>
      </c>
      <c r="E419" s="142">
        <f t="shared" si="174"/>
        <v>251</v>
      </c>
      <c r="F419" s="142">
        <f t="shared" si="174"/>
        <v>30</v>
      </c>
      <c r="G419" s="142" t="str">
        <f t="shared" si="174"/>
        <v>-</v>
      </c>
      <c r="H419" s="142">
        <f t="shared" si="174"/>
        <v>3868</v>
      </c>
      <c r="I419" s="142"/>
      <c r="J419" s="142" t="str">
        <f t="shared" ref="J419:P419" si="175">J184</f>
        <v>-</v>
      </c>
      <c r="K419" s="142" t="str">
        <f t="shared" si="175"/>
        <v>-</v>
      </c>
      <c r="L419" s="142">
        <f t="shared" si="175"/>
        <v>235</v>
      </c>
      <c r="M419" s="142">
        <f t="shared" si="175"/>
        <v>172</v>
      </c>
      <c r="N419" s="142">
        <f t="shared" si="175"/>
        <v>95</v>
      </c>
      <c r="O419" s="142" t="str">
        <f t="shared" si="175"/>
        <v>-</v>
      </c>
      <c r="P419" s="142">
        <f t="shared" si="175"/>
        <v>502</v>
      </c>
    </row>
    <row r="420" spans="1:16" ht="11.25" customHeight="1">
      <c r="A420" s="99">
        <v>2012</v>
      </c>
      <c r="B420" s="142">
        <f t="shared" ref="B420:H427" si="176">B185</f>
        <v>1297</v>
      </c>
      <c r="C420" s="142">
        <f t="shared" si="176"/>
        <v>7053</v>
      </c>
      <c r="D420" s="142">
        <f t="shared" si="176"/>
        <v>276</v>
      </c>
      <c r="E420" s="142">
        <f t="shared" si="176"/>
        <v>149</v>
      </c>
      <c r="F420" s="142">
        <f t="shared" si="176"/>
        <v>1919</v>
      </c>
      <c r="G420" s="142" t="str">
        <f t="shared" si="176"/>
        <v>-</v>
      </c>
      <c r="H420" s="142">
        <f t="shared" si="176"/>
        <v>10694</v>
      </c>
      <c r="I420" s="142"/>
      <c r="J420" s="142" t="str">
        <f t="shared" ref="J420:P427" si="177">J185</f>
        <v>-</v>
      </c>
      <c r="K420" s="142" t="str">
        <f t="shared" si="177"/>
        <v>-</v>
      </c>
      <c r="L420" s="142">
        <f t="shared" si="177"/>
        <v>61</v>
      </c>
      <c r="M420" s="142">
        <f t="shared" si="177"/>
        <v>37</v>
      </c>
      <c r="N420" s="142">
        <f t="shared" si="177"/>
        <v>615</v>
      </c>
      <c r="O420" s="142" t="str">
        <f t="shared" si="177"/>
        <v>-</v>
      </c>
      <c r="P420" s="142">
        <f t="shared" si="177"/>
        <v>713</v>
      </c>
    </row>
    <row r="421" spans="1:16" ht="11.25" customHeight="1">
      <c r="A421" s="99">
        <v>2013</v>
      </c>
      <c r="B421" s="142">
        <f t="shared" si="176"/>
        <v>534</v>
      </c>
      <c r="C421" s="142">
        <f t="shared" si="176"/>
        <v>1062</v>
      </c>
      <c r="D421" s="142">
        <f t="shared" si="176"/>
        <v>178</v>
      </c>
      <c r="E421" s="142">
        <f t="shared" si="176"/>
        <v>298</v>
      </c>
      <c r="F421" s="142">
        <f t="shared" si="176"/>
        <v>433</v>
      </c>
      <c r="G421" s="142" t="str">
        <f t="shared" si="176"/>
        <v>-</v>
      </c>
      <c r="H421" s="142">
        <f t="shared" si="176"/>
        <v>2505</v>
      </c>
      <c r="I421" s="142"/>
      <c r="J421" s="142" t="str">
        <f t="shared" si="177"/>
        <v>-</v>
      </c>
      <c r="K421" s="142" t="str">
        <f t="shared" si="177"/>
        <v>-</v>
      </c>
      <c r="L421" s="142">
        <f t="shared" si="177"/>
        <v>67</v>
      </c>
      <c r="M421" s="142">
        <f t="shared" si="177"/>
        <v>375</v>
      </c>
      <c r="N421" s="142">
        <f t="shared" si="177"/>
        <v>137</v>
      </c>
      <c r="O421" s="142" t="str">
        <f t="shared" si="177"/>
        <v>-</v>
      </c>
      <c r="P421" s="142">
        <f t="shared" si="177"/>
        <v>579</v>
      </c>
    </row>
    <row r="422" spans="1:16" ht="11.25" customHeight="1">
      <c r="A422" s="99">
        <v>2014</v>
      </c>
      <c r="B422" s="142">
        <f t="shared" si="176"/>
        <v>20242</v>
      </c>
      <c r="C422" s="142">
        <f t="shared" si="176"/>
        <v>1278</v>
      </c>
      <c r="D422" s="142">
        <f t="shared" si="176"/>
        <v>2880</v>
      </c>
      <c r="E422" s="142">
        <f t="shared" si="176"/>
        <v>472</v>
      </c>
      <c r="F422" s="142">
        <f t="shared" si="176"/>
        <v>290</v>
      </c>
      <c r="G422" s="142" t="str">
        <f t="shared" si="176"/>
        <v>-</v>
      </c>
      <c r="H422" s="142">
        <f t="shared" si="176"/>
        <v>25162</v>
      </c>
      <c r="I422" s="142"/>
      <c r="J422" s="142" t="str">
        <f t="shared" si="177"/>
        <v>-</v>
      </c>
      <c r="K422" s="142" t="str">
        <f t="shared" si="177"/>
        <v>-</v>
      </c>
      <c r="L422" s="142">
        <f t="shared" si="177"/>
        <v>2962</v>
      </c>
      <c r="M422" s="142">
        <f t="shared" si="177"/>
        <v>2392</v>
      </c>
      <c r="N422" s="142">
        <f t="shared" si="177"/>
        <v>4587</v>
      </c>
      <c r="O422" s="142" t="str">
        <f t="shared" si="177"/>
        <v>-</v>
      </c>
      <c r="P422" s="142">
        <f t="shared" si="177"/>
        <v>9941</v>
      </c>
    </row>
    <row r="423" spans="1:16" ht="11.25" customHeight="1">
      <c r="A423" s="99">
        <v>2015</v>
      </c>
      <c r="B423" s="142">
        <f t="shared" si="176"/>
        <v>9487</v>
      </c>
      <c r="C423" s="142">
        <f t="shared" si="176"/>
        <v>2177</v>
      </c>
      <c r="D423" s="142">
        <f t="shared" si="176"/>
        <v>1389</v>
      </c>
      <c r="E423" s="142">
        <f t="shared" si="176"/>
        <v>1037</v>
      </c>
      <c r="F423" s="142">
        <f t="shared" si="176"/>
        <v>817</v>
      </c>
      <c r="G423" s="142" t="str">
        <f t="shared" si="176"/>
        <v>-</v>
      </c>
      <c r="H423" s="142">
        <f t="shared" si="176"/>
        <v>14907</v>
      </c>
      <c r="I423" s="142"/>
      <c r="J423" s="142" t="str">
        <f t="shared" si="177"/>
        <v>-</v>
      </c>
      <c r="K423" s="142" t="str">
        <f t="shared" si="177"/>
        <v>-</v>
      </c>
      <c r="L423" s="142">
        <f t="shared" si="177"/>
        <v>369</v>
      </c>
      <c r="M423" s="142">
        <f t="shared" si="177"/>
        <v>582</v>
      </c>
      <c r="N423" s="142">
        <f t="shared" si="177"/>
        <v>1952</v>
      </c>
      <c r="O423" s="142" t="str">
        <f t="shared" si="177"/>
        <v>-</v>
      </c>
      <c r="P423" s="142">
        <f t="shared" si="177"/>
        <v>2903</v>
      </c>
    </row>
    <row r="424" spans="1:16" ht="11.25" customHeight="1">
      <c r="A424" s="99">
        <v>2016</v>
      </c>
      <c r="B424" s="142">
        <f t="shared" si="176"/>
        <v>1175</v>
      </c>
      <c r="C424" s="142">
        <f t="shared" si="176"/>
        <v>1089</v>
      </c>
      <c r="D424" s="142">
        <f t="shared" si="176"/>
        <v>428</v>
      </c>
      <c r="E424" s="142">
        <f t="shared" si="176"/>
        <v>1025</v>
      </c>
      <c r="F424" s="142" t="str">
        <f t="shared" si="176"/>
        <v>-</v>
      </c>
      <c r="G424" s="142" t="str">
        <f t="shared" si="176"/>
        <v>-</v>
      </c>
      <c r="H424" s="142">
        <f t="shared" si="176"/>
        <v>3717</v>
      </c>
      <c r="I424" s="142"/>
      <c r="J424" s="142" t="str">
        <f t="shared" si="177"/>
        <v>-</v>
      </c>
      <c r="K424" s="142" t="str">
        <f t="shared" si="177"/>
        <v>-</v>
      </c>
      <c r="L424" s="142" t="str">
        <f t="shared" si="177"/>
        <v>-</v>
      </c>
      <c r="M424" s="142" t="str">
        <f t="shared" si="177"/>
        <v>-</v>
      </c>
      <c r="N424" s="142" t="str">
        <f t="shared" si="177"/>
        <v>-</v>
      </c>
      <c r="O424" s="142" t="str">
        <f t="shared" si="177"/>
        <v>-</v>
      </c>
      <c r="P424" s="142" t="str">
        <f t="shared" si="177"/>
        <v>-</v>
      </c>
    </row>
    <row r="425" spans="1:16" ht="11.25" customHeight="1">
      <c r="A425" s="99">
        <v>2017</v>
      </c>
      <c r="B425" s="142">
        <f t="shared" si="176"/>
        <v>1228</v>
      </c>
      <c r="C425" s="142">
        <f t="shared" si="176"/>
        <v>874</v>
      </c>
      <c r="D425" s="142">
        <f t="shared" si="176"/>
        <v>124</v>
      </c>
      <c r="E425" s="142">
        <f t="shared" si="176"/>
        <v>632</v>
      </c>
      <c r="F425" s="142">
        <f t="shared" si="176"/>
        <v>343</v>
      </c>
      <c r="G425" s="142" t="str">
        <f t="shared" si="176"/>
        <v>-</v>
      </c>
      <c r="H425" s="142">
        <f t="shared" si="176"/>
        <v>3201</v>
      </c>
      <c r="I425" s="142"/>
      <c r="J425" s="142" t="str">
        <f t="shared" si="177"/>
        <v>-</v>
      </c>
      <c r="K425" s="142" t="str">
        <f t="shared" si="177"/>
        <v>-</v>
      </c>
      <c r="L425" s="142">
        <f t="shared" si="177"/>
        <v>30</v>
      </c>
      <c r="M425" s="142">
        <f t="shared" si="177"/>
        <v>355</v>
      </c>
      <c r="N425" s="142">
        <f t="shared" si="177"/>
        <v>216</v>
      </c>
      <c r="O425" s="142" t="str">
        <f t="shared" si="177"/>
        <v>-</v>
      </c>
      <c r="P425" s="142">
        <f t="shared" si="177"/>
        <v>601</v>
      </c>
    </row>
    <row r="426" spans="1:16" ht="11.25" customHeight="1">
      <c r="A426" s="122">
        <v>2018</v>
      </c>
      <c r="B426" s="142">
        <f t="shared" si="176"/>
        <v>36</v>
      </c>
      <c r="C426" s="142">
        <f t="shared" si="176"/>
        <v>337</v>
      </c>
      <c r="D426" s="142">
        <f t="shared" si="176"/>
        <v>30</v>
      </c>
      <c r="E426" s="142">
        <f t="shared" si="176"/>
        <v>57</v>
      </c>
      <c r="F426" s="142">
        <f t="shared" si="176"/>
        <v>4</v>
      </c>
      <c r="G426" s="142" t="str">
        <f t="shared" si="176"/>
        <v>-</v>
      </c>
      <c r="H426" s="142">
        <f t="shared" si="176"/>
        <v>464</v>
      </c>
      <c r="I426" s="142"/>
      <c r="J426" s="142" t="str">
        <f t="shared" si="177"/>
        <v>-</v>
      </c>
      <c r="K426" s="142" t="str">
        <f t="shared" si="177"/>
        <v>-</v>
      </c>
      <c r="L426" s="142">
        <f t="shared" si="177"/>
        <v>40</v>
      </c>
      <c r="M426" s="142">
        <f t="shared" si="177"/>
        <v>85</v>
      </c>
      <c r="N426" s="142" t="str">
        <f t="shared" si="177"/>
        <v>-</v>
      </c>
      <c r="O426" s="142" t="str">
        <f t="shared" si="177"/>
        <v>-</v>
      </c>
      <c r="P426" s="142">
        <f t="shared" si="177"/>
        <v>125</v>
      </c>
    </row>
    <row r="427" spans="1:16" ht="11.25" customHeight="1">
      <c r="A427" s="122">
        <v>2019</v>
      </c>
      <c r="B427" s="142">
        <f t="shared" si="176"/>
        <v>156</v>
      </c>
      <c r="C427" s="142">
        <f t="shared" si="176"/>
        <v>62</v>
      </c>
      <c r="D427" s="142">
        <f t="shared" si="176"/>
        <v>370</v>
      </c>
      <c r="E427" s="142">
        <f t="shared" si="176"/>
        <v>121</v>
      </c>
      <c r="F427" s="142">
        <f t="shared" si="176"/>
        <v>28</v>
      </c>
      <c r="G427" s="142" t="str">
        <f t="shared" si="176"/>
        <v>-</v>
      </c>
      <c r="H427" s="142">
        <f t="shared" si="176"/>
        <v>737</v>
      </c>
      <c r="I427" s="142"/>
      <c r="J427" s="142" t="str">
        <f t="shared" si="177"/>
        <v>-</v>
      </c>
      <c r="K427" s="142" t="str">
        <f t="shared" si="177"/>
        <v>-</v>
      </c>
      <c r="L427" s="142">
        <f t="shared" si="177"/>
        <v>1190</v>
      </c>
      <c r="M427" s="142">
        <f t="shared" si="177"/>
        <v>400</v>
      </c>
      <c r="N427" s="142">
        <f t="shared" si="177"/>
        <v>81</v>
      </c>
      <c r="O427" s="142" t="str">
        <f t="shared" si="177"/>
        <v>-</v>
      </c>
      <c r="P427" s="142">
        <f t="shared" si="177"/>
        <v>1671</v>
      </c>
    </row>
    <row r="428" spans="1:16" ht="11.25" customHeight="1">
      <c r="A428" s="122">
        <v>2020</v>
      </c>
      <c r="B428" s="142">
        <f t="shared" ref="B428:H429" si="178">B193</f>
        <v>231</v>
      </c>
      <c r="C428" s="142">
        <f t="shared" si="178"/>
        <v>168</v>
      </c>
      <c r="D428" s="142">
        <f t="shared" si="178"/>
        <v>57</v>
      </c>
      <c r="E428" s="142">
        <f t="shared" si="178"/>
        <v>101</v>
      </c>
      <c r="F428" s="142">
        <f t="shared" si="178"/>
        <v>11</v>
      </c>
      <c r="G428" s="142" t="str">
        <f t="shared" si="178"/>
        <v>-</v>
      </c>
      <c r="H428" s="142">
        <f t="shared" si="178"/>
        <v>568</v>
      </c>
      <c r="I428" s="142"/>
      <c r="J428" s="142" t="str">
        <f t="shared" ref="J428:P429" si="179">J193</f>
        <v>-</v>
      </c>
      <c r="K428" s="142" t="str">
        <f t="shared" si="179"/>
        <v>-</v>
      </c>
      <c r="L428" s="142">
        <f t="shared" si="179"/>
        <v>63</v>
      </c>
      <c r="M428" s="142">
        <f t="shared" si="179"/>
        <v>64</v>
      </c>
      <c r="N428" s="142">
        <f t="shared" si="179"/>
        <v>17</v>
      </c>
      <c r="O428" s="142" t="str">
        <f t="shared" si="179"/>
        <v>-</v>
      </c>
      <c r="P428" s="142">
        <f t="shared" si="179"/>
        <v>144</v>
      </c>
    </row>
    <row r="429" spans="1:16" ht="11.25" customHeight="1">
      <c r="A429" s="122" t="s">
        <v>317</v>
      </c>
      <c r="B429" s="142">
        <f t="shared" si="178"/>
        <v>39</v>
      </c>
      <c r="C429" s="142">
        <f t="shared" si="178"/>
        <v>85</v>
      </c>
      <c r="D429" s="142">
        <f t="shared" si="178"/>
        <v>128</v>
      </c>
      <c r="E429" s="142">
        <f t="shared" si="178"/>
        <v>57</v>
      </c>
      <c r="F429" s="142">
        <f t="shared" si="178"/>
        <v>15</v>
      </c>
      <c r="G429" s="142" t="str">
        <f t="shared" si="178"/>
        <v>-</v>
      </c>
      <c r="H429" s="142">
        <f t="shared" si="178"/>
        <v>324</v>
      </c>
      <c r="I429" s="142"/>
      <c r="J429" s="142" t="str">
        <f t="shared" si="179"/>
        <v>-</v>
      </c>
      <c r="K429" s="142" t="str">
        <f t="shared" si="179"/>
        <v>-</v>
      </c>
      <c r="L429" s="142">
        <f t="shared" si="179"/>
        <v>75</v>
      </c>
      <c r="M429" s="142">
        <f t="shared" si="179"/>
        <v>68</v>
      </c>
      <c r="N429" s="142">
        <f t="shared" si="179"/>
        <v>121</v>
      </c>
      <c r="O429" s="142" t="str">
        <f t="shared" si="179"/>
        <v>-</v>
      </c>
      <c r="P429" s="142">
        <f t="shared" si="179"/>
        <v>264</v>
      </c>
    </row>
    <row r="430" spans="1:16" ht="11.25" customHeight="1">
      <c r="B430" s="142"/>
      <c r="C430" s="142"/>
      <c r="D430" s="142"/>
      <c r="E430" s="142"/>
      <c r="F430" s="142"/>
      <c r="G430" s="142"/>
      <c r="H430" s="142"/>
      <c r="I430" s="142"/>
      <c r="J430" s="142"/>
      <c r="K430" s="142"/>
      <c r="L430" s="142"/>
      <c r="M430" s="142"/>
      <c r="N430" s="142"/>
      <c r="O430" s="142"/>
      <c r="P430" s="142"/>
    </row>
    <row r="431" spans="1:16" ht="11.25" customHeight="1">
      <c r="A431" s="282" t="s">
        <v>299</v>
      </c>
      <c r="B431" s="282"/>
      <c r="C431" s="282"/>
      <c r="D431" s="282"/>
      <c r="E431" s="282"/>
      <c r="F431" s="282"/>
      <c r="G431" s="282"/>
      <c r="H431" s="282"/>
      <c r="I431" s="282"/>
      <c r="J431" s="282"/>
      <c r="K431" s="282"/>
      <c r="L431" s="282"/>
      <c r="M431" s="282"/>
      <c r="N431" s="282"/>
      <c r="O431" s="282"/>
      <c r="P431" s="282"/>
    </row>
    <row r="432" spans="1:16" ht="11.25" customHeight="1">
      <c r="A432" s="98" t="s">
        <v>27</v>
      </c>
      <c r="B432" s="46" t="s">
        <v>29</v>
      </c>
      <c r="C432" s="46" t="s">
        <v>30</v>
      </c>
      <c r="D432" s="46" t="s">
        <v>89</v>
      </c>
      <c r="E432" s="46" t="s">
        <v>90</v>
      </c>
      <c r="F432" s="46" t="s">
        <v>33</v>
      </c>
      <c r="G432" s="46" t="s">
        <v>34</v>
      </c>
      <c r="H432" s="46" t="s">
        <v>22</v>
      </c>
      <c r="I432" s="46"/>
      <c r="J432" s="46" t="s">
        <v>29</v>
      </c>
      <c r="K432" s="46" t="s">
        <v>30</v>
      </c>
      <c r="L432" s="46" t="s">
        <v>91</v>
      </c>
      <c r="M432" s="46" t="s">
        <v>92</v>
      </c>
      <c r="N432" s="46" t="s">
        <v>33</v>
      </c>
      <c r="O432" s="46" t="s">
        <v>34</v>
      </c>
      <c r="P432" s="46" t="s">
        <v>22</v>
      </c>
    </row>
    <row r="433" spans="1:16" ht="11.25" customHeight="1">
      <c r="B433" s="334" t="s">
        <v>61</v>
      </c>
      <c r="C433" s="334"/>
      <c r="D433" s="334"/>
      <c r="E433" s="334"/>
      <c r="F433" s="334"/>
      <c r="G433" s="334"/>
      <c r="H433" s="334"/>
      <c r="I433" s="14"/>
      <c r="J433" s="334" t="s">
        <v>62</v>
      </c>
      <c r="K433" s="334"/>
      <c r="L433" s="334"/>
      <c r="M433" s="334"/>
      <c r="N433" s="334"/>
      <c r="O433" s="334"/>
      <c r="P433" s="334"/>
    </row>
    <row r="434" spans="1:16">
      <c r="A434" s="94" t="s">
        <v>93</v>
      </c>
      <c r="B434" s="89"/>
      <c r="C434" s="89"/>
      <c r="D434" s="89"/>
      <c r="E434" s="24"/>
      <c r="F434" s="24"/>
      <c r="G434" s="24"/>
      <c r="H434" s="24"/>
      <c r="I434" s="24"/>
      <c r="J434" s="24"/>
      <c r="K434" s="24"/>
      <c r="L434" s="24"/>
      <c r="M434" s="24"/>
      <c r="N434" s="24"/>
      <c r="O434" s="24"/>
      <c r="P434" s="24"/>
    </row>
    <row r="435" spans="1:16" ht="11.25" customHeight="1">
      <c r="A435" s="99" t="s">
        <v>24</v>
      </c>
      <c r="B435" s="142">
        <f>AVERAGE(B202:B206)</f>
        <v>36396.800000000003</v>
      </c>
      <c r="C435" s="142">
        <f t="shared" ref="C435:H435" si="180">AVERAGE(C202:C206)</f>
        <v>3511.4</v>
      </c>
      <c r="D435" s="142">
        <f t="shared" si="180"/>
        <v>21389</v>
      </c>
      <c r="E435" s="142">
        <f t="shared" si="180"/>
        <v>5446.2</v>
      </c>
      <c r="F435" s="142">
        <f t="shared" si="180"/>
        <v>113</v>
      </c>
      <c r="G435" s="142">
        <f>AVERAGE(G202:G206)</f>
        <v>2.4</v>
      </c>
      <c r="H435" s="142">
        <f t="shared" si="180"/>
        <v>66858.8</v>
      </c>
      <c r="I435" s="142"/>
      <c r="J435" s="142" t="s">
        <v>23</v>
      </c>
      <c r="K435" s="142" t="s">
        <v>23</v>
      </c>
      <c r="L435" s="142">
        <f>AVERAGE(L202:L206)</f>
        <v>154421.5</v>
      </c>
      <c r="M435" s="142">
        <f>AVERAGE(M202:M206)</f>
        <v>47025.2</v>
      </c>
      <c r="N435" s="142">
        <f>AVERAGE(N202:N206)</f>
        <v>5371.666666666667</v>
      </c>
      <c r="O435" s="142" t="s">
        <v>23</v>
      </c>
      <c r="P435" s="142">
        <f>AVERAGE(P202:P206)</f>
        <v>173785.4</v>
      </c>
    </row>
    <row r="436" spans="1:16" ht="11.25" customHeight="1">
      <c r="A436" s="99" t="s">
        <v>78</v>
      </c>
      <c r="B436" s="142">
        <f>AVERAGE(B207:B211)</f>
        <v>31870</v>
      </c>
      <c r="C436" s="142">
        <f t="shared" ref="C436:H436" si="181">AVERAGE(C207:C211)</f>
        <v>12241.75</v>
      </c>
      <c r="D436" s="142">
        <f t="shared" si="181"/>
        <v>10688</v>
      </c>
      <c r="E436" s="142">
        <f t="shared" si="181"/>
        <v>3829.25</v>
      </c>
      <c r="F436" s="142">
        <f t="shared" si="181"/>
        <v>1707.5</v>
      </c>
      <c r="G436" s="142">
        <f t="shared" si="181"/>
        <v>71</v>
      </c>
      <c r="H436" s="142">
        <f t="shared" si="181"/>
        <v>49699.199999999997</v>
      </c>
      <c r="I436" s="142"/>
      <c r="J436" s="142" t="s">
        <v>23</v>
      </c>
      <c r="K436" s="142" t="s">
        <v>23</v>
      </c>
      <c r="L436" s="142">
        <f>AVERAGE(L207:L211)</f>
        <v>27564</v>
      </c>
      <c r="M436" s="142">
        <f>AVERAGE(M207:M211)</f>
        <v>65822</v>
      </c>
      <c r="N436" s="142">
        <f>AVERAGE(N207:N211)</f>
        <v>19314</v>
      </c>
      <c r="O436" s="142">
        <f>AVERAGE(O207:O211)</f>
        <v>304</v>
      </c>
      <c r="P436" s="142">
        <f>AVERAGE(P207:P211)</f>
        <v>71469.600000000006</v>
      </c>
    </row>
    <row r="437" spans="1:16" ht="11.25" customHeight="1">
      <c r="A437" s="99" t="s">
        <v>10</v>
      </c>
      <c r="B437" s="142">
        <f>AVERAGE(B212:B216)</f>
        <v>17321.333333333332</v>
      </c>
      <c r="C437" s="142">
        <f t="shared" ref="C437:P437" si="182">AVERAGE(C212:C216)</f>
        <v>12216.333333333334</v>
      </c>
      <c r="D437" s="142">
        <f t="shared" si="182"/>
        <v>4062.5</v>
      </c>
      <c r="E437" s="142">
        <f t="shared" si="182"/>
        <v>1536.5</v>
      </c>
      <c r="F437" s="142">
        <f t="shared" si="182"/>
        <v>1220</v>
      </c>
      <c r="G437" s="142" t="s">
        <v>23</v>
      </c>
      <c r="H437" s="142">
        <f t="shared" si="182"/>
        <v>26331</v>
      </c>
      <c r="I437" s="142"/>
      <c r="J437" s="142" t="s">
        <v>23</v>
      </c>
      <c r="K437" s="142" t="s">
        <v>23</v>
      </c>
      <c r="L437" s="142">
        <f t="shared" si="182"/>
        <v>8029.5</v>
      </c>
      <c r="M437" s="142">
        <f t="shared" si="182"/>
        <v>23097</v>
      </c>
      <c r="N437" s="142">
        <f t="shared" si="182"/>
        <v>10866</v>
      </c>
      <c r="O437" s="142" t="s">
        <v>23</v>
      </c>
      <c r="P437" s="142">
        <f t="shared" si="182"/>
        <v>35261.25</v>
      </c>
    </row>
    <row r="438" spans="1:16" ht="11.25" customHeight="1">
      <c r="A438" s="99" t="s">
        <v>144</v>
      </c>
      <c r="B438" s="142">
        <f>AVERAGE(B217:B221)</f>
        <v>5255</v>
      </c>
      <c r="C438" s="142">
        <f t="shared" ref="C438:P438" si="183">AVERAGE(C217:C221)</f>
        <v>2960.5</v>
      </c>
      <c r="D438" s="142">
        <f t="shared" si="183"/>
        <v>4030</v>
      </c>
      <c r="E438" s="142">
        <f t="shared" si="183"/>
        <v>2688</v>
      </c>
      <c r="F438" s="142">
        <f t="shared" si="183"/>
        <v>92</v>
      </c>
      <c r="G438" s="142" t="s">
        <v>23</v>
      </c>
      <c r="H438" s="142">
        <f t="shared" si="183"/>
        <v>10590</v>
      </c>
      <c r="I438" s="142"/>
      <c r="J438" s="142" t="s">
        <v>23</v>
      </c>
      <c r="K438" s="142" t="s">
        <v>23</v>
      </c>
      <c r="L438" s="142">
        <f t="shared" si="183"/>
        <v>3905</v>
      </c>
      <c r="M438" s="142">
        <f t="shared" si="183"/>
        <v>9887.3333333333339</v>
      </c>
      <c r="N438" s="142">
        <f t="shared" si="183"/>
        <v>714.5</v>
      </c>
      <c r="O438" s="142" t="s">
        <v>23</v>
      </c>
      <c r="P438" s="142">
        <f t="shared" si="183"/>
        <v>12967</v>
      </c>
    </row>
    <row r="439" spans="1:16" ht="11.25" customHeight="1">
      <c r="A439" s="99" t="s">
        <v>166</v>
      </c>
      <c r="B439" s="142">
        <f>AVERAGE(B222:B226)</f>
        <v>18344.8</v>
      </c>
      <c r="C439" s="142">
        <f>AVERAGE(C222:C226)</f>
        <v>7583.6</v>
      </c>
      <c r="D439" s="142">
        <f>AVERAGE(D222:D226)</f>
        <v>11498.6</v>
      </c>
      <c r="E439" s="142">
        <f>AVERAGE(E222:E226)</f>
        <v>10012</v>
      </c>
      <c r="F439" s="142">
        <f>AVERAGE(F222:F226)</f>
        <v>1656</v>
      </c>
      <c r="G439" s="142" t="str">
        <f>G222</f>
        <v>-</v>
      </c>
      <c r="H439" s="142">
        <f>AVERAGE(H222:H226)</f>
        <v>48432.6</v>
      </c>
      <c r="I439" s="142"/>
      <c r="J439" s="142" t="str">
        <f t="shared" ref="J439:O439" si="184">J222</f>
        <v>-</v>
      </c>
      <c r="K439" s="142" t="str">
        <f t="shared" si="184"/>
        <v>-</v>
      </c>
      <c r="L439" s="142">
        <f>AVERAGE(L222:L226)</f>
        <v>3665.5</v>
      </c>
      <c r="M439" s="142">
        <f>AVERAGE(M222:M226)</f>
        <v>5111</v>
      </c>
      <c r="N439" s="142">
        <f>AVERAGE(N222:N226)</f>
        <v>6837.666666666667</v>
      </c>
      <c r="O439" s="142" t="str">
        <f t="shared" si="184"/>
        <v>-</v>
      </c>
      <c r="P439" s="142">
        <f>AVERAGE(P222:P226)</f>
        <v>12146</v>
      </c>
    </row>
    <row r="440" spans="1:16" ht="11.25" customHeight="1">
      <c r="A440" s="99" t="s">
        <v>315</v>
      </c>
      <c r="B440" s="142">
        <f>AVERAGE(B227:B231)</f>
        <v>7907.6</v>
      </c>
      <c r="C440" s="142">
        <f t="shared" ref="C440:H440" si="185">AVERAGE(C227:C231)</f>
        <v>10368.6</v>
      </c>
      <c r="D440" s="142">
        <f t="shared" si="185"/>
        <v>3255.4</v>
      </c>
      <c r="E440" s="142">
        <f t="shared" si="185"/>
        <v>3160.8</v>
      </c>
      <c r="F440" s="142">
        <f t="shared" si="185"/>
        <v>564.79999999999995</v>
      </c>
      <c r="G440" s="142" t="str">
        <f>G227</f>
        <v>-</v>
      </c>
      <c r="H440" s="142">
        <f t="shared" si="185"/>
        <v>25257.200000000001</v>
      </c>
      <c r="I440" s="142"/>
      <c r="J440" s="142" t="str">
        <f t="shared" ref="J440:K440" si="186">J227</f>
        <v>-</v>
      </c>
      <c r="K440" s="142" t="str">
        <f t="shared" si="186"/>
        <v>-</v>
      </c>
      <c r="L440" s="142">
        <f t="shared" ref="L440:P440" si="187">AVERAGE(L227:L231)</f>
        <v>4042.6</v>
      </c>
      <c r="M440" s="142">
        <f t="shared" si="187"/>
        <v>6486.6</v>
      </c>
      <c r="N440" s="142">
        <f t="shared" si="187"/>
        <v>1099.2</v>
      </c>
      <c r="O440" s="142" t="str">
        <f>O227</f>
        <v>-</v>
      </c>
      <c r="P440" s="142">
        <f t="shared" si="187"/>
        <v>11628.4</v>
      </c>
    </row>
    <row r="441" spans="1:16" ht="11.25" customHeight="1">
      <c r="A441" s="99">
        <v>2011</v>
      </c>
      <c r="B441" s="142">
        <f t="shared" ref="B441:H441" si="188">B232</f>
        <v>9211</v>
      </c>
      <c r="C441" s="142">
        <f t="shared" si="188"/>
        <v>11258</v>
      </c>
      <c r="D441" s="142">
        <f t="shared" si="188"/>
        <v>6130</v>
      </c>
      <c r="E441" s="142">
        <f t="shared" si="188"/>
        <v>2771</v>
      </c>
      <c r="F441" s="142">
        <f t="shared" si="188"/>
        <v>368</v>
      </c>
      <c r="G441" s="142" t="str">
        <f t="shared" si="188"/>
        <v>-</v>
      </c>
      <c r="H441" s="142">
        <f t="shared" si="188"/>
        <v>29738</v>
      </c>
      <c r="I441" s="142"/>
      <c r="J441" s="142" t="str">
        <f t="shared" ref="J441:P441" si="189">J232</f>
        <v>-</v>
      </c>
      <c r="K441" s="142" t="str">
        <f t="shared" si="189"/>
        <v>-</v>
      </c>
      <c r="L441" s="142">
        <f t="shared" si="189"/>
        <v>1865</v>
      </c>
      <c r="M441" s="142">
        <f t="shared" si="189"/>
        <v>1064</v>
      </c>
      <c r="N441" s="142">
        <f t="shared" si="189"/>
        <v>588</v>
      </c>
      <c r="O441" s="142" t="str">
        <f t="shared" si="189"/>
        <v>-</v>
      </c>
      <c r="P441" s="142">
        <f t="shared" si="189"/>
        <v>3517</v>
      </c>
    </row>
    <row r="442" spans="1:16" ht="11.25" customHeight="1">
      <c r="A442" s="99">
        <v>2012</v>
      </c>
      <c r="B442" s="142">
        <f t="shared" ref="B442:H449" si="190">B233</f>
        <v>11663</v>
      </c>
      <c r="C442" s="142">
        <f t="shared" si="190"/>
        <v>17424</v>
      </c>
      <c r="D442" s="142">
        <f t="shared" si="190"/>
        <v>5588</v>
      </c>
      <c r="E442" s="142">
        <f t="shared" si="190"/>
        <v>6547</v>
      </c>
      <c r="F442" s="142">
        <f t="shared" si="190"/>
        <v>4077</v>
      </c>
      <c r="G442" s="142" t="str">
        <f t="shared" si="190"/>
        <v>-</v>
      </c>
      <c r="H442" s="142">
        <f t="shared" si="190"/>
        <v>45299</v>
      </c>
      <c r="I442" s="142"/>
      <c r="J442" s="142" t="str">
        <f t="shared" ref="J442:P449" si="191">J233</f>
        <v>-</v>
      </c>
      <c r="K442" s="142" t="str">
        <f t="shared" si="191"/>
        <v>-</v>
      </c>
      <c r="L442" s="142">
        <f t="shared" si="191"/>
        <v>807</v>
      </c>
      <c r="M442" s="142">
        <f t="shared" si="191"/>
        <v>1153</v>
      </c>
      <c r="N442" s="142">
        <f t="shared" si="191"/>
        <v>1932</v>
      </c>
      <c r="O442" s="142" t="str">
        <f t="shared" si="191"/>
        <v>-</v>
      </c>
      <c r="P442" s="142">
        <f t="shared" si="191"/>
        <v>3892</v>
      </c>
    </row>
    <row r="443" spans="1:16" ht="11.25" customHeight="1">
      <c r="A443" s="99">
        <v>2013</v>
      </c>
      <c r="B443" s="142">
        <f t="shared" si="190"/>
        <v>11021</v>
      </c>
      <c r="C443" s="142">
        <f t="shared" si="190"/>
        <v>12910</v>
      </c>
      <c r="D443" s="142">
        <f t="shared" si="190"/>
        <v>7994</v>
      </c>
      <c r="E443" s="142">
        <f t="shared" si="190"/>
        <v>8987</v>
      </c>
      <c r="F443" s="142">
        <f t="shared" si="190"/>
        <v>1123</v>
      </c>
      <c r="G443" s="142" t="str">
        <f t="shared" si="190"/>
        <v>-</v>
      </c>
      <c r="H443" s="142">
        <f t="shared" si="190"/>
        <v>42035</v>
      </c>
      <c r="I443" s="142"/>
      <c r="J443" s="142" t="str">
        <f t="shared" si="191"/>
        <v>-</v>
      </c>
      <c r="K443" s="142" t="str">
        <f t="shared" si="191"/>
        <v>-</v>
      </c>
      <c r="L443" s="142">
        <f t="shared" si="191"/>
        <v>1959</v>
      </c>
      <c r="M443" s="142">
        <f t="shared" si="191"/>
        <v>4139</v>
      </c>
      <c r="N443" s="142">
        <f t="shared" si="191"/>
        <v>395</v>
      </c>
      <c r="O443" s="142" t="str">
        <f t="shared" si="191"/>
        <v>-</v>
      </c>
      <c r="P443" s="142">
        <f t="shared" si="191"/>
        <v>6493</v>
      </c>
    </row>
    <row r="444" spans="1:16" ht="11.25" customHeight="1">
      <c r="A444" s="99">
        <v>2014</v>
      </c>
      <c r="B444" s="142">
        <f t="shared" si="190"/>
        <v>33030</v>
      </c>
      <c r="C444" s="142">
        <f t="shared" si="190"/>
        <v>3835</v>
      </c>
      <c r="D444" s="142">
        <f t="shared" si="190"/>
        <v>10978</v>
      </c>
      <c r="E444" s="142">
        <f t="shared" si="190"/>
        <v>6136</v>
      </c>
      <c r="F444" s="142">
        <f t="shared" si="190"/>
        <v>910</v>
      </c>
      <c r="G444" s="142" t="str">
        <f t="shared" si="190"/>
        <v>-</v>
      </c>
      <c r="H444" s="142">
        <f t="shared" si="190"/>
        <v>54889</v>
      </c>
      <c r="I444" s="142"/>
      <c r="J444" s="142" t="str">
        <f t="shared" si="191"/>
        <v>-</v>
      </c>
      <c r="K444" s="142" t="str">
        <f t="shared" si="191"/>
        <v>-</v>
      </c>
      <c r="L444" s="142">
        <f t="shared" si="191"/>
        <v>5869</v>
      </c>
      <c r="M444" s="142">
        <f t="shared" si="191"/>
        <v>8442</v>
      </c>
      <c r="N444" s="142">
        <f t="shared" si="191"/>
        <v>8798</v>
      </c>
      <c r="O444" s="142" t="str">
        <f t="shared" si="191"/>
        <v>-</v>
      </c>
      <c r="P444" s="142">
        <f t="shared" si="191"/>
        <v>23109</v>
      </c>
    </row>
    <row r="445" spans="1:16" ht="11.25" customHeight="1">
      <c r="A445" s="99">
        <v>2015</v>
      </c>
      <c r="B445" s="142">
        <f t="shared" si="190"/>
        <v>22409</v>
      </c>
      <c r="C445" s="142">
        <f t="shared" si="190"/>
        <v>16585</v>
      </c>
      <c r="D445" s="142">
        <f t="shared" si="190"/>
        <v>13999</v>
      </c>
      <c r="E445" s="142">
        <f t="shared" si="190"/>
        <v>10868</v>
      </c>
      <c r="F445" s="142">
        <f t="shared" si="190"/>
        <v>2334</v>
      </c>
      <c r="G445" s="142" t="str">
        <f t="shared" si="190"/>
        <v>-</v>
      </c>
      <c r="H445" s="142">
        <f t="shared" si="190"/>
        <v>66195</v>
      </c>
      <c r="I445" s="142"/>
      <c r="J445" s="142" t="str">
        <f t="shared" si="191"/>
        <v>-</v>
      </c>
      <c r="K445" s="142" t="str">
        <f t="shared" si="191"/>
        <v>-</v>
      </c>
      <c r="L445" s="142">
        <f t="shared" si="191"/>
        <v>1056</v>
      </c>
      <c r="M445" s="142">
        <f t="shared" si="191"/>
        <v>1580</v>
      </c>
      <c r="N445" s="142">
        <f t="shared" si="191"/>
        <v>2449</v>
      </c>
      <c r="O445" s="142" t="str">
        <f t="shared" si="191"/>
        <v>-</v>
      </c>
      <c r="P445" s="142">
        <f t="shared" si="191"/>
        <v>5085</v>
      </c>
    </row>
    <row r="446" spans="1:16" ht="11.25" customHeight="1">
      <c r="A446" s="99">
        <v>2016</v>
      </c>
      <c r="B446" s="142">
        <f t="shared" si="190"/>
        <v>7609</v>
      </c>
      <c r="C446" s="142">
        <f t="shared" si="190"/>
        <v>5053</v>
      </c>
      <c r="D446" s="142">
        <f t="shared" si="190"/>
        <v>3753</v>
      </c>
      <c r="E446" s="142">
        <f t="shared" si="190"/>
        <v>2987</v>
      </c>
      <c r="F446" s="142" t="str">
        <f t="shared" si="190"/>
        <v>-</v>
      </c>
      <c r="G446" s="142" t="str">
        <f t="shared" si="190"/>
        <v>-</v>
      </c>
      <c r="H446" s="142">
        <f t="shared" si="190"/>
        <v>19402</v>
      </c>
      <c r="I446" s="142"/>
      <c r="J446" s="142" t="str">
        <f t="shared" si="191"/>
        <v>-</v>
      </c>
      <c r="K446" s="142" t="str">
        <f t="shared" si="191"/>
        <v>-</v>
      </c>
      <c r="L446" s="142" t="str">
        <f t="shared" si="191"/>
        <v>-</v>
      </c>
      <c r="M446" s="142" t="str">
        <f t="shared" si="191"/>
        <v>-</v>
      </c>
      <c r="N446" s="142" t="str">
        <f t="shared" si="191"/>
        <v>-</v>
      </c>
      <c r="O446" s="142" t="str">
        <f t="shared" si="191"/>
        <v>-</v>
      </c>
      <c r="P446" s="142" t="str">
        <f t="shared" si="191"/>
        <v>-</v>
      </c>
    </row>
    <row r="447" spans="1:16" ht="11.25" customHeight="1">
      <c r="A447" s="99">
        <v>2017</v>
      </c>
      <c r="B447" s="142">
        <f t="shared" si="190"/>
        <v>14584</v>
      </c>
      <c r="C447" s="142">
        <f t="shared" si="190"/>
        <v>8120</v>
      </c>
      <c r="D447" s="142">
        <f t="shared" si="190"/>
        <v>5830</v>
      </c>
      <c r="E447" s="142">
        <f t="shared" si="190"/>
        <v>5917</v>
      </c>
      <c r="F447" s="142">
        <f t="shared" si="190"/>
        <v>1109</v>
      </c>
      <c r="G447" s="142" t="str">
        <f t="shared" si="190"/>
        <v>-</v>
      </c>
      <c r="H447" s="142">
        <f t="shared" si="190"/>
        <v>35560</v>
      </c>
      <c r="I447" s="142"/>
      <c r="J447" s="142" t="str">
        <f t="shared" si="191"/>
        <v>-</v>
      </c>
      <c r="K447" s="142" t="str">
        <f t="shared" si="191"/>
        <v>-</v>
      </c>
      <c r="L447" s="142">
        <f t="shared" si="191"/>
        <v>247</v>
      </c>
      <c r="M447" s="142">
        <f t="shared" si="191"/>
        <v>1074</v>
      </c>
      <c r="N447" s="142">
        <f t="shared" si="191"/>
        <v>517</v>
      </c>
      <c r="O447" s="142" t="str">
        <f t="shared" si="191"/>
        <v>-</v>
      </c>
      <c r="P447" s="142">
        <f t="shared" si="191"/>
        <v>1838</v>
      </c>
    </row>
    <row r="448" spans="1:16" ht="11.25" customHeight="1">
      <c r="A448" s="122">
        <v>2018</v>
      </c>
      <c r="B448" s="142">
        <f t="shared" si="190"/>
        <v>6689</v>
      </c>
      <c r="C448" s="142">
        <f t="shared" si="190"/>
        <v>9279</v>
      </c>
      <c r="D448" s="142">
        <f t="shared" si="190"/>
        <v>5468</v>
      </c>
      <c r="E448" s="142">
        <f t="shared" si="190"/>
        <v>1740</v>
      </c>
      <c r="F448" s="142">
        <f t="shared" si="190"/>
        <v>713</v>
      </c>
      <c r="G448" s="142" t="str">
        <f t="shared" si="190"/>
        <v>-</v>
      </c>
      <c r="H448" s="142">
        <f t="shared" si="190"/>
        <v>23889</v>
      </c>
      <c r="I448" s="142"/>
      <c r="J448" s="142" t="str">
        <f t="shared" si="191"/>
        <v>-</v>
      </c>
      <c r="K448" s="142" t="str">
        <f t="shared" si="191"/>
        <v>-</v>
      </c>
      <c r="L448" s="142">
        <f t="shared" si="191"/>
        <v>455</v>
      </c>
      <c r="M448" s="142">
        <f t="shared" si="191"/>
        <v>541</v>
      </c>
      <c r="N448" s="142">
        <f t="shared" si="191"/>
        <v>388</v>
      </c>
      <c r="O448" s="142" t="str">
        <f t="shared" si="191"/>
        <v>-</v>
      </c>
      <c r="P448" s="142">
        <f t="shared" si="191"/>
        <v>1384</v>
      </c>
    </row>
    <row r="449" spans="1:16" ht="11.25" customHeight="1">
      <c r="A449" s="122">
        <v>2019</v>
      </c>
      <c r="B449" s="142">
        <f t="shared" si="190"/>
        <v>3918</v>
      </c>
      <c r="C449" s="142">
        <f t="shared" si="190"/>
        <v>3080</v>
      </c>
      <c r="D449" s="142">
        <f t="shared" si="190"/>
        <v>11764</v>
      </c>
      <c r="E449" s="142">
        <f t="shared" si="190"/>
        <v>2762</v>
      </c>
      <c r="F449" s="142">
        <f t="shared" si="190"/>
        <v>1760</v>
      </c>
      <c r="G449" s="142" t="str">
        <f t="shared" si="190"/>
        <v>-</v>
      </c>
      <c r="H449" s="142">
        <f t="shared" si="190"/>
        <v>23284</v>
      </c>
      <c r="I449" s="142"/>
      <c r="J449" s="142" t="str">
        <f t="shared" si="191"/>
        <v>-</v>
      </c>
      <c r="K449" s="142" t="str">
        <f t="shared" si="191"/>
        <v>-</v>
      </c>
      <c r="L449" s="142">
        <f t="shared" si="191"/>
        <v>2667</v>
      </c>
      <c r="M449" s="142">
        <f t="shared" si="191"/>
        <v>1460</v>
      </c>
      <c r="N449" s="142">
        <f t="shared" si="191"/>
        <v>1282</v>
      </c>
      <c r="O449" s="142" t="str">
        <f t="shared" si="191"/>
        <v>-</v>
      </c>
      <c r="P449" s="142">
        <f t="shared" si="191"/>
        <v>5409</v>
      </c>
    </row>
    <row r="450" spans="1:16" ht="11.25" customHeight="1">
      <c r="A450" s="122">
        <v>2020</v>
      </c>
      <c r="B450" s="142">
        <f t="shared" ref="B450:H451" si="192">B241</f>
        <v>709</v>
      </c>
      <c r="C450" s="142">
        <f t="shared" si="192"/>
        <v>1343</v>
      </c>
      <c r="D450" s="142">
        <f t="shared" si="192"/>
        <v>7326</v>
      </c>
      <c r="E450" s="142">
        <f t="shared" si="192"/>
        <v>2962</v>
      </c>
      <c r="F450" s="142">
        <f t="shared" si="192"/>
        <v>160</v>
      </c>
      <c r="G450" s="142" t="str">
        <f t="shared" si="192"/>
        <v>-</v>
      </c>
      <c r="H450" s="142">
        <f t="shared" si="192"/>
        <v>12500</v>
      </c>
      <c r="I450" s="142"/>
      <c r="J450" s="142" t="str">
        <f t="shared" ref="J450:P451" si="193">J241</f>
        <v>-</v>
      </c>
      <c r="K450" s="142" t="str">
        <f t="shared" si="193"/>
        <v>-</v>
      </c>
      <c r="L450" s="142">
        <f t="shared" si="193"/>
        <v>285</v>
      </c>
      <c r="M450" s="142">
        <f t="shared" si="193"/>
        <v>378</v>
      </c>
      <c r="N450" s="142">
        <f t="shared" si="193"/>
        <v>103</v>
      </c>
      <c r="O450" s="142" t="str">
        <f t="shared" si="193"/>
        <v>-</v>
      </c>
      <c r="P450" s="142">
        <f t="shared" si="193"/>
        <v>766</v>
      </c>
    </row>
    <row r="451" spans="1:16" ht="11.25" customHeight="1">
      <c r="A451" s="122" t="s">
        <v>317</v>
      </c>
      <c r="B451" s="142">
        <f t="shared" si="192"/>
        <v>2581</v>
      </c>
      <c r="C451" s="142">
        <f t="shared" si="192"/>
        <v>7287</v>
      </c>
      <c r="D451" s="142">
        <f t="shared" si="192"/>
        <v>5675</v>
      </c>
      <c r="E451" s="142">
        <f t="shared" si="192"/>
        <v>3197</v>
      </c>
      <c r="F451" s="142">
        <f t="shared" si="192"/>
        <v>523</v>
      </c>
      <c r="G451" s="142" t="str">
        <f t="shared" si="192"/>
        <v>-</v>
      </c>
      <c r="H451" s="142">
        <f t="shared" si="192"/>
        <v>19263</v>
      </c>
      <c r="I451" s="142"/>
      <c r="J451" s="142" t="str">
        <f t="shared" si="193"/>
        <v>-</v>
      </c>
      <c r="K451" s="142" t="str">
        <f t="shared" si="193"/>
        <v>-</v>
      </c>
      <c r="L451" s="142">
        <f t="shared" si="193"/>
        <v>626</v>
      </c>
      <c r="M451" s="142">
        <f t="shared" si="193"/>
        <v>1139</v>
      </c>
      <c r="N451" s="142">
        <f t="shared" si="193"/>
        <v>1746</v>
      </c>
      <c r="O451" s="142" t="str">
        <f t="shared" si="193"/>
        <v>-</v>
      </c>
      <c r="P451" s="142">
        <f t="shared" si="193"/>
        <v>3511</v>
      </c>
    </row>
    <row r="452" spans="1:16" ht="11.25" customHeight="1">
      <c r="B452" s="142"/>
      <c r="C452" s="142"/>
      <c r="D452" s="142"/>
      <c r="E452" s="142"/>
      <c r="F452" s="142"/>
      <c r="G452" s="142"/>
      <c r="H452" s="142"/>
      <c r="I452" s="142"/>
      <c r="J452" s="142"/>
      <c r="K452" s="142"/>
      <c r="L452" s="142"/>
      <c r="M452" s="142"/>
      <c r="N452" s="142"/>
      <c r="O452" s="142"/>
      <c r="P452" s="142"/>
    </row>
    <row r="453" spans="1:16">
      <c r="A453" s="94" t="s">
        <v>300</v>
      </c>
      <c r="B453" s="120"/>
      <c r="C453" s="120"/>
      <c r="D453" s="120"/>
      <c r="E453" s="120"/>
      <c r="F453" s="104"/>
      <c r="G453" s="104"/>
      <c r="H453" s="104"/>
      <c r="I453" s="104"/>
      <c r="J453" s="104"/>
      <c r="K453" s="104"/>
      <c r="L453" s="104"/>
      <c r="M453" s="104"/>
      <c r="N453" s="104"/>
      <c r="O453" s="104"/>
      <c r="P453" s="104"/>
    </row>
    <row r="454" spans="1:16" ht="11.25" customHeight="1">
      <c r="A454" s="99" t="s">
        <v>24</v>
      </c>
      <c r="B454" s="142">
        <f>AVERAGE(B250:B254)</f>
        <v>2150.1999999999998</v>
      </c>
      <c r="C454" s="142">
        <f t="shared" ref="C454:H454" si="194">AVERAGE(C250:C254)</f>
        <v>1883.2</v>
      </c>
      <c r="D454" s="142">
        <f t="shared" si="194"/>
        <v>3636.2</v>
      </c>
      <c r="E454" s="142">
        <f t="shared" si="194"/>
        <v>1335.6</v>
      </c>
      <c r="F454" s="142">
        <f t="shared" si="194"/>
        <v>1018.2</v>
      </c>
      <c r="G454" s="142">
        <f t="shared" si="194"/>
        <v>198.4</v>
      </c>
      <c r="H454" s="142">
        <f t="shared" si="194"/>
        <v>10023.4</v>
      </c>
      <c r="I454" s="142"/>
      <c r="J454" s="142">
        <f t="shared" ref="J454:P454" si="195">AVERAGE(J250:J254)</f>
        <v>282.8</v>
      </c>
      <c r="K454" s="142">
        <f t="shared" si="195"/>
        <v>7435.4</v>
      </c>
      <c r="L454" s="142">
        <f t="shared" si="195"/>
        <v>16405.8</v>
      </c>
      <c r="M454" s="142">
        <f t="shared" si="195"/>
        <v>24484</v>
      </c>
      <c r="N454" s="142">
        <f t="shared" si="195"/>
        <v>16665.8</v>
      </c>
      <c r="O454" s="142">
        <f t="shared" si="195"/>
        <v>54.2</v>
      </c>
      <c r="P454" s="142">
        <f t="shared" si="195"/>
        <v>65273.8</v>
      </c>
    </row>
    <row r="455" spans="1:16" ht="11.25" customHeight="1">
      <c r="A455" s="99" t="s">
        <v>78</v>
      </c>
      <c r="B455" s="142">
        <f>AVERAGE(B255:B259)</f>
        <v>6876.6</v>
      </c>
      <c r="C455" s="142">
        <f t="shared" ref="C455:H455" si="196">AVERAGE(C255:C259)</f>
        <v>5955.2</v>
      </c>
      <c r="D455" s="142">
        <f t="shared" si="196"/>
        <v>6725.8</v>
      </c>
      <c r="E455" s="142">
        <f t="shared" si="196"/>
        <v>4506.3999999999996</v>
      </c>
      <c r="F455" s="142">
        <f t="shared" si="196"/>
        <v>1248</v>
      </c>
      <c r="G455" s="142">
        <f t="shared" si="196"/>
        <v>12</v>
      </c>
      <c r="H455" s="142">
        <f t="shared" si="196"/>
        <v>25312</v>
      </c>
      <c r="I455" s="142"/>
      <c r="J455" s="142">
        <f t="shared" ref="J455:P455" si="197">AVERAGE(J255:J259)</f>
        <v>3.4</v>
      </c>
      <c r="K455" s="142">
        <f t="shared" si="197"/>
        <v>4256.2</v>
      </c>
      <c r="L455" s="142">
        <f t="shared" si="197"/>
        <v>32310.2</v>
      </c>
      <c r="M455" s="142">
        <f t="shared" si="197"/>
        <v>35942.199999999997</v>
      </c>
      <c r="N455" s="142">
        <f t="shared" si="197"/>
        <v>11051</v>
      </c>
      <c r="O455" s="142">
        <f t="shared" si="197"/>
        <v>6.8</v>
      </c>
      <c r="P455" s="142">
        <f t="shared" si="197"/>
        <v>83563</v>
      </c>
    </row>
    <row r="456" spans="1:16" ht="11.25" customHeight="1">
      <c r="A456" s="99" t="s">
        <v>10</v>
      </c>
      <c r="B456" s="142">
        <f>AVERAGE(B260:B264)</f>
        <v>4343</v>
      </c>
      <c r="C456" s="142">
        <f t="shared" ref="C456:P456" si="198">AVERAGE(C260:C264)</f>
        <v>4181.3999999999996</v>
      </c>
      <c r="D456" s="142">
        <f t="shared" si="198"/>
        <v>3510.6</v>
      </c>
      <c r="E456" s="142">
        <f t="shared" si="198"/>
        <v>4243.2</v>
      </c>
      <c r="F456" s="142">
        <f t="shared" si="198"/>
        <v>570.6</v>
      </c>
      <c r="G456" s="142">
        <f t="shared" si="198"/>
        <v>29.4</v>
      </c>
      <c r="H456" s="142">
        <f t="shared" si="198"/>
        <v>16848.8</v>
      </c>
      <c r="I456" s="142"/>
      <c r="J456" s="142">
        <f t="shared" si="198"/>
        <v>0.6</v>
      </c>
      <c r="K456" s="142">
        <f t="shared" si="198"/>
        <v>0.6</v>
      </c>
      <c r="L456" s="142">
        <f t="shared" si="198"/>
        <v>17220.400000000001</v>
      </c>
      <c r="M456" s="142">
        <f t="shared" si="198"/>
        <v>26038</v>
      </c>
      <c r="N456" s="142">
        <f t="shared" si="198"/>
        <v>5275</v>
      </c>
      <c r="O456" s="142">
        <f t="shared" si="198"/>
        <v>102.6</v>
      </c>
      <c r="P456" s="142">
        <f t="shared" si="198"/>
        <v>48534.6</v>
      </c>
    </row>
    <row r="457" spans="1:16" ht="11.25" customHeight="1">
      <c r="A457" s="99" t="s">
        <v>144</v>
      </c>
      <c r="B457" s="142">
        <f>AVERAGE(B265:B269)</f>
        <v>2580.4</v>
      </c>
      <c r="C457" s="142">
        <f t="shared" ref="C457:P457" si="199">AVERAGE(C265:C269)</f>
        <v>6524</v>
      </c>
      <c r="D457" s="142">
        <f t="shared" si="199"/>
        <v>446</v>
      </c>
      <c r="E457" s="142">
        <f t="shared" si="199"/>
        <v>3806.2</v>
      </c>
      <c r="F457" s="142">
        <f t="shared" si="199"/>
        <v>1892.8</v>
      </c>
      <c r="G457" s="142" t="s">
        <v>23</v>
      </c>
      <c r="H457" s="142">
        <f t="shared" si="199"/>
        <v>15249.4</v>
      </c>
      <c r="I457" s="142"/>
      <c r="J457" s="142">
        <f t="shared" si="199"/>
        <v>0</v>
      </c>
      <c r="K457" s="142">
        <f t="shared" si="199"/>
        <v>0.2</v>
      </c>
      <c r="L457" s="142">
        <f t="shared" si="199"/>
        <v>14.8</v>
      </c>
      <c r="M457" s="142">
        <f t="shared" si="199"/>
        <v>11063.2</v>
      </c>
      <c r="N457" s="142">
        <f t="shared" si="199"/>
        <v>8533.2000000000007</v>
      </c>
      <c r="O457" s="142" t="s">
        <v>23</v>
      </c>
      <c r="P457" s="142">
        <f t="shared" si="199"/>
        <v>19611.400000000001</v>
      </c>
    </row>
    <row r="458" spans="1:16" ht="11.25" customHeight="1">
      <c r="A458" s="99" t="s">
        <v>166</v>
      </c>
      <c r="B458" s="142">
        <f>AVERAGE(B270:B274)</f>
        <v>5460.6</v>
      </c>
      <c r="C458" s="142">
        <f>AVERAGE(C270:C274)</f>
        <v>14660.2</v>
      </c>
      <c r="D458" s="142">
        <f>AVERAGE(D270:D274)</f>
        <v>9462.2000000000007</v>
      </c>
      <c r="E458" s="142">
        <f>AVERAGE(E270:E274)</f>
        <v>6270.8</v>
      </c>
      <c r="F458" s="142">
        <f>AVERAGE(F270:F274)</f>
        <v>3260.4</v>
      </c>
      <c r="G458" s="142" t="str">
        <f>G270</f>
        <v>-</v>
      </c>
      <c r="H458" s="142">
        <f>AVERAGE(H270:H274)</f>
        <v>39114.199999999997</v>
      </c>
      <c r="I458" s="142"/>
      <c r="J458" s="142">
        <f>AVERAGE(J270:J274)</f>
        <v>2</v>
      </c>
      <c r="K458" s="142">
        <f>AVERAGE(K270:K274)</f>
        <v>3.4</v>
      </c>
      <c r="L458" s="142">
        <f>AVERAGE(L270:L274)</f>
        <v>7259.4</v>
      </c>
      <c r="M458" s="142">
        <f>AVERAGE(M270:M274)</f>
        <v>17964.400000000001</v>
      </c>
      <c r="N458" s="142">
        <f>AVERAGE(N270:N274)</f>
        <v>9381.4</v>
      </c>
      <c r="O458" s="142" t="str">
        <f>O270</f>
        <v>-</v>
      </c>
      <c r="P458" s="142">
        <f>AVERAGE(P270:P274)</f>
        <v>34610.6</v>
      </c>
    </row>
    <row r="459" spans="1:16" ht="11.25" customHeight="1">
      <c r="A459" s="99" t="s">
        <v>315</v>
      </c>
      <c r="B459" s="142">
        <f>AVERAGE(B275:B279)</f>
        <v>1382.4</v>
      </c>
      <c r="C459" s="142">
        <f t="shared" ref="C459:H459" si="200">AVERAGE(C275:C279)</f>
        <v>9962.4</v>
      </c>
      <c r="D459" s="142">
        <f t="shared" si="200"/>
        <v>4491.2</v>
      </c>
      <c r="E459" s="142">
        <f t="shared" si="200"/>
        <v>5907</v>
      </c>
      <c r="F459" s="142">
        <f t="shared" si="200"/>
        <v>2056.4</v>
      </c>
      <c r="G459" s="142">
        <f t="shared" si="200"/>
        <v>10.199999999999999</v>
      </c>
      <c r="H459" s="142">
        <f t="shared" si="200"/>
        <v>23799.4</v>
      </c>
      <c r="I459" s="142"/>
      <c r="J459" s="142">
        <f>AVERAGE(J275:J279)</f>
        <v>3.6</v>
      </c>
      <c r="K459" s="142">
        <f t="shared" ref="K459:P459" si="201">AVERAGE(K275:K279)</f>
        <v>39</v>
      </c>
      <c r="L459" s="142">
        <f t="shared" si="201"/>
        <v>12304</v>
      </c>
      <c r="M459" s="142">
        <f t="shared" si="201"/>
        <v>14163.4</v>
      </c>
      <c r="N459" s="142">
        <f t="shared" si="201"/>
        <v>5162.8</v>
      </c>
      <c r="O459" s="142">
        <f t="shared" si="201"/>
        <v>7</v>
      </c>
      <c r="P459" s="142">
        <f t="shared" si="201"/>
        <v>31672.799999999999</v>
      </c>
    </row>
    <row r="460" spans="1:16" ht="11.25" customHeight="1">
      <c r="A460" s="99">
        <v>2011</v>
      </c>
      <c r="B460" s="142">
        <f t="shared" ref="B460:H460" si="202">B280</f>
        <v>1120</v>
      </c>
      <c r="C460" s="142">
        <f t="shared" si="202"/>
        <v>8817</v>
      </c>
      <c r="D460" s="142">
        <f t="shared" si="202"/>
        <v>14761</v>
      </c>
      <c r="E460" s="142">
        <f t="shared" si="202"/>
        <v>6708</v>
      </c>
      <c r="F460" s="142">
        <f t="shared" si="202"/>
        <v>418</v>
      </c>
      <c r="G460" s="142">
        <f t="shared" si="202"/>
        <v>0</v>
      </c>
      <c r="H460" s="142">
        <f t="shared" si="202"/>
        <v>31824</v>
      </c>
      <c r="I460" s="142"/>
      <c r="J460" s="142">
        <f t="shared" ref="J460:P460" si="203">J280</f>
        <v>0</v>
      </c>
      <c r="K460" s="142">
        <f t="shared" si="203"/>
        <v>0</v>
      </c>
      <c r="L460" s="142">
        <f t="shared" si="203"/>
        <v>2062</v>
      </c>
      <c r="M460" s="142">
        <f t="shared" si="203"/>
        <v>4791</v>
      </c>
      <c r="N460" s="142">
        <f t="shared" si="203"/>
        <v>6711</v>
      </c>
      <c r="O460" s="142">
        <f t="shared" si="203"/>
        <v>0</v>
      </c>
      <c r="P460" s="142">
        <f t="shared" si="203"/>
        <v>13564</v>
      </c>
    </row>
    <row r="461" spans="1:16" ht="11.25" customHeight="1">
      <c r="A461" s="99">
        <v>2012</v>
      </c>
      <c r="B461" s="142">
        <f t="shared" ref="B461:H468" si="204">B281</f>
        <v>4465</v>
      </c>
      <c r="C461" s="142">
        <f t="shared" si="204"/>
        <v>20696</v>
      </c>
      <c r="D461" s="142">
        <f t="shared" si="204"/>
        <v>10144</v>
      </c>
      <c r="E461" s="142">
        <f t="shared" si="204"/>
        <v>14650</v>
      </c>
      <c r="F461" s="142">
        <f t="shared" si="204"/>
        <v>4834</v>
      </c>
      <c r="G461" s="142">
        <f t="shared" si="204"/>
        <v>10</v>
      </c>
      <c r="H461" s="142">
        <f t="shared" si="204"/>
        <v>54789</v>
      </c>
      <c r="I461" s="142"/>
      <c r="J461" s="142">
        <f t="shared" ref="J461:P468" si="205">J281</f>
        <v>1</v>
      </c>
      <c r="K461" s="142">
        <f t="shared" si="205"/>
        <v>101</v>
      </c>
      <c r="L461" s="142">
        <f t="shared" si="205"/>
        <v>2769</v>
      </c>
      <c r="M461" s="142">
        <f t="shared" si="205"/>
        <v>18790</v>
      </c>
      <c r="N461" s="142">
        <f t="shared" si="205"/>
        <v>15869</v>
      </c>
      <c r="O461" s="142">
        <f t="shared" si="205"/>
        <v>0</v>
      </c>
      <c r="P461" s="142">
        <f t="shared" si="205"/>
        <v>37530</v>
      </c>
    </row>
    <row r="462" spans="1:16" ht="11.25" customHeight="1">
      <c r="A462" s="99">
        <v>2013</v>
      </c>
      <c r="B462" s="142">
        <f t="shared" si="204"/>
        <v>11929</v>
      </c>
      <c r="C462" s="142">
        <f t="shared" si="204"/>
        <v>19103</v>
      </c>
      <c r="D462" s="142">
        <f t="shared" si="204"/>
        <v>9310</v>
      </c>
      <c r="E462" s="142">
        <f t="shared" si="204"/>
        <v>7916</v>
      </c>
      <c r="F462" s="142">
        <f t="shared" si="204"/>
        <v>2902</v>
      </c>
      <c r="G462" s="142">
        <f t="shared" si="204"/>
        <v>0</v>
      </c>
      <c r="H462" s="142">
        <f t="shared" si="204"/>
        <v>51160</v>
      </c>
      <c r="I462" s="142"/>
      <c r="J462" s="142">
        <f t="shared" si="205"/>
        <v>0</v>
      </c>
      <c r="K462" s="142">
        <f t="shared" si="205"/>
        <v>7</v>
      </c>
      <c r="L462" s="142">
        <f t="shared" si="205"/>
        <v>7722</v>
      </c>
      <c r="M462" s="142">
        <f t="shared" si="205"/>
        <v>36163</v>
      </c>
      <c r="N462" s="142">
        <f t="shared" si="205"/>
        <v>4376</v>
      </c>
      <c r="O462" s="142">
        <f t="shared" si="205"/>
        <v>0</v>
      </c>
      <c r="P462" s="142">
        <f t="shared" si="205"/>
        <v>48268</v>
      </c>
    </row>
    <row r="463" spans="1:16" ht="11.25" customHeight="1">
      <c r="A463" s="99">
        <v>2014</v>
      </c>
      <c r="B463" s="142">
        <f t="shared" si="204"/>
        <v>12608</v>
      </c>
      <c r="C463" s="142">
        <f t="shared" si="204"/>
        <v>17002</v>
      </c>
      <c r="D463" s="142">
        <f t="shared" si="204"/>
        <v>20643</v>
      </c>
      <c r="E463" s="142">
        <f t="shared" si="204"/>
        <v>8793</v>
      </c>
      <c r="F463" s="142">
        <f t="shared" si="204"/>
        <v>2715</v>
      </c>
      <c r="G463" s="142">
        <f t="shared" si="204"/>
        <v>0</v>
      </c>
      <c r="H463" s="142">
        <f t="shared" si="204"/>
        <v>61761</v>
      </c>
      <c r="I463" s="142"/>
      <c r="J463" s="142">
        <f t="shared" si="205"/>
        <v>0</v>
      </c>
      <c r="K463" s="142">
        <f t="shared" si="205"/>
        <v>30</v>
      </c>
      <c r="L463" s="142">
        <f t="shared" si="205"/>
        <v>10405</v>
      </c>
      <c r="M463" s="142">
        <f t="shared" si="205"/>
        <v>39231</v>
      </c>
      <c r="N463" s="142">
        <f t="shared" si="205"/>
        <v>6369</v>
      </c>
      <c r="O463" s="142">
        <f t="shared" si="205"/>
        <v>0</v>
      </c>
      <c r="P463" s="142">
        <f t="shared" si="205"/>
        <v>56035</v>
      </c>
    </row>
    <row r="464" spans="1:16" ht="11.25" customHeight="1">
      <c r="A464" s="99">
        <v>2015</v>
      </c>
      <c r="B464" s="142">
        <f t="shared" si="204"/>
        <v>7315</v>
      </c>
      <c r="C464" s="142">
        <f t="shared" si="204"/>
        <v>23697</v>
      </c>
      <c r="D464" s="142">
        <f t="shared" si="204"/>
        <v>23110</v>
      </c>
      <c r="E464" s="142">
        <f t="shared" si="204"/>
        <v>4031</v>
      </c>
      <c r="F464" s="142">
        <f t="shared" si="204"/>
        <v>786</v>
      </c>
      <c r="G464" s="142">
        <f t="shared" si="204"/>
        <v>0</v>
      </c>
      <c r="H464" s="142">
        <f t="shared" si="204"/>
        <v>58939</v>
      </c>
      <c r="I464" s="142"/>
      <c r="J464" s="142">
        <f t="shared" si="205"/>
        <v>0</v>
      </c>
      <c r="K464" s="142">
        <f t="shared" si="205"/>
        <v>3</v>
      </c>
      <c r="L464" s="142">
        <f t="shared" si="205"/>
        <v>1994</v>
      </c>
      <c r="M464" s="142">
        <f t="shared" si="205"/>
        <v>1307</v>
      </c>
      <c r="N464" s="142">
        <f t="shared" si="205"/>
        <v>706</v>
      </c>
      <c r="O464" s="142">
        <f t="shared" si="205"/>
        <v>0</v>
      </c>
      <c r="P464" s="142">
        <f t="shared" si="205"/>
        <v>4010</v>
      </c>
    </row>
    <row r="465" spans="1:16" ht="11.25" customHeight="1">
      <c r="A465" s="99">
        <v>2016</v>
      </c>
      <c r="B465" s="142">
        <f t="shared" si="204"/>
        <v>2905</v>
      </c>
      <c r="C465" s="142">
        <f t="shared" si="204"/>
        <v>13752</v>
      </c>
      <c r="D465" s="142">
        <f t="shared" si="204"/>
        <v>5129</v>
      </c>
      <c r="E465" s="142">
        <f t="shared" si="204"/>
        <v>1310</v>
      </c>
      <c r="F465" s="142">
        <f t="shared" si="204"/>
        <v>5</v>
      </c>
      <c r="G465" s="142">
        <f t="shared" si="204"/>
        <v>0</v>
      </c>
      <c r="H465" s="142">
        <f t="shared" si="204"/>
        <v>23101</v>
      </c>
      <c r="I465" s="142"/>
      <c r="J465" s="142">
        <f t="shared" si="205"/>
        <v>0</v>
      </c>
      <c r="K465" s="142">
        <f t="shared" si="205"/>
        <v>0</v>
      </c>
      <c r="L465" s="142">
        <f t="shared" si="205"/>
        <v>29</v>
      </c>
      <c r="M465" s="142">
        <f t="shared" si="205"/>
        <v>15</v>
      </c>
      <c r="N465" s="142">
        <f t="shared" si="205"/>
        <v>0</v>
      </c>
      <c r="O465" s="142">
        <f t="shared" si="205"/>
        <v>1</v>
      </c>
      <c r="P465" s="142">
        <f t="shared" si="205"/>
        <v>44</v>
      </c>
    </row>
    <row r="466" spans="1:16" ht="11.25" customHeight="1">
      <c r="A466" s="99">
        <v>2017</v>
      </c>
      <c r="B466" s="142">
        <f t="shared" si="204"/>
        <v>1253</v>
      </c>
      <c r="C466" s="142">
        <f t="shared" si="204"/>
        <v>2039</v>
      </c>
      <c r="D466" s="142">
        <f t="shared" si="204"/>
        <v>15772</v>
      </c>
      <c r="E466" s="142">
        <f t="shared" si="204"/>
        <v>4605</v>
      </c>
      <c r="F466" s="142">
        <f t="shared" si="204"/>
        <v>745</v>
      </c>
      <c r="G466" s="142">
        <f t="shared" si="204"/>
        <v>0</v>
      </c>
      <c r="H466" s="142">
        <f t="shared" si="204"/>
        <v>24414</v>
      </c>
      <c r="I466" s="142"/>
      <c r="J466" s="142">
        <f t="shared" si="205"/>
        <v>0</v>
      </c>
      <c r="K466" s="142">
        <f t="shared" si="205"/>
        <v>0</v>
      </c>
      <c r="L466" s="142">
        <f t="shared" si="205"/>
        <v>1003</v>
      </c>
      <c r="M466" s="142">
        <f t="shared" si="205"/>
        <v>7150</v>
      </c>
      <c r="N466" s="142">
        <f t="shared" si="205"/>
        <v>5197</v>
      </c>
      <c r="O466" s="142">
        <f t="shared" si="205"/>
        <v>0</v>
      </c>
      <c r="P466" s="142">
        <f t="shared" si="205"/>
        <v>13350</v>
      </c>
    </row>
    <row r="467" spans="1:16" ht="11.25" customHeight="1">
      <c r="A467" s="122">
        <v>2018</v>
      </c>
      <c r="B467" s="142">
        <f t="shared" si="204"/>
        <v>1319</v>
      </c>
      <c r="C467" s="142">
        <f t="shared" si="204"/>
        <v>11756</v>
      </c>
      <c r="D467" s="142">
        <f t="shared" si="204"/>
        <v>8486</v>
      </c>
      <c r="E467" s="142">
        <f t="shared" si="204"/>
        <v>1883</v>
      </c>
      <c r="F467" s="142">
        <f t="shared" si="204"/>
        <v>459</v>
      </c>
      <c r="G467" s="142">
        <f t="shared" si="204"/>
        <v>0</v>
      </c>
      <c r="H467" s="142">
        <f t="shared" si="204"/>
        <v>23903</v>
      </c>
      <c r="I467" s="142"/>
      <c r="J467" s="142">
        <f t="shared" si="205"/>
        <v>0</v>
      </c>
      <c r="K467" s="142">
        <f t="shared" si="205"/>
        <v>15</v>
      </c>
      <c r="L467" s="142">
        <f t="shared" si="205"/>
        <v>1751</v>
      </c>
      <c r="M467" s="142">
        <f t="shared" si="205"/>
        <v>5512</v>
      </c>
      <c r="N467" s="142">
        <f t="shared" si="205"/>
        <v>4524</v>
      </c>
      <c r="O467" s="142">
        <f t="shared" si="205"/>
        <v>0</v>
      </c>
      <c r="P467" s="142">
        <f t="shared" si="205"/>
        <v>11802</v>
      </c>
    </row>
    <row r="468" spans="1:16" ht="11.25" customHeight="1">
      <c r="A468" s="122">
        <v>2019</v>
      </c>
      <c r="B468" s="142">
        <f t="shared" si="204"/>
        <v>809</v>
      </c>
      <c r="C468" s="142">
        <f t="shared" si="204"/>
        <v>2110</v>
      </c>
      <c r="D468" s="142">
        <f t="shared" si="204"/>
        <v>12314</v>
      </c>
      <c r="E468" s="142">
        <f t="shared" si="204"/>
        <v>2789</v>
      </c>
      <c r="F468" s="142">
        <f t="shared" si="204"/>
        <v>299</v>
      </c>
      <c r="G468" s="142">
        <f t="shared" si="204"/>
        <v>0</v>
      </c>
      <c r="H468" s="142">
        <f t="shared" si="204"/>
        <v>18321</v>
      </c>
      <c r="I468" s="142"/>
      <c r="J468" s="142">
        <f t="shared" si="205"/>
        <v>0</v>
      </c>
      <c r="K468" s="142">
        <f t="shared" si="205"/>
        <v>0</v>
      </c>
      <c r="L468" s="142">
        <f t="shared" si="205"/>
        <v>14414</v>
      </c>
      <c r="M468" s="142">
        <f t="shared" si="205"/>
        <v>33818</v>
      </c>
      <c r="N468" s="142">
        <f t="shared" si="205"/>
        <v>7273</v>
      </c>
      <c r="O468" s="142">
        <f t="shared" si="205"/>
        <v>0</v>
      </c>
      <c r="P468" s="142">
        <f t="shared" si="205"/>
        <v>55505</v>
      </c>
    </row>
    <row r="469" spans="1:16" ht="11.25" customHeight="1">
      <c r="A469" s="122">
        <v>2020</v>
      </c>
      <c r="B469" s="142">
        <f t="shared" ref="B469:H470" si="206">B289</f>
        <v>8</v>
      </c>
      <c r="C469" s="142">
        <f t="shared" si="206"/>
        <v>23</v>
      </c>
      <c r="D469" s="142">
        <f t="shared" si="206"/>
        <v>622</v>
      </c>
      <c r="E469" s="142">
        <f t="shared" si="206"/>
        <v>1718</v>
      </c>
      <c r="F469" s="142">
        <f t="shared" si="206"/>
        <v>66</v>
      </c>
      <c r="G469" s="142">
        <f t="shared" si="206"/>
        <v>0</v>
      </c>
      <c r="H469" s="142">
        <f t="shared" si="206"/>
        <v>2437</v>
      </c>
      <c r="I469" s="142"/>
      <c r="J469" s="142">
        <f t="shared" ref="J469:P470" si="207">J289</f>
        <v>0</v>
      </c>
      <c r="K469" s="142">
        <f t="shared" si="207"/>
        <v>0</v>
      </c>
      <c r="L469" s="142">
        <f t="shared" si="207"/>
        <v>587</v>
      </c>
      <c r="M469" s="142">
        <f t="shared" si="207"/>
        <v>10864</v>
      </c>
      <c r="N469" s="142">
        <f t="shared" si="207"/>
        <v>2940</v>
      </c>
      <c r="O469" s="142">
        <f t="shared" si="207"/>
        <v>0</v>
      </c>
      <c r="P469" s="142">
        <f t="shared" si="207"/>
        <v>14391</v>
      </c>
    </row>
    <row r="470" spans="1:16" ht="11.25" customHeight="1">
      <c r="A470" s="122" t="s">
        <v>317</v>
      </c>
      <c r="B470" s="142">
        <f t="shared" si="206"/>
        <v>421</v>
      </c>
      <c r="C470" s="142">
        <f t="shared" si="206"/>
        <v>2144</v>
      </c>
      <c r="D470" s="142">
        <f t="shared" si="206"/>
        <v>3761</v>
      </c>
      <c r="E470" s="142">
        <f t="shared" si="206"/>
        <v>1668</v>
      </c>
      <c r="F470" s="142">
        <f t="shared" si="206"/>
        <v>233</v>
      </c>
      <c r="G470" s="142">
        <f t="shared" si="206"/>
        <v>0</v>
      </c>
      <c r="H470" s="142">
        <f t="shared" si="206"/>
        <v>8227</v>
      </c>
      <c r="I470" s="142"/>
      <c r="J470" s="142">
        <f t="shared" si="207"/>
        <v>0</v>
      </c>
      <c r="K470" s="142">
        <f t="shared" si="207"/>
        <v>0</v>
      </c>
      <c r="L470" s="142">
        <f t="shared" si="207"/>
        <v>1039</v>
      </c>
      <c r="M470" s="142">
        <f t="shared" si="207"/>
        <v>14995</v>
      </c>
      <c r="N470" s="142">
        <f t="shared" si="207"/>
        <v>10377</v>
      </c>
      <c r="O470" s="142">
        <f t="shared" si="207"/>
        <v>0</v>
      </c>
      <c r="P470" s="142">
        <f t="shared" si="207"/>
        <v>26411</v>
      </c>
    </row>
    <row r="471" spans="1:16" ht="11.25" customHeight="1">
      <c r="B471" s="142"/>
      <c r="C471" s="142"/>
      <c r="D471" s="142"/>
      <c r="E471" s="142"/>
      <c r="F471" s="142"/>
      <c r="G471" s="142"/>
      <c r="H471" s="142"/>
      <c r="I471" s="142"/>
      <c r="J471" s="142"/>
      <c r="K471" s="142"/>
      <c r="L471" s="142"/>
      <c r="M471" s="142"/>
      <c r="N471" s="142"/>
      <c r="O471" s="142"/>
      <c r="P471" s="142"/>
    </row>
    <row r="472" spans="1:16" ht="11.25" customHeight="1">
      <c r="A472" s="282" t="s">
        <v>301</v>
      </c>
      <c r="B472" s="282"/>
      <c r="C472" s="282"/>
      <c r="D472" s="282"/>
      <c r="E472" s="282"/>
      <c r="F472" s="282"/>
      <c r="G472" s="282"/>
      <c r="H472" s="282"/>
      <c r="I472" s="282"/>
      <c r="J472" s="282"/>
      <c r="K472" s="282"/>
      <c r="L472" s="282"/>
      <c r="M472" s="282"/>
      <c r="N472" s="282"/>
      <c r="O472" s="282"/>
      <c r="P472" s="282"/>
    </row>
    <row r="473" spans="1:16" ht="11.25" customHeight="1">
      <c r="A473" s="98" t="s">
        <v>27</v>
      </c>
      <c r="B473" s="46" t="s">
        <v>29</v>
      </c>
      <c r="C473" s="46" t="s">
        <v>30</v>
      </c>
      <c r="D473" s="46" t="s">
        <v>89</v>
      </c>
      <c r="E473" s="46" t="s">
        <v>90</v>
      </c>
      <c r="F473" s="46" t="s">
        <v>33</v>
      </c>
      <c r="G473" s="46" t="s">
        <v>34</v>
      </c>
      <c r="H473" s="46" t="s">
        <v>22</v>
      </c>
      <c r="I473" s="46"/>
      <c r="J473" s="46" t="s">
        <v>29</v>
      </c>
      <c r="K473" s="46" t="s">
        <v>30</v>
      </c>
      <c r="L473" s="46" t="s">
        <v>91</v>
      </c>
      <c r="M473" s="46" t="s">
        <v>92</v>
      </c>
      <c r="N473" s="46" t="s">
        <v>33</v>
      </c>
      <c r="O473" s="46" t="s">
        <v>34</v>
      </c>
      <c r="P473" s="46" t="s">
        <v>22</v>
      </c>
    </row>
    <row r="474" spans="1:16" ht="11.25" customHeight="1">
      <c r="B474" s="334" t="s">
        <v>61</v>
      </c>
      <c r="C474" s="334"/>
      <c r="D474" s="334"/>
      <c r="E474" s="334"/>
      <c r="F474" s="334"/>
      <c r="G474" s="334"/>
      <c r="H474" s="334"/>
      <c r="I474" s="14"/>
      <c r="J474" s="334" t="s">
        <v>62</v>
      </c>
      <c r="K474" s="334"/>
      <c r="L474" s="334"/>
      <c r="M474" s="334"/>
      <c r="N474" s="334"/>
      <c r="O474" s="334"/>
      <c r="P474" s="334"/>
    </row>
    <row r="475" spans="1:16">
      <c r="A475" s="97" t="s">
        <v>296</v>
      </c>
      <c r="B475" s="89"/>
      <c r="C475" s="89"/>
      <c r="D475" s="89"/>
      <c r="E475" s="89"/>
      <c r="F475" s="89"/>
      <c r="G475" s="89"/>
      <c r="H475" s="89"/>
    </row>
    <row r="476" spans="1:16" ht="11.25" customHeight="1">
      <c r="A476" s="99" t="s">
        <v>24</v>
      </c>
      <c r="B476" s="142">
        <f>AVERAGE(B298:B302)</f>
        <v>38547</v>
      </c>
      <c r="C476" s="142">
        <f t="shared" ref="C476:H476" si="208">AVERAGE(C298:C302)</f>
        <v>5394.6</v>
      </c>
      <c r="D476" s="142">
        <f t="shared" si="208"/>
        <v>25025.200000000001</v>
      </c>
      <c r="E476" s="142">
        <f t="shared" si="208"/>
        <v>6781.8</v>
      </c>
      <c r="F476" s="142">
        <f t="shared" si="208"/>
        <v>1131.2</v>
      </c>
      <c r="G476" s="142">
        <f t="shared" si="208"/>
        <v>200.8</v>
      </c>
      <c r="H476" s="142">
        <f t="shared" si="208"/>
        <v>76882.2</v>
      </c>
      <c r="I476" s="142"/>
      <c r="J476" s="142">
        <f>AVERAGE(J298:J302)</f>
        <v>282.8</v>
      </c>
      <c r="K476" s="142">
        <f t="shared" ref="K476:P476" si="209">AVERAGE(K298:K302)</f>
        <v>7435.4</v>
      </c>
      <c r="L476" s="142">
        <f t="shared" si="209"/>
        <v>139943</v>
      </c>
      <c r="M476" s="142">
        <f t="shared" si="209"/>
        <v>71509.2</v>
      </c>
      <c r="N476" s="142">
        <f t="shared" si="209"/>
        <v>19888.8</v>
      </c>
      <c r="O476" s="142">
        <f t="shared" si="209"/>
        <v>54.2</v>
      </c>
      <c r="P476" s="142">
        <f t="shared" si="209"/>
        <v>239059.20000000001</v>
      </c>
    </row>
    <row r="477" spans="1:16" ht="11.25" customHeight="1">
      <c r="A477" s="99" t="s">
        <v>78</v>
      </c>
      <c r="B477" s="142">
        <f>AVERAGE(B303:B307)</f>
        <v>38746.6</v>
      </c>
      <c r="C477" s="142">
        <f t="shared" ref="C477:H477" si="210">AVERAGE(C303:C307)</f>
        <v>15748.6</v>
      </c>
      <c r="D477" s="142">
        <f t="shared" si="210"/>
        <v>11001</v>
      </c>
      <c r="E477" s="142">
        <f t="shared" si="210"/>
        <v>7569.8</v>
      </c>
      <c r="F477" s="142">
        <f t="shared" si="210"/>
        <v>1931</v>
      </c>
      <c r="G477" s="142">
        <f t="shared" si="210"/>
        <v>26.2</v>
      </c>
      <c r="H477" s="142">
        <f t="shared" si="210"/>
        <v>75011.199999999997</v>
      </c>
      <c r="I477" s="142"/>
      <c r="J477" s="142">
        <f>AVERAGE(J303:J307)</f>
        <v>3.4</v>
      </c>
      <c r="K477" s="142">
        <f t="shared" ref="K477:P477" si="211">AVERAGE(K303:K307)</f>
        <v>4256.2</v>
      </c>
      <c r="L477" s="142">
        <f t="shared" si="211"/>
        <v>43335.8</v>
      </c>
      <c r="M477" s="142">
        <f t="shared" si="211"/>
        <v>88599.8</v>
      </c>
      <c r="N477" s="142">
        <f t="shared" si="211"/>
        <v>18776.599999999999</v>
      </c>
      <c r="O477" s="142">
        <f t="shared" si="211"/>
        <v>67.599999999999994</v>
      </c>
      <c r="P477" s="142">
        <f t="shared" si="211"/>
        <v>155032.6</v>
      </c>
    </row>
    <row r="478" spans="1:16" ht="11.25" customHeight="1">
      <c r="A478" s="99" t="s">
        <v>10</v>
      </c>
      <c r="B478" s="142">
        <f>AVERAGE(B308:B312)</f>
        <v>14735.8</v>
      </c>
      <c r="C478" s="142">
        <f t="shared" ref="C478:H478" si="212">AVERAGE(C308:C312)</f>
        <v>11511.2</v>
      </c>
      <c r="D478" s="142">
        <f t="shared" si="212"/>
        <v>5135.6000000000004</v>
      </c>
      <c r="E478" s="142">
        <f t="shared" si="212"/>
        <v>5472.4</v>
      </c>
      <c r="F478" s="142">
        <f t="shared" si="212"/>
        <v>1058.5999999999999</v>
      </c>
      <c r="G478" s="142">
        <f t="shared" si="212"/>
        <v>29.4</v>
      </c>
      <c r="H478" s="142">
        <f t="shared" si="212"/>
        <v>37913.599999999999</v>
      </c>
      <c r="I478" s="142"/>
      <c r="J478" s="142">
        <f>AVERAGE(J308:J312)</f>
        <v>0.6</v>
      </c>
      <c r="K478" s="142">
        <f t="shared" ref="K478:P478" si="213">AVERAGE(K308:K312)</f>
        <v>0.6</v>
      </c>
      <c r="L478" s="142">
        <f t="shared" si="213"/>
        <v>20432.2</v>
      </c>
      <c r="M478" s="142">
        <f t="shared" si="213"/>
        <v>44515.6</v>
      </c>
      <c r="N478" s="142">
        <f t="shared" si="213"/>
        <v>11794.6</v>
      </c>
      <c r="O478" s="142">
        <f t="shared" si="213"/>
        <v>102.6</v>
      </c>
      <c r="P478" s="142">
        <f t="shared" si="213"/>
        <v>76743.600000000006</v>
      </c>
    </row>
    <row r="479" spans="1:16" ht="11.25" customHeight="1">
      <c r="A479" s="99" t="s">
        <v>144</v>
      </c>
      <c r="B479" s="142">
        <f>AVERAGE(B313:B317)</f>
        <v>6784.4</v>
      </c>
      <c r="C479" s="142">
        <f t="shared" ref="C479:H479" si="214">AVERAGE(C313:C317)</f>
        <v>8892.4</v>
      </c>
      <c r="D479" s="142">
        <f t="shared" si="214"/>
        <v>1252</v>
      </c>
      <c r="E479" s="142">
        <f t="shared" si="214"/>
        <v>4881.3999999999996</v>
      </c>
      <c r="F479" s="142">
        <f t="shared" si="214"/>
        <v>1911.2</v>
      </c>
      <c r="G479" s="142" t="s">
        <v>23</v>
      </c>
      <c r="H479" s="142">
        <f t="shared" si="214"/>
        <v>23721.4</v>
      </c>
      <c r="I479" s="142"/>
      <c r="J479" s="142">
        <f>AVERAGE(J313:J317)</f>
        <v>0</v>
      </c>
      <c r="K479" s="142">
        <f t="shared" ref="K479:P479" si="215">AVERAGE(K313:K317)</f>
        <v>0.2</v>
      </c>
      <c r="L479" s="142">
        <f t="shared" si="215"/>
        <v>1576.8</v>
      </c>
      <c r="M479" s="142">
        <f t="shared" si="215"/>
        <v>16995.599999999999</v>
      </c>
      <c r="N479" s="142">
        <f t="shared" si="215"/>
        <v>8819</v>
      </c>
      <c r="O479" s="142" t="s">
        <v>23</v>
      </c>
      <c r="P479" s="142">
        <f t="shared" si="215"/>
        <v>27391.599999999999</v>
      </c>
    </row>
    <row r="480" spans="1:16" ht="11.25" customHeight="1">
      <c r="A480" s="99" t="s">
        <v>166</v>
      </c>
      <c r="B480" s="142">
        <f>AVERAGE(B318:B322)</f>
        <v>23805.4</v>
      </c>
      <c r="C480" s="142">
        <f>AVERAGE(C318:C322)</f>
        <v>22243.8</v>
      </c>
      <c r="D480" s="142">
        <f>AVERAGE(D318:D322)</f>
        <v>20960.8</v>
      </c>
      <c r="E480" s="142">
        <f>AVERAGE(E318:E322)</f>
        <v>16282.8</v>
      </c>
      <c r="F480" s="142">
        <f>AVERAGE(F318:F322)</f>
        <v>4254</v>
      </c>
      <c r="G480" s="142" t="str">
        <f>G318</f>
        <v>-</v>
      </c>
      <c r="H480" s="142">
        <f>AVERAGE(H318:H322)</f>
        <v>87546.8</v>
      </c>
      <c r="I480" s="142"/>
      <c r="J480" s="142">
        <f>AVERAGE(J318:J322)</f>
        <v>2</v>
      </c>
      <c r="K480" s="142">
        <f>AVERAGE(K318:K322)</f>
        <v>3.4</v>
      </c>
      <c r="L480" s="142">
        <f>AVERAGE(L318:L322)</f>
        <v>10191.799999999999</v>
      </c>
      <c r="M480" s="142">
        <f>AVERAGE(M318:M322)</f>
        <v>23075.4</v>
      </c>
      <c r="N480" s="142">
        <f>AVERAGE(N318:N322)</f>
        <v>13484</v>
      </c>
      <c r="O480" s="142" t="str">
        <f>O318</f>
        <v>-</v>
      </c>
      <c r="P480" s="142">
        <f>AVERAGE(P318:P322)</f>
        <v>46756.6</v>
      </c>
    </row>
    <row r="481" spans="1:16" ht="11.25" customHeight="1">
      <c r="A481" s="99" t="s">
        <v>315</v>
      </c>
      <c r="B481" s="142">
        <f>AVERAGE(B323:B327)</f>
        <v>9290</v>
      </c>
      <c r="C481" s="142">
        <f t="shared" ref="C481:P481" si="216">AVERAGE(C323:C327)</f>
        <v>20331</v>
      </c>
      <c r="D481" s="142">
        <f t="shared" si="216"/>
        <v>7746.6</v>
      </c>
      <c r="E481" s="142">
        <f t="shared" si="216"/>
        <v>9067.7999999999993</v>
      </c>
      <c r="F481" s="142">
        <f t="shared" si="216"/>
        <v>2621.1999999999998</v>
      </c>
      <c r="G481" s="142">
        <f t="shared" si="216"/>
        <v>10.199999999999999</v>
      </c>
      <c r="H481" s="142">
        <f t="shared" si="216"/>
        <v>49056.6</v>
      </c>
      <c r="I481" s="142"/>
      <c r="J481" s="142">
        <f t="shared" si="216"/>
        <v>3.6</v>
      </c>
      <c r="K481" s="142">
        <f t="shared" si="216"/>
        <v>39</v>
      </c>
      <c r="L481" s="142">
        <f t="shared" si="216"/>
        <v>16346.6</v>
      </c>
      <c r="M481" s="142">
        <f t="shared" si="216"/>
        <v>20650</v>
      </c>
      <c r="N481" s="142">
        <f t="shared" si="216"/>
        <v>6262</v>
      </c>
      <c r="O481" s="142">
        <f t="shared" si="216"/>
        <v>7</v>
      </c>
      <c r="P481" s="142">
        <f t="shared" si="216"/>
        <v>43301.2</v>
      </c>
    </row>
    <row r="482" spans="1:16" ht="11.25" customHeight="1">
      <c r="A482" s="99">
        <v>2011</v>
      </c>
      <c r="B482" s="142">
        <f t="shared" ref="B482:H482" si="217">B328</f>
        <v>10331</v>
      </c>
      <c r="C482" s="142">
        <f t="shared" si="217"/>
        <v>20075</v>
      </c>
      <c r="D482" s="142">
        <f t="shared" si="217"/>
        <v>20891</v>
      </c>
      <c r="E482" s="142">
        <f t="shared" si="217"/>
        <v>9479</v>
      </c>
      <c r="F482" s="142">
        <f t="shared" si="217"/>
        <v>786</v>
      </c>
      <c r="G482" s="142">
        <f t="shared" si="217"/>
        <v>0</v>
      </c>
      <c r="H482" s="142">
        <f t="shared" si="217"/>
        <v>61562</v>
      </c>
      <c r="I482" s="142"/>
      <c r="J482" s="142">
        <f t="shared" ref="J482:P482" si="218">J328</f>
        <v>0</v>
      </c>
      <c r="K482" s="142">
        <f t="shared" si="218"/>
        <v>0</v>
      </c>
      <c r="L482" s="142">
        <f t="shared" si="218"/>
        <v>3927</v>
      </c>
      <c r="M482" s="142">
        <f t="shared" si="218"/>
        <v>5855</v>
      </c>
      <c r="N482" s="142">
        <f t="shared" si="218"/>
        <v>7299</v>
      </c>
      <c r="O482" s="142">
        <f t="shared" si="218"/>
        <v>0</v>
      </c>
      <c r="P482" s="142">
        <f t="shared" si="218"/>
        <v>17081</v>
      </c>
    </row>
    <row r="483" spans="1:16" ht="11.25" customHeight="1">
      <c r="A483" s="99">
        <v>2012</v>
      </c>
      <c r="B483" s="142">
        <f t="shared" ref="B483:H490" si="219">B329</f>
        <v>16128</v>
      </c>
      <c r="C483" s="142">
        <f t="shared" si="219"/>
        <v>38120</v>
      </c>
      <c r="D483" s="142">
        <f t="shared" si="219"/>
        <v>15732</v>
      </c>
      <c r="E483" s="142">
        <f t="shared" si="219"/>
        <v>21197</v>
      </c>
      <c r="F483" s="142">
        <f t="shared" si="219"/>
        <v>8911</v>
      </c>
      <c r="G483" s="142">
        <f t="shared" si="219"/>
        <v>10</v>
      </c>
      <c r="H483" s="142">
        <f t="shared" si="219"/>
        <v>100088</v>
      </c>
      <c r="I483" s="142"/>
      <c r="J483" s="142">
        <f t="shared" ref="J483:P490" si="220">J329</f>
        <v>1</v>
      </c>
      <c r="K483" s="142">
        <f t="shared" si="220"/>
        <v>101</v>
      </c>
      <c r="L483" s="142">
        <f t="shared" si="220"/>
        <v>3576</v>
      </c>
      <c r="M483" s="142">
        <f t="shared" si="220"/>
        <v>19943</v>
      </c>
      <c r="N483" s="142">
        <f t="shared" si="220"/>
        <v>17801</v>
      </c>
      <c r="O483" s="142">
        <f t="shared" si="220"/>
        <v>0</v>
      </c>
      <c r="P483" s="142">
        <f t="shared" si="220"/>
        <v>41422</v>
      </c>
    </row>
    <row r="484" spans="1:16" ht="11.25" customHeight="1">
      <c r="A484" s="99">
        <v>2013</v>
      </c>
      <c r="B484" s="142">
        <f t="shared" si="219"/>
        <v>22950</v>
      </c>
      <c r="C484" s="142">
        <f t="shared" si="219"/>
        <v>32013</v>
      </c>
      <c r="D484" s="142">
        <f t="shared" si="219"/>
        <v>17304</v>
      </c>
      <c r="E484" s="142">
        <f t="shared" si="219"/>
        <v>16903</v>
      </c>
      <c r="F484" s="142">
        <f t="shared" si="219"/>
        <v>4025</v>
      </c>
      <c r="G484" s="142">
        <f t="shared" si="219"/>
        <v>0</v>
      </c>
      <c r="H484" s="142">
        <f t="shared" si="219"/>
        <v>93195</v>
      </c>
      <c r="I484" s="142"/>
      <c r="J484" s="142">
        <f t="shared" si="220"/>
        <v>0</v>
      </c>
      <c r="K484" s="142">
        <f t="shared" si="220"/>
        <v>7</v>
      </c>
      <c r="L484" s="142">
        <f t="shared" si="220"/>
        <v>9681</v>
      </c>
      <c r="M484" s="142">
        <f t="shared" si="220"/>
        <v>40302</v>
      </c>
      <c r="N484" s="142">
        <f t="shared" si="220"/>
        <v>4771</v>
      </c>
      <c r="O484" s="142">
        <f t="shared" si="220"/>
        <v>0</v>
      </c>
      <c r="P484" s="142">
        <f t="shared" si="220"/>
        <v>54761</v>
      </c>
    </row>
    <row r="485" spans="1:16" ht="11.25" customHeight="1">
      <c r="A485" s="99">
        <v>2014</v>
      </c>
      <c r="B485" s="142">
        <f t="shared" si="219"/>
        <v>45638</v>
      </c>
      <c r="C485" s="142">
        <f t="shared" si="219"/>
        <v>20837</v>
      </c>
      <c r="D485" s="142">
        <f t="shared" si="219"/>
        <v>31621</v>
      </c>
      <c r="E485" s="142">
        <f t="shared" si="219"/>
        <v>14929</v>
      </c>
      <c r="F485" s="142">
        <f t="shared" si="219"/>
        <v>3625</v>
      </c>
      <c r="G485" s="142">
        <f t="shared" si="219"/>
        <v>0</v>
      </c>
      <c r="H485" s="142">
        <f t="shared" si="219"/>
        <v>116650</v>
      </c>
      <c r="I485" s="142"/>
      <c r="J485" s="142">
        <f t="shared" si="220"/>
        <v>0</v>
      </c>
      <c r="K485" s="142">
        <f t="shared" si="220"/>
        <v>30</v>
      </c>
      <c r="L485" s="142">
        <f t="shared" si="220"/>
        <v>16274</v>
      </c>
      <c r="M485" s="142">
        <f t="shared" si="220"/>
        <v>47673</v>
      </c>
      <c r="N485" s="142">
        <f t="shared" si="220"/>
        <v>15167</v>
      </c>
      <c r="O485" s="142">
        <f t="shared" si="220"/>
        <v>0</v>
      </c>
      <c r="P485" s="142">
        <f t="shared" si="220"/>
        <v>79144</v>
      </c>
    </row>
    <row r="486" spans="1:16" ht="11.25" customHeight="1">
      <c r="A486" s="99">
        <v>2015</v>
      </c>
      <c r="B486" s="142">
        <f t="shared" si="219"/>
        <v>29724</v>
      </c>
      <c r="C486" s="142">
        <f t="shared" si="219"/>
        <v>40282</v>
      </c>
      <c r="D486" s="142">
        <f t="shared" si="219"/>
        <v>37109</v>
      </c>
      <c r="E486" s="142">
        <f t="shared" si="219"/>
        <v>14899</v>
      </c>
      <c r="F486" s="142">
        <f t="shared" si="219"/>
        <v>3120</v>
      </c>
      <c r="G486" s="142">
        <f t="shared" si="219"/>
        <v>0</v>
      </c>
      <c r="H486" s="142">
        <f t="shared" si="219"/>
        <v>125134</v>
      </c>
      <c r="I486" s="142"/>
      <c r="J486" s="142">
        <f t="shared" si="220"/>
        <v>0</v>
      </c>
      <c r="K486" s="142">
        <f t="shared" si="220"/>
        <v>3</v>
      </c>
      <c r="L486" s="142">
        <f t="shared" si="220"/>
        <v>3050</v>
      </c>
      <c r="M486" s="142">
        <f t="shared" si="220"/>
        <v>2887</v>
      </c>
      <c r="N486" s="142">
        <f t="shared" si="220"/>
        <v>3155</v>
      </c>
      <c r="O486" s="142">
        <f t="shared" si="220"/>
        <v>0</v>
      </c>
      <c r="P486" s="142">
        <f t="shared" si="220"/>
        <v>9095</v>
      </c>
    </row>
    <row r="487" spans="1:16" ht="11.25" customHeight="1">
      <c r="A487" s="99">
        <v>2016</v>
      </c>
      <c r="B487" s="142">
        <f t="shared" si="219"/>
        <v>10514</v>
      </c>
      <c r="C487" s="142">
        <f t="shared" si="219"/>
        <v>18805</v>
      </c>
      <c r="D487" s="142">
        <f t="shared" si="219"/>
        <v>8882</v>
      </c>
      <c r="E487" s="142">
        <f t="shared" si="219"/>
        <v>4297</v>
      </c>
      <c r="F487" s="142">
        <f t="shared" si="219"/>
        <v>5</v>
      </c>
      <c r="G487" s="142">
        <f t="shared" si="219"/>
        <v>0</v>
      </c>
      <c r="H487" s="142">
        <f t="shared" si="219"/>
        <v>42503</v>
      </c>
      <c r="I487" s="142"/>
      <c r="J487" s="142">
        <f t="shared" si="220"/>
        <v>0</v>
      </c>
      <c r="K487" s="142">
        <f t="shared" si="220"/>
        <v>0</v>
      </c>
      <c r="L487" s="142">
        <f t="shared" si="220"/>
        <v>29</v>
      </c>
      <c r="M487" s="142">
        <f t="shared" si="220"/>
        <v>15</v>
      </c>
      <c r="N487" s="142">
        <f t="shared" si="220"/>
        <v>0</v>
      </c>
      <c r="O487" s="142">
        <f t="shared" si="220"/>
        <v>1</v>
      </c>
      <c r="P487" s="142">
        <f t="shared" si="220"/>
        <v>44</v>
      </c>
    </row>
    <row r="488" spans="1:16" ht="11.25" customHeight="1">
      <c r="A488" s="99">
        <v>2017</v>
      </c>
      <c r="B488" s="142">
        <f t="shared" si="219"/>
        <v>15837</v>
      </c>
      <c r="C488" s="142">
        <f t="shared" si="219"/>
        <v>10159</v>
      </c>
      <c r="D488" s="142">
        <f t="shared" si="219"/>
        <v>21602</v>
      </c>
      <c r="E488" s="142">
        <f t="shared" si="219"/>
        <v>10522</v>
      </c>
      <c r="F488" s="142">
        <f t="shared" si="219"/>
        <v>1854</v>
      </c>
      <c r="G488" s="142">
        <f t="shared" si="219"/>
        <v>0</v>
      </c>
      <c r="H488" s="142">
        <f t="shared" si="219"/>
        <v>59974</v>
      </c>
      <c r="I488" s="142"/>
      <c r="J488" s="142">
        <f t="shared" si="220"/>
        <v>0</v>
      </c>
      <c r="K488" s="142">
        <f t="shared" si="220"/>
        <v>0</v>
      </c>
      <c r="L488" s="142">
        <f t="shared" si="220"/>
        <v>1250</v>
      </c>
      <c r="M488" s="142">
        <f t="shared" si="220"/>
        <v>8224</v>
      </c>
      <c r="N488" s="142">
        <f t="shared" si="220"/>
        <v>5714</v>
      </c>
      <c r="O488" s="142">
        <f t="shared" si="220"/>
        <v>0</v>
      </c>
      <c r="P488" s="142">
        <f t="shared" si="220"/>
        <v>15188</v>
      </c>
    </row>
    <row r="489" spans="1:16" ht="11.25" customHeight="1">
      <c r="A489" s="122">
        <v>2018</v>
      </c>
      <c r="B489" s="142">
        <f t="shared" si="219"/>
        <v>8008</v>
      </c>
      <c r="C489" s="142">
        <f t="shared" si="219"/>
        <v>21035</v>
      </c>
      <c r="D489" s="142">
        <f t="shared" si="219"/>
        <v>13954</v>
      </c>
      <c r="E489" s="142">
        <f t="shared" si="219"/>
        <v>3623</v>
      </c>
      <c r="F489" s="142">
        <f t="shared" si="219"/>
        <v>1172</v>
      </c>
      <c r="G489" s="142">
        <f t="shared" si="219"/>
        <v>0</v>
      </c>
      <c r="H489" s="142">
        <f t="shared" si="219"/>
        <v>47792</v>
      </c>
      <c r="I489" s="142"/>
      <c r="J489" s="142">
        <f t="shared" si="220"/>
        <v>0</v>
      </c>
      <c r="K489" s="142">
        <f t="shared" si="220"/>
        <v>15</v>
      </c>
      <c r="L489" s="142">
        <f t="shared" si="220"/>
        <v>2206</v>
      </c>
      <c r="M489" s="142">
        <f t="shared" si="220"/>
        <v>6053</v>
      </c>
      <c r="N489" s="142">
        <f t="shared" si="220"/>
        <v>4912</v>
      </c>
      <c r="O489" s="142">
        <f t="shared" si="220"/>
        <v>0</v>
      </c>
      <c r="P489" s="142">
        <f t="shared" si="220"/>
        <v>13186</v>
      </c>
    </row>
    <row r="490" spans="1:16" ht="11.25" customHeight="1">
      <c r="A490" s="122">
        <v>2019</v>
      </c>
      <c r="B490" s="142">
        <f t="shared" si="219"/>
        <v>4727</v>
      </c>
      <c r="C490" s="142">
        <f t="shared" si="219"/>
        <v>5190</v>
      </c>
      <c r="D490" s="142">
        <f t="shared" si="219"/>
        <v>24078</v>
      </c>
      <c r="E490" s="142">
        <f t="shared" si="219"/>
        <v>5551</v>
      </c>
      <c r="F490" s="142">
        <f t="shared" si="219"/>
        <v>2059</v>
      </c>
      <c r="G490" s="142">
        <f t="shared" si="219"/>
        <v>0</v>
      </c>
      <c r="H490" s="142">
        <f t="shared" si="219"/>
        <v>41605</v>
      </c>
      <c r="I490" s="142"/>
      <c r="J490" s="142">
        <f t="shared" si="220"/>
        <v>0</v>
      </c>
      <c r="K490" s="142">
        <f t="shared" si="220"/>
        <v>0</v>
      </c>
      <c r="L490" s="142">
        <f t="shared" si="220"/>
        <v>17081</v>
      </c>
      <c r="M490" s="142">
        <f t="shared" si="220"/>
        <v>35278</v>
      </c>
      <c r="N490" s="142">
        <f t="shared" si="220"/>
        <v>8555</v>
      </c>
      <c r="O490" s="142">
        <f t="shared" si="220"/>
        <v>0</v>
      </c>
      <c r="P490" s="142">
        <f t="shared" si="220"/>
        <v>60914</v>
      </c>
    </row>
    <row r="491" spans="1:16" ht="11.25" customHeight="1">
      <c r="A491" s="122">
        <v>2020</v>
      </c>
      <c r="B491" s="142">
        <f t="shared" ref="B491:H492" si="221">B337</f>
        <v>717</v>
      </c>
      <c r="C491" s="142">
        <f t="shared" si="221"/>
        <v>1366</v>
      </c>
      <c r="D491" s="142">
        <f t="shared" si="221"/>
        <v>7948</v>
      </c>
      <c r="E491" s="142">
        <f t="shared" si="221"/>
        <v>4680</v>
      </c>
      <c r="F491" s="142">
        <f t="shared" si="221"/>
        <v>226</v>
      </c>
      <c r="G491" s="142">
        <f t="shared" si="221"/>
        <v>0</v>
      </c>
      <c r="H491" s="142">
        <f t="shared" si="221"/>
        <v>14937</v>
      </c>
      <c r="I491" s="142"/>
      <c r="J491" s="142">
        <f t="shared" ref="J491:P492" si="222">J337</f>
        <v>0</v>
      </c>
      <c r="K491" s="142">
        <f t="shared" si="222"/>
        <v>0</v>
      </c>
      <c r="L491" s="142">
        <f t="shared" si="222"/>
        <v>872</v>
      </c>
      <c r="M491" s="142">
        <f t="shared" si="222"/>
        <v>11242</v>
      </c>
      <c r="N491" s="142">
        <f t="shared" si="222"/>
        <v>3043</v>
      </c>
      <c r="O491" s="142">
        <f t="shared" si="222"/>
        <v>0</v>
      </c>
      <c r="P491" s="142">
        <f t="shared" si="222"/>
        <v>15157</v>
      </c>
    </row>
    <row r="492" spans="1:16" ht="11.25" customHeight="1">
      <c r="A492" s="122" t="s">
        <v>317</v>
      </c>
      <c r="B492" s="15">
        <f t="shared" si="221"/>
        <v>3002</v>
      </c>
      <c r="C492" s="15">
        <f t="shared" si="221"/>
        <v>9431</v>
      </c>
      <c r="D492" s="15">
        <f t="shared" si="221"/>
        <v>9436</v>
      </c>
      <c r="E492" s="15">
        <f t="shared" si="221"/>
        <v>4865</v>
      </c>
      <c r="F492" s="15">
        <f t="shared" si="221"/>
        <v>756</v>
      </c>
      <c r="G492" s="15">
        <f t="shared" si="221"/>
        <v>0</v>
      </c>
      <c r="H492" s="15">
        <f t="shared" si="221"/>
        <v>27490</v>
      </c>
      <c r="I492" s="15"/>
      <c r="J492" s="15">
        <f t="shared" si="222"/>
        <v>0</v>
      </c>
      <c r="K492" s="15">
        <f t="shared" si="222"/>
        <v>0</v>
      </c>
      <c r="L492" s="15">
        <f t="shared" si="222"/>
        <v>1665</v>
      </c>
      <c r="M492" s="15">
        <f t="shared" si="222"/>
        <v>16134</v>
      </c>
      <c r="N492" s="15">
        <f t="shared" si="222"/>
        <v>12123</v>
      </c>
      <c r="O492" s="15">
        <f t="shared" si="222"/>
        <v>0</v>
      </c>
      <c r="P492" s="15">
        <f t="shared" si="222"/>
        <v>29922</v>
      </c>
    </row>
    <row r="493" spans="1:16" ht="11.25" customHeight="1">
      <c r="A493" s="344" t="str">
        <f>A339</f>
        <v>a/  Monthly totals for Oregon data are the sum of statistical weeks with closest fit to the calendar month.  Washington data are summarized by statistical month.</v>
      </c>
      <c r="B493" s="344"/>
      <c r="C493" s="344"/>
      <c r="D493" s="344"/>
      <c r="E493" s="344"/>
      <c r="F493" s="344"/>
      <c r="G493" s="344"/>
      <c r="H493" s="344"/>
      <c r="I493" s="344"/>
      <c r="J493" s="344"/>
      <c r="K493" s="344"/>
      <c r="L493" s="344"/>
      <c r="M493" s="344"/>
      <c r="N493" s="344"/>
      <c r="O493" s="344"/>
      <c r="P493" s="344"/>
    </row>
    <row r="494" spans="1:16" ht="11.25" customHeight="1">
      <c r="A494" s="280" t="str">
        <f>A340</f>
        <v>b/  Preliminary.</v>
      </c>
      <c r="B494" s="280"/>
      <c r="C494" s="280"/>
      <c r="D494" s="280"/>
      <c r="E494" s="280"/>
      <c r="F494" s="280"/>
      <c r="G494" s="280"/>
      <c r="H494" s="280"/>
      <c r="I494" s="280"/>
      <c r="J494" s="280"/>
      <c r="K494" s="280"/>
      <c r="L494" s="280"/>
      <c r="M494" s="280"/>
      <c r="N494" s="280"/>
      <c r="O494" s="280"/>
      <c r="P494" s="280"/>
    </row>
    <row r="495" spans="1:16" ht="11.25" customHeight="1">
      <c r="A495" s="280" t="str">
        <f>A341</f>
        <v>c/  Season totals do not include January-April, October, or November-December treaty troll catches.</v>
      </c>
      <c r="B495" s="280"/>
      <c r="C495" s="280"/>
      <c r="D495" s="280"/>
      <c r="E495" s="280"/>
      <c r="F495" s="280"/>
      <c r="G495" s="280"/>
      <c r="H495" s="280"/>
      <c r="I495" s="280"/>
      <c r="J495" s="280"/>
      <c r="K495" s="280"/>
      <c r="L495" s="280"/>
      <c r="M495" s="280"/>
      <c r="N495" s="280"/>
      <c r="O495" s="280"/>
      <c r="P495" s="280"/>
    </row>
    <row r="496" spans="1:16" ht="11.25" customHeight="1"/>
    <row r="497" spans="1:16" ht="11.25" customHeight="1"/>
    <row r="498" spans="1:16" ht="11.25" customHeight="1">
      <c r="A498" s="1"/>
      <c r="B498" s="1"/>
      <c r="C498" s="1"/>
      <c r="D498" s="1"/>
      <c r="E498" s="1"/>
      <c r="F498" s="1"/>
      <c r="G498" s="1"/>
      <c r="H498" s="1"/>
      <c r="I498" s="1"/>
      <c r="J498" s="1"/>
      <c r="K498" s="1"/>
      <c r="L498" s="1"/>
      <c r="M498" s="1"/>
      <c r="N498" s="1"/>
      <c r="O498" s="1"/>
      <c r="P498" s="1"/>
    </row>
    <row r="499" spans="1:16" ht="11.25" customHeight="1"/>
  </sheetData>
  <mergeCells count="18">
    <mergeCell ref="A1:P1"/>
    <mergeCell ref="B3:H3"/>
    <mergeCell ref="J3:P3"/>
    <mergeCell ref="A493:P493"/>
    <mergeCell ref="A494:P494"/>
    <mergeCell ref="A431:P431"/>
    <mergeCell ref="B433:H433"/>
    <mergeCell ref="J433:P433"/>
    <mergeCell ref="A472:P472"/>
    <mergeCell ref="B474:H474"/>
    <mergeCell ref="J474:P474"/>
    <mergeCell ref="B351:H351"/>
    <mergeCell ref="J351:P351"/>
    <mergeCell ref="A495:P495"/>
    <mergeCell ref="B392:H392"/>
    <mergeCell ref="J392:P392"/>
    <mergeCell ref="A390:P390"/>
    <mergeCell ref="A349:P349"/>
  </mergeCells>
  <pageMargins left="0.7" right="0.7" top="0.75" bottom="0.75" header="0.3" footer="0.3"/>
  <pageSetup orientation="landscape" r:id="rId1"/>
  <rowBreaks count="3" manualBreakCount="3">
    <brk id="389" max="15" man="1"/>
    <brk id="430" max="15" man="1"/>
    <brk id="471" max="15"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59"/>
  <dimension ref="A1:P300"/>
  <sheetViews>
    <sheetView showGridLines="0" topLeftCell="G79" zoomScaleNormal="100" workbookViewId="0">
      <selection activeCell="N421" sqref="N421"/>
    </sheetView>
  </sheetViews>
  <sheetFormatPr baseColWidth="10" defaultColWidth="9" defaultRowHeight="16"/>
  <cols>
    <col min="1" max="16384" width="9" style="218"/>
  </cols>
  <sheetData>
    <row r="1" spans="1:9" ht="11.25" customHeight="1">
      <c r="A1" s="345" t="s">
        <v>235</v>
      </c>
      <c r="B1" s="345"/>
      <c r="C1" s="345"/>
      <c r="D1" s="345"/>
      <c r="E1" s="345"/>
      <c r="F1" s="345"/>
      <c r="G1" s="345"/>
      <c r="H1" s="345"/>
    </row>
    <row r="2" spans="1:9" ht="11.25" customHeight="1">
      <c r="A2" s="345"/>
      <c r="B2" s="345"/>
      <c r="C2" s="345"/>
      <c r="D2" s="345"/>
      <c r="E2" s="345"/>
      <c r="F2" s="345"/>
      <c r="G2" s="345"/>
      <c r="H2" s="345"/>
    </row>
    <row r="3" spans="1:9" ht="11.25" customHeight="1">
      <c r="A3" s="96" t="s">
        <v>27</v>
      </c>
      <c r="B3" s="225" t="s">
        <v>94</v>
      </c>
      <c r="C3" s="225" t="s">
        <v>30</v>
      </c>
      <c r="D3" s="225" t="s">
        <v>95</v>
      </c>
      <c r="E3" s="225" t="s">
        <v>96</v>
      </c>
      <c r="F3" s="225" t="s">
        <v>97</v>
      </c>
      <c r="G3" s="225" t="s">
        <v>98</v>
      </c>
      <c r="H3" s="225" t="s">
        <v>22</v>
      </c>
    </row>
    <row r="4" spans="1:9" ht="11.25" customHeight="1">
      <c r="A4" s="94" t="s">
        <v>85</v>
      </c>
    </row>
    <row r="5" spans="1:9" ht="11.25" customHeight="1">
      <c r="A5" s="99">
        <v>1977</v>
      </c>
      <c r="B5" s="18">
        <v>1046</v>
      </c>
      <c r="C5" s="18">
        <v>866</v>
      </c>
      <c r="D5" s="18">
        <v>98504</v>
      </c>
      <c r="E5" s="18">
        <v>162983</v>
      </c>
      <c r="F5" s="18">
        <v>8343</v>
      </c>
      <c r="G5" s="18" t="s">
        <v>23</v>
      </c>
      <c r="H5" s="18">
        <v>271742</v>
      </c>
      <c r="I5" s="17"/>
    </row>
    <row r="6" spans="1:9" ht="11.25" customHeight="1">
      <c r="A6" s="99">
        <v>1979</v>
      </c>
      <c r="B6" s="18">
        <v>83</v>
      </c>
      <c r="C6" s="18">
        <v>21</v>
      </c>
      <c r="D6" s="18">
        <v>91240</v>
      </c>
      <c r="E6" s="18">
        <v>454327</v>
      </c>
      <c r="F6" s="18">
        <v>1151</v>
      </c>
      <c r="G6" s="18" t="s">
        <v>23</v>
      </c>
      <c r="H6" s="18">
        <v>546822</v>
      </c>
      <c r="I6" s="17"/>
    </row>
    <row r="7" spans="1:9" ht="11.25" customHeight="1">
      <c r="A7" s="99">
        <v>1981</v>
      </c>
      <c r="B7" s="18">
        <v>587</v>
      </c>
      <c r="C7" s="18">
        <v>99</v>
      </c>
      <c r="D7" s="18">
        <v>65826</v>
      </c>
      <c r="E7" s="18">
        <v>161541</v>
      </c>
      <c r="F7" s="18" t="s">
        <v>23</v>
      </c>
      <c r="G7" s="18" t="s">
        <v>23</v>
      </c>
      <c r="H7" s="18">
        <v>228053</v>
      </c>
      <c r="I7" s="17"/>
    </row>
    <row r="8" spans="1:9" ht="11.25" customHeight="1">
      <c r="A8" s="99">
        <v>1983</v>
      </c>
      <c r="B8" s="18">
        <v>1</v>
      </c>
      <c r="C8" s="18">
        <v>0</v>
      </c>
      <c r="D8" s="18">
        <v>79117</v>
      </c>
      <c r="E8" s="18">
        <v>6033</v>
      </c>
      <c r="F8" s="18">
        <v>300</v>
      </c>
      <c r="G8" s="18" t="s">
        <v>23</v>
      </c>
      <c r="H8" s="18">
        <v>85451</v>
      </c>
      <c r="I8" s="17"/>
    </row>
    <row r="9" spans="1:9" ht="11.25" customHeight="1">
      <c r="A9" s="99">
        <v>1985</v>
      </c>
      <c r="B9" s="18">
        <v>103</v>
      </c>
      <c r="C9" s="18">
        <v>0</v>
      </c>
      <c r="D9" s="18">
        <v>6831</v>
      </c>
      <c r="E9" s="18">
        <v>93400</v>
      </c>
      <c r="F9" s="18">
        <v>530</v>
      </c>
      <c r="G9" s="18" t="s">
        <v>23</v>
      </c>
      <c r="H9" s="18">
        <v>100864</v>
      </c>
      <c r="I9" s="17"/>
    </row>
    <row r="10" spans="1:9" ht="11.25" customHeight="1">
      <c r="A10" s="99">
        <v>1987</v>
      </c>
      <c r="B10" s="18">
        <v>0</v>
      </c>
      <c r="C10" s="18" t="s">
        <v>23</v>
      </c>
      <c r="D10" s="18">
        <v>2642</v>
      </c>
      <c r="E10" s="18" t="s">
        <v>23</v>
      </c>
      <c r="F10" s="18" t="s">
        <v>23</v>
      </c>
      <c r="G10" s="18" t="s">
        <v>23</v>
      </c>
      <c r="H10" s="18">
        <v>2642</v>
      </c>
      <c r="I10" s="17"/>
    </row>
    <row r="11" spans="1:9" ht="11.25" customHeight="1">
      <c r="A11" s="99">
        <v>1989</v>
      </c>
      <c r="B11" s="18">
        <v>229</v>
      </c>
      <c r="C11" s="18">
        <v>182</v>
      </c>
      <c r="D11" s="18" t="s">
        <v>23</v>
      </c>
      <c r="E11" s="18">
        <v>36286</v>
      </c>
      <c r="F11" s="18" t="s">
        <v>23</v>
      </c>
      <c r="G11" s="18" t="s">
        <v>23</v>
      </c>
      <c r="H11" s="18">
        <v>36697</v>
      </c>
      <c r="I11" s="17"/>
    </row>
    <row r="12" spans="1:9" ht="11.25" customHeight="1">
      <c r="A12" s="99">
        <v>1991</v>
      </c>
      <c r="B12" s="18">
        <v>4</v>
      </c>
      <c r="C12" s="18">
        <v>17</v>
      </c>
      <c r="D12" s="18" t="s">
        <v>23</v>
      </c>
      <c r="E12" s="18">
        <v>43208</v>
      </c>
      <c r="F12" s="18">
        <v>295</v>
      </c>
      <c r="G12" s="18" t="s">
        <v>23</v>
      </c>
      <c r="H12" s="18">
        <v>43524</v>
      </c>
      <c r="I12" s="17"/>
    </row>
    <row r="13" spans="1:9" ht="11.25" customHeight="1">
      <c r="A13" s="99">
        <v>1993</v>
      </c>
      <c r="B13" s="18">
        <v>16</v>
      </c>
      <c r="C13" s="18">
        <v>1</v>
      </c>
      <c r="D13" s="18">
        <v>88</v>
      </c>
      <c r="E13" s="18">
        <v>2753</v>
      </c>
      <c r="F13" s="18">
        <v>3</v>
      </c>
      <c r="G13" s="18" t="s">
        <v>23</v>
      </c>
      <c r="H13" s="18">
        <v>2861</v>
      </c>
      <c r="I13" s="17"/>
    </row>
    <row r="14" spans="1:9" ht="11.25" customHeight="1">
      <c r="A14" s="99">
        <v>1995</v>
      </c>
      <c r="B14" s="18" t="s">
        <v>23</v>
      </c>
      <c r="C14" s="18" t="s">
        <v>23</v>
      </c>
      <c r="D14" s="18" t="s">
        <v>23</v>
      </c>
      <c r="E14" s="18">
        <v>30060</v>
      </c>
      <c r="F14" s="18">
        <v>872</v>
      </c>
      <c r="G14" s="18" t="s">
        <v>23</v>
      </c>
      <c r="H14" s="18">
        <v>30932</v>
      </c>
      <c r="I14" s="17"/>
    </row>
    <row r="15" spans="1:9" ht="11.25" customHeight="1">
      <c r="A15" s="99">
        <v>1997</v>
      </c>
      <c r="B15" s="18">
        <v>2</v>
      </c>
      <c r="C15" s="18">
        <v>3</v>
      </c>
      <c r="D15" s="18" t="s">
        <v>23</v>
      </c>
      <c r="E15" s="18" t="s">
        <v>23</v>
      </c>
      <c r="F15" s="18" t="s">
        <v>23</v>
      </c>
      <c r="G15" s="18" t="s">
        <v>23</v>
      </c>
      <c r="H15" s="18">
        <v>5</v>
      </c>
      <c r="I15" s="17"/>
    </row>
    <row r="16" spans="1:9" ht="11.25" customHeight="1">
      <c r="A16" s="99">
        <v>1999</v>
      </c>
      <c r="B16" s="18">
        <v>0</v>
      </c>
      <c r="C16" s="18">
        <v>1</v>
      </c>
      <c r="D16" s="18">
        <v>31</v>
      </c>
      <c r="E16" s="18">
        <v>21</v>
      </c>
      <c r="F16" s="18">
        <v>0</v>
      </c>
      <c r="G16" s="18" t="s">
        <v>23</v>
      </c>
      <c r="H16" s="18">
        <v>53</v>
      </c>
      <c r="I16" s="17"/>
    </row>
    <row r="17" spans="1:9" ht="11.25" customHeight="1">
      <c r="A17" s="99">
        <v>2001</v>
      </c>
      <c r="B17" s="18">
        <v>1</v>
      </c>
      <c r="C17" s="18">
        <v>9</v>
      </c>
      <c r="D17" s="18">
        <v>20</v>
      </c>
      <c r="E17" s="18">
        <v>0</v>
      </c>
      <c r="F17" s="18">
        <v>0</v>
      </c>
      <c r="G17" s="18" t="s">
        <v>23</v>
      </c>
      <c r="H17" s="18">
        <v>30</v>
      </c>
      <c r="I17" s="17"/>
    </row>
    <row r="18" spans="1:9" ht="11.25" customHeight="1">
      <c r="A18" s="99">
        <v>2003</v>
      </c>
      <c r="B18" s="18">
        <v>0</v>
      </c>
      <c r="C18" s="18">
        <v>0</v>
      </c>
      <c r="D18" s="18">
        <v>142</v>
      </c>
      <c r="E18" s="18">
        <v>63</v>
      </c>
      <c r="F18" s="18">
        <v>10</v>
      </c>
      <c r="G18" s="18" t="s">
        <v>23</v>
      </c>
      <c r="H18" s="18">
        <v>215</v>
      </c>
      <c r="I18" s="17"/>
    </row>
    <row r="19" spans="1:9" ht="11.25" customHeight="1">
      <c r="A19" s="99">
        <v>2005</v>
      </c>
      <c r="B19" s="18">
        <v>4</v>
      </c>
      <c r="C19" s="18">
        <v>0</v>
      </c>
      <c r="D19" s="18">
        <v>2</v>
      </c>
      <c r="E19" s="18">
        <v>2</v>
      </c>
      <c r="F19" s="18" t="s">
        <v>23</v>
      </c>
      <c r="G19" s="18" t="s">
        <v>23</v>
      </c>
      <c r="H19" s="18">
        <v>8</v>
      </c>
      <c r="I19" s="17"/>
    </row>
    <row r="20" spans="1:9" ht="11.25" customHeight="1">
      <c r="A20" s="99">
        <v>2007</v>
      </c>
      <c r="B20" s="18">
        <v>8</v>
      </c>
      <c r="C20" s="18">
        <v>19</v>
      </c>
      <c r="D20" s="18">
        <v>119</v>
      </c>
      <c r="E20" s="18">
        <v>1</v>
      </c>
      <c r="F20" s="18">
        <v>0</v>
      </c>
      <c r="G20" s="18" t="s">
        <v>23</v>
      </c>
      <c r="H20" s="18">
        <v>147</v>
      </c>
      <c r="I20" s="17"/>
    </row>
    <row r="21" spans="1:9" ht="11.25" customHeight="1">
      <c r="A21" s="99">
        <v>2009</v>
      </c>
      <c r="B21" s="18">
        <v>1</v>
      </c>
      <c r="C21" s="18">
        <v>14</v>
      </c>
      <c r="D21" s="18">
        <v>82</v>
      </c>
      <c r="E21" s="18">
        <v>37</v>
      </c>
      <c r="F21" s="18">
        <v>1</v>
      </c>
      <c r="G21" s="18" t="s">
        <v>23</v>
      </c>
      <c r="H21" s="18">
        <v>135</v>
      </c>
      <c r="I21" s="17"/>
    </row>
    <row r="22" spans="1:9" ht="11.25" customHeight="1">
      <c r="A22" s="99">
        <v>2011</v>
      </c>
      <c r="B22" s="18">
        <v>0</v>
      </c>
      <c r="C22" s="18">
        <v>0</v>
      </c>
      <c r="D22" s="18">
        <v>3</v>
      </c>
      <c r="E22" s="18">
        <v>118</v>
      </c>
      <c r="F22" s="18">
        <v>93</v>
      </c>
      <c r="G22" s="18">
        <v>1</v>
      </c>
      <c r="H22" s="18">
        <v>215</v>
      </c>
      <c r="I22" s="17"/>
    </row>
    <row r="23" spans="1:9" ht="11.25" customHeight="1">
      <c r="A23" s="99">
        <v>2013</v>
      </c>
      <c r="B23" s="18">
        <v>0</v>
      </c>
      <c r="C23" s="18">
        <v>2</v>
      </c>
      <c r="D23" s="18">
        <v>0</v>
      </c>
      <c r="E23" s="18">
        <v>101</v>
      </c>
      <c r="F23" s="18">
        <v>37</v>
      </c>
      <c r="G23" s="18">
        <v>1</v>
      </c>
      <c r="H23" s="18">
        <v>141</v>
      </c>
      <c r="I23" s="17"/>
    </row>
    <row r="24" spans="1:9" ht="11.25" customHeight="1">
      <c r="A24" s="99">
        <v>2015</v>
      </c>
      <c r="B24" s="18">
        <v>0</v>
      </c>
      <c r="C24" s="18">
        <v>1</v>
      </c>
      <c r="D24" s="18">
        <v>20</v>
      </c>
      <c r="E24" s="18">
        <v>47</v>
      </c>
      <c r="F24" s="18">
        <v>0</v>
      </c>
      <c r="G24" s="18">
        <v>0</v>
      </c>
      <c r="H24" s="18">
        <v>68</v>
      </c>
      <c r="I24" s="17"/>
    </row>
    <row r="25" spans="1:9" ht="11.25" customHeight="1">
      <c r="A25" s="99">
        <v>2017</v>
      </c>
      <c r="B25" s="18">
        <f>IF(AND('A-13'!P47="-",'A-13'!P95="-",'A-13'!P143="-"),"-",SUM('A-13'!P47,'A-13'!P95,'A-13'!P143))</f>
        <v>0</v>
      </c>
      <c r="C25" s="18">
        <f>IF(AND('A-13'!Q47="-",'A-13'!Q95="-",'A-13'!Q143="-"),"-",SUM('A-13'!Q47,'A-13'!Q95,'A-13'!Q143))</f>
        <v>0</v>
      </c>
      <c r="D25" s="18">
        <f>IF(AND('A-13'!R47="-",'A-13'!R95="-",'A-13'!R143="-"),"-",SUM('A-13'!R47,'A-13'!R95,'A-13'!R143))</f>
        <v>10</v>
      </c>
      <c r="E25" s="18">
        <f>IF(AND('A-13'!S47="-",'A-13'!S95="-",'A-13'!S143="-"),"-",SUM('A-13'!S47,'A-13'!S95,'A-13'!S143))</f>
        <v>3</v>
      </c>
      <c r="F25" s="18">
        <f>IF(AND('A-13'!T47="-",'A-13'!T95="-",'A-13'!T143="-"),"-",SUM('A-13'!T47,'A-13'!T95,'A-13'!T143))</f>
        <v>0</v>
      </c>
      <c r="G25" s="18">
        <f>IF(AND('A-13'!U47="-",'A-13'!U95="-",'A-13'!U143="-"),"-",SUM('A-13'!U47,'A-13'!U95,'A-13'!U143))</f>
        <v>13</v>
      </c>
      <c r="H25" s="18">
        <f>IF(AND('A-13'!V47="-",'A-13'!V95="-",'A-13'!V143="-"),"-",SUM('A-13'!V47,'A-13'!V95,'A-13'!V143))</f>
        <v>0</v>
      </c>
      <c r="I25" s="17"/>
    </row>
    <row r="26" spans="1:9" ht="11.25" customHeight="1">
      <c r="A26" s="99">
        <v>2019</v>
      </c>
      <c r="B26" s="18">
        <f>IF(AND('A-13'!P49="-",'A-13'!P97="-",'A-13'!P145="-"),"-",SUM('A-13'!P49,'A-13'!P97,'A-13'!P145))</f>
        <v>0</v>
      </c>
      <c r="C26" s="18">
        <f>IF(AND('A-13'!Q49="-",'A-13'!Q97="-",'A-13'!Q145="-"),"-",SUM('A-13'!Q49,'A-13'!Q97,'A-13'!Q145))</f>
        <v>0</v>
      </c>
      <c r="D26" s="18">
        <f>IF(AND('A-13'!R49="-",'A-13'!R97="-",'A-13'!R145="-"),"-",SUM('A-13'!R49,'A-13'!R97,'A-13'!R145))</f>
        <v>483</v>
      </c>
      <c r="E26" s="18">
        <f>IF(AND('A-13'!S49="-",'A-13'!S97="-",'A-13'!S145="-"),"-",SUM('A-13'!S49,'A-13'!S97,'A-13'!S145))</f>
        <v>0</v>
      </c>
      <c r="F26" s="18">
        <f>IF(AND('A-13'!T49="-",'A-13'!T97="-",'A-13'!T145="-"),"-",SUM('A-13'!T49,'A-13'!T97,'A-13'!T145))</f>
        <v>0</v>
      </c>
      <c r="G26" s="18">
        <v>0</v>
      </c>
      <c r="H26" s="18">
        <f>IF(AND('A-13'!U49="-",'A-13'!U97="-",'A-13'!U145="-"),"-",SUM('A-13'!U49,'A-13'!U97,'A-13'!U145))</f>
        <v>483</v>
      </c>
      <c r="I26" s="17"/>
    </row>
    <row r="27" spans="1:9" ht="11.25" customHeight="1">
      <c r="A27" s="99" t="s">
        <v>314</v>
      </c>
      <c r="B27" s="18">
        <f>IF(AND('A-13'!P51="-",'A-13'!P99="-",'A-13'!P147="-"),"-",SUM('A-13'!P51,'A-13'!P99,'A-13'!P147))</f>
        <v>0</v>
      </c>
      <c r="C27" s="18">
        <f>IF(AND('A-13'!Q51="-",'A-13'!Q99="-",'A-13'!Q147="-"),"-",SUM('A-13'!Q51,'A-13'!Q99,'A-13'!Q147))</f>
        <v>0</v>
      </c>
      <c r="D27" s="18">
        <f>IF(AND('A-13'!R51="-",'A-13'!R99="-",'A-13'!R147="-"),"-",SUM('A-13'!R51,'A-13'!R99,'A-13'!R147))</f>
        <v>4</v>
      </c>
      <c r="E27" s="18">
        <f>IF(AND('A-13'!S51="-",'A-13'!S99="-",'A-13'!S147="-"),"-",SUM('A-13'!S51,'A-13'!S99,'A-13'!S147))</f>
        <v>29</v>
      </c>
      <c r="F27" s="18">
        <f>IF(AND('A-13'!T51="-",'A-13'!T99="-",'A-13'!T147="-"),"-",SUM('A-13'!T51,'A-13'!T99,'A-13'!T147))</f>
        <v>0</v>
      </c>
      <c r="G27" s="18">
        <v>0</v>
      </c>
      <c r="H27" s="18">
        <f>IF(AND('A-13'!U51="-",'A-13'!U99="-",'A-13'!U147="-"),"-",SUM('A-13'!U51,'A-13'!U99,'A-13'!U147))</f>
        <v>33</v>
      </c>
      <c r="I27" s="17"/>
    </row>
    <row r="28" spans="1:9" ht="11.25" customHeight="1"/>
    <row r="29" spans="1:9">
      <c r="A29" s="102" t="s">
        <v>247</v>
      </c>
      <c r="B29" s="142"/>
      <c r="C29" s="142"/>
      <c r="D29" s="142"/>
    </row>
    <row r="30" spans="1:9" ht="11.25" customHeight="1">
      <c r="A30" s="99">
        <v>1977</v>
      </c>
      <c r="B30" s="18">
        <f>IF(AND('A-16'!C5="-",'A-16'!C31="-",'A-16'!C57="-",'A-16'!C82="-"),"-",SUM('A-16'!C5,'A-16'!C31,'A-16'!C57,'A-16'!C82))</f>
        <v>98</v>
      </c>
      <c r="C30" s="18">
        <f>IF(AND('A-16'!D5="-",'A-16'!D31="-",'A-16'!D57="-",'A-16'!D82="-"),"-",SUM('A-16'!D5,'A-16'!D31,'A-16'!D57,'A-16'!D82))</f>
        <v>1433</v>
      </c>
      <c r="D30" s="18">
        <f>IF(AND('A-16'!E5="-",'A-16'!E31="-",'A-16'!E57="-",'A-16'!E82="-"),"-",SUM('A-16'!E5,'A-16'!E31,'A-16'!E57,'A-16'!E82))</f>
        <v>1269</v>
      </c>
      <c r="E30" s="18">
        <f>IF(AND('A-16'!F5="-",'A-16'!F31="-",'A-16'!F57="-",'A-16'!F82="-"),"-",SUM('A-16'!F5,'A-16'!F31,'A-16'!F57,'A-16'!F82))</f>
        <v>2114</v>
      </c>
      <c r="F30" s="18">
        <f>IF(AND('A-16'!G5="-",'A-16'!G31="-",'A-16'!G57="-",'A-16'!G82="-"),"-",SUM('A-16'!G5,'A-16'!G31,'A-16'!G57,'A-16'!G82))</f>
        <v>7</v>
      </c>
      <c r="G30" s="18">
        <f>IF(AND('A-16'!H5="-",'A-16'!H31="-",'A-16'!H57="-",'A-16'!H82="-"),"-",SUM('A-16'!H5,'A-16'!H31,'A-16'!H57,'A-16'!H82))</f>
        <v>0</v>
      </c>
      <c r="H30" s="18">
        <f>IF(AND('A-16'!J5="-",'A-16'!J31="-",'A-16'!J57="-",'A-16'!J82="-"),"-",SUM('A-16'!J5,'A-16'!J31,'A-16'!J57,'A-16'!J82))</f>
        <v>4921</v>
      </c>
    </row>
    <row r="31" spans="1:9" ht="11.25" customHeight="1">
      <c r="A31" s="99">
        <v>1979</v>
      </c>
      <c r="B31" s="18">
        <f>IF(AND('A-16'!C6="-",'A-16'!C32="-",'A-16'!C58="-",'A-16'!C83="-"),"-",SUM('A-16'!C6,'A-16'!C32,'A-16'!C58,'A-16'!C83))</f>
        <v>0</v>
      </c>
      <c r="C31" s="18">
        <f>IF(AND('A-16'!D6="-",'A-16'!D32="-",'A-16'!D58="-",'A-16'!D83="-"),"-",SUM('A-16'!D6,'A-16'!D32,'A-16'!D58,'A-16'!D83))</f>
        <v>1666</v>
      </c>
      <c r="D31" s="18">
        <f>IF(AND('A-16'!E6="-",'A-16'!E32="-",'A-16'!E58="-",'A-16'!E83="-"),"-",SUM('A-16'!E6,'A-16'!E32,'A-16'!E58,'A-16'!E83))</f>
        <v>836</v>
      </c>
      <c r="E31" s="18">
        <f>IF(AND('A-16'!F6="-",'A-16'!F32="-",'A-16'!F58="-",'A-16'!F83="-"),"-",SUM('A-16'!F6,'A-16'!F32,'A-16'!F58,'A-16'!F83))</f>
        <v>3924</v>
      </c>
      <c r="F31" s="18">
        <f>IF(AND('A-16'!G6="-",'A-16'!G32="-",'A-16'!G58="-",'A-16'!G83="-"),"-",SUM('A-16'!G6,'A-16'!G32,'A-16'!G58,'A-16'!G83))</f>
        <v>35</v>
      </c>
      <c r="G31" s="18">
        <f>IF(AND('A-16'!H6="-",'A-16'!H32="-",'A-16'!H58="-",'A-16'!H83="-"),"-",SUM('A-16'!H6,'A-16'!H32,'A-16'!H58,'A-16'!H83))</f>
        <v>0</v>
      </c>
      <c r="H31" s="18">
        <f>IF(AND('A-16'!J6="-",'A-16'!J32="-",'A-16'!J58="-",'A-16'!J83="-"),"-",SUM('A-16'!J6,'A-16'!J32,'A-16'!J58,'A-16'!J83))</f>
        <v>6461</v>
      </c>
    </row>
    <row r="32" spans="1:9" ht="11.25" customHeight="1">
      <c r="A32" s="99">
        <v>1981</v>
      </c>
      <c r="B32" s="18">
        <f>IF(AND('A-16'!C7="-",'A-16'!C33="-",'A-16'!C59="-",'A-16'!C84="-"),"-",SUM('A-16'!C7,'A-16'!C33,'A-16'!C59,'A-16'!C84))</f>
        <v>90</v>
      </c>
      <c r="C32" s="18">
        <f>IF(AND('A-16'!D7="-",'A-16'!D33="-",'A-16'!D59="-",'A-16'!D84="-"),"-",SUM('A-16'!D7,'A-16'!D33,'A-16'!D59,'A-16'!D84))</f>
        <v>210</v>
      </c>
      <c r="D32" s="18">
        <f>IF(AND('A-16'!E7="-",'A-16'!E33="-",'A-16'!E59="-",'A-16'!E84="-"),"-",SUM('A-16'!E7,'A-16'!E33,'A-16'!E59,'A-16'!E84))</f>
        <v>1155</v>
      </c>
      <c r="E32" s="18">
        <f>IF(AND('A-16'!F7="-",'A-16'!F33="-",'A-16'!F59="-",'A-16'!F84="-"),"-",SUM('A-16'!F7,'A-16'!F33,'A-16'!F59,'A-16'!F84))</f>
        <v>3167</v>
      </c>
      <c r="F32" s="18">
        <f>IF(AND('A-16'!G7="-",'A-16'!G33="-",'A-16'!G59="-",'A-16'!G84="-"),"-",SUM('A-16'!G7,'A-16'!G33,'A-16'!G59,'A-16'!G84))</f>
        <v>441</v>
      </c>
      <c r="G32" s="18">
        <f>IF(AND('A-16'!H7="-",'A-16'!H33="-",'A-16'!H59="-",'A-16'!H84="-"),"-",SUM('A-16'!H7,'A-16'!H33,'A-16'!H59,'A-16'!H84))</f>
        <v>0</v>
      </c>
      <c r="H32" s="18">
        <f>IF(AND('A-16'!J7="-",'A-16'!J33="-",'A-16'!J59="-",'A-16'!J84="-"),"-",SUM('A-16'!J7,'A-16'!J33,'A-16'!J59,'A-16'!J84))</f>
        <v>5063</v>
      </c>
    </row>
    <row r="33" spans="1:8" ht="11.25" customHeight="1">
      <c r="A33" s="99">
        <v>1983</v>
      </c>
      <c r="B33" s="18">
        <f>IF(AND('A-16'!C8="-",'A-16'!C34="-",'A-16'!C60="-",'A-16'!C85="-"),"-",SUM('A-16'!C8,'A-16'!C34,'A-16'!C60,'A-16'!C85))</f>
        <v>1</v>
      </c>
      <c r="C33" s="18">
        <f>IF(AND('A-16'!D8="-",'A-16'!D34="-",'A-16'!D60="-",'A-16'!D85="-"),"-",SUM('A-16'!D8,'A-16'!D34,'A-16'!D60,'A-16'!D85))</f>
        <v>37</v>
      </c>
      <c r="D33" s="18">
        <f>IF(AND('A-16'!E8="-",'A-16'!E34="-",'A-16'!E60="-",'A-16'!E85="-"),"-",SUM('A-16'!E8,'A-16'!E34,'A-16'!E60,'A-16'!E85))</f>
        <v>1537</v>
      </c>
      <c r="E33" s="18">
        <f>IF(AND('A-16'!F8="-",'A-16'!F34="-",'A-16'!F60="-",'A-16'!F85="-"),"-",SUM('A-16'!F8,'A-16'!F34,'A-16'!F60,'A-16'!F85))</f>
        <v>17942</v>
      </c>
      <c r="F33" s="18">
        <f>IF(AND('A-16'!G8="-",'A-16'!G34="-",'A-16'!G60="-",'A-16'!G85="-"),"-",SUM('A-16'!G8,'A-16'!G34,'A-16'!G60,'A-16'!G85))</f>
        <v>347</v>
      </c>
      <c r="G33" s="18">
        <f>IF(AND('A-16'!H8="-",'A-16'!H34="-",'A-16'!H60="-",'A-16'!H85="-"),"-",SUM('A-16'!H8,'A-16'!H34,'A-16'!H60,'A-16'!H85))</f>
        <v>0</v>
      </c>
      <c r="H33" s="18">
        <f>IF(AND('A-16'!J8="-",'A-16'!J34="-",'A-16'!J60="-",'A-16'!J85="-"),"-",SUM('A-16'!J8,'A-16'!J34,'A-16'!J60,'A-16'!J85))</f>
        <v>19864</v>
      </c>
    </row>
    <row r="34" spans="1:8" ht="11.25" customHeight="1">
      <c r="A34" s="99">
        <v>1985</v>
      </c>
      <c r="B34" s="18">
        <f>IF(AND('A-16'!C9="-",'A-16'!C35="-",'A-16'!C61="-",'A-16'!C86="-"),"-",SUM('A-16'!C9,'A-16'!C35,'A-16'!C61,'A-16'!C86))</f>
        <v>4</v>
      </c>
      <c r="C34" s="18">
        <f>IF(AND('A-16'!D9="-",'A-16'!D35="-",'A-16'!D61="-",'A-16'!D86="-"),"-",SUM('A-16'!D9,'A-16'!D35,'A-16'!D61,'A-16'!D86))</f>
        <v>395</v>
      </c>
      <c r="D34" s="18">
        <f>IF(AND('A-16'!E9="-",'A-16'!E35="-",'A-16'!E61="-",'A-16'!E86="-"),"-",SUM('A-16'!E9,'A-16'!E35,'A-16'!E61,'A-16'!E86))</f>
        <v>3931</v>
      </c>
      <c r="E34" s="18">
        <f>IF(AND('A-16'!F9="-",'A-16'!F35="-",'A-16'!F61="-",'A-16'!F86="-"),"-",SUM('A-16'!F9,'A-16'!F35,'A-16'!F61,'A-16'!F86))</f>
        <v>2310</v>
      </c>
      <c r="F34" s="18">
        <f>IF(AND('A-16'!G9="-",'A-16'!G35="-",'A-16'!G61="-",'A-16'!G86="-"),"-",SUM('A-16'!G9,'A-16'!G35,'A-16'!G61,'A-16'!G86))</f>
        <v>173</v>
      </c>
      <c r="G34" s="18">
        <f>IF(AND('A-16'!H9="-",'A-16'!H35="-",'A-16'!H61="-",'A-16'!H86="-"),"-",SUM('A-16'!H9,'A-16'!H35,'A-16'!H61,'A-16'!H86))</f>
        <v>0</v>
      </c>
      <c r="H34" s="18">
        <f>IF(AND('A-16'!J9="-",'A-16'!J35="-",'A-16'!J61="-",'A-16'!J86="-"),"-",SUM('A-16'!J9,'A-16'!J35,'A-16'!J61,'A-16'!J86))</f>
        <v>6813</v>
      </c>
    </row>
    <row r="35" spans="1:8" ht="11.25" customHeight="1">
      <c r="A35" s="99">
        <v>1987</v>
      </c>
      <c r="B35" s="18">
        <f>IF(AND('A-16'!C10="-",'A-16'!C36="-",'A-16'!C62="-",'A-16'!C87="-"),"-",SUM('A-16'!C10,'A-16'!C36,'A-16'!C62,'A-16'!C87))</f>
        <v>4</v>
      </c>
      <c r="C35" s="18">
        <f>IF(AND('A-16'!D10="-",'A-16'!D36="-",'A-16'!D62="-",'A-16'!D87="-"),"-",SUM('A-16'!D10,'A-16'!D36,'A-16'!D62,'A-16'!D87))</f>
        <v>0</v>
      </c>
      <c r="D35" s="18">
        <f>IF(AND('A-16'!E10="-",'A-16'!E36="-",'A-16'!E62="-",'A-16'!E87="-"),"-",SUM('A-16'!E10,'A-16'!E36,'A-16'!E62,'A-16'!E87))</f>
        <v>10776</v>
      </c>
      <c r="E35" s="18">
        <f>IF(AND('A-16'!F10="-",'A-16'!F36="-",'A-16'!F62="-",'A-16'!F87="-"),"-",SUM('A-16'!F10,'A-16'!F36,'A-16'!F62,'A-16'!F87))</f>
        <v>5840</v>
      </c>
      <c r="F35" s="18">
        <f>IF(AND('A-16'!G10="-",'A-16'!G36="-",'A-16'!G62="-",'A-16'!G87="-"),"-",SUM('A-16'!G10,'A-16'!G36,'A-16'!G62,'A-16'!G87))</f>
        <v>0</v>
      </c>
      <c r="G35" s="18">
        <f>IF(AND('A-16'!H10="-",'A-16'!H36="-",'A-16'!H62="-",'A-16'!H87="-"),"-",SUM('A-16'!H10,'A-16'!H36,'A-16'!H62,'A-16'!H87))</f>
        <v>0</v>
      </c>
      <c r="H35" s="18">
        <f>IF(AND('A-16'!J10="-",'A-16'!J36="-",'A-16'!J62="-",'A-16'!J87="-"),"-",SUM('A-16'!J10,'A-16'!J36,'A-16'!J62,'A-16'!J87))</f>
        <v>16620</v>
      </c>
    </row>
    <row r="36" spans="1:8" ht="11.25" customHeight="1">
      <c r="A36" s="99">
        <v>1989</v>
      </c>
      <c r="B36" s="18">
        <f>IF(AND('A-16'!C11="-",'A-16'!C37="-",'A-16'!C63="-",'A-16'!C88="-"),"-",SUM('A-16'!C11,'A-16'!C37,'A-16'!C63,'A-16'!C88))</f>
        <v>6</v>
      </c>
      <c r="C36" s="18">
        <f>IF(AND('A-16'!D11="-",'A-16'!D37="-",'A-16'!D63="-",'A-16'!D88="-"),"-",SUM('A-16'!D11,'A-16'!D37,'A-16'!D63,'A-16'!D88))</f>
        <v>20</v>
      </c>
      <c r="D36" s="18">
        <f>IF(AND('A-16'!E11="-",'A-16'!E37="-",'A-16'!E63="-",'A-16'!E88="-"),"-",SUM('A-16'!E11,'A-16'!E37,'A-16'!E63,'A-16'!E88))</f>
        <v>7206</v>
      </c>
      <c r="E36" s="18">
        <f>IF(AND('A-16'!F11="-",'A-16'!F37="-",'A-16'!F63="-",'A-16'!F88="-"),"-",SUM('A-16'!F11,'A-16'!F37,'A-16'!F63,'A-16'!F88))</f>
        <v>2667</v>
      </c>
      <c r="F36" s="18">
        <f>IF(AND('A-16'!G11="-",'A-16'!G37="-",'A-16'!G63="-",'A-16'!G88="-"),"-",SUM('A-16'!G11,'A-16'!G37,'A-16'!G63,'A-16'!G88))</f>
        <v>1182</v>
      </c>
      <c r="G36" s="18">
        <f>IF(AND('A-16'!H11="-",'A-16'!H37="-",'A-16'!H63="-",'A-16'!H88="-"),"-",SUM('A-16'!H11,'A-16'!H37,'A-16'!H63,'A-16'!H88))</f>
        <v>0</v>
      </c>
      <c r="H36" s="18">
        <f>IF(AND('A-16'!J11="-",'A-16'!J37="-",'A-16'!J63="-",'A-16'!J88="-"),"-",SUM('A-16'!J11,'A-16'!J37,'A-16'!J63,'A-16'!J88))</f>
        <v>11081</v>
      </c>
    </row>
    <row r="37" spans="1:8" ht="11.25" customHeight="1">
      <c r="A37" s="99">
        <v>1991</v>
      </c>
      <c r="B37" s="18">
        <f>IF(AND('A-16'!C12="-",'A-16'!C38="-",'A-16'!C64="-",'A-16'!C89="-"),"-",SUM('A-16'!C12,'A-16'!C38,'A-16'!C64,'A-16'!C89))</f>
        <v>0</v>
      </c>
      <c r="C37" s="18">
        <f>IF(AND('A-16'!D12="-",'A-16'!D38="-",'A-16'!D64="-",'A-16'!D89="-"),"-",SUM('A-16'!D12,'A-16'!D38,'A-16'!D64,'A-16'!D89))</f>
        <v>2</v>
      </c>
      <c r="D37" s="18">
        <f>IF(AND('A-16'!E12="-",'A-16'!E38="-",'A-16'!E64="-",'A-16'!E89="-"),"-",SUM('A-16'!E12,'A-16'!E38,'A-16'!E64,'A-16'!E89))</f>
        <v>1148</v>
      </c>
      <c r="E37" s="18">
        <f>IF(AND('A-16'!F12="-",'A-16'!F38="-",'A-16'!F64="-",'A-16'!F89="-"),"-",SUM('A-16'!F12,'A-16'!F38,'A-16'!F64,'A-16'!F89))</f>
        <v>3356</v>
      </c>
      <c r="F37" s="18">
        <f>IF(AND('A-16'!G12="-",'A-16'!G38="-",'A-16'!G64="-",'A-16'!G89="-"),"-",SUM('A-16'!G12,'A-16'!G38,'A-16'!G64,'A-16'!G89))</f>
        <v>0</v>
      </c>
      <c r="G37" s="18">
        <f>IF(AND('A-16'!H12="-",'A-16'!H38="-",'A-16'!H64="-",'A-16'!H89="-"),"-",SUM('A-16'!H12,'A-16'!H38,'A-16'!H64,'A-16'!H89))</f>
        <v>0</v>
      </c>
      <c r="H37" s="18">
        <f>IF(AND('A-16'!J12="-",'A-16'!J38="-",'A-16'!J64="-",'A-16'!J89="-"),"-",SUM('A-16'!J12,'A-16'!J38,'A-16'!J64,'A-16'!J89))</f>
        <v>4506</v>
      </c>
    </row>
    <row r="38" spans="1:8" ht="11.25" customHeight="1">
      <c r="A38" s="99">
        <v>1993</v>
      </c>
      <c r="B38" s="18">
        <f>IF(AND('A-16'!C13="-",'A-16'!C39="-",'A-16'!C65="-",'A-16'!C90="-"),"-",SUM('A-16'!C13,'A-16'!C39,'A-16'!C65,'A-16'!C90))</f>
        <v>0</v>
      </c>
      <c r="C38" s="18">
        <f>IF(AND('A-16'!D13="-",'A-16'!D39="-",'A-16'!D65="-",'A-16'!D90="-"),"-",SUM('A-16'!D13,'A-16'!D39,'A-16'!D65,'A-16'!D90))</f>
        <v>0</v>
      </c>
      <c r="D38" s="18">
        <f>IF(AND('A-16'!E13="-",'A-16'!E39="-",'A-16'!E65="-",'A-16'!E90="-"),"-",SUM('A-16'!E13,'A-16'!E39,'A-16'!E65,'A-16'!E90))</f>
        <v>349</v>
      </c>
      <c r="E38" s="18">
        <f>IF(AND('A-16'!F13="-",'A-16'!F39="-",'A-16'!F65="-",'A-16'!F90="-"),"-",SUM('A-16'!F13,'A-16'!F39,'A-16'!F65,'A-16'!F90))</f>
        <v>2261</v>
      </c>
      <c r="F38" s="18">
        <f>IF(AND('A-16'!G13="-",'A-16'!G39="-",'A-16'!G65="-",'A-16'!G90="-"),"-",SUM('A-16'!G13,'A-16'!G39,'A-16'!G65,'A-16'!G90))</f>
        <v>783</v>
      </c>
      <c r="G38" s="18">
        <f>IF(AND('A-16'!H13="-",'A-16'!H39="-",'A-16'!H65="-",'A-16'!H90="-"),"-",SUM('A-16'!H13,'A-16'!H39,'A-16'!H65,'A-16'!H90))</f>
        <v>0</v>
      </c>
      <c r="H38" s="18">
        <f>IF(AND('A-16'!J13="-",'A-16'!J39="-",'A-16'!J65="-",'A-16'!J90="-"),"-",SUM('A-16'!J13,'A-16'!J39,'A-16'!J65,'A-16'!J90))</f>
        <v>3393</v>
      </c>
    </row>
    <row r="39" spans="1:8" ht="11.25" customHeight="1">
      <c r="A39" s="99">
        <v>1995</v>
      </c>
      <c r="B39" s="18">
        <f>IF(AND('A-16'!C14="-",'A-16'!C40="-",'A-16'!C66="-",'A-16'!C91="-"),"-",SUM('A-16'!C14,'A-16'!C40,'A-16'!C66,'A-16'!C91))</f>
        <v>0</v>
      </c>
      <c r="C39" s="18">
        <f>IF(AND('A-16'!D14="-",'A-16'!D40="-",'A-16'!D66="-",'A-16'!D91="-"),"-",SUM('A-16'!D14,'A-16'!D40,'A-16'!D66,'A-16'!D91))</f>
        <v>0</v>
      </c>
      <c r="D39" s="18">
        <f>IF(AND('A-16'!E14="-",'A-16'!E40="-",'A-16'!E66="-",'A-16'!E91="-"),"-",SUM('A-16'!E14,'A-16'!E40,'A-16'!E66,'A-16'!E91))</f>
        <v>0</v>
      </c>
      <c r="E39" s="18">
        <f>IF(AND('A-16'!F14="-",'A-16'!F40="-",'A-16'!F66="-",'A-16'!F91="-"),"-",SUM('A-16'!F14,'A-16'!F40,'A-16'!F66,'A-16'!F91))</f>
        <v>10940</v>
      </c>
      <c r="F39" s="18">
        <f>IF(AND('A-16'!G14="-",'A-16'!G40="-",'A-16'!G66="-",'A-16'!G91="-"),"-",SUM('A-16'!G14,'A-16'!G40,'A-16'!G66,'A-16'!G91))</f>
        <v>0</v>
      </c>
      <c r="G39" s="18">
        <f>IF(AND('A-16'!H14="-",'A-16'!H40="-",'A-16'!H66="-",'A-16'!H91="-"),"-",SUM('A-16'!H14,'A-16'!H40,'A-16'!H66,'A-16'!H91))</f>
        <v>0</v>
      </c>
      <c r="H39" s="18">
        <f>IF(AND('A-16'!J14="-",'A-16'!J40="-",'A-16'!J66="-",'A-16'!J91="-"),"-",SUM('A-16'!J14,'A-16'!J40,'A-16'!J66,'A-16'!J91))</f>
        <v>10940</v>
      </c>
    </row>
    <row r="40" spans="1:8" ht="11.25" customHeight="1">
      <c r="A40" s="99">
        <v>1997</v>
      </c>
      <c r="B40" s="18">
        <f>IF(AND('A-16'!C15="-",'A-16'!C41="-",'A-16'!C67="-",'A-16'!C92="-"),"-",SUM('A-16'!C15,'A-16'!C41,'A-16'!C67,'A-16'!C92))</f>
        <v>0</v>
      </c>
      <c r="C40" s="18">
        <f>IF(AND('A-16'!D15="-",'A-16'!D41="-",'A-16'!D67="-",'A-16'!D92="-"),"-",SUM('A-16'!D15,'A-16'!D41,'A-16'!D67,'A-16'!D92))</f>
        <v>0</v>
      </c>
      <c r="D40" s="18">
        <f>IF(AND('A-16'!E15="-",'A-16'!E41="-",'A-16'!E67="-",'A-16'!E92="-"),"-",SUM('A-16'!E15,'A-16'!E41,'A-16'!E67,'A-16'!E92))</f>
        <v>0</v>
      </c>
      <c r="E40" s="18">
        <f>IF(AND('A-16'!F15="-",'A-16'!F41="-",'A-16'!F67="-",'A-16'!F92="-"),"-",SUM('A-16'!F15,'A-16'!F41,'A-16'!F67,'A-16'!F92))</f>
        <v>1757</v>
      </c>
      <c r="F40" s="18">
        <f>IF(AND('A-16'!G15="-",'A-16'!G41="-",'A-16'!G67="-",'A-16'!G92="-"),"-",SUM('A-16'!G15,'A-16'!G41,'A-16'!G67,'A-16'!G92))</f>
        <v>53</v>
      </c>
      <c r="G40" s="18" t="str">
        <f>IF(AND('A-16'!H15="-",'A-16'!H41="-",'A-16'!H67="-",'A-16'!H92="-"),"-",SUM('A-16'!H15,'A-16'!H41,'A-16'!H67,'A-16'!H92))</f>
        <v>-</v>
      </c>
      <c r="H40" s="18">
        <f>IF(AND('A-16'!J15="-",'A-16'!J41="-",'A-16'!J67="-",'A-16'!J92="-"),"-",SUM('A-16'!J15,'A-16'!J41,'A-16'!J67,'A-16'!J92))</f>
        <v>1810</v>
      </c>
    </row>
    <row r="41" spans="1:8" ht="11.25" customHeight="1">
      <c r="A41" s="99">
        <v>1999</v>
      </c>
      <c r="B41" s="18">
        <f>IF(AND('A-16'!C16="-",'A-16'!C42="-",'A-16'!C68="-",'A-16'!C93="-"),"-",SUM('A-16'!C16,'A-16'!C42,'A-16'!C68,'A-16'!C93))</f>
        <v>0</v>
      </c>
      <c r="C41" s="18">
        <f>IF(AND('A-16'!D16="-",'A-16'!D42="-",'A-16'!D68="-",'A-16'!D93="-"),"-",SUM('A-16'!D16,'A-16'!D42,'A-16'!D68,'A-16'!D93))</f>
        <v>0</v>
      </c>
      <c r="D41" s="18">
        <f>IF(AND('A-16'!E16="-",'A-16'!E42="-",'A-16'!E68="-",'A-16'!E93="-"),"-",SUM('A-16'!E16,'A-16'!E42,'A-16'!E68,'A-16'!E93))</f>
        <v>0</v>
      </c>
      <c r="E41" s="18">
        <f>IF(AND('A-16'!F16="-",'A-16'!F42="-",'A-16'!F68="-",'A-16'!F93="-"),"-",SUM('A-16'!F16,'A-16'!F42,'A-16'!F68,'A-16'!F93))</f>
        <v>1388</v>
      </c>
      <c r="F41" s="18">
        <f>IF(AND('A-16'!G16="-",'A-16'!G42="-",'A-16'!G68="-",'A-16'!G93="-"),"-",SUM('A-16'!G16,'A-16'!G42,'A-16'!G68,'A-16'!G93))</f>
        <v>108</v>
      </c>
      <c r="G41" s="18" t="str">
        <f>IF(AND('A-16'!H16="-",'A-16'!H42="-",'A-16'!H68="-",'A-16'!H93="-"),"-",SUM('A-16'!H16,'A-16'!H42,'A-16'!H68,'A-16'!H93))</f>
        <v>-</v>
      </c>
      <c r="H41" s="18">
        <f>IF(AND('A-16'!J16="-",'A-16'!J42="-",'A-16'!J68="-",'A-16'!J93="-"),"-",SUM('A-16'!J16,'A-16'!J42,'A-16'!J68,'A-16'!J93))</f>
        <v>1496</v>
      </c>
    </row>
    <row r="42" spans="1:8" ht="11.25" customHeight="1">
      <c r="A42" s="99">
        <v>2001</v>
      </c>
      <c r="B42" s="18">
        <f>IF(AND('A-16'!C17="-",'A-16'!C43="-",'A-16'!C69="-",'A-16'!C94="-"),"-",SUM('A-16'!C17,'A-16'!C43,'A-16'!C69,'A-16'!C94))</f>
        <v>11</v>
      </c>
      <c r="C42" s="18">
        <f>IF(AND('A-16'!D17="-",'A-16'!D43="-",'A-16'!D69="-",'A-16'!D94="-"),"-",SUM('A-16'!D17,'A-16'!D43,'A-16'!D69,'A-16'!D94))</f>
        <v>0</v>
      </c>
      <c r="D42" s="18">
        <f>IF(AND('A-16'!E17="-",'A-16'!E43="-",'A-16'!E69="-",'A-16'!E94="-"),"-",SUM('A-16'!E17,'A-16'!E43,'A-16'!E69,'A-16'!E94))</f>
        <v>696</v>
      </c>
      <c r="E42" s="18">
        <f>IF(AND('A-16'!F17="-",'A-16'!F43="-",'A-16'!F69="-",'A-16'!F94="-"),"-",SUM('A-16'!F17,'A-16'!F43,'A-16'!F69,'A-16'!F94))</f>
        <v>1537</v>
      </c>
      <c r="F42" s="18">
        <f>IF(AND('A-16'!G17="-",'A-16'!G43="-",'A-16'!G69="-",'A-16'!G94="-"),"-",SUM('A-16'!G17,'A-16'!G43,'A-16'!G69,'A-16'!G94))</f>
        <v>207</v>
      </c>
      <c r="G42" s="18" t="str">
        <f>IF(AND('A-16'!H17="-",'A-16'!H43="-",'A-16'!H69="-",'A-16'!H94="-"),"-",SUM('A-16'!H17,'A-16'!H43,'A-16'!H69,'A-16'!H94))</f>
        <v>-</v>
      </c>
      <c r="H42" s="18">
        <f>IF(AND('A-16'!J17="-",'A-16'!J43="-",'A-16'!J69="-",'A-16'!J94="-"),"-",SUM('A-16'!J17,'A-16'!J43,'A-16'!J69,'A-16'!J94))</f>
        <v>2451</v>
      </c>
    </row>
    <row r="43" spans="1:8" ht="11.25" customHeight="1">
      <c r="A43" s="99">
        <v>2003</v>
      </c>
      <c r="B43" s="18">
        <f>IF(AND('A-16'!C18="-",'A-16'!C44="-",'A-16'!C70="-",'A-16'!C95="-"),"-",SUM('A-16'!C18,'A-16'!C44,'A-16'!C70,'A-16'!C95))</f>
        <v>0</v>
      </c>
      <c r="C43" s="18">
        <f>IF(AND('A-16'!D18="-",'A-16'!D44="-",'A-16'!D70="-",'A-16'!D95="-"),"-",SUM('A-16'!D18,'A-16'!D44,'A-16'!D70,'A-16'!D95))</f>
        <v>0</v>
      </c>
      <c r="D43" s="18">
        <f>IF(AND('A-16'!E18="-",'A-16'!E44="-",'A-16'!E70="-",'A-16'!E95="-"),"-",SUM('A-16'!E18,'A-16'!E44,'A-16'!E70,'A-16'!E95))</f>
        <v>172</v>
      </c>
      <c r="E43" s="18">
        <f>IF(AND('A-16'!F18="-",'A-16'!F44="-",'A-16'!F70="-",'A-16'!F95="-"),"-",SUM('A-16'!F18,'A-16'!F44,'A-16'!F70,'A-16'!F95))</f>
        <v>41</v>
      </c>
      <c r="F43" s="18">
        <f>IF(AND('A-16'!G18="-",'A-16'!G44="-",'A-16'!G70="-",'A-16'!G95="-"),"-",SUM('A-16'!G18,'A-16'!G44,'A-16'!G70,'A-16'!G95))</f>
        <v>23</v>
      </c>
      <c r="G43" s="18">
        <f>IF(AND('A-16'!H18="-",'A-16'!H44="-",'A-16'!H70="-",'A-16'!H95="-"),"-",SUM('A-16'!H18,'A-16'!H44,'A-16'!H70,'A-16'!H95))</f>
        <v>0</v>
      </c>
      <c r="H43" s="18">
        <f>IF(AND('A-16'!J18="-",'A-16'!J44="-",'A-16'!J70="-",'A-16'!J95="-"),"-",SUM('A-16'!J18,'A-16'!J44,'A-16'!J70,'A-16'!J95))</f>
        <v>236</v>
      </c>
    </row>
    <row r="44" spans="1:8" ht="11.25" customHeight="1">
      <c r="A44" s="99">
        <v>2005</v>
      </c>
      <c r="B44" s="18">
        <f>IF(AND('A-16'!C19="-",'A-16'!C45="-",'A-16'!C71="-",'A-16'!C96="-"),"-",SUM('A-16'!C19,'A-16'!C45,'A-16'!C71,'A-16'!C96))</f>
        <v>0</v>
      </c>
      <c r="C44" s="18">
        <f>IF(AND('A-16'!D19="-",'A-16'!D45="-",'A-16'!D71="-",'A-16'!D96="-"),"-",SUM('A-16'!D19,'A-16'!D45,'A-16'!D71,'A-16'!D96))</f>
        <v>0</v>
      </c>
      <c r="D44" s="18">
        <f>IF(AND('A-16'!E19="-",'A-16'!E45="-",'A-16'!E71="-",'A-16'!E96="-"),"-",SUM('A-16'!E19,'A-16'!E45,'A-16'!E71,'A-16'!E96))</f>
        <v>186</v>
      </c>
      <c r="E44" s="18">
        <f>IF(AND('A-16'!F19="-",'A-16'!F45="-",'A-16'!F71="-",'A-16'!F96="-"),"-",SUM('A-16'!F19,'A-16'!F45,'A-16'!F71,'A-16'!F96))</f>
        <v>198</v>
      </c>
      <c r="F44" s="18">
        <f>IF(AND('A-16'!G19="-",'A-16'!G45="-",'A-16'!G71="-",'A-16'!G96="-"),"-",SUM('A-16'!G19,'A-16'!G45,'A-16'!G71,'A-16'!G96))</f>
        <v>3</v>
      </c>
      <c r="G44" s="18">
        <f>IF(AND('A-16'!H19="-",'A-16'!H45="-",'A-16'!H71="-",'A-16'!H96="-"),"-",SUM('A-16'!H19,'A-16'!H45,'A-16'!H71,'A-16'!H96))</f>
        <v>0</v>
      </c>
      <c r="H44" s="18">
        <f>IF(AND('A-16'!J19="-",'A-16'!J45="-",'A-16'!J71="-",'A-16'!J96="-"),"-",SUM('A-16'!J19,'A-16'!J45,'A-16'!J71,'A-16'!J96))</f>
        <v>387</v>
      </c>
    </row>
    <row r="45" spans="1:8" ht="11.25" customHeight="1">
      <c r="A45" s="99">
        <v>2007</v>
      </c>
      <c r="B45" s="18">
        <f>IF(AND('A-16'!C20="-",'A-16'!C46="-",'A-16'!C72="-",'A-16'!C97="-"),"-",SUM('A-16'!C20,'A-16'!C46,'A-16'!C72,'A-16'!C97))</f>
        <v>0</v>
      </c>
      <c r="C45" s="18">
        <f>IF(AND('A-16'!D20="-",'A-16'!D46="-",'A-16'!D72="-",'A-16'!D97="-"),"-",SUM('A-16'!D20,'A-16'!D46,'A-16'!D72,'A-16'!D97))</f>
        <v>7</v>
      </c>
      <c r="D45" s="18">
        <f>IF(AND('A-16'!E20="-",'A-16'!E46="-",'A-16'!E72="-",'A-16'!E97="-"),"-",SUM('A-16'!E20,'A-16'!E46,'A-16'!E72,'A-16'!E97))</f>
        <v>326</v>
      </c>
      <c r="E45" s="18">
        <f>IF(AND('A-16'!F20="-",'A-16'!F46="-",'A-16'!F72="-",'A-16'!F97="-"),"-",SUM('A-16'!F20,'A-16'!F46,'A-16'!F72,'A-16'!F97))</f>
        <v>251</v>
      </c>
      <c r="F45" s="18">
        <f>IF(AND('A-16'!G20="-",'A-16'!G46="-",'A-16'!G72="-",'A-16'!G97="-"),"-",SUM('A-16'!G20,'A-16'!G46,'A-16'!G72,'A-16'!G97))</f>
        <v>0</v>
      </c>
      <c r="G45" s="18">
        <f>IF(AND('A-16'!H20="-",'A-16'!H46="-",'A-16'!H72="-",'A-16'!H97="-"),"-",SUM('A-16'!H20,'A-16'!H46,'A-16'!H72,'A-16'!H97))</f>
        <v>0</v>
      </c>
      <c r="H45" s="18">
        <f>IF(AND('A-16'!J20="-",'A-16'!J46="-",'A-16'!J72="-",'A-16'!J97="-"),"-",SUM('A-16'!J20,'A-16'!J46,'A-16'!J72,'A-16'!J97))</f>
        <v>584</v>
      </c>
    </row>
    <row r="46" spans="1:8" ht="11.25" customHeight="1">
      <c r="A46" s="99">
        <v>2009</v>
      </c>
      <c r="B46" s="18">
        <f>IF(AND('A-16'!C21="-",'A-16'!C47="-",'A-16'!C73="-",'A-16'!C98="-"),"-",SUM('A-16'!C21,'A-16'!C47,'A-16'!C73,'A-16'!C98))</f>
        <v>0</v>
      </c>
      <c r="C46" s="18">
        <f>IF(AND('A-16'!D21="-",'A-16'!D47="-",'A-16'!D73="-",'A-16'!D98="-"),"-",SUM('A-16'!D21,'A-16'!D47,'A-16'!D73,'A-16'!D98))</f>
        <v>0</v>
      </c>
      <c r="D46" s="18">
        <f>IF(AND('A-16'!E21="-",'A-16'!E47="-",'A-16'!E73="-",'A-16'!E98="-"),"-",SUM('A-16'!E21,'A-16'!E47,'A-16'!E73,'A-16'!E98))</f>
        <v>431</v>
      </c>
      <c r="E46" s="18">
        <f>IF(AND('A-16'!F21="-",'A-16'!F47="-",'A-16'!F73="-",'A-16'!F98="-"),"-",SUM('A-16'!F21,'A-16'!F47,'A-16'!F73,'A-16'!F98))</f>
        <v>369</v>
      </c>
      <c r="F46" s="18">
        <f>IF(AND('A-16'!G21="-",'A-16'!G47="-",'A-16'!G73="-",'A-16'!G98="-"),"-",SUM('A-16'!G21,'A-16'!G47,'A-16'!G73,'A-16'!G98))</f>
        <v>0</v>
      </c>
      <c r="G46" s="18">
        <f>IF(AND('A-16'!H21="-",'A-16'!H47="-",'A-16'!H73="-",'A-16'!H98="-"),"-",SUM('A-16'!H21,'A-16'!H47,'A-16'!H73,'A-16'!H98))</f>
        <v>0</v>
      </c>
      <c r="H46" s="18">
        <f>IF(AND('A-16'!J21="-",'A-16'!J47="-",'A-16'!J73="-",'A-16'!J98="-"),"-",SUM('A-16'!J21,'A-16'!J47,'A-16'!J73,'A-16'!J98))</f>
        <v>800</v>
      </c>
    </row>
    <row r="47" spans="1:8" ht="11.25" customHeight="1">
      <c r="A47" s="99">
        <v>2011</v>
      </c>
      <c r="B47" s="18">
        <f>IF(AND('A-16'!C22="-",'A-16'!C48="-",'A-16'!C74="-",'A-16'!C99="-"),"-",SUM('A-16'!C22,'A-16'!C48,'A-16'!C74,'A-16'!C99))</f>
        <v>0</v>
      </c>
      <c r="C47" s="18">
        <f>IF(AND('A-16'!D22="-",'A-16'!D48="-",'A-16'!D74="-",'A-16'!D99="-"),"-",SUM('A-16'!D22,'A-16'!D48,'A-16'!D74,'A-16'!D99))</f>
        <v>6</v>
      </c>
      <c r="D47" s="18">
        <f>IF(AND('A-16'!E22="-",'A-16'!E48="-",'A-16'!E74="-",'A-16'!E99="-"),"-",SUM('A-16'!E22,'A-16'!E48,'A-16'!E74,'A-16'!E99))</f>
        <v>718</v>
      </c>
      <c r="E47" s="18">
        <f>IF(AND('A-16'!F22="-",'A-16'!F48="-",'A-16'!F74="-",'A-16'!F99="-"),"-",SUM('A-16'!F22,'A-16'!F48,'A-16'!F74,'A-16'!F99))</f>
        <v>334</v>
      </c>
      <c r="F47" s="18">
        <f>IF(AND('A-16'!G22="-",'A-16'!G48="-",'A-16'!G74="-",'A-16'!G99="-"),"-",SUM('A-16'!G22,'A-16'!G48,'A-16'!G74,'A-16'!G99))</f>
        <v>16</v>
      </c>
      <c r="G47" s="18">
        <f>IF(AND('A-16'!H22="-",'A-16'!H48="-",'A-16'!H74="-",'A-16'!H99="-"),"-",SUM('A-16'!H22,'A-16'!H48,'A-16'!H74,'A-16'!H99))</f>
        <v>0</v>
      </c>
      <c r="H47" s="18">
        <f>IF(AND('A-16'!J22="-",'A-16'!J48="-",'A-16'!J74="-",'A-16'!J99="-"),"-",SUM('A-16'!J22,'A-16'!J48,'A-16'!J74,'A-16'!J99))</f>
        <v>1074</v>
      </c>
    </row>
    <row r="48" spans="1:8" ht="11.25" customHeight="1">
      <c r="A48" s="99">
        <v>2013</v>
      </c>
      <c r="B48" s="18">
        <f>IF(AND('A-16'!C23="-",'A-16'!C49="-",'A-16'!C75="-",'A-16'!C100="-"),"-",SUM('A-16'!C23,'A-16'!C49,'A-16'!C75,'A-16'!C100))</f>
        <v>0</v>
      </c>
      <c r="C48" s="18">
        <f>IF(AND('A-16'!D23="-",'A-16'!D49="-",'A-16'!D75="-",'A-16'!D100="-"),"-",SUM('A-16'!D23,'A-16'!D49,'A-16'!D75,'A-16'!D100))</f>
        <v>0</v>
      </c>
      <c r="D48" s="18">
        <f>IF(AND('A-16'!E23="-",'A-16'!E49="-",'A-16'!E75="-",'A-16'!E100="-"),"-",SUM('A-16'!E23,'A-16'!E49,'A-16'!E75,'A-16'!E100))</f>
        <v>89</v>
      </c>
      <c r="E48" s="18">
        <f>IF(AND('A-16'!F23="-",'A-16'!F49="-",'A-16'!F75="-",'A-16'!F100="-"),"-",SUM('A-16'!F23,'A-16'!F49,'A-16'!F75,'A-16'!F100))</f>
        <v>120</v>
      </c>
      <c r="F48" s="18">
        <f>IF(AND('A-16'!G23="-",'A-16'!G49="-",'A-16'!G75="-",'A-16'!G100="-"),"-",SUM('A-16'!G23,'A-16'!G49,'A-16'!G75,'A-16'!G100))</f>
        <v>0</v>
      </c>
      <c r="G48" s="18">
        <f>IF(AND('A-16'!H23="-",'A-16'!H49="-",'A-16'!H75="-",'A-16'!H100="-"),"-",SUM('A-16'!H23,'A-16'!H49,'A-16'!H75,'A-16'!H100))</f>
        <v>0</v>
      </c>
      <c r="H48" s="18">
        <f>IF(AND('A-16'!J23="-",'A-16'!J49="-",'A-16'!J75="-",'A-16'!J100="-"),"-",SUM('A-16'!J23,'A-16'!J49,'A-16'!J75,'A-16'!J100))</f>
        <v>209</v>
      </c>
    </row>
    <row r="49" spans="1:8" ht="11.25" customHeight="1">
      <c r="A49" s="99">
        <v>2015</v>
      </c>
      <c r="B49" s="18">
        <f>IF(AND('A-16'!C24="-",'A-16'!C50="-",'A-16'!C76="-",'A-16'!C101="-"),"-",SUM('A-16'!C24,'A-16'!C50,'A-16'!C76,'A-16'!C101))</f>
        <v>0</v>
      </c>
      <c r="C49" s="18">
        <f>IF(AND('A-16'!D24="-",'A-16'!D50="-",'A-16'!D76="-",'A-16'!D101="-"),"-",SUM('A-16'!D24,'A-16'!D50,'A-16'!D76,'A-16'!D101))</f>
        <v>6</v>
      </c>
      <c r="D49" s="18">
        <f>IF(AND('A-16'!E24="-",'A-16'!E50="-",'A-16'!E76="-",'A-16'!E101="-"),"-",SUM('A-16'!E24,'A-16'!E50,'A-16'!E76,'A-16'!E101))</f>
        <v>98</v>
      </c>
      <c r="E49" s="18">
        <f>IF(AND('A-16'!F24="-",'A-16'!F50="-",'A-16'!F76="-",'A-16'!F101="-"),"-",SUM('A-16'!F24,'A-16'!F50,'A-16'!F76,'A-16'!F101))</f>
        <v>18</v>
      </c>
      <c r="F49" s="18">
        <f>IF(AND('A-16'!G24="-",'A-16'!G50="-",'A-16'!G76="-",'A-16'!G101="-"),"-",SUM('A-16'!G24,'A-16'!G50,'A-16'!G76,'A-16'!G101))</f>
        <v>0</v>
      </c>
      <c r="G49" s="18">
        <f>IF(AND('A-16'!H24="-",'A-16'!H50="-",'A-16'!H76="-",'A-16'!H101="-"),"-",SUM('A-16'!H24,'A-16'!H50,'A-16'!H76,'A-16'!H101))</f>
        <v>0</v>
      </c>
      <c r="H49" s="18">
        <f>IF(AND('A-16'!J24="-",'A-16'!J50="-",'A-16'!J76="-",'A-16'!J101="-"),"-",SUM('A-16'!J24,'A-16'!J50,'A-16'!J76,'A-16'!J101))</f>
        <v>122</v>
      </c>
    </row>
    <row r="50" spans="1:8" ht="11.25" customHeight="1">
      <c r="A50" s="99">
        <v>2017</v>
      </c>
      <c r="B50" s="18">
        <f>IF(AND('A-16'!C25="-",'A-16'!C51="-",'A-16'!C77="-",'A-16'!C102="-"),"-",SUM('A-16'!C25,'A-16'!C51,'A-16'!C77,'A-16'!C102))</f>
        <v>0</v>
      </c>
      <c r="C50" s="18">
        <f>IF(AND('A-16'!D25="-",'A-16'!D51="-",'A-16'!D77="-",'A-16'!D102="-"),"-",SUM('A-16'!D25,'A-16'!D51,'A-16'!D77,'A-16'!D102))</f>
        <v>0</v>
      </c>
      <c r="D50" s="18">
        <f>IF(AND('A-16'!E25="-",'A-16'!E51="-",'A-16'!E77="-",'A-16'!E102="-"),"-",SUM('A-16'!E25,'A-16'!E51,'A-16'!E77,'A-16'!E102))</f>
        <v>61</v>
      </c>
      <c r="E50" s="18">
        <f>IF(AND('A-16'!F25="-",'A-16'!F51="-",'A-16'!F77="-",'A-16'!F102="-"),"-",SUM('A-16'!F25,'A-16'!F51,'A-16'!F77,'A-16'!F102))</f>
        <v>134</v>
      </c>
      <c r="F50" s="18">
        <f>IF(AND('A-16'!G25="-",'A-16'!G51="-",'A-16'!G77="-",'A-16'!G102="-"),"-",SUM('A-16'!G25,'A-16'!G51,'A-16'!G77,'A-16'!G102))</f>
        <v>0</v>
      </c>
      <c r="G50" s="18">
        <f>IF(AND('A-16'!H25="-",'A-16'!H51="-",'A-16'!H77="-",'A-16'!H102="-"),"-",SUM('A-16'!H25,'A-16'!H51,'A-16'!H77,'A-16'!H102))</f>
        <v>0</v>
      </c>
      <c r="H50" s="18">
        <f>IF(AND('A-16'!J25="-",'A-16'!J51="-",'A-16'!J77="-",'A-16'!J102="-"),"-",SUM('A-16'!J25,'A-16'!J51,'A-16'!J77,'A-16'!J102))</f>
        <v>195</v>
      </c>
    </row>
    <row r="51" spans="1:8" ht="11.25" customHeight="1">
      <c r="A51" s="99">
        <v>2019</v>
      </c>
      <c r="B51" s="18">
        <f>IF(AND('A-16'!C26="-",'A-16'!C52="-",'A-16'!C78="-",'A-16'!C103="-"),"-",SUM('A-16'!C26,'A-16'!C52,'A-16'!C78,'A-16'!C103))</f>
        <v>0</v>
      </c>
      <c r="C51" s="18">
        <f>IF(AND('A-16'!D26="-",'A-16'!D52="-",'A-16'!D78="-",'A-16'!D103="-"),"-",SUM('A-16'!D26,'A-16'!D52,'A-16'!D78,'A-16'!D103))</f>
        <v>0</v>
      </c>
      <c r="D51" s="18">
        <f>IF(AND('A-16'!E26="-",'A-16'!E52="-",'A-16'!E78="-",'A-16'!E103="-"),"-",SUM('A-16'!E26,'A-16'!E52,'A-16'!E78,'A-16'!E103))</f>
        <v>243</v>
      </c>
      <c r="E51" s="18">
        <f>IF(AND('A-16'!F26="-",'A-16'!F52="-",'A-16'!F78="-",'A-16'!F103="-"),"-",SUM('A-16'!F26,'A-16'!F52,'A-16'!F78,'A-16'!F103))</f>
        <v>270</v>
      </c>
      <c r="F51" s="18">
        <f>IF(AND('A-16'!G26="-",'A-16'!G52="-",'A-16'!G78="-",'A-16'!G103="-"),"-",SUM('A-16'!G26,'A-16'!G52,'A-16'!G78,'A-16'!G103))</f>
        <v>0</v>
      </c>
      <c r="G51" s="18">
        <f>IF(AND('A-16'!H26="-",'A-16'!H52="-",'A-16'!H78="-",'A-16'!H103="-"),"-",SUM('A-16'!H26,'A-16'!H52,'A-16'!H78,'A-16'!H103))</f>
        <v>0</v>
      </c>
      <c r="H51" s="18">
        <f>IF(AND('A-16'!J26="-",'A-16'!J52="-",'A-16'!J78="-",'A-16'!J103="-"),"-",SUM('A-16'!J26,'A-16'!J52,'A-16'!J78,'A-16'!J103))</f>
        <v>513</v>
      </c>
    </row>
    <row r="52" spans="1:8" ht="11.25" customHeight="1">
      <c r="A52" s="99" t="s">
        <v>314</v>
      </c>
      <c r="B52" s="18">
        <f>IF(AND('A-16'!C27="-",'A-16'!C53="-",'A-16'!C79="-",'A-16'!C104="-"),"-",SUM('A-16'!C27,'A-16'!C53,'A-16'!C79,'A-16'!C104))</f>
        <v>0</v>
      </c>
      <c r="C52" s="18">
        <f>IF(AND('A-16'!D27="-",'A-16'!D53="-",'A-16'!D79="-",'A-16'!D104="-"),"-",SUM('A-16'!D27,'A-16'!D53,'A-16'!D79,'A-16'!D104))</f>
        <v>0</v>
      </c>
      <c r="D52" s="18">
        <f>IF(AND('A-16'!E27="-",'A-16'!E53="-",'A-16'!E79="-",'A-16'!E104="-"),"-",SUM('A-16'!E27,'A-16'!E53,'A-16'!E79,'A-16'!E104))</f>
        <v>17</v>
      </c>
      <c r="E52" s="18">
        <f>IF(AND('A-16'!F27="-",'A-16'!F53="-",'A-16'!F79="-",'A-16'!F104="-"),"-",SUM('A-16'!F27,'A-16'!F53,'A-16'!F79,'A-16'!F104))</f>
        <v>41</v>
      </c>
      <c r="F52" s="18">
        <f>IF(AND('A-16'!G27="-",'A-16'!G53="-",'A-16'!G79="-",'A-16'!G104="-"),"-",SUM('A-16'!G27,'A-16'!G53,'A-16'!G79,'A-16'!G104))</f>
        <v>0</v>
      </c>
      <c r="G52" s="18">
        <f>IF(AND('A-16'!H27="-",'A-16'!H53="-",'A-16'!H79="-",'A-16'!H104="-"),"-",SUM('A-16'!H27,'A-16'!H53,'A-16'!H79,'A-16'!H104))</f>
        <v>0</v>
      </c>
      <c r="H52" s="18">
        <f>IF(AND('A-16'!J27="-",'A-16'!J53="-",'A-16'!J79="-",'A-16'!J104="-"),"-",SUM('A-16'!J27,'A-16'!J53,'A-16'!J79,'A-16'!J104))</f>
        <v>58</v>
      </c>
    </row>
    <row r="53" spans="1:8" ht="11.25" customHeight="1"/>
    <row r="54" spans="1:8" ht="11.25" customHeight="1">
      <c r="A54" s="103" t="s">
        <v>248</v>
      </c>
      <c r="B54" s="104"/>
      <c r="C54" s="104"/>
      <c r="D54" s="104"/>
    </row>
    <row r="55" spans="1:8" ht="11.25" customHeight="1">
      <c r="A55" s="99">
        <v>1977</v>
      </c>
      <c r="B55" s="18">
        <f t="shared" ref="B55:H64" si="0">IF(AND(B5="-",B30="-"),"-",SUM(B5,B30))</f>
        <v>1144</v>
      </c>
      <c r="C55" s="18">
        <f t="shared" si="0"/>
        <v>2299</v>
      </c>
      <c r="D55" s="18">
        <f t="shared" si="0"/>
        <v>99773</v>
      </c>
      <c r="E55" s="18">
        <f t="shared" si="0"/>
        <v>165097</v>
      </c>
      <c r="F55" s="18">
        <f t="shared" si="0"/>
        <v>8350</v>
      </c>
      <c r="G55" s="18">
        <f t="shared" si="0"/>
        <v>0</v>
      </c>
      <c r="H55" s="18">
        <f t="shared" si="0"/>
        <v>276663</v>
      </c>
    </row>
    <row r="56" spans="1:8" ht="11.25" customHeight="1">
      <c r="A56" s="99">
        <v>1979</v>
      </c>
      <c r="B56" s="18">
        <f t="shared" si="0"/>
        <v>83</v>
      </c>
      <c r="C56" s="18">
        <f t="shared" si="0"/>
        <v>1687</v>
      </c>
      <c r="D56" s="18">
        <f t="shared" si="0"/>
        <v>92076</v>
      </c>
      <c r="E56" s="18">
        <f t="shared" si="0"/>
        <v>458251</v>
      </c>
      <c r="F56" s="18">
        <f t="shared" si="0"/>
        <v>1186</v>
      </c>
      <c r="G56" s="18">
        <f t="shared" si="0"/>
        <v>0</v>
      </c>
      <c r="H56" s="18">
        <f t="shared" si="0"/>
        <v>553283</v>
      </c>
    </row>
    <row r="57" spans="1:8" ht="11.25" customHeight="1">
      <c r="A57" s="99">
        <v>1981</v>
      </c>
      <c r="B57" s="18">
        <f t="shared" si="0"/>
        <v>677</v>
      </c>
      <c r="C57" s="18">
        <f t="shared" si="0"/>
        <v>309</v>
      </c>
      <c r="D57" s="18">
        <f t="shared" si="0"/>
        <v>66981</v>
      </c>
      <c r="E57" s="18">
        <f t="shared" si="0"/>
        <v>164708</v>
      </c>
      <c r="F57" s="18">
        <f t="shared" si="0"/>
        <v>441</v>
      </c>
      <c r="G57" s="18">
        <f t="shared" si="0"/>
        <v>0</v>
      </c>
      <c r="H57" s="18">
        <f t="shared" si="0"/>
        <v>233116</v>
      </c>
    </row>
    <row r="58" spans="1:8" ht="11.25" customHeight="1">
      <c r="A58" s="99">
        <v>1983</v>
      </c>
      <c r="B58" s="18">
        <f t="shared" si="0"/>
        <v>2</v>
      </c>
      <c r="C58" s="18">
        <f t="shared" si="0"/>
        <v>37</v>
      </c>
      <c r="D58" s="18">
        <f t="shared" si="0"/>
        <v>80654</v>
      </c>
      <c r="E58" s="18">
        <f t="shared" si="0"/>
        <v>23975</v>
      </c>
      <c r="F58" s="18">
        <f t="shared" si="0"/>
        <v>647</v>
      </c>
      <c r="G58" s="18">
        <f t="shared" si="0"/>
        <v>0</v>
      </c>
      <c r="H58" s="18">
        <f t="shared" si="0"/>
        <v>105315</v>
      </c>
    </row>
    <row r="59" spans="1:8" ht="11.25" customHeight="1">
      <c r="A59" s="99">
        <v>1985</v>
      </c>
      <c r="B59" s="18">
        <f t="shared" si="0"/>
        <v>107</v>
      </c>
      <c r="C59" s="18">
        <f t="shared" si="0"/>
        <v>395</v>
      </c>
      <c r="D59" s="18">
        <f t="shared" si="0"/>
        <v>10762</v>
      </c>
      <c r="E59" s="18">
        <f t="shared" si="0"/>
        <v>95710</v>
      </c>
      <c r="F59" s="18">
        <f t="shared" si="0"/>
        <v>703</v>
      </c>
      <c r="G59" s="18">
        <f t="shared" si="0"/>
        <v>0</v>
      </c>
      <c r="H59" s="18">
        <f t="shared" si="0"/>
        <v>107677</v>
      </c>
    </row>
    <row r="60" spans="1:8" ht="11.25" customHeight="1">
      <c r="A60" s="99">
        <v>1987</v>
      </c>
      <c r="B60" s="18">
        <f t="shared" si="0"/>
        <v>4</v>
      </c>
      <c r="C60" s="18">
        <f t="shared" si="0"/>
        <v>0</v>
      </c>
      <c r="D60" s="18">
        <f t="shared" si="0"/>
        <v>13418</v>
      </c>
      <c r="E60" s="18">
        <f t="shared" si="0"/>
        <v>5840</v>
      </c>
      <c r="F60" s="18">
        <f t="shared" si="0"/>
        <v>0</v>
      </c>
      <c r="G60" s="18">
        <f t="shared" si="0"/>
        <v>0</v>
      </c>
      <c r="H60" s="18">
        <f t="shared" si="0"/>
        <v>19262</v>
      </c>
    </row>
    <row r="61" spans="1:8" ht="11.25" customHeight="1">
      <c r="A61" s="99">
        <v>1989</v>
      </c>
      <c r="B61" s="18">
        <f t="shared" si="0"/>
        <v>235</v>
      </c>
      <c r="C61" s="18">
        <f t="shared" si="0"/>
        <v>202</v>
      </c>
      <c r="D61" s="18">
        <f t="shared" si="0"/>
        <v>7206</v>
      </c>
      <c r="E61" s="18">
        <f t="shared" si="0"/>
        <v>38953</v>
      </c>
      <c r="F61" s="18">
        <f t="shared" si="0"/>
        <v>1182</v>
      </c>
      <c r="G61" s="18">
        <f t="shared" si="0"/>
        <v>0</v>
      </c>
      <c r="H61" s="18">
        <f t="shared" si="0"/>
        <v>47778</v>
      </c>
    </row>
    <row r="62" spans="1:8" ht="11.25" customHeight="1">
      <c r="A62" s="99">
        <v>1991</v>
      </c>
      <c r="B62" s="18">
        <f t="shared" si="0"/>
        <v>4</v>
      </c>
      <c r="C62" s="18">
        <f t="shared" si="0"/>
        <v>19</v>
      </c>
      <c r="D62" s="18">
        <f t="shared" si="0"/>
        <v>1148</v>
      </c>
      <c r="E62" s="18">
        <f t="shared" si="0"/>
        <v>46564</v>
      </c>
      <c r="F62" s="18">
        <f t="shared" si="0"/>
        <v>295</v>
      </c>
      <c r="G62" s="18">
        <f t="shared" si="0"/>
        <v>0</v>
      </c>
      <c r="H62" s="18">
        <f t="shared" si="0"/>
        <v>48030</v>
      </c>
    </row>
    <row r="63" spans="1:8" ht="11.25" customHeight="1">
      <c r="A63" s="99">
        <v>1993</v>
      </c>
      <c r="B63" s="18">
        <f t="shared" si="0"/>
        <v>16</v>
      </c>
      <c r="C63" s="18">
        <f t="shared" si="0"/>
        <v>1</v>
      </c>
      <c r="D63" s="18">
        <f t="shared" si="0"/>
        <v>437</v>
      </c>
      <c r="E63" s="18">
        <f t="shared" si="0"/>
        <v>5014</v>
      </c>
      <c r="F63" s="18">
        <f t="shared" si="0"/>
        <v>786</v>
      </c>
      <c r="G63" s="18">
        <f t="shared" si="0"/>
        <v>0</v>
      </c>
      <c r="H63" s="18">
        <f t="shared" si="0"/>
        <v>6254</v>
      </c>
    </row>
    <row r="64" spans="1:8" ht="11.25" customHeight="1">
      <c r="A64" s="99">
        <v>1995</v>
      </c>
      <c r="B64" s="18">
        <f t="shared" si="0"/>
        <v>0</v>
      </c>
      <c r="C64" s="18">
        <f t="shared" si="0"/>
        <v>0</v>
      </c>
      <c r="D64" s="18">
        <f t="shared" si="0"/>
        <v>0</v>
      </c>
      <c r="E64" s="18">
        <f t="shared" si="0"/>
        <v>41000</v>
      </c>
      <c r="F64" s="18">
        <f t="shared" si="0"/>
        <v>872</v>
      </c>
      <c r="G64" s="18">
        <f t="shared" si="0"/>
        <v>0</v>
      </c>
      <c r="H64" s="18">
        <f t="shared" si="0"/>
        <v>41872</v>
      </c>
    </row>
    <row r="65" spans="1:16" ht="11.25" customHeight="1">
      <c r="A65" s="99">
        <v>1997</v>
      </c>
      <c r="B65" s="18">
        <f t="shared" ref="B65:H74" si="1">IF(AND(B15="-",B40="-"),"-",SUM(B15,B40))</f>
        <v>2</v>
      </c>
      <c r="C65" s="18">
        <f t="shared" si="1"/>
        <v>3</v>
      </c>
      <c r="D65" s="18">
        <f t="shared" si="1"/>
        <v>0</v>
      </c>
      <c r="E65" s="18">
        <f t="shared" si="1"/>
        <v>1757</v>
      </c>
      <c r="F65" s="18">
        <f t="shared" si="1"/>
        <v>53</v>
      </c>
      <c r="G65" s="18" t="str">
        <f t="shared" si="1"/>
        <v>-</v>
      </c>
      <c r="H65" s="18">
        <f t="shared" si="1"/>
        <v>1815</v>
      </c>
    </row>
    <row r="66" spans="1:16" ht="11.25" customHeight="1">
      <c r="A66" s="99">
        <v>1999</v>
      </c>
      <c r="B66" s="18">
        <f t="shared" si="1"/>
        <v>0</v>
      </c>
      <c r="C66" s="18">
        <f t="shared" si="1"/>
        <v>1</v>
      </c>
      <c r="D66" s="18">
        <f t="shared" si="1"/>
        <v>31</v>
      </c>
      <c r="E66" s="18">
        <f t="shared" si="1"/>
        <v>1409</v>
      </c>
      <c r="F66" s="18">
        <f t="shared" si="1"/>
        <v>108</v>
      </c>
      <c r="G66" s="18" t="str">
        <f t="shared" si="1"/>
        <v>-</v>
      </c>
      <c r="H66" s="18">
        <f t="shared" si="1"/>
        <v>1549</v>
      </c>
    </row>
    <row r="67" spans="1:16" ht="11.25" customHeight="1">
      <c r="A67" s="99">
        <v>2001</v>
      </c>
      <c r="B67" s="18">
        <f t="shared" si="1"/>
        <v>12</v>
      </c>
      <c r="C67" s="18">
        <f t="shared" si="1"/>
        <v>9</v>
      </c>
      <c r="D67" s="18">
        <f t="shared" si="1"/>
        <v>716</v>
      </c>
      <c r="E67" s="18">
        <f t="shared" si="1"/>
        <v>1537</v>
      </c>
      <c r="F67" s="18">
        <f t="shared" si="1"/>
        <v>207</v>
      </c>
      <c r="G67" s="18" t="str">
        <f t="shared" si="1"/>
        <v>-</v>
      </c>
      <c r="H67" s="18">
        <f t="shared" si="1"/>
        <v>2481</v>
      </c>
    </row>
    <row r="68" spans="1:16" ht="11.25" customHeight="1">
      <c r="A68" s="99">
        <v>2003</v>
      </c>
      <c r="B68" s="18">
        <f t="shared" si="1"/>
        <v>0</v>
      </c>
      <c r="C68" s="18">
        <f t="shared" si="1"/>
        <v>0</v>
      </c>
      <c r="D68" s="18">
        <f t="shared" si="1"/>
        <v>314</v>
      </c>
      <c r="E68" s="18">
        <f t="shared" si="1"/>
        <v>104</v>
      </c>
      <c r="F68" s="18">
        <f t="shared" si="1"/>
        <v>33</v>
      </c>
      <c r="G68" s="18">
        <f t="shared" si="1"/>
        <v>0</v>
      </c>
      <c r="H68" s="18">
        <f t="shared" si="1"/>
        <v>451</v>
      </c>
    </row>
    <row r="69" spans="1:16" ht="11.25" customHeight="1">
      <c r="A69" s="99">
        <v>2005</v>
      </c>
      <c r="B69" s="18">
        <f t="shared" si="1"/>
        <v>4</v>
      </c>
      <c r="C69" s="18">
        <f t="shared" si="1"/>
        <v>0</v>
      </c>
      <c r="D69" s="18">
        <f t="shared" si="1"/>
        <v>188</v>
      </c>
      <c r="E69" s="18">
        <f t="shared" si="1"/>
        <v>200</v>
      </c>
      <c r="F69" s="18">
        <f t="shared" si="1"/>
        <v>3</v>
      </c>
      <c r="G69" s="18">
        <f t="shared" si="1"/>
        <v>0</v>
      </c>
      <c r="H69" s="18">
        <f t="shared" si="1"/>
        <v>395</v>
      </c>
    </row>
    <row r="70" spans="1:16" ht="11.25" customHeight="1">
      <c r="A70" s="99">
        <v>2007</v>
      </c>
      <c r="B70" s="18">
        <f t="shared" si="1"/>
        <v>8</v>
      </c>
      <c r="C70" s="18">
        <f t="shared" si="1"/>
        <v>26</v>
      </c>
      <c r="D70" s="18">
        <f t="shared" si="1"/>
        <v>445</v>
      </c>
      <c r="E70" s="18">
        <f t="shared" si="1"/>
        <v>252</v>
      </c>
      <c r="F70" s="18">
        <f t="shared" si="1"/>
        <v>0</v>
      </c>
      <c r="G70" s="18">
        <f t="shared" si="1"/>
        <v>0</v>
      </c>
      <c r="H70" s="18">
        <f t="shared" si="1"/>
        <v>731</v>
      </c>
    </row>
    <row r="71" spans="1:16" ht="11.25" customHeight="1">
      <c r="A71" s="99">
        <v>2009</v>
      </c>
      <c r="B71" s="18">
        <f t="shared" si="1"/>
        <v>1</v>
      </c>
      <c r="C71" s="18">
        <f t="shared" si="1"/>
        <v>14</v>
      </c>
      <c r="D71" s="18">
        <f t="shared" si="1"/>
        <v>513</v>
      </c>
      <c r="E71" s="18">
        <f t="shared" si="1"/>
        <v>406</v>
      </c>
      <c r="F71" s="18">
        <f t="shared" si="1"/>
        <v>1</v>
      </c>
      <c r="G71" s="18">
        <f t="shared" si="1"/>
        <v>0</v>
      </c>
      <c r="H71" s="18">
        <f t="shared" si="1"/>
        <v>935</v>
      </c>
    </row>
    <row r="72" spans="1:16" ht="11.25" customHeight="1">
      <c r="A72" s="99">
        <v>2011</v>
      </c>
      <c r="B72" s="18">
        <f t="shared" si="1"/>
        <v>0</v>
      </c>
      <c r="C72" s="18">
        <f t="shared" si="1"/>
        <v>6</v>
      </c>
      <c r="D72" s="18">
        <f t="shared" si="1"/>
        <v>721</v>
      </c>
      <c r="E72" s="18">
        <f t="shared" si="1"/>
        <v>452</v>
      </c>
      <c r="F72" s="18">
        <f t="shared" si="1"/>
        <v>109</v>
      </c>
      <c r="G72" s="18">
        <f t="shared" si="1"/>
        <v>1</v>
      </c>
      <c r="H72" s="18">
        <f t="shared" si="1"/>
        <v>1289</v>
      </c>
    </row>
    <row r="73" spans="1:16" ht="11.25" customHeight="1">
      <c r="A73" s="99">
        <v>2013</v>
      </c>
      <c r="B73" s="18">
        <f t="shared" si="1"/>
        <v>0</v>
      </c>
      <c r="C73" s="18">
        <f t="shared" si="1"/>
        <v>2</v>
      </c>
      <c r="D73" s="18">
        <f t="shared" si="1"/>
        <v>89</v>
      </c>
      <c r="E73" s="18">
        <f t="shared" si="1"/>
        <v>221</v>
      </c>
      <c r="F73" s="18">
        <f t="shared" si="1"/>
        <v>37</v>
      </c>
      <c r="G73" s="18">
        <f t="shared" si="1"/>
        <v>1</v>
      </c>
      <c r="H73" s="18">
        <f t="shared" si="1"/>
        <v>350</v>
      </c>
    </row>
    <row r="74" spans="1:16" ht="11.25" customHeight="1">
      <c r="A74" s="99">
        <v>2015</v>
      </c>
      <c r="B74" s="18">
        <f t="shared" si="1"/>
        <v>0</v>
      </c>
      <c r="C74" s="18">
        <f t="shared" si="1"/>
        <v>7</v>
      </c>
      <c r="D74" s="18">
        <f t="shared" si="1"/>
        <v>118</v>
      </c>
      <c r="E74" s="18">
        <f t="shared" si="1"/>
        <v>65</v>
      </c>
      <c r="F74" s="18">
        <f t="shared" si="1"/>
        <v>0</v>
      </c>
      <c r="G74" s="18">
        <f t="shared" si="1"/>
        <v>0</v>
      </c>
      <c r="H74" s="18">
        <f t="shared" si="1"/>
        <v>190</v>
      </c>
    </row>
    <row r="75" spans="1:16" ht="11.25" customHeight="1">
      <c r="A75" s="99">
        <v>2017</v>
      </c>
      <c r="B75" s="18">
        <f t="shared" ref="B75:H75" si="2">IF(AND(B25="-",B50="-"),"-",SUM(B25,B50))</f>
        <v>0</v>
      </c>
      <c r="C75" s="18">
        <f t="shared" si="2"/>
        <v>0</v>
      </c>
      <c r="D75" s="18">
        <f t="shared" si="2"/>
        <v>71</v>
      </c>
      <c r="E75" s="18">
        <f t="shared" si="2"/>
        <v>137</v>
      </c>
      <c r="F75" s="18">
        <f t="shared" si="2"/>
        <v>0</v>
      </c>
      <c r="G75" s="18">
        <f t="shared" si="2"/>
        <v>13</v>
      </c>
      <c r="H75" s="18">
        <f t="shared" si="2"/>
        <v>195</v>
      </c>
    </row>
    <row r="76" spans="1:16" ht="11.25" customHeight="1">
      <c r="A76" s="99">
        <v>2019</v>
      </c>
      <c r="B76" s="18">
        <f t="shared" ref="B76:G77" si="3">IF(AND(B26="-",B51="-"),"-",SUM(B26,B51))</f>
        <v>0</v>
      </c>
      <c r="C76" s="18">
        <f t="shared" si="3"/>
        <v>0</v>
      </c>
      <c r="D76" s="18">
        <f t="shared" si="3"/>
        <v>726</v>
      </c>
      <c r="E76" s="18">
        <f t="shared" si="3"/>
        <v>270</v>
      </c>
      <c r="F76" s="18">
        <f t="shared" si="3"/>
        <v>0</v>
      </c>
      <c r="G76" s="18">
        <f t="shared" si="3"/>
        <v>0</v>
      </c>
      <c r="H76" s="18">
        <f>IF(AND(H26="-",H51="-"),"-",SUM(H26,H51))</f>
        <v>996</v>
      </c>
    </row>
    <row r="77" spans="1:16" ht="11.25" customHeight="1">
      <c r="A77" s="99" t="s">
        <v>314</v>
      </c>
      <c r="B77" s="18">
        <f t="shared" si="3"/>
        <v>0</v>
      </c>
      <c r="C77" s="18">
        <f t="shared" si="3"/>
        <v>0</v>
      </c>
      <c r="D77" s="18">
        <f t="shared" si="3"/>
        <v>21</v>
      </c>
      <c r="E77" s="18">
        <f t="shared" si="3"/>
        <v>70</v>
      </c>
      <c r="F77" s="18">
        <f t="shared" si="3"/>
        <v>0</v>
      </c>
      <c r="G77" s="18">
        <f t="shared" si="3"/>
        <v>0</v>
      </c>
      <c r="H77" s="18">
        <f>IF(AND(H27="-",H52="-"),"-",SUM(H27,H52))</f>
        <v>91</v>
      </c>
    </row>
    <row r="78" spans="1:16" ht="11.25" customHeight="1">
      <c r="I78" s="183"/>
      <c r="J78" s="183" t="s">
        <v>184</v>
      </c>
      <c r="K78" s="183"/>
      <c r="L78" s="183"/>
      <c r="M78" s="183"/>
      <c r="N78" s="183"/>
      <c r="O78" s="183"/>
      <c r="P78" s="183"/>
    </row>
    <row r="79" spans="1:16" ht="11.25" customHeight="1">
      <c r="A79" s="94" t="s">
        <v>86</v>
      </c>
      <c r="J79" s="31" t="s">
        <v>94</v>
      </c>
      <c r="K79" s="31" t="s">
        <v>30</v>
      </c>
      <c r="L79" s="31" t="s">
        <v>95</v>
      </c>
      <c r="M79" s="31" t="s">
        <v>96</v>
      </c>
      <c r="N79" s="31" t="s">
        <v>97</v>
      </c>
      <c r="O79" s="31" t="s">
        <v>98</v>
      </c>
      <c r="P79" s="31" t="s">
        <v>22</v>
      </c>
    </row>
    <row r="80" spans="1:16" ht="11.25" customHeight="1">
      <c r="A80" s="99">
        <v>1977</v>
      </c>
      <c r="B80" s="18">
        <v>10</v>
      </c>
      <c r="C80" s="18">
        <v>71</v>
      </c>
      <c r="D80" s="18">
        <v>4031</v>
      </c>
      <c r="E80" s="18">
        <v>2929</v>
      </c>
      <c r="F80" s="18">
        <v>846</v>
      </c>
      <c r="G80" s="18" t="s">
        <v>23</v>
      </c>
      <c r="H80" s="18">
        <f>SUM(B80:F80)</f>
        <v>7887</v>
      </c>
      <c r="I80" s="99">
        <f>A80</f>
        <v>1977</v>
      </c>
      <c r="J80" s="1">
        <v>0</v>
      </c>
      <c r="K80" s="1">
        <v>61</v>
      </c>
      <c r="L80" s="1">
        <v>1937</v>
      </c>
      <c r="M80" s="1">
        <v>1869</v>
      </c>
      <c r="N80" s="1">
        <v>60</v>
      </c>
      <c r="O80" s="31" t="s">
        <v>23</v>
      </c>
      <c r="P80" s="1">
        <f>SUM(J80:O80)</f>
        <v>3927</v>
      </c>
    </row>
    <row r="81" spans="1:16" ht="11.25" customHeight="1">
      <c r="A81" s="99">
        <v>1979</v>
      </c>
      <c r="B81" s="18">
        <v>0</v>
      </c>
      <c r="C81" s="18">
        <v>0</v>
      </c>
      <c r="D81" s="18">
        <v>2189</v>
      </c>
      <c r="E81" s="18">
        <v>4667</v>
      </c>
      <c r="F81" s="18">
        <v>1257</v>
      </c>
      <c r="G81" s="18" t="s">
        <v>23</v>
      </c>
      <c r="H81" s="18">
        <f t="shared" ref="H81:H94" si="4">SUM(B81:F81)</f>
        <v>8113</v>
      </c>
      <c r="I81" s="99">
        <f t="shared" ref="I81:I102" si="5">A81</f>
        <v>1979</v>
      </c>
      <c r="J81" s="1">
        <v>0</v>
      </c>
      <c r="K81" s="1">
        <v>0</v>
      </c>
      <c r="L81" s="1">
        <v>649</v>
      </c>
      <c r="M81" s="1">
        <v>3031</v>
      </c>
      <c r="N81" s="1">
        <v>1197</v>
      </c>
      <c r="O81" s="31" t="s">
        <v>23</v>
      </c>
      <c r="P81" s="1">
        <f t="shared" ref="P81:P94" si="6">SUM(J81:O81)</f>
        <v>4877</v>
      </c>
    </row>
    <row r="82" spans="1:16" ht="11.25" customHeight="1">
      <c r="A82" s="99">
        <v>1981</v>
      </c>
      <c r="B82" s="18">
        <v>12</v>
      </c>
      <c r="C82" s="18">
        <v>11</v>
      </c>
      <c r="D82" s="18">
        <v>2525</v>
      </c>
      <c r="E82" s="18">
        <v>2474</v>
      </c>
      <c r="F82" s="18">
        <v>0</v>
      </c>
      <c r="G82" s="18" t="s">
        <v>23</v>
      </c>
      <c r="H82" s="18">
        <f t="shared" si="4"/>
        <v>5022</v>
      </c>
      <c r="I82" s="99">
        <f t="shared" si="5"/>
        <v>1981</v>
      </c>
      <c r="J82" s="1">
        <v>4</v>
      </c>
      <c r="K82" s="1">
        <v>11</v>
      </c>
      <c r="L82" s="1">
        <v>663</v>
      </c>
      <c r="M82" s="1">
        <v>1541</v>
      </c>
      <c r="N82" s="1">
        <v>0</v>
      </c>
      <c r="O82" s="31" t="s">
        <v>23</v>
      </c>
      <c r="P82" s="1">
        <f t="shared" si="6"/>
        <v>2219</v>
      </c>
    </row>
    <row r="83" spans="1:16" ht="11.25" customHeight="1">
      <c r="A83" s="99">
        <v>1983</v>
      </c>
      <c r="B83" s="18">
        <v>0</v>
      </c>
      <c r="C83" s="18">
        <v>0</v>
      </c>
      <c r="D83" s="18">
        <v>2</v>
      </c>
      <c r="E83" s="18">
        <v>8</v>
      </c>
      <c r="F83" s="18">
        <v>1</v>
      </c>
      <c r="G83" s="18" t="s">
        <v>23</v>
      </c>
      <c r="H83" s="18">
        <f t="shared" si="4"/>
        <v>11</v>
      </c>
      <c r="I83" s="99">
        <f t="shared" si="5"/>
        <v>1983</v>
      </c>
      <c r="J83" s="1">
        <v>0</v>
      </c>
      <c r="K83" s="1">
        <v>0</v>
      </c>
      <c r="L83" s="1">
        <v>2</v>
      </c>
      <c r="M83" s="1">
        <v>0</v>
      </c>
      <c r="N83" s="1">
        <v>1</v>
      </c>
      <c r="O83" s="31" t="s">
        <v>23</v>
      </c>
      <c r="P83" s="1">
        <f t="shared" si="6"/>
        <v>3</v>
      </c>
    </row>
    <row r="84" spans="1:16" ht="11.25" customHeight="1">
      <c r="A84" s="99">
        <v>1985</v>
      </c>
      <c r="B84" s="18">
        <v>3</v>
      </c>
      <c r="C84" s="18">
        <v>0</v>
      </c>
      <c r="D84" s="18">
        <v>0</v>
      </c>
      <c r="E84" s="18">
        <v>4498</v>
      </c>
      <c r="F84" s="18">
        <v>0</v>
      </c>
      <c r="G84" s="18" t="s">
        <v>23</v>
      </c>
      <c r="H84" s="18">
        <f t="shared" si="4"/>
        <v>4501</v>
      </c>
      <c r="I84" s="99">
        <f t="shared" si="5"/>
        <v>1985</v>
      </c>
      <c r="J84" s="1">
        <v>0</v>
      </c>
      <c r="K84" s="1">
        <v>0</v>
      </c>
      <c r="L84" s="1">
        <v>0</v>
      </c>
      <c r="M84" s="1">
        <v>3497</v>
      </c>
      <c r="N84" s="1">
        <v>0</v>
      </c>
      <c r="O84" s="31" t="s">
        <v>23</v>
      </c>
      <c r="P84" s="1">
        <f t="shared" si="6"/>
        <v>3497</v>
      </c>
    </row>
    <row r="85" spans="1:16" ht="11.25" customHeight="1">
      <c r="A85" s="99">
        <v>1987</v>
      </c>
      <c r="B85" s="18">
        <v>0</v>
      </c>
      <c r="C85" s="18">
        <v>0</v>
      </c>
      <c r="D85" s="18">
        <v>218</v>
      </c>
      <c r="E85" s="18">
        <v>0</v>
      </c>
      <c r="F85" s="18">
        <v>0</v>
      </c>
      <c r="G85" s="18" t="s">
        <v>23</v>
      </c>
      <c r="H85" s="18">
        <f t="shared" si="4"/>
        <v>218</v>
      </c>
      <c r="I85" s="99">
        <f t="shared" si="5"/>
        <v>1987</v>
      </c>
      <c r="J85" s="1">
        <v>0</v>
      </c>
      <c r="K85" s="1">
        <v>0</v>
      </c>
      <c r="L85" s="1">
        <v>131</v>
      </c>
      <c r="M85" s="1">
        <v>0</v>
      </c>
      <c r="N85" s="1">
        <v>0</v>
      </c>
      <c r="O85" s="31" t="s">
        <v>23</v>
      </c>
      <c r="P85" s="1">
        <f t="shared" si="6"/>
        <v>131</v>
      </c>
    </row>
    <row r="86" spans="1:16" ht="11.25" customHeight="1">
      <c r="A86" s="99">
        <v>1989</v>
      </c>
      <c r="B86" s="18">
        <v>0</v>
      </c>
      <c r="C86" s="18">
        <v>0</v>
      </c>
      <c r="D86" s="18">
        <v>0</v>
      </c>
      <c r="E86" s="18">
        <v>2</v>
      </c>
      <c r="F86" s="18">
        <v>2</v>
      </c>
      <c r="G86" s="18" t="s">
        <v>23</v>
      </c>
      <c r="H86" s="18">
        <f t="shared" si="4"/>
        <v>4</v>
      </c>
      <c r="I86" s="99">
        <f t="shared" si="5"/>
        <v>1989</v>
      </c>
      <c r="J86" s="1">
        <v>0</v>
      </c>
      <c r="K86" s="1">
        <v>0</v>
      </c>
      <c r="L86" s="1">
        <v>0</v>
      </c>
      <c r="M86" s="1">
        <v>1</v>
      </c>
      <c r="N86" s="1">
        <v>1</v>
      </c>
      <c r="O86" s="31" t="s">
        <v>23</v>
      </c>
      <c r="P86" s="1">
        <f t="shared" si="6"/>
        <v>2</v>
      </c>
    </row>
    <row r="87" spans="1:16" ht="11.25" customHeight="1">
      <c r="A87" s="99">
        <v>1991</v>
      </c>
      <c r="B87" s="18">
        <v>0</v>
      </c>
      <c r="C87" s="18">
        <v>0</v>
      </c>
      <c r="D87" s="18">
        <v>0</v>
      </c>
      <c r="E87" s="18">
        <v>165</v>
      </c>
      <c r="F87" s="18">
        <v>0</v>
      </c>
      <c r="G87" s="18" t="s">
        <v>23</v>
      </c>
      <c r="H87" s="18">
        <f t="shared" si="4"/>
        <v>165</v>
      </c>
      <c r="I87" s="99">
        <f t="shared" si="5"/>
        <v>1991</v>
      </c>
      <c r="J87" s="1">
        <v>0</v>
      </c>
      <c r="K87" s="1">
        <v>0</v>
      </c>
      <c r="L87" s="1">
        <v>0</v>
      </c>
      <c r="M87" s="1">
        <v>106</v>
      </c>
      <c r="N87" s="1">
        <v>0</v>
      </c>
      <c r="O87" s="31" t="s">
        <v>23</v>
      </c>
      <c r="P87" s="1">
        <f t="shared" si="6"/>
        <v>106</v>
      </c>
    </row>
    <row r="88" spans="1:16" ht="11.25" customHeight="1">
      <c r="A88" s="99">
        <v>1993</v>
      </c>
      <c r="B88" s="18">
        <v>0</v>
      </c>
      <c r="C88" s="18">
        <v>0</v>
      </c>
      <c r="D88" s="18">
        <v>0</v>
      </c>
      <c r="E88" s="18">
        <v>0</v>
      </c>
      <c r="F88" s="18">
        <v>0</v>
      </c>
      <c r="G88" s="18" t="s">
        <v>23</v>
      </c>
      <c r="H88" s="18">
        <f t="shared" si="4"/>
        <v>0</v>
      </c>
      <c r="I88" s="99">
        <f t="shared" si="5"/>
        <v>1993</v>
      </c>
      <c r="J88" s="1">
        <v>0</v>
      </c>
      <c r="K88" s="1">
        <v>0</v>
      </c>
      <c r="L88" s="1">
        <v>0</v>
      </c>
      <c r="M88" s="1">
        <v>0</v>
      </c>
      <c r="N88" s="1">
        <v>0</v>
      </c>
      <c r="O88" s="31" t="s">
        <v>23</v>
      </c>
      <c r="P88" s="1">
        <f t="shared" si="6"/>
        <v>0</v>
      </c>
    </row>
    <row r="89" spans="1:16" ht="11.25" customHeight="1">
      <c r="A89" s="99">
        <v>1995</v>
      </c>
      <c r="B89" s="18">
        <v>0</v>
      </c>
      <c r="C89" s="18">
        <v>0</v>
      </c>
      <c r="D89" s="18">
        <v>0</v>
      </c>
      <c r="E89" s="18">
        <v>0</v>
      </c>
      <c r="F89" s="18">
        <v>0</v>
      </c>
      <c r="G89" s="18" t="s">
        <v>23</v>
      </c>
      <c r="H89" s="18">
        <f t="shared" si="4"/>
        <v>0</v>
      </c>
      <c r="I89" s="99">
        <f t="shared" si="5"/>
        <v>1995</v>
      </c>
      <c r="J89" s="1">
        <v>0</v>
      </c>
      <c r="K89" s="1">
        <v>0</v>
      </c>
      <c r="L89" s="1">
        <v>0</v>
      </c>
      <c r="M89" s="1">
        <v>0</v>
      </c>
      <c r="N89" s="1">
        <v>0</v>
      </c>
      <c r="O89" s="31" t="s">
        <v>23</v>
      </c>
      <c r="P89" s="1">
        <f t="shared" si="6"/>
        <v>0</v>
      </c>
    </row>
    <row r="90" spans="1:16" ht="11.25" customHeight="1">
      <c r="A90" s="99">
        <v>1997</v>
      </c>
      <c r="B90" s="18">
        <v>0</v>
      </c>
      <c r="C90" s="18">
        <v>0</v>
      </c>
      <c r="D90" s="18">
        <v>0</v>
      </c>
      <c r="E90" s="18">
        <v>0</v>
      </c>
      <c r="F90" s="18">
        <v>0</v>
      </c>
      <c r="G90" s="18" t="s">
        <v>23</v>
      </c>
      <c r="H90" s="18">
        <f t="shared" si="4"/>
        <v>0</v>
      </c>
      <c r="I90" s="99">
        <f t="shared" si="5"/>
        <v>1997</v>
      </c>
      <c r="J90" s="1">
        <v>0</v>
      </c>
      <c r="K90" s="1">
        <v>0</v>
      </c>
      <c r="L90" s="1">
        <v>0</v>
      </c>
      <c r="M90" s="1">
        <v>0</v>
      </c>
      <c r="N90" s="1">
        <v>0</v>
      </c>
      <c r="O90" s="31" t="s">
        <v>23</v>
      </c>
      <c r="P90" s="1">
        <f t="shared" si="6"/>
        <v>0</v>
      </c>
    </row>
    <row r="91" spans="1:16" ht="11.25" customHeight="1">
      <c r="A91" s="99">
        <v>1999</v>
      </c>
      <c r="B91" s="18">
        <v>0</v>
      </c>
      <c r="C91" s="18">
        <v>0</v>
      </c>
      <c r="D91" s="18">
        <v>0</v>
      </c>
      <c r="E91" s="18">
        <v>0</v>
      </c>
      <c r="F91" s="18">
        <v>0</v>
      </c>
      <c r="G91" s="18" t="s">
        <v>23</v>
      </c>
      <c r="H91" s="18">
        <f t="shared" si="4"/>
        <v>0</v>
      </c>
      <c r="I91" s="99">
        <f t="shared" si="5"/>
        <v>1999</v>
      </c>
      <c r="J91" s="1">
        <v>0</v>
      </c>
      <c r="K91" s="1">
        <v>0</v>
      </c>
      <c r="L91" s="1">
        <v>0</v>
      </c>
      <c r="M91" s="1">
        <v>0</v>
      </c>
      <c r="N91" s="1">
        <v>0</v>
      </c>
      <c r="O91" s="31" t="s">
        <v>23</v>
      </c>
      <c r="P91" s="1">
        <f t="shared" si="6"/>
        <v>0</v>
      </c>
    </row>
    <row r="92" spans="1:16" ht="11.25" customHeight="1">
      <c r="A92" s="99">
        <v>2001</v>
      </c>
      <c r="B92" s="18">
        <v>195</v>
      </c>
      <c r="C92" s="18">
        <v>50</v>
      </c>
      <c r="D92" s="18">
        <v>50</v>
      </c>
      <c r="E92" s="18">
        <v>51</v>
      </c>
      <c r="F92" s="18">
        <v>0</v>
      </c>
      <c r="G92" s="18" t="s">
        <v>23</v>
      </c>
      <c r="H92" s="18">
        <f t="shared" si="4"/>
        <v>346</v>
      </c>
      <c r="I92" s="99">
        <f t="shared" si="5"/>
        <v>2001</v>
      </c>
      <c r="J92" s="1">
        <v>195</v>
      </c>
      <c r="K92" s="1">
        <v>50</v>
      </c>
      <c r="L92" s="1">
        <v>50</v>
      </c>
      <c r="M92" s="1">
        <v>49</v>
      </c>
      <c r="N92" s="1">
        <v>0</v>
      </c>
      <c r="O92" s="31" t="s">
        <v>23</v>
      </c>
      <c r="P92" s="1">
        <f t="shared" si="6"/>
        <v>344</v>
      </c>
    </row>
    <row r="93" spans="1:16" ht="11.25" customHeight="1">
      <c r="A93" s="99">
        <v>2003</v>
      </c>
      <c r="B93" s="18">
        <v>0</v>
      </c>
      <c r="C93" s="18">
        <v>2</v>
      </c>
      <c r="D93" s="18">
        <v>43</v>
      </c>
      <c r="E93" s="18">
        <v>16</v>
      </c>
      <c r="F93" s="18">
        <v>0</v>
      </c>
      <c r="G93" s="18" t="s">
        <v>23</v>
      </c>
      <c r="H93" s="18">
        <f t="shared" si="4"/>
        <v>61</v>
      </c>
      <c r="I93" s="99">
        <f t="shared" si="5"/>
        <v>2003</v>
      </c>
      <c r="J93" s="1">
        <v>0</v>
      </c>
      <c r="K93" s="1">
        <v>2</v>
      </c>
      <c r="L93" s="1">
        <v>9</v>
      </c>
      <c r="M93" s="1">
        <v>14</v>
      </c>
      <c r="N93" s="1">
        <v>0</v>
      </c>
      <c r="O93" s="31" t="s">
        <v>23</v>
      </c>
      <c r="P93" s="1">
        <f t="shared" si="6"/>
        <v>25</v>
      </c>
    </row>
    <row r="94" spans="1:16" ht="11.25" customHeight="1">
      <c r="A94" s="99">
        <v>2005</v>
      </c>
      <c r="B94" s="18">
        <v>0</v>
      </c>
      <c r="C94" s="18">
        <v>0</v>
      </c>
      <c r="D94" s="18">
        <v>1</v>
      </c>
      <c r="E94" s="18">
        <v>1</v>
      </c>
      <c r="F94" s="18">
        <v>1</v>
      </c>
      <c r="G94" s="18" t="s">
        <v>23</v>
      </c>
      <c r="H94" s="18">
        <f t="shared" si="4"/>
        <v>3</v>
      </c>
      <c r="I94" s="99">
        <f t="shared" si="5"/>
        <v>2005</v>
      </c>
      <c r="J94" s="1">
        <v>0</v>
      </c>
      <c r="K94" s="1">
        <v>0</v>
      </c>
      <c r="L94" s="1">
        <v>1</v>
      </c>
      <c r="M94" s="1">
        <v>1</v>
      </c>
      <c r="N94" s="1">
        <v>1</v>
      </c>
      <c r="O94" s="31" t="s">
        <v>23</v>
      </c>
      <c r="P94" s="1">
        <f t="shared" si="6"/>
        <v>3</v>
      </c>
    </row>
    <row r="95" spans="1:16" ht="11.25" customHeight="1">
      <c r="A95" s="99">
        <v>2007</v>
      </c>
      <c r="B95" s="18">
        <v>65</v>
      </c>
      <c r="C95" s="18">
        <v>0</v>
      </c>
      <c r="D95" s="18">
        <v>4</v>
      </c>
      <c r="E95" s="18">
        <v>11</v>
      </c>
      <c r="F95" s="18">
        <v>0</v>
      </c>
      <c r="G95" s="18" t="s">
        <v>23</v>
      </c>
      <c r="H95" s="18">
        <f t="shared" ref="H95:H100" si="7">SUM(B95:F95)</f>
        <v>80</v>
      </c>
      <c r="I95" s="99">
        <f t="shared" si="5"/>
        <v>2007</v>
      </c>
      <c r="J95" s="1">
        <v>65</v>
      </c>
      <c r="K95" s="1">
        <v>0</v>
      </c>
      <c r="L95" s="1">
        <v>4</v>
      </c>
      <c r="M95" s="1">
        <v>11</v>
      </c>
      <c r="N95" s="1">
        <v>0</v>
      </c>
      <c r="O95" s="31" t="s">
        <v>23</v>
      </c>
      <c r="P95" s="1">
        <f t="shared" ref="P95:P102" si="8">SUM(J95:O95)</f>
        <v>80</v>
      </c>
    </row>
    <row r="96" spans="1:16" ht="11.25" customHeight="1">
      <c r="A96" s="99">
        <v>2009</v>
      </c>
      <c r="B96" s="18">
        <v>0</v>
      </c>
      <c r="C96" s="18">
        <v>0</v>
      </c>
      <c r="D96" s="18">
        <v>2</v>
      </c>
      <c r="E96" s="18">
        <v>8</v>
      </c>
      <c r="F96" s="18">
        <v>8</v>
      </c>
      <c r="G96" s="18" t="s">
        <v>23</v>
      </c>
      <c r="H96" s="18">
        <f t="shared" si="7"/>
        <v>18</v>
      </c>
      <c r="I96" s="99">
        <f t="shared" si="5"/>
        <v>2009</v>
      </c>
      <c r="J96" s="1">
        <v>0</v>
      </c>
      <c r="K96" s="1">
        <v>0</v>
      </c>
      <c r="L96" s="1">
        <v>2</v>
      </c>
      <c r="M96" s="1">
        <v>8</v>
      </c>
      <c r="N96" s="1">
        <v>8</v>
      </c>
      <c r="O96" s="31" t="s">
        <v>23</v>
      </c>
      <c r="P96" s="1">
        <f t="shared" si="8"/>
        <v>18</v>
      </c>
    </row>
    <row r="97" spans="1:16" ht="11.25" customHeight="1">
      <c r="A97" s="99">
        <v>2011</v>
      </c>
      <c r="B97" s="18">
        <v>0</v>
      </c>
      <c r="C97" s="18">
        <v>36</v>
      </c>
      <c r="D97" s="18">
        <v>5</v>
      </c>
      <c r="E97" s="18">
        <v>8</v>
      </c>
      <c r="F97" s="18">
        <v>0</v>
      </c>
      <c r="G97" s="18" t="s">
        <v>23</v>
      </c>
      <c r="H97" s="18">
        <f t="shared" si="7"/>
        <v>49</v>
      </c>
      <c r="I97" s="99">
        <f t="shared" si="5"/>
        <v>2011</v>
      </c>
      <c r="J97" s="1">
        <v>0</v>
      </c>
      <c r="K97" s="1">
        <v>36</v>
      </c>
      <c r="L97" s="1">
        <v>5</v>
      </c>
      <c r="M97" s="1">
        <v>8</v>
      </c>
      <c r="N97" s="1">
        <v>0</v>
      </c>
      <c r="O97" s="31" t="s">
        <v>23</v>
      </c>
      <c r="P97" s="1">
        <f t="shared" si="8"/>
        <v>49</v>
      </c>
    </row>
    <row r="98" spans="1:16" ht="11.25" customHeight="1">
      <c r="A98" s="99">
        <v>2013</v>
      </c>
      <c r="B98" s="18">
        <v>0</v>
      </c>
      <c r="C98" s="18">
        <v>0</v>
      </c>
      <c r="D98" s="18">
        <v>0</v>
      </c>
      <c r="E98" s="18">
        <v>0</v>
      </c>
      <c r="F98" s="18">
        <v>0</v>
      </c>
      <c r="G98" s="18" t="s">
        <v>23</v>
      </c>
      <c r="H98" s="18">
        <f t="shared" si="7"/>
        <v>0</v>
      </c>
      <c r="I98" s="99">
        <f t="shared" si="5"/>
        <v>2013</v>
      </c>
      <c r="J98" s="1">
        <v>0</v>
      </c>
      <c r="K98" s="1">
        <v>0</v>
      </c>
      <c r="L98" s="1">
        <v>0</v>
      </c>
      <c r="M98" s="1">
        <v>0</v>
      </c>
      <c r="N98" s="1">
        <v>0</v>
      </c>
      <c r="O98" s="31" t="s">
        <v>23</v>
      </c>
      <c r="P98" s="1">
        <f>SUM(J98:O98)</f>
        <v>0</v>
      </c>
    </row>
    <row r="99" spans="1:16" ht="11.25" customHeight="1">
      <c r="A99" s="99">
        <v>2015</v>
      </c>
      <c r="B99" s="18">
        <v>0</v>
      </c>
      <c r="C99" s="18">
        <v>0</v>
      </c>
      <c r="D99" s="18">
        <v>0</v>
      </c>
      <c r="E99" s="18">
        <v>0</v>
      </c>
      <c r="F99" s="18">
        <v>0</v>
      </c>
      <c r="G99" s="18" t="s">
        <v>23</v>
      </c>
      <c r="H99" s="18">
        <f t="shared" si="7"/>
        <v>0</v>
      </c>
      <c r="I99" s="99">
        <f>A99</f>
        <v>2015</v>
      </c>
      <c r="J99" s="1">
        <v>0</v>
      </c>
      <c r="K99" s="1">
        <v>0</v>
      </c>
      <c r="L99" s="1">
        <v>0</v>
      </c>
      <c r="M99" s="1">
        <v>0</v>
      </c>
      <c r="N99" s="1">
        <v>0</v>
      </c>
      <c r="O99" s="31" t="s">
        <v>23</v>
      </c>
      <c r="P99" s="1">
        <f>SUM(J99:O99)</f>
        <v>0</v>
      </c>
    </row>
    <row r="100" spans="1:16" ht="11.25" customHeight="1">
      <c r="A100" s="99">
        <v>2017</v>
      </c>
      <c r="B100" s="18">
        <f>'A-13'!P192</f>
        <v>0</v>
      </c>
      <c r="C100" s="18">
        <f>'A-13'!Q192</f>
        <v>0</v>
      </c>
      <c r="D100" s="18">
        <f>'A-13'!R192</f>
        <v>0</v>
      </c>
      <c r="E100" s="18">
        <f>'A-13'!S192</f>
        <v>0</v>
      </c>
      <c r="F100" s="18">
        <f>'A-13'!T192</f>
        <v>0</v>
      </c>
      <c r="G100" s="18" t="s">
        <v>23</v>
      </c>
      <c r="H100" s="18">
        <f t="shared" si="7"/>
        <v>0</v>
      </c>
      <c r="I100" s="99">
        <f>A100</f>
        <v>2017</v>
      </c>
      <c r="J100" s="1">
        <v>0</v>
      </c>
      <c r="K100" s="1">
        <v>0</v>
      </c>
      <c r="L100" s="1">
        <v>0</v>
      </c>
      <c r="M100" s="1">
        <v>0</v>
      </c>
      <c r="N100" s="1">
        <v>0</v>
      </c>
      <c r="O100" s="31" t="s">
        <v>23</v>
      </c>
      <c r="P100" s="1">
        <f>SUM(J100:O100)</f>
        <v>0</v>
      </c>
    </row>
    <row r="101" spans="1:16" ht="11.25" customHeight="1">
      <c r="A101" s="99">
        <v>2019</v>
      </c>
      <c r="B101" s="18">
        <f>'A-13'!P193</f>
        <v>0</v>
      </c>
      <c r="C101" s="18">
        <f>'A-13'!Q193</f>
        <v>0</v>
      </c>
      <c r="D101" s="18">
        <f>'A-13'!R193</f>
        <v>0</v>
      </c>
      <c r="E101" s="18">
        <f>'A-13'!S193</f>
        <v>2</v>
      </c>
      <c r="F101" s="18">
        <f>'A-13'!T193</f>
        <v>0</v>
      </c>
      <c r="G101" s="18" t="s">
        <v>23</v>
      </c>
      <c r="H101" s="18">
        <f>'A-13'!U193</f>
        <v>2</v>
      </c>
      <c r="I101" s="99">
        <f t="shared" ref="I101" si="9">A101</f>
        <v>2019</v>
      </c>
      <c r="J101" s="1">
        <v>0</v>
      </c>
      <c r="K101" s="1">
        <v>0</v>
      </c>
      <c r="L101" s="1">
        <v>0</v>
      </c>
      <c r="M101" s="1">
        <v>0</v>
      </c>
      <c r="N101" s="1">
        <v>0</v>
      </c>
      <c r="O101" s="31" t="s">
        <v>23</v>
      </c>
      <c r="P101" s="1">
        <f t="shared" ref="P101" si="10">SUM(J101:O101)</f>
        <v>0</v>
      </c>
    </row>
    <row r="102" spans="1:16" ht="11.25" customHeight="1">
      <c r="A102" s="99" t="s">
        <v>314</v>
      </c>
      <c r="B102" s="18">
        <f>'A-13'!P195</f>
        <v>0</v>
      </c>
      <c r="C102" s="18">
        <f>'A-13'!Q195</f>
        <v>0</v>
      </c>
      <c r="D102" s="18">
        <f>'A-13'!R195</f>
        <v>0</v>
      </c>
      <c r="E102" s="18">
        <f>'A-13'!S195</f>
        <v>0</v>
      </c>
      <c r="F102" s="18">
        <f>'A-13'!T195</f>
        <v>0</v>
      </c>
      <c r="G102" s="18" t="s">
        <v>23</v>
      </c>
      <c r="H102" s="18">
        <f>'A-13'!U195</f>
        <v>0</v>
      </c>
      <c r="I102" s="99" t="str">
        <f t="shared" si="5"/>
        <v>2021c/</v>
      </c>
      <c r="J102" s="1">
        <v>0</v>
      </c>
      <c r="K102" s="1">
        <v>0</v>
      </c>
      <c r="L102" s="1">
        <v>0</v>
      </c>
      <c r="M102" s="1">
        <v>0</v>
      </c>
      <c r="N102" s="1">
        <v>0</v>
      </c>
      <c r="O102" s="31" t="s">
        <v>23</v>
      </c>
      <c r="P102" s="1">
        <f t="shared" si="8"/>
        <v>0</v>
      </c>
    </row>
    <row r="103" spans="1:16" ht="11.25" customHeight="1"/>
    <row r="104" spans="1:16" ht="11.25" customHeight="1">
      <c r="A104" s="94" t="s">
        <v>87</v>
      </c>
      <c r="B104" s="20"/>
      <c r="C104" s="20"/>
      <c r="D104" s="20"/>
    </row>
    <row r="105" spans="1:16" ht="11.25" customHeight="1">
      <c r="A105" s="99">
        <v>1977</v>
      </c>
      <c r="B105" s="18">
        <f>IF(AND(B5="-",B80="-"),"-",SUM(B5,B80))</f>
        <v>1056</v>
      </c>
      <c r="C105" s="18">
        <f t="shared" ref="B105:H114" si="11">IF(AND(C5="-",C80="-"),"-",SUM(C5,C80))</f>
        <v>937</v>
      </c>
      <c r="D105" s="18">
        <f t="shared" si="11"/>
        <v>102535</v>
      </c>
      <c r="E105" s="18">
        <f t="shared" si="11"/>
        <v>165912</v>
      </c>
      <c r="F105" s="18">
        <f t="shared" si="11"/>
        <v>9189</v>
      </c>
      <c r="G105" s="18" t="str">
        <f t="shared" si="11"/>
        <v>-</v>
      </c>
      <c r="H105" s="18">
        <f t="shared" si="11"/>
        <v>279629</v>
      </c>
    </row>
    <row r="106" spans="1:16" ht="11.25" customHeight="1">
      <c r="A106" s="99">
        <v>1979</v>
      </c>
      <c r="B106" s="18">
        <f t="shared" si="11"/>
        <v>83</v>
      </c>
      <c r="C106" s="18">
        <f t="shared" si="11"/>
        <v>21</v>
      </c>
      <c r="D106" s="18">
        <f t="shared" si="11"/>
        <v>93429</v>
      </c>
      <c r="E106" s="18">
        <f t="shared" si="11"/>
        <v>458994</v>
      </c>
      <c r="F106" s="18">
        <f t="shared" si="11"/>
        <v>2408</v>
      </c>
      <c r="G106" s="18" t="str">
        <f t="shared" si="11"/>
        <v>-</v>
      </c>
      <c r="H106" s="18">
        <f t="shared" si="11"/>
        <v>554935</v>
      </c>
    </row>
    <row r="107" spans="1:16" ht="11.25" customHeight="1">
      <c r="A107" s="99">
        <v>1981</v>
      </c>
      <c r="B107" s="18">
        <f t="shared" si="11"/>
        <v>599</v>
      </c>
      <c r="C107" s="18">
        <f t="shared" si="11"/>
        <v>110</v>
      </c>
      <c r="D107" s="18">
        <f t="shared" si="11"/>
        <v>68351</v>
      </c>
      <c r="E107" s="18">
        <f t="shared" si="11"/>
        <v>164015</v>
      </c>
      <c r="F107" s="18">
        <f t="shared" si="11"/>
        <v>0</v>
      </c>
      <c r="G107" s="18" t="str">
        <f t="shared" si="11"/>
        <v>-</v>
      </c>
      <c r="H107" s="18">
        <f t="shared" si="11"/>
        <v>233075</v>
      </c>
    </row>
    <row r="108" spans="1:16" ht="11.25" customHeight="1">
      <c r="A108" s="99">
        <v>1983</v>
      </c>
      <c r="B108" s="18">
        <f t="shared" si="11"/>
        <v>1</v>
      </c>
      <c r="C108" s="18">
        <f t="shared" si="11"/>
        <v>0</v>
      </c>
      <c r="D108" s="18">
        <f t="shared" si="11"/>
        <v>79119</v>
      </c>
      <c r="E108" s="18">
        <f t="shared" si="11"/>
        <v>6041</v>
      </c>
      <c r="F108" s="18">
        <f t="shared" si="11"/>
        <v>301</v>
      </c>
      <c r="G108" s="18" t="str">
        <f t="shared" si="11"/>
        <v>-</v>
      </c>
      <c r="H108" s="18">
        <f t="shared" si="11"/>
        <v>85462</v>
      </c>
    </row>
    <row r="109" spans="1:16" ht="11.25" customHeight="1">
      <c r="A109" s="99">
        <v>1985</v>
      </c>
      <c r="B109" s="18">
        <f t="shared" si="11"/>
        <v>106</v>
      </c>
      <c r="C109" s="18">
        <f t="shared" si="11"/>
        <v>0</v>
      </c>
      <c r="D109" s="18">
        <f t="shared" si="11"/>
        <v>6831</v>
      </c>
      <c r="E109" s="18">
        <f t="shared" si="11"/>
        <v>97898</v>
      </c>
      <c r="F109" s="18">
        <f t="shared" si="11"/>
        <v>530</v>
      </c>
      <c r="G109" s="18" t="str">
        <f t="shared" si="11"/>
        <v>-</v>
      </c>
      <c r="H109" s="18">
        <f t="shared" si="11"/>
        <v>105365</v>
      </c>
    </row>
    <row r="110" spans="1:16" ht="11.25" customHeight="1">
      <c r="A110" s="99">
        <v>1987</v>
      </c>
      <c r="B110" s="18">
        <f t="shared" si="11"/>
        <v>0</v>
      </c>
      <c r="C110" s="18">
        <f t="shared" si="11"/>
        <v>0</v>
      </c>
      <c r="D110" s="18">
        <f t="shared" si="11"/>
        <v>2860</v>
      </c>
      <c r="E110" s="18">
        <f t="shared" si="11"/>
        <v>0</v>
      </c>
      <c r="F110" s="18">
        <f t="shared" si="11"/>
        <v>0</v>
      </c>
      <c r="G110" s="18" t="str">
        <f t="shared" si="11"/>
        <v>-</v>
      </c>
      <c r="H110" s="18">
        <f t="shared" si="11"/>
        <v>2860</v>
      </c>
    </row>
    <row r="111" spans="1:16" ht="11.25" customHeight="1">
      <c r="A111" s="99">
        <v>1989</v>
      </c>
      <c r="B111" s="18">
        <f t="shared" si="11"/>
        <v>229</v>
      </c>
      <c r="C111" s="18">
        <f t="shared" si="11"/>
        <v>182</v>
      </c>
      <c r="D111" s="18">
        <f t="shared" si="11"/>
        <v>0</v>
      </c>
      <c r="E111" s="18">
        <f t="shared" si="11"/>
        <v>36288</v>
      </c>
      <c r="F111" s="18">
        <f t="shared" si="11"/>
        <v>2</v>
      </c>
      <c r="G111" s="18" t="str">
        <f t="shared" si="11"/>
        <v>-</v>
      </c>
      <c r="H111" s="18">
        <f t="shared" si="11"/>
        <v>36701</v>
      </c>
    </row>
    <row r="112" spans="1:16" ht="11.25" customHeight="1">
      <c r="A112" s="99">
        <v>1991</v>
      </c>
      <c r="B112" s="18">
        <f t="shared" si="11"/>
        <v>4</v>
      </c>
      <c r="C112" s="18">
        <f t="shared" si="11"/>
        <v>17</v>
      </c>
      <c r="D112" s="18">
        <f t="shared" si="11"/>
        <v>0</v>
      </c>
      <c r="E112" s="18">
        <f t="shared" si="11"/>
        <v>43373</v>
      </c>
      <c r="F112" s="18">
        <f t="shared" si="11"/>
        <v>295</v>
      </c>
      <c r="G112" s="18" t="str">
        <f t="shared" si="11"/>
        <v>-</v>
      </c>
      <c r="H112" s="18">
        <f t="shared" si="11"/>
        <v>43689</v>
      </c>
    </row>
    <row r="113" spans="1:8" ht="11.25" customHeight="1">
      <c r="A113" s="99">
        <v>1993</v>
      </c>
      <c r="B113" s="18">
        <f t="shared" si="11"/>
        <v>16</v>
      </c>
      <c r="C113" s="18">
        <f t="shared" si="11"/>
        <v>1</v>
      </c>
      <c r="D113" s="18">
        <f t="shared" si="11"/>
        <v>88</v>
      </c>
      <c r="E113" s="18">
        <f t="shared" si="11"/>
        <v>2753</v>
      </c>
      <c r="F113" s="18">
        <f t="shared" si="11"/>
        <v>3</v>
      </c>
      <c r="G113" s="18" t="str">
        <f t="shared" si="11"/>
        <v>-</v>
      </c>
      <c r="H113" s="18">
        <f t="shared" si="11"/>
        <v>2861</v>
      </c>
    </row>
    <row r="114" spans="1:8" ht="11.25" customHeight="1">
      <c r="A114" s="99">
        <v>1995</v>
      </c>
      <c r="B114" s="18">
        <f t="shared" si="11"/>
        <v>0</v>
      </c>
      <c r="C114" s="18">
        <f t="shared" si="11"/>
        <v>0</v>
      </c>
      <c r="D114" s="18">
        <f t="shared" si="11"/>
        <v>0</v>
      </c>
      <c r="E114" s="18">
        <f t="shared" si="11"/>
        <v>30060</v>
      </c>
      <c r="F114" s="18">
        <f t="shared" si="11"/>
        <v>872</v>
      </c>
      <c r="G114" s="18" t="str">
        <f t="shared" si="11"/>
        <v>-</v>
      </c>
      <c r="H114" s="18">
        <f t="shared" si="11"/>
        <v>30932</v>
      </c>
    </row>
    <row r="115" spans="1:8" ht="11.25" customHeight="1">
      <c r="A115" s="99">
        <v>1997</v>
      </c>
      <c r="B115" s="18">
        <f t="shared" ref="B115:H124" si="12">IF(AND(B15="-",B90="-"),"-",SUM(B15,B90))</f>
        <v>2</v>
      </c>
      <c r="C115" s="18">
        <f t="shared" si="12"/>
        <v>3</v>
      </c>
      <c r="D115" s="18">
        <f t="shared" si="12"/>
        <v>0</v>
      </c>
      <c r="E115" s="18">
        <f t="shared" si="12"/>
        <v>0</v>
      </c>
      <c r="F115" s="18">
        <f t="shared" si="12"/>
        <v>0</v>
      </c>
      <c r="G115" s="18" t="str">
        <f t="shared" si="12"/>
        <v>-</v>
      </c>
      <c r="H115" s="18">
        <f t="shared" si="12"/>
        <v>5</v>
      </c>
    </row>
    <row r="116" spans="1:8" ht="11.25" customHeight="1">
      <c r="A116" s="99">
        <v>1999</v>
      </c>
      <c r="B116" s="18">
        <f t="shared" si="12"/>
        <v>0</v>
      </c>
      <c r="C116" s="18">
        <f t="shared" si="12"/>
        <v>1</v>
      </c>
      <c r="D116" s="18">
        <f t="shared" si="12"/>
        <v>31</v>
      </c>
      <c r="E116" s="18">
        <f t="shared" si="12"/>
        <v>21</v>
      </c>
      <c r="F116" s="18">
        <f t="shared" si="12"/>
        <v>0</v>
      </c>
      <c r="G116" s="18" t="str">
        <f t="shared" si="12"/>
        <v>-</v>
      </c>
      <c r="H116" s="18">
        <f t="shared" si="12"/>
        <v>53</v>
      </c>
    </row>
    <row r="117" spans="1:8" ht="11.25" customHeight="1">
      <c r="A117" s="99">
        <v>2001</v>
      </c>
      <c r="B117" s="18">
        <f t="shared" si="12"/>
        <v>196</v>
      </c>
      <c r="C117" s="18">
        <f t="shared" si="12"/>
        <v>59</v>
      </c>
      <c r="D117" s="18">
        <f t="shared" si="12"/>
        <v>70</v>
      </c>
      <c r="E117" s="18">
        <f t="shared" si="12"/>
        <v>51</v>
      </c>
      <c r="F117" s="18">
        <f t="shared" si="12"/>
        <v>0</v>
      </c>
      <c r="G117" s="18" t="str">
        <f t="shared" si="12"/>
        <v>-</v>
      </c>
      <c r="H117" s="18">
        <f t="shared" si="12"/>
        <v>376</v>
      </c>
    </row>
    <row r="118" spans="1:8" ht="11.25" customHeight="1">
      <c r="A118" s="99">
        <v>2003</v>
      </c>
      <c r="B118" s="18">
        <f t="shared" si="12"/>
        <v>0</v>
      </c>
      <c r="C118" s="18">
        <f t="shared" si="12"/>
        <v>2</v>
      </c>
      <c r="D118" s="18">
        <f t="shared" si="12"/>
        <v>185</v>
      </c>
      <c r="E118" s="18">
        <f t="shared" si="12"/>
        <v>79</v>
      </c>
      <c r="F118" s="18">
        <f t="shared" si="12"/>
        <v>10</v>
      </c>
      <c r="G118" s="18" t="str">
        <f t="shared" si="12"/>
        <v>-</v>
      </c>
      <c r="H118" s="18">
        <f t="shared" si="12"/>
        <v>276</v>
      </c>
    </row>
    <row r="119" spans="1:8" ht="11.25" customHeight="1">
      <c r="A119" s="99">
        <v>2005</v>
      </c>
      <c r="B119" s="18">
        <f t="shared" si="12"/>
        <v>4</v>
      </c>
      <c r="C119" s="18">
        <f t="shared" si="12"/>
        <v>0</v>
      </c>
      <c r="D119" s="18">
        <f t="shared" si="12"/>
        <v>3</v>
      </c>
      <c r="E119" s="18">
        <f t="shared" si="12"/>
        <v>3</v>
      </c>
      <c r="F119" s="18">
        <f t="shared" si="12"/>
        <v>1</v>
      </c>
      <c r="G119" s="18" t="str">
        <f t="shared" si="12"/>
        <v>-</v>
      </c>
      <c r="H119" s="18">
        <f t="shared" si="12"/>
        <v>11</v>
      </c>
    </row>
    <row r="120" spans="1:8" ht="11.25" customHeight="1">
      <c r="A120" s="99">
        <v>2007</v>
      </c>
      <c r="B120" s="18">
        <f t="shared" si="12"/>
        <v>73</v>
      </c>
      <c r="C120" s="18">
        <f t="shared" si="12"/>
        <v>19</v>
      </c>
      <c r="D120" s="18">
        <f t="shared" si="12"/>
        <v>123</v>
      </c>
      <c r="E120" s="18">
        <f t="shared" si="12"/>
        <v>12</v>
      </c>
      <c r="F120" s="18">
        <f t="shared" si="12"/>
        <v>0</v>
      </c>
      <c r="G120" s="18" t="str">
        <f t="shared" si="12"/>
        <v>-</v>
      </c>
      <c r="H120" s="18">
        <f t="shared" si="12"/>
        <v>227</v>
      </c>
    </row>
    <row r="121" spans="1:8" ht="11.25" customHeight="1">
      <c r="A121" s="99">
        <v>2009</v>
      </c>
      <c r="B121" s="18">
        <f t="shared" si="12"/>
        <v>1</v>
      </c>
      <c r="C121" s="18">
        <f t="shared" si="12"/>
        <v>14</v>
      </c>
      <c r="D121" s="18">
        <f t="shared" si="12"/>
        <v>84</v>
      </c>
      <c r="E121" s="18">
        <f t="shared" si="12"/>
        <v>45</v>
      </c>
      <c r="F121" s="18">
        <f t="shared" si="12"/>
        <v>9</v>
      </c>
      <c r="G121" s="18" t="str">
        <f t="shared" si="12"/>
        <v>-</v>
      </c>
      <c r="H121" s="18">
        <f t="shared" si="12"/>
        <v>153</v>
      </c>
    </row>
    <row r="122" spans="1:8" ht="11.25" customHeight="1">
      <c r="A122" s="99">
        <v>2011</v>
      </c>
      <c r="B122" s="18">
        <f t="shared" si="12"/>
        <v>0</v>
      </c>
      <c r="C122" s="18">
        <f t="shared" si="12"/>
        <v>36</v>
      </c>
      <c r="D122" s="18">
        <f t="shared" si="12"/>
        <v>8</v>
      </c>
      <c r="E122" s="18">
        <f t="shared" si="12"/>
        <v>126</v>
      </c>
      <c r="F122" s="18">
        <f t="shared" si="12"/>
        <v>93</v>
      </c>
      <c r="G122" s="18">
        <f t="shared" si="12"/>
        <v>1</v>
      </c>
      <c r="H122" s="18">
        <f t="shared" si="12"/>
        <v>264</v>
      </c>
    </row>
    <row r="123" spans="1:8" ht="11.25" customHeight="1">
      <c r="A123" s="99">
        <v>2013</v>
      </c>
      <c r="B123" s="18">
        <f t="shared" si="12"/>
        <v>0</v>
      </c>
      <c r="C123" s="18">
        <f t="shared" si="12"/>
        <v>2</v>
      </c>
      <c r="D123" s="18">
        <f t="shared" si="12"/>
        <v>0</v>
      </c>
      <c r="E123" s="18">
        <f t="shared" si="12"/>
        <v>101</v>
      </c>
      <c r="F123" s="18">
        <f t="shared" si="12"/>
        <v>37</v>
      </c>
      <c r="G123" s="18">
        <f t="shared" si="12"/>
        <v>1</v>
      </c>
      <c r="H123" s="18">
        <f t="shared" si="12"/>
        <v>141</v>
      </c>
    </row>
    <row r="124" spans="1:8" ht="11.25" customHeight="1">
      <c r="A124" s="99">
        <v>2015</v>
      </c>
      <c r="B124" s="18">
        <f t="shared" si="12"/>
        <v>0</v>
      </c>
      <c r="C124" s="18">
        <f t="shared" si="12"/>
        <v>1</v>
      </c>
      <c r="D124" s="18">
        <f t="shared" si="12"/>
        <v>20</v>
      </c>
      <c r="E124" s="18">
        <f t="shared" si="12"/>
        <v>47</v>
      </c>
      <c r="F124" s="18">
        <f t="shared" si="12"/>
        <v>0</v>
      </c>
      <c r="G124" s="18">
        <f t="shared" si="12"/>
        <v>0</v>
      </c>
      <c r="H124" s="18">
        <f t="shared" si="12"/>
        <v>68</v>
      </c>
    </row>
    <row r="125" spans="1:8" ht="11.25" customHeight="1">
      <c r="A125" s="99">
        <v>2017</v>
      </c>
      <c r="B125" s="18">
        <f t="shared" ref="B125:H125" si="13">IF(AND(B25="-",B100="-"),"-",SUM(B25,B100))</f>
        <v>0</v>
      </c>
      <c r="C125" s="18">
        <f t="shared" si="13"/>
        <v>0</v>
      </c>
      <c r="D125" s="18">
        <f t="shared" si="13"/>
        <v>10</v>
      </c>
      <c r="E125" s="18">
        <f t="shared" si="13"/>
        <v>3</v>
      </c>
      <c r="F125" s="18">
        <f t="shared" si="13"/>
        <v>0</v>
      </c>
      <c r="G125" s="18">
        <f t="shared" si="13"/>
        <v>13</v>
      </c>
      <c r="H125" s="18">
        <f t="shared" si="13"/>
        <v>0</v>
      </c>
    </row>
    <row r="126" spans="1:8" ht="11.25" customHeight="1">
      <c r="A126" s="99">
        <v>2019</v>
      </c>
      <c r="B126" s="18">
        <f t="shared" ref="B126:E127" si="14">IF(AND(B26="-",B101="-"),"-",SUM(B26,B101))</f>
        <v>0</v>
      </c>
      <c r="C126" s="18">
        <f t="shared" si="14"/>
        <v>0</v>
      </c>
      <c r="D126" s="18">
        <f>IF(AND(D26="-",D101="-"),"-",SUM(D26,D101))</f>
        <v>483</v>
      </c>
      <c r="E126" s="18">
        <f t="shared" si="14"/>
        <v>2</v>
      </c>
      <c r="F126" s="18">
        <f t="shared" ref="F126:H127" si="15">IF(AND(F26="-",F101="-"),"-",SUM(F26,F101))</f>
        <v>0</v>
      </c>
      <c r="G126" s="18">
        <f t="shared" si="15"/>
        <v>0</v>
      </c>
      <c r="H126" s="18">
        <f t="shared" si="15"/>
        <v>485</v>
      </c>
    </row>
    <row r="127" spans="1:8" ht="11.25" customHeight="1">
      <c r="A127" s="99" t="s">
        <v>314</v>
      </c>
      <c r="B127" s="18">
        <f t="shared" si="14"/>
        <v>0</v>
      </c>
      <c r="C127" s="18">
        <f t="shared" si="14"/>
        <v>0</v>
      </c>
      <c r="D127" s="18">
        <f>IF(AND(D27="-",D102="-"),"-",SUM(D27,D102))</f>
        <v>4</v>
      </c>
      <c r="E127" s="18">
        <f t="shared" si="14"/>
        <v>29</v>
      </c>
      <c r="F127" s="18">
        <f t="shared" si="15"/>
        <v>0</v>
      </c>
      <c r="G127" s="18">
        <f t="shared" si="15"/>
        <v>0</v>
      </c>
      <c r="H127" s="18">
        <f t="shared" si="15"/>
        <v>33</v>
      </c>
    </row>
    <row r="128" spans="1:8" ht="11.25" customHeight="1"/>
    <row r="129" spans="1:8" ht="11.25" customHeight="1">
      <c r="A129" s="102" t="s">
        <v>246</v>
      </c>
      <c r="B129" s="104"/>
      <c r="C129" s="104"/>
      <c r="D129" s="104"/>
    </row>
    <row r="130" spans="1:8" ht="11.25" customHeight="1">
      <c r="A130" s="99">
        <v>1977</v>
      </c>
      <c r="B130" s="18">
        <f>B30</f>
        <v>98</v>
      </c>
      <c r="C130" s="18">
        <f t="shared" ref="C130:G130" si="16">C30</f>
        <v>1433</v>
      </c>
      <c r="D130" s="18">
        <f t="shared" si="16"/>
        <v>1269</v>
      </c>
      <c r="E130" s="18">
        <f t="shared" si="16"/>
        <v>2114</v>
      </c>
      <c r="F130" s="18">
        <f t="shared" si="16"/>
        <v>7</v>
      </c>
      <c r="G130" s="18">
        <f t="shared" si="16"/>
        <v>0</v>
      </c>
      <c r="H130" s="18">
        <f t="shared" ref="H130" si="17">H30</f>
        <v>4921</v>
      </c>
    </row>
    <row r="131" spans="1:8" ht="11.25" customHeight="1">
      <c r="A131" s="99">
        <v>1979</v>
      </c>
      <c r="B131" s="18">
        <f t="shared" ref="B131:G152" si="18">B31</f>
        <v>0</v>
      </c>
      <c r="C131" s="18">
        <f t="shared" si="18"/>
        <v>1666</v>
      </c>
      <c r="D131" s="18">
        <f t="shared" si="18"/>
        <v>836</v>
      </c>
      <c r="E131" s="18">
        <f t="shared" si="18"/>
        <v>3924</v>
      </c>
      <c r="F131" s="18">
        <f t="shared" si="18"/>
        <v>35</v>
      </c>
      <c r="G131" s="18">
        <f t="shared" si="18"/>
        <v>0</v>
      </c>
      <c r="H131" s="18">
        <f t="shared" ref="H131" si="19">H31</f>
        <v>6461</v>
      </c>
    </row>
    <row r="132" spans="1:8" ht="11.25" customHeight="1">
      <c r="A132" s="99">
        <v>1981</v>
      </c>
      <c r="B132" s="18">
        <f t="shared" si="18"/>
        <v>90</v>
      </c>
      <c r="C132" s="18">
        <f t="shared" si="18"/>
        <v>210</v>
      </c>
      <c r="D132" s="18">
        <f t="shared" si="18"/>
        <v>1155</v>
      </c>
      <c r="E132" s="18">
        <f t="shared" si="18"/>
        <v>3167</v>
      </c>
      <c r="F132" s="18">
        <f t="shared" si="18"/>
        <v>441</v>
      </c>
      <c r="G132" s="18">
        <f t="shared" si="18"/>
        <v>0</v>
      </c>
      <c r="H132" s="18">
        <f t="shared" ref="H132" si="20">H32</f>
        <v>5063</v>
      </c>
    </row>
    <row r="133" spans="1:8" ht="11.25" customHeight="1">
      <c r="A133" s="99">
        <v>1983</v>
      </c>
      <c r="B133" s="18">
        <f t="shared" si="18"/>
        <v>1</v>
      </c>
      <c r="C133" s="18">
        <f t="shared" si="18"/>
        <v>37</v>
      </c>
      <c r="D133" s="18">
        <f t="shared" si="18"/>
        <v>1537</v>
      </c>
      <c r="E133" s="18">
        <f t="shared" si="18"/>
        <v>17942</v>
      </c>
      <c r="F133" s="18">
        <f t="shared" si="18"/>
        <v>347</v>
      </c>
      <c r="G133" s="18">
        <f t="shared" si="18"/>
        <v>0</v>
      </c>
      <c r="H133" s="18">
        <f t="shared" ref="H133" si="21">H33</f>
        <v>19864</v>
      </c>
    </row>
    <row r="134" spans="1:8" ht="11.25" customHeight="1">
      <c r="A134" s="99">
        <v>1985</v>
      </c>
      <c r="B134" s="18">
        <f t="shared" si="18"/>
        <v>4</v>
      </c>
      <c r="C134" s="18">
        <f t="shared" si="18"/>
        <v>395</v>
      </c>
      <c r="D134" s="18">
        <f t="shared" si="18"/>
        <v>3931</v>
      </c>
      <c r="E134" s="18">
        <f t="shared" si="18"/>
        <v>2310</v>
      </c>
      <c r="F134" s="18">
        <f t="shared" si="18"/>
        <v>173</v>
      </c>
      <c r="G134" s="18">
        <f t="shared" si="18"/>
        <v>0</v>
      </c>
      <c r="H134" s="18">
        <f t="shared" ref="H134" si="22">H34</f>
        <v>6813</v>
      </c>
    </row>
    <row r="135" spans="1:8" ht="11.25" customHeight="1">
      <c r="A135" s="99">
        <v>1987</v>
      </c>
      <c r="B135" s="18">
        <f t="shared" si="18"/>
        <v>4</v>
      </c>
      <c r="C135" s="18">
        <f t="shared" si="18"/>
        <v>0</v>
      </c>
      <c r="D135" s="18">
        <f t="shared" si="18"/>
        <v>10776</v>
      </c>
      <c r="E135" s="18">
        <f t="shared" si="18"/>
        <v>5840</v>
      </c>
      <c r="F135" s="18">
        <f t="shared" si="18"/>
        <v>0</v>
      </c>
      <c r="G135" s="18">
        <f t="shared" si="18"/>
        <v>0</v>
      </c>
      <c r="H135" s="18">
        <f t="shared" ref="H135" si="23">H35</f>
        <v>16620</v>
      </c>
    </row>
    <row r="136" spans="1:8" ht="11.25" customHeight="1">
      <c r="A136" s="99">
        <v>1989</v>
      </c>
      <c r="B136" s="18">
        <f t="shared" si="18"/>
        <v>6</v>
      </c>
      <c r="C136" s="18">
        <f t="shared" si="18"/>
        <v>20</v>
      </c>
      <c r="D136" s="18">
        <f t="shared" si="18"/>
        <v>7206</v>
      </c>
      <c r="E136" s="18">
        <f t="shared" si="18"/>
        <v>2667</v>
      </c>
      <c r="F136" s="18">
        <f t="shared" si="18"/>
        <v>1182</v>
      </c>
      <c r="G136" s="18">
        <f t="shared" si="18"/>
        <v>0</v>
      </c>
      <c r="H136" s="18">
        <f t="shared" ref="H136" si="24">H36</f>
        <v>11081</v>
      </c>
    </row>
    <row r="137" spans="1:8" ht="11.25" customHeight="1">
      <c r="A137" s="99">
        <v>1991</v>
      </c>
      <c r="B137" s="18">
        <f t="shared" si="18"/>
        <v>0</v>
      </c>
      <c r="C137" s="18">
        <f t="shared" si="18"/>
        <v>2</v>
      </c>
      <c r="D137" s="18">
        <f t="shared" si="18"/>
        <v>1148</v>
      </c>
      <c r="E137" s="18">
        <f t="shared" si="18"/>
        <v>3356</v>
      </c>
      <c r="F137" s="18">
        <f t="shared" si="18"/>
        <v>0</v>
      </c>
      <c r="G137" s="18">
        <f t="shared" si="18"/>
        <v>0</v>
      </c>
      <c r="H137" s="18">
        <f t="shared" ref="H137" si="25">H37</f>
        <v>4506</v>
      </c>
    </row>
    <row r="138" spans="1:8" ht="11.25" customHeight="1">
      <c r="A138" s="99">
        <v>1993</v>
      </c>
      <c r="B138" s="18">
        <f t="shared" si="18"/>
        <v>0</v>
      </c>
      <c r="C138" s="18">
        <f t="shared" si="18"/>
        <v>0</v>
      </c>
      <c r="D138" s="18">
        <f t="shared" si="18"/>
        <v>349</v>
      </c>
      <c r="E138" s="18">
        <f t="shared" si="18"/>
        <v>2261</v>
      </c>
      <c r="F138" s="18">
        <f t="shared" si="18"/>
        <v>783</v>
      </c>
      <c r="G138" s="18">
        <f t="shared" si="18"/>
        <v>0</v>
      </c>
      <c r="H138" s="18">
        <f t="shared" ref="H138" si="26">H38</f>
        <v>3393</v>
      </c>
    </row>
    <row r="139" spans="1:8" ht="11.25" customHeight="1">
      <c r="A139" s="99">
        <v>1995</v>
      </c>
      <c r="B139" s="18">
        <f t="shared" si="18"/>
        <v>0</v>
      </c>
      <c r="C139" s="18">
        <f t="shared" si="18"/>
        <v>0</v>
      </c>
      <c r="D139" s="18">
        <f t="shared" si="18"/>
        <v>0</v>
      </c>
      <c r="E139" s="18">
        <f t="shared" si="18"/>
        <v>10940</v>
      </c>
      <c r="F139" s="18">
        <f t="shared" si="18"/>
        <v>0</v>
      </c>
      <c r="G139" s="18">
        <f t="shared" si="18"/>
        <v>0</v>
      </c>
      <c r="H139" s="18">
        <f t="shared" ref="H139" si="27">H39</f>
        <v>10940</v>
      </c>
    </row>
    <row r="140" spans="1:8" ht="11.25" customHeight="1">
      <c r="A140" s="99">
        <v>1997</v>
      </c>
      <c r="B140" s="18">
        <f t="shared" si="18"/>
        <v>0</v>
      </c>
      <c r="C140" s="18">
        <f t="shared" si="18"/>
        <v>0</v>
      </c>
      <c r="D140" s="18">
        <f t="shared" si="18"/>
        <v>0</v>
      </c>
      <c r="E140" s="18">
        <f t="shared" si="18"/>
        <v>1757</v>
      </c>
      <c r="F140" s="18">
        <f t="shared" si="18"/>
        <v>53</v>
      </c>
      <c r="G140" s="18" t="str">
        <f t="shared" si="18"/>
        <v>-</v>
      </c>
      <c r="H140" s="18">
        <f t="shared" ref="H140" si="28">H40</f>
        <v>1810</v>
      </c>
    </row>
    <row r="141" spans="1:8" ht="11.25" customHeight="1">
      <c r="A141" s="99">
        <v>1999</v>
      </c>
      <c r="B141" s="18">
        <f t="shared" si="18"/>
        <v>0</v>
      </c>
      <c r="C141" s="18">
        <f t="shared" si="18"/>
        <v>0</v>
      </c>
      <c r="D141" s="18">
        <f t="shared" si="18"/>
        <v>0</v>
      </c>
      <c r="E141" s="18">
        <f t="shared" si="18"/>
        <v>1388</v>
      </c>
      <c r="F141" s="18">
        <f t="shared" si="18"/>
        <v>108</v>
      </c>
      <c r="G141" s="18" t="str">
        <f t="shared" si="18"/>
        <v>-</v>
      </c>
      <c r="H141" s="18">
        <f t="shared" ref="H141" si="29">H41</f>
        <v>1496</v>
      </c>
    </row>
    <row r="142" spans="1:8" ht="11.25" customHeight="1">
      <c r="A142" s="99">
        <v>2001</v>
      </c>
      <c r="B142" s="18">
        <f t="shared" si="18"/>
        <v>11</v>
      </c>
      <c r="C142" s="18">
        <f t="shared" si="18"/>
        <v>0</v>
      </c>
      <c r="D142" s="18">
        <f t="shared" si="18"/>
        <v>696</v>
      </c>
      <c r="E142" s="18">
        <f t="shared" si="18"/>
        <v>1537</v>
      </c>
      <c r="F142" s="18">
        <f t="shared" si="18"/>
        <v>207</v>
      </c>
      <c r="G142" s="18" t="str">
        <f t="shared" si="18"/>
        <v>-</v>
      </c>
      <c r="H142" s="18">
        <f t="shared" ref="H142" si="30">H42</f>
        <v>2451</v>
      </c>
    </row>
    <row r="143" spans="1:8" ht="11.25" customHeight="1">
      <c r="A143" s="99">
        <v>2003</v>
      </c>
      <c r="B143" s="18">
        <f t="shared" si="18"/>
        <v>0</v>
      </c>
      <c r="C143" s="18">
        <f t="shared" si="18"/>
        <v>0</v>
      </c>
      <c r="D143" s="18">
        <f t="shared" si="18"/>
        <v>172</v>
      </c>
      <c r="E143" s="18">
        <f t="shared" si="18"/>
        <v>41</v>
      </c>
      <c r="F143" s="18">
        <f t="shared" si="18"/>
        <v>23</v>
      </c>
      <c r="G143" s="18">
        <f t="shared" si="18"/>
        <v>0</v>
      </c>
      <c r="H143" s="18">
        <f t="shared" ref="H143" si="31">H43</f>
        <v>236</v>
      </c>
    </row>
    <row r="144" spans="1:8" ht="11.25" customHeight="1">
      <c r="A144" s="99">
        <v>2005</v>
      </c>
      <c r="B144" s="18">
        <f t="shared" si="18"/>
        <v>0</v>
      </c>
      <c r="C144" s="18">
        <f t="shared" si="18"/>
        <v>0</v>
      </c>
      <c r="D144" s="18">
        <f t="shared" si="18"/>
        <v>186</v>
      </c>
      <c r="E144" s="18">
        <f t="shared" si="18"/>
        <v>198</v>
      </c>
      <c r="F144" s="18">
        <f t="shared" si="18"/>
        <v>3</v>
      </c>
      <c r="G144" s="18">
        <f t="shared" si="18"/>
        <v>0</v>
      </c>
      <c r="H144" s="18">
        <f t="shared" ref="H144" si="32">H44</f>
        <v>387</v>
      </c>
    </row>
    <row r="145" spans="1:8" ht="11.25" customHeight="1">
      <c r="A145" s="99">
        <v>2007</v>
      </c>
      <c r="B145" s="18">
        <f t="shared" si="18"/>
        <v>0</v>
      </c>
      <c r="C145" s="18">
        <f t="shared" si="18"/>
        <v>7</v>
      </c>
      <c r="D145" s="18">
        <f t="shared" si="18"/>
        <v>326</v>
      </c>
      <c r="E145" s="18">
        <f t="shared" si="18"/>
        <v>251</v>
      </c>
      <c r="F145" s="18">
        <f t="shared" si="18"/>
        <v>0</v>
      </c>
      <c r="G145" s="18">
        <f t="shared" si="18"/>
        <v>0</v>
      </c>
      <c r="H145" s="18">
        <f t="shared" ref="H145" si="33">H45</f>
        <v>584</v>
      </c>
    </row>
    <row r="146" spans="1:8" ht="11.25" customHeight="1">
      <c r="A146" s="99">
        <v>2009</v>
      </c>
      <c r="B146" s="18">
        <f t="shared" si="18"/>
        <v>0</v>
      </c>
      <c r="C146" s="18">
        <f t="shared" si="18"/>
        <v>0</v>
      </c>
      <c r="D146" s="18">
        <f t="shared" si="18"/>
        <v>431</v>
      </c>
      <c r="E146" s="18">
        <f t="shared" si="18"/>
        <v>369</v>
      </c>
      <c r="F146" s="18">
        <f t="shared" si="18"/>
        <v>0</v>
      </c>
      <c r="G146" s="18">
        <f t="shared" si="18"/>
        <v>0</v>
      </c>
      <c r="H146" s="18">
        <f t="shared" ref="H146" si="34">H46</f>
        <v>800</v>
      </c>
    </row>
    <row r="147" spans="1:8" ht="11.25" customHeight="1">
      <c r="A147" s="99">
        <v>2011</v>
      </c>
      <c r="B147" s="18">
        <f t="shared" si="18"/>
        <v>0</v>
      </c>
      <c r="C147" s="18">
        <f t="shared" si="18"/>
        <v>6</v>
      </c>
      <c r="D147" s="18">
        <f t="shared" si="18"/>
        <v>718</v>
      </c>
      <c r="E147" s="18">
        <f t="shared" si="18"/>
        <v>334</v>
      </c>
      <c r="F147" s="18">
        <f t="shared" si="18"/>
        <v>16</v>
      </c>
      <c r="G147" s="18">
        <f t="shared" si="18"/>
        <v>0</v>
      </c>
      <c r="H147" s="18">
        <f t="shared" ref="H147" si="35">H47</f>
        <v>1074</v>
      </c>
    </row>
    <row r="148" spans="1:8" ht="11.25" customHeight="1">
      <c r="A148" s="99">
        <v>2013</v>
      </c>
      <c r="B148" s="18">
        <f t="shared" si="18"/>
        <v>0</v>
      </c>
      <c r="C148" s="18">
        <f t="shared" si="18"/>
        <v>0</v>
      </c>
      <c r="D148" s="18">
        <f t="shared" si="18"/>
        <v>89</v>
      </c>
      <c r="E148" s="18">
        <f t="shared" si="18"/>
        <v>120</v>
      </c>
      <c r="F148" s="18">
        <f t="shared" si="18"/>
        <v>0</v>
      </c>
      <c r="G148" s="18">
        <f t="shared" si="18"/>
        <v>0</v>
      </c>
      <c r="H148" s="18">
        <f t="shared" ref="H148" si="36">H48</f>
        <v>209</v>
      </c>
    </row>
    <row r="149" spans="1:8" ht="11.25" customHeight="1">
      <c r="A149" s="99">
        <v>2015</v>
      </c>
      <c r="B149" s="18">
        <f t="shared" si="18"/>
        <v>0</v>
      </c>
      <c r="C149" s="18">
        <f t="shared" si="18"/>
        <v>6</v>
      </c>
      <c r="D149" s="18">
        <f t="shared" si="18"/>
        <v>98</v>
      </c>
      <c r="E149" s="18">
        <f t="shared" si="18"/>
        <v>18</v>
      </c>
      <c r="F149" s="18">
        <f t="shared" si="18"/>
        <v>0</v>
      </c>
      <c r="G149" s="18">
        <f t="shared" si="18"/>
        <v>0</v>
      </c>
      <c r="H149" s="18">
        <f t="shared" ref="H149" si="37">H49</f>
        <v>122</v>
      </c>
    </row>
    <row r="150" spans="1:8" ht="11.25" customHeight="1">
      <c r="A150" s="99">
        <v>2017</v>
      </c>
      <c r="B150" s="18">
        <f t="shared" si="18"/>
        <v>0</v>
      </c>
      <c r="C150" s="18">
        <f t="shared" si="18"/>
        <v>0</v>
      </c>
      <c r="D150" s="18">
        <f t="shared" si="18"/>
        <v>61</v>
      </c>
      <c r="E150" s="18">
        <f t="shared" si="18"/>
        <v>134</v>
      </c>
      <c r="F150" s="18">
        <f t="shared" si="18"/>
        <v>0</v>
      </c>
      <c r="G150" s="18">
        <f t="shared" si="18"/>
        <v>0</v>
      </c>
      <c r="H150" s="18">
        <f t="shared" ref="H150" si="38">H50</f>
        <v>195</v>
      </c>
    </row>
    <row r="151" spans="1:8" ht="11.25" customHeight="1">
      <c r="A151" s="99">
        <v>2019</v>
      </c>
      <c r="B151" s="18">
        <f t="shared" si="18"/>
        <v>0</v>
      </c>
      <c r="C151" s="18">
        <f t="shared" si="18"/>
        <v>0</v>
      </c>
      <c r="D151" s="18">
        <f t="shared" si="18"/>
        <v>243</v>
      </c>
      <c r="E151" s="18">
        <f t="shared" si="18"/>
        <v>270</v>
      </c>
      <c r="F151" s="18">
        <f t="shared" si="18"/>
        <v>0</v>
      </c>
      <c r="G151" s="18">
        <f t="shared" si="18"/>
        <v>0</v>
      </c>
      <c r="H151" s="18">
        <f t="shared" ref="H151" si="39">H51</f>
        <v>513</v>
      </c>
    </row>
    <row r="152" spans="1:8" ht="11.25" customHeight="1">
      <c r="A152" s="99" t="s">
        <v>314</v>
      </c>
      <c r="B152" s="18">
        <f t="shared" si="18"/>
        <v>0</v>
      </c>
      <c r="C152" s="18">
        <f t="shared" si="18"/>
        <v>0</v>
      </c>
      <c r="D152" s="18">
        <f t="shared" si="18"/>
        <v>17</v>
      </c>
      <c r="E152" s="18">
        <f t="shared" si="18"/>
        <v>41</v>
      </c>
      <c r="F152" s="18">
        <f t="shared" si="18"/>
        <v>0</v>
      </c>
      <c r="G152" s="18">
        <f t="shared" si="18"/>
        <v>0</v>
      </c>
      <c r="H152" s="18">
        <f t="shared" ref="H152" si="40">H52</f>
        <v>58</v>
      </c>
    </row>
    <row r="153" spans="1:8" ht="11.25" customHeight="1"/>
    <row r="154" spans="1:8" ht="11.25" customHeight="1">
      <c r="A154" s="103" t="s">
        <v>249</v>
      </c>
      <c r="B154" s="142"/>
      <c r="C154" s="142"/>
      <c r="D154" s="142"/>
    </row>
    <row r="155" spans="1:8" ht="11.25" customHeight="1">
      <c r="A155" s="99">
        <v>1977</v>
      </c>
      <c r="B155" s="18">
        <f>IF(AND(B105="-",B130="-"),"-",SUM(B105,B130))</f>
        <v>1154</v>
      </c>
      <c r="C155" s="18">
        <f t="shared" ref="B155:H164" si="41">IF(AND(C105="-",C130="-"),"-",SUM(C105,C130))</f>
        <v>2370</v>
      </c>
      <c r="D155" s="18">
        <f t="shared" si="41"/>
        <v>103804</v>
      </c>
      <c r="E155" s="18">
        <f t="shared" si="41"/>
        <v>168026</v>
      </c>
      <c r="F155" s="18">
        <f t="shared" si="41"/>
        <v>9196</v>
      </c>
      <c r="G155" s="18">
        <f t="shared" si="41"/>
        <v>0</v>
      </c>
      <c r="H155" s="18">
        <f t="shared" si="41"/>
        <v>284550</v>
      </c>
    </row>
    <row r="156" spans="1:8" ht="11.25" customHeight="1">
      <c r="A156" s="99">
        <v>1979</v>
      </c>
      <c r="B156" s="18">
        <f t="shared" si="41"/>
        <v>83</v>
      </c>
      <c r="C156" s="18">
        <f t="shared" si="41"/>
        <v>1687</v>
      </c>
      <c r="D156" s="18">
        <f t="shared" si="41"/>
        <v>94265</v>
      </c>
      <c r="E156" s="18">
        <f t="shared" si="41"/>
        <v>462918</v>
      </c>
      <c r="F156" s="18">
        <f t="shared" si="41"/>
        <v>2443</v>
      </c>
      <c r="G156" s="18">
        <f t="shared" si="41"/>
        <v>0</v>
      </c>
      <c r="H156" s="18">
        <f t="shared" si="41"/>
        <v>561396</v>
      </c>
    </row>
    <row r="157" spans="1:8" ht="11.25" customHeight="1">
      <c r="A157" s="99">
        <v>1981</v>
      </c>
      <c r="B157" s="18">
        <f t="shared" si="41"/>
        <v>689</v>
      </c>
      <c r="C157" s="18">
        <f t="shared" si="41"/>
        <v>320</v>
      </c>
      <c r="D157" s="18">
        <f t="shared" si="41"/>
        <v>69506</v>
      </c>
      <c r="E157" s="18">
        <f t="shared" si="41"/>
        <v>167182</v>
      </c>
      <c r="F157" s="18">
        <f t="shared" si="41"/>
        <v>441</v>
      </c>
      <c r="G157" s="18">
        <f t="shared" si="41"/>
        <v>0</v>
      </c>
      <c r="H157" s="18">
        <f t="shared" si="41"/>
        <v>238138</v>
      </c>
    </row>
    <row r="158" spans="1:8" ht="11.25" customHeight="1">
      <c r="A158" s="99">
        <v>1983</v>
      </c>
      <c r="B158" s="18">
        <f t="shared" si="41"/>
        <v>2</v>
      </c>
      <c r="C158" s="18">
        <f t="shared" si="41"/>
        <v>37</v>
      </c>
      <c r="D158" s="18">
        <f t="shared" si="41"/>
        <v>80656</v>
      </c>
      <c r="E158" s="18">
        <f t="shared" si="41"/>
        <v>23983</v>
      </c>
      <c r="F158" s="18">
        <f t="shared" si="41"/>
        <v>648</v>
      </c>
      <c r="G158" s="18">
        <f t="shared" si="41"/>
        <v>0</v>
      </c>
      <c r="H158" s="18">
        <f t="shared" si="41"/>
        <v>105326</v>
      </c>
    </row>
    <row r="159" spans="1:8" ht="11.25" customHeight="1">
      <c r="A159" s="99">
        <v>1985</v>
      </c>
      <c r="B159" s="18">
        <f t="shared" si="41"/>
        <v>110</v>
      </c>
      <c r="C159" s="18">
        <f t="shared" si="41"/>
        <v>395</v>
      </c>
      <c r="D159" s="18">
        <f t="shared" si="41"/>
        <v>10762</v>
      </c>
      <c r="E159" s="18">
        <f t="shared" si="41"/>
        <v>100208</v>
      </c>
      <c r="F159" s="18">
        <f t="shared" si="41"/>
        <v>703</v>
      </c>
      <c r="G159" s="18">
        <f t="shared" si="41"/>
        <v>0</v>
      </c>
      <c r="H159" s="18">
        <f t="shared" si="41"/>
        <v>112178</v>
      </c>
    </row>
    <row r="160" spans="1:8" ht="11.25" customHeight="1">
      <c r="A160" s="99">
        <v>1987</v>
      </c>
      <c r="B160" s="18">
        <f t="shared" si="41"/>
        <v>4</v>
      </c>
      <c r="C160" s="18">
        <f t="shared" si="41"/>
        <v>0</v>
      </c>
      <c r="D160" s="18">
        <f t="shared" si="41"/>
        <v>13636</v>
      </c>
      <c r="E160" s="18">
        <f t="shared" si="41"/>
        <v>5840</v>
      </c>
      <c r="F160" s="18">
        <f t="shared" si="41"/>
        <v>0</v>
      </c>
      <c r="G160" s="18">
        <f t="shared" si="41"/>
        <v>0</v>
      </c>
      <c r="H160" s="18">
        <f t="shared" si="41"/>
        <v>19480</v>
      </c>
    </row>
    <row r="161" spans="1:8" ht="11.25" customHeight="1">
      <c r="A161" s="99">
        <v>1989</v>
      </c>
      <c r="B161" s="18">
        <f t="shared" si="41"/>
        <v>235</v>
      </c>
      <c r="C161" s="18">
        <f t="shared" si="41"/>
        <v>202</v>
      </c>
      <c r="D161" s="18">
        <f t="shared" si="41"/>
        <v>7206</v>
      </c>
      <c r="E161" s="18">
        <f t="shared" si="41"/>
        <v>38955</v>
      </c>
      <c r="F161" s="18">
        <f t="shared" si="41"/>
        <v>1184</v>
      </c>
      <c r="G161" s="18">
        <f t="shared" si="41"/>
        <v>0</v>
      </c>
      <c r="H161" s="18">
        <f t="shared" si="41"/>
        <v>47782</v>
      </c>
    </row>
    <row r="162" spans="1:8" ht="11.25" customHeight="1">
      <c r="A162" s="99">
        <v>1991</v>
      </c>
      <c r="B162" s="18">
        <f t="shared" si="41"/>
        <v>4</v>
      </c>
      <c r="C162" s="18">
        <f t="shared" si="41"/>
        <v>19</v>
      </c>
      <c r="D162" s="18">
        <f t="shared" si="41"/>
        <v>1148</v>
      </c>
      <c r="E162" s="18">
        <f t="shared" si="41"/>
        <v>46729</v>
      </c>
      <c r="F162" s="18">
        <f t="shared" si="41"/>
        <v>295</v>
      </c>
      <c r="G162" s="18">
        <f t="shared" si="41"/>
        <v>0</v>
      </c>
      <c r="H162" s="18">
        <f t="shared" si="41"/>
        <v>48195</v>
      </c>
    </row>
    <row r="163" spans="1:8" ht="11.25" customHeight="1">
      <c r="A163" s="99">
        <v>1993</v>
      </c>
      <c r="B163" s="18">
        <f t="shared" si="41"/>
        <v>16</v>
      </c>
      <c r="C163" s="18">
        <f t="shared" si="41"/>
        <v>1</v>
      </c>
      <c r="D163" s="18">
        <f t="shared" si="41"/>
        <v>437</v>
      </c>
      <c r="E163" s="18">
        <f t="shared" si="41"/>
        <v>5014</v>
      </c>
      <c r="F163" s="18">
        <f t="shared" si="41"/>
        <v>786</v>
      </c>
      <c r="G163" s="18">
        <f t="shared" si="41"/>
        <v>0</v>
      </c>
      <c r="H163" s="18">
        <f t="shared" si="41"/>
        <v>6254</v>
      </c>
    </row>
    <row r="164" spans="1:8" ht="11.25" customHeight="1">
      <c r="A164" s="99">
        <v>1995</v>
      </c>
      <c r="B164" s="18">
        <f t="shared" si="41"/>
        <v>0</v>
      </c>
      <c r="C164" s="18">
        <f t="shared" si="41"/>
        <v>0</v>
      </c>
      <c r="D164" s="18">
        <f t="shared" si="41"/>
        <v>0</v>
      </c>
      <c r="E164" s="18">
        <f t="shared" si="41"/>
        <v>41000</v>
      </c>
      <c r="F164" s="18">
        <f t="shared" si="41"/>
        <v>872</v>
      </c>
      <c r="G164" s="18">
        <f t="shared" si="41"/>
        <v>0</v>
      </c>
      <c r="H164" s="18">
        <f t="shared" si="41"/>
        <v>41872</v>
      </c>
    </row>
    <row r="165" spans="1:8" ht="11.25" customHeight="1">
      <c r="A165" s="99">
        <v>1997</v>
      </c>
      <c r="B165" s="18">
        <f t="shared" ref="B165:H174" si="42">IF(AND(B115="-",B140="-"),"-",SUM(B115,B140))</f>
        <v>2</v>
      </c>
      <c r="C165" s="18">
        <f t="shared" si="42"/>
        <v>3</v>
      </c>
      <c r="D165" s="18">
        <f t="shared" si="42"/>
        <v>0</v>
      </c>
      <c r="E165" s="18">
        <f t="shared" si="42"/>
        <v>1757</v>
      </c>
      <c r="F165" s="18">
        <f t="shared" si="42"/>
        <v>53</v>
      </c>
      <c r="G165" s="18" t="str">
        <f t="shared" si="42"/>
        <v>-</v>
      </c>
      <c r="H165" s="18">
        <f t="shared" si="42"/>
        <v>1815</v>
      </c>
    </row>
    <row r="166" spans="1:8" ht="11.25" customHeight="1">
      <c r="A166" s="99">
        <v>1999</v>
      </c>
      <c r="B166" s="18">
        <f t="shared" si="42"/>
        <v>0</v>
      </c>
      <c r="C166" s="18">
        <f t="shared" si="42"/>
        <v>1</v>
      </c>
      <c r="D166" s="18">
        <f t="shared" si="42"/>
        <v>31</v>
      </c>
      <c r="E166" s="18">
        <f t="shared" si="42"/>
        <v>1409</v>
      </c>
      <c r="F166" s="18">
        <f t="shared" si="42"/>
        <v>108</v>
      </c>
      <c r="G166" s="18" t="str">
        <f t="shared" si="42"/>
        <v>-</v>
      </c>
      <c r="H166" s="18">
        <f t="shared" si="42"/>
        <v>1549</v>
      </c>
    </row>
    <row r="167" spans="1:8" ht="11.25" customHeight="1">
      <c r="A167" s="99">
        <v>2001</v>
      </c>
      <c r="B167" s="18">
        <f t="shared" si="42"/>
        <v>207</v>
      </c>
      <c r="C167" s="18">
        <f t="shared" si="42"/>
        <v>59</v>
      </c>
      <c r="D167" s="18">
        <f t="shared" si="42"/>
        <v>766</v>
      </c>
      <c r="E167" s="18">
        <f t="shared" si="42"/>
        <v>1588</v>
      </c>
      <c r="F167" s="18">
        <f t="shared" si="42"/>
        <v>207</v>
      </c>
      <c r="G167" s="18" t="str">
        <f t="shared" si="42"/>
        <v>-</v>
      </c>
      <c r="H167" s="18">
        <f t="shared" si="42"/>
        <v>2827</v>
      </c>
    </row>
    <row r="168" spans="1:8" ht="11.25" customHeight="1">
      <c r="A168" s="99">
        <v>2003</v>
      </c>
      <c r="B168" s="18">
        <f t="shared" si="42"/>
        <v>0</v>
      </c>
      <c r="C168" s="18">
        <f t="shared" si="42"/>
        <v>2</v>
      </c>
      <c r="D168" s="18">
        <f t="shared" si="42"/>
        <v>357</v>
      </c>
      <c r="E168" s="18">
        <f t="shared" si="42"/>
        <v>120</v>
      </c>
      <c r="F168" s="18">
        <f t="shared" si="42"/>
        <v>33</v>
      </c>
      <c r="G168" s="18">
        <f t="shared" si="42"/>
        <v>0</v>
      </c>
      <c r="H168" s="18">
        <f t="shared" si="42"/>
        <v>512</v>
      </c>
    </row>
    <row r="169" spans="1:8" ht="11.25" customHeight="1">
      <c r="A169" s="99">
        <v>2005</v>
      </c>
      <c r="B169" s="18">
        <f t="shared" si="42"/>
        <v>4</v>
      </c>
      <c r="C169" s="18">
        <f t="shared" si="42"/>
        <v>0</v>
      </c>
      <c r="D169" s="18">
        <f t="shared" si="42"/>
        <v>189</v>
      </c>
      <c r="E169" s="18">
        <f t="shared" si="42"/>
        <v>201</v>
      </c>
      <c r="F169" s="18">
        <f t="shared" si="42"/>
        <v>4</v>
      </c>
      <c r="G169" s="18">
        <f t="shared" si="42"/>
        <v>0</v>
      </c>
      <c r="H169" s="18">
        <f t="shared" si="42"/>
        <v>398</v>
      </c>
    </row>
    <row r="170" spans="1:8" ht="11.25" customHeight="1">
      <c r="A170" s="99">
        <v>2007</v>
      </c>
      <c r="B170" s="18">
        <f t="shared" si="42"/>
        <v>73</v>
      </c>
      <c r="C170" s="18">
        <f t="shared" si="42"/>
        <v>26</v>
      </c>
      <c r="D170" s="18">
        <f t="shared" si="42"/>
        <v>449</v>
      </c>
      <c r="E170" s="18">
        <f t="shared" si="42"/>
        <v>263</v>
      </c>
      <c r="F170" s="18">
        <f t="shared" si="42"/>
        <v>0</v>
      </c>
      <c r="G170" s="18">
        <f t="shared" si="42"/>
        <v>0</v>
      </c>
      <c r="H170" s="18">
        <f t="shared" si="42"/>
        <v>811</v>
      </c>
    </row>
    <row r="171" spans="1:8" ht="11.25" customHeight="1">
      <c r="A171" s="99">
        <v>2009</v>
      </c>
      <c r="B171" s="18">
        <f t="shared" si="42"/>
        <v>1</v>
      </c>
      <c r="C171" s="18">
        <f t="shared" si="42"/>
        <v>14</v>
      </c>
      <c r="D171" s="18">
        <f t="shared" si="42"/>
        <v>515</v>
      </c>
      <c r="E171" s="18">
        <f t="shared" si="42"/>
        <v>414</v>
      </c>
      <c r="F171" s="18">
        <f t="shared" si="42"/>
        <v>9</v>
      </c>
      <c r="G171" s="18">
        <f t="shared" si="42"/>
        <v>0</v>
      </c>
      <c r="H171" s="18">
        <f t="shared" si="42"/>
        <v>953</v>
      </c>
    </row>
    <row r="172" spans="1:8" ht="11.25" customHeight="1">
      <c r="A172" s="99">
        <v>2011</v>
      </c>
      <c r="B172" s="18">
        <f t="shared" si="42"/>
        <v>0</v>
      </c>
      <c r="C172" s="18">
        <f t="shared" si="42"/>
        <v>42</v>
      </c>
      <c r="D172" s="18">
        <f t="shared" si="42"/>
        <v>726</v>
      </c>
      <c r="E172" s="18">
        <f t="shared" si="42"/>
        <v>460</v>
      </c>
      <c r="F172" s="18">
        <f t="shared" si="42"/>
        <v>109</v>
      </c>
      <c r="G172" s="18">
        <f t="shared" si="42"/>
        <v>1</v>
      </c>
      <c r="H172" s="18">
        <f t="shared" si="42"/>
        <v>1338</v>
      </c>
    </row>
    <row r="173" spans="1:8" ht="11.25" customHeight="1">
      <c r="A173" s="99">
        <v>2013</v>
      </c>
      <c r="B173" s="18">
        <f t="shared" si="42"/>
        <v>0</v>
      </c>
      <c r="C173" s="18">
        <f t="shared" si="42"/>
        <v>2</v>
      </c>
      <c r="D173" s="18">
        <f t="shared" si="42"/>
        <v>89</v>
      </c>
      <c r="E173" s="18">
        <f t="shared" si="42"/>
        <v>221</v>
      </c>
      <c r="F173" s="18">
        <f t="shared" si="42"/>
        <v>37</v>
      </c>
      <c r="G173" s="18">
        <f t="shared" si="42"/>
        <v>1</v>
      </c>
      <c r="H173" s="18">
        <f t="shared" si="42"/>
        <v>350</v>
      </c>
    </row>
    <row r="174" spans="1:8" ht="11.25" customHeight="1">
      <c r="A174" s="99">
        <v>2015</v>
      </c>
      <c r="B174" s="18">
        <f t="shared" si="42"/>
        <v>0</v>
      </c>
      <c r="C174" s="18">
        <f t="shared" si="42"/>
        <v>7</v>
      </c>
      <c r="D174" s="18">
        <f t="shared" si="42"/>
        <v>118</v>
      </c>
      <c r="E174" s="18">
        <f t="shared" si="42"/>
        <v>65</v>
      </c>
      <c r="F174" s="18">
        <f t="shared" si="42"/>
        <v>0</v>
      </c>
      <c r="G174" s="18">
        <f t="shared" si="42"/>
        <v>0</v>
      </c>
      <c r="H174" s="18">
        <f t="shared" si="42"/>
        <v>190</v>
      </c>
    </row>
    <row r="175" spans="1:8" ht="11.25" customHeight="1">
      <c r="A175" s="99">
        <v>2017</v>
      </c>
      <c r="B175" s="18">
        <f t="shared" ref="B175:H175" si="43">IF(AND(B125="-",B150="-"),"-",SUM(B125,B150))</f>
        <v>0</v>
      </c>
      <c r="C175" s="18">
        <f t="shared" si="43"/>
        <v>0</v>
      </c>
      <c r="D175" s="18">
        <f t="shared" si="43"/>
        <v>71</v>
      </c>
      <c r="E175" s="18">
        <f t="shared" si="43"/>
        <v>137</v>
      </c>
      <c r="F175" s="18">
        <f t="shared" si="43"/>
        <v>0</v>
      </c>
      <c r="G175" s="18">
        <f t="shared" si="43"/>
        <v>13</v>
      </c>
      <c r="H175" s="18">
        <f t="shared" si="43"/>
        <v>195</v>
      </c>
    </row>
    <row r="176" spans="1:8" ht="11.25" customHeight="1">
      <c r="A176" s="99">
        <v>2019</v>
      </c>
      <c r="B176" s="18">
        <f>IF(AND(B126="-",B151="-"),"-",SUM(B126,B151))</f>
        <v>0</v>
      </c>
      <c r="C176" s="18">
        <f t="shared" ref="C176:G177" si="44">IF(AND(C126="-",C151="-"),"-",SUM(C126,C151))</f>
        <v>0</v>
      </c>
      <c r="D176" s="18">
        <f t="shared" si="44"/>
        <v>726</v>
      </c>
      <c r="E176" s="18">
        <f t="shared" si="44"/>
        <v>272</v>
      </c>
      <c r="F176" s="18">
        <f t="shared" si="44"/>
        <v>0</v>
      </c>
      <c r="G176" s="18">
        <f t="shared" si="44"/>
        <v>0</v>
      </c>
      <c r="H176" s="18">
        <f>IF(AND(H126="-",H151="-"),"-",SUM(H126,H151))</f>
        <v>998</v>
      </c>
    </row>
    <row r="177" spans="1:8" ht="11.25" customHeight="1">
      <c r="A177" s="99" t="s">
        <v>314</v>
      </c>
      <c r="B177" s="18">
        <f>IF(AND(B127="-",B152="-"),"-",SUM(B127,B152))</f>
        <v>0</v>
      </c>
      <c r="C177" s="18">
        <f t="shared" si="44"/>
        <v>0</v>
      </c>
      <c r="D177" s="18">
        <f t="shared" si="44"/>
        <v>21</v>
      </c>
      <c r="E177" s="18">
        <f t="shared" si="44"/>
        <v>70</v>
      </c>
      <c r="F177" s="18">
        <f t="shared" si="44"/>
        <v>0</v>
      </c>
      <c r="G177" s="18">
        <f t="shared" si="44"/>
        <v>0</v>
      </c>
      <c r="H177" s="18">
        <f>IF(AND(H127="-",H152="-"),"-",SUM(H127,H152))</f>
        <v>91</v>
      </c>
    </row>
    <row r="178" spans="1:8" s="219" customFormat="1" ht="21" customHeight="1">
      <c r="A178" s="344" t="s">
        <v>88</v>
      </c>
      <c r="B178" s="344"/>
      <c r="C178" s="344"/>
      <c r="D178" s="344"/>
      <c r="E178" s="344"/>
      <c r="F178" s="344"/>
      <c r="G178" s="344"/>
      <c r="H178" s="344"/>
    </row>
    <row r="179" spans="1:8" s="219" customFormat="1" ht="11.25" customHeight="1">
      <c r="A179" s="99" t="s">
        <v>42</v>
      </c>
    </row>
    <row r="180" spans="1:8" s="219" customFormat="1" ht="11.25" customHeight="1">
      <c r="A180" s="280" t="s">
        <v>107</v>
      </c>
      <c r="B180" s="280"/>
      <c r="C180" s="280"/>
      <c r="D180" s="280"/>
      <c r="E180" s="280"/>
      <c r="F180" s="280"/>
      <c r="G180" s="280"/>
      <c r="H180" s="280"/>
    </row>
    <row r="181" spans="1:8" ht="11.25" customHeight="1">
      <c r="A181" s="226"/>
      <c r="B181" s="49"/>
      <c r="C181" s="49"/>
      <c r="D181" s="49"/>
      <c r="E181" s="49"/>
      <c r="F181" s="49"/>
      <c r="G181" s="49"/>
      <c r="H181" s="49"/>
    </row>
    <row r="182" spans="1:8" ht="11.25" customHeight="1"/>
    <row r="183" spans="1:8" ht="11.25" customHeight="1"/>
    <row r="184" spans="1:8" ht="11.25" customHeight="1"/>
    <row r="185" spans="1:8" ht="11.25" customHeight="1"/>
    <row r="186" spans="1:8" ht="11.25" customHeight="1"/>
    <row r="187" spans="1:8" ht="11.25" customHeight="1"/>
    <row r="188" spans="1:8" ht="11.25" customHeight="1">
      <c r="A188" s="158"/>
      <c r="B188" s="167"/>
      <c r="C188" s="167"/>
      <c r="D188" s="167"/>
      <c r="E188" s="167"/>
      <c r="F188" s="167"/>
      <c r="G188" s="167"/>
      <c r="H188" s="167"/>
    </row>
    <row r="189" spans="1:8" ht="11.25" customHeight="1"/>
    <row r="190" spans="1:8" ht="11.25" customHeight="1"/>
    <row r="191" spans="1:8" ht="11.25" customHeight="1"/>
    <row r="192" spans="1:8" ht="11.25" customHeight="1"/>
    <row r="193" spans="1:8" ht="11.25" customHeight="1">
      <c r="A193" s="314" t="s">
        <v>302</v>
      </c>
      <c r="B193" s="314"/>
      <c r="C193" s="314"/>
      <c r="D193" s="314"/>
      <c r="E193" s="314"/>
      <c r="F193" s="314"/>
      <c r="G193" s="314"/>
      <c r="H193" s="314"/>
    </row>
    <row r="194" spans="1:8" ht="11.25" customHeight="1">
      <c r="A194" s="360"/>
      <c r="B194" s="360"/>
      <c r="C194" s="360"/>
      <c r="D194" s="360"/>
      <c r="E194" s="360"/>
      <c r="F194" s="360"/>
      <c r="G194" s="360"/>
      <c r="H194" s="360"/>
    </row>
    <row r="195" spans="1:8" ht="11.25" customHeight="1">
      <c r="A195" s="98" t="s">
        <v>27</v>
      </c>
      <c r="B195" s="196" t="s">
        <v>94</v>
      </c>
      <c r="C195" s="196" t="s">
        <v>30</v>
      </c>
      <c r="D195" s="196" t="s">
        <v>95</v>
      </c>
      <c r="E195" s="196" t="s">
        <v>96</v>
      </c>
      <c r="F195" s="196" t="s">
        <v>97</v>
      </c>
      <c r="G195" s="196" t="s">
        <v>98</v>
      </c>
      <c r="H195" s="196" t="s">
        <v>22</v>
      </c>
    </row>
    <row r="196" spans="1:8">
      <c r="A196" s="102" t="s">
        <v>85</v>
      </c>
      <c r="B196" s="18"/>
      <c r="C196" s="18"/>
      <c r="D196" s="18"/>
      <c r="E196" s="18"/>
      <c r="F196" s="18"/>
      <c r="G196" s="18"/>
      <c r="H196" s="18"/>
    </row>
    <row r="197" spans="1:8" ht="11.25" customHeight="1">
      <c r="A197" s="99" t="s">
        <v>24</v>
      </c>
      <c r="B197" s="18">
        <f>AVERAGE(B7:B9)</f>
        <v>230.33333333333334</v>
      </c>
      <c r="C197" s="18">
        <f>AVERAGE(C7:C9)</f>
        <v>33</v>
      </c>
      <c r="D197" s="18">
        <f>AVERAGE(D7:D9)</f>
        <v>50591.333333333336</v>
      </c>
      <c r="E197" s="18">
        <f>AVERAGE(E7:E9)</f>
        <v>86991.333333333328</v>
      </c>
      <c r="F197" s="18">
        <f>AVERAGE(F7:F9)</f>
        <v>415</v>
      </c>
      <c r="G197" s="18" t="str">
        <f t="shared" ref="G197:G199" si="45">G10</f>
        <v>-</v>
      </c>
      <c r="H197" s="18">
        <f>AVERAGE(H7:H9)</f>
        <v>138122.66666666666</v>
      </c>
    </row>
    <row r="198" spans="1:8" ht="11.25" customHeight="1">
      <c r="A198" s="99" t="s">
        <v>78</v>
      </c>
      <c r="B198" s="18">
        <f>AVERAGE(B10:B11)</f>
        <v>114.5</v>
      </c>
      <c r="C198" s="18">
        <f>AVERAGE(C10:C11)</f>
        <v>182</v>
      </c>
      <c r="D198" s="18">
        <f>AVERAGE(D10:D11)</f>
        <v>2642</v>
      </c>
      <c r="E198" s="18">
        <f>AVERAGE(E10:E11)</f>
        <v>36286</v>
      </c>
      <c r="F198" s="18" t="str">
        <f>F11</f>
        <v>-</v>
      </c>
      <c r="G198" s="18" t="str">
        <f t="shared" si="45"/>
        <v>-</v>
      </c>
      <c r="H198" s="18">
        <f>AVERAGE(H10:H11)</f>
        <v>19669.5</v>
      </c>
    </row>
    <row r="199" spans="1:8" ht="11.25" customHeight="1">
      <c r="A199" s="99" t="s">
        <v>10</v>
      </c>
      <c r="B199" s="18">
        <f>AVERAGE(B12:B14)</f>
        <v>10</v>
      </c>
      <c r="C199" s="18">
        <f>AVERAGE(C12:C14)</f>
        <v>9</v>
      </c>
      <c r="D199" s="18">
        <f>AVERAGE(D12:D14)</f>
        <v>88</v>
      </c>
      <c r="E199" s="18">
        <f>AVERAGE(E12:E14)</f>
        <v>25340.333333333332</v>
      </c>
      <c r="F199" s="18">
        <f>AVERAGE(F12:F14)</f>
        <v>390</v>
      </c>
      <c r="G199" s="18" t="str">
        <f t="shared" si="45"/>
        <v>-</v>
      </c>
      <c r="H199" s="18">
        <f>AVERAGE(H12:H14)</f>
        <v>25772.333333333332</v>
      </c>
    </row>
    <row r="200" spans="1:8" ht="11.25" customHeight="1">
      <c r="A200" s="99" t="s">
        <v>144</v>
      </c>
      <c r="B200" s="18">
        <f>AVERAGE(B15:B16)</f>
        <v>1</v>
      </c>
      <c r="C200" s="18">
        <f t="shared" ref="C200:H200" si="46">AVERAGE(C15:C16)</f>
        <v>2</v>
      </c>
      <c r="D200" s="18">
        <f t="shared" si="46"/>
        <v>31</v>
      </c>
      <c r="E200" s="18">
        <f t="shared" si="46"/>
        <v>21</v>
      </c>
      <c r="F200" s="18">
        <f t="shared" si="46"/>
        <v>0</v>
      </c>
      <c r="G200" s="18" t="str">
        <f>G15</f>
        <v>-</v>
      </c>
      <c r="H200" s="18">
        <f t="shared" si="46"/>
        <v>29</v>
      </c>
    </row>
    <row r="201" spans="1:8" ht="11.25" customHeight="1">
      <c r="A201" s="99" t="s">
        <v>166</v>
      </c>
      <c r="B201" s="18">
        <f>AVERAGE(B17:B19)</f>
        <v>1.6666666666666667</v>
      </c>
      <c r="C201" s="18">
        <f t="shared" ref="C201:H201" si="47">AVERAGE(C17:C19)</f>
        <v>3</v>
      </c>
      <c r="D201" s="18">
        <f t="shared" si="47"/>
        <v>54.666666666666664</v>
      </c>
      <c r="E201" s="18">
        <f t="shared" si="47"/>
        <v>21.666666666666668</v>
      </c>
      <c r="F201" s="18">
        <f t="shared" si="47"/>
        <v>5</v>
      </c>
      <c r="G201" s="18" t="str">
        <f>G17</f>
        <v>-</v>
      </c>
      <c r="H201" s="18">
        <f t="shared" si="47"/>
        <v>84.333333333333329</v>
      </c>
    </row>
    <row r="202" spans="1:8" ht="11.25" customHeight="1">
      <c r="A202" s="99" t="s">
        <v>315</v>
      </c>
      <c r="B202" s="18">
        <f>AVERAGE(B20:B21)</f>
        <v>4.5</v>
      </c>
      <c r="C202" s="18">
        <f t="shared" ref="C202:H202" si="48">AVERAGE(C20:C21)</f>
        <v>16.5</v>
      </c>
      <c r="D202" s="18">
        <f t="shared" si="48"/>
        <v>100.5</v>
      </c>
      <c r="E202" s="18">
        <f t="shared" si="48"/>
        <v>19</v>
      </c>
      <c r="F202" s="18">
        <f t="shared" si="48"/>
        <v>0.5</v>
      </c>
      <c r="G202" s="18" t="str">
        <f>G20</f>
        <v>-</v>
      </c>
      <c r="H202" s="18">
        <f t="shared" si="48"/>
        <v>141</v>
      </c>
    </row>
    <row r="203" spans="1:8" ht="11.25" customHeight="1">
      <c r="A203" s="99">
        <v>2011</v>
      </c>
      <c r="B203" s="18">
        <f>B22</f>
        <v>0</v>
      </c>
      <c r="C203" s="18">
        <f t="shared" ref="C203:H203" si="49">C22</f>
        <v>0</v>
      </c>
      <c r="D203" s="18">
        <f t="shared" si="49"/>
        <v>3</v>
      </c>
      <c r="E203" s="18">
        <f t="shared" si="49"/>
        <v>118</v>
      </c>
      <c r="F203" s="18">
        <f t="shared" si="49"/>
        <v>93</v>
      </c>
      <c r="G203" s="18">
        <f t="shared" si="49"/>
        <v>1</v>
      </c>
      <c r="H203" s="18">
        <f t="shared" si="49"/>
        <v>215</v>
      </c>
    </row>
    <row r="204" spans="1:8" ht="11.25" customHeight="1">
      <c r="A204" s="99">
        <v>2013</v>
      </c>
      <c r="B204" s="18">
        <f>B23</f>
        <v>0</v>
      </c>
      <c r="C204" s="18">
        <f t="shared" ref="C204:H204" si="50">C23</f>
        <v>2</v>
      </c>
      <c r="D204" s="18">
        <f t="shared" si="50"/>
        <v>0</v>
      </c>
      <c r="E204" s="18">
        <f t="shared" si="50"/>
        <v>101</v>
      </c>
      <c r="F204" s="18">
        <f t="shared" si="50"/>
        <v>37</v>
      </c>
      <c r="G204" s="18">
        <f t="shared" si="50"/>
        <v>1</v>
      </c>
      <c r="H204" s="18">
        <f t="shared" si="50"/>
        <v>141</v>
      </c>
    </row>
    <row r="205" spans="1:8" ht="11.25" customHeight="1">
      <c r="A205" s="99">
        <v>2015</v>
      </c>
      <c r="B205" s="18">
        <f>B24</f>
        <v>0</v>
      </c>
      <c r="C205" s="18">
        <f t="shared" ref="C205:H205" si="51">C24</f>
        <v>1</v>
      </c>
      <c r="D205" s="18">
        <f t="shared" si="51"/>
        <v>20</v>
      </c>
      <c r="E205" s="18">
        <f t="shared" si="51"/>
        <v>47</v>
      </c>
      <c r="F205" s="18">
        <f t="shared" si="51"/>
        <v>0</v>
      </c>
      <c r="G205" s="18">
        <f t="shared" si="51"/>
        <v>0</v>
      </c>
      <c r="H205" s="18">
        <f t="shared" si="51"/>
        <v>68</v>
      </c>
    </row>
    <row r="206" spans="1:8" ht="11.25" customHeight="1">
      <c r="A206" s="99">
        <v>2017</v>
      </c>
      <c r="B206" s="18">
        <f>B25</f>
        <v>0</v>
      </c>
      <c r="C206" s="18">
        <f t="shared" ref="C206:H206" si="52">C25</f>
        <v>0</v>
      </c>
      <c r="D206" s="18">
        <f t="shared" si="52"/>
        <v>10</v>
      </c>
      <c r="E206" s="18">
        <f t="shared" si="52"/>
        <v>3</v>
      </c>
      <c r="F206" s="18">
        <f t="shared" si="52"/>
        <v>0</v>
      </c>
      <c r="G206" s="18">
        <f t="shared" si="52"/>
        <v>13</v>
      </c>
      <c r="H206" s="18">
        <f t="shared" si="52"/>
        <v>0</v>
      </c>
    </row>
    <row r="207" spans="1:8" ht="11.25" customHeight="1">
      <c r="A207" s="99">
        <v>2019</v>
      </c>
      <c r="B207" s="18">
        <f t="shared" ref="B207:B208" si="53">B26</f>
        <v>0</v>
      </c>
      <c r="C207" s="18">
        <f t="shared" ref="C207:H207" si="54">C26</f>
        <v>0</v>
      </c>
      <c r="D207" s="18">
        <f t="shared" si="54"/>
        <v>483</v>
      </c>
      <c r="E207" s="18">
        <f t="shared" si="54"/>
        <v>0</v>
      </c>
      <c r="F207" s="18">
        <f t="shared" si="54"/>
        <v>0</v>
      </c>
      <c r="G207" s="18">
        <f t="shared" si="54"/>
        <v>0</v>
      </c>
      <c r="H207" s="18">
        <f t="shared" si="54"/>
        <v>483</v>
      </c>
    </row>
    <row r="208" spans="1:8" ht="11.25" customHeight="1">
      <c r="A208" s="99" t="s">
        <v>314</v>
      </c>
      <c r="B208" s="18">
        <f t="shared" si="53"/>
        <v>0</v>
      </c>
      <c r="C208" s="18">
        <f t="shared" ref="C208:H208" si="55">C27</f>
        <v>0</v>
      </c>
      <c r="D208" s="18">
        <f t="shared" si="55"/>
        <v>4</v>
      </c>
      <c r="E208" s="18">
        <f t="shared" si="55"/>
        <v>29</v>
      </c>
      <c r="F208" s="18">
        <f t="shared" si="55"/>
        <v>0</v>
      </c>
      <c r="G208" s="18">
        <f t="shared" si="55"/>
        <v>0</v>
      </c>
      <c r="H208" s="18">
        <f t="shared" si="55"/>
        <v>33</v>
      </c>
    </row>
    <row r="209" spans="1:8" ht="11.25" customHeight="1">
      <c r="A209" s="99"/>
      <c r="B209" s="18"/>
      <c r="C209" s="18"/>
      <c r="D209" s="18"/>
      <c r="E209" s="18"/>
      <c r="F209" s="18"/>
      <c r="G209" s="18"/>
      <c r="H209" s="18"/>
    </row>
    <row r="210" spans="1:8">
      <c r="A210" s="102" t="s">
        <v>312</v>
      </c>
      <c r="B210" s="142"/>
      <c r="C210" s="142"/>
      <c r="D210" s="142"/>
      <c r="E210" s="18"/>
      <c r="F210" s="18"/>
      <c r="G210" s="18"/>
      <c r="H210" s="18"/>
    </row>
    <row r="211" spans="1:8" ht="11.25" customHeight="1">
      <c r="A211" s="99" t="s">
        <v>24</v>
      </c>
      <c r="B211" s="18">
        <f t="shared" ref="B211:H211" si="56">AVERAGE(B32:B34)</f>
        <v>31.666666666666668</v>
      </c>
      <c r="C211" s="18">
        <f t="shared" si="56"/>
        <v>214</v>
      </c>
      <c r="D211" s="18">
        <f t="shared" si="56"/>
        <v>2207.6666666666665</v>
      </c>
      <c r="E211" s="18">
        <f t="shared" si="56"/>
        <v>7806.333333333333</v>
      </c>
      <c r="F211" s="18">
        <f t="shared" si="56"/>
        <v>320.33333333333331</v>
      </c>
      <c r="G211" s="18">
        <f t="shared" si="56"/>
        <v>0</v>
      </c>
      <c r="H211" s="18">
        <f t="shared" si="56"/>
        <v>10580</v>
      </c>
    </row>
    <row r="212" spans="1:8" ht="11.25" customHeight="1">
      <c r="A212" s="99" t="s">
        <v>78</v>
      </c>
      <c r="B212" s="18">
        <f t="shared" ref="B212:H212" si="57">AVERAGE(B35:B36)</f>
        <v>5</v>
      </c>
      <c r="C212" s="18">
        <f t="shared" si="57"/>
        <v>10</v>
      </c>
      <c r="D212" s="18">
        <f t="shared" si="57"/>
        <v>8991</v>
      </c>
      <c r="E212" s="18">
        <f t="shared" si="57"/>
        <v>4253.5</v>
      </c>
      <c r="F212" s="18">
        <f t="shared" si="57"/>
        <v>591</v>
      </c>
      <c r="G212" s="18">
        <f t="shared" si="57"/>
        <v>0</v>
      </c>
      <c r="H212" s="18">
        <f t="shared" si="57"/>
        <v>13850.5</v>
      </c>
    </row>
    <row r="213" spans="1:8" ht="11.25" customHeight="1">
      <c r="A213" s="99" t="s">
        <v>10</v>
      </c>
      <c r="B213" s="18">
        <f t="shared" ref="B213:H213" si="58">AVERAGE(B37:B39)</f>
        <v>0</v>
      </c>
      <c r="C213" s="18">
        <f t="shared" si="58"/>
        <v>0.66666666666666663</v>
      </c>
      <c r="D213" s="18">
        <f t="shared" si="58"/>
        <v>499</v>
      </c>
      <c r="E213" s="18">
        <f t="shared" si="58"/>
        <v>5519</v>
      </c>
      <c r="F213" s="18">
        <f t="shared" si="58"/>
        <v>261</v>
      </c>
      <c r="G213" s="18">
        <f t="shared" si="58"/>
        <v>0</v>
      </c>
      <c r="H213" s="18">
        <f t="shared" si="58"/>
        <v>6279.666666666667</v>
      </c>
    </row>
    <row r="214" spans="1:8" ht="11.25" customHeight="1">
      <c r="A214" s="99" t="s">
        <v>144</v>
      </c>
      <c r="B214" s="18">
        <f>AVERAGE(B40:B41)</f>
        <v>0</v>
      </c>
      <c r="C214" s="18">
        <f t="shared" ref="C214:H214" si="59">AVERAGE(C40:C41)</f>
        <v>0</v>
      </c>
      <c r="D214" s="18">
        <f t="shared" si="59"/>
        <v>0</v>
      </c>
      <c r="E214" s="18">
        <f t="shared" si="59"/>
        <v>1572.5</v>
      </c>
      <c r="F214" s="18">
        <f t="shared" si="59"/>
        <v>80.5</v>
      </c>
      <c r="G214" s="18" t="str">
        <f>G40</f>
        <v>-</v>
      </c>
      <c r="H214" s="18">
        <f t="shared" si="59"/>
        <v>1653</v>
      </c>
    </row>
    <row r="215" spans="1:8" ht="11.25" customHeight="1">
      <c r="A215" s="99" t="s">
        <v>166</v>
      </c>
      <c r="B215" s="18">
        <f>AVERAGE(B42:B44)</f>
        <v>3.6666666666666665</v>
      </c>
      <c r="C215" s="18">
        <f t="shared" ref="C215:H215" si="60">AVERAGE(C42:C44)</f>
        <v>0</v>
      </c>
      <c r="D215" s="18">
        <f t="shared" si="60"/>
        <v>351.33333333333331</v>
      </c>
      <c r="E215" s="18">
        <f t="shared" si="60"/>
        <v>592</v>
      </c>
      <c r="F215" s="18">
        <f t="shared" si="60"/>
        <v>77.666666666666671</v>
      </c>
      <c r="G215" s="18">
        <f t="shared" si="60"/>
        <v>0</v>
      </c>
      <c r="H215" s="18">
        <f t="shared" si="60"/>
        <v>1024.6666666666667</v>
      </c>
    </row>
    <row r="216" spans="1:8" ht="11.25" customHeight="1">
      <c r="A216" s="99" t="s">
        <v>315</v>
      </c>
      <c r="B216" s="18">
        <f>AVERAGE(B45:B46)</f>
        <v>0</v>
      </c>
      <c r="C216" s="18">
        <f t="shared" ref="C216:H216" si="61">AVERAGE(C45:C46)</f>
        <v>3.5</v>
      </c>
      <c r="D216" s="18">
        <f t="shared" si="61"/>
        <v>378.5</v>
      </c>
      <c r="E216" s="18">
        <f t="shared" si="61"/>
        <v>310</v>
      </c>
      <c r="F216" s="18">
        <f t="shared" si="61"/>
        <v>0</v>
      </c>
      <c r="G216" s="18">
        <f t="shared" si="61"/>
        <v>0</v>
      </c>
      <c r="H216" s="18">
        <f t="shared" si="61"/>
        <v>692</v>
      </c>
    </row>
    <row r="217" spans="1:8" ht="11.25" customHeight="1">
      <c r="A217" s="99">
        <v>2011</v>
      </c>
      <c r="B217" s="18">
        <f t="shared" ref="B217:H220" si="62">B47</f>
        <v>0</v>
      </c>
      <c r="C217" s="18">
        <f t="shared" si="62"/>
        <v>6</v>
      </c>
      <c r="D217" s="18">
        <f t="shared" si="62"/>
        <v>718</v>
      </c>
      <c r="E217" s="18">
        <f t="shared" si="62"/>
        <v>334</v>
      </c>
      <c r="F217" s="18">
        <f t="shared" si="62"/>
        <v>16</v>
      </c>
      <c r="G217" s="18">
        <f t="shared" si="62"/>
        <v>0</v>
      </c>
      <c r="H217" s="18">
        <f t="shared" si="62"/>
        <v>1074</v>
      </c>
    </row>
    <row r="218" spans="1:8" ht="11.25" customHeight="1">
      <c r="A218" s="99">
        <v>2013</v>
      </c>
      <c r="B218" s="18">
        <f t="shared" si="62"/>
        <v>0</v>
      </c>
      <c r="C218" s="18">
        <f t="shared" si="62"/>
        <v>0</v>
      </c>
      <c r="D218" s="18">
        <f t="shared" si="62"/>
        <v>89</v>
      </c>
      <c r="E218" s="18">
        <f t="shared" si="62"/>
        <v>120</v>
      </c>
      <c r="F218" s="18">
        <f t="shared" si="62"/>
        <v>0</v>
      </c>
      <c r="G218" s="18">
        <f t="shared" si="62"/>
        <v>0</v>
      </c>
      <c r="H218" s="18">
        <f t="shared" si="62"/>
        <v>209</v>
      </c>
    </row>
    <row r="219" spans="1:8" ht="11.25" customHeight="1">
      <c r="A219" s="99">
        <v>2015</v>
      </c>
      <c r="B219" s="18">
        <f t="shared" si="62"/>
        <v>0</v>
      </c>
      <c r="C219" s="18">
        <f t="shared" si="62"/>
        <v>6</v>
      </c>
      <c r="D219" s="18">
        <f t="shared" si="62"/>
        <v>98</v>
      </c>
      <c r="E219" s="18">
        <f t="shared" si="62"/>
        <v>18</v>
      </c>
      <c r="F219" s="18">
        <f t="shared" si="62"/>
        <v>0</v>
      </c>
      <c r="G219" s="18">
        <f t="shared" si="62"/>
        <v>0</v>
      </c>
      <c r="H219" s="18">
        <f t="shared" si="62"/>
        <v>122</v>
      </c>
    </row>
    <row r="220" spans="1:8" ht="11.25" customHeight="1">
      <c r="A220" s="99">
        <v>2017</v>
      </c>
      <c r="B220" s="18">
        <f t="shared" si="62"/>
        <v>0</v>
      </c>
      <c r="C220" s="18">
        <f t="shared" si="62"/>
        <v>0</v>
      </c>
      <c r="D220" s="18">
        <f t="shared" si="62"/>
        <v>61</v>
      </c>
      <c r="E220" s="18">
        <f t="shared" si="62"/>
        <v>134</v>
      </c>
      <c r="F220" s="18">
        <f t="shared" si="62"/>
        <v>0</v>
      </c>
      <c r="G220" s="18">
        <f t="shared" si="62"/>
        <v>0</v>
      </c>
      <c r="H220" s="18">
        <f t="shared" si="62"/>
        <v>195</v>
      </c>
    </row>
    <row r="221" spans="1:8" ht="11.25" customHeight="1">
      <c r="A221" s="99">
        <v>2019</v>
      </c>
      <c r="B221" s="18">
        <f t="shared" ref="B221:H222" si="63">B51</f>
        <v>0</v>
      </c>
      <c r="C221" s="18">
        <f t="shared" si="63"/>
        <v>0</v>
      </c>
      <c r="D221" s="18">
        <f t="shared" si="63"/>
        <v>243</v>
      </c>
      <c r="E221" s="18">
        <f t="shared" si="63"/>
        <v>270</v>
      </c>
      <c r="F221" s="18">
        <f t="shared" si="63"/>
        <v>0</v>
      </c>
      <c r="G221" s="18">
        <f t="shared" si="63"/>
        <v>0</v>
      </c>
      <c r="H221" s="18">
        <f t="shared" si="63"/>
        <v>513</v>
      </c>
    </row>
    <row r="222" spans="1:8" ht="11.25" customHeight="1">
      <c r="A222" s="99" t="s">
        <v>314</v>
      </c>
      <c r="B222" s="18">
        <f t="shared" si="63"/>
        <v>0</v>
      </c>
      <c r="C222" s="18">
        <f t="shared" si="63"/>
        <v>0</v>
      </c>
      <c r="D222" s="18">
        <f t="shared" si="63"/>
        <v>17</v>
      </c>
      <c r="E222" s="18">
        <f t="shared" si="63"/>
        <v>41</v>
      </c>
      <c r="F222" s="18">
        <f t="shared" si="63"/>
        <v>0</v>
      </c>
      <c r="G222" s="18">
        <f t="shared" si="63"/>
        <v>0</v>
      </c>
      <c r="H222" s="18">
        <f t="shared" si="63"/>
        <v>58</v>
      </c>
    </row>
    <row r="223" spans="1:8" ht="11.25" customHeight="1">
      <c r="A223" s="99"/>
      <c r="B223" s="18"/>
      <c r="C223" s="18"/>
      <c r="D223" s="18"/>
      <c r="E223" s="18"/>
      <c r="F223" s="18"/>
      <c r="G223" s="18"/>
      <c r="H223" s="18"/>
    </row>
    <row r="224" spans="1:8">
      <c r="A224" s="103" t="s">
        <v>313</v>
      </c>
      <c r="B224" s="104"/>
      <c r="C224" s="104"/>
      <c r="D224" s="104"/>
      <c r="E224" s="20"/>
      <c r="F224" s="20"/>
      <c r="G224" s="20"/>
      <c r="H224" s="20"/>
    </row>
    <row r="225" spans="1:8" ht="11.25" customHeight="1">
      <c r="A225" s="99" t="s">
        <v>24</v>
      </c>
      <c r="B225" s="18">
        <f t="shared" ref="B225:H225" si="64">AVERAGE(B57:B59)</f>
        <v>262</v>
      </c>
      <c r="C225" s="18">
        <f t="shared" si="64"/>
        <v>247</v>
      </c>
      <c r="D225" s="18">
        <f t="shared" si="64"/>
        <v>52799</v>
      </c>
      <c r="E225" s="18">
        <f t="shared" si="64"/>
        <v>94797.666666666672</v>
      </c>
      <c r="F225" s="18">
        <f t="shared" si="64"/>
        <v>597</v>
      </c>
      <c r="G225" s="18">
        <f t="shared" si="64"/>
        <v>0</v>
      </c>
      <c r="H225" s="18">
        <f t="shared" si="64"/>
        <v>148702.66666666666</v>
      </c>
    </row>
    <row r="226" spans="1:8" ht="11.25" customHeight="1">
      <c r="A226" s="99" t="s">
        <v>78</v>
      </c>
      <c r="B226" s="18">
        <f t="shared" ref="B226:H226" si="65">AVERAGE(B60:B61)</f>
        <v>119.5</v>
      </c>
      <c r="C226" s="18">
        <f t="shared" si="65"/>
        <v>101</v>
      </c>
      <c r="D226" s="18">
        <f t="shared" si="65"/>
        <v>10312</v>
      </c>
      <c r="E226" s="18">
        <f t="shared" si="65"/>
        <v>22396.5</v>
      </c>
      <c r="F226" s="18">
        <f t="shared" si="65"/>
        <v>591</v>
      </c>
      <c r="G226" s="18">
        <f t="shared" si="65"/>
        <v>0</v>
      </c>
      <c r="H226" s="18">
        <f t="shared" si="65"/>
        <v>33520</v>
      </c>
    </row>
    <row r="227" spans="1:8" ht="11.25" customHeight="1">
      <c r="A227" s="99" t="s">
        <v>10</v>
      </c>
      <c r="B227" s="18">
        <f t="shared" ref="B227:H227" si="66">AVERAGE(B62:B64)</f>
        <v>6.666666666666667</v>
      </c>
      <c r="C227" s="18">
        <f t="shared" si="66"/>
        <v>6.666666666666667</v>
      </c>
      <c r="D227" s="18">
        <f t="shared" si="66"/>
        <v>528.33333333333337</v>
      </c>
      <c r="E227" s="18">
        <f t="shared" si="66"/>
        <v>30859.333333333332</v>
      </c>
      <c r="F227" s="18">
        <f t="shared" si="66"/>
        <v>651</v>
      </c>
      <c r="G227" s="18">
        <f t="shared" si="66"/>
        <v>0</v>
      </c>
      <c r="H227" s="18">
        <f t="shared" si="66"/>
        <v>32052</v>
      </c>
    </row>
    <row r="228" spans="1:8" ht="11.25" customHeight="1">
      <c r="A228" s="99" t="s">
        <v>144</v>
      </c>
      <c r="B228" s="18">
        <f>AVERAGE(B65:B66)</f>
        <v>1</v>
      </c>
      <c r="C228" s="18">
        <f t="shared" ref="C228:H228" si="67">AVERAGE(C65:C66)</f>
        <v>2</v>
      </c>
      <c r="D228" s="18">
        <f t="shared" si="67"/>
        <v>15.5</v>
      </c>
      <c r="E228" s="18">
        <f t="shared" si="67"/>
        <v>1583</v>
      </c>
      <c r="F228" s="18">
        <f t="shared" si="67"/>
        <v>80.5</v>
      </c>
      <c r="G228" s="18" t="str">
        <f>G65</f>
        <v>-</v>
      </c>
      <c r="H228" s="18">
        <f t="shared" si="67"/>
        <v>1682</v>
      </c>
    </row>
    <row r="229" spans="1:8" ht="11.25" customHeight="1">
      <c r="A229" s="99" t="s">
        <v>166</v>
      </c>
      <c r="B229" s="18">
        <f>AVERAGE(B67:B69)</f>
        <v>5.333333333333333</v>
      </c>
      <c r="C229" s="18">
        <f t="shared" ref="C229:H229" si="68">AVERAGE(C67:C69)</f>
        <v>3</v>
      </c>
      <c r="D229" s="18">
        <f t="shared" si="68"/>
        <v>406</v>
      </c>
      <c r="E229" s="18">
        <f t="shared" si="68"/>
        <v>613.66666666666663</v>
      </c>
      <c r="F229" s="18">
        <f t="shared" si="68"/>
        <v>81</v>
      </c>
      <c r="G229" s="18">
        <f t="shared" si="68"/>
        <v>0</v>
      </c>
      <c r="H229" s="18">
        <f t="shared" si="68"/>
        <v>1109</v>
      </c>
    </row>
    <row r="230" spans="1:8" ht="11.25" customHeight="1">
      <c r="A230" s="99" t="s">
        <v>315</v>
      </c>
      <c r="B230" s="18">
        <f>AVERAGE(B70:B71)</f>
        <v>4.5</v>
      </c>
      <c r="C230" s="18">
        <f t="shared" ref="C230:H230" si="69">AVERAGE(C70:C71)</f>
        <v>20</v>
      </c>
      <c r="D230" s="18">
        <f t="shared" si="69"/>
        <v>479</v>
      </c>
      <c r="E230" s="18">
        <f t="shared" si="69"/>
        <v>329</v>
      </c>
      <c r="F230" s="18">
        <f t="shared" si="69"/>
        <v>0.5</v>
      </c>
      <c r="G230" s="18">
        <f t="shared" si="69"/>
        <v>0</v>
      </c>
      <c r="H230" s="18">
        <f t="shared" si="69"/>
        <v>833</v>
      </c>
    </row>
    <row r="231" spans="1:8" ht="11.25" customHeight="1">
      <c r="A231" s="99">
        <v>2011</v>
      </c>
      <c r="B231" s="18">
        <f t="shared" ref="B231:H234" si="70">B72</f>
        <v>0</v>
      </c>
      <c r="C231" s="18">
        <f t="shared" si="70"/>
        <v>6</v>
      </c>
      <c r="D231" s="18">
        <f t="shared" si="70"/>
        <v>721</v>
      </c>
      <c r="E231" s="18">
        <f t="shared" si="70"/>
        <v>452</v>
      </c>
      <c r="F231" s="18">
        <f t="shared" si="70"/>
        <v>109</v>
      </c>
      <c r="G231" s="18">
        <f t="shared" si="70"/>
        <v>1</v>
      </c>
      <c r="H231" s="18">
        <f t="shared" si="70"/>
        <v>1289</v>
      </c>
    </row>
    <row r="232" spans="1:8" ht="11.25" customHeight="1">
      <c r="A232" s="99">
        <v>2013</v>
      </c>
      <c r="B232" s="18">
        <f t="shared" si="70"/>
        <v>0</v>
      </c>
      <c r="C232" s="18">
        <f t="shared" si="70"/>
        <v>2</v>
      </c>
      <c r="D232" s="18">
        <f t="shared" si="70"/>
        <v>89</v>
      </c>
      <c r="E232" s="18">
        <f t="shared" si="70"/>
        <v>221</v>
      </c>
      <c r="F232" s="18">
        <f t="shared" si="70"/>
        <v>37</v>
      </c>
      <c r="G232" s="18">
        <f t="shared" si="70"/>
        <v>1</v>
      </c>
      <c r="H232" s="18">
        <f t="shared" si="70"/>
        <v>350</v>
      </c>
    </row>
    <row r="233" spans="1:8" ht="11.25" customHeight="1">
      <c r="A233" s="99">
        <v>2015</v>
      </c>
      <c r="B233" s="18">
        <f t="shared" si="70"/>
        <v>0</v>
      </c>
      <c r="C233" s="18">
        <f t="shared" si="70"/>
        <v>7</v>
      </c>
      <c r="D233" s="18">
        <f t="shared" si="70"/>
        <v>118</v>
      </c>
      <c r="E233" s="18">
        <f t="shared" si="70"/>
        <v>65</v>
      </c>
      <c r="F233" s="18">
        <f t="shared" si="70"/>
        <v>0</v>
      </c>
      <c r="G233" s="18">
        <f t="shared" si="70"/>
        <v>0</v>
      </c>
      <c r="H233" s="18">
        <f t="shared" si="70"/>
        <v>190</v>
      </c>
    </row>
    <row r="234" spans="1:8" ht="11.25" customHeight="1">
      <c r="A234" s="99">
        <v>2017</v>
      </c>
      <c r="B234" s="18">
        <f t="shared" si="70"/>
        <v>0</v>
      </c>
      <c r="C234" s="18">
        <f t="shared" si="70"/>
        <v>0</v>
      </c>
      <c r="D234" s="18">
        <f t="shared" si="70"/>
        <v>71</v>
      </c>
      <c r="E234" s="18">
        <f t="shared" si="70"/>
        <v>137</v>
      </c>
      <c r="F234" s="18">
        <f t="shared" si="70"/>
        <v>0</v>
      </c>
      <c r="G234" s="18">
        <f t="shared" si="70"/>
        <v>13</v>
      </c>
      <c r="H234" s="18">
        <f t="shared" si="70"/>
        <v>195</v>
      </c>
    </row>
    <row r="235" spans="1:8" ht="11.25" customHeight="1">
      <c r="A235" s="99">
        <v>2019</v>
      </c>
      <c r="B235" s="18">
        <f t="shared" ref="B235:H236" si="71">B76</f>
        <v>0</v>
      </c>
      <c r="C235" s="18">
        <f t="shared" si="71"/>
        <v>0</v>
      </c>
      <c r="D235" s="18">
        <f t="shared" si="71"/>
        <v>726</v>
      </c>
      <c r="E235" s="18">
        <f t="shared" si="71"/>
        <v>270</v>
      </c>
      <c r="F235" s="18">
        <f t="shared" si="71"/>
        <v>0</v>
      </c>
      <c r="G235" s="18">
        <f t="shared" si="71"/>
        <v>0</v>
      </c>
      <c r="H235" s="18">
        <f t="shared" si="71"/>
        <v>996</v>
      </c>
    </row>
    <row r="236" spans="1:8" ht="11.25" customHeight="1">
      <c r="A236" s="99" t="s">
        <v>314</v>
      </c>
      <c r="B236" s="18">
        <f t="shared" si="71"/>
        <v>0</v>
      </c>
      <c r="C236" s="18">
        <f t="shared" si="71"/>
        <v>0</v>
      </c>
      <c r="D236" s="18">
        <f t="shared" si="71"/>
        <v>21</v>
      </c>
      <c r="E236" s="18">
        <f t="shared" si="71"/>
        <v>70</v>
      </c>
      <c r="F236" s="18">
        <f t="shared" si="71"/>
        <v>0</v>
      </c>
      <c r="G236" s="18">
        <f t="shared" si="71"/>
        <v>0</v>
      </c>
      <c r="H236" s="18">
        <f t="shared" si="71"/>
        <v>91</v>
      </c>
    </row>
    <row r="237" spans="1:8" ht="11.25" customHeight="1">
      <c r="A237" s="99"/>
      <c r="B237" s="18"/>
      <c r="C237" s="18"/>
      <c r="D237" s="18"/>
      <c r="E237" s="18"/>
      <c r="F237" s="18"/>
      <c r="G237" s="18"/>
      <c r="H237" s="18"/>
    </row>
    <row r="238" spans="1:8" ht="11.25" customHeight="1">
      <c r="A238" s="94" t="s">
        <v>86</v>
      </c>
      <c r="B238" s="18"/>
      <c r="C238" s="18"/>
      <c r="D238" s="18"/>
      <c r="E238" s="18"/>
      <c r="F238" s="18"/>
      <c r="G238" s="18"/>
      <c r="H238" s="18"/>
    </row>
    <row r="239" spans="1:8" ht="11.25" customHeight="1">
      <c r="A239" s="99" t="s">
        <v>24</v>
      </c>
      <c r="B239" s="18">
        <f>AVERAGE(B82:B84)</f>
        <v>5</v>
      </c>
      <c r="C239" s="18">
        <f>AVERAGE(C82:C84)</f>
        <v>3.6666666666666665</v>
      </c>
      <c r="D239" s="18">
        <f>AVERAGE(D82:D84)</f>
        <v>842.33333333333337</v>
      </c>
      <c r="E239" s="18">
        <f>AVERAGE(E82:E84)</f>
        <v>2326.6666666666665</v>
      </c>
      <c r="F239" s="18">
        <f>AVERAGE(F82:F84)</f>
        <v>0.33333333333333331</v>
      </c>
      <c r="G239" s="18">
        <f>G68</f>
        <v>0</v>
      </c>
      <c r="H239" s="18">
        <f>AVERAGE(H82:H84)</f>
        <v>3178</v>
      </c>
    </row>
    <row r="240" spans="1:8" ht="11.25" customHeight="1">
      <c r="A240" s="99" t="s">
        <v>78</v>
      </c>
      <c r="B240" s="18">
        <f>AVERAGE(B85:B86)</f>
        <v>0</v>
      </c>
      <c r="C240" s="18">
        <f>AVERAGE(C85:C86)</f>
        <v>0</v>
      </c>
      <c r="D240" s="18">
        <f>AVERAGE(D85:D86)</f>
        <v>109</v>
      </c>
      <c r="E240" s="18">
        <f>AVERAGE(E85:E86)</f>
        <v>1</v>
      </c>
      <c r="F240" s="18">
        <f>AVERAGE(F85:F86)</f>
        <v>1</v>
      </c>
      <c r="G240" s="18" t="s">
        <v>23</v>
      </c>
      <c r="H240" s="18">
        <f>AVERAGE(H85:H86)</f>
        <v>111</v>
      </c>
    </row>
    <row r="241" spans="1:8" ht="11.25" customHeight="1">
      <c r="A241" s="99" t="s">
        <v>10</v>
      </c>
      <c r="B241" s="18">
        <f>AVERAGE(B87:B89)</f>
        <v>0</v>
      </c>
      <c r="C241" s="18">
        <f>AVERAGE(C87:C89)</f>
        <v>0</v>
      </c>
      <c r="D241" s="18">
        <f>AVERAGE(D87:D89)</f>
        <v>0</v>
      </c>
      <c r="E241" s="18">
        <f>AVERAGE(E87:E89)</f>
        <v>55</v>
      </c>
      <c r="F241" s="18">
        <f>AVERAGE(F87:F89)</f>
        <v>0</v>
      </c>
      <c r="G241" s="18" t="s">
        <v>23</v>
      </c>
      <c r="H241" s="18">
        <f>AVERAGE(H87:H89)</f>
        <v>55</v>
      </c>
    </row>
    <row r="242" spans="1:8" ht="11.25" customHeight="1">
      <c r="A242" s="99" t="s">
        <v>144</v>
      </c>
      <c r="B242" s="18">
        <f>AVERAGE(B90:B91)</f>
        <v>0</v>
      </c>
      <c r="C242" s="18">
        <f t="shared" ref="C242:H242" si="72">AVERAGE(C90:C91)</f>
        <v>0</v>
      </c>
      <c r="D242" s="18">
        <f t="shared" si="72"/>
        <v>0</v>
      </c>
      <c r="E242" s="18">
        <f t="shared" si="72"/>
        <v>0</v>
      </c>
      <c r="F242" s="18">
        <f t="shared" si="72"/>
        <v>0</v>
      </c>
      <c r="G242" s="18" t="str">
        <f>G90</f>
        <v>-</v>
      </c>
      <c r="H242" s="18">
        <f t="shared" si="72"/>
        <v>0</v>
      </c>
    </row>
    <row r="243" spans="1:8" ht="11.25" customHeight="1">
      <c r="A243" s="99" t="s">
        <v>166</v>
      </c>
      <c r="B243" s="18">
        <f>AVERAGE(B92:B94)</f>
        <v>65</v>
      </c>
      <c r="C243" s="18">
        <f t="shared" ref="C243:H243" si="73">AVERAGE(C92:C94)</f>
        <v>17.333333333333332</v>
      </c>
      <c r="D243" s="18">
        <f t="shared" si="73"/>
        <v>31.333333333333332</v>
      </c>
      <c r="E243" s="18">
        <f t="shared" si="73"/>
        <v>22.666666666666668</v>
      </c>
      <c r="F243" s="18">
        <f t="shared" si="73"/>
        <v>0.33333333333333331</v>
      </c>
      <c r="G243" s="18" t="str">
        <f>G92</f>
        <v>-</v>
      </c>
      <c r="H243" s="18">
        <f t="shared" si="73"/>
        <v>136.66666666666666</v>
      </c>
    </row>
    <row r="244" spans="1:8" ht="11.25" customHeight="1">
      <c r="A244" s="99" t="s">
        <v>315</v>
      </c>
      <c r="B244" s="18">
        <f>AVERAGE(B95:B96)</f>
        <v>32.5</v>
      </c>
      <c r="C244" s="18">
        <f t="shared" ref="C244:H244" si="74">AVERAGE(C95:C96)</f>
        <v>0</v>
      </c>
      <c r="D244" s="18">
        <f t="shared" si="74"/>
        <v>3</v>
      </c>
      <c r="E244" s="18">
        <f t="shared" si="74"/>
        <v>9.5</v>
      </c>
      <c r="F244" s="18">
        <f t="shared" si="74"/>
        <v>4</v>
      </c>
      <c r="G244" s="18" t="str">
        <f>G95</f>
        <v>-</v>
      </c>
      <c r="H244" s="18">
        <f t="shared" si="74"/>
        <v>49</v>
      </c>
    </row>
    <row r="245" spans="1:8" ht="11.25" customHeight="1">
      <c r="A245" s="99">
        <v>2011</v>
      </c>
      <c r="B245" s="18">
        <f t="shared" ref="B245:H248" si="75">B97</f>
        <v>0</v>
      </c>
      <c r="C245" s="18">
        <f t="shared" si="75"/>
        <v>36</v>
      </c>
      <c r="D245" s="18">
        <f t="shared" si="75"/>
        <v>5</v>
      </c>
      <c r="E245" s="18">
        <f t="shared" si="75"/>
        <v>8</v>
      </c>
      <c r="F245" s="18">
        <f t="shared" si="75"/>
        <v>0</v>
      </c>
      <c r="G245" s="18" t="str">
        <f t="shared" si="75"/>
        <v>-</v>
      </c>
      <c r="H245" s="18">
        <f t="shared" si="75"/>
        <v>49</v>
      </c>
    </row>
    <row r="246" spans="1:8" ht="11.25" customHeight="1">
      <c r="A246" s="99">
        <v>2013</v>
      </c>
      <c r="B246" s="18">
        <f t="shared" si="75"/>
        <v>0</v>
      </c>
      <c r="C246" s="18">
        <f t="shared" si="75"/>
        <v>0</v>
      </c>
      <c r="D246" s="18">
        <f t="shared" si="75"/>
        <v>0</v>
      </c>
      <c r="E246" s="18">
        <f t="shared" si="75"/>
        <v>0</v>
      </c>
      <c r="F246" s="18">
        <f t="shared" si="75"/>
        <v>0</v>
      </c>
      <c r="G246" s="18" t="str">
        <f t="shared" si="75"/>
        <v>-</v>
      </c>
      <c r="H246" s="18">
        <f t="shared" si="75"/>
        <v>0</v>
      </c>
    </row>
    <row r="247" spans="1:8" ht="11.25" customHeight="1">
      <c r="A247" s="99">
        <v>2015</v>
      </c>
      <c r="B247" s="18">
        <f t="shared" si="75"/>
        <v>0</v>
      </c>
      <c r="C247" s="18">
        <f t="shared" si="75"/>
        <v>0</v>
      </c>
      <c r="D247" s="18">
        <f t="shared" si="75"/>
        <v>0</v>
      </c>
      <c r="E247" s="18">
        <f t="shared" si="75"/>
        <v>0</v>
      </c>
      <c r="F247" s="18">
        <f t="shared" si="75"/>
        <v>0</v>
      </c>
      <c r="G247" s="18" t="str">
        <f t="shared" si="75"/>
        <v>-</v>
      </c>
      <c r="H247" s="18">
        <f t="shared" si="75"/>
        <v>0</v>
      </c>
    </row>
    <row r="248" spans="1:8" ht="11.25" customHeight="1">
      <c r="A248" s="99">
        <v>2017</v>
      </c>
      <c r="B248" s="18">
        <f t="shared" si="75"/>
        <v>0</v>
      </c>
      <c r="C248" s="18">
        <f t="shared" si="75"/>
        <v>0</v>
      </c>
      <c r="D248" s="18">
        <f t="shared" si="75"/>
        <v>0</v>
      </c>
      <c r="E248" s="18">
        <f t="shared" si="75"/>
        <v>0</v>
      </c>
      <c r="F248" s="18">
        <f t="shared" si="75"/>
        <v>0</v>
      </c>
      <c r="G248" s="18" t="str">
        <f t="shared" si="75"/>
        <v>-</v>
      </c>
      <c r="H248" s="18">
        <f t="shared" si="75"/>
        <v>0</v>
      </c>
    </row>
    <row r="249" spans="1:8" ht="11.25" customHeight="1">
      <c r="A249" s="99">
        <v>2019</v>
      </c>
      <c r="B249" s="18">
        <f t="shared" ref="B249:H250" si="76">B101</f>
        <v>0</v>
      </c>
      <c r="C249" s="18">
        <f>C101</f>
        <v>0</v>
      </c>
      <c r="D249" s="18">
        <f t="shared" si="76"/>
        <v>0</v>
      </c>
      <c r="E249" s="18">
        <f t="shared" si="76"/>
        <v>2</v>
      </c>
      <c r="F249" s="18">
        <f t="shared" si="76"/>
        <v>0</v>
      </c>
      <c r="G249" s="18" t="str">
        <f t="shared" si="76"/>
        <v>-</v>
      </c>
      <c r="H249" s="18">
        <f t="shared" si="76"/>
        <v>2</v>
      </c>
    </row>
    <row r="250" spans="1:8" ht="11.25" customHeight="1">
      <c r="A250" s="99" t="s">
        <v>314</v>
      </c>
      <c r="B250" s="18">
        <f t="shared" si="76"/>
        <v>0</v>
      </c>
      <c r="C250" s="18">
        <f>C102</f>
        <v>0</v>
      </c>
      <c r="D250" s="18">
        <f t="shared" si="76"/>
        <v>0</v>
      </c>
      <c r="E250" s="18">
        <f t="shared" si="76"/>
        <v>0</v>
      </c>
      <c r="F250" s="18">
        <f t="shared" si="76"/>
        <v>0</v>
      </c>
      <c r="G250" s="18" t="str">
        <f t="shared" si="76"/>
        <v>-</v>
      </c>
      <c r="H250" s="18">
        <f t="shared" si="76"/>
        <v>0</v>
      </c>
    </row>
    <row r="251" spans="1:8" ht="11.25" customHeight="1">
      <c r="A251" s="99"/>
      <c r="B251" s="18"/>
      <c r="C251" s="18"/>
      <c r="D251" s="18"/>
      <c r="E251" s="18"/>
      <c r="F251" s="18"/>
      <c r="G251" s="18"/>
      <c r="H251" s="18"/>
    </row>
    <row r="252" spans="1:8" ht="11.25" customHeight="1">
      <c r="A252" s="327" t="s">
        <v>303</v>
      </c>
      <c r="B252" s="327"/>
      <c r="C252" s="327"/>
      <c r="D252" s="327"/>
      <c r="E252" s="327"/>
      <c r="F252" s="327"/>
      <c r="G252" s="327"/>
      <c r="H252" s="327"/>
    </row>
    <row r="253" spans="1:8" ht="11.25" customHeight="1">
      <c r="A253" s="345"/>
      <c r="B253" s="345"/>
      <c r="C253" s="345"/>
      <c r="D253" s="345"/>
      <c r="E253" s="345"/>
      <c r="F253" s="345"/>
      <c r="G253" s="345"/>
      <c r="H253" s="345"/>
    </row>
    <row r="254" spans="1:8" ht="11.25" customHeight="1">
      <c r="A254" s="98" t="s">
        <v>27</v>
      </c>
      <c r="B254" s="196" t="s">
        <v>94</v>
      </c>
      <c r="C254" s="196" t="s">
        <v>30</v>
      </c>
      <c r="D254" s="196" t="s">
        <v>95</v>
      </c>
      <c r="E254" s="196" t="s">
        <v>96</v>
      </c>
      <c r="F254" s="196" t="s">
        <v>97</v>
      </c>
      <c r="G254" s="196" t="s">
        <v>98</v>
      </c>
      <c r="H254" s="196" t="s">
        <v>22</v>
      </c>
    </row>
    <row r="255" spans="1:8">
      <c r="A255" s="102" t="s">
        <v>87</v>
      </c>
      <c r="B255" s="20"/>
      <c r="C255" s="20"/>
      <c r="D255" s="20"/>
      <c r="E255" s="20"/>
      <c r="F255" s="20"/>
      <c r="G255" s="20"/>
      <c r="H255" s="20"/>
    </row>
    <row r="256" spans="1:8" ht="11.25" customHeight="1">
      <c r="A256" s="99" t="s">
        <v>24</v>
      </c>
      <c r="B256" s="18">
        <f>AVERAGE(B107:B109)</f>
        <v>235.33333333333334</v>
      </c>
      <c r="C256" s="18">
        <f t="shared" ref="C256:H256" si="77">AVERAGE(C107:C109)</f>
        <v>36.666666666666664</v>
      </c>
      <c r="D256" s="18">
        <f t="shared" si="77"/>
        <v>51433.666666666664</v>
      </c>
      <c r="E256" s="18">
        <f t="shared" si="77"/>
        <v>89318</v>
      </c>
      <c r="F256" s="18">
        <f t="shared" si="77"/>
        <v>277</v>
      </c>
      <c r="G256" s="18" t="str">
        <f>G88</f>
        <v>-</v>
      </c>
      <c r="H256" s="18">
        <f t="shared" si="77"/>
        <v>141300.66666666666</v>
      </c>
    </row>
    <row r="257" spans="1:8" ht="11.25" customHeight="1">
      <c r="A257" s="99" t="s">
        <v>78</v>
      </c>
      <c r="B257" s="18">
        <f>AVERAGE(B110:B111)</f>
        <v>114.5</v>
      </c>
      <c r="C257" s="18">
        <f t="shared" ref="C257:H257" si="78">AVERAGE(C110:C111)</f>
        <v>91</v>
      </c>
      <c r="D257" s="18">
        <f t="shared" si="78"/>
        <v>1430</v>
      </c>
      <c r="E257" s="18">
        <f t="shared" si="78"/>
        <v>18144</v>
      </c>
      <c r="F257" s="18">
        <f t="shared" si="78"/>
        <v>1</v>
      </c>
      <c r="G257" s="18" t="str">
        <f>G89</f>
        <v>-</v>
      </c>
      <c r="H257" s="18">
        <f t="shared" si="78"/>
        <v>19780.5</v>
      </c>
    </row>
    <row r="258" spans="1:8" ht="11.25" customHeight="1">
      <c r="A258" s="99" t="s">
        <v>10</v>
      </c>
      <c r="B258" s="18">
        <f>AVERAGE(B112:B114)</f>
        <v>6.666666666666667</v>
      </c>
      <c r="C258" s="18">
        <f t="shared" ref="C258:H258" si="79">AVERAGE(C112:C114)</f>
        <v>6</v>
      </c>
      <c r="D258" s="18">
        <f t="shared" si="79"/>
        <v>29.333333333333332</v>
      </c>
      <c r="E258" s="18">
        <f t="shared" si="79"/>
        <v>25395.333333333332</v>
      </c>
      <c r="F258" s="18">
        <f t="shared" si="79"/>
        <v>390</v>
      </c>
      <c r="G258" s="18" t="str">
        <f>G90</f>
        <v>-</v>
      </c>
      <c r="H258" s="18">
        <f t="shared" si="79"/>
        <v>25827.333333333332</v>
      </c>
    </row>
    <row r="259" spans="1:8" ht="11.25" customHeight="1">
      <c r="A259" s="99" t="s">
        <v>144</v>
      </c>
      <c r="B259" s="18">
        <f>AVERAGE(B115:B116)</f>
        <v>1</v>
      </c>
      <c r="C259" s="18">
        <f t="shared" ref="C259:H259" si="80">AVERAGE(C115:C116)</f>
        <v>2</v>
      </c>
      <c r="D259" s="18">
        <f t="shared" si="80"/>
        <v>15.5</v>
      </c>
      <c r="E259" s="18">
        <f t="shared" si="80"/>
        <v>10.5</v>
      </c>
      <c r="F259" s="18">
        <f t="shared" si="80"/>
        <v>0</v>
      </c>
      <c r="G259" s="18" t="str">
        <f>G115</f>
        <v>-</v>
      </c>
      <c r="H259" s="18">
        <f t="shared" si="80"/>
        <v>29</v>
      </c>
    </row>
    <row r="260" spans="1:8" ht="11.25" customHeight="1">
      <c r="A260" s="99" t="s">
        <v>166</v>
      </c>
      <c r="B260" s="18">
        <f>AVERAGE(B117:B119)</f>
        <v>66.666666666666671</v>
      </c>
      <c r="C260" s="18">
        <f t="shared" ref="C260:H260" si="81">AVERAGE(C117:C119)</f>
        <v>20.333333333333332</v>
      </c>
      <c r="D260" s="18">
        <f t="shared" si="81"/>
        <v>86</v>
      </c>
      <c r="E260" s="18">
        <f t="shared" si="81"/>
        <v>44.333333333333336</v>
      </c>
      <c r="F260" s="18">
        <f t="shared" si="81"/>
        <v>3.6666666666666665</v>
      </c>
      <c r="G260" s="18" t="str">
        <f>G117</f>
        <v>-</v>
      </c>
      <c r="H260" s="18">
        <f t="shared" si="81"/>
        <v>221</v>
      </c>
    </row>
    <row r="261" spans="1:8" ht="11.25" customHeight="1">
      <c r="A261" s="99" t="s">
        <v>315</v>
      </c>
      <c r="B261" s="18">
        <f>AVERAGE(B120:B121)</f>
        <v>37</v>
      </c>
      <c r="C261" s="18">
        <f t="shared" ref="C261:H261" si="82">AVERAGE(C120:C121)</f>
        <v>16.5</v>
      </c>
      <c r="D261" s="18">
        <f t="shared" si="82"/>
        <v>103.5</v>
      </c>
      <c r="E261" s="18">
        <f t="shared" si="82"/>
        <v>28.5</v>
      </c>
      <c r="F261" s="18">
        <f t="shared" si="82"/>
        <v>4.5</v>
      </c>
      <c r="G261" s="18" t="str">
        <f>G120</f>
        <v>-</v>
      </c>
      <c r="H261" s="18">
        <f t="shared" si="82"/>
        <v>190</v>
      </c>
    </row>
    <row r="262" spans="1:8" ht="11.25" customHeight="1">
      <c r="A262" s="99">
        <v>2011</v>
      </c>
      <c r="B262" s="18">
        <f t="shared" ref="B262:H262" si="83">B122</f>
        <v>0</v>
      </c>
      <c r="C262" s="18">
        <f t="shared" si="83"/>
        <v>36</v>
      </c>
      <c r="D262" s="18">
        <f t="shared" si="83"/>
        <v>8</v>
      </c>
      <c r="E262" s="18">
        <f t="shared" si="83"/>
        <v>126</v>
      </c>
      <c r="F262" s="18">
        <f t="shared" si="83"/>
        <v>93</v>
      </c>
      <c r="G262" s="18">
        <f t="shared" si="83"/>
        <v>1</v>
      </c>
      <c r="H262" s="18">
        <f t="shared" si="83"/>
        <v>264</v>
      </c>
    </row>
    <row r="263" spans="1:8" ht="11.25" customHeight="1">
      <c r="A263" s="99">
        <v>2013</v>
      </c>
      <c r="B263" s="18">
        <f t="shared" ref="B263:H263" si="84">B123</f>
        <v>0</v>
      </c>
      <c r="C263" s="18">
        <f t="shared" si="84"/>
        <v>2</v>
      </c>
      <c r="D263" s="18">
        <f t="shared" si="84"/>
        <v>0</v>
      </c>
      <c r="E263" s="18">
        <f t="shared" si="84"/>
        <v>101</v>
      </c>
      <c r="F263" s="18">
        <f t="shared" si="84"/>
        <v>37</v>
      </c>
      <c r="G263" s="18">
        <f t="shared" si="84"/>
        <v>1</v>
      </c>
      <c r="H263" s="18">
        <f t="shared" si="84"/>
        <v>141</v>
      </c>
    </row>
    <row r="264" spans="1:8" ht="11.25" customHeight="1">
      <c r="A264" s="99">
        <v>2015</v>
      </c>
      <c r="B264" s="18">
        <f t="shared" ref="B264:H264" si="85">B124</f>
        <v>0</v>
      </c>
      <c r="C264" s="18">
        <f t="shared" si="85"/>
        <v>1</v>
      </c>
      <c r="D264" s="18">
        <f t="shared" si="85"/>
        <v>20</v>
      </c>
      <c r="E264" s="18">
        <f t="shared" si="85"/>
        <v>47</v>
      </c>
      <c r="F264" s="18">
        <f t="shared" si="85"/>
        <v>0</v>
      </c>
      <c r="G264" s="18">
        <f t="shared" si="85"/>
        <v>0</v>
      </c>
      <c r="H264" s="18">
        <f t="shared" si="85"/>
        <v>68</v>
      </c>
    </row>
    <row r="265" spans="1:8" ht="11.25" customHeight="1">
      <c r="A265" s="99">
        <v>2017</v>
      </c>
      <c r="B265" s="18">
        <f t="shared" ref="B265:H265" si="86">B125</f>
        <v>0</v>
      </c>
      <c r="C265" s="18">
        <f t="shared" si="86"/>
        <v>0</v>
      </c>
      <c r="D265" s="18">
        <f t="shared" si="86"/>
        <v>10</v>
      </c>
      <c r="E265" s="18">
        <f t="shared" si="86"/>
        <v>3</v>
      </c>
      <c r="F265" s="18">
        <f t="shared" si="86"/>
        <v>0</v>
      </c>
      <c r="G265" s="18">
        <f t="shared" si="86"/>
        <v>13</v>
      </c>
      <c r="H265" s="18">
        <f t="shared" si="86"/>
        <v>0</v>
      </c>
    </row>
    <row r="266" spans="1:8" ht="11.25" customHeight="1">
      <c r="A266" s="99">
        <v>2019</v>
      </c>
      <c r="B266" s="18">
        <f t="shared" ref="B266:H267" si="87">B126</f>
        <v>0</v>
      </c>
      <c r="C266" s="18">
        <f t="shared" si="87"/>
        <v>0</v>
      </c>
      <c r="D266" s="18">
        <f t="shared" si="87"/>
        <v>483</v>
      </c>
      <c r="E266" s="18">
        <f t="shared" si="87"/>
        <v>2</v>
      </c>
      <c r="F266" s="18">
        <f t="shared" si="87"/>
        <v>0</v>
      </c>
      <c r="G266" s="18">
        <f t="shared" si="87"/>
        <v>0</v>
      </c>
      <c r="H266" s="18">
        <f t="shared" si="87"/>
        <v>485</v>
      </c>
    </row>
    <row r="267" spans="1:8" ht="11.25" customHeight="1">
      <c r="A267" s="99" t="s">
        <v>314</v>
      </c>
      <c r="B267" s="18">
        <f t="shared" si="87"/>
        <v>0</v>
      </c>
      <c r="C267" s="18">
        <f t="shared" si="87"/>
        <v>0</v>
      </c>
      <c r="D267" s="18">
        <f t="shared" si="87"/>
        <v>4</v>
      </c>
      <c r="E267" s="18">
        <f t="shared" si="87"/>
        <v>29</v>
      </c>
      <c r="F267" s="18">
        <f t="shared" si="87"/>
        <v>0</v>
      </c>
      <c r="G267" s="18">
        <f t="shared" si="87"/>
        <v>0</v>
      </c>
      <c r="H267" s="18">
        <f t="shared" si="87"/>
        <v>33</v>
      </c>
    </row>
    <row r="268" spans="1:8" ht="11.25" customHeight="1">
      <c r="A268" s="99"/>
      <c r="B268" s="18"/>
      <c r="C268" s="18"/>
      <c r="D268" s="18"/>
      <c r="E268" s="18"/>
      <c r="F268" s="18"/>
      <c r="G268" s="18"/>
      <c r="H268" s="18"/>
    </row>
    <row r="269" spans="1:8">
      <c r="A269" s="102" t="s">
        <v>246</v>
      </c>
      <c r="B269" s="104"/>
      <c r="C269" s="104"/>
      <c r="D269" s="104"/>
      <c r="E269" s="20"/>
      <c r="F269" s="20"/>
      <c r="G269" s="20"/>
      <c r="H269" s="20"/>
    </row>
    <row r="270" spans="1:8" ht="11.25" customHeight="1">
      <c r="A270" s="99" t="s">
        <v>24</v>
      </c>
      <c r="B270" s="18">
        <f>AVERAGE(B132:B134)</f>
        <v>31.666666666666668</v>
      </c>
      <c r="C270" s="18">
        <f t="shared" ref="C270:H270" si="88">AVERAGE(C132:C134)</f>
        <v>214</v>
      </c>
      <c r="D270" s="18">
        <f t="shared" si="88"/>
        <v>2207.6666666666665</v>
      </c>
      <c r="E270" s="18">
        <f t="shared" si="88"/>
        <v>7806.333333333333</v>
      </c>
      <c r="F270" s="18">
        <f t="shared" si="88"/>
        <v>320.33333333333331</v>
      </c>
      <c r="G270" s="18">
        <f t="shared" si="88"/>
        <v>0</v>
      </c>
      <c r="H270" s="18">
        <f t="shared" si="88"/>
        <v>10580</v>
      </c>
    </row>
    <row r="271" spans="1:8" ht="11.25" customHeight="1">
      <c r="A271" s="99" t="s">
        <v>78</v>
      </c>
      <c r="B271" s="18">
        <f>AVERAGE(B135:B136)</f>
        <v>5</v>
      </c>
      <c r="C271" s="18">
        <f t="shared" ref="C271:H271" si="89">AVERAGE(C135:C136)</f>
        <v>10</v>
      </c>
      <c r="D271" s="18">
        <f t="shared" si="89"/>
        <v>8991</v>
      </c>
      <c r="E271" s="18">
        <f t="shared" si="89"/>
        <v>4253.5</v>
      </c>
      <c r="F271" s="18">
        <f t="shared" si="89"/>
        <v>591</v>
      </c>
      <c r="G271" s="18">
        <f t="shared" si="89"/>
        <v>0</v>
      </c>
      <c r="H271" s="18">
        <f t="shared" si="89"/>
        <v>13850.5</v>
      </c>
    </row>
    <row r="272" spans="1:8" ht="11.25" customHeight="1">
      <c r="A272" s="99" t="s">
        <v>10</v>
      </c>
      <c r="B272" s="18">
        <f t="shared" ref="B272:H272" si="90">AVERAGE(B137:B139)</f>
        <v>0</v>
      </c>
      <c r="C272" s="18">
        <f t="shared" si="90"/>
        <v>0.66666666666666663</v>
      </c>
      <c r="D272" s="18">
        <f t="shared" si="90"/>
        <v>499</v>
      </c>
      <c r="E272" s="18">
        <f t="shared" si="90"/>
        <v>5519</v>
      </c>
      <c r="F272" s="18">
        <f t="shared" si="90"/>
        <v>261</v>
      </c>
      <c r="G272" s="18">
        <f t="shared" si="90"/>
        <v>0</v>
      </c>
      <c r="H272" s="18">
        <f t="shared" si="90"/>
        <v>6279.666666666667</v>
      </c>
    </row>
    <row r="273" spans="1:8" ht="11.25" customHeight="1">
      <c r="A273" s="99" t="s">
        <v>144</v>
      </c>
      <c r="B273" s="18">
        <f>AVERAGE(B140:B141)</f>
        <v>0</v>
      </c>
      <c r="C273" s="18">
        <f t="shared" ref="C273:H273" si="91">AVERAGE(C140:C141)</f>
        <v>0</v>
      </c>
      <c r="D273" s="18">
        <f t="shared" si="91"/>
        <v>0</v>
      </c>
      <c r="E273" s="18">
        <f t="shared" si="91"/>
        <v>1572.5</v>
      </c>
      <c r="F273" s="18">
        <f t="shared" si="91"/>
        <v>80.5</v>
      </c>
      <c r="G273" s="18" t="str">
        <f>G140</f>
        <v>-</v>
      </c>
      <c r="H273" s="18">
        <f t="shared" si="91"/>
        <v>1653</v>
      </c>
    </row>
    <row r="274" spans="1:8" ht="11.25" customHeight="1">
      <c r="A274" s="99" t="s">
        <v>166</v>
      </c>
      <c r="B274" s="18">
        <f>AVERAGE(B142:B143)</f>
        <v>5.5</v>
      </c>
      <c r="C274" s="18">
        <f t="shared" ref="C274:H274" si="92">AVERAGE(C142:C143)</f>
        <v>0</v>
      </c>
      <c r="D274" s="18">
        <f t="shared" si="92"/>
        <v>434</v>
      </c>
      <c r="E274" s="18">
        <f t="shared" si="92"/>
        <v>789</v>
      </c>
      <c r="F274" s="18">
        <f t="shared" si="92"/>
        <v>115</v>
      </c>
      <c r="G274" s="18">
        <f t="shared" si="92"/>
        <v>0</v>
      </c>
      <c r="H274" s="18">
        <f t="shared" si="92"/>
        <v>1343.5</v>
      </c>
    </row>
    <row r="275" spans="1:8" ht="11.25" customHeight="1">
      <c r="A275" s="99" t="s">
        <v>315</v>
      </c>
      <c r="B275" s="18">
        <f>AVERAGE(B144:B146)</f>
        <v>0</v>
      </c>
      <c r="C275" s="18">
        <f t="shared" ref="C275:H275" si="93">AVERAGE(C144:C146)</f>
        <v>2.3333333333333335</v>
      </c>
      <c r="D275" s="18">
        <f t="shared" si="93"/>
        <v>314.33333333333331</v>
      </c>
      <c r="E275" s="18">
        <f t="shared" si="93"/>
        <v>272.66666666666669</v>
      </c>
      <c r="F275" s="18">
        <f t="shared" si="93"/>
        <v>1</v>
      </c>
      <c r="G275" s="18">
        <f t="shared" si="93"/>
        <v>0</v>
      </c>
      <c r="H275" s="18">
        <f t="shared" si="93"/>
        <v>590.33333333333337</v>
      </c>
    </row>
    <row r="276" spans="1:8" ht="11.25" customHeight="1">
      <c r="A276" s="99">
        <v>2011</v>
      </c>
      <c r="B276" s="18">
        <f t="shared" ref="B276:H276" si="94">B147</f>
        <v>0</v>
      </c>
      <c r="C276" s="18">
        <f t="shared" si="94"/>
        <v>6</v>
      </c>
      <c r="D276" s="18">
        <f t="shared" si="94"/>
        <v>718</v>
      </c>
      <c r="E276" s="18">
        <f t="shared" si="94"/>
        <v>334</v>
      </c>
      <c r="F276" s="18">
        <f t="shared" si="94"/>
        <v>16</v>
      </c>
      <c r="G276" s="18">
        <f t="shared" si="94"/>
        <v>0</v>
      </c>
      <c r="H276" s="18">
        <f t="shared" si="94"/>
        <v>1074</v>
      </c>
    </row>
    <row r="277" spans="1:8" ht="11.25" customHeight="1">
      <c r="A277" s="99">
        <v>2013</v>
      </c>
      <c r="B277" s="18">
        <f t="shared" ref="B277:H277" si="95">B148</f>
        <v>0</v>
      </c>
      <c r="C277" s="18">
        <f t="shared" si="95"/>
        <v>0</v>
      </c>
      <c r="D277" s="18">
        <f t="shared" si="95"/>
        <v>89</v>
      </c>
      <c r="E277" s="18">
        <f t="shared" si="95"/>
        <v>120</v>
      </c>
      <c r="F277" s="18">
        <f t="shared" si="95"/>
        <v>0</v>
      </c>
      <c r="G277" s="18">
        <f t="shared" si="95"/>
        <v>0</v>
      </c>
      <c r="H277" s="18">
        <f t="shared" si="95"/>
        <v>209</v>
      </c>
    </row>
    <row r="278" spans="1:8" ht="11.25" customHeight="1">
      <c r="A278" s="99">
        <v>2015</v>
      </c>
      <c r="B278" s="18">
        <f t="shared" ref="B278:H278" si="96">B149</f>
        <v>0</v>
      </c>
      <c r="C278" s="18">
        <f t="shared" si="96"/>
        <v>6</v>
      </c>
      <c r="D278" s="18">
        <f t="shared" si="96"/>
        <v>98</v>
      </c>
      <c r="E278" s="18">
        <f t="shared" si="96"/>
        <v>18</v>
      </c>
      <c r="F278" s="18">
        <f t="shared" si="96"/>
        <v>0</v>
      </c>
      <c r="G278" s="18">
        <f t="shared" si="96"/>
        <v>0</v>
      </c>
      <c r="H278" s="18">
        <f t="shared" si="96"/>
        <v>122</v>
      </c>
    </row>
    <row r="279" spans="1:8" ht="11.25" customHeight="1">
      <c r="A279" s="99">
        <v>2017</v>
      </c>
      <c r="B279" s="18">
        <f t="shared" ref="B279:H279" si="97">B150</f>
        <v>0</v>
      </c>
      <c r="C279" s="18">
        <f t="shared" si="97"/>
        <v>0</v>
      </c>
      <c r="D279" s="18">
        <f t="shared" si="97"/>
        <v>61</v>
      </c>
      <c r="E279" s="18">
        <f t="shared" si="97"/>
        <v>134</v>
      </c>
      <c r="F279" s="18">
        <f t="shared" si="97"/>
        <v>0</v>
      </c>
      <c r="G279" s="18">
        <f t="shared" si="97"/>
        <v>0</v>
      </c>
      <c r="H279" s="18">
        <f t="shared" si="97"/>
        <v>195</v>
      </c>
    </row>
    <row r="280" spans="1:8" ht="11.25" customHeight="1">
      <c r="A280" s="99">
        <v>2019</v>
      </c>
      <c r="B280" s="18">
        <f t="shared" ref="B280:G281" si="98">B151</f>
        <v>0</v>
      </c>
      <c r="C280" s="18">
        <f t="shared" si="98"/>
        <v>0</v>
      </c>
      <c r="D280" s="18">
        <f t="shared" si="98"/>
        <v>243</v>
      </c>
      <c r="E280" s="18">
        <f t="shared" si="98"/>
        <v>270</v>
      </c>
      <c r="F280" s="18">
        <f t="shared" si="98"/>
        <v>0</v>
      </c>
      <c r="G280" s="18">
        <f t="shared" si="98"/>
        <v>0</v>
      </c>
      <c r="H280" s="18">
        <f>H151</f>
        <v>513</v>
      </c>
    </row>
    <row r="281" spans="1:8" ht="11.25" customHeight="1">
      <c r="A281" s="99" t="s">
        <v>314</v>
      </c>
      <c r="B281" s="18">
        <f t="shared" si="98"/>
        <v>0</v>
      </c>
      <c r="C281" s="18">
        <f t="shared" si="98"/>
        <v>0</v>
      </c>
      <c r="D281" s="18">
        <f t="shared" si="98"/>
        <v>17</v>
      </c>
      <c r="E281" s="18">
        <f t="shared" si="98"/>
        <v>41</v>
      </c>
      <c r="F281" s="18">
        <f t="shared" si="98"/>
        <v>0</v>
      </c>
      <c r="G281" s="18">
        <f t="shared" si="98"/>
        <v>0</v>
      </c>
      <c r="H281" s="18">
        <f>H152</f>
        <v>58</v>
      </c>
    </row>
    <row r="282" spans="1:8" ht="11.25" customHeight="1">
      <c r="A282" s="99"/>
      <c r="B282" s="18"/>
      <c r="C282" s="18"/>
      <c r="D282" s="18"/>
      <c r="E282" s="18"/>
      <c r="F282" s="18"/>
      <c r="G282" s="18"/>
      <c r="H282" s="18"/>
    </row>
    <row r="283" spans="1:8">
      <c r="A283" s="103" t="s">
        <v>249</v>
      </c>
      <c r="B283" s="142"/>
      <c r="C283" s="142"/>
      <c r="D283" s="142"/>
      <c r="E283" s="18"/>
      <c r="F283" s="18"/>
      <c r="G283" s="18"/>
      <c r="H283" s="18"/>
    </row>
    <row r="284" spans="1:8" ht="11.25" customHeight="1">
      <c r="A284" s="99" t="s">
        <v>24</v>
      </c>
      <c r="B284" s="18">
        <f>AVERAGE(B157:B159)</f>
        <v>267</v>
      </c>
      <c r="C284" s="18">
        <f t="shared" ref="C284:H284" si="99">AVERAGE(C157:C159)</f>
        <v>250.66666666666666</v>
      </c>
      <c r="D284" s="18">
        <f t="shared" si="99"/>
        <v>53641.333333333336</v>
      </c>
      <c r="E284" s="18">
        <f t="shared" si="99"/>
        <v>97124.333333333328</v>
      </c>
      <c r="F284" s="18">
        <f t="shared" si="99"/>
        <v>597.33333333333337</v>
      </c>
      <c r="G284" s="18">
        <f t="shared" si="99"/>
        <v>0</v>
      </c>
      <c r="H284" s="18">
        <f t="shared" si="99"/>
        <v>151880.66666666666</v>
      </c>
    </row>
    <row r="285" spans="1:8" ht="11.25" customHeight="1">
      <c r="A285" s="99" t="s">
        <v>78</v>
      </c>
      <c r="B285" s="18">
        <f t="shared" ref="B285:H285" si="100">AVERAGE(B160:B161)</f>
        <v>119.5</v>
      </c>
      <c r="C285" s="18">
        <f t="shared" si="100"/>
        <v>101</v>
      </c>
      <c r="D285" s="18">
        <f t="shared" si="100"/>
        <v>10421</v>
      </c>
      <c r="E285" s="18">
        <f t="shared" si="100"/>
        <v>22397.5</v>
      </c>
      <c r="F285" s="18">
        <f t="shared" si="100"/>
        <v>592</v>
      </c>
      <c r="G285" s="18">
        <f t="shared" si="100"/>
        <v>0</v>
      </c>
      <c r="H285" s="18">
        <f t="shared" si="100"/>
        <v>33631</v>
      </c>
    </row>
    <row r="286" spans="1:8" ht="11.25" customHeight="1">
      <c r="A286" s="99" t="s">
        <v>10</v>
      </c>
      <c r="B286" s="18">
        <f t="shared" ref="B286:H286" si="101">AVERAGE(B162:B164)</f>
        <v>6.666666666666667</v>
      </c>
      <c r="C286" s="18">
        <f t="shared" si="101"/>
        <v>6.666666666666667</v>
      </c>
      <c r="D286" s="18">
        <f t="shared" si="101"/>
        <v>528.33333333333337</v>
      </c>
      <c r="E286" s="18">
        <f t="shared" si="101"/>
        <v>30914.333333333332</v>
      </c>
      <c r="F286" s="18">
        <f t="shared" si="101"/>
        <v>651</v>
      </c>
      <c r="G286" s="18">
        <f t="shared" si="101"/>
        <v>0</v>
      </c>
      <c r="H286" s="18">
        <f t="shared" si="101"/>
        <v>32107</v>
      </c>
    </row>
    <row r="287" spans="1:8" ht="11.25" customHeight="1">
      <c r="A287" s="99" t="s">
        <v>144</v>
      </c>
      <c r="B287" s="18">
        <f>AVERAGE(B165:B166)</f>
        <v>1</v>
      </c>
      <c r="C287" s="18">
        <f t="shared" ref="C287:H287" si="102">AVERAGE(C165:C166)</f>
        <v>2</v>
      </c>
      <c r="D287" s="18">
        <f t="shared" si="102"/>
        <v>15.5</v>
      </c>
      <c r="E287" s="18">
        <f t="shared" si="102"/>
        <v>1583</v>
      </c>
      <c r="F287" s="18">
        <f t="shared" si="102"/>
        <v>80.5</v>
      </c>
      <c r="G287" s="18" t="str">
        <f>G165</f>
        <v>-</v>
      </c>
      <c r="H287" s="18">
        <f t="shared" si="102"/>
        <v>1682</v>
      </c>
    </row>
    <row r="288" spans="1:8" ht="11.25" customHeight="1">
      <c r="A288" s="99" t="s">
        <v>166</v>
      </c>
      <c r="B288" s="18">
        <f>AVERAGE(B167:B169)</f>
        <v>70.333333333333329</v>
      </c>
      <c r="C288" s="18">
        <f t="shared" ref="C288:H288" si="103">AVERAGE(C167:C169)</f>
        <v>20.333333333333332</v>
      </c>
      <c r="D288" s="18">
        <f t="shared" si="103"/>
        <v>437.33333333333331</v>
      </c>
      <c r="E288" s="18">
        <f t="shared" si="103"/>
        <v>636.33333333333337</v>
      </c>
      <c r="F288" s="18">
        <f t="shared" si="103"/>
        <v>81.333333333333329</v>
      </c>
      <c r="G288" s="18">
        <f t="shared" si="103"/>
        <v>0</v>
      </c>
      <c r="H288" s="18">
        <f t="shared" si="103"/>
        <v>1245.6666666666667</v>
      </c>
    </row>
    <row r="289" spans="1:8" ht="11.25" customHeight="1">
      <c r="A289" s="99" t="s">
        <v>315</v>
      </c>
      <c r="B289" s="18">
        <f>AVERAGE(B170:B171)</f>
        <v>37</v>
      </c>
      <c r="C289" s="18">
        <f t="shared" ref="C289:H289" si="104">AVERAGE(C170:C171)</f>
        <v>20</v>
      </c>
      <c r="D289" s="18">
        <f t="shared" si="104"/>
        <v>482</v>
      </c>
      <c r="E289" s="18">
        <f t="shared" si="104"/>
        <v>338.5</v>
      </c>
      <c r="F289" s="18">
        <f t="shared" si="104"/>
        <v>4.5</v>
      </c>
      <c r="G289" s="18">
        <f t="shared" si="104"/>
        <v>0</v>
      </c>
      <c r="H289" s="18">
        <f t="shared" si="104"/>
        <v>882</v>
      </c>
    </row>
    <row r="290" spans="1:8" ht="11.25" customHeight="1">
      <c r="A290" s="99">
        <v>2011</v>
      </c>
      <c r="B290" s="18">
        <f t="shared" ref="B290:H290" si="105">B172</f>
        <v>0</v>
      </c>
      <c r="C290" s="18">
        <f t="shared" si="105"/>
        <v>42</v>
      </c>
      <c r="D290" s="18">
        <f t="shared" si="105"/>
        <v>726</v>
      </c>
      <c r="E290" s="18">
        <f t="shared" si="105"/>
        <v>460</v>
      </c>
      <c r="F290" s="18">
        <f t="shared" si="105"/>
        <v>109</v>
      </c>
      <c r="G290" s="18">
        <f t="shared" si="105"/>
        <v>1</v>
      </c>
      <c r="H290" s="18">
        <f t="shared" si="105"/>
        <v>1338</v>
      </c>
    </row>
    <row r="291" spans="1:8" ht="11.25" customHeight="1">
      <c r="A291" s="99">
        <v>2013</v>
      </c>
      <c r="B291" s="18">
        <f t="shared" ref="B291:H291" si="106">B173</f>
        <v>0</v>
      </c>
      <c r="C291" s="18">
        <f t="shared" si="106"/>
        <v>2</v>
      </c>
      <c r="D291" s="18">
        <f t="shared" si="106"/>
        <v>89</v>
      </c>
      <c r="E291" s="18">
        <f t="shared" si="106"/>
        <v>221</v>
      </c>
      <c r="F291" s="18">
        <f t="shared" si="106"/>
        <v>37</v>
      </c>
      <c r="G291" s="18">
        <f t="shared" si="106"/>
        <v>1</v>
      </c>
      <c r="H291" s="18">
        <f t="shared" si="106"/>
        <v>350</v>
      </c>
    </row>
    <row r="292" spans="1:8" ht="11.25" customHeight="1">
      <c r="A292" s="99">
        <v>2015</v>
      </c>
      <c r="B292" s="18">
        <f t="shared" ref="B292:H292" si="107">B174</f>
        <v>0</v>
      </c>
      <c r="C292" s="18">
        <f t="shared" si="107"/>
        <v>7</v>
      </c>
      <c r="D292" s="18">
        <f t="shared" si="107"/>
        <v>118</v>
      </c>
      <c r="E292" s="18">
        <f t="shared" si="107"/>
        <v>65</v>
      </c>
      <c r="F292" s="18">
        <f t="shared" si="107"/>
        <v>0</v>
      </c>
      <c r="G292" s="18">
        <f t="shared" si="107"/>
        <v>0</v>
      </c>
      <c r="H292" s="18">
        <f t="shared" si="107"/>
        <v>190</v>
      </c>
    </row>
    <row r="293" spans="1:8" ht="10.5" customHeight="1">
      <c r="A293" s="99">
        <v>2017</v>
      </c>
      <c r="B293" s="18">
        <f t="shared" ref="B293:H293" si="108">B175</f>
        <v>0</v>
      </c>
      <c r="C293" s="18">
        <f t="shared" si="108"/>
        <v>0</v>
      </c>
      <c r="D293" s="18">
        <f t="shared" si="108"/>
        <v>71</v>
      </c>
      <c r="E293" s="18">
        <f t="shared" si="108"/>
        <v>137</v>
      </c>
      <c r="F293" s="18">
        <f t="shared" si="108"/>
        <v>0</v>
      </c>
      <c r="G293" s="18">
        <f t="shared" si="108"/>
        <v>13</v>
      </c>
      <c r="H293" s="18">
        <f t="shared" si="108"/>
        <v>195</v>
      </c>
    </row>
    <row r="294" spans="1:8" ht="11.25" customHeight="1">
      <c r="A294" s="99">
        <v>2019</v>
      </c>
      <c r="B294" s="18">
        <f t="shared" ref="B294:H295" si="109">B176</f>
        <v>0</v>
      </c>
      <c r="C294" s="18">
        <f t="shared" si="109"/>
        <v>0</v>
      </c>
      <c r="D294" s="18">
        <f t="shared" si="109"/>
        <v>726</v>
      </c>
      <c r="E294" s="18">
        <f t="shared" si="109"/>
        <v>272</v>
      </c>
      <c r="F294" s="18">
        <f t="shared" si="109"/>
        <v>0</v>
      </c>
      <c r="G294" s="18">
        <f t="shared" si="109"/>
        <v>0</v>
      </c>
      <c r="H294" s="18">
        <f t="shared" si="109"/>
        <v>998</v>
      </c>
    </row>
    <row r="295" spans="1:8" ht="11.25" customHeight="1">
      <c r="A295" s="96" t="s">
        <v>314</v>
      </c>
      <c r="B295" s="30">
        <f t="shared" si="109"/>
        <v>0</v>
      </c>
      <c r="C295" s="30">
        <f t="shared" si="109"/>
        <v>0</v>
      </c>
      <c r="D295" s="30">
        <f t="shared" si="109"/>
        <v>21</v>
      </c>
      <c r="E295" s="30">
        <f t="shared" si="109"/>
        <v>70</v>
      </c>
      <c r="F295" s="30">
        <f t="shared" si="109"/>
        <v>0</v>
      </c>
      <c r="G295" s="30">
        <f t="shared" si="109"/>
        <v>0</v>
      </c>
      <c r="H295" s="30">
        <f t="shared" si="109"/>
        <v>91</v>
      </c>
    </row>
    <row r="296" spans="1:8" ht="21" customHeight="1">
      <c r="A296" s="344" t="s">
        <v>88</v>
      </c>
      <c r="B296" s="344"/>
      <c r="C296" s="344"/>
      <c r="D296" s="344"/>
      <c r="E296" s="344"/>
      <c r="F296" s="344"/>
      <c r="G296" s="344"/>
      <c r="H296" s="344"/>
    </row>
    <row r="297" spans="1:8" ht="9.75" customHeight="1">
      <c r="A297" s="99" t="s">
        <v>250</v>
      </c>
      <c r="B297" s="219"/>
      <c r="C297" s="219"/>
      <c r="D297" s="219"/>
      <c r="E297" s="219"/>
      <c r="F297" s="219"/>
      <c r="G297" s="219"/>
      <c r="H297" s="219"/>
    </row>
    <row r="298" spans="1:8">
      <c r="A298" s="280" t="s">
        <v>304</v>
      </c>
      <c r="B298" s="280"/>
      <c r="C298" s="280"/>
      <c r="D298" s="280"/>
      <c r="E298" s="280"/>
      <c r="F298" s="280"/>
      <c r="G298" s="280"/>
      <c r="H298" s="280"/>
    </row>
    <row r="299" spans="1:8" ht="11.25" customHeight="1">
      <c r="A299" s="265"/>
      <c r="B299" s="265"/>
      <c r="C299" s="265"/>
      <c r="D299" s="265"/>
      <c r="E299" s="265"/>
      <c r="F299" s="265"/>
      <c r="G299" s="265"/>
      <c r="H299" s="265"/>
    </row>
    <row r="300" spans="1:8" ht="11.25" customHeight="1"/>
  </sheetData>
  <mergeCells count="7">
    <mergeCell ref="A1:H2"/>
    <mergeCell ref="A178:H178"/>
    <mergeCell ref="A180:H180"/>
    <mergeCell ref="A296:H296"/>
    <mergeCell ref="A298:H298"/>
    <mergeCell ref="A193:H194"/>
    <mergeCell ref="A252:H253"/>
  </mergeCells>
  <pageMargins left="0.7" right="0.7" top="0.75" bottom="0.75" header="0.3" footer="0.3"/>
  <pageSetup orientation="portrait" r:id="rId1"/>
  <rowBreaks count="1" manualBreakCount="1">
    <brk id="250" max="7"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0"/>
  <dimension ref="A1:K245"/>
  <sheetViews>
    <sheetView showGridLines="0" topLeftCell="A115" zoomScaleNormal="100" workbookViewId="0">
      <selection activeCell="N421" sqref="N421"/>
    </sheetView>
  </sheetViews>
  <sheetFormatPr baseColWidth="10" defaultColWidth="9" defaultRowHeight="16"/>
  <cols>
    <col min="1" max="16384" width="9" style="218"/>
  </cols>
  <sheetData>
    <row r="1" spans="1:11" ht="11.25" customHeight="1">
      <c r="A1" s="283" t="s">
        <v>236</v>
      </c>
      <c r="B1" s="283"/>
      <c r="C1" s="283"/>
      <c r="D1" s="283"/>
      <c r="E1" s="283"/>
      <c r="F1" s="283"/>
      <c r="G1" s="283"/>
      <c r="H1" s="283"/>
      <c r="I1" s="283"/>
    </row>
    <row r="2" spans="1:11" ht="11.25" customHeight="1">
      <c r="A2" s="2" t="s">
        <v>27</v>
      </c>
      <c r="B2" s="196" t="s">
        <v>28</v>
      </c>
      <c r="C2" s="196" t="s">
        <v>29</v>
      </c>
      <c r="D2" s="196" t="s">
        <v>30</v>
      </c>
      <c r="E2" s="196" t="s">
        <v>31</v>
      </c>
      <c r="F2" s="196" t="s">
        <v>32</v>
      </c>
      <c r="G2" s="196" t="s">
        <v>33</v>
      </c>
      <c r="H2" s="196" t="s">
        <v>34</v>
      </c>
      <c r="I2" s="196" t="s">
        <v>219</v>
      </c>
    </row>
    <row r="3" spans="1:11" ht="11.25" customHeight="1">
      <c r="A3" s="94" t="s">
        <v>237</v>
      </c>
    </row>
    <row r="4" spans="1:11" ht="11.25" customHeight="1">
      <c r="A4" s="99">
        <v>1976</v>
      </c>
      <c r="B4" s="24">
        <f>IF(AND('A-17'!B4="-",'A-17'!B52="-",'A-17'!B100="-"),"-",SUM('A-17'!B4,'A-17'!B52,'A-17'!B100))</f>
        <v>1025</v>
      </c>
      <c r="C4" s="24">
        <f>IF(AND('A-17'!C4="-",'A-17'!C52="-",'A-17'!C100="-"),"-",SUM('A-17'!C4,'A-17'!C52,'A-17'!C100))</f>
        <v>14874</v>
      </c>
      <c r="D4" s="24">
        <f>IF(AND('A-17'!D4="-",'A-17'!D52="-",'A-17'!D100="-"),"-",SUM('A-17'!D4,'A-17'!D52,'A-17'!D100))</f>
        <v>45486</v>
      </c>
      <c r="E4" s="24">
        <f>IF(AND('A-17'!E4="-",'A-17'!E52="-",'A-17'!E100="-"),"-",SUM('A-17'!E4,'A-17'!E52,'A-17'!E100))</f>
        <v>103454</v>
      </c>
      <c r="F4" s="24">
        <f>IF(AND('A-17'!F4="-",'A-17'!F52="-",'A-17'!F100="-"),"-",SUM('A-17'!F4,'A-17'!F52,'A-17'!F100))</f>
        <v>110606</v>
      </c>
      <c r="G4" s="24">
        <f>IF(AND('A-17'!G4="-",'A-17'!G52="-",'A-17'!G100="-"),"-",SUM('A-17'!G4,'A-17'!G52,'A-17'!G100))</f>
        <v>55809</v>
      </c>
      <c r="H4" s="24">
        <f>IF(AND('A-17'!H4="-",'A-17'!H52="-",'A-17'!H100="-"),"-",SUM('A-17'!H4,'A-17'!H52,'A-17'!H100))</f>
        <v>6146</v>
      </c>
      <c r="I4" s="24">
        <f>IF(AND('A-17'!I4="-",'A-17'!I52="-",'A-17'!I100="-"),"-",SUM('A-17'!I4,'A-17'!I52,'A-17'!I100))</f>
        <v>337400</v>
      </c>
      <c r="J4" s="17"/>
      <c r="K4" s="17"/>
    </row>
    <row r="5" spans="1:11" ht="11.25" customHeight="1">
      <c r="A5" s="99">
        <v>1977</v>
      </c>
      <c r="B5" s="24">
        <f>IF(AND('A-17'!B5="-",'A-17'!B53="-",'A-17'!B101="-"),"-",SUM('A-17'!B5,'A-17'!B53,'A-17'!B101))</f>
        <v>7682</v>
      </c>
      <c r="C5" s="24">
        <f>IF(AND('A-17'!C5="-",'A-17'!C53="-",'A-17'!C101="-"),"-",SUM('A-17'!C5,'A-17'!C53,'A-17'!C101))</f>
        <v>13049</v>
      </c>
      <c r="D5" s="24">
        <f>IF(AND('A-17'!D5="-",'A-17'!D53="-",'A-17'!D101="-"),"-",SUM('A-17'!D5,'A-17'!D53,'A-17'!D101))</f>
        <v>46179</v>
      </c>
      <c r="E5" s="24">
        <f>IF(AND('A-17'!E5="-",'A-17'!E53="-",'A-17'!E101="-"),"-",SUM('A-17'!E5,'A-17'!E53,'A-17'!E101))</f>
        <v>90944</v>
      </c>
      <c r="F5" s="24">
        <f>IF(AND('A-17'!F5="-",'A-17'!F53="-",'A-17'!F101="-"),"-",SUM('A-17'!F5,'A-17'!F53,'A-17'!F101))</f>
        <v>129522</v>
      </c>
      <c r="G5" s="24">
        <f>IF(AND('A-17'!G5="-",'A-17'!G53="-",'A-17'!G101="-"),"-",SUM('A-17'!G5,'A-17'!G53,'A-17'!G101))</f>
        <v>57670</v>
      </c>
      <c r="H5" s="24">
        <f>IF(AND('A-17'!H5="-",'A-17'!H53="-",'A-17'!H101="-"),"-",SUM('A-17'!H5,'A-17'!H53,'A-17'!H101))</f>
        <v>3379</v>
      </c>
      <c r="I5" s="24">
        <f>IF(AND('A-17'!I5="-",'A-17'!I53="-",'A-17'!I101="-"),"-",SUM('A-17'!I5,'A-17'!I53,'A-17'!I101))</f>
        <v>348425</v>
      </c>
      <c r="J5" s="17"/>
      <c r="K5" s="17"/>
    </row>
    <row r="6" spans="1:11" ht="11.25" customHeight="1">
      <c r="A6" s="99">
        <v>1978</v>
      </c>
      <c r="B6" s="24">
        <f>IF(AND('A-17'!B6="-",'A-17'!B54="-",'A-17'!B102="-"),"-",SUM('A-17'!B6,'A-17'!B54,'A-17'!B102))</f>
        <v>2416</v>
      </c>
      <c r="C6" s="24">
        <f>IF(AND('A-17'!C6="-",'A-17'!C54="-",'A-17'!C102="-"),"-",SUM('A-17'!C6,'A-17'!C54,'A-17'!C102))</f>
        <v>14002</v>
      </c>
      <c r="D6" s="24">
        <f>IF(AND('A-17'!D6="-",'A-17'!D54="-",'A-17'!D102="-"),"-",SUM('A-17'!D6,'A-17'!D54,'A-17'!D102))</f>
        <v>48598</v>
      </c>
      <c r="E6" s="24">
        <f>IF(AND('A-17'!E6="-",'A-17'!E54="-",'A-17'!E102="-"),"-",SUM('A-17'!E6,'A-17'!E54,'A-17'!E102))</f>
        <v>105977</v>
      </c>
      <c r="F6" s="24">
        <f>IF(AND('A-17'!F6="-",'A-17'!F54="-",'A-17'!F102="-"),"-",SUM('A-17'!F6,'A-17'!F54,'A-17'!F102))</f>
        <v>103140</v>
      </c>
      <c r="G6" s="24">
        <f>IF(AND('A-17'!G6="-",'A-17'!G54="-",'A-17'!G102="-"),"-",SUM('A-17'!G6,'A-17'!G54,'A-17'!G102))</f>
        <v>45293</v>
      </c>
      <c r="H6" s="24">
        <f>IF(AND('A-17'!H6="-",'A-17'!H54="-",'A-17'!H102="-"),"-",SUM('A-17'!H6,'A-17'!H54,'A-17'!H102))</f>
        <v>7810</v>
      </c>
      <c r="I6" s="24">
        <f>IF(AND('A-17'!I6="-",'A-17'!I54="-",'A-17'!I102="-"),"-",SUM('A-17'!I6,'A-17'!I54,'A-17'!I102))</f>
        <v>327236</v>
      </c>
      <c r="J6" s="17"/>
      <c r="K6" s="17"/>
    </row>
    <row r="7" spans="1:11" ht="11.25" customHeight="1">
      <c r="A7" s="99">
        <v>1979</v>
      </c>
      <c r="B7" s="24">
        <f>IF(AND('A-17'!B7="-",'A-17'!B55="-",'A-17'!B103="-"),"-",SUM('A-17'!B7,'A-17'!B55,'A-17'!B103))</f>
        <v>1347</v>
      </c>
      <c r="C7" s="24">
        <f>IF(AND('A-17'!C7="-",'A-17'!C55="-",'A-17'!C103="-"),"-",SUM('A-17'!C7,'A-17'!C55,'A-17'!C103))</f>
        <v>15073</v>
      </c>
      <c r="D7" s="24">
        <f>IF(AND('A-17'!D7="-",'A-17'!D55="-",'A-17'!D103="-"),"-",SUM('A-17'!D7,'A-17'!D55,'A-17'!D103))</f>
        <v>38636</v>
      </c>
      <c r="E7" s="24">
        <f>IF(AND('A-17'!E7="-",'A-17'!E55="-",'A-17'!E103="-"),"-",SUM('A-17'!E7,'A-17'!E55,'A-17'!E103))</f>
        <v>68320</v>
      </c>
      <c r="F7" s="24">
        <f>IF(AND('A-17'!F7="-",'A-17'!F55="-",'A-17'!F103="-"),"-",SUM('A-17'!F7,'A-17'!F55,'A-17'!F103))</f>
        <v>76785</v>
      </c>
      <c r="G7" s="24">
        <f>IF(AND('A-17'!G7="-",'A-17'!G55="-",'A-17'!G103="-"),"-",SUM('A-17'!G7,'A-17'!G55,'A-17'!G103))</f>
        <v>4624</v>
      </c>
      <c r="H7" s="24">
        <f>IF(AND('A-17'!H7="-",'A-17'!H55="-",'A-17'!H103="-"),"-",SUM('A-17'!H7,'A-17'!H55,'A-17'!H103))</f>
        <v>406</v>
      </c>
      <c r="I7" s="24">
        <f>IF(AND('A-17'!I7="-",'A-17'!I55="-",'A-17'!I103="-"),"-",SUM('A-17'!I7,'A-17'!I55,'A-17'!I103))</f>
        <v>205191</v>
      </c>
      <c r="J7" s="17"/>
      <c r="K7" s="17"/>
    </row>
    <row r="8" spans="1:11" ht="11.25" customHeight="1">
      <c r="A8" s="99">
        <v>1980</v>
      </c>
      <c r="B8" s="24" t="str">
        <f>IF(AND('A-17'!B8="-",'A-17'!B56="-",'A-17'!B104="-"),"-",SUM('A-17'!B8,'A-17'!B56,'A-17'!B104))</f>
        <v>-</v>
      </c>
      <c r="C8" s="24">
        <f>IF(AND('A-17'!C8="-",'A-17'!C56="-",'A-17'!C104="-"),"-",SUM('A-17'!C8,'A-17'!C56,'A-17'!C104))</f>
        <v>11890</v>
      </c>
      <c r="D8" s="24">
        <f>IF(AND('A-17'!D8="-",'A-17'!D56="-",'A-17'!D104="-"),"-",SUM('A-17'!D8,'A-17'!D56,'A-17'!D104))</f>
        <v>35147</v>
      </c>
      <c r="E8" s="24">
        <f>IF(AND('A-17'!E8="-",'A-17'!E56="-",'A-17'!E104="-"),"-",SUM('A-17'!E8,'A-17'!E56,'A-17'!E104))</f>
        <v>68532</v>
      </c>
      <c r="F8" s="24">
        <f>IF(AND('A-17'!F8="-",'A-17'!F56="-",'A-17'!F104="-"),"-",SUM('A-17'!F8,'A-17'!F56,'A-17'!F104))</f>
        <v>59481</v>
      </c>
      <c r="G8" s="24">
        <f>IF(AND('A-17'!G8="-",'A-17'!G56="-",'A-17'!G104="-"),"-",SUM('A-17'!G8,'A-17'!G56,'A-17'!G104))</f>
        <v>2806</v>
      </c>
      <c r="H8" s="24">
        <f>IF(AND('A-17'!H8="-",'A-17'!H56="-",'A-17'!H104="-"),"-",SUM('A-17'!H8,'A-17'!H56,'A-17'!H104))</f>
        <v>30</v>
      </c>
      <c r="I8" s="24">
        <f>IF(AND('A-17'!I8="-",'A-17'!I56="-",'A-17'!I104="-"),"-",SUM('A-17'!I8,'A-17'!I56,'A-17'!I104))</f>
        <v>177886</v>
      </c>
      <c r="J8" s="17"/>
      <c r="K8" s="17"/>
    </row>
    <row r="9" spans="1:11" ht="11.25" customHeight="1">
      <c r="A9" s="99">
        <v>1981</v>
      </c>
      <c r="B9" s="24">
        <f>IF(AND('A-17'!B9="-",'A-17'!B57="-",'A-17'!B105="-"),"-",SUM('A-17'!B9,'A-17'!B57,'A-17'!B105))</f>
        <v>177</v>
      </c>
      <c r="C9" s="24">
        <f>IF(AND('A-17'!C9="-",'A-17'!C57="-",'A-17'!C105="-"),"-",SUM('A-17'!C9,'A-17'!C57,'A-17'!C105))</f>
        <v>7663</v>
      </c>
      <c r="D9" s="24">
        <f>IF(AND('A-17'!D9="-",'A-17'!D57="-",'A-17'!D105="-"),"-",SUM('A-17'!D9,'A-17'!D57,'A-17'!D105))</f>
        <v>25656</v>
      </c>
      <c r="E9" s="24">
        <f>IF(AND('A-17'!E9="-",'A-17'!E57="-",'A-17'!E105="-"),"-",SUM('A-17'!E9,'A-17'!E57,'A-17'!E105))</f>
        <v>57836</v>
      </c>
      <c r="F9" s="24">
        <f>IF(AND('A-17'!F9="-",'A-17'!F57="-",'A-17'!F105="-"),"-",SUM('A-17'!F9,'A-17'!F57,'A-17'!F105))</f>
        <v>52521</v>
      </c>
      <c r="G9" s="24">
        <f>IF(AND('A-17'!G9="-",'A-17'!G57="-",'A-17'!G105="-"),"-",SUM('A-17'!G9,'A-17'!G57,'A-17'!G105))</f>
        <v>3672</v>
      </c>
      <c r="H9" s="24">
        <f>IF(AND('A-17'!H9="-",'A-17'!H57="-",'A-17'!H105="-"),"-",SUM('A-17'!H9,'A-17'!H57,'A-17'!H105))</f>
        <v>431</v>
      </c>
      <c r="I9" s="24">
        <f>IF(AND('A-17'!I9="-",'A-17'!I57="-",'A-17'!I105="-"),"-",SUM('A-17'!I9,'A-17'!I57,'A-17'!I105))</f>
        <v>147956</v>
      </c>
      <c r="J9" s="17"/>
      <c r="K9" s="17"/>
    </row>
    <row r="10" spans="1:11" ht="11.25" customHeight="1">
      <c r="A10" s="99">
        <v>1982</v>
      </c>
      <c r="B10" s="24">
        <f>IF(AND('A-17'!B10="-",'A-17'!B58="-",'A-17'!B106="-"),"-",SUM('A-17'!B10,'A-17'!B58,'A-17'!B106))</f>
        <v>18</v>
      </c>
      <c r="C10" s="24">
        <f>IF(AND('A-17'!C10="-",'A-17'!C58="-",'A-17'!C106="-"),"-",SUM('A-17'!C10,'A-17'!C58,'A-17'!C106))</f>
        <v>2698</v>
      </c>
      <c r="D10" s="24">
        <f>IF(AND('A-17'!D10="-",'A-17'!D58="-",'A-17'!D106="-"),"-",SUM('A-17'!D10,'A-17'!D58,'A-17'!D106))</f>
        <v>31348</v>
      </c>
      <c r="E10" s="24">
        <f>IF(AND('A-17'!E10="-",'A-17'!E58="-",'A-17'!E106="-"),"-",SUM('A-17'!E10,'A-17'!E58,'A-17'!E106))</f>
        <v>69394</v>
      </c>
      <c r="F10" s="24">
        <f>IF(AND('A-17'!F10="-",'A-17'!F58="-",'A-17'!F106="-"),"-",SUM('A-17'!F10,'A-17'!F58,'A-17'!F106))</f>
        <v>47385</v>
      </c>
      <c r="G10" s="24">
        <f>IF(AND('A-17'!G10="-",'A-17'!G58="-",'A-17'!G106="-"),"-",SUM('A-17'!G10,'A-17'!G58,'A-17'!G106))</f>
        <v>5858</v>
      </c>
      <c r="H10" s="24">
        <f>IF(AND('A-17'!H10="-",'A-17'!H58="-",'A-17'!H106="-"),"-",SUM('A-17'!H10,'A-17'!H58,'A-17'!H106))</f>
        <v>113</v>
      </c>
      <c r="I10" s="24">
        <f>IF(AND('A-17'!I10="-",'A-17'!I58="-",'A-17'!I106="-"),"-",SUM('A-17'!I10,'A-17'!I58,'A-17'!I106))</f>
        <v>156814</v>
      </c>
      <c r="J10" s="17"/>
      <c r="K10" s="17"/>
    </row>
    <row r="11" spans="1:11" ht="11.25" customHeight="1">
      <c r="A11" s="99">
        <v>1983</v>
      </c>
      <c r="B11" s="24">
        <f>IF(AND('A-17'!B11="-",'A-17'!B59="-",'A-17'!B107="-"),"-",SUM('A-17'!B11,'A-17'!B59,'A-17'!B107))</f>
        <v>142</v>
      </c>
      <c r="C11" s="24">
        <f>IF(AND('A-17'!C11="-",'A-17'!C59="-",'A-17'!C107="-"),"-",SUM('A-17'!C11,'A-17'!C59,'A-17'!C107))</f>
        <v>2923</v>
      </c>
      <c r="D11" s="24">
        <f>IF(AND('A-17'!D11="-",'A-17'!D59="-",'A-17'!D107="-"),"-",SUM('A-17'!D11,'A-17'!D59,'A-17'!D107))</f>
        <v>25634</v>
      </c>
      <c r="E11" s="24">
        <f>IF(AND('A-17'!E11="-",'A-17'!E59="-",'A-17'!E107="-"),"-",SUM('A-17'!E11,'A-17'!E59,'A-17'!E107))</f>
        <v>54160</v>
      </c>
      <c r="F11" s="24">
        <f>IF(AND('A-17'!F11="-",'A-17'!F59="-",'A-17'!F107="-"),"-",SUM('A-17'!F11,'A-17'!F59,'A-17'!F107))</f>
        <v>48362</v>
      </c>
      <c r="G11" s="24">
        <f>IF(AND('A-17'!G11="-",'A-17'!G59="-",'A-17'!G107="-"),"-",SUM('A-17'!G11,'A-17'!G59,'A-17'!G107))</f>
        <v>14501</v>
      </c>
      <c r="H11" s="24">
        <f>IF(AND('A-17'!H11="-",'A-17'!H59="-",'A-17'!H107="-"),"-",SUM('A-17'!H11,'A-17'!H59,'A-17'!H107))</f>
        <v>43</v>
      </c>
      <c r="I11" s="24">
        <f>IF(AND('A-17'!I11="-",'A-17'!I59="-",'A-17'!I107="-"),"-",SUM('A-17'!I11,'A-17'!I59,'A-17'!I107))</f>
        <v>145765</v>
      </c>
      <c r="J11" s="17"/>
      <c r="K11" s="17"/>
    </row>
    <row r="12" spans="1:11" ht="11.25" customHeight="1">
      <c r="A12" s="99">
        <v>1984</v>
      </c>
      <c r="B12" s="24">
        <f>IF(AND('A-17'!B12="-",'A-17'!B60="-",'A-17'!B108="-"),"-",SUM('A-17'!B12,'A-17'!B60,'A-17'!B108))</f>
        <v>55</v>
      </c>
      <c r="C12" s="24">
        <f>IF(AND('A-17'!C12="-",'A-17'!C60="-",'A-17'!C108="-"),"-",SUM('A-17'!C12,'A-17'!C60,'A-17'!C108))</f>
        <v>3367</v>
      </c>
      <c r="D12" s="24">
        <f>IF(AND('A-17'!D12="-",'A-17'!D60="-",'A-17'!D108="-"),"-",SUM('A-17'!D12,'A-17'!D60,'A-17'!D108))</f>
        <v>0</v>
      </c>
      <c r="E12" s="24">
        <f>IF(AND('A-17'!E12="-",'A-17'!E60="-",'A-17'!E108="-"),"-",SUM('A-17'!E12,'A-17'!E60,'A-17'!E108))</f>
        <v>5984</v>
      </c>
      <c r="F12" s="24">
        <f>IF(AND('A-17'!F12="-",'A-17'!F60="-",'A-17'!F108="-"),"-",SUM('A-17'!F12,'A-17'!F60,'A-17'!F108))</f>
        <v>13158</v>
      </c>
      <c r="G12" s="24">
        <f>IF(AND('A-17'!G12="-",'A-17'!G60="-",'A-17'!G108="-"),"-",SUM('A-17'!G12,'A-17'!G60,'A-17'!G108))</f>
        <v>179</v>
      </c>
      <c r="H12" s="24" t="str">
        <f>IF(AND('A-17'!H12="-",'A-17'!H60="-",'A-17'!H108="-"),"-",SUM('A-17'!H12,'A-17'!H60,'A-17'!H108))</f>
        <v>-</v>
      </c>
      <c r="I12" s="24">
        <f>IF(AND('A-17'!I12="-",'A-17'!I60="-",'A-17'!I108="-"),"-",SUM('A-17'!I12,'A-17'!I60,'A-17'!I108))</f>
        <v>22743</v>
      </c>
      <c r="J12" s="17"/>
      <c r="K12" s="17"/>
    </row>
    <row r="13" spans="1:11" ht="11.25" customHeight="1">
      <c r="A13" s="99">
        <v>1985</v>
      </c>
      <c r="B13" s="24">
        <f>IF(AND('A-17'!B13="-",'A-17'!B61="-",'A-17'!B109="-"),"-",SUM('A-17'!B13,'A-17'!B61,'A-17'!B109))</f>
        <v>9</v>
      </c>
      <c r="C13" s="24">
        <f>IF(AND('A-17'!C13="-",'A-17'!C61="-",'A-17'!C109="-"),"-",SUM('A-17'!C13,'A-17'!C61,'A-17'!C109))</f>
        <v>2</v>
      </c>
      <c r="D13" s="24">
        <f>IF(AND('A-17'!D13="-",'A-17'!D61="-",'A-17'!D109="-"),"-",SUM('A-17'!D13,'A-17'!D61,'A-17'!D109))</f>
        <v>2077</v>
      </c>
      <c r="E13" s="24">
        <f>IF(AND('A-17'!E13="-",'A-17'!E61="-",'A-17'!E109="-"),"-",SUM('A-17'!E13,'A-17'!E61,'A-17'!E109))</f>
        <v>35769</v>
      </c>
      <c r="F13" s="24">
        <f>IF(AND('A-17'!F13="-",'A-17'!F61="-",'A-17'!F109="-"),"-",SUM('A-17'!F13,'A-17'!F61,'A-17'!F109))</f>
        <v>33262</v>
      </c>
      <c r="G13" s="24">
        <f>IF(AND('A-17'!G13="-",'A-17'!G61="-",'A-17'!G109="-"),"-",SUM('A-17'!G13,'A-17'!G61,'A-17'!G109))</f>
        <v>3567</v>
      </c>
      <c r="H13" s="24" t="str">
        <f>IF(AND('A-17'!H13="-",'A-17'!H61="-",'A-17'!H109="-"),"-",SUM('A-17'!H13,'A-17'!H61,'A-17'!H109))</f>
        <v>-</v>
      </c>
      <c r="I13" s="24">
        <f>IF(AND('A-17'!I13="-",'A-17'!I61="-",'A-17'!I109="-"),"-",SUM('A-17'!I13,'A-17'!I61,'A-17'!I109))</f>
        <v>74686</v>
      </c>
      <c r="J13" s="17"/>
      <c r="K13" s="17"/>
    </row>
    <row r="14" spans="1:11" ht="11.25" customHeight="1">
      <c r="A14" s="99">
        <v>1986</v>
      </c>
      <c r="B14" s="24" t="str">
        <f>IF(AND('A-17'!B14="-",'A-17'!B62="-",'A-17'!B110="-"),"-",SUM('A-17'!B14,'A-17'!B62,'A-17'!B110))</f>
        <v>-</v>
      </c>
      <c r="C14" s="24" t="str">
        <f>IF(AND('A-17'!C14="-",'A-17'!C62="-",'A-17'!C110="-"),"-",SUM('A-17'!C14,'A-17'!C62,'A-17'!C110))</f>
        <v>-</v>
      </c>
      <c r="D14" s="24">
        <f>IF(AND('A-17'!D14="-",'A-17'!D62="-",'A-17'!D110="-"),"-",SUM('A-17'!D14,'A-17'!D62,'A-17'!D110))</f>
        <v>2469</v>
      </c>
      <c r="E14" s="24">
        <f>IF(AND('A-17'!E14="-",'A-17'!E62="-",'A-17'!E110="-"),"-",SUM('A-17'!E14,'A-17'!E62,'A-17'!E110))</f>
        <v>41799</v>
      </c>
      <c r="F14" s="24">
        <f>IF(AND('A-17'!F14="-",'A-17'!F62="-",'A-17'!F110="-"),"-",SUM('A-17'!F14,'A-17'!F62,'A-17'!F110))</f>
        <v>27339</v>
      </c>
      <c r="G14" s="24">
        <f>IF(AND('A-17'!G14="-",'A-17'!G62="-",'A-17'!G110="-"),"-",SUM('A-17'!G14,'A-17'!G62,'A-17'!G110))</f>
        <v>943</v>
      </c>
      <c r="H14" s="24">
        <f>IF(AND('A-17'!H14="-",'A-17'!H62="-",'A-17'!H110="-"),"-",SUM('A-17'!H14,'A-17'!H62,'A-17'!H110))</f>
        <v>86</v>
      </c>
      <c r="I14" s="24">
        <f>IF(AND('A-17'!I14="-",'A-17'!I62="-",'A-17'!I110="-"),"-",SUM('A-17'!I14,'A-17'!I62,'A-17'!I110))</f>
        <v>72636</v>
      </c>
      <c r="J14" s="17"/>
      <c r="K14" s="17"/>
    </row>
    <row r="15" spans="1:11" ht="11.25" customHeight="1">
      <c r="A15" s="99">
        <v>1987</v>
      </c>
      <c r="B15" s="24" t="str">
        <f>IF(AND('A-17'!B15="-",'A-17'!B63="-",'A-17'!B111="-"),"-",SUM('A-17'!B15,'A-17'!B63,'A-17'!B111))</f>
        <v>-</v>
      </c>
      <c r="C15" s="24" t="str">
        <f>IF(AND('A-17'!C15="-",'A-17'!C63="-",'A-17'!C111="-"),"-",SUM('A-17'!C15,'A-17'!C63,'A-17'!C111))</f>
        <v>-</v>
      </c>
      <c r="D15" s="24">
        <f>IF(AND('A-17'!D15="-",'A-17'!D63="-",'A-17'!D111="-"),"-",SUM('A-17'!D15,'A-17'!D63,'A-17'!D111))</f>
        <v>2710</v>
      </c>
      <c r="E15" s="24">
        <f>IF(AND('A-17'!E15="-",'A-17'!E63="-",'A-17'!E111="-"),"-",SUM('A-17'!E15,'A-17'!E63,'A-17'!E111))</f>
        <v>43097</v>
      </c>
      <c r="F15" s="24">
        <f>IF(AND('A-17'!F15="-",'A-17'!F63="-",'A-17'!F111="-"),"-",SUM('A-17'!F15,'A-17'!F63,'A-17'!F111))</f>
        <v>18580</v>
      </c>
      <c r="G15" s="24">
        <f>IF(AND('A-17'!G15="-",'A-17'!G63="-",'A-17'!G111="-"),"-",SUM('A-17'!G15,'A-17'!G63,'A-17'!G111))</f>
        <v>784</v>
      </c>
      <c r="H15" s="24">
        <f>IF(AND('A-17'!H15="-",'A-17'!H63="-",'A-17'!H111="-"),"-",SUM('A-17'!H15,'A-17'!H63,'A-17'!H111))</f>
        <v>22</v>
      </c>
      <c r="I15" s="24">
        <f>IF(AND('A-17'!I15="-",'A-17'!I63="-",'A-17'!I111="-"),"-",SUM('A-17'!I15,'A-17'!I63,'A-17'!I111))</f>
        <v>65193</v>
      </c>
      <c r="J15" s="17"/>
      <c r="K15" s="17"/>
    </row>
    <row r="16" spans="1:11" ht="11.25" customHeight="1">
      <c r="A16" s="99">
        <v>1988</v>
      </c>
      <c r="B16" s="24" t="str">
        <f>IF(AND('A-17'!B16="-",'A-17'!B64="-",'A-17'!B112="-"),"-",SUM('A-17'!B16,'A-17'!B64,'A-17'!B112))</f>
        <v>-</v>
      </c>
      <c r="C16" s="24">
        <f>IF(AND('A-17'!C16="-",'A-17'!C64="-",'A-17'!C112="-"),"-",SUM('A-17'!C16,'A-17'!C64,'A-17'!C112))</f>
        <v>6</v>
      </c>
      <c r="D16" s="24" t="str">
        <f>IF(AND('A-17'!D16="-",'A-17'!D64="-",'A-17'!D112="-"),"-",SUM('A-17'!D16,'A-17'!D64,'A-17'!D112))</f>
        <v>-</v>
      </c>
      <c r="E16" s="24">
        <f>IF(AND('A-17'!E16="-",'A-17'!E64="-",'A-17'!E112="-"),"-",SUM('A-17'!E16,'A-17'!E64,'A-17'!E112))</f>
        <v>51292</v>
      </c>
      <c r="F16" s="24">
        <f>IF(AND('A-17'!F16="-",'A-17'!F64="-",'A-17'!F112="-"),"-",SUM('A-17'!F16,'A-17'!F64,'A-17'!F112))</f>
        <v>4179</v>
      </c>
      <c r="G16" s="24">
        <f>IF(AND('A-17'!G16="-",'A-17'!G64="-",'A-17'!G112="-"),"-",SUM('A-17'!G16,'A-17'!G64,'A-17'!G112))</f>
        <v>604</v>
      </c>
      <c r="H16" s="24">
        <f>IF(AND('A-17'!H16="-",'A-17'!H64="-",'A-17'!H112="-"),"-",SUM('A-17'!H16,'A-17'!H64,'A-17'!H112))</f>
        <v>12</v>
      </c>
      <c r="I16" s="24">
        <f>IF(AND('A-17'!I16="-",'A-17'!I64="-",'A-17'!I112="-"),"-",SUM('A-17'!I16,'A-17'!I64,'A-17'!I112))</f>
        <v>56093</v>
      </c>
      <c r="J16" s="17"/>
      <c r="K16" s="17"/>
    </row>
    <row r="17" spans="1:11" ht="11.25" customHeight="1">
      <c r="A17" s="99">
        <v>1989</v>
      </c>
      <c r="B17" s="24" t="str">
        <f>IF(AND('A-17'!B17="-",'A-17'!B65="-",'A-17'!B113="-"),"-",SUM('A-17'!B17,'A-17'!B65,'A-17'!B113))</f>
        <v>-</v>
      </c>
      <c r="C17" s="24">
        <f>IF(AND('A-17'!C17="-",'A-17'!C65="-",'A-17'!C113="-"),"-",SUM('A-17'!C17,'A-17'!C65,'A-17'!C113))</f>
        <v>2373</v>
      </c>
      <c r="D17" s="24">
        <f>IF(AND('A-17'!D17="-",'A-17'!D65="-",'A-17'!D113="-"),"-",SUM('A-17'!D17,'A-17'!D65,'A-17'!D113))</f>
        <v>4391</v>
      </c>
      <c r="E17" s="24">
        <f>IF(AND('A-17'!E17="-",'A-17'!E65="-",'A-17'!E113="-"),"-",SUM('A-17'!E17,'A-17'!E65,'A-17'!E113))</f>
        <v>45451</v>
      </c>
      <c r="F17" s="24">
        <f>IF(AND('A-17'!F17="-",'A-17'!F65="-",'A-17'!F113="-"),"-",SUM('A-17'!F17,'A-17'!F65,'A-17'!F113))</f>
        <v>31903</v>
      </c>
      <c r="G17" s="24">
        <f>IF(AND('A-17'!G17="-",'A-17'!G65="-",'A-17'!G113="-"),"-",SUM('A-17'!G17,'A-17'!G65,'A-17'!G113))</f>
        <v>5362</v>
      </c>
      <c r="H17" s="24" t="str">
        <f>IF(AND('A-17'!H17="-",'A-17'!H65="-",'A-17'!H113="-"),"-",SUM('A-17'!H17,'A-17'!H65,'A-17'!H113))</f>
        <v>-</v>
      </c>
      <c r="I17" s="24">
        <f>IF(AND('A-17'!I17="-",'A-17'!I65="-",'A-17'!I113="-"),"-",SUM('A-17'!I17,'A-17'!I65,'A-17'!I113))</f>
        <v>89480</v>
      </c>
      <c r="J17" s="17"/>
      <c r="K17" s="17"/>
    </row>
    <row r="18" spans="1:11" ht="11.25" customHeight="1">
      <c r="A18" s="99">
        <v>1990</v>
      </c>
      <c r="B18" s="24" t="str">
        <f>IF(AND('A-17'!B18="-",'A-17'!B66="-",'A-17'!B114="-"),"-",SUM('A-17'!B18,'A-17'!B66,'A-17'!B114))</f>
        <v>-</v>
      </c>
      <c r="C18" s="24" t="str">
        <f>IF(AND('A-17'!C18="-",'A-17'!C66="-",'A-17'!C114="-"),"-",SUM('A-17'!C18,'A-17'!C66,'A-17'!C114))</f>
        <v>-</v>
      </c>
      <c r="D18" s="24">
        <f>IF(AND('A-17'!D18="-",'A-17'!D66="-",'A-17'!D114="-"),"-",SUM('A-17'!D18,'A-17'!D66,'A-17'!D114))</f>
        <v>7225</v>
      </c>
      <c r="E18" s="24">
        <f>IF(AND('A-17'!E18="-",'A-17'!E66="-",'A-17'!E114="-"),"-",SUM('A-17'!E18,'A-17'!E66,'A-17'!E114))</f>
        <v>48244</v>
      </c>
      <c r="F18" s="24">
        <f>IF(AND('A-17'!F18="-",'A-17'!F66="-",'A-17'!F114="-"),"-",SUM('A-17'!F18,'A-17'!F66,'A-17'!F114))</f>
        <v>37656</v>
      </c>
      <c r="G18" s="24">
        <f>IF(AND('A-17'!G18="-",'A-17'!G66="-",'A-17'!G114="-"),"-",SUM('A-17'!G18,'A-17'!G66,'A-17'!G114))</f>
        <v>14193</v>
      </c>
      <c r="H18" s="24" t="str">
        <f>IF(AND('A-17'!H18="-",'A-17'!H66="-",'A-17'!H114="-"),"-",SUM('A-17'!H18,'A-17'!H66,'A-17'!H114))</f>
        <v>-</v>
      </c>
      <c r="I18" s="24">
        <f>IF(AND('A-17'!I18="-",'A-17'!I66="-",'A-17'!I114="-"),"-",SUM('A-17'!I18,'A-17'!I66,'A-17'!I114))</f>
        <v>107318</v>
      </c>
      <c r="J18" s="17"/>
      <c r="K18" s="17"/>
    </row>
    <row r="19" spans="1:11" ht="11.25" customHeight="1">
      <c r="A19" s="99">
        <v>1991</v>
      </c>
      <c r="B19" s="24" t="str">
        <f>IF(AND('A-17'!B19="-",'A-17'!B67="-",'A-17'!B115="-"),"-",SUM('A-17'!B19,'A-17'!B67,'A-17'!B115))</f>
        <v>-</v>
      </c>
      <c r="C19" s="24" t="str">
        <f>IF(AND('A-17'!C19="-",'A-17'!C67="-",'A-17'!C115="-"),"-",SUM('A-17'!C19,'A-17'!C67,'A-17'!C115))</f>
        <v>-</v>
      </c>
      <c r="D19" s="24">
        <f>IF(AND('A-17'!D19="-",'A-17'!D67="-",'A-17'!D115="-"),"-",SUM('A-17'!D19,'A-17'!D67,'A-17'!D115))</f>
        <v>4959</v>
      </c>
      <c r="E19" s="24">
        <f>IF(AND('A-17'!E19="-",'A-17'!E67="-",'A-17'!E115="-"),"-",SUM('A-17'!E19,'A-17'!E67,'A-17'!E115))</f>
        <v>54748</v>
      </c>
      <c r="F19" s="24">
        <f>IF(AND('A-17'!F19="-",'A-17'!F67="-",'A-17'!F115="-"),"-",SUM('A-17'!F19,'A-17'!F67,'A-17'!F115))</f>
        <v>18142</v>
      </c>
      <c r="G19" s="24">
        <f>IF(AND('A-17'!G19="-",'A-17'!G67="-",'A-17'!G115="-"),"-",SUM('A-17'!G19,'A-17'!G67,'A-17'!G115))</f>
        <v>3864</v>
      </c>
      <c r="H19" s="24" t="str">
        <f>IF(AND('A-17'!H19="-",'A-17'!H67="-",'A-17'!H115="-"),"-",SUM('A-17'!H19,'A-17'!H67,'A-17'!H115))</f>
        <v>-</v>
      </c>
      <c r="I19" s="24">
        <f>IF(AND('A-17'!I19="-",'A-17'!I67="-",'A-17'!I115="-"),"-",SUM('A-17'!I19,'A-17'!I67,'A-17'!I115))</f>
        <v>81713</v>
      </c>
      <c r="J19" s="17"/>
      <c r="K19" s="17"/>
    </row>
    <row r="20" spans="1:11" ht="11.25" customHeight="1">
      <c r="A20" s="99">
        <v>1992</v>
      </c>
      <c r="B20" s="24" t="str">
        <f>IF(AND('A-17'!B20="-",'A-17'!B68="-",'A-17'!B116="-"),"-",SUM('A-17'!B20,'A-17'!B68,'A-17'!B116))</f>
        <v>-</v>
      </c>
      <c r="C20" s="24">
        <f>IF(AND('A-17'!C20="-",'A-17'!C68="-",'A-17'!C116="-"),"-",SUM('A-17'!C20,'A-17'!C68,'A-17'!C116))</f>
        <v>1344</v>
      </c>
      <c r="D20" s="24" t="str">
        <f>IF(AND('A-17'!D20="-",'A-17'!D68="-",'A-17'!D116="-"),"-",SUM('A-17'!D20,'A-17'!D68,'A-17'!D116))</f>
        <v>-</v>
      </c>
      <c r="E20" s="24">
        <f>IF(AND('A-17'!E20="-",'A-17'!E68="-",'A-17'!E116="-"),"-",SUM('A-17'!E20,'A-17'!E68,'A-17'!E116))</f>
        <v>34918</v>
      </c>
      <c r="F20" s="24">
        <f>IF(AND('A-17'!F20="-",'A-17'!F68="-",'A-17'!F116="-"),"-",SUM('A-17'!F20,'A-17'!F68,'A-17'!F116))</f>
        <v>29184</v>
      </c>
      <c r="G20" s="24">
        <f>IF(AND('A-17'!G20="-",'A-17'!G68="-",'A-17'!G116="-"),"-",SUM('A-17'!G20,'A-17'!G68,'A-17'!G116))</f>
        <v>9721</v>
      </c>
      <c r="H20" s="24">
        <f>IF(AND('A-17'!H20="-",'A-17'!H68="-",'A-17'!H116="-"),"-",SUM('A-17'!H20,'A-17'!H68,'A-17'!H116))</f>
        <v>714</v>
      </c>
      <c r="I20" s="24">
        <f>IF(AND('A-17'!I20="-",'A-17'!I68="-",'A-17'!I116="-"),"-",SUM('A-17'!I20,'A-17'!I68,'A-17'!I116))</f>
        <v>75881</v>
      </c>
      <c r="J20" s="17"/>
      <c r="K20" s="17"/>
    </row>
    <row r="21" spans="1:11" ht="11.25" customHeight="1">
      <c r="A21" s="99">
        <v>1993</v>
      </c>
      <c r="B21" s="24" t="str">
        <f>IF(AND('A-17'!B21="-",'A-17'!B69="-",'A-17'!B117="-"),"-",SUM('A-17'!B21,'A-17'!B69,'A-17'!B117))</f>
        <v>-</v>
      </c>
      <c r="C21" s="24">
        <f>IF(AND('A-17'!C21="-",'A-17'!C69="-",'A-17'!C117="-"),"-",SUM('A-17'!C21,'A-17'!C69,'A-17'!C117))</f>
        <v>1172</v>
      </c>
      <c r="D21" s="24" t="str">
        <f>IF(AND('A-17'!D21="-",'A-17'!D69="-",'A-17'!D117="-"),"-",SUM('A-17'!D21,'A-17'!D69,'A-17'!D117))</f>
        <v>-</v>
      </c>
      <c r="E21" s="24">
        <f>IF(AND('A-17'!E21="-",'A-17'!E69="-",'A-17'!E117="-"),"-",SUM('A-17'!E21,'A-17'!E69,'A-17'!E117))</f>
        <v>30351</v>
      </c>
      <c r="F21" s="24">
        <f>IF(AND('A-17'!F21="-",'A-17'!F69="-",'A-17'!F117="-"),"-",SUM('A-17'!F21,'A-17'!F69,'A-17'!F117))</f>
        <v>31397</v>
      </c>
      <c r="G21" s="24">
        <f>IF(AND('A-17'!G21="-",'A-17'!G69="-",'A-17'!G117="-"),"-",SUM('A-17'!G21,'A-17'!G69,'A-17'!G117))</f>
        <v>18199</v>
      </c>
      <c r="H21" s="24" t="str">
        <f>IF(AND('A-17'!H21="-",'A-17'!H69="-",'A-17'!H117="-"),"-",SUM('A-17'!H21,'A-17'!H69,'A-17'!H117))</f>
        <v>-</v>
      </c>
      <c r="I21" s="24">
        <f>IF(AND('A-17'!I21="-",'A-17'!I69="-",'A-17'!I117="-"),"-",SUM('A-17'!I21,'A-17'!I69,'A-17'!I117))</f>
        <v>81119</v>
      </c>
      <c r="J21" s="17"/>
      <c r="K21" s="17"/>
    </row>
    <row r="22" spans="1:11" ht="11.25" customHeight="1">
      <c r="A22" s="99">
        <v>1994</v>
      </c>
      <c r="B22" s="24" t="str">
        <f>IF(AND('A-17'!B22="-",'A-17'!B70="-",'A-17'!B118="-"),"-",SUM('A-17'!B22,'A-17'!B70,'A-17'!B118))</f>
        <v>-</v>
      </c>
      <c r="C22" s="24" t="str">
        <f>IF(AND('A-17'!C22="-",'A-17'!C70="-",'A-17'!C118="-"),"-",SUM('A-17'!C22,'A-17'!C70,'A-17'!C118))</f>
        <v>-</v>
      </c>
      <c r="D22" s="24" t="str">
        <f>IF(AND('A-17'!D22="-",'A-17'!D70="-",'A-17'!D118="-"),"-",SUM('A-17'!D22,'A-17'!D70,'A-17'!D118))</f>
        <v>-</v>
      </c>
      <c r="E22" s="24" t="str">
        <f>IF(AND('A-17'!E22="-",'A-17'!E70="-",'A-17'!E118="-"),"-",SUM('A-17'!E22,'A-17'!E70,'A-17'!E118))</f>
        <v>-</v>
      </c>
      <c r="F22" s="24" t="str">
        <f>IF(AND('A-17'!F22="-",'A-17'!F70="-",'A-17'!F118="-"),"-",SUM('A-17'!F22,'A-17'!F70,'A-17'!F118))</f>
        <v>-</v>
      </c>
      <c r="G22" s="24" t="str">
        <f>IF(AND('A-17'!G22="-",'A-17'!G70="-",'A-17'!G118="-"),"-",SUM('A-17'!G22,'A-17'!G70,'A-17'!G118))</f>
        <v>-</v>
      </c>
      <c r="H22" s="24" t="str">
        <f>IF(AND('A-17'!H22="-",'A-17'!H70="-",'A-17'!H118="-"),"-",SUM('A-17'!H22,'A-17'!H70,'A-17'!H118))</f>
        <v>-</v>
      </c>
      <c r="I22" s="24" t="str">
        <f>IF(AND('A-17'!I22="-",'A-17'!I70="-",'A-17'!I118="-"),"-",SUM('A-17'!I22,'A-17'!I70,'A-17'!I118))</f>
        <v>-</v>
      </c>
      <c r="J22" s="17"/>
      <c r="K22" s="17"/>
    </row>
    <row r="23" spans="1:11" ht="11.25" customHeight="1">
      <c r="A23" s="99">
        <v>1995</v>
      </c>
      <c r="B23" s="24" t="str">
        <f>IF(AND('A-17'!B23="-",'A-17'!B71="-",'A-17'!B119="-"),"-",SUM('A-17'!B23,'A-17'!B71,'A-17'!B119))</f>
        <v>-</v>
      </c>
      <c r="C23" s="24" t="str">
        <f>IF(AND('A-17'!C23="-",'A-17'!C71="-",'A-17'!C119="-"),"-",SUM('A-17'!C23,'A-17'!C71,'A-17'!C119))</f>
        <v>-</v>
      </c>
      <c r="D23" s="24" t="str">
        <f>IF(AND('A-17'!D23="-",'A-17'!D71="-",'A-17'!D119="-"),"-",SUM('A-17'!D23,'A-17'!D71,'A-17'!D119))</f>
        <v>-</v>
      </c>
      <c r="E23" s="24">
        <f>IF(AND('A-17'!E23="-",'A-17'!E71="-",'A-17'!E119="-"),"-",SUM('A-17'!E23,'A-17'!E71,'A-17'!E119))</f>
        <v>4859</v>
      </c>
      <c r="F23" s="24">
        <f>IF(AND('A-17'!F23="-",'A-17'!F71="-",'A-17'!F119="-"),"-",SUM('A-17'!F23,'A-17'!F71,'A-17'!F119))</f>
        <v>21874</v>
      </c>
      <c r="G23" s="24">
        <f>IF(AND('A-17'!G23="-",'A-17'!G71="-",'A-17'!G119="-"),"-",SUM('A-17'!G23,'A-17'!G71,'A-17'!G119))</f>
        <v>5917</v>
      </c>
      <c r="H23" s="24" t="str">
        <f>IF(AND('A-17'!H23="-",'A-17'!H71="-",'A-17'!H119="-"),"-",SUM('A-17'!H23,'A-17'!H71,'A-17'!H119))</f>
        <v>-</v>
      </c>
      <c r="I23" s="24">
        <f>IF(AND('A-17'!I23="-",'A-17'!I71="-",'A-17'!I119="-"),"-",SUM('A-17'!I23,'A-17'!I71,'A-17'!I119))</f>
        <v>32650</v>
      </c>
      <c r="J23" s="17"/>
      <c r="K23" s="17"/>
    </row>
    <row r="24" spans="1:11" ht="11.25" customHeight="1">
      <c r="A24" s="99">
        <v>1996</v>
      </c>
      <c r="B24" s="24" t="str">
        <f>IF(AND('A-17'!B24="-",'A-17'!B72="-",'A-17'!B120="-"),"-",SUM('A-17'!B24,'A-17'!B72,'A-17'!B120))</f>
        <v>-</v>
      </c>
      <c r="C24" s="24" t="str">
        <f>IF(AND('A-17'!C24="-",'A-17'!C72="-",'A-17'!C120="-"),"-",SUM('A-17'!C24,'A-17'!C72,'A-17'!C120))</f>
        <v>-</v>
      </c>
      <c r="D24" s="24" t="str">
        <f>IF(AND('A-17'!D24="-",'A-17'!D72="-",'A-17'!D120="-"),"-",SUM('A-17'!D24,'A-17'!D72,'A-17'!D120))</f>
        <v>-</v>
      </c>
      <c r="E24" s="24">
        <f>IF(AND('A-17'!E24="-",'A-17'!E72="-",'A-17'!E120="-"),"-",SUM('A-17'!E24,'A-17'!E72,'A-17'!E120))</f>
        <v>4458</v>
      </c>
      <c r="F24" s="24">
        <f>IF(AND('A-17'!F24="-",'A-17'!F72="-",'A-17'!F120="-"),"-",SUM('A-17'!F24,'A-17'!F72,'A-17'!F120))</f>
        <v>20205</v>
      </c>
      <c r="G24" s="24">
        <f>IF(AND('A-17'!G24="-",'A-17'!G72="-",'A-17'!G120="-"),"-",SUM('A-17'!G24,'A-17'!G72,'A-17'!G120))</f>
        <v>2994</v>
      </c>
      <c r="H24" s="24" t="str">
        <f>IF(AND('A-17'!H24="-",'A-17'!H72="-",'A-17'!H120="-"),"-",SUM('A-17'!H24,'A-17'!H72,'A-17'!H120))</f>
        <v>-</v>
      </c>
      <c r="I24" s="24">
        <f>IF(AND('A-17'!I24="-",'A-17'!I72="-",'A-17'!I120="-"),"-",SUM('A-17'!I24,'A-17'!I72,'A-17'!I120))</f>
        <v>27657</v>
      </c>
      <c r="J24" s="17"/>
      <c r="K24" s="17"/>
    </row>
    <row r="25" spans="1:11" ht="11.25" customHeight="1">
      <c r="A25" s="99">
        <v>1997</v>
      </c>
      <c r="B25" s="24" t="str">
        <f>IF(AND('A-17'!B25="-",'A-17'!B73="-",'A-17'!B121="-"),"-",SUM('A-17'!B25,'A-17'!B73,'A-17'!B121))</f>
        <v>-</v>
      </c>
      <c r="C25" s="24" t="str">
        <f>IF(AND('A-17'!C25="-",'A-17'!C73="-",'A-17'!C121="-"),"-",SUM('A-17'!C25,'A-17'!C73,'A-17'!C121))</f>
        <v>-</v>
      </c>
      <c r="D25" s="24" t="str">
        <f>IF(AND('A-17'!D25="-",'A-17'!D73="-",'A-17'!D121="-"),"-",SUM('A-17'!D25,'A-17'!D73,'A-17'!D121))</f>
        <v>-</v>
      </c>
      <c r="E25" s="24">
        <f>IF(AND('A-17'!E25="-",'A-17'!E73="-",'A-17'!E121="-"),"-",SUM('A-17'!E25,'A-17'!E73,'A-17'!E121))</f>
        <v>11794</v>
      </c>
      <c r="F25" s="24">
        <f>IF(AND('A-17'!F25="-",'A-17'!F73="-",'A-17'!F121="-"),"-",SUM('A-17'!F25,'A-17'!F73,'A-17'!F121))</f>
        <v>10044</v>
      </c>
      <c r="G25" s="24">
        <f>IF(AND('A-17'!G25="-",'A-17'!G73="-",'A-17'!G121="-"),"-",SUM('A-17'!G25,'A-17'!G73,'A-17'!G121))</f>
        <v>1171</v>
      </c>
      <c r="H25" s="24" t="str">
        <f>IF(AND('A-17'!H25="-",'A-17'!H73="-",'A-17'!H121="-"),"-",SUM('A-17'!H25,'A-17'!H73,'A-17'!H121))</f>
        <v>-</v>
      </c>
      <c r="I25" s="24">
        <f>IF(AND('A-17'!I25="-",'A-17'!I73="-",'A-17'!I121="-"),"-",SUM('A-17'!I25,'A-17'!I73,'A-17'!I121))</f>
        <v>23009</v>
      </c>
      <c r="J25" s="17"/>
      <c r="K25" s="17"/>
    </row>
    <row r="26" spans="1:11" ht="11.25" customHeight="1">
      <c r="A26" s="99">
        <v>1998</v>
      </c>
      <c r="B26" s="24" t="str">
        <f>IF(AND('A-17'!B26="-",'A-17'!B74="-",'A-17'!B122="-"),"-",SUM('A-17'!B26,'A-17'!B74,'A-17'!B122))</f>
        <v>-</v>
      </c>
      <c r="C26" s="24" t="str">
        <f>IF(AND('A-17'!C26="-",'A-17'!C74="-",'A-17'!C122="-"),"-",SUM('A-17'!C26,'A-17'!C74,'A-17'!C122))</f>
        <v>-</v>
      </c>
      <c r="D26" s="24" t="str">
        <f>IF(AND('A-17'!D26="-",'A-17'!D74="-",'A-17'!D122="-"),"-",SUM('A-17'!D26,'A-17'!D74,'A-17'!D122))</f>
        <v>-</v>
      </c>
      <c r="E26" s="24" t="str">
        <f>IF(AND('A-17'!E26="-",'A-17'!E74="-",'A-17'!E122="-"),"-",SUM('A-17'!E26,'A-17'!E74,'A-17'!E122))</f>
        <v>-</v>
      </c>
      <c r="F26" s="24">
        <f>IF(AND('A-17'!F26="-",'A-17'!F74="-",'A-17'!F122="-"),"-",SUM('A-17'!F26,'A-17'!F74,'A-17'!F122))</f>
        <v>14013</v>
      </c>
      <c r="G26" s="24">
        <f>IF(AND('A-17'!G26="-",'A-17'!G74="-",'A-17'!G122="-"),"-",SUM('A-17'!G26,'A-17'!G74,'A-17'!G122))</f>
        <v>943</v>
      </c>
      <c r="H26" s="24" t="str">
        <f>IF(AND('A-17'!H26="-",'A-17'!H74="-",'A-17'!H122="-"),"-",SUM('A-17'!H26,'A-17'!H74,'A-17'!H122))</f>
        <v>-</v>
      </c>
      <c r="I26" s="24">
        <f>IF(AND('A-17'!I26="-",'A-17'!I74="-",'A-17'!I122="-"),"-",SUM('A-17'!I26,'A-17'!I74,'A-17'!I122))</f>
        <v>14956</v>
      </c>
      <c r="J26" s="17"/>
      <c r="K26" s="17"/>
    </row>
    <row r="27" spans="1:11" ht="11.25" customHeight="1">
      <c r="A27" s="99">
        <v>1999</v>
      </c>
      <c r="B27" s="24" t="str">
        <f>IF(AND('A-17'!B27="-",'A-17'!B75="-",'A-17'!B123="-"),"-",SUM('A-17'!B27,'A-17'!B75,'A-17'!B123))</f>
        <v>-</v>
      </c>
      <c r="C27" s="24" t="str">
        <f>IF(AND('A-17'!C27="-",'A-17'!C75="-",'A-17'!C123="-"),"-",SUM('A-17'!C27,'A-17'!C75,'A-17'!C123))</f>
        <v>-</v>
      </c>
      <c r="D27" s="24" t="str">
        <f>IF(AND('A-17'!D27="-",'A-17'!D75="-",'A-17'!D123="-"),"-",SUM('A-17'!D27,'A-17'!D75,'A-17'!D123))</f>
        <v>-</v>
      </c>
      <c r="E27" s="24">
        <f>IF(AND('A-17'!E27="-",'A-17'!E75="-",'A-17'!E123="-"),"-",SUM('A-17'!E27,'A-17'!E75,'A-17'!E123))</f>
        <v>8875</v>
      </c>
      <c r="F27" s="24">
        <f>IF(AND('A-17'!F27="-",'A-17'!F75="-",'A-17'!F123="-"),"-",SUM('A-17'!F27,'A-17'!F75,'A-17'!F123))</f>
        <v>14607</v>
      </c>
      <c r="G27" s="24">
        <f>IF(AND('A-17'!G27="-",'A-17'!G75="-",'A-17'!G123="-"),"-",SUM('A-17'!G27,'A-17'!G75,'A-17'!G123))</f>
        <v>6616</v>
      </c>
      <c r="H27" s="24" t="str">
        <f>IF(AND('A-17'!H27="-",'A-17'!H75="-",'A-17'!H123="-"),"-",SUM('A-17'!H27,'A-17'!H75,'A-17'!H123))</f>
        <v>-</v>
      </c>
      <c r="I27" s="24">
        <f>IF(AND('A-17'!I27="-",'A-17'!I75="-",'A-17'!I123="-"),"-",SUM('A-17'!I27,'A-17'!I75,'A-17'!I123))</f>
        <v>30098</v>
      </c>
      <c r="J27" s="17"/>
      <c r="K27" s="17"/>
    </row>
    <row r="28" spans="1:11" ht="11.25" customHeight="1">
      <c r="A28" s="99">
        <v>2000</v>
      </c>
      <c r="B28" s="24" t="str">
        <f>IF(AND('A-17'!B28="-",'A-17'!B76="-",'A-17'!B124="-"),"-",SUM('A-17'!B28,'A-17'!B76,'A-17'!B124))</f>
        <v>-</v>
      </c>
      <c r="C28" s="24" t="str">
        <f>IF(AND('A-17'!C28="-",'A-17'!C76="-",'A-17'!C124="-"),"-",SUM('A-17'!C28,'A-17'!C76,'A-17'!C124))</f>
        <v>-</v>
      </c>
      <c r="D28" s="24" t="str">
        <f>IF(AND('A-17'!D28="-",'A-17'!D76="-",'A-17'!D124="-"),"-",SUM('A-17'!D28,'A-17'!D76,'A-17'!D124))</f>
        <v>-</v>
      </c>
      <c r="E28" s="24">
        <f>IF(AND('A-17'!E28="-",'A-17'!E76="-",'A-17'!E124="-"),"-",SUM('A-17'!E28,'A-17'!E76,'A-17'!E124))</f>
        <v>18556</v>
      </c>
      <c r="F28" s="24">
        <f>IF(AND('A-17'!F28="-",'A-17'!F76="-",'A-17'!F124="-"),"-",SUM('A-17'!F28,'A-17'!F76,'A-17'!F124))</f>
        <v>12960</v>
      </c>
      <c r="G28" s="24">
        <f>IF(AND('A-17'!G28="-",'A-17'!G76="-",'A-17'!G124="-"),"-",SUM('A-17'!G28,'A-17'!G76,'A-17'!G124))</f>
        <v>1646</v>
      </c>
      <c r="H28" s="24" t="str">
        <f>IF(AND('A-17'!H28="-",'A-17'!H76="-",'A-17'!H124="-"),"-",SUM('A-17'!H28,'A-17'!H76,'A-17'!H124))</f>
        <v>-</v>
      </c>
      <c r="I28" s="24">
        <f>IF(AND('A-17'!I28="-",'A-17'!I76="-",'A-17'!I124="-"),"-",SUM('A-17'!I28,'A-17'!I76,'A-17'!I124))</f>
        <v>33162</v>
      </c>
      <c r="J28" s="17"/>
      <c r="K28" s="17"/>
    </row>
    <row r="29" spans="1:11" ht="11.25" customHeight="1">
      <c r="A29" s="99">
        <v>2001</v>
      </c>
      <c r="B29" s="24" t="str">
        <f>IF(AND('A-17'!B29="-",'A-17'!B77="-",'A-17'!B125="-"),"-",SUM('A-17'!B29,'A-17'!B77,'A-17'!B125))</f>
        <v>-</v>
      </c>
      <c r="C29" s="24" t="str">
        <f>IF(AND('A-17'!C29="-",'A-17'!C77="-",'A-17'!C125="-"),"-",SUM('A-17'!C29,'A-17'!C77,'A-17'!C125))</f>
        <v>-</v>
      </c>
      <c r="D29" s="24" t="str">
        <f>IF(AND('A-17'!D29="-",'A-17'!D77="-",'A-17'!D125="-"),"-",SUM('A-17'!D29,'A-17'!D77,'A-17'!D125))</f>
        <v>-</v>
      </c>
      <c r="E29" s="24">
        <f>IF(AND('A-17'!E29="-",'A-17'!E77="-",'A-17'!E125="-"),"-",SUM('A-17'!E29,'A-17'!E77,'A-17'!E125))</f>
        <v>37754</v>
      </c>
      <c r="F29" s="24">
        <f>IF(AND('A-17'!F29="-",'A-17'!F77="-",'A-17'!F125="-"),"-",SUM('A-17'!F29,'A-17'!F77,'A-17'!F125))</f>
        <v>23732</v>
      </c>
      <c r="G29" s="24">
        <f>IF(AND('A-17'!G29="-",'A-17'!G77="-",'A-17'!G125="-"),"-",SUM('A-17'!G29,'A-17'!G77,'A-17'!G125))</f>
        <v>9291</v>
      </c>
      <c r="H29" s="24">
        <f>IF(AND('A-17'!H29="-",'A-17'!H77="-",'A-17'!H125="-"),"-",SUM('A-17'!H29,'A-17'!H77,'A-17'!H125))</f>
        <v>239</v>
      </c>
      <c r="I29" s="24">
        <f>IF(AND('A-17'!I29="-",'A-17'!I77="-",'A-17'!I125="-"),"-",SUM('A-17'!I29,'A-17'!I77,'A-17'!I125))</f>
        <v>71016</v>
      </c>
      <c r="J29" s="17"/>
      <c r="K29" s="17"/>
    </row>
    <row r="30" spans="1:11" ht="11.25" customHeight="1">
      <c r="A30" s="99">
        <v>2002</v>
      </c>
      <c r="B30" s="24" t="str">
        <f>IF(AND('A-17'!B30="-",'A-17'!B78="-",'A-17'!B126="-"),"-",SUM('A-17'!B30,'A-17'!B78,'A-17'!B126))</f>
        <v>-</v>
      </c>
      <c r="C30" s="24">
        <f>IF(AND('A-17'!C30="-",'A-17'!C78="-",'A-17'!C126="-"),"-",SUM('A-17'!C30,'A-17'!C78,'A-17'!C126))</f>
        <v>2496</v>
      </c>
      <c r="D30" s="24">
        <f>IF(AND('A-17'!D30="-",'A-17'!D78="-",'A-17'!D126="-"),"-",SUM('A-17'!D30,'A-17'!D78,'A-17'!D126))</f>
        <v>13613</v>
      </c>
      <c r="E30" s="24">
        <f>IF(AND('A-17'!E30="-",'A-17'!E78="-",'A-17'!E126="-"),"-",SUM('A-17'!E30,'A-17'!E78,'A-17'!E126))</f>
        <v>21404</v>
      </c>
      <c r="F30" s="24">
        <f>IF(AND('A-17'!F30="-",'A-17'!F78="-",'A-17'!F126="-"),"-",SUM('A-17'!F30,'A-17'!F78,'A-17'!F126))</f>
        <v>19160</v>
      </c>
      <c r="G30" s="24">
        <f>IF(AND('A-17'!G30="-",'A-17'!G78="-",'A-17'!G126="-"),"-",SUM('A-17'!G30,'A-17'!G78,'A-17'!G126))</f>
        <v>1719</v>
      </c>
      <c r="H30" s="24">
        <f>IF(AND('A-17'!H30="-",'A-17'!H78="-",'A-17'!H126="-"),"-",SUM('A-17'!H30,'A-17'!H78,'A-17'!H126))</f>
        <v>113</v>
      </c>
      <c r="I30" s="24">
        <f>IF(AND('A-17'!I30="-",'A-17'!I78="-",'A-17'!I126="-"),"-",SUM('A-17'!I30,'A-17'!I78,'A-17'!I126))</f>
        <v>58505</v>
      </c>
      <c r="J30" s="17"/>
      <c r="K30" s="17"/>
    </row>
    <row r="31" spans="1:11" ht="11.25" customHeight="1">
      <c r="A31" s="99">
        <v>2003</v>
      </c>
      <c r="B31" s="24" t="str">
        <f>IF(AND('A-17'!B31="-",'A-17'!B79="-",'A-17'!B127="-"),"-",SUM('A-17'!B31,'A-17'!B79,'A-17'!B127))</f>
        <v>-</v>
      </c>
      <c r="C31" s="24" t="str">
        <f>IF(AND('A-17'!C31="-",'A-17'!C79="-",'A-17'!C127="-"),"-",SUM('A-17'!C31,'A-17'!C79,'A-17'!C127))</f>
        <v>-</v>
      </c>
      <c r="D31" s="24">
        <f>IF(AND('A-17'!D31="-",'A-17'!D79="-",'A-17'!D127="-"),"-",SUM('A-17'!D31,'A-17'!D79,'A-17'!D127))</f>
        <v>5894</v>
      </c>
      <c r="E31" s="24">
        <f>IF(AND('A-17'!E31="-",'A-17'!E79="-",'A-17'!E127="-"),"-",SUM('A-17'!E31,'A-17'!E79,'A-17'!E127))</f>
        <v>32630</v>
      </c>
      <c r="F31" s="24">
        <f>IF(AND('A-17'!F31="-",'A-17'!F79="-",'A-17'!F127="-"),"-",SUM('A-17'!F31,'A-17'!F79,'A-17'!F127))</f>
        <v>27968</v>
      </c>
      <c r="G31" s="24">
        <f>IF(AND('A-17'!G31="-",'A-17'!G79="-",'A-17'!G127="-"),"-",SUM('A-17'!G31,'A-17'!G79,'A-17'!G127))</f>
        <v>6247</v>
      </c>
      <c r="H31" s="24">
        <f>IF(AND('A-17'!H31="-",'A-17'!H79="-",'A-17'!H127="-"),"-",SUM('A-17'!H31,'A-17'!H79,'A-17'!H127))</f>
        <v>128</v>
      </c>
      <c r="I31" s="24">
        <f>IF(AND('A-17'!I31="-",'A-17'!I79="-",'A-17'!I127="-"),"-",SUM('A-17'!I31,'A-17'!I79,'A-17'!I127))</f>
        <v>72867</v>
      </c>
      <c r="J31" s="17"/>
      <c r="K31" s="17"/>
    </row>
    <row r="32" spans="1:11" ht="11.25" customHeight="1">
      <c r="A32" s="99">
        <v>2004</v>
      </c>
      <c r="B32" s="24" t="str">
        <f>IF(AND('A-17'!B32="-",'A-17'!B80="-",'A-17'!B128="-"),"-",SUM('A-17'!B32,'A-17'!B80,'A-17'!B128))</f>
        <v>-</v>
      </c>
      <c r="C32" s="24" t="str">
        <f>IF(AND('A-17'!C32="-",'A-17'!C80="-",'A-17'!C128="-"),"-",SUM('A-17'!C32,'A-17'!C80,'A-17'!C128))</f>
        <v>-</v>
      </c>
      <c r="D32" s="24">
        <f>IF(AND('A-17'!D32="-",'A-17'!D80="-",'A-17'!D128="-"),"-",SUM('A-17'!D32,'A-17'!D80,'A-17'!D128))</f>
        <v>2013</v>
      </c>
      <c r="E32" s="24">
        <f>IF(AND('A-17'!E32="-",'A-17'!E80="-",'A-17'!E128="-"),"-",SUM('A-17'!E32,'A-17'!E80,'A-17'!E128))</f>
        <v>31942</v>
      </c>
      <c r="F32" s="24">
        <f>IF(AND('A-17'!F32="-",'A-17'!F80="-",'A-17'!F128="-"),"-",SUM('A-17'!F32,'A-17'!F80,'A-17'!F128))</f>
        <v>26905</v>
      </c>
      <c r="G32" s="24">
        <f>IF(AND('A-17'!G32="-",'A-17'!G80="-",'A-17'!G128="-"),"-",SUM('A-17'!G32,'A-17'!G80,'A-17'!G128))</f>
        <v>8013</v>
      </c>
      <c r="H32" s="24">
        <f>IF(AND('A-17'!H32="-",'A-17'!H80="-",'A-17'!H128="-"),"-",SUM('A-17'!H32,'A-17'!H80,'A-17'!H128))</f>
        <v>20</v>
      </c>
      <c r="I32" s="24">
        <f>IF(AND('A-17'!I32="-",'A-17'!I80="-",'A-17'!I128="-"),"-",SUM('A-17'!I32,'A-17'!I80,'A-17'!I128))</f>
        <v>68893</v>
      </c>
      <c r="J32" s="17"/>
      <c r="K32" s="17"/>
    </row>
    <row r="33" spans="1:11" ht="11.25" customHeight="1">
      <c r="A33" s="99">
        <v>2005</v>
      </c>
      <c r="B33" s="24" t="str">
        <f>IF(AND('A-17'!B33="-",'A-17'!B81="-",'A-17'!B129="-"),"-",SUM('A-17'!B33,'A-17'!B81,'A-17'!B129))</f>
        <v>-</v>
      </c>
      <c r="C33" s="24" t="str">
        <f>IF(AND('A-17'!C33="-",'A-17'!C81="-",'A-17'!C129="-"),"-",SUM('A-17'!C33,'A-17'!C81,'A-17'!C129))</f>
        <v>-</v>
      </c>
      <c r="D33" s="24">
        <f>IF(AND('A-17'!D33="-",'A-17'!D81="-",'A-17'!D129="-"),"-",SUM('A-17'!D33,'A-17'!D81,'A-17'!D129))</f>
        <v>1119</v>
      </c>
      <c r="E33" s="24">
        <f>IF(AND('A-17'!E33="-",'A-17'!E81="-",'A-17'!E129="-"),"-",SUM('A-17'!E33,'A-17'!E81,'A-17'!E129))</f>
        <v>25888.744915506741</v>
      </c>
      <c r="F33" s="24">
        <f>IF(AND('A-17'!F33="-",'A-17'!F81="-",'A-17'!F129="-"),"-",SUM('A-17'!F33,'A-17'!F81,'A-17'!F129))</f>
        <v>22503.536814377021</v>
      </c>
      <c r="G33" s="24">
        <f>IF(AND('A-17'!G33="-",'A-17'!G81="-",'A-17'!G129="-"),"-",SUM('A-17'!G33,'A-17'!G81,'A-17'!G129))</f>
        <v>8870.1950999392811</v>
      </c>
      <c r="H33" s="24">
        <f>IF(AND('A-17'!H33="-",'A-17'!H81="-",'A-17'!H129="-"),"-",SUM('A-17'!H33,'A-17'!H81,'A-17'!H129))</f>
        <v>160</v>
      </c>
      <c r="I33" s="24">
        <f>IF(AND('A-17'!I33="-",'A-17'!I81="-",'A-17'!I129="-"),"-",SUM('A-17'!I33,'A-17'!I81,'A-17'!I129))</f>
        <v>58541.476829823048</v>
      </c>
      <c r="J33" s="17"/>
      <c r="K33" s="17"/>
    </row>
    <row r="34" spans="1:11" ht="11.25" customHeight="1">
      <c r="A34" s="99">
        <v>2006</v>
      </c>
      <c r="B34" s="24" t="str">
        <f>IF(AND('A-17'!B34="-",'A-17'!B82="-",'A-17'!B130="-"),"-",SUM('A-17'!B34,'A-17'!B82,'A-17'!B130))</f>
        <v>-</v>
      </c>
      <c r="C34" s="24" t="str">
        <f>IF(AND('A-17'!C34="-",'A-17'!C82="-",'A-17'!C130="-"),"-",SUM('A-17'!C34,'A-17'!C82,'A-17'!C130))</f>
        <v>-</v>
      </c>
      <c r="D34" s="24">
        <f>IF(AND('A-17'!D34="-",'A-17'!D82="-",'A-17'!D130="-"),"-",SUM('A-17'!D34,'A-17'!D82,'A-17'!D130))</f>
        <v>1118.93</v>
      </c>
      <c r="E34" s="24">
        <f>IF(AND('A-17'!E34="-",'A-17'!E82="-",'A-17'!E130="-"),"-",SUM('A-17'!E34,'A-17'!E82,'A-17'!E130))</f>
        <v>16486.240000000002</v>
      </c>
      <c r="F34" s="24">
        <f>IF(AND('A-17'!F34="-",'A-17'!F82="-",'A-17'!F130="-"),"-",SUM('A-17'!F34,'A-17'!F82,'A-17'!F130))</f>
        <v>20678.71</v>
      </c>
      <c r="G34" s="24">
        <f>IF(AND('A-17'!G34="-",'A-17'!G82="-",'A-17'!G130="-"),"-",SUM('A-17'!G34,'A-17'!G82,'A-17'!G130))</f>
        <v>3551.2</v>
      </c>
      <c r="H34" s="24">
        <f>IF(AND('A-17'!H34="-",'A-17'!H82="-",'A-17'!H130="-"),"-",SUM('A-17'!H34,'A-17'!H82,'A-17'!H130))</f>
        <v>258.35000000000002</v>
      </c>
      <c r="I34" s="24">
        <f>IF(AND('A-17'!I34="-",'A-17'!I82="-",'A-17'!I130="-"),"-",SUM('A-17'!I34,'A-17'!I82,'A-17'!I130))</f>
        <v>42093.430000000008</v>
      </c>
      <c r="J34" s="17"/>
      <c r="K34" s="17"/>
    </row>
    <row r="35" spans="1:11" ht="11.25" customHeight="1">
      <c r="A35" s="99">
        <v>2007</v>
      </c>
      <c r="B35" s="24" t="str">
        <f>IF(AND('A-17'!B35="-",'A-17'!B83="-",'A-17'!B131="-"),"-",SUM('A-17'!B35,'A-17'!B83,'A-17'!B131))</f>
        <v>-</v>
      </c>
      <c r="C35" s="24" t="str">
        <f>IF(AND('A-17'!C35="-",'A-17'!C83="-",'A-17'!C131="-"),"-",SUM('A-17'!C35,'A-17'!C83,'A-17'!C131))</f>
        <v>-</v>
      </c>
      <c r="D35" s="24" t="str">
        <f>IF(AND('A-17'!D35="-",'A-17'!D83="-",'A-17'!D131="-"),"-",SUM('A-17'!D35,'A-17'!D83,'A-17'!D131))</f>
        <v>-</v>
      </c>
      <c r="E35" s="24">
        <f>IF(AND('A-17'!E35="-",'A-17'!E83="-",'A-17'!E131="-"),"-",SUM('A-17'!E35,'A-17'!E83,'A-17'!E131))</f>
        <v>17481.84</v>
      </c>
      <c r="F35" s="24">
        <f>IF(AND('A-17'!F35="-",'A-17'!F83="-",'A-17'!F131="-"),"-",SUM('A-17'!F35,'A-17'!F83,'A-17'!F131))</f>
        <v>21514.170000000002</v>
      </c>
      <c r="G35" s="24">
        <f>IF(AND('A-17'!G35="-",'A-17'!G83="-",'A-17'!G131="-"),"-",SUM('A-17'!G35,'A-17'!G83,'A-17'!G131))</f>
        <v>3555.27</v>
      </c>
      <c r="H35" s="24">
        <f>IF(AND('A-17'!H35="-",'A-17'!H83="-",'A-17'!H131="-"),"-",SUM('A-17'!H35,'A-17'!H83,'A-17'!H131))</f>
        <v>0</v>
      </c>
      <c r="I35" s="24">
        <f>IF(AND('A-17'!I35="-",'A-17'!I83="-",'A-17'!I131="-"),"-",SUM('A-17'!I35,'A-17'!I83,'A-17'!I131))</f>
        <v>42551.28</v>
      </c>
      <c r="J35" s="17"/>
      <c r="K35" s="17"/>
    </row>
    <row r="36" spans="1:11" ht="11.25" customHeight="1">
      <c r="A36" s="99">
        <v>2008</v>
      </c>
      <c r="B36" s="24" t="str">
        <f>IF(AND('A-17'!B36="-",'A-17'!B84="-",'A-17'!B132="-"),"-",SUM('A-17'!B36,'A-17'!B84,'A-17'!B132))</f>
        <v>-</v>
      </c>
      <c r="C36" s="24" t="str">
        <f>IF(AND('A-17'!C36="-",'A-17'!C84="-",'A-17'!C132="-"),"-",SUM('A-17'!C36,'A-17'!C84,'A-17'!C132))</f>
        <v>-</v>
      </c>
      <c r="D36" s="24">
        <f>IF(AND('A-17'!D36="-",'A-17'!D84="-",'A-17'!D132="-"),"-",SUM('A-17'!D36,'A-17'!D84,'A-17'!D132))</f>
        <v>4007.3399999999997</v>
      </c>
      <c r="E36" s="24">
        <f>IF(AND('A-17'!E36="-",'A-17'!E84="-",'A-17'!E132="-"),"-",SUM('A-17'!E36,'A-17'!E84,'A-17'!E132))</f>
        <v>11391.77</v>
      </c>
      <c r="F36" s="24">
        <f>IF(AND('A-17'!F36="-",'A-17'!F84="-",'A-17'!F132="-"),"-",SUM('A-17'!F36,'A-17'!F84,'A-17'!F132))</f>
        <v>9170.59</v>
      </c>
      <c r="G36" s="24">
        <f>IF(AND('A-17'!G36="-",'A-17'!G84="-",'A-17'!G132="-"),"-",SUM('A-17'!G36,'A-17'!G84,'A-17'!G132))</f>
        <v>2563.7800000000002</v>
      </c>
      <c r="H36" s="24">
        <f>IF(AND('A-17'!H36="-",'A-17'!H84="-",'A-17'!H132="-"),"-",SUM('A-17'!H36,'A-17'!H84,'A-17'!H132))</f>
        <v>37.5</v>
      </c>
      <c r="I36" s="24">
        <f>IF(AND('A-17'!I36="-",'A-17'!I84="-",'A-17'!I132="-"),"-",SUM('A-17'!I36,'A-17'!I84,'A-17'!I132))</f>
        <v>27170.979999999996</v>
      </c>
      <c r="J36" s="17"/>
      <c r="K36" s="17"/>
    </row>
    <row r="37" spans="1:11" ht="11.25" customHeight="1">
      <c r="A37" s="99">
        <v>2009</v>
      </c>
      <c r="B37" s="24" t="str">
        <f>IF(AND('A-17'!B37="-",'A-17'!B85="-",'A-17'!B133="-"),"-",SUM('A-17'!B37,'A-17'!B85,'A-17'!B133))</f>
        <v>-</v>
      </c>
      <c r="C37" s="24" t="str">
        <f>IF(AND('A-17'!C37="-",'A-17'!C85="-",'A-17'!C133="-"),"-",SUM('A-17'!C37,'A-17'!C85,'A-17'!C133))</f>
        <v>-</v>
      </c>
      <c r="D37" s="24">
        <f>IF(AND('A-17'!D37="-",'A-17'!D85="-",'A-17'!D133="-"),"-",SUM('A-17'!D37,'A-17'!D85,'A-17'!D133))</f>
        <v>1104.29</v>
      </c>
      <c r="E37" s="24">
        <f>IF(AND('A-17'!E37="-",'A-17'!E85="-",'A-17'!E133="-"),"-",SUM('A-17'!E37,'A-17'!E85,'A-17'!E133))</f>
        <v>18115.16</v>
      </c>
      <c r="F37" s="24">
        <f>IF(AND('A-17'!F37="-",'A-17'!F85="-",'A-17'!F133="-"),"-",SUM('A-17'!F37,'A-17'!F85,'A-17'!F133))</f>
        <v>32545.57</v>
      </c>
      <c r="G37" s="24">
        <f>IF(AND('A-17'!G37="-",'A-17'!G85="-",'A-17'!G133="-"),"-",SUM('A-17'!G37,'A-17'!G85,'A-17'!G133))</f>
        <v>7402.0300000000007</v>
      </c>
      <c r="H37" s="24">
        <f>IF(AND('A-17'!H37="-",'A-17'!H85="-",'A-17'!H133="-"),"-",SUM('A-17'!H37,'A-17'!H85,'A-17'!H133))</f>
        <v>212.42</v>
      </c>
      <c r="I37" s="24">
        <f>IF(AND('A-17'!I37="-",'A-17'!I85="-",'A-17'!I133="-"),"-",SUM('A-17'!I37,'A-17'!I85,'A-17'!I133))</f>
        <v>59379.47</v>
      </c>
      <c r="J37" s="17"/>
      <c r="K37" s="17"/>
    </row>
    <row r="38" spans="1:11" ht="11.25" customHeight="1">
      <c r="A38" s="99">
        <v>2010</v>
      </c>
      <c r="B38" s="24" t="str">
        <f>IF(AND('A-17'!B38="-",'A-17'!B86="-",'A-17'!B134="-"),"-",SUM('A-17'!B38,'A-17'!B86,'A-17'!B134))</f>
        <v>-</v>
      </c>
      <c r="C38" s="24" t="str">
        <f>IF(AND('A-17'!C38="-",'A-17'!C86="-",'A-17'!C134="-"),"-",SUM('A-17'!C38,'A-17'!C86,'A-17'!C134))</f>
        <v>-</v>
      </c>
      <c r="D38" s="24">
        <f>IF(AND('A-17'!D38="-",'A-17'!D86="-",'A-17'!D134="-"),"-",SUM('A-17'!D38,'A-17'!D86,'A-17'!D134))</f>
        <v>9451.1299999999992</v>
      </c>
      <c r="E38" s="24">
        <f>IF(AND('A-17'!E38="-",'A-17'!E86="-",'A-17'!E134="-"),"-",SUM('A-17'!E38,'A-17'!E86,'A-17'!E134))</f>
        <v>18380.2</v>
      </c>
      <c r="F38" s="24">
        <f>IF(AND('A-17'!F38="-",'A-17'!F86="-",'A-17'!F134="-"),"-",SUM('A-17'!F38,'A-17'!F86,'A-17'!F134))</f>
        <v>19546.45</v>
      </c>
      <c r="G38" s="24">
        <f>IF(AND('A-17'!G38="-",'A-17'!G86="-",'A-17'!G134="-"),"-",SUM('A-17'!G38,'A-17'!G86,'A-17'!G134))</f>
        <v>6281.6</v>
      </c>
      <c r="H38" s="24">
        <f>IF(AND('A-17'!H38="-",'A-17'!H86="-",'A-17'!H134="-"),"-",SUM('A-17'!H38,'A-17'!H86,'A-17'!H134))</f>
        <v>153.97</v>
      </c>
      <c r="I38" s="24">
        <f>IF(AND('A-17'!I38="-",'A-17'!I86="-",'A-17'!I134="-"),"-",SUM('A-17'!I38,'A-17'!I86,'A-17'!I134))</f>
        <v>53813.350000000006</v>
      </c>
      <c r="J38" s="17"/>
      <c r="K38" s="17"/>
    </row>
    <row r="39" spans="1:11" ht="11.25" customHeight="1">
      <c r="A39" s="99">
        <v>2011</v>
      </c>
      <c r="B39" s="24" t="str">
        <f>IF(AND('A-17'!B39="-",'A-17'!B87="-",'A-17'!B135="-"),"-",SUM('A-17'!B39,'A-17'!B87,'A-17'!B135))</f>
        <v>-</v>
      </c>
      <c r="C39" s="24" t="str">
        <f>IF(AND('A-17'!C39="-",'A-17'!C87="-",'A-17'!C135="-"),"-",SUM('A-17'!C39,'A-17'!C87,'A-17'!C135))</f>
        <v>-</v>
      </c>
      <c r="D39" s="24">
        <f>IF(AND('A-17'!D39="-",'A-17'!D87="-",'A-17'!D135="-"),"-",SUM('A-17'!D39,'A-17'!D87,'A-17'!D135))</f>
        <v>5536.83</v>
      </c>
      <c r="E39" s="24">
        <f>IF(AND('A-17'!E39="-",'A-17'!E87="-",'A-17'!E135="-"),"-",SUM('A-17'!E39,'A-17'!E87,'A-17'!E135))</f>
        <v>17334.349999999999</v>
      </c>
      <c r="F39" s="24">
        <f>IF(AND('A-17'!F39="-",'A-17'!F87="-",'A-17'!F135="-"),"-",SUM('A-17'!F39,'A-17'!F87,'A-17'!F135))</f>
        <v>21178.25</v>
      </c>
      <c r="G39" s="24">
        <f>IF(AND('A-17'!G39="-",'A-17'!G87="-",'A-17'!G135="-"),"-",SUM('A-17'!G39,'A-17'!G87,'A-17'!G135))</f>
        <v>4786.58</v>
      </c>
      <c r="H39" s="24">
        <f>IF(AND('A-17'!H39="-",'A-17'!H87="-",'A-17'!H135="-"),"-",SUM('A-17'!H39,'A-17'!H87,'A-17'!H135))</f>
        <v>16.05</v>
      </c>
      <c r="I39" s="24">
        <f>IF(AND('A-17'!I39="-",'A-17'!I87="-",'A-17'!I135="-"),"-",SUM('A-17'!I39,'A-17'!I87,'A-17'!I135))</f>
        <v>48852.06</v>
      </c>
      <c r="J39" s="17"/>
      <c r="K39" s="17"/>
    </row>
    <row r="40" spans="1:11" ht="11.25" customHeight="1">
      <c r="A40" s="99">
        <v>2012</v>
      </c>
      <c r="B40" s="24" t="str">
        <f>IF(AND('A-17'!B40="-",'A-17'!B88="-",'A-17'!B136="-"),"-",SUM('A-17'!B40,'A-17'!B88,'A-17'!B136))</f>
        <v>-</v>
      </c>
      <c r="C40" s="24" t="str">
        <f>IF(AND('A-17'!C40="-",'A-17'!C88="-",'A-17'!C136="-"),"-",SUM('A-17'!C40,'A-17'!C88,'A-17'!C136))</f>
        <v>-</v>
      </c>
      <c r="D40" s="24">
        <f>IF(AND('A-17'!D40="-",'A-17'!D88="-",'A-17'!D136="-"),"-",SUM('A-17'!D40,'A-17'!D88,'A-17'!D136))</f>
        <v>9627.2200000000012</v>
      </c>
      <c r="E40" s="24">
        <f>IF(AND('A-17'!E40="-",'A-17'!E88="-",'A-17'!E136="-"),"-",SUM('A-17'!E40,'A-17'!E88,'A-17'!E136))</f>
        <v>17412.53</v>
      </c>
      <c r="F40" s="24">
        <f>IF(AND('A-17'!F40="-",'A-17'!F88="-",'A-17'!F136="-"),"-",SUM('A-17'!F40,'A-17'!F88,'A-17'!F136))</f>
        <v>19168.04</v>
      </c>
      <c r="G40" s="24">
        <f>IF(AND('A-17'!G40="-",'A-17'!G88="-",'A-17'!G136="-"),"-",SUM('A-17'!G40,'A-17'!G88,'A-17'!G136))</f>
        <v>8128.11</v>
      </c>
      <c r="H40" s="24">
        <f>IF(AND('A-17'!H40="-",'A-17'!H88="-",'A-17'!H136="-"),"-",SUM('A-17'!H40,'A-17'!H88,'A-17'!H136))</f>
        <v>353.11</v>
      </c>
      <c r="I40" s="24">
        <f>IF(AND('A-17'!I40="-",'A-17'!I88="-",'A-17'!I136="-"),"-",SUM('A-17'!I40,'A-17'!I88,'A-17'!I136))</f>
        <v>54689.010000000009</v>
      </c>
      <c r="J40" s="17"/>
      <c r="K40" s="17"/>
    </row>
    <row r="41" spans="1:11" ht="11.25" customHeight="1">
      <c r="A41" s="99">
        <v>2013</v>
      </c>
      <c r="B41" s="24" t="str">
        <f>IF(AND('A-17'!B41="-",'A-17'!B89="-",'A-17'!B137="-"),"-",SUM('A-17'!B41,'A-17'!B89,'A-17'!B137))</f>
        <v>-</v>
      </c>
      <c r="C41" s="24">
        <f>IF(AND('A-17'!C41="-",'A-17'!C89="-",'A-17'!C137="-"),"-",SUM('A-17'!C41,'A-17'!C89,'A-17'!C137))</f>
        <v>950.86</v>
      </c>
      <c r="D41" s="24">
        <f>IF(AND('A-17'!D41="-",'A-17'!D89="-",'A-17'!D137="-"),"-",SUM('A-17'!D41,'A-17'!D89,'A-17'!D137))</f>
        <v>8973.08</v>
      </c>
      <c r="E41" s="24">
        <f>IF(AND('A-17'!E41="-",'A-17'!E89="-",'A-17'!E137="-"),"-",SUM('A-17'!E41,'A-17'!E89,'A-17'!E137))</f>
        <v>16010.42</v>
      </c>
      <c r="F41" s="24">
        <f>IF(AND('A-17'!F41="-",'A-17'!F89="-",'A-17'!F137="-"),"-",SUM('A-17'!F41,'A-17'!F89,'A-17'!F137))</f>
        <v>23946.48</v>
      </c>
      <c r="G41" s="24">
        <f>IF(AND('A-17'!G41="-",'A-17'!G89="-",'A-17'!G137="-"),"-",SUM('A-17'!G41,'A-17'!G89,'A-17'!G137))</f>
        <v>5399.54</v>
      </c>
      <c r="H41" s="24">
        <f>IF(AND('A-17'!H41="-",'A-17'!H89="-",'A-17'!H137="-"),"-",SUM('A-17'!H41,'A-17'!H89,'A-17'!H137))</f>
        <v>237.41</v>
      </c>
      <c r="I41" s="24">
        <f>IF(AND('A-17'!I41="-",'A-17'!I89="-",'A-17'!I137="-"),"-",SUM('A-17'!I41,'A-17'!I89,'A-17'!I137))</f>
        <v>55517.79</v>
      </c>
      <c r="J41" s="17"/>
      <c r="K41" s="17"/>
    </row>
    <row r="42" spans="1:11" ht="11.25" customHeight="1">
      <c r="A42" s="99">
        <v>2014</v>
      </c>
      <c r="B42" s="24" t="str">
        <f>IF(AND('A-17'!B42="-",'A-17'!B90="-",'A-17'!B138="-"),"-",SUM('A-17'!B42,'A-17'!B90,'A-17'!B138))</f>
        <v>-</v>
      </c>
      <c r="C42" s="24">
        <f>IF(AND('A-17'!C42="-",'A-17'!C90="-",'A-17'!C138="-"),"-",SUM('A-17'!C42,'A-17'!C90,'A-17'!C138))</f>
        <v>1642.56</v>
      </c>
      <c r="D42" s="24">
        <f>IF(AND('A-17'!D42="-",'A-17'!D90="-",'A-17'!D138="-"),"-",SUM('A-17'!D42,'A-17'!D90,'A-17'!D138))</f>
        <v>10330.92</v>
      </c>
      <c r="E42" s="24">
        <f>IF(AND('A-17'!E42="-",'A-17'!E90="-",'A-17'!E138="-"),"-",SUM('A-17'!E42,'A-17'!E90,'A-17'!E138))</f>
        <v>28528.67</v>
      </c>
      <c r="F42" s="24">
        <f>IF(AND('A-17'!F42="-",'A-17'!F90="-",'A-17'!F138="-"),"-",SUM('A-17'!F42,'A-17'!F90,'A-17'!F138))</f>
        <v>24392.71</v>
      </c>
      <c r="G42" s="24">
        <f>IF(AND('A-17'!G42="-",'A-17'!G90="-",'A-17'!G138="-"),"-",SUM('A-17'!G42,'A-17'!G90,'A-17'!G138))</f>
        <v>10089.450000000001</v>
      </c>
      <c r="H42" s="24">
        <f>IF(AND('A-17'!H42="-",'A-17'!H90="-",'A-17'!H138="-"),"-",SUM('A-17'!H42,'A-17'!H90,'A-17'!H138))</f>
        <v>364.82</v>
      </c>
      <c r="I42" s="24">
        <f>IF(AND('A-17'!I42="-",'A-17'!I90="-",'A-17'!I138="-"),"-",SUM('A-17'!I42,'A-17'!I90,'A-17'!I138))</f>
        <v>75349.13</v>
      </c>
      <c r="J42" s="17"/>
      <c r="K42" s="17"/>
    </row>
    <row r="43" spans="1:11" ht="11.25" customHeight="1">
      <c r="A43" s="99">
        <v>2015</v>
      </c>
      <c r="B43" s="24" t="str">
        <f>IF(AND('A-17'!B43="-",'A-17'!B91="-",'A-17'!B139="-"),"-",SUM('A-17'!B43,'A-17'!B91,'A-17'!B139))</f>
        <v>-</v>
      </c>
      <c r="C43" s="24">
        <f>IF(AND('A-17'!C43="-",'A-17'!C91="-",'A-17'!C139="-"),"-",SUM('A-17'!C43,'A-17'!C91,'A-17'!C139))</f>
        <v>1440.92</v>
      </c>
      <c r="D43" s="24">
        <f>IF(AND('A-17'!D43="-",'A-17'!D91="-",'A-17'!D139="-"),"-",SUM('A-17'!D43,'A-17'!D91,'A-17'!D139))</f>
        <v>8973.7900000000009</v>
      </c>
      <c r="E43" s="24">
        <f>IF(AND('A-17'!E43="-",'A-17'!E91="-",'A-17'!E139="-"),"-",SUM('A-17'!E43,'A-17'!E91,'A-17'!E139))</f>
        <v>28778.77</v>
      </c>
      <c r="F43" s="24">
        <f>IF(AND('A-17'!F43="-",'A-17'!F91="-",'A-17'!F139="-"),"-",SUM('A-17'!F43,'A-17'!F91,'A-17'!F139))</f>
        <v>15565.84</v>
      </c>
      <c r="G43" s="24">
        <f>IF(AND('A-17'!G43="-",'A-17'!G91="-",'A-17'!G139="-"),"-",SUM('A-17'!G43,'A-17'!G91,'A-17'!G139))</f>
        <v>8665.7200000000012</v>
      </c>
      <c r="H43" s="24">
        <f>IF(AND('A-17'!H43="-",'A-17'!H91="-",'A-17'!H139="-"),"-",SUM('A-17'!H43,'A-17'!H91,'A-17'!H139))</f>
        <v>300.16000000000003</v>
      </c>
      <c r="I43" s="24">
        <f>IF(AND('A-17'!I43="-",'A-17'!I91="-",'A-17'!I139="-"),"-",SUM('A-17'!I43,'A-17'!I91,'A-17'!I139))</f>
        <v>63725.200000000004</v>
      </c>
      <c r="J43" s="17"/>
      <c r="K43" s="17"/>
    </row>
    <row r="44" spans="1:11" ht="11.25" customHeight="1">
      <c r="A44" s="99">
        <v>2016</v>
      </c>
      <c r="B44" s="24" t="str">
        <f>IF(AND('A-17'!B44="-",'A-17'!B92="-",'A-17'!B140="-"),"-",SUM('A-17'!B44,'A-17'!B92,'A-17'!B140))</f>
        <v>-</v>
      </c>
      <c r="C44" s="24" t="str">
        <f>IF(AND('A-17'!C44="-",'A-17'!C92="-",'A-17'!C140="-"),"-",SUM('A-17'!C44,'A-17'!C92,'A-17'!C140))</f>
        <v>-</v>
      </c>
      <c r="D44" s="24" t="str">
        <f>IF(AND('A-17'!D44="-",'A-17'!D92="-",'A-17'!D140="-"),"-",SUM('A-17'!D44,'A-17'!D92,'A-17'!D140))</f>
        <v>-</v>
      </c>
      <c r="E44" s="24">
        <f>IF(AND('A-17'!E44="-",'A-17'!E92="-",'A-17'!E140="-"),"-",SUM('A-17'!E44,'A-17'!E92,'A-17'!E140))</f>
        <v>17792.21</v>
      </c>
      <c r="F44" s="24">
        <f>IF(AND('A-17'!F44="-",'A-17'!F92="-",'A-17'!F140="-"),"-",SUM('A-17'!F44,'A-17'!F92,'A-17'!F140))</f>
        <v>9390.9200000000019</v>
      </c>
      <c r="G44" s="24" t="str">
        <f>IF(AND('A-17'!G44="-",'A-17'!G92="-",'A-17'!G140="-"),"-",SUM('A-17'!G44,'A-17'!G92,'A-17'!G140))</f>
        <v>-</v>
      </c>
      <c r="H44" s="24" t="str">
        <f>IF(AND('A-17'!H44="-",'A-17'!H92="-",'A-17'!H140="-"),"-",SUM('A-17'!H44,'A-17'!H92,'A-17'!H140))</f>
        <v>-</v>
      </c>
      <c r="I44" s="24">
        <f>IF(AND('A-17'!I44="-",'A-17'!I92="-",'A-17'!I140="-"),"-",SUM('A-17'!I44,'A-17'!I92,'A-17'!I140))</f>
        <v>27183.129999999997</v>
      </c>
      <c r="J44" s="17"/>
      <c r="K44" s="17"/>
    </row>
    <row r="45" spans="1:11" ht="11.25" customHeight="1">
      <c r="A45" s="99">
        <v>2017</v>
      </c>
      <c r="B45" s="24" t="str">
        <f>IF(AND('A-17'!B45="-",'A-17'!B93="-",'A-17'!B141="-"),"-",SUM('A-17'!B45,'A-17'!B93,'A-17'!B141))</f>
        <v>-</v>
      </c>
      <c r="C45" s="24" t="str">
        <f>IF(AND('A-17'!C45="-",'A-17'!C93="-",'A-17'!C141="-"),"-",SUM('A-17'!C45,'A-17'!C93,'A-17'!C141))</f>
        <v>-</v>
      </c>
      <c r="D45" s="24">
        <f>IF(AND('A-17'!D45="-",'A-17'!D93="-",'A-17'!D141="-"),"-",SUM('A-17'!D45,'A-17'!D93,'A-17'!D141))</f>
        <v>468.16</v>
      </c>
      <c r="E45" s="24">
        <f>IF(AND('A-17'!E45="-",'A-17'!E93="-",'A-17'!E141="-"),"-",SUM('A-17'!E45,'A-17'!E93,'A-17'!E141))</f>
        <v>21555.81</v>
      </c>
      <c r="F45" s="24">
        <f>IF(AND('A-17'!F45="-",'A-17'!F93="-",'A-17'!F141="-"),"-",SUM('A-17'!F45,'A-17'!F93,'A-17'!F141))</f>
        <v>15822.17</v>
      </c>
      <c r="G45" s="24">
        <f>IF(AND('A-17'!G45="-",'A-17'!G93="-",'A-17'!G141="-"),"-",SUM('A-17'!G45,'A-17'!G93,'A-17'!G141))</f>
        <v>841.76</v>
      </c>
      <c r="H45" s="24" t="str">
        <f>IF(AND('A-17'!H45="-",'A-17'!H93="-",'A-17'!H141="-"),"-",SUM('A-17'!H45,'A-17'!H93,'A-17'!H141))</f>
        <v>-</v>
      </c>
      <c r="I45" s="24">
        <f>IF(AND('A-17'!I45="-",'A-17'!I93="-",'A-17'!I141="-"),"-",SUM('A-17'!I45,'A-17'!I93,'A-17'!I141))</f>
        <v>38687.9</v>
      </c>
      <c r="J45" s="17"/>
      <c r="K45" s="17"/>
    </row>
    <row r="46" spans="1:11" ht="11.25" customHeight="1">
      <c r="A46" s="99">
        <v>2018</v>
      </c>
      <c r="B46" s="24" t="str">
        <f>IF(AND('A-17'!B46="-",'A-17'!B94="-",'A-17'!B142="-"),"-",SUM('A-17'!B46,'A-17'!B94,'A-17'!B142))</f>
        <v>-</v>
      </c>
      <c r="C46" s="24" t="str">
        <f>IF(AND('A-17'!C46="-",'A-17'!C94="-",'A-17'!C142="-"),"-",SUM('A-17'!C46,'A-17'!C94,'A-17'!C142))</f>
        <v>-</v>
      </c>
      <c r="D46" s="24">
        <f>IF(AND('A-17'!D46="-",'A-17'!D94="-",'A-17'!D142="-"),"-",SUM('A-17'!D46,'A-17'!D94,'A-17'!D142))</f>
        <v>1249</v>
      </c>
      <c r="E46" s="24">
        <f>IF(AND('A-17'!E46="-",'A-17'!E94="-",'A-17'!E142="-"),"-",SUM('A-17'!E46,'A-17'!E94,'A-17'!E142))</f>
        <v>14407.939999999999</v>
      </c>
      <c r="F46" s="24">
        <f>IF(AND('A-17'!F46="-",'A-17'!F94="-",'A-17'!F142="-"),"-",SUM('A-17'!F46,'A-17'!F94,'A-17'!F142))</f>
        <v>17016.7</v>
      </c>
      <c r="G46" s="24">
        <f>IF(AND('A-17'!G46="-",'A-17'!G94="-",'A-17'!G142="-"),"-",SUM('A-17'!G46,'A-17'!G94,'A-17'!G142))</f>
        <v>410.35</v>
      </c>
      <c r="H46" s="24" t="str">
        <f>IF(AND('A-17'!H46="-",'A-17'!H94="-",'A-17'!H142="-"),"-",SUM('A-17'!H46,'A-17'!H94,'A-17'!H142))</f>
        <v>-</v>
      </c>
      <c r="I46" s="24">
        <f>IF(AND('A-17'!I46="-",'A-17'!I94="-",'A-17'!I142="-"),"-",SUM('A-17'!I46,'A-17'!I94,'A-17'!I142))</f>
        <v>33083.99</v>
      </c>
      <c r="J46" s="17"/>
      <c r="K46" s="17"/>
    </row>
    <row r="47" spans="1:11" ht="11.25" customHeight="1">
      <c r="A47" s="99">
        <v>2019</v>
      </c>
      <c r="B47" s="24" t="str">
        <f>IF(AND('A-17'!B47="-",'A-17'!B95="-",'A-17'!B143="-"),"-",SUM('A-17'!B47,'A-17'!B95,'A-17'!B143))</f>
        <v>-</v>
      </c>
      <c r="C47" s="24" t="str">
        <f>IF(AND('A-17'!C47="-",'A-17'!C95="-",'A-17'!C143="-"),"-",SUM('A-17'!C47,'A-17'!C95,'A-17'!C143))</f>
        <v>-</v>
      </c>
      <c r="D47" s="24">
        <f>IF(AND('A-17'!D47="-",'A-17'!D95="-",'A-17'!D143="-"),"-",SUM('A-17'!D47,'A-17'!D95,'A-17'!D143))</f>
        <v>4254.4799999999996</v>
      </c>
      <c r="E47" s="24">
        <f>IF(AND('A-17'!E47="-",'A-17'!E95="-",'A-17'!E143="-"),"-",SUM('A-17'!E47,'A-17'!E95,'A-17'!E143))</f>
        <v>15503.29</v>
      </c>
      <c r="F47" s="24">
        <f>IF(AND('A-17'!F47="-",'A-17'!F95="-",'A-17'!F143="-"),"-",SUM('A-17'!F47,'A-17'!F95,'A-17'!F143))</f>
        <v>13278.720000000001</v>
      </c>
      <c r="G47" s="24">
        <f>IF(AND('A-17'!G47="-",'A-17'!G95="-",'A-17'!G143="-"),"-",SUM('A-17'!G47,'A-17'!G95,'A-17'!G143))</f>
        <v>2481.61</v>
      </c>
      <c r="H47" s="24">
        <f>IF(AND('A-17'!H47="-",'A-17'!H95="-",'A-17'!H143="-"),"-",SUM('A-17'!H47,'A-17'!H95,'A-17'!H143))</f>
        <v>239.57</v>
      </c>
      <c r="I47" s="24">
        <f>IF(AND('A-17'!I47="-",'A-17'!I95="-",'A-17'!I143="-"),"-",SUM('A-17'!I47,'A-17'!I95,'A-17'!I143))</f>
        <v>35757.67</v>
      </c>
      <c r="J47" s="17"/>
      <c r="K47" s="17"/>
    </row>
    <row r="48" spans="1:11" ht="11.25" customHeight="1">
      <c r="A48" s="99">
        <v>2020</v>
      </c>
      <c r="B48" s="24" t="str">
        <f>IF(AND('A-17'!B48="-",'A-17'!B96="-",'A-17'!B144="-"),"-",SUM('A-17'!B48,'A-17'!B96,'A-17'!B144))</f>
        <v>-</v>
      </c>
      <c r="C48" s="24" t="str">
        <f>IF(AND('A-17'!C48="-",'A-17'!C96="-",'A-17'!C144="-"),"-",SUM('A-17'!C48,'A-17'!C96,'A-17'!C144))</f>
        <v>-</v>
      </c>
      <c r="D48" s="24">
        <f>IF(AND('A-17'!D48="-",'A-17'!D96="-",'A-17'!D144="-"),"-",SUM('A-17'!D48,'A-17'!D96,'A-17'!D144))</f>
        <v>1998.94</v>
      </c>
      <c r="E48" s="24">
        <f>IF(AND('A-17'!E48="-",'A-17'!E96="-",'A-17'!E144="-"),"-",SUM('A-17'!E48,'A-17'!E96,'A-17'!E144))</f>
        <v>12653.66</v>
      </c>
      <c r="F48" s="24">
        <f>IF(AND('A-17'!F48="-",'A-17'!F96="-",'A-17'!F144="-"),"-",SUM('A-17'!F48,'A-17'!F96,'A-17'!F144))</f>
        <v>7118.7699999999995</v>
      </c>
      <c r="G48" s="24">
        <f>IF(AND('A-17'!G48="-",'A-17'!G96="-",'A-17'!G144="-"),"-",SUM('A-17'!G48,'A-17'!G96,'A-17'!G144))</f>
        <v>3340.91</v>
      </c>
      <c r="H48" s="24" t="str">
        <f>IF(AND('A-17'!H48="-",'A-17'!H96="-",'A-17'!H144="-"),"-",SUM('A-17'!H48,'A-17'!H96,'A-17'!H144))</f>
        <v>-</v>
      </c>
      <c r="I48" s="24">
        <f>IF(AND('A-17'!I48="-",'A-17'!I96="-",'A-17'!I144="-"),"-",SUM('A-17'!I48,'A-17'!I96,'A-17'!I144))</f>
        <v>25112.28</v>
      </c>
      <c r="J48" s="17"/>
      <c r="K48" s="17"/>
    </row>
    <row r="49" spans="1:11" ht="11.25" customHeight="1">
      <c r="A49" s="99" t="s">
        <v>318</v>
      </c>
      <c r="B49" s="24" t="str">
        <f>IF(AND('A-17'!B49="-",'A-17'!B97="-",'A-17'!B145="-"),"-",SUM('A-17'!B49,'A-17'!B97,'A-17'!B145))</f>
        <v>-</v>
      </c>
      <c r="C49" s="24" t="str">
        <f>IF(AND('A-17'!C49="-",'A-17'!C97="-",'A-17'!C145="-"),"-",SUM('A-17'!C49,'A-17'!C97,'A-17'!C145))</f>
        <v>-</v>
      </c>
      <c r="D49" s="24">
        <f>IF(AND('A-17'!D49="-",'A-17'!D97="-",'A-17'!D145="-"),"-",SUM('A-17'!D49,'A-17'!D97,'A-17'!D145))</f>
        <v>3691.66</v>
      </c>
      <c r="E49" s="24">
        <f>IF(AND('A-17'!E49="-",'A-17'!E97="-",'A-17'!E145="-"),"-",SUM('A-17'!E49,'A-17'!E97,'A-17'!E145))</f>
        <v>16783.699999999997</v>
      </c>
      <c r="F49" s="24">
        <f>IF(AND('A-17'!F49="-",'A-17'!F97="-",'A-17'!F145="-"),"-",SUM('A-17'!F49,'A-17'!F97,'A-17'!F145))</f>
        <v>12170.5</v>
      </c>
      <c r="G49" s="24">
        <f>IF(AND('A-17'!G49="-",'A-17'!G97="-",'A-17'!G145="-"),"-",SUM('A-17'!G49,'A-17'!G97,'A-17'!G145))</f>
        <v>4768.3500000000004</v>
      </c>
      <c r="H49" s="24" t="str">
        <f>IF(AND('A-17'!H49="-",'A-17'!H97="-",'A-17'!H145="-"),"-",SUM('A-17'!H49,'A-17'!H97,'A-17'!H145))</f>
        <v>-</v>
      </c>
      <c r="I49" s="24">
        <f>IF(AND('A-17'!I49="-",'A-17'!I97="-",'A-17'!I145="-"),"-",SUM('A-17'!I49,'A-17'!I97,'A-17'!I145))</f>
        <v>37414.21</v>
      </c>
      <c r="J49" s="17"/>
      <c r="K49" s="17"/>
    </row>
    <row r="50" spans="1:11" ht="11.25" customHeight="1">
      <c r="J50" s="17"/>
      <c r="K50" s="17"/>
    </row>
    <row r="51" spans="1:11" ht="11.25" customHeight="1">
      <c r="A51" s="94" t="s">
        <v>99</v>
      </c>
      <c r="J51" s="17"/>
      <c r="K51" s="17"/>
    </row>
    <row r="52" spans="1:11" ht="11.25" customHeight="1">
      <c r="A52" s="99">
        <v>1976</v>
      </c>
      <c r="B52" s="24">
        <f>IF(AND('A-17'!B148="-",'A-9'!C6="-"),"-",SUM('A-17'!B148,'A-9'!C6))</f>
        <v>0</v>
      </c>
      <c r="C52" s="24">
        <f>IF(AND('A-17'!C148="-",'A-9'!D6="-"),"-",SUM('A-17'!C148,'A-9'!D6))</f>
        <v>6818</v>
      </c>
      <c r="D52" s="24">
        <f>IF(AND('A-17'!D148="-",'A-9'!E6="-"),"-",SUM('A-17'!D148,'A-9'!E6))</f>
        <v>34439</v>
      </c>
      <c r="E52" s="24">
        <f>IF(AND('A-17'!E148="-",'A-9'!F6="-"),"-",SUM('A-17'!E148,'A-9'!F6))</f>
        <v>73251</v>
      </c>
      <c r="F52" s="24">
        <f>IF(AND('A-17'!F148="-",'A-9'!G6="-"),"-",SUM('A-17'!F148,'A-9'!G6))</f>
        <v>126531</v>
      </c>
      <c r="G52" s="24">
        <f>IF(AND('A-17'!G148="-",'A-9'!H6="-"),"-",SUM('A-17'!G148,'A-9'!H6))</f>
        <v>56397</v>
      </c>
      <c r="H52" s="24">
        <f>IF(AND('A-17'!H148="-",'A-9'!I6="-"),"-",SUM('A-17'!H148,'A-9'!I6))</f>
        <v>3755</v>
      </c>
      <c r="I52" s="24">
        <f>IF(AND('A-17'!I148="-",'A-9'!K6="-"),"-",SUM('A-17'!I148,'A-9'!K6))</f>
        <v>301213</v>
      </c>
      <c r="J52" s="17"/>
      <c r="K52" s="17"/>
    </row>
    <row r="53" spans="1:11" ht="11.25" customHeight="1">
      <c r="A53" s="99">
        <v>1977</v>
      </c>
      <c r="B53" s="24">
        <f>IF(AND('A-17'!B149="-",'A-9'!C7="-"),"-",SUM('A-17'!B149,'A-9'!C7))</f>
        <v>1333</v>
      </c>
      <c r="C53" s="24">
        <f>IF(AND('A-17'!C149="-",'A-9'!D7="-"),"-",SUM('A-17'!C149,'A-9'!D7))</f>
        <v>6711</v>
      </c>
      <c r="D53" s="24">
        <f>IF(AND('A-17'!D149="-",'A-9'!E7="-"),"-",SUM('A-17'!D149,'A-9'!E7))</f>
        <v>28283</v>
      </c>
      <c r="E53" s="24">
        <f>IF(AND('A-17'!E149="-",'A-9'!F7="-"),"-",SUM('A-17'!E149,'A-9'!F7))</f>
        <v>61737</v>
      </c>
      <c r="F53" s="24">
        <f>IF(AND('A-17'!F149="-",'A-9'!G7="-"),"-",SUM('A-17'!F149,'A-9'!G7))</f>
        <v>102663</v>
      </c>
      <c r="G53" s="24">
        <f>IF(AND('A-17'!G149="-",'A-9'!H7="-"),"-",SUM('A-17'!G149,'A-9'!H7))</f>
        <v>29040</v>
      </c>
      <c r="H53" s="24">
        <f>IF(AND('A-17'!H149="-",'A-9'!I7="-"),"-",SUM('A-17'!H149,'A-9'!I7))</f>
        <v>2277</v>
      </c>
      <c r="I53" s="24">
        <f>IF(AND('A-17'!I149="-",'A-9'!K7="-"),"-",SUM('A-17'!I149,'A-9'!K7))</f>
        <v>232044</v>
      </c>
      <c r="J53" s="17"/>
      <c r="K53" s="17"/>
    </row>
    <row r="54" spans="1:11" ht="11.25" customHeight="1">
      <c r="A54" s="99">
        <v>1978</v>
      </c>
      <c r="B54" s="24">
        <f>IF(AND('A-17'!B150="-",'A-9'!C8="-"),"-",SUM('A-17'!B150,'A-9'!C8))</f>
        <v>494</v>
      </c>
      <c r="C54" s="24">
        <f>IF(AND('A-17'!C150="-",'A-9'!D8="-"),"-",SUM('A-17'!C150,'A-9'!D8))</f>
        <v>4124</v>
      </c>
      <c r="D54" s="24">
        <f>IF(AND('A-17'!D150="-",'A-9'!E8="-"),"-",SUM('A-17'!D150,'A-9'!E8))</f>
        <v>36141</v>
      </c>
      <c r="E54" s="24">
        <f>IF(AND('A-17'!E150="-",'A-9'!F8="-"),"-",SUM('A-17'!E150,'A-9'!F8))</f>
        <v>60840</v>
      </c>
      <c r="F54" s="24">
        <f>IF(AND('A-17'!F150="-",'A-9'!G8="-"),"-",SUM('A-17'!F150,'A-9'!G8))</f>
        <v>76699</v>
      </c>
      <c r="G54" s="24">
        <f>IF(AND('A-17'!G150="-",'A-9'!H8="-"),"-",SUM('A-17'!G150,'A-9'!H8))</f>
        <v>38018</v>
      </c>
      <c r="H54" s="24">
        <f>IF(AND('A-17'!H150="-",'A-9'!I8="-"),"-",SUM('A-17'!H150,'A-9'!I8))</f>
        <v>2324</v>
      </c>
      <c r="I54" s="24">
        <f>IF(AND('A-17'!I150="-",'A-9'!K8="-"),"-",SUM('A-17'!I150,'A-9'!K8))</f>
        <v>218640</v>
      </c>
      <c r="J54" s="17"/>
      <c r="K54" s="17"/>
    </row>
    <row r="55" spans="1:11" ht="11.25" customHeight="1">
      <c r="A55" s="99">
        <v>1979</v>
      </c>
      <c r="B55" s="24" t="str">
        <f>IF(AND('A-17'!B151="-",'A-9'!C9="-"),"-",SUM('A-17'!B151,'A-9'!C9))</f>
        <v>-</v>
      </c>
      <c r="C55" s="24">
        <f>IF(AND('A-17'!C151="-",'A-9'!D9="-"),"-",SUM('A-17'!C151,'A-9'!D9))</f>
        <v>5051</v>
      </c>
      <c r="D55" s="24">
        <f>IF(AND('A-17'!D151="-",'A-9'!E9="-"),"-",SUM('A-17'!D151,'A-9'!E9))</f>
        <v>20585</v>
      </c>
      <c r="E55" s="24">
        <f>IF(AND('A-17'!E151="-",'A-9'!F9="-"),"-",SUM('A-17'!E151,'A-9'!F9))</f>
        <v>52056</v>
      </c>
      <c r="F55" s="24">
        <f>IF(AND('A-17'!F151="-",'A-9'!G9="-"),"-",SUM('A-17'!F151,'A-9'!G9))</f>
        <v>70635</v>
      </c>
      <c r="G55" s="24">
        <f>IF(AND('A-17'!G151="-",'A-9'!H9="-"),"-",SUM('A-17'!G151,'A-9'!H9))</f>
        <v>5708</v>
      </c>
      <c r="H55" s="24">
        <f>IF(AND('A-17'!H151="-",'A-9'!I9="-"),"-",SUM('A-17'!H151,'A-9'!I9))</f>
        <v>1272</v>
      </c>
      <c r="I55" s="24">
        <f>IF(AND('A-17'!I151="-",'A-9'!K9="-"),"-",SUM('A-17'!I151,'A-9'!K9))</f>
        <v>155307</v>
      </c>
      <c r="J55" s="17"/>
      <c r="K55" s="17"/>
    </row>
    <row r="56" spans="1:11" ht="11.25" customHeight="1">
      <c r="A56" s="99">
        <v>1980</v>
      </c>
      <c r="B56" s="24" t="str">
        <f>IF(AND('A-17'!B152="-",'A-9'!C10="-"),"-",SUM('A-17'!B152,'A-9'!C10))</f>
        <v>-</v>
      </c>
      <c r="C56" s="24">
        <f>IF(AND('A-17'!C152="-",'A-9'!D10="-"),"-",SUM('A-17'!C152,'A-9'!D10))</f>
        <v>5095</v>
      </c>
      <c r="D56" s="24">
        <f>IF(AND('A-17'!D152="-",'A-9'!E10="-"),"-",SUM('A-17'!D152,'A-9'!E10))</f>
        <v>27505</v>
      </c>
      <c r="E56" s="24">
        <f>IF(AND('A-17'!E152="-",'A-9'!F10="-"),"-",SUM('A-17'!E152,'A-9'!F10))</f>
        <v>49236</v>
      </c>
      <c r="F56" s="24">
        <f>IF(AND('A-17'!F152="-",'A-9'!G10="-"),"-",SUM('A-17'!F152,'A-9'!G10))</f>
        <v>61753</v>
      </c>
      <c r="G56" s="24">
        <f>IF(AND('A-17'!G152="-",'A-9'!H10="-"),"-",SUM('A-17'!G152,'A-9'!H10))</f>
        <v>5842</v>
      </c>
      <c r="H56" s="24" t="str">
        <f>IF(AND('A-17'!H152="-",'A-9'!I10="-"),"-",SUM('A-17'!H152,'A-9'!I10))</f>
        <v>-</v>
      </c>
      <c r="I56" s="24">
        <f>IF(AND('A-17'!I152="-",'A-9'!K10="-"),"-",SUM('A-17'!I152,'A-9'!K10))</f>
        <v>149431</v>
      </c>
      <c r="J56" s="17"/>
      <c r="K56" s="17"/>
    </row>
    <row r="57" spans="1:11" ht="11.25" customHeight="1">
      <c r="A57" s="99">
        <v>1981</v>
      </c>
      <c r="B57" s="24" t="str">
        <f>IF(AND('A-17'!B153="-",'A-9'!C11="-"),"-",SUM('A-17'!B153,'A-9'!C11))</f>
        <v>-</v>
      </c>
      <c r="C57" s="24">
        <f>IF(AND('A-17'!C153="-",'A-9'!D11="-"),"-",SUM('A-17'!C153,'A-9'!D11))</f>
        <v>4054</v>
      </c>
      <c r="D57" s="24">
        <f>IF(AND('A-17'!D153="-",'A-9'!E11="-"),"-",SUM('A-17'!D153,'A-9'!E11))</f>
        <v>17219</v>
      </c>
      <c r="E57" s="24">
        <f>IF(AND('A-17'!E153="-",'A-9'!F11="-"),"-",SUM('A-17'!E153,'A-9'!F11))</f>
        <v>42293</v>
      </c>
      <c r="F57" s="24">
        <f>IF(AND('A-17'!F153="-",'A-9'!G11="-"),"-",SUM('A-17'!F153,'A-9'!G11))</f>
        <v>65327</v>
      </c>
      <c r="G57" s="24">
        <f>IF(AND('A-17'!G153="-",'A-9'!H11="-"),"-",SUM('A-17'!G153,'A-9'!H11))</f>
        <v>4625</v>
      </c>
      <c r="H57" s="24" t="str">
        <f>IF(AND('A-17'!H153="-",'A-9'!I11="-"),"-",SUM('A-17'!H153,'A-9'!I11))</f>
        <v>-</v>
      </c>
      <c r="I57" s="24">
        <f>IF(AND('A-17'!I153="-",'A-9'!K11="-"),"-",SUM('A-17'!I153,'A-9'!K11))</f>
        <v>133518</v>
      </c>
      <c r="J57" s="17"/>
      <c r="K57" s="17"/>
    </row>
    <row r="58" spans="1:11" ht="11.25" customHeight="1">
      <c r="A58" s="99">
        <v>1982</v>
      </c>
      <c r="B58" s="24" t="str">
        <f>IF(AND('A-17'!B154="-",'A-9'!C12="-"),"-",SUM('A-17'!B154,'A-9'!C12))</f>
        <v>-</v>
      </c>
      <c r="C58" s="24">
        <f>IF(AND('A-17'!C154="-",'A-9'!D12="-"),"-",SUM('A-17'!C154,'A-9'!D12))</f>
        <v>0</v>
      </c>
      <c r="D58" s="24">
        <f>IF(AND('A-17'!D154="-",'A-9'!E12="-"),"-",SUM('A-17'!D154,'A-9'!E12))</f>
        <v>15115</v>
      </c>
      <c r="E58" s="24">
        <f>IF(AND('A-17'!E154="-",'A-9'!F12="-"),"-",SUM('A-17'!E154,'A-9'!F12))</f>
        <v>60822</v>
      </c>
      <c r="F58" s="24">
        <f>IF(AND('A-17'!F154="-",'A-9'!G12="-"),"-",SUM('A-17'!F154,'A-9'!G12))</f>
        <v>7902</v>
      </c>
      <c r="G58" s="24">
        <f>IF(AND('A-17'!G154="-",'A-9'!H12="-"),"-",SUM('A-17'!G154,'A-9'!H12))</f>
        <v>4538</v>
      </c>
      <c r="H58" s="24">
        <f>IF(AND('A-17'!H154="-",'A-9'!I12="-"),"-",SUM('A-17'!H154,'A-9'!I12))</f>
        <v>721</v>
      </c>
      <c r="I58" s="24">
        <f>IF(AND('A-17'!I154="-",'A-9'!K12="-"),"-",SUM('A-17'!I154,'A-9'!K12))</f>
        <v>89098</v>
      </c>
      <c r="J58" s="17"/>
      <c r="K58" s="17"/>
    </row>
    <row r="59" spans="1:11" ht="11.25" customHeight="1">
      <c r="A59" s="99">
        <v>1983</v>
      </c>
      <c r="B59" s="24" t="str">
        <f>IF(AND('A-17'!B155="-",'A-9'!C13="-"),"-",SUM('A-17'!B155,'A-9'!C13))</f>
        <v>-</v>
      </c>
      <c r="C59" s="24">
        <f>IF(AND('A-17'!C155="-",'A-9'!D13="-"),"-",SUM('A-17'!C155,'A-9'!D13))</f>
        <v>270</v>
      </c>
      <c r="D59" s="24">
        <f>IF(AND('A-17'!D155="-",'A-9'!E13="-"),"-",SUM('A-17'!D155,'A-9'!E13))</f>
        <v>9378</v>
      </c>
      <c r="E59" s="24">
        <f>IF(AND('A-17'!E155="-",'A-9'!F13="-"),"-",SUM('A-17'!E155,'A-9'!F13))</f>
        <v>39453</v>
      </c>
      <c r="F59" s="24">
        <f>IF(AND('A-17'!F155="-",'A-9'!G13="-"),"-",SUM('A-17'!F155,'A-9'!G13))</f>
        <v>35672</v>
      </c>
      <c r="G59" s="24">
        <f>IF(AND('A-17'!G155="-",'A-9'!H13="-"),"-",SUM('A-17'!G155,'A-9'!H13))</f>
        <v>9979</v>
      </c>
      <c r="H59" s="24" t="str">
        <f>IF(AND('A-17'!H155="-",'A-9'!I13="-"),"-",SUM('A-17'!H155,'A-9'!I13))</f>
        <v>-</v>
      </c>
      <c r="I59" s="24">
        <f>IF(AND('A-17'!I155="-",'A-9'!K13="-"),"-",SUM('A-17'!I155,'A-9'!K13))</f>
        <v>94752</v>
      </c>
      <c r="J59" s="17"/>
      <c r="K59" s="17"/>
    </row>
    <row r="60" spans="1:11" ht="11.25" customHeight="1">
      <c r="A60" s="99">
        <v>1984</v>
      </c>
      <c r="B60" s="24" t="str">
        <f>IF(AND('A-17'!B156="-",'A-9'!C14="-"),"-",SUM('A-17'!B156,'A-9'!C14))</f>
        <v>-</v>
      </c>
      <c r="C60" s="24">
        <f>IF(AND('A-17'!C156="-",'A-9'!D14="-"),"-",SUM('A-17'!C156,'A-9'!D14))</f>
        <v>337</v>
      </c>
      <c r="D60" s="24" t="str">
        <f>IF(AND('A-17'!D156="-",'A-9'!E14="-"),"-",SUM('A-17'!D156,'A-9'!E14))</f>
        <v>-</v>
      </c>
      <c r="E60" s="24">
        <f>IF(AND('A-17'!E156="-",'A-9'!F14="-"),"-",SUM('A-17'!E156,'A-9'!F14))</f>
        <v>5881</v>
      </c>
      <c r="F60" s="24">
        <f>IF(AND('A-17'!F156="-",'A-9'!G14="-"),"-",SUM('A-17'!F156,'A-9'!G14))</f>
        <v>16129</v>
      </c>
      <c r="G60" s="24" t="str">
        <f>IF(AND('A-17'!G156="-",'A-9'!H14="-"),"-",SUM('A-17'!G156,'A-9'!H14))</f>
        <v>-</v>
      </c>
      <c r="H60" s="24" t="str">
        <f>IF(AND('A-17'!H156="-",'A-9'!I14="-"),"-",SUM('A-17'!H156,'A-9'!I14))</f>
        <v>-</v>
      </c>
      <c r="I60" s="24">
        <f>IF(AND('A-17'!I156="-",'A-9'!K14="-"),"-",SUM('A-17'!I156,'A-9'!K14))</f>
        <v>22347</v>
      </c>
      <c r="J60" s="17"/>
      <c r="K60" s="17"/>
    </row>
    <row r="61" spans="1:11" ht="11.25" customHeight="1">
      <c r="A61" s="99">
        <v>1985</v>
      </c>
      <c r="B61" s="24" t="str">
        <f>IF(AND('A-17'!B157="-",'A-9'!C15="-"),"-",SUM('A-17'!B157,'A-9'!C15))</f>
        <v>-</v>
      </c>
      <c r="C61" s="24" t="str">
        <f>IF(AND('A-17'!C157="-",'A-9'!D15="-"),"-",SUM('A-17'!C157,'A-9'!D15))</f>
        <v>-</v>
      </c>
      <c r="D61" s="24">
        <f>IF(AND('A-17'!D157="-",'A-9'!E15="-"),"-",SUM('A-17'!D157,'A-9'!E15))</f>
        <v>1601</v>
      </c>
      <c r="E61" s="24">
        <f>IF(AND('A-17'!E157="-",'A-9'!F15="-"),"-",SUM('A-17'!E157,'A-9'!F15))</f>
        <v>26977</v>
      </c>
      <c r="F61" s="24">
        <f>IF(AND('A-17'!F157="-",'A-9'!G15="-"),"-",SUM('A-17'!F157,'A-9'!G15))</f>
        <v>31373</v>
      </c>
      <c r="G61" s="24">
        <f>IF(AND('A-17'!G157="-",'A-9'!H15="-"),"-",SUM('A-17'!G157,'A-9'!H15))</f>
        <v>197</v>
      </c>
      <c r="H61" s="24" t="str">
        <f>IF(AND('A-17'!H157="-",'A-9'!I15="-"),"-",SUM('A-17'!H157,'A-9'!I15))</f>
        <v>-</v>
      </c>
      <c r="I61" s="24">
        <f>IF(AND('A-17'!I157="-",'A-9'!K15="-"),"-",SUM('A-17'!I157,'A-9'!K15))</f>
        <v>60148</v>
      </c>
      <c r="J61" s="17"/>
      <c r="K61" s="17"/>
    </row>
    <row r="62" spans="1:11" ht="11.25" customHeight="1">
      <c r="A62" s="99">
        <v>1986</v>
      </c>
      <c r="B62" s="24" t="str">
        <f>IF(AND('A-17'!B158="-",'A-9'!C16="-"),"-",SUM('A-17'!B158,'A-9'!C16))</f>
        <v>-</v>
      </c>
      <c r="C62" s="24" t="str">
        <f>IF(AND('A-17'!C158="-",'A-9'!D16="-"),"-",SUM('A-17'!C158,'A-9'!D16))</f>
        <v>-</v>
      </c>
      <c r="D62" s="24">
        <f>IF(AND('A-17'!D158="-",'A-9'!E16="-"),"-",SUM('A-17'!D158,'A-9'!E16))</f>
        <v>1848</v>
      </c>
      <c r="E62" s="24">
        <f>IF(AND('A-17'!E158="-",'A-9'!F16="-"),"-",SUM('A-17'!E158,'A-9'!F16))</f>
        <v>31759</v>
      </c>
      <c r="F62" s="24">
        <f>IF(AND('A-17'!F158="-",'A-9'!G16="-"),"-",SUM('A-17'!F158,'A-9'!G16))</f>
        <v>23581</v>
      </c>
      <c r="G62" s="24" t="str">
        <f>IF(AND('A-17'!G158="-",'A-9'!H16="-"),"-",SUM('A-17'!G158,'A-9'!H16))</f>
        <v>-</v>
      </c>
      <c r="H62" s="24" t="str">
        <f>IF(AND('A-17'!H158="-",'A-9'!I16="-"),"-",SUM('A-17'!H158,'A-9'!I16))</f>
        <v>-</v>
      </c>
      <c r="I62" s="24">
        <f>IF(AND('A-17'!I158="-",'A-9'!K16="-"),"-",SUM('A-17'!I158,'A-9'!K16))</f>
        <v>57188</v>
      </c>
      <c r="J62" s="17"/>
      <c r="K62" s="17"/>
    </row>
    <row r="63" spans="1:11" ht="11.25" customHeight="1">
      <c r="A63" s="99">
        <v>1987</v>
      </c>
      <c r="B63" s="24" t="str">
        <f>IF(AND('A-17'!B159="-",'A-9'!C17="-"),"-",SUM('A-17'!B159,'A-9'!C17))</f>
        <v>-</v>
      </c>
      <c r="C63" s="24" t="str">
        <f>IF(AND('A-17'!C159="-",'A-9'!D17="-"),"-",SUM('A-17'!C159,'A-9'!D17))</f>
        <v>-</v>
      </c>
      <c r="D63" s="24">
        <f>IF(AND('A-17'!D159="-",'A-9'!E17="-"),"-",SUM('A-17'!D159,'A-9'!E17))</f>
        <v>1567</v>
      </c>
      <c r="E63" s="24">
        <f>IF(AND('A-17'!E159="-",'A-9'!F17="-"),"-",SUM('A-17'!E159,'A-9'!F17))</f>
        <v>26061</v>
      </c>
      <c r="F63" s="24">
        <f>IF(AND('A-17'!F159="-",'A-9'!G17="-"),"-",SUM('A-17'!F159,'A-9'!G17))</f>
        <v>25774</v>
      </c>
      <c r="G63" s="24" t="str">
        <f>IF(AND('A-17'!G159="-",'A-9'!H17="-"),"-",SUM('A-17'!G159,'A-9'!H17))</f>
        <v>-</v>
      </c>
      <c r="H63" s="24" t="str">
        <f>IF(AND('A-17'!H159="-",'A-9'!I17="-"),"-",SUM('A-17'!H159,'A-9'!I17))</f>
        <v>-</v>
      </c>
      <c r="I63" s="24">
        <f>IF(AND('A-17'!I159="-",'A-9'!K17="-"),"-",SUM('A-17'!I159,'A-9'!K17))</f>
        <v>53402</v>
      </c>
      <c r="J63" s="17"/>
      <c r="K63" s="17"/>
    </row>
    <row r="64" spans="1:11" ht="11.25" customHeight="1">
      <c r="A64" s="99">
        <v>1988</v>
      </c>
      <c r="B64" s="24" t="str">
        <f>IF(AND('A-17'!B160="-",'A-9'!C18="-"),"-",SUM('A-17'!B160,'A-9'!C18))</f>
        <v>-</v>
      </c>
      <c r="C64" s="24" t="str">
        <f>IF(AND('A-17'!C160="-",'A-9'!D18="-"),"-",SUM('A-17'!C160,'A-9'!D18))</f>
        <v>-</v>
      </c>
      <c r="D64" s="24" t="str">
        <f>IF(AND('A-17'!D160="-",'A-9'!E18="-"),"-",SUM('A-17'!D160,'A-9'!E18))</f>
        <v>-</v>
      </c>
      <c r="E64" s="24">
        <f>IF(AND('A-17'!E160="-",'A-9'!F18="-"),"-",SUM('A-17'!E160,'A-9'!F18))</f>
        <v>17851</v>
      </c>
      <c r="F64" s="24">
        <f>IF(AND('A-17'!F160="-",'A-9'!G18="-"),"-",SUM('A-17'!F160,'A-9'!G18))</f>
        <v>595</v>
      </c>
      <c r="G64" s="24">
        <f>IF(AND('A-17'!G160="-",'A-9'!H18="-"),"-",SUM('A-17'!G160,'A-9'!H18))</f>
        <v>47</v>
      </c>
      <c r="H64" s="24" t="str">
        <f>IF(AND('A-17'!H160="-",'A-9'!I18="-"),"-",SUM('A-17'!H160,'A-9'!I18))</f>
        <v>-</v>
      </c>
      <c r="I64" s="24">
        <f>IF(AND('A-17'!I160="-",'A-9'!K18="-"),"-",SUM('A-17'!I160,'A-9'!K18))</f>
        <v>18493</v>
      </c>
      <c r="J64" s="17"/>
      <c r="K64" s="17"/>
    </row>
    <row r="65" spans="1:11" ht="11.25" customHeight="1">
      <c r="A65" s="99">
        <v>1989</v>
      </c>
      <c r="B65" s="24" t="str">
        <f>IF(AND('A-17'!B161="-",'A-9'!C19="-"),"-",SUM('A-17'!B161,'A-9'!C19))</f>
        <v>-</v>
      </c>
      <c r="C65" s="24">
        <f>IF(AND('A-17'!C161="-",'A-9'!D19="-"),"-",SUM('A-17'!C161,'A-9'!D19))</f>
        <v>444</v>
      </c>
      <c r="D65" s="24">
        <f>IF(AND('A-17'!D161="-",'A-9'!E19="-"),"-",SUM('A-17'!D161,'A-9'!E19))</f>
        <v>1786</v>
      </c>
      <c r="E65" s="24">
        <f>IF(AND('A-17'!E161="-",'A-9'!F19="-"),"-",SUM('A-17'!E161,'A-9'!F19))</f>
        <v>31520</v>
      </c>
      <c r="F65" s="24">
        <f>IF(AND('A-17'!F161="-",'A-9'!G19="-"),"-",SUM('A-17'!F161,'A-9'!G19))</f>
        <v>38855</v>
      </c>
      <c r="G65" s="24" t="str">
        <f>IF(AND('A-17'!G161="-",'A-9'!H19="-"),"-",SUM('A-17'!G161,'A-9'!H19))</f>
        <v>-</v>
      </c>
      <c r="H65" s="24" t="str">
        <f>IF(AND('A-17'!H161="-",'A-9'!I19="-"),"-",SUM('A-17'!H161,'A-9'!I19))</f>
        <v>-</v>
      </c>
      <c r="I65" s="24">
        <f>IF(AND('A-17'!I161="-",'A-9'!K19="-"),"-",SUM('A-17'!I161,'A-9'!K19))</f>
        <v>72605</v>
      </c>
      <c r="J65" s="17"/>
      <c r="K65" s="17"/>
    </row>
    <row r="66" spans="1:11" ht="11.25" customHeight="1">
      <c r="A66" s="99">
        <v>1990</v>
      </c>
      <c r="B66" s="24" t="str">
        <f>IF(AND('A-17'!B162="-",'A-9'!C20="-"),"-",SUM('A-17'!B162,'A-9'!C20))</f>
        <v>-</v>
      </c>
      <c r="C66" s="24" t="str">
        <f>IF(AND('A-17'!C162="-",'A-9'!D20="-"),"-",SUM('A-17'!C162,'A-9'!D20))</f>
        <v>-</v>
      </c>
      <c r="D66" s="24">
        <f>IF(AND('A-17'!D162="-",'A-9'!E20="-"),"-",SUM('A-17'!D162,'A-9'!E20))</f>
        <v>5803</v>
      </c>
      <c r="E66" s="24">
        <f>IF(AND('A-17'!E162="-",'A-9'!F20="-"),"-",SUM('A-17'!E162,'A-9'!F20))</f>
        <v>35928</v>
      </c>
      <c r="F66" s="24">
        <f>IF(AND('A-17'!F162="-",'A-9'!G20="-"),"-",SUM('A-17'!F162,'A-9'!G20))</f>
        <v>46683</v>
      </c>
      <c r="G66" s="24">
        <f>IF(AND('A-17'!G162="-",'A-9'!H20="-"),"-",SUM('A-17'!G162,'A-9'!H20))</f>
        <v>4939</v>
      </c>
      <c r="H66" s="24" t="str">
        <f>IF(AND('A-17'!H162="-",'A-9'!I20="-"),"-",SUM('A-17'!H162,'A-9'!I20))</f>
        <v>-</v>
      </c>
      <c r="I66" s="24">
        <f>IF(AND('A-17'!I162="-",'A-9'!K20="-"),"-",SUM('A-17'!I162,'A-9'!K20))</f>
        <v>93353</v>
      </c>
      <c r="J66" s="17"/>
      <c r="K66" s="17"/>
    </row>
    <row r="67" spans="1:11" ht="11.25" customHeight="1">
      <c r="A67" s="99">
        <v>1991</v>
      </c>
      <c r="B67" s="24" t="str">
        <f>IF(AND('A-17'!B163="-",'A-9'!C21="-"),"-",SUM('A-17'!B163,'A-9'!C21))</f>
        <v>-</v>
      </c>
      <c r="C67" s="24" t="str">
        <f>IF(AND('A-17'!C163="-",'A-9'!D21="-"),"-",SUM('A-17'!C163,'A-9'!D21))</f>
        <v>-</v>
      </c>
      <c r="D67" s="24">
        <f>IF(AND('A-17'!D163="-",'A-9'!E21="-"),"-",SUM('A-17'!D163,'A-9'!E21))</f>
        <v>4816</v>
      </c>
      <c r="E67" s="24">
        <f>IF(AND('A-17'!E163="-",'A-9'!F21="-"),"-",SUM('A-17'!E163,'A-9'!F21))</f>
        <v>35014</v>
      </c>
      <c r="F67" s="24">
        <f>IF(AND('A-17'!F163="-",'A-9'!G21="-"),"-",SUM('A-17'!F163,'A-9'!G21))</f>
        <v>20716</v>
      </c>
      <c r="G67" s="24">
        <f>IF(AND('A-17'!G163="-",'A-9'!H21="-"),"-",SUM('A-17'!G163,'A-9'!H21))</f>
        <v>6575</v>
      </c>
      <c r="H67" s="24" t="str">
        <f>IF(AND('A-17'!H163="-",'A-9'!I21="-"),"-",SUM('A-17'!H163,'A-9'!I21))</f>
        <v>-</v>
      </c>
      <c r="I67" s="24">
        <f>IF(AND('A-17'!I163="-",'A-9'!K21="-"),"-",SUM('A-17'!I163,'A-9'!K21))</f>
        <v>67121</v>
      </c>
      <c r="J67" s="17"/>
      <c r="K67" s="17"/>
    </row>
    <row r="68" spans="1:11" ht="11.25" customHeight="1">
      <c r="A68" s="99">
        <v>1992</v>
      </c>
      <c r="B68" s="24" t="str">
        <f>IF(AND('A-17'!B164="-",'A-9'!C22="-"),"-",SUM('A-17'!B164,'A-9'!C22))</f>
        <v>-</v>
      </c>
      <c r="C68" s="24" t="str">
        <f>IF(AND('A-17'!C164="-",'A-9'!D22="-"),"-",SUM('A-17'!C164,'A-9'!D22))</f>
        <v>-</v>
      </c>
      <c r="D68" s="24">
        <f>IF(AND('A-17'!D164="-",'A-9'!E22="-"),"-",SUM('A-17'!D164,'A-9'!E22))</f>
        <v>0</v>
      </c>
      <c r="E68" s="24">
        <f>IF(AND('A-17'!E164="-",'A-9'!F22="-"),"-",SUM('A-17'!E164,'A-9'!F22))</f>
        <v>35423</v>
      </c>
      <c r="F68" s="24">
        <f>IF(AND('A-17'!F164="-",'A-9'!G22="-"),"-",SUM('A-17'!F164,'A-9'!G22))</f>
        <v>6347</v>
      </c>
      <c r="G68" s="24">
        <f>IF(AND('A-17'!G164="-",'A-9'!H22="-"),"-",SUM('A-17'!G164,'A-9'!H22))</f>
        <v>4174</v>
      </c>
      <c r="H68" s="24" t="str">
        <f>IF(AND('A-17'!H164="-",'A-9'!I22="-"),"-",SUM('A-17'!H164,'A-9'!I22))</f>
        <v>-</v>
      </c>
      <c r="I68" s="24">
        <f>IF(AND('A-17'!I164="-",'A-9'!K22="-"),"-",SUM('A-17'!I164,'A-9'!K22))</f>
        <v>45944</v>
      </c>
      <c r="J68" s="17"/>
      <c r="K68" s="17"/>
    </row>
    <row r="69" spans="1:11" ht="11.25" customHeight="1">
      <c r="A69" s="99">
        <v>1993</v>
      </c>
      <c r="B69" s="24" t="str">
        <f>IF(AND('A-17'!B165="-",'A-9'!C23="-"),"-",SUM('A-17'!B165,'A-9'!C23))</f>
        <v>-</v>
      </c>
      <c r="C69" s="24" t="str">
        <f>IF(AND('A-17'!C165="-",'A-9'!D23="-"),"-",SUM('A-17'!C165,'A-9'!D23))</f>
        <v>-</v>
      </c>
      <c r="D69" s="24" t="str">
        <f>IF(AND('A-17'!D165="-",'A-9'!E23="-"),"-",SUM('A-17'!D165,'A-9'!E23))</f>
        <v>-</v>
      </c>
      <c r="E69" s="24">
        <f>IF(AND('A-17'!E165="-",'A-9'!F23="-"),"-",SUM('A-17'!E165,'A-9'!F23))</f>
        <v>18590</v>
      </c>
      <c r="F69" s="24">
        <f>IF(AND('A-17'!F165="-",'A-9'!G23="-"),"-",SUM('A-17'!F165,'A-9'!G23))</f>
        <v>27542</v>
      </c>
      <c r="G69" s="24">
        <f>IF(AND('A-17'!G165="-",'A-9'!H23="-"),"-",SUM('A-17'!G165,'A-9'!H23))</f>
        <v>19335</v>
      </c>
      <c r="H69" s="24" t="str">
        <f>IF(AND('A-17'!H165="-",'A-9'!I23="-"),"-",SUM('A-17'!H165,'A-9'!I23))</f>
        <v>-</v>
      </c>
      <c r="I69" s="24">
        <f>IF(AND('A-17'!I165="-",'A-9'!K23="-"),"-",SUM('A-17'!I165,'A-9'!K23))</f>
        <v>65467</v>
      </c>
      <c r="J69" s="17"/>
      <c r="K69" s="17"/>
    </row>
    <row r="70" spans="1:11" ht="11.25" customHeight="1">
      <c r="A70" s="99">
        <v>1994</v>
      </c>
      <c r="B70" s="24" t="str">
        <f>IF(AND('A-17'!B166="-",'A-9'!C24="-"),"-",SUM('A-17'!B166,'A-9'!C24))</f>
        <v>-</v>
      </c>
      <c r="C70" s="24" t="str">
        <f>IF(AND('A-17'!C166="-",'A-9'!D24="-"),"-",SUM('A-17'!C166,'A-9'!D24))</f>
        <v>-</v>
      </c>
      <c r="D70" s="24" t="str">
        <f>IF(AND('A-17'!D166="-",'A-9'!E24="-"),"-",SUM('A-17'!D166,'A-9'!E24))</f>
        <v>-</v>
      </c>
      <c r="E70" s="24" t="str">
        <f>IF(AND('A-17'!E166="-",'A-9'!F24="-"),"-",SUM('A-17'!E166,'A-9'!F24))</f>
        <v>-</v>
      </c>
      <c r="F70" s="24" t="str">
        <f>IF(AND('A-17'!F166="-",'A-9'!G24="-"),"-",SUM('A-17'!F166,'A-9'!G24))</f>
        <v>-</v>
      </c>
      <c r="G70" s="24" t="str">
        <f>IF(AND('A-17'!G166="-",'A-9'!H24="-"),"-",SUM('A-17'!G166,'A-9'!H24))</f>
        <v>-</v>
      </c>
      <c r="H70" s="24" t="str">
        <f>IF(AND('A-17'!H166="-",'A-9'!I24="-"),"-",SUM('A-17'!H166,'A-9'!I24))</f>
        <v>-</v>
      </c>
      <c r="I70" s="24" t="str">
        <f>IF(AND('A-17'!I166="-",'A-9'!K24="-"),"-",SUM('A-17'!I166,'A-9'!K24))</f>
        <v>-</v>
      </c>
      <c r="J70" s="17"/>
      <c r="K70" s="17"/>
    </row>
    <row r="71" spans="1:11" ht="11.25" customHeight="1">
      <c r="A71" s="99">
        <v>1995</v>
      </c>
      <c r="B71" s="24" t="str">
        <f>IF(AND('A-17'!B167="-",'A-9'!C25="-"),"-",SUM('A-17'!B167,'A-9'!C25))</f>
        <v>-</v>
      </c>
      <c r="C71" s="24" t="str">
        <f>IF(AND('A-17'!C167="-",'A-9'!D25="-"),"-",SUM('A-17'!C167,'A-9'!D25))</f>
        <v>-</v>
      </c>
      <c r="D71" s="24" t="str">
        <f>IF(AND('A-17'!D167="-",'A-9'!E25="-"),"-",SUM('A-17'!D167,'A-9'!E25))</f>
        <v>-</v>
      </c>
      <c r="E71" s="24">
        <f>IF(AND('A-17'!E167="-",'A-9'!F25="-"),"-",SUM('A-17'!E167,'A-9'!F25))</f>
        <v>6096</v>
      </c>
      <c r="F71" s="24">
        <f>IF(AND('A-17'!F167="-",'A-9'!G25="-"),"-",SUM('A-17'!F167,'A-9'!G25))</f>
        <v>19239</v>
      </c>
      <c r="G71" s="24">
        <f>IF(AND('A-17'!G167="-",'A-9'!H25="-"),"-",SUM('A-17'!G167,'A-9'!H25))</f>
        <v>7897</v>
      </c>
      <c r="H71" s="24" t="str">
        <f>IF(AND('A-17'!H167="-",'A-9'!I25="-"),"-",SUM('A-17'!H167,'A-9'!I25))</f>
        <v>-</v>
      </c>
      <c r="I71" s="24">
        <f>IF(AND('A-17'!I167="-",'A-9'!K25="-"),"-",SUM('A-17'!I167,'A-9'!K25))</f>
        <v>33232</v>
      </c>
      <c r="J71" s="17"/>
      <c r="K71" s="17"/>
    </row>
    <row r="72" spans="1:11" ht="11.25" customHeight="1">
      <c r="A72" s="99">
        <v>1996</v>
      </c>
      <c r="B72" s="24" t="str">
        <f>IF(AND('A-17'!B168="-",'A-9'!C26="-"),"-",SUM('A-17'!B168,'A-9'!C26))</f>
        <v>-</v>
      </c>
      <c r="C72" s="24" t="str">
        <f>IF(AND('A-17'!C168="-",'A-9'!D26="-"),"-",SUM('A-17'!C168,'A-9'!D26))</f>
        <v>-</v>
      </c>
      <c r="D72" s="24" t="str">
        <f>IF(AND('A-17'!D168="-",'A-9'!E26="-"),"-",SUM('A-17'!D168,'A-9'!E26))</f>
        <v>-</v>
      </c>
      <c r="E72" s="24">
        <f>IF(AND('A-17'!E168="-",'A-9'!F26="-"),"-",SUM('A-17'!E168,'A-9'!F26))</f>
        <v>4215</v>
      </c>
      <c r="F72" s="24">
        <f>IF(AND('A-17'!F168="-",'A-9'!G26="-"),"-",SUM('A-17'!F168,'A-9'!G26))</f>
        <v>12527</v>
      </c>
      <c r="G72" s="24">
        <f>IF(AND('A-17'!G168="-",'A-9'!H26="-"),"-",SUM('A-17'!G168,'A-9'!H26))</f>
        <v>4485</v>
      </c>
      <c r="H72" s="24" t="str">
        <f>IF(AND('A-17'!H168="-",'A-9'!I26="-"),"-",SUM('A-17'!H168,'A-9'!I26))</f>
        <v>-</v>
      </c>
      <c r="I72" s="24">
        <f>IF(AND('A-17'!I168="-",'A-9'!K26="-"),"-",SUM('A-17'!I168,'A-9'!K26))</f>
        <v>21227</v>
      </c>
      <c r="J72" s="17"/>
      <c r="K72" s="17"/>
    </row>
    <row r="73" spans="1:11" ht="11.25" customHeight="1">
      <c r="A73" s="99">
        <v>1997</v>
      </c>
      <c r="B73" s="24" t="str">
        <f>IF(AND('A-17'!B169="-",'A-9'!C27="-"),"-",SUM('A-17'!B169,'A-9'!C27))</f>
        <v>-</v>
      </c>
      <c r="C73" s="24" t="str">
        <f>IF(AND('A-17'!C169="-",'A-9'!D27="-"),"-",SUM('A-17'!C169,'A-9'!D27))</f>
        <v>-</v>
      </c>
      <c r="D73" s="24" t="str">
        <f>IF(AND('A-17'!D169="-",'A-9'!E27="-"),"-",SUM('A-17'!D169,'A-9'!E27))</f>
        <v>-</v>
      </c>
      <c r="E73" s="24">
        <f>IF(AND('A-17'!E169="-",'A-9'!F27="-"),"-",SUM('A-17'!E169,'A-9'!F27))</f>
        <v>7328</v>
      </c>
      <c r="F73" s="24">
        <f>IF(AND('A-17'!F169="-",'A-9'!G27="-"),"-",SUM('A-17'!F169,'A-9'!G27))</f>
        <v>2964</v>
      </c>
      <c r="G73" s="24" t="str">
        <f>IF(AND('A-17'!G169="-",'A-9'!H27="-"),"-",SUM('A-17'!G169,'A-9'!H27))</f>
        <v>-</v>
      </c>
      <c r="H73" s="24" t="str">
        <f>IF(AND('A-17'!H169="-",'A-9'!I27="-"),"-",SUM('A-17'!H169,'A-9'!I27))</f>
        <v>-</v>
      </c>
      <c r="I73" s="24">
        <f>IF(AND('A-17'!I169="-",'A-9'!K27="-"),"-",SUM('A-17'!I169,'A-9'!K27))</f>
        <v>10292</v>
      </c>
      <c r="J73" s="17"/>
      <c r="K73" s="17"/>
    </row>
    <row r="74" spans="1:11" ht="11.25" customHeight="1">
      <c r="A74" s="99">
        <v>1998</v>
      </c>
      <c r="B74" s="24" t="str">
        <f>IF(AND('A-17'!B170="-",'A-9'!C28="-"),"-",SUM('A-17'!B170,'A-9'!C28))</f>
        <v>-</v>
      </c>
      <c r="C74" s="24" t="str">
        <f>IF(AND('A-17'!C170="-",'A-9'!D28="-"),"-",SUM('A-17'!C170,'A-9'!D28))</f>
        <v>-</v>
      </c>
      <c r="D74" s="24" t="str">
        <f>IF(AND('A-17'!D170="-",'A-9'!E28="-"),"-",SUM('A-17'!D170,'A-9'!E28))</f>
        <v>-</v>
      </c>
      <c r="E74" s="24" t="str">
        <f>IF(AND('A-17'!E170="-",'A-9'!F28="-"),"-",SUM('A-17'!E170,'A-9'!F28))</f>
        <v>-</v>
      </c>
      <c r="F74" s="24">
        <f>IF(AND('A-17'!F170="-",'A-9'!G28="-"),"-",SUM('A-17'!F170,'A-9'!G28))</f>
        <v>6107</v>
      </c>
      <c r="G74" s="24">
        <f>IF(AND('A-17'!G170="-",'A-9'!H28="-"),"-",SUM('A-17'!G170,'A-9'!H28))</f>
        <v>704</v>
      </c>
      <c r="H74" s="24" t="str">
        <f>IF(AND('A-17'!H170="-",'A-9'!I28="-"),"-",SUM('A-17'!H170,'A-9'!I28))</f>
        <v>-</v>
      </c>
      <c r="I74" s="24">
        <f>IF(AND('A-17'!I170="-",'A-9'!K28="-"),"-",SUM('A-17'!I170,'A-9'!K28))</f>
        <v>6811</v>
      </c>
      <c r="J74" s="17"/>
      <c r="K74" s="17"/>
    </row>
    <row r="75" spans="1:11" ht="11.25" customHeight="1">
      <c r="A75" s="99">
        <v>1999</v>
      </c>
      <c r="B75" s="24" t="str">
        <f>IF(AND('A-17'!B171="-",'A-9'!C29="-"),"-",SUM('A-17'!B171,'A-9'!C29))</f>
        <v>-</v>
      </c>
      <c r="C75" s="24" t="str">
        <f>IF(AND('A-17'!C171="-",'A-9'!D29="-"),"-",SUM('A-17'!C171,'A-9'!D29))</f>
        <v>-</v>
      </c>
      <c r="D75" s="24" t="str">
        <f>IF(AND('A-17'!D171="-",'A-9'!E29="-"),"-",SUM('A-17'!D171,'A-9'!E29))</f>
        <v>-</v>
      </c>
      <c r="E75" s="24">
        <f>IF(AND('A-17'!E171="-",'A-9'!F29="-"),"-",SUM('A-17'!E171,'A-9'!F29))</f>
        <v>6546</v>
      </c>
      <c r="F75" s="24">
        <f>IF(AND('A-17'!F171="-",'A-9'!G29="-"),"-",SUM('A-17'!F171,'A-9'!G29))</f>
        <v>14786</v>
      </c>
      <c r="G75" s="24">
        <f>IF(AND('A-17'!G171="-",'A-9'!H29="-"),"-",SUM('A-17'!G171,'A-9'!H29))</f>
        <v>6761</v>
      </c>
      <c r="H75" s="24" t="str">
        <f>IF(AND('A-17'!H171="-",'A-9'!I29="-"),"-",SUM('A-17'!H171,'A-9'!I29))</f>
        <v>-</v>
      </c>
      <c r="I75" s="24">
        <f>IF(AND('A-17'!I171="-",'A-9'!K29="-"),"-",SUM('A-17'!I171,'A-9'!K29))</f>
        <v>28093</v>
      </c>
      <c r="J75" s="17"/>
      <c r="K75" s="17"/>
    </row>
    <row r="76" spans="1:11" ht="11.25" customHeight="1">
      <c r="A76" s="99">
        <v>2000</v>
      </c>
      <c r="B76" s="24" t="str">
        <f>IF(AND('A-17'!B172="-",'A-9'!C30="-"),"-",SUM('A-17'!B172,'A-9'!C30))</f>
        <v>-</v>
      </c>
      <c r="C76" s="24" t="str">
        <f>IF(AND('A-17'!C172="-",'A-9'!D30="-"),"-",SUM('A-17'!C172,'A-9'!D30))</f>
        <v>-</v>
      </c>
      <c r="D76" s="24" t="str">
        <f>IF(AND('A-17'!D172="-",'A-9'!E30="-"),"-",SUM('A-17'!D172,'A-9'!E30))</f>
        <v>-</v>
      </c>
      <c r="E76" s="24">
        <f>IF(AND('A-17'!E172="-",'A-9'!F30="-"),"-",SUM('A-17'!E172,'A-9'!F30))</f>
        <v>10836</v>
      </c>
      <c r="F76" s="24">
        <f>IF(AND('A-17'!F172="-",'A-9'!G30="-"),"-",SUM('A-17'!F172,'A-9'!G30))</f>
        <v>13364</v>
      </c>
      <c r="G76" s="24" t="str">
        <f>IF(AND('A-17'!G172="-",'A-9'!H30="-"),"-",SUM('A-17'!G172,'A-9'!H30))</f>
        <v>-</v>
      </c>
      <c r="H76" s="24" t="str">
        <f>IF(AND('A-17'!H172="-",'A-9'!I30="-"),"-",SUM('A-17'!H172,'A-9'!I30))</f>
        <v>-</v>
      </c>
      <c r="I76" s="24">
        <f>IF(AND('A-17'!I172="-",'A-9'!K30="-"),"-",SUM('A-17'!I172,'A-9'!K30))</f>
        <v>24200</v>
      </c>
      <c r="J76" s="17"/>
      <c r="K76" s="17"/>
    </row>
    <row r="77" spans="1:11" ht="11.25" customHeight="1">
      <c r="A77" s="99">
        <v>2001</v>
      </c>
      <c r="B77" s="24" t="str">
        <f>IF(AND('A-17'!B173="-",'A-9'!C31="-"),"-",SUM('A-17'!B173,'A-9'!C31))</f>
        <v>-</v>
      </c>
      <c r="C77" s="24" t="str">
        <f>IF(AND('A-17'!C173="-",'A-9'!D31="-"),"-",SUM('A-17'!C173,'A-9'!D31))</f>
        <v>-</v>
      </c>
      <c r="D77" s="24" t="str">
        <f>IF(AND('A-17'!D173="-",'A-9'!E31="-"),"-",SUM('A-17'!D173,'A-9'!E31))</f>
        <v>-</v>
      </c>
      <c r="E77" s="24">
        <f>IF(AND('A-17'!E173="-",'A-9'!F31="-"),"-",SUM('A-17'!E173,'A-9'!F31))</f>
        <v>29087</v>
      </c>
      <c r="F77" s="24">
        <f>IF(AND('A-17'!F173="-",'A-9'!G31="-"),"-",SUM('A-17'!F173,'A-9'!G31))</f>
        <v>38189</v>
      </c>
      <c r="G77" s="24">
        <f>IF(AND('A-17'!G173="-",'A-9'!H31="-"),"-",SUM('A-17'!G173,'A-9'!H31))</f>
        <v>11351</v>
      </c>
      <c r="H77" s="24" t="str">
        <f>IF(AND('A-17'!H173="-",'A-9'!I31="-"),"-",SUM('A-17'!H173,'A-9'!I31))</f>
        <v>-</v>
      </c>
      <c r="I77" s="24">
        <f>IF(AND('A-17'!I173="-",'A-9'!K31="-"),"-",SUM('A-17'!I173,'A-9'!K31))</f>
        <v>78627</v>
      </c>
      <c r="J77" s="17"/>
      <c r="K77" s="17"/>
    </row>
    <row r="78" spans="1:11" ht="11.25" customHeight="1">
      <c r="A78" s="99">
        <v>2002</v>
      </c>
      <c r="B78" s="24" t="str">
        <f>IF(AND('A-17'!B174="-",'A-9'!C32="-"),"-",SUM('A-17'!B174,'A-9'!C32))</f>
        <v>-</v>
      </c>
      <c r="C78" s="24">
        <f>IF(AND('A-17'!C174="-",'A-9'!D32="-"),"-",SUM('A-17'!C174,'A-9'!D32))</f>
        <v>370</v>
      </c>
      <c r="D78" s="24">
        <f>IF(AND('A-17'!D174="-",'A-9'!E32="-"),"-",SUM('A-17'!D174,'A-9'!E32))</f>
        <v>1662</v>
      </c>
      <c r="E78" s="24">
        <f>IF(AND('A-17'!E174="-",'A-9'!F32="-"),"-",SUM('A-17'!E174,'A-9'!F32))</f>
        <v>12993</v>
      </c>
      <c r="F78" s="24">
        <f>IF(AND('A-17'!F174="-",'A-9'!G32="-"),"-",SUM('A-17'!F174,'A-9'!G32))</f>
        <v>24510</v>
      </c>
      <c r="G78" s="24">
        <f>IF(AND('A-17'!G174="-",'A-9'!H32="-"),"-",SUM('A-17'!G174,'A-9'!H32))</f>
        <v>9172</v>
      </c>
      <c r="H78" s="24">
        <f>IF(AND('A-17'!H174="-",'A-9'!I32="-"),"-",SUM('A-17'!H174,'A-9'!I32))</f>
        <v>6</v>
      </c>
      <c r="I78" s="24">
        <f>IF(AND('A-17'!I174="-",'A-9'!K32="-"),"-",SUM('A-17'!I174,'A-9'!K32))</f>
        <v>48713</v>
      </c>
      <c r="J78" s="17"/>
      <c r="K78" s="17"/>
    </row>
    <row r="79" spans="1:11" ht="11.25" customHeight="1">
      <c r="A79" s="99">
        <v>2003</v>
      </c>
      <c r="B79" s="24" t="str">
        <f>IF(AND('A-17'!B175="-",'A-9'!C33="-"),"-",SUM('A-17'!B175,'A-9'!C33))</f>
        <v>-</v>
      </c>
      <c r="C79" s="24" t="str">
        <f>IF(AND('A-17'!C175="-",'A-9'!D33="-"),"-",SUM('A-17'!C175,'A-9'!D33))</f>
        <v>-</v>
      </c>
      <c r="D79" s="24">
        <f>IF(AND('A-17'!D175="-",'A-9'!E33="-"),"-",SUM('A-17'!D175,'A-9'!E33))</f>
        <v>606</v>
      </c>
      <c r="E79" s="24">
        <f>IF(AND('A-17'!E175="-",'A-9'!F33="-"),"-",SUM('A-17'!E175,'A-9'!F33))</f>
        <v>20308</v>
      </c>
      <c r="F79" s="24">
        <f>IF(AND('A-17'!F175="-",'A-9'!G33="-"),"-",SUM('A-17'!F175,'A-9'!G33))</f>
        <v>42124</v>
      </c>
      <c r="G79" s="24">
        <f>IF(AND('A-17'!G175="-",'A-9'!H33="-"),"-",SUM('A-17'!G175,'A-9'!H33))</f>
        <v>8188</v>
      </c>
      <c r="H79" s="24" t="str">
        <f>IF(AND('A-17'!H175="-",'A-9'!I33="-"),"-",SUM('A-17'!H175,'A-9'!I33))</f>
        <v>-</v>
      </c>
      <c r="I79" s="24">
        <f>IF(AND('A-17'!I175="-",'A-9'!K33="-"),"-",SUM('A-17'!I175,'A-9'!K33))</f>
        <v>71226</v>
      </c>
      <c r="J79" s="17"/>
      <c r="K79" s="17"/>
    </row>
    <row r="80" spans="1:11" ht="11.25" customHeight="1">
      <c r="A80" s="99">
        <v>2004</v>
      </c>
      <c r="B80" s="24" t="str">
        <f>IF(AND('A-17'!B176="-",'A-9'!C34="-"),"-",SUM('A-17'!B176,'A-9'!C34))</f>
        <v>-</v>
      </c>
      <c r="C80" s="24" t="str">
        <f>IF(AND('A-17'!C176="-",'A-9'!D34="-"),"-",SUM('A-17'!C176,'A-9'!D34))</f>
        <v>-</v>
      </c>
      <c r="D80" s="24">
        <f>IF(AND('A-17'!D176="-",'A-9'!E34="-"),"-",SUM('A-17'!D176,'A-9'!E34))</f>
        <v>853</v>
      </c>
      <c r="E80" s="24">
        <f>IF(AND('A-17'!E176="-",'A-9'!F34="-"),"-",SUM('A-17'!E176,'A-9'!F34))</f>
        <v>16101</v>
      </c>
      <c r="F80" s="24">
        <f>IF(AND('A-17'!F176="-",'A-9'!G34="-"),"-",SUM('A-17'!F176,'A-9'!G34))</f>
        <v>35006</v>
      </c>
      <c r="G80" s="24">
        <f>IF(AND('A-17'!G176="-",'A-9'!H34="-"),"-",SUM('A-17'!G176,'A-9'!H34))</f>
        <v>10444</v>
      </c>
      <c r="H80" s="24" t="str">
        <f>IF(AND('A-17'!H176="-",'A-9'!I34="-"),"-",SUM('A-17'!H176,'A-9'!I34))</f>
        <v>-</v>
      </c>
      <c r="I80" s="24">
        <f>IF(AND('A-17'!I176="-",'A-9'!K34="-"),"-",SUM('A-17'!I176,'A-9'!K34))</f>
        <v>62404</v>
      </c>
      <c r="J80" s="17"/>
      <c r="K80" s="17"/>
    </row>
    <row r="81" spans="1:11" ht="11.25" customHeight="1">
      <c r="A81" s="99">
        <v>2005</v>
      </c>
      <c r="B81" s="24" t="str">
        <f>IF(AND('A-17'!B177="-",'A-9'!C35="-"),"-",SUM('A-17'!B177,'A-9'!C35))</f>
        <v>-</v>
      </c>
      <c r="C81" s="24" t="str">
        <f>IF(AND('A-17'!C177="-",'A-9'!D35="-"),"-",SUM('A-17'!C177,'A-9'!D35))</f>
        <v>-</v>
      </c>
      <c r="D81" s="24" t="str">
        <f>IF(AND('A-17'!D177="-",'A-9'!E35="-"),"-",SUM('A-17'!D177,'A-9'!E35))</f>
        <v>-</v>
      </c>
      <c r="E81" s="24">
        <f>IF(AND('A-17'!E177="-",'A-9'!F35="-"),"-",SUM('A-17'!E177,'A-9'!F35))</f>
        <v>8316</v>
      </c>
      <c r="F81" s="24">
        <f>IF(AND('A-17'!F177="-",'A-9'!G35="-"),"-",SUM('A-17'!F177,'A-9'!G35))</f>
        <v>27084</v>
      </c>
      <c r="G81" s="24">
        <f>IF(AND('A-17'!G177="-",'A-9'!H35="-"),"-",SUM('A-17'!G177,'A-9'!H35))</f>
        <v>9916</v>
      </c>
      <c r="H81" s="24" t="str">
        <f>IF(AND('A-17'!H177="-",'A-9'!I35="-"),"-",SUM('A-17'!H177,'A-9'!I35))</f>
        <v>-</v>
      </c>
      <c r="I81" s="24">
        <f>IF(AND('A-17'!I177="-",'A-9'!K35="-"),"-",SUM('A-17'!I177,'A-9'!K35))</f>
        <v>45316</v>
      </c>
      <c r="J81" s="17"/>
      <c r="K81" s="17"/>
    </row>
    <row r="82" spans="1:11" ht="11.25" customHeight="1">
      <c r="A82" s="99">
        <v>2006</v>
      </c>
      <c r="B82" s="24" t="str">
        <f>IF(AND('A-17'!B178="-",'A-9'!C36="-"),"-",SUM('A-17'!B178,'A-9'!C36))</f>
        <v>-</v>
      </c>
      <c r="C82" s="24" t="str">
        <f>IF(AND('A-17'!C178="-",'A-9'!D36="-"),"-",SUM('A-17'!C178,'A-9'!D36))</f>
        <v>-</v>
      </c>
      <c r="D82" s="24" t="str">
        <f>IF(AND('A-17'!D178="-",'A-9'!E36="-"),"-",SUM('A-17'!D178,'A-9'!E36))</f>
        <v>-</v>
      </c>
      <c r="E82" s="24">
        <f>IF(AND('A-17'!E178="-",'A-9'!F36="-"),"-",SUM('A-17'!E178,'A-9'!F36))</f>
        <v>7450.97</v>
      </c>
      <c r="F82" s="24">
        <f>IF(AND('A-17'!F178="-",'A-9'!G36="-"),"-",SUM('A-17'!F178,'A-9'!G36))</f>
        <v>21248.84</v>
      </c>
      <c r="G82" s="24">
        <f>IF(AND('A-17'!G178="-",'A-9'!H36="-"),"-",SUM('A-17'!G178,'A-9'!H36))</f>
        <v>2711.75</v>
      </c>
      <c r="H82" s="24" t="str">
        <f>IF(AND('A-17'!H178="-",'A-9'!I36="-"),"-",SUM('A-17'!H178,'A-9'!I36))</f>
        <v>-</v>
      </c>
      <c r="I82" s="24">
        <f>IF(AND('A-17'!I178="-",'A-9'!K36="-"),"-",SUM('A-17'!I178,'A-9'!K36))</f>
        <v>31411.56</v>
      </c>
      <c r="J82" s="17"/>
      <c r="K82" s="17"/>
    </row>
    <row r="83" spans="1:11" ht="11.25" customHeight="1">
      <c r="A83" s="99">
        <v>2007</v>
      </c>
      <c r="B83" s="24" t="str">
        <f>IF(AND('A-17'!B179="-",'A-9'!C37="-"),"-",SUM('A-17'!B179,'A-9'!C37))</f>
        <v>-</v>
      </c>
      <c r="C83" s="24" t="str">
        <f>IF(AND('A-17'!C179="-",'A-9'!D37="-"),"-",SUM('A-17'!C179,'A-9'!D37))</f>
        <v>-</v>
      </c>
      <c r="D83" s="24" t="str">
        <f>IF(AND('A-17'!D179="-",'A-9'!E37="-"),"-",SUM('A-17'!D179,'A-9'!E37))</f>
        <v>-</v>
      </c>
      <c r="E83" s="24">
        <f>IF(AND('A-17'!E179="-",'A-9'!F37="-"),"-",SUM('A-17'!E179,'A-9'!F37))</f>
        <v>10033.66</v>
      </c>
      <c r="F83" s="24">
        <f>IF(AND('A-17'!F179="-",'A-9'!G37="-"),"-",SUM('A-17'!F179,'A-9'!G37))</f>
        <v>29199.48</v>
      </c>
      <c r="G83" s="24">
        <f>IF(AND('A-17'!G179="-",'A-9'!H37="-"),"-",SUM('A-17'!G179,'A-9'!H37))</f>
        <v>3284.49</v>
      </c>
      <c r="H83" s="24" t="str">
        <f>IF(AND('A-17'!H179="-",'A-9'!I37="-"),"-",SUM('A-17'!H179,'A-9'!I37))</f>
        <v>-</v>
      </c>
      <c r="I83" s="24">
        <f>IF(AND('A-17'!I179="-",'A-9'!K37="-"),"-",SUM('A-17'!I179,'A-9'!K37))</f>
        <v>42517.63</v>
      </c>
      <c r="J83" s="17"/>
      <c r="K83" s="17"/>
    </row>
    <row r="84" spans="1:11" ht="11.25" customHeight="1">
      <c r="A84" s="99">
        <v>2008</v>
      </c>
      <c r="B84" s="24" t="str">
        <f>IF(AND('A-17'!B180="-",'A-9'!C38="-"),"-",SUM('A-17'!B180,'A-9'!C38))</f>
        <v>-</v>
      </c>
      <c r="C84" s="24">
        <f>IF(AND('A-17'!C180="-",'A-9'!D38="-"),"-",SUM('A-17'!C180,'A-9'!D38))</f>
        <v>66</v>
      </c>
      <c r="D84" s="24">
        <f>IF(AND('A-17'!D180="-",'A-9'!E38="-"),"-",SUM('A-17'!D180,'A-9'!E38))</f>
        <v>1275.02</v>
      </c>
      <c r="E84" s="24">
        <f>IF(AND('A-17'!E180="-",'A-9'!F38="-"),"-",SUM('A-17'!E180,'A-9'!F38))</f>
        <v>6381.17</v>
      </c>
      <c r="F84" s="24">
        <f>IF(AND('A-17'!F180="-",'A-9'!G38="-"),"-",SUM('A-17'!F180,'A-9'!G38))</f>
        <v>6371.06</v>
      </c>
      <c r="G84" s="24" t="str">
        <f>IF(AND('A-17'!G180="-",'A-9'!H38="-"),"-",SUM('A-17'!G180,'A-9'!H38))</f>
        <v>-</v>
      </c>
      <c r="H84" s="24" t="str">
        <f>IF(AND('A-17'!H180="-",'A-9'!I38="-"),"-",SUM('A-17'!H180,'A-9'!I38))</f>
        <v>-</v>
      </c>
      <c r="I84" s="24">
        <f>IF(AND('A-17'!I180="-",'A-9'!K38="-"),"-",SUM('A-17'!I180,'A-9'!K38))</f>
        <v>14093.25</v>
      </c>
      <c r="J84" s="17"/>
      <c r="K84" s="17"/>
    </row>
    <row r="85" spans="1:11" ht="11.25" customHeight="1">
      <c r="A85" s="99">
        <v>2009</v>
      </c>
      <c r="B85" s="24" t="str">
        <f>IF(AND('A-17'!B181="-",'A-9'!C39="-"),"-",SUM('A-17'!B181,'A-9'!C39))</f>
        <v>-</v>
      </c>
      <c r="C85" s="24" t="str">
        <f>IF(AND('A-17'!C181="-",'A-9'!D39="-"),"-",SUM('A-17'!C181,'A-9'!D39))</f>
        <v>-</v>
      </c>
      <c r="D85" s="24">
        <f>IF(AND('A-17'!D181="-",'A-9'!E39="-"),"-",SUM('A-17'!D181,'A-9'!E39))</f>
        <v>277.89999999999998</v>
      </c>
      <c r="E85" s="24">
        <f>IF(AND('A-17'!E181="-",'A-9'!F39="-"),"-",SUM('A-17'!E181,'A-9'!F39))</f>
        <v>15968.84</v>
      </c>
      <c r="F85" s="24">
        <f>IF(AND('A-17'!F181="-",'A-9'!G39="-"),"-",SUM('A-17'!F181,'A-9'!G39))</f>
        <v>36343.919999999998</v>
      </c>
      <c r="G85" s="24">
        <f>IF(AND('A-17'!G181="-",'A-9'!H39="-"),"-",SUM('A-17'!G181,'A-9'!H39))</f>
        <v>1839.92</v>
      </c>
      <c r="H85" s="24" t="str">
        <f>IF(AND('A-17'!H181="-",'A-9'!I39="-"),"-",SUM('A-17'!H181,'A-9'!I39))</f>
        <v>-</v>
      </c>
      <c r="I85" s="24">
        <f>IF(AND('A-17'!I181="-",'A-9'!K39="-"),"-",SUM('A-17'!I181,'A-9'!K39))</f>
        <v>54430.579999999994</v>
      </c>
      <c r="J85" s="17"/>
      <c r="K85" s="17"/>
    </row>
    <row r="86" spans="1:11" ht="11.25" customHeight="1">
      <c r="A86" s="99">
        <v>2010</v>
      </c>
      <c r="B86" s="24" t="str">
        <f>IF(AND('A-17'!B182="-",'A-9'!C40="-"),"-",SUM('A-17'!B182,'A-9'!C40))</f>
        <v>-</v>
      </c>
      <c r="C86" s="24" t="str">
        <f>IF(AND('A-17'!C182="-",'A-9'!D40="-"),"-",SUM('A-17'!C182,'A-9'!D40))</f>
        <v>-</v>
      </c>
      <c r="D86" s="24">
        <f>IF(AND('A-17'!D182="-",'A-9'!E40="-"),"-",SUM('A-17'!D182,'A-9'!E40))</f>
        <v>862.7299999999999</v>
      </c>
      <c r="E86" s="24">
        <f>IF(AND('A-17'!E182="-",'A-9'!F40="-"),"-",SUM('A-17'!E182,'A-9'!F40))</f>
        <v>9376.41</v>
      </c>
      <c r="F86" s="24">
        <f>IF(AND('A-17'!F182="-",'A-9'!G40="-"),"-",SUM('A-17'!F182,'A-9'!G40))</f>
        <v>24345.33</v>
      </c>
      <c r="G86" s="24">
        <f>IF(AND('A-17'!G182="-",'A-9'!H40="-"),"-",SUM('A-17'!G182,'A-9'!H40))</f>
        <v>2810.68</v>
      </c>
      <c r="H86" s="24" t="str">
        <f>IF(AND('A-17'!H182="-",'A-9'!I40="-"),"-",SUM('A-17'!H182,'A-9'!I40))</f>
        <v>-</v>
      </c>
      <c r="I86" s="24">
        <f>IF(AND('A-17'!I182="-",'A-9'!K40="-"),"-",SUM('A-17'!I182,'A-9'!K40))</f>
        <v>37395.15</v>
      </c>
      <c r="J86" s="17"/>
      <c r="K86" s="17"/>
    </row>
    <row r="87" spans="1:11" ht="11.25" customHeight="1">
      <c r="A87" s="99">
        <v>2011</v>
      </c>
      <c r="B87" s="24" t="str">
        <f>IF(AND('A-17'!B183="-",'A-9'!C41="-"),"-",SUM('A-17'!B183,'A-9'!C41))</f>
        <v>-</v>
      </c>
      <c r="C87" s="24" t="str">
        <f>IF(AND('A-17'!C183="-",'A-9'!D41="-"),"-",SUM('A-17'!C183,'A-9'!D41))</f>
        <v>-</v>
      </c>
      <c r="D87" s="24">
        <f>IF(AND('A-17'!D183="-",'A-9'!E41="-"),"-",SUM('A-17'!D183,'A-9'!E41))</f>
        <v>1132.74</v>
      </c>
      <c r="E87" s="24">
        <f>IF(AND('A-17'!E183="-",'A-9'!F41="-"),"-",SUM('A-17'!E183,'A-9'!F41))</f>
        <v>6760.06</v>
      </c>
      <c r="F87" s="24">
        <f>IF(AND('A-17'!F183="-",'A-9'!G41="-"),"-",SUM('A-17'!F183,'A-9'!G41))</f>
        <v>19771.68</v>
      </c>
      <c r="G87" s="24">
        <f>IF(AND('A-17'!G183="-",'A-9'!H41="-"),"-",SUM('A-17'!G183,'A-9'!H41))</f>
        <v>4462.7</v>
      </c>
      <c r="H87" s="24" t="str">
        <f>IF(AND('A-17'!H183="-",'A-9'!I41="-"),"-",SUM('A-17'!H183,'A-9'!I41))</f>
        <v>-</v>
      </c>
      <c r="I87" s="24">
        <f>IF(AND('A-17'!I183="-",'A-9'!K41="-"),"-",SUM('A-17'!I183,'A-9'!K41))</f>
        <v>32127.18</v>
      </c>
      <c r="J87" s="17"/>
      <c r="K87" s="17"/>
    </row>
    <row r="88" spans="1:11" ht="11.25" customHeight="1">
      <c r="A88" s="99">
        <v>2012</v>
      </c>
      <c r="B88" s="24" t="str">
        <f>IF(AND('A-17'!B184="-",'A-9'!C42="-"),"-",SUM('A-17'!B184,'A-9'!C42))</f>
        <v>-</v>
      </c>
      <c r="C88" s="24" t="str">
        <f>IF(AND('A-17'!C184="-",'A-9'!D42="-"),"-",SUM('A-17'!C184,'A-9'!D42))</f>
        <v>-</v>
      </c>
      <c r="D88" s="24">
        <f>IF(AND('A-17'!D184="-",'A-9'!E42="-"),"-",SUM('A-17'!D184,'A-9'!E42))</f>
        <v>2645.24</v>
      </c>
      <c r="E88" s="24">
        <f>IF(AND('A-17'!E184="-",'A-9'!F42="-"),"-",SUM('A-17'!E184,'A-9'!F42))</f>
        <v>7419.21</v>
      </c>
      <c r="F88" s="24">
        <f>IF(AND('A-17'!F184="-",'A-9'!G42="-"),"-",SUM('A-17'!F184,'A-9'!G42))</f>
        <v>12108.34</v>
      </c>
      <c r="G88" s="24">
        <f>IF(AND('A-17'!G184="-",'A-9'!H42="-"),"-",SUM('A-17'!G184,'A-9'!H42))</f>
        <v>5634.77</v>
      </c>
      <c r="H88" s="24" t="str">
        <f>IF(AND('A-17'!H184="-",'A-9'!I42="-"),"-",SUM('A-17'!H184,'A-9'!I42))</f>
        <v>-</v>
      </c>
      <c r="I88" s="24">
        <f>IF(AND('A-17'!I184="-",'A-9'!K42="-"),"-",SUM('A-17'!I184,'A-9'!K42))</f>
        <v>27807.56</v>
      </c>
      <c r="J88" s="17"/>
      <c r="K88" s="17"/>
    </row>
    <row r="89" spans="1:11" ht="11.25" customHeight="1">
      <c r="A89" s="99">
        <v>2013</v>
      </c>
      <c r="B89" s="24" t="str">
        <f>IF(AND('A-17'!B185="-",'A-9'!C43="-"),"-",SUM('A-17'!B185,'A-9'!C43))</f>
        <v>-</v>
      </c>
      <c r="C89" s="24" t="str">
        <f>IF(AND('A-17'!C185="-",'A-9'!D43="-"),"-",SUM('A-17'!C185,'A-9'!D43))</f>
        <v>-</v>
      </c>
      <c r="D89" s="24">
        <f>IF(AND('A-17'!D185="-",'A-9'!E43="-"),"-",SUM('A-17'!D185,'A-9'!E43))</f>
        <v>4435.82</v>
      </c>
      <c r="E89" s="24">
        <f>IF(AND('A-17'!E185="-",'A-9'!F43="-"),"-",SUM('A-17'!E185,'A-9'!F43))</f>
        <v>6162.45</v>
      </c>
      <c r="F89" s="24">
        <f>IF(AND('A-17'!F185="-",'A-9'!G43="-"),"-",SUM('A-17'!F185,'A-9'!G43))</f>
        <v>16293.33</v>
      </c>
      <c r="G89" s="24">
        <f>IF(AND('A-17'!G185="-",'A-9'!H43="-"),"-",SUM('A-17'!G185,'A-9'!H43))</f>
        <v>3740.4</v>
      </c>
      <c r="H89" s="24" t="str">
        <f>IF(AND('A-17'!H185="-",'A-9'!I43="-"),"-",SUM('A-17'!H185,'A-9'!I43))</f>
        <v>-</v>
      </c>
      <c r="I89" s="24">
        <f>IF(AND('A-17'!I185="-",'A-9'!K43="-"),"-",SUM('A-17'!I185,'A-9'!K43))</f>
        <v>30632</v>
      </c>
      <c r="J89" s="17"/>
      <c r="K89" s="17"/>
    </row>
    <row r="90" spans="1:11" ht="11.25" customHeight="1">
      <c r="A90" s="99">
        <v>2014</v>
      </c>
      <c r="B90" s="24" t="str">
        <f>IF(AND('A-17'!B186="-",'A-9'!C44="-"),"-",SUM('A-17'!B186,'A-9'!C44))</f>
        <v>-</v>
      </c>
      <c r="C90" s="24">
        <f>IF(AND('A-17'!C186="-",'A-9'!D44="-"),"-",SUM('A-17'!C186,'A-9'!D44))</f>
        <v>77.86</v>
      </c>
      <c r="D90" s="24">
        <f>IF(AND('A-17'!D186="-",'A-9'!E44="-"),"-",SUM('A-17'!D186,'A-9'!E44))</f>
        <v>3282.9900000000002</v>
      </c>
      <c r="E90" s="24">
        <f>IF(AND('A-17'!E186="-",'A-9'!F44="-"),"-",SUM('A-17'!E186,'A-9'!F44))</f>
        <v>14884.62</v>
      </c>
      <c r="F90" s="24">
        <f>IF(AND('A-17'!F186="-",'A-9'!G44="-"),"-",SUM('A-17'!F186,'A-9'!G44))</f>
        <v>28896.12</v>
      </c>
      <c r="G90" s="24">
        <f>IF(AND('A-17'!G186="-",'A-9'!H44="-"),"-",SUM('A-17'!G186,'A-9'!H44))</f>
        <v>9381.6</v>
      </c>
      <c r="H90" s="24" t="str">
        <f>IF(AND('A-17'!H186="-",'A-9'!I44="-"),"-",SUM('A-17'!H186,'A-9'!I44))</f>
        <v>-</v>
      </c>
      <c r="I90" s="24">
        <f>IF(AND('A-17'!I186="-",'A-9'!K44="-"),"-",SUM('A-17'!I186,'A-9'!K44))</f>
        <v>56523.189999999995</v>
      </c>
      <c r="J90" s="17"/>
      <c r="K90" s="17"/>
    </row>
    <row r="91" spans="1:11" ht="11.25" customHeight="1">
      <c r="A91" s="99">
        <v>2015</v>
      </c>
      <c r="B91" s="24" t="str">
        <f>IF(AND('A-17'!B187="-",'A-9'!C45="-"),"-",SUM('A-17'!B187,'A-9'!C45))</f>
        <v>-</v>
      </c>
      <c r="C91" s="24">
        <f>IF(AND('A-17'!C187="-",'A-9'!D45="-"),"-",SUM('A-17'!C187,'A-9'!D45))</f>
        <v>269.03999999999996</v>
      </c>
      <c r="D91" s="24">
        <f>IF(AND('A-17'!D187="-",'A-9'!E45="-"),"-",SUM('A-17'!D187,'A-9'!E45))</f>
        <v>3045.5299999999997</v>
      </c>
      <c r="E91" s="24">
        <f>IF(AND('A-17'!E187="-",'A-9'!F45="-"),"-",SUM('A-17'!E187,'A-9'!F45))</f>
        <v>11243.15</v>
      </c>
      <c r="F91" s="24">
        <f>IF(AND('A-17'!F187="-",'A-9'!G45="-"),"-",SUM('A-17'!F187,'A-9'!G45))</f>
        <v>18588.98</v>
      </c>
      <c r="G91" s="24">
        <f>IF(AND('A-17'!G187="-",'A-9'!H45="-"),"-",SUM('A-17'!G187,'A-9'!H45))</f>
        <v>8871.56</v>
      </c>
      <c r="H91" s="24" t="str">
        <f>IF(AND('A-17'!H187="-",'A-9'!I45="-"),"-",SUM('A-17'!H187,'A-9'!I45))</f>
        <v>-</v>
      </c>
      <c r="I91" s="24">
        <f>IF(AND('A-17'!I187="-",'A-9'!K45="-"),"-",SUM('A-17'!I187,'A-9'!K45))</f>
        <v>42018.259999999995</v>
      </c>
      <c r="J91" s="17"/>
      <c r="K91" s="17"/>
    </row>
    <row r="92" spans="1:11" ht="11.25" customHeight="1">
      <c r="A92" s="99">
        <v>2016</v>
      </c>
      <c r="B92" s="24" t="str">
        <f>IF(AND('A-17'!B188="-",'A-9'!C46="-"),"-",SUM('A-17'!B188,'A-9'!C46))</f>
        <v>-</v>
      </c>
      <c r="C92" s="24" t="str">
        <f>IF(AND('A-17'!C188="-",'A-9'!D46="-"),"-",SUM('A-17'!C188,'A-9'!D46))</f>
        <v>-</v>
      </c>
      <c r="D92" s="24" t="str">
        <f>IF(AND('A-17'!D188="-",'A-9'!E46="-"),"-",SUM('A-17'!D188,'A-9'!E46))</f>
        <v>-</v>
      </c>
      <c r="E92" s="24">
        <f>IF(AND('A-17'!E188="-",'A-9'!F46="-"),"-",SUM('A-17'!E188,'A-9'!F46))</f>
        <v>9586.17</v>
      </c>
      <c r="F92" s="24">
        <f>IF(AND('A-17'!F188="-",'A-9'!G46="-"),"-",SUM('A-17'!F188,'A-9'!G46))</f>
        <v>18999.330000000002</v>
      </c>
      <c r="G92" s="24" t="str">
        <f>IF(AND('A-17'!G188="-",'A-9'!H46="-"),"-",SUM('A-17'!G188,'A-9'!H46))</f>
        <v>-</v>
      </c>
      <c r="H92" s="24" t="str">
        <f>IF(AND('A-17'!H188="-",'A-9'!I46="-"),"-",SUM('A-17'!H188,'A-9'!I46))</f>
        <v>-</v>
      </c>
      <c r="I92" s="24">
        <f>IF(AND('A-17'!I188="-",'A-9'!K46="-"),"-",SUM('A-17'!I188,'A-9'!K46))</f>
        <v>28585.5</v>
      </c>
      <c r="J92" s="17"/>
      <c r="K92" s="17"/>
    </row>
    <row r="93" spans="1:11" ht="11.25" customHeight="1">
      <c r="A93" s="99">
        <v>2017</v>
      </c>
      <c r="B93" s="24" t="str">
        <f>IF(AND('A-17'!B189="-",'A-9'!C47="-"),"-",SUM('A-17'!B189,'A-9'!C47))</f>
        <v>-</v>
      </c>
      <c r="C93" s="24" t="str">
        <f>IF(AND('A-17'!C189="-",'A-9'!D47="-"),"-",SUM('A-17'!C189,'A-9'!D47))</f>
        <v>-</v>
      </c>
      <c r="D93" s="24">
        <f>IF(AND('A-17'!D189="-",'A-9'!E47="-"),"-",SUM('A-17'!D189,'A-9'!E47))</f>
        <v>975.48</v>
      </c>
      <c r="E93" s="24">
        <f>IF(AND('A-17'!E189="-",'A-9'!F47="-"),"-",SUM('A-17'!E189,'A-9'!F47))</f>
        <v>11229.23</v>
      </c>
      <c r="F93" s="24">
        <f>IF(AND('A-17'!F189="-",'A-9'!G47="-"),"-",SUM('A-17'!F189,'A-9'!G47))</f>
        <v>19128.099999999999</v>
      </c>
      <c r="G93" s="24" t="str">
        <f>IF(AND('A-17'!G189="-",'A-9'!H47="-"),"-",SUM('A-17'!G189,'A-9'!H47))</f>
        <v>-</v>
      </c>
      <c r="H93" s="24" t="str">
        <f>IF(AND('A-17'!H189="-",'A-9'!I47="-"),"-",SUM('A-17'!H189,'A-9'!I47))</f>
        <v>-</v>
      </c>
      <c r="I93" s="24">
        <f>IF(AND('A-17'!I189="-",'A-9'!K47="-"),"-",SUM('A-17'!I189,'A-9'!K47))</f>
        <v>31332.809999999998</v>
      </c>
      <c r="J93" s="17"/>
      <c r="K93" s="17"/>
    </row>
    <row r="94" spans="1:11" ht="11.25" customHeight="1">
      <c r="A94" s="99">
        <v>2018</v>
      </c>
      <c r="B94" s="24" t="str">
        <f>IF(AND('A-17'!B190="-",'A-9'!C48="-"),"-",SUM('A-17'!B190,'A-9'!C48))</f>
        <v>-</v>
      </c>
      <c r="C94" s="24" t="str">
        <f>IF(AND('A-17'!C190="-",'A-9'!D48="-"),"-",SUM('A-17'!C190,'A-9'!D48))</f>
        <v>-</v>
      </c>
      <c r="D94" s="24">
        <f>IF(AND('A-17'!D190="-",'A-9'!E48="-"),"-",SUM('A-17'!D190,'A-9'!E48))</f>
        <v>1574.55</v>
      </c>
      <c r="E94" s="24">
        <f>IF(AND('A-17'!E190="-",'A-9'!F48="-"),"-",SUM('A-17'!E190,'A-9'!F48))</f>
        <v>6937.37</v>
      </c>
      <c r="F94" s="24">
        <f>IF(AND('A-17'!F190="-",'A-9'!G48="-"),"-",SUM('A-17'!F190,'A-9'!G48))</f>
        <v>13310.5</v>
      </c>
      <c r="G94" s="24">
        <f>IF(AND('A-17'!G190="-",'A-9'!H48="-"),"-",SUM('A-17'!G190,'A-9'!H48))</f>
        <v>760.73</v>
      </c>
      <c r="H94" s="24" t="str">
        <f>IF(AND('A-17'!H190="-",'A-9'!I48="-"),"-",SUM('A-17'!H190,'A-9'!I48))</f>
        <v>-</v>
      </c>
      <c r="I94" s="24">
        <f>IF(AND('A-17'!I190="-",'A-9'!K48="-"),"-",SUM('A-17'!I190,'A-9'!K48))</f>
        <v>22583.15</v>
      </c>
      <c r="J94" s="17"/>
      <c r="K94" s="17"/>
    </row>
    <row r="95" spans="1:11" ht="11.25" customHeight="1">
      <c r="A95" s="99">
        <v>2019</v>
      </c>
      <c r="B95" s="24" t="str">
        <f>IF(AND('A-17'!B191="-",'A-9'!C49="-"),"-",SUM('A-17'!B191,'A-9'!C49))</f>
        <v>-</v>
      </c>
      <c r="C95" s="24" t="str">
        <f>IF(AND('A-17'!C191="-",'A-9'!D49="-"),"-",SUM('A-17'!C191,'A-9'!D49))</f>
        <v>-</v>
      </c>
      <c r="D95" s="24">
        <f>IF(AND('A-17'!D191="-",'A-9'!E49="-"),"-",SUM('A-17'!D191,'A-9'!E49))</f>
        <v>3730.15</v>
      </c>
      <c r="E95" s="24">
        <f>IF(AND('A-17'!E191="-",'A-9'!F49="-"),"-",SUM('A-17'!E191,'A-9'!F49))</f>
        <v>15642.04</v>
      </c>
      <c r="F95" s="24">
        <f>IF(AND('A-17'!F191="-",'A-9'!G49="-"),"-",SUM('A-17'!F191,'A-9'!G49))</f>
        <v>23531.870000000003</v>
      </c>
      <c r="G95" s="24">
        <f>IF(AND('A-17'!G191="-",'A-9'!H49="-"),"-",SUM('A-17'!G191,'A-9'!H49))</f>
        <v>1699.82</v>
      </c>
      <c r="H95" s="24" t="str">
        <f>IF(AND('A-17'!H191="-",'A-9'!I49="-"),"-",SUM('A-17'!H191,'A-9'!I49))</f>
        <v>-</v>
      </c>
      <c r="I95" s="24">
        <f>IF(AND('A-17'!I191="-",'A-9'!K49="-"),"-",SUM('A-17'!I191,'A-9'!K49))</f>
        <v>44603.880000000005</v>
      </c>
      <c r="J95" s="17"/>
      <c r="K95" s="17"/>
    </row>
    <row r="96" spans="1:11" ht="11.25" customHeight="1">
      <c r="A96" s="99">
        <v>2020</v>
      </c>
      <c r="B96" s="24" t="str">
        <f>IF(AND('A-17'!B192="-",'A-9'!C50="-"),"-",SUM('A-17'!B192,'A-9'!C50))</f>
        <v>-</v>
      </c>
      <c r="C96" s="24" t="str">
        <f>IF(AND('A-17'!C192="-",'A-9'!D50="-"),"-",SUM('A-17'!C192,'A-9'!D50))</f>
        <v>-</v>
      </c>
      <c r="D96" s="24">
        <f>IF(AND('A-17'!D192="-",'A-9'!E50="-"),"-",SUM('A-17'!D192,'A-9'!E50))</f>
        <v>695.98</v>
      </c>
      <c r="E96" s="24">
        <f>IF(AND('A-17'!E192="-",'A-9'!F50="-"),"-",SUM('A-17'!E192,'A-9'!F50))</f>
        <v>11529.54</v>
      </c>
      <c r="F96" s="24" t="str">
        <f>IF(AND('A-17'!F192="-",'A-9'!G50="-"),"-",SUM('A-17'!F192,'A-9'!G50))</f>
        <v>-</v>
      </c>
      <c r="G96" s="24" t="str">
        <f>IF(AND('A-17'!G192="-",'A-9'!H50="-"),"-",SUM('A-17'!G192,'A-9'!H50))</f>
        <v>-</v>
      </c>
      <c r="H96" s="24" t="str">
        <f>IF(AND('A-17'!H192="-",'A-9'!I50="-"),"-",SUM('A-17'!H192,'A-9'!I50))</f>
        <v>-</v>
      </c>
      <c r="I96" s="24">
        <f>IF(AND('A-17'!I192="-",'A-9'!K50="-"),"-",SUM('A-17'!I192,'A-9'!K50))</f>
        <v>12225.52</v>
      </c>
      <c r="J96" s="17"/>
      <c r="K96" s="17"/>
    </row>
    <row r="97" spans="1:11" ht="11.25" customHeight="1">
      <c r="A97" s="99" t="s">
        <v>318</v>
      </c>
      <c r="B97" s="24" t="str">
        <f>IF(AND('A-17'!B193="-",'A-9'!C51="-"),"-",SUM('A-17'!B193,'A-9'!C51))</f>
        <v>-</v>
      </c>
      <c r="C97" s="24" t="str">
        <f>IF(AND('A-17'!C193="-",'A-9'!D51="-"),"-",SUM('A-17'!C193,'A-9'!D51))</f>
        <v>-</v>
      </c>
      <c r="D97" s="24">
        <f>IF(AND('A-17'!D193="-",'A-9'!E51="-"),"-",SUM('A-17'!D193,'A-9'!E51))</f>
        <v>1634.69</v>
      </c>
      <c r="E97" s="24">
        <f>IF(AND('A-17'!E193="-",'A-9'!F51="-"),"-",SUM('A-17'!E193,'A-9'!F51))</f>
        <v>13922.99</v>
      </c>
      <c r="F97" s="24">
        <f>IF(AND('A-17'!F193="-",'A-9'!G51="-"),"-",SUM('A-17'!F193,'A-9'!G51))</f>
        <v>25782.99</v>
      </c>
      <c r="G97" s="24" t="str">
        <f>IF(AND('A-17'!G193="-",'A-9'!H51="-"),"-",SUM('A-17'!G193,'A-9'!H51))</f>
        <v>-</v>
      </c>
      <c r="H97" s="24" t="str">
        <f>IF(AND('A-17'!H193="-",'A-9'!I51="-"),"-",SUM('A-17'!H193,'A-9'!I51))</f>
        <v>-</v>
      </c>
      <c r="I97" s="24">
        <f>IF(AND('A-17'!I193="-",'A-9'!K51="-"),"-",SUM('A-17'!I193,'A-9'!K51))</f>
        <v>41340.67</v>
      </c>
      <c r="J97" s="17"/>
      <c r="K97" s="17"/>
    </row>
    <row r="98" spans="1:11" ht="11.25" customHeight="1">
      <c r="J98" s="17"/>
      <c r="K98" s="17"/>
    </row>
    <row r="99" spans="1:11" ht="11.25" customHeight="1">
      <c r="A99" s="97" t="s">
        <v>238</v>
      </c>
      <c r="J99" s="17"/>
      <c r="K99" s="17"/>
    </row>
    <row r="100" spans="1:11" ht="11.25" customHeight="1">
      <c r="A100" s="99">
        <v>1976</v>
      </c>
      <c r="B100" s="24">
        <f t="shared" ref="B100:I109" si="0">IF(AND(B52="-",B4="-"),"-",SUM(B52,B4))</f>
        <v>1025</v>
      </c>
      <c r="C100" s="24">
        <f t="shared" si="0"/>
        <v>21692</v>
      </c>
      <c r="D100" s="24">
        <f t="shared" si="0"/>
        <v>79925</v>
      </c>
      <c r="E100" s="24">
        <f t="shared" si="0"/>
        <v>176705</v>
      </c>
      <c r="F100" s="24">
        <f t="shared" si="0"/>
        <v>237137</v>
      </c>
      <c r="G100" s="24">
        <f t="shared" si="0"/>
        <v>112206</v>
      </c>
      <c r="H100" s="24">
        <f t="shared" si="0"/>
        <v>9901</v>
      </c>
      <c r="I100" s="24">
        <f t="shared" si="0"/>
        <v>638613</v>
      </c>
      <c r="J100" s="17"/>
      <c r="K100" s="17"/>
    </row>
    <row r="101" spans="1:11" ht="11.25" customHeight="1">
      <c r="A101" s="99">
        <v>1977</v>
      </c>
      <c r="B101" s="24">
        <f t="shared" si="0"/>
        <v>9015</v>
      </c>
      <c r="C101" s="24">
        <f t="shared" si="0"/>
        <v>19760</v>
      </c>
      <c r="D101" s="24">
        <f t="shared" si="0"/>
        <v>74462</v>
      </c>
      <c r="E101" s="24">
        <f t="shared" si="0"/>
        <v>152681</v>
      </c>
      <c r="F101" s="24">
        <f t="shared" si="0"/>
        <v>232185</v>
      </c>
      <c r="G101" s="24">
        <f t="shared" si="0"/>
        <v>86710</v>
      </c>
      <c r="H101" s="24">
        <f t="shared" si="0"/>
        <v>5656</v>
      </c>
      <c r="I101" s="24">
        <f t="shared" si="0"/>
        <v>580469</v>
      </c>
      <c r="J101" s="17"/>
      <c r="K101" s="17"/>
    </row>
    <row r="102" spans="1:11" ht="11.25" customHeight="1">
      <c r="A102" s="99">
        <v>1978</v>
      </c>
      <c r="B102" s="24">
        <f t="shared" si="0"/>
        <v>2910</v>
      </c>
      <c r="C102" s="24">
        <f t="shared" si="0"/>
        <v>18126</v>
      </c>
      <c r="D102" s="24">
        <f t="shared" si="0"/>
        <v>84739</v>
      </c>
      <c r="E102" s="24">
        <f t="shared" si="0"/>
        <v>166817</v>
      </c>
      <c r="F102" s="24">
        <f t="shared" si="0"/>
        <v>179839</v>
      </c>
      <c r="G102" s="24">
        <f t="shared" si="0"/>
        <v>83311</v>
      </c>
      <c r="H102" s="24">
        <f t="shared" si="0"/>
        <v>10134</v>
      </c>
      <c r="I102" s="24">
        <f t="shared" si="0"/>
        <v>545876</v>
      </c>
      <c r="J102" s="17"/>
      <c r="K102" s="17"/>
    </row>
    <row r="103" spans="1:11" ht="11.25" customHeight="1">
      <c r="A103" s="99">
        <v>1979</v>
      </c>
      <c r="B103" s="24">
        <f t="shared" si="0"/>
        <v>1347</v>
      </c>
      <c r="C103" s="24">
        <f t="shared" si="0"/>
        <v>20124</v>
      </c>
      <c r="D103" s="24">
        <f t="shared" si="0"/>
        <v>59221</v>
      </c>
      <c r="E103" s="24">
        <f t="shared" si="0"/>
        <v>120376</v>
      </c>
      <c r="F103" s="24">
        <f t="shared" si="0"/>
        <v>147420</v>
      </c>
      <c r="G103" s="24">
        <f t="shared" si="0"/>
        <v>10332</v>
      </c>
      <c r="H103" s="24">
        <f t="shared" si="0"/>
        <v>1678</v>
      </c>
      <c r="I103" s="24">
        <f t="shared" si="0"/>
        <v>360498</v>
      </c>
      <c r="J103" s="17"/>
      <c r="K103" s="17"/>
    </row>
    <row r="104" spans="1:11" ht="11.25" customHeight="1">
      <c r="A104" s="99">
        <v>1980</v>
      </c>
      <c r="B104" s="24" t="str">
        <f t="shared" si="0"/>
        <v>-</v>
      </c>
      <c r="C104" s="24">
        <f t="shared" si="0"/>
        <v>16985</v>
      </c>
      <c r="D104" s="24">
        <f t="shared" si="0"/>
        <v>62652</v>
      </c>
      <c r="E104" s="24">
        <f t="shared" si="0"/>
        <v>117768</v>
      </c>
      <c r="F104" s="24">
        <f t="shared" si="0"/>
        <v>121234</v>
      </c>
      <c r="G104" s="24">
        <f t="shared" si="0"/>
        <v>8648</v>
      </c>
      <c r="H104" s="24">
        <f t="shared" si="0"/>
        <v>30</v>
      </c>
      <c r="I104" s="24">
        <f t="shared" si="0"/>
        <v>327317</v>
      </c>
      <c r="J104" s="17"/>
      <c r="K104" s="17"/>
    </row>
    <row r="105" spans="1:11" ht="11.25" customHeight="1">
      <c r="A105" s="99">
        <v>1981</v>
      </c>
      <c r="B105" s="24">
        <f t="shared" si="0"/>
        <v>177</v>
      </c>
      <c r="C105" s="24">
        <f t="shared" si="0"/>
        <v>11717</v>
      </c>
      <c r="D105" s="24">
        <f t="shared" si="0"/>
        <v>42875</v>
      </c>
      <c r="E105" s="24">
        <f t="shared" si="0"/>
        <v>100129</v>
      </c>
      <c r="F105" s="24">
        <f t="shared" si="0"/>
        <v>117848</v>
      </c>
      <c r="G105" s="24">
        <f t="shared" si="0"/>
        <v>8297</v>
      </c>
      <c r="H105" s="24">
        <f t="shared" si="0"/>
        <v>431</v>
      </c>
      <c r="I105" s="24">
        <f t="shared" si="0"/>
        <v>281474</v>
      </c>
      <c r="J105" s="17"/>
      <c r="K105" s="17"/>
    </row>
    <row r="106" spans="1:11" ht="11.25" customHeight="1">
      <c r="A106" s="99">
        <v>1982</v>
      </c>
      <c r="B106" s="24">
        <f t="shared" si="0"/>
        <v>18</v>
      </c>
      <c r="C106" s="24">
        <f t="shared" si="0"/>
        <v>2698</v>
      </c>
      <c r="D106" s="24">
        <f t="shared" si="0"/>
        <v>46463</v>
      </c>
      <c r="E106" s="24">
        <f t="shared" si="0"/>
        <v>130216</v>
      </c>
      <c r="F106" s="24">
        <f t="shared" si="0"/>
        <v>55287</v>
      </c>
      <c r="G106" s="24">
        <f t="shared" si="0"/>
        <v>10396</v>
      </c>
      <c r="H106" s="24">
        <f t="shared" si="0"/>
        <v>834</v>
      </c>
      <c r="I106" s="24">
        <f t="shared" si="0"/>
        <v>245912</v>
      </c>
      <c r="J106" s="17"/>
      <c r="K106" s="17"/>
    </row>
    <row r="107" spans="1:11" ht="11.25" customHeight="1">
      <c r="A107" s="99">
        <v>1983</v>
      </c>
      <c r="B107" s="24">
        <f t="shared" si="0"/>
        <v>142</v>
      </c>
      <c r="C107" s="24">
        <f t="shared" si="0"/>
        <v>3193</v>
      </c>
      <c r="D107" s="24">
        <f t="shared" si="0"/>
        <v>35012</v>
      </c>
      <c r="E107" s="24">
        <f t="shared" si="0"/>
        <v>93613</v>
      </c>
      <c r="F107" s="24">
        <f t="shared" si="0"/>
        <v>84034</v>
      </c>
      <c r="G107" s="24">
        <f t="shared" si="0"/>
        <v>24480</v>
      </c>
      <c r="H107" s="24">
        <f t="shared" si="0"/>
        <v>43</v>
      </c>
      <c r="I107" s="24">
        <f t="shared" si="0"/>
        <v>240517</v>
      </c>
      <c r="J107" s="17"/>
      <c r="K107" s="17"/>
    </row>
    <row r="108" spans="1:11" ht="11.25" customHeight="1">
      <c r="A108" s="99">
        <v>1984</v>
      </c>
      <c r="B108" s="24">
        <f t="shared" si="0"/>
        <v>55</v>
      </c>
      <c r="C108" s="24">
        <f t="shared" si="0"/>
        <v>3704</v>
      </c>
      <c r="D108" s="24">
        <f t="shared" si="0"/>
        <v>0</v>
      </c>
      <c r="E108" s="24">
        <f t="shared" si="0"/>
        <v>11865</v>
      </c>
      <c r="F108" s="24">
        <f t="shared" si="0"/>
        <v>29287</v>
      </c>
      <c r="G108" s="24">
        <f t="shared" si="0"/>
        <v>179</v>
      </c>
      <c r="H108" s="24" t="str">
        <f t="shared" si="0"/>
        <v>-</v>
      </c>
      <c r="I108" s="24">
        <f t="shared" si="0"/>
        <v>45090</v>
      </c>
      <c r="J108" s="17"/>
      <c r="K108" s="17"/>
    </row>
    <row r="109" spans="1:11" ht="11.25" customHeight="1">
      <c r="A109" s="99">
        <v>1985</v>
      </c>
      <c r="B109" s="24">
        <f t="shared" si="0"/>
        <v>9</v>
      </c>
      <c r="C109" s="24">
        <f t="shared" si="0"/>
        <v>2</v>
      </c>
      <c r="D109" s="24">
        <f t="shared" si="0"/>
        <v>3678</v>
      </c>
      <c r="E109" s="24">
        <f t="shared" si="0"/>
        <v>62746</v>
      </c>
      <c r="F109" s="24">
        <f t="shared" si="0"/>
        <v>64635</v>
      </c>
      <c r="G109" s="24">
        <f t="shared" si="0"/>
        <v>3764</v>
      </c>
      <c r="H109" s="24" t="str">
        <f t="shared" si="0"/>
        <v>-</v>
      </c>
      <c r="I109" s="24">
        <f t="shared" si="0"/>
        <v>134834</v>
      </c>
      <c r="J109" s="17"/>
      <c r="K109" s="17"/>
    </row>
    <row r="110" spans="1:11" ht="11.25" customHeight="1">
      <c r="A110" s="99">
        <v>1986</v>
      </c>
      <c r="B110" s="24" t="str">
        <f t="shared" ref="B110:I119" si="1">IF(AND(B62="-",B14="-"),"-",SUM(B62,B14))</f>
        <v>-</v>
      </c>
      <c r="C110" s="24" t="str">
        <f t="shared" si="1"/>
        <v>-</v>
      </c>
      <c r="D110" s="24">
        <f t="shared" si="1"/>
        <v>4317</v>
      </c>
      <c r="E110" s="24">
        <f t="shared" si="1"/>
        <v>73558</v>
      </c>
      <c r="F110" s="24">
        <f t="shared" si="1"/>
        <v>50920</v>
      </c>
      <c r="G110" s="24">
        <f t="shared" si="1"/>
        <v>943</v>
      </c>
      <c r="H110" s="24">
        <f t="shared" si="1"/>
        <v>86</v>
      </c>
      <c r="I110" s="24">
        <f t="shared" si="1"/>
        <v>129824</v>
      </c>
      <c r="J110" s="17"/>
      <c r="K110" s="17"/>
    </row>
    <row r="111" spans="1:11" ht="11.25" customHeight="1">
      <c r="A111" s="99">
        <v>1987</v>
      </c>
      <c r="B111" s="24" t="str">
        <f t="shared" si="1"/>
        <v>-</v>
      </c>
      <c r="C111" s="24" t="str">
        <f t="shared" si="1"/>
        <v>-</v>
      </c>
      <c r="D111" s="24">
        <f t="shared" si="1"/>
        <v>4277</v>
      </c>
      <c r="E111" s="24">
        <f t="shared" si="1"/>
        <v>69158</v>
      </c>
      <c r="F111" s="24">
        <f t="shared" si="1"/>
        <v>44354</v>
      </c>
      <c r="G111" s="24">
        <f t="shared" si="1"/>
        <v>784</v>
      </c>
      <c r="H111" s="24">
        <f t="shared" si="1"/>
        <v>22</v>
      </c>
      <c r="I111" s="24">
        <f t="shared" si="1"/>
        <v>118595</v>
      </c>
      <c r="J111" s="17"/>
      <c r="K111" s="17"/>
    </row>
    <row r="112" spans="1:11" ht="11.25" customHeight="1">
      <c r="A112" s="99">
        <v>1988</v>
      </c>
      <c r="B112" s="24" t="str">
        <f t="shared" si="1"/>
        <v>-</v>
      </c>
      <c r="C112" s="24">
        <f t="shared" si="1"/>
        <v>6</v>
      </c>
      <c r="D112" s="24" t="str">
        <f t="shared" si="1"/>
        <v>-</v>
      </c>
      <c r="E112" s="24">
        <f t="shared" si="1"/>
        <v>69143</v>
      </c>
      <c r="F112" s="24">
        <f t="shared" si="1"/>
        <v>4774</v>
      </c>
      <c r="G112" s="24">
        <f t="shared" si="1"/>
        <v>651</v>
      </c>
      <c r="H112" s="24">
        <f t="shared" si="1"/>
        <v>12</v>
      </c>
      <c r="I112" s="24">
        <f t="shared" si="1"/>
        <v>74586</v>
      </c>
      <c r="J112" s="17"/>
      <c r="K112" s="17"/>
    </row>
    <row r="113" spans="1:11" ht="11.25" customHeight="1">
      <c r="A113" s="99">
        <v>1989</v>
      </c>
      <c r="B113" s="24" t="str">
        <f t="shared" si="1"/>
        <v>-</v>
      </c>
      <c r="C113" s="24">
        <f t="shared" si="1"/>
        <v>2817</v>
      </c>
      <c r="D113" s="24">
        <f t="shared" si="1"/>
        <v>6177</v>
      </c>
      <c r="E113" s="24">
        <f t="shared" si="1"/>
        <v>76971</v>
      </c>
      <c r="F113" s="24">
        <f t="shared" si="1"/>
        <v>70758</v>
      </c>
      <c r="G113" s="24">
        <f t="shared" si="1"/>
        <v>5362</v>
      </c>
      <c r="H113" s="24" t="str">
        <f t="shared" si="1"/>
        <v>-</v>
      </c>
      <c r="I113" s="24">
        <f t="shared" si="1"/>
        <v>162085</v>
      </c>
      <c r="J113" s="17"/>
      <c r="K113" s="17"/>
    </row>
    <row r="114" spans="1:11" ht="11.25" customHeight="1">
      <c r="A114" s="99">
        <v>1990</v>
      </c>
      <c r="B114" s="24" t="str">
        <f t="shared" si="1"/>
        <v>-</v>
      </c>
      <c r="C114" s="24" t="str">
        <f t="shared" si="1"/>
        <v>-</v>
      </c>
      <c r="D114" s="24">
        <f t="shared" si="1"/>
        <v>13028</v>
      </c>
      <c r="E114" s="24">
        <f t="shared" si="1"/>
        <v>84172</v>
      </c>
      <c r="F114" s="24">
        <f t="shared" si="1"/>
        <v>84339</v>
      </c>
      <c r="G114" s="24">
        <f t="shared" si="1"/>
        <v>19132</v>
      </c>
      <c r="H114" s="24" t="str">
        <f t="shared" si="1"/>
        <v>-</v>
      </c>
      <c r="I114" s="24">
        <f t="shared" si="1"/>
        <v>200671</v>
      </c>
      <c r="J114" s="17"/>
      <c r="K114" s="17"/>
    </row>
    <row r="115" spans="1:11" ht="11.25" customHeight="1">
      <c r="A115" s="99">
        <v>1991</v>
      </c>
      <c r="B115" s="24" t="str">
        <f t="shared" si="1"/>
        <v>-</v>
      </c>
      <c r="C115" s="24" t="str">
        <f t="shared" si="1"/>
        <v>-</v>
      </c>
      <c r="D115" s="24">
        <f t="shared" si="1"/>
        <v>9775</v>
      </c>
      <c r="E115" s="24">
        <f t="shared" si="1"/>
        <v>89762</v>
      </c>
      <c r="F115" s="24">
        <f t="shared" si="1"/>
        <v>38858</v>
      </c>
      <c r="G115" s="24">
        <f t="shared" si="1"/>
        <v>10439</v>
      </c>
      <c r="H115" s="24" t="str">
        <f t="shared" si="1"/>
        <v>-</v>
      </c>
      <c r="I115" s="24">
        <f t="shared" si="1"/>
        <v>148834</v>
      </c>
      <c r="J115" s="17"/>
      <c r="K115" s="17"/>
    </row>
    <row r="116" spans="1:11" ht="11.25" customHeight="1">
      <c r="A116" s="99">
        <v>1992</v>
      </c>
      <c r="B116" s="24" t="str">
        <f t="shared" si="1"/>
        <v>-</v>
      </c>
      <c r="C116" s="24">
        <f t="shared" si="1"/>
        <v>1344</v>
      </c>
      <c r="D116" s="24">
        <f t="shared" si="1"/>
        <v>0</v>
      </c>
      <c r="E116" s="24">
        <f t="shared" si="1"/>
        <v>70341</v>
      </c>
      <c r="F116" s="24">
        <f t="shared" si="1"/>
        <v>35531</v>
      </c>
      <c r="G116" s="24">
        <f t="shared" si="1"/>
        <v>13895</v>
      </c>
      <c r="H116" s="24">
        <f t="shared" si="1"/>
        <v>714</v>
      </c>
      <c r="I116" s="24">
        <f t="shared" si="1"/>
        <v>121825</v>
      </c>
      <c r="J116" s="17"/>
      <c r="K116" s="17"/>
    </row>
    <row r="117" spans="1:11" ht="11.25" customHeight="1">
      <c r="A117" s="99">
        <v>1993</v>
      </c>
      <c r="B117" s="24" t="str">
        <f t="shared" si="1"/>
        <v>-</v>
      </c>
      <c r="C117" s="24">
        <f t="shared" si="1"/>
        <v>1172</v>
      </c>
      <c r="D117" s="24" t="str">
        <f t="shared" si="1"/>
        <v>-</v>
      </c>
      <c r="E117" s="24">
        <f t="shared" si="1"/>
        <v>48941</v>
      </c>
      <c r="F117" s="24">
        <f t="shared" si="1"/>
        <v>58939</v>
      </c>
      <c r="G117" s="24">
        <f t="shared" si="1"/>
        <v>37534</v>
      </c>
      <c r="H117" s="24" t="str">
        <f t="shared" si="1"/>
        <v>-</v>
      </c>
      <c r="I117" s="24">
        <f t="shared" si="1"/>
        <v>146586</v>
      </c>
      <c r="J117" s="17"/>
      <c r="K117" s="17"/>
    </row>
    <row r="118" spans="1:11" ht="11.25" customHeight="1">
      <c r="A118" s="99">
        <v>1994</v>
      </c>
      <c r="B118" s="24" t="str">
        <f t="shared" si="1"/>
        <v>-</v>
      </c>
      <c r="C118" s="24" t="str">
        <f t="shared" si="1"/>
        <v>-</v>
      </c>
      <c r="D118" s="24" t="str">
        <f t="shared" si="1"/>
        <v>-</v>
      </c>
      <c r="E118" s="24" t="str">
        <f t="shared" si="1"/>
        <v>-</v>
      </c>
      <c r="F118" s="24" t="str">
        <f t="shared" si="1"/>
        <v>-</v>
      </c>
      <c r="G118" s="24" t="str">
        <f t="shared" si="1"/>
        <v>-</v>
      </c>
      <c r="H118" s="24" t="str">
        <f t="shared" si="1"/>
        <v>-</v>
      </c>
      <c r="I118" s="24" t="str">
        <f t="shared" si="1"/>
        <v>-</v>
      </c>
      <c r="J118" s="17"/>
      <c r="K118" s="17"/>
    </row>
    <row r="119" spans="1:11" ht="11.25" customHeight="1">
      <c r="A119" s="99">
        <v>1995</v>
      </c>
      <c r="B119" s="24" t="str">
        <f t="shared" si="1"/>
        <v>-</v>
      </c>
      <c r="C119" s="24" t="str">
        <f t="shared" si="1"/>
        <v>-</v>
      </c>
      <c r="D119" s="24" t="str">
        <f t="shared" si="1"/>
        <v>-</v>
      </c>
      <c r="E119" s="24">
        <f t="shared" si="1"/>
        <v>10955</v>
      </c>
      <c r="F119" s="24">
        <f t="shared" si="1"/>
        <v>41113</v>
      </c>
      <c r="G119" s="24">
        <f t="shared" si="1"/>
        <v>13814</v>
      </c>
      <c r="H119" s="24" t="str">
        <f t="shared" si="1"/>
        <v>-</v>
      </c>
      <c r="I119" s="24">
        <f t="shared" si="1"/>
        <v>65882</v>
      </c>
      <c r="J119" s="17"/>
      <c r="K119" s="17"/>
    </row>
    <row r="120" spans="1:11" ht="11.25" customHeight="1">
      <c r="A120" s="99">
        <v>1996</v>
      </c>
      <c r="B120" s="24" t="str">
        <f t="shared" ref="B120:I129" si="2">IF(AND(B72="-",B24="-"),"-",SUM(B72,B24))</f>
        <v>-</v>
      </c>
      <c r="C120" s="24" t="str">
        <f t="shared" si="2"/>
        <v>-</v>
      </c>
      <c r="D120" s="24" t="str">
        <f t="shared" si="2"/>
        <v>-</v>
      </c>
      <c r="E120" s="24">
        <f t="shared" si="2"/>
        <v>8673</v>
      </c>
      <c r="F120" s="24">
        <f t="shared" si="2"/>
        <v>32732</v>
      </c>
      <c r="G120" s="24">
        <f t="shared" si="2"/>
        <v>7479</v>
      </c>
      <c r="H120" s="24" t="str">
        <f t="shared" si="2"/>
        <v>-</v>
      </c>
      <c r="I120" s="24">
        <f t="shared" si="2"/>
        <v>48884</v>
      </c>
      <c r="J120" s="17"/>
      <c r="K120" s="17"/>
    </row>
    <row r="121" spans="1:11" ht="11.25" customHeight="1">
      <c r="A121" s="99">
        <v>1997</v>
      </c>
      <c r="B121" s="24" t="str">
        <f t="shared" si="2"/>
        <v>-</v>
      </c>
      <c r="C121" s="24" t="str">
        <f t="shared" si="2"/>
        <v>-</v>
      </c>
      <c r="D121" s="24" t="str">
        <f t="shared" si="2"/>
        <v>-</v>
      </c>
      <c r="E121" s="24">
        <f t="shared" si="2"/>
        <v>19122</v>
      </c>
      <c r="F121" s="24">
        <f t="shared" si="2"/>
        <v>13008</v>
      </c>
      <c r="G121" s="24">
        <f t="shared" si="2"/>
        <v>1171</v>
      </c>
      <c r="H121" s="24" t="str">
        <f t="shared" si="2"/>
        <v>-</v>
      </c>
      <c r="I121" s="24">
        <f t="shared" si="2"/>
        <v>33301</v>
      </c>
      <c r="J121" s="17"/>
      <c r="K121" s="17"/>
    </row>
    <row r="122" spans="1:11" ht="11.25" customHeight="1">
      <c r="A122" s="99">
        <v>1998</v>
      </c>
      <c r="B122" s="24" t="str">
        <f t="shared" si="2"/>
        <v>-</v>
      </c>
      <c r="C122" s="24" t="str">
        <f t="shared" si="2"/>
        <v>-</v>
      </c>
      <c r="D122" s="24" t="str">
        <f t="shared" si="2"/>
        <v>-</v>
      </c>
      <c r="E122" s="24" t="str">
        <f t="shared" si="2"/>
        <v>-</v>
      </c>
      <c r="F122" s="24">
        <f t="shared" si="2"/>
        <v>20120</v>
      </c>
      <c r="G122" s="24">
        <f t="shared" si="2"/>
        <v>1647</v>
      </c>
      <c r="H122" s="24" t="str">
        <f t="shared" si="2"/>
        <v>-</v>
      </c>
      <c r="I122" s="24">
        <f t="shared" si="2"/>
        <v>21767</v>
      </c>
      <c r="J122" s="17"/>
      <c r="K122" s="17"/>
    </row>
    <row r="123" spans="1:11" ht="11.25" customHeight="1">
      <c r="A123" s="99">
        <v>1999</v>
      </c>
      <c r="B123" s="24" t="str">
        <f t="shared" si="2"/>
        <v>-</v>
      </c>
      <c r="C123" s="24" t="str">
        <f t="shared" si="2"/>
        <v>-</v>
      </c>
      <c r="D123" s="24" t="str">
        <f t="shared" si="2"/>
        <v>-</v>
      </c>
      <c r="E123" s="24">
        <f t="shared" si="2"/>
        <v>15421</v>
      </c>
      <c r="F123" s="24">
        <f t="shared" si="2"/>
        <v>29393</v>
      </c>
      <c r="G123" s="24">
        <f t="shared" si="2"/>
        <v>13377</v>
      </c>
      <c r="H123" s="24" t="str">
        <f t="shared" si="2"/>
        <v>-</v>
      </c>
      <c r="I123" s="24">
        <f t="shared" si="2"/>
        <v>58191</v>
      </c>
      <c r="J123" s="17"/>
      <c r="K123" s="17"/>
    </row>
    <row r="124" spans="1:11" ht="11.25" customHeight="1">
      <c r="A124" s="99">
        <v>2000</v>
      </c>
      <c r="B124" s="24" t="str">
        <f t="shared" si="2"/>
        <v>-</v>
      </c>
      <c r="C124" s="24" t="str">
        <f t="shared" si="2"/>
        <v>-</v>
      </c>
      <c r="D124" s="24" t="str">
        <f t="shared" si="2"/>
        <v>-</v>
      </c>
      <c r="E124" s="24">
        <f t="shared" si="2"/>
        <v>29392</v>
      </c>
      <c r="F124" s="24">
        <f t="shared" si="2"/>
        <v>26324</v>
      </c>
      <c r="G124" s="24">
        <f t="shared" si="2"/>
        <v>1646</v>
      </c>
      <c r="H124" s="24" t="str">
        <f t="shared" si="2"/>
        <v>-</v>
      </c>
      <c r="I124" s="24">
        <f t="shared" si="2"/>
        <v>57362</v>
      </c>
      <c r="J124" s="17"/>
      <c r="K124" s="17"/>
    </row>
    <row r="125" spans="1:11" ht="11.25" customHeight="1">
      <c r="A125" s="99">
        <v>2001</v>
      </c>
      <c r="B125" s="24" t="str">
        <f t="shared" si="2"/>
        <v>-</v>
      </c>
      <c r="C125" s="24" t="str">
        <f t="shared" si="2"/>
        <v>-</v>
      </c>
      <c r="D125" s="24" t="str">
        <f t="shared" si="2"/>
        <v>-</v>
      </c>
      <c r="E125" s="24">
        <f t="shared" si="2"/>
        <v>66841</v>
      </c>
      <c r="F125" s="24">
        <f t="shared" si="2"/>
        <v>61921</v>
      </c>
      <c r="G125" s="24">
        <f t="shared" si="2"/>
        <v>20642</v>
      </c>
      <c r="H125" s="24">
        <f t="shared" si="2"/>
        <v>239</v>
      </c>
      <c r="I125" s="24">
        <f t="shared" si="2"/>
        <v>149643</v>
      </c>
      <c r="J125" s="17"/>
      <c r="K125" s="17"/>
    </row>
    <row r="126" spans="1:11" ht="11.25" customHeight="1">
      <c r="A126" s="99">
        <v>2002</v>
      </c>
      <c r="B126" s="24" t="str">
        <f t="shared" si="2"/>
        <v>-</v>
      </c>
      <c r="C126" s="24">
        <f t="shared" si="2"/>
        <v>2866</v>
      </c>
      <c r="D126" s="24">
        <f t="shared" si="2"/>
        <v>15275</v>
      </c>
      <c r="E126" s="24">
        <f t="shared" si="2"/>
        <v>34397</v>
      </c>
      <c r="F126" s="24">
        <f t="shared" si="2"/>
        <v>43670</v>
      </c>
      <c r="G126" s="24">
        <f t="shared" si="2"/>
        <v>10891</v>
      </c>
      <c r="H126" s="24">
        <f t="shared" si="2"/>
        <v>119</v>
      </c>
      <c r="I126" s="24">
        <f t="shared" si="2"/>
        <v>107218</v>
      </c>
      <c r="J126" s="17"/>
      <c r="K126" s="17"/>
    </row>
    <row r="127" spans="1:11" ht="11.25" customHeight="1">
      <c r="A127" s="99">
        <v>2003</v>
      </c>
      <c r="B127" s="24" t="str">
        <f t="shared" si="2"/>
        <v>-</v>
      </c>
      <c r="C127" s="24" t="str">
        <f t="shared" si="2"/>
        <v>-</v>
      </c>
      <c r="D127" s="24">
        <f t="shared" si="2"/>
        <v>6500</v>
      </c>
      <c r="E127" s="24">
        <f t="shared" si="2"/>
        <v>52938</v>
      </c>
      <c r="F127" s="24">
        <f t="shared" si="2"/>
        <v>70092</v>
      </c>
      <c r="G127" s="24">
        <f t="shared" si="2"/>
        <v>14435</v>
      </c>
      <c r="H127" s="24">
        <f t="shared" si="2"/>
        <v>128</v>
      </c>
      <c r="I127" s="24">
        <f t="shared" si="2"/>
        <v>144093</v>
      </c>
      <c r="J127" s="17"/>
      <c r="K127" s="17"/>
    </row>
    <row r="128" spans="1:11" ht="11.25" customHeight="1">
      <c r="A128" s="99">
        <v>2004</v>
      </c>
      <c r="B128" s="24" t="str">
        <f t="shared" si="2"/>
        <v>-</v>
      </c>
      <c r="C128" s="24" t="str">
        <f t="shared" si="2"/>
        <v>-</v>
      </c>
      <c r="D128" s="24">
        <f t="shared" si="2"/>
        <v>2866</v>
      </c>
      <c r="E128" s="24">
        <f t="shared" si="2"/>
        <v>48043</v>
      </c>
      <c r="F128" s="24">
        <f t="shared" si="2"/>
        <v>61911</v>
      </c>
      <c r="G128" s="24">
        <f t="shared" si="2"/>
        <v>18457</v>
      </c>
      <c r="H128" s="24">
        <f t="shared" si="2"/>
        <v>20</v>
      </c>
      <c r="I128" s="24">
        <f t="shared" si="2"/>
        <v>131297</v>
      </c>
      <c r="J128" s="17"/>
      <c r="K128" s="17"/>
    </row>
    <row r="129" spans="1:11" ht="11.25" customHeight="1">
      <c r="A129" s="99">
        <v>2005</v>
      </c>
      <c r="B129" s="24" t="str">
        <f t="shared" si="2"/>
        <v>-</v>
      </c>
      <c r="C129" s="24" t="str">
        <f t="shared" si="2"/>
        <v>-</v>
      </c>
      <c r="D129" s="24">
        <f t="shared" si="2"/>
        <v>1119</v>
      </c>
      <c r="E129" s="24">
        <f t="shared" si="2"/>
        <v>34204.744915506744</v>
      </c>
      <c r="F129" s="24">
        <f t="shared" si="2"/>
        <v>49587.536814377017</v>
      </c>
      <c r="G129" s="24">
        <f t="shared" si="2"/>
        <v>18786.195099939279</v>
      </c>
      <c r="H129" s="24">
        <f t="shared" si="2"/>
        <v>160</v>
      </c>
      <c r="I129" s="24">
        <f t="shared" si="2"/>
        <v>103857.47682982305</v>
      </c>
      <c r="J129" s="17"/>
      <c r="K129" s="17"/>
    </row>
    <row r="130" spans="1:11" ht="11.25" customHeight="1">
      <c r="A130" s="99">
        <v>2006</v>
      </c>
      <c r="B130" s="24" t="str">
        <f t="shared" ref="B130:I130" si="3">IF(AND(B82="-",B34="-"),"-",SUM(B82,B34))</f>
        <v>-</v>
      </c>
      <c r="C130" s="24" t="str">
        <f t="shared" si="3"/>
        <v>-</v>
      </c>
      <c r="D130" s="24">
        <f t="shared" si="3"/>
        <v>1118.93</v>
      </c>
      <c r="E130" s="24">
        <f t="shared" si="3"/>
        <v>23937.210000000003</v>
      </c>
      <c r="F130" s="24">
        <f t="shared" si="3"/>
        <v>41927.550000000003</v>
      </c>
      <c r="G130" s="24">
        <f t="shared" si="3"/>
        <v>6262.95</v>
      </c>
      <c r="H130" s="24">
        <f t="shared" si="3"/>
        <v>258.35000000000002</v>
      </c>
      <c r="I130" s="24">
        <f t="shared" si="3"/>
        <v>73504.990000000005</v>
      </c>
      <c r="J130" s="17"/>
      <c r="K130" s="17"/>
    </row>
    <row r="131" spans="1:11" ht="11.25" customHeight="1">
      <c r="A131" s="99">
        <v>2007</v>
      </c>
      <c r="B131" s="24" t="str">
        <f t="shared" ref="B131:I131" si="4">IF(AND(B83="-",B35="-"),"-",SUM(B83,B35))</f>
        <v>-</v>
      </c>
      <c r="C131" s="24" t="str">
        <f t="shared" si="4"/>
        <v>-</v>
      </c>
      <c r="D131" s="24" t="str">
        <f t="shared" si="4"/>
        <v>-</v>
      </c>
      <c r="E131" s="24">
        <f t="shared" si="4"/>
        <v>27515.5</v>
      </c>
      <c r="F131" s="24">
        <f t="shared" si="4"/>
        <v>50713.65</v>
      </c>
      <c r="G131" s="24">
        <f t="shared" si="4"/>
        <v>6839.76</v>
      </c>
      <c r="H131" s="24">
        <f t="shared" si="4"/>
        <v>0</v>
      </c>
      <c r="I131" s="24">
        <f t="shared" si="4"/>
        <v>85068.91</v>
      </c>
      <c r="J131" s="17"/>
      <c r="K131" s="17"/>
    </row>
    <row r="132" spans="1:11" ht="11.25" customHeight="1">
      <c r="A132" s="99">
        <v>2008</v>
      </c>
      <c r="B132" s="24" t="str">
        <f t="shared" ref="B132:I132" si="5">IF(AND(B84="-",B36="-"),"-",SUM(B84,B36))</f>
        <v>-</v>
      </c>
      <c r="C132" s="24">
        <f t="shared" si="5"/>
        <v>66</v>
      </c>
      <c r="D132" s="24">
        <f t="shared" si="5"/>
        <v>5282.36</v>
      </c>
      <c r="E132" s="24">
        <f t="shared" si="5"/>
        <v>17772.940000000002</v>
      </c>
      <c r="F132" s="24">
        <f t="shared" si="5"/>
        <v>15541.650000000001</v>
      </c>
      <c r="G132" s="24">
        <f t="shared" si="5"/>
        <v>2563.7800000000002</v>
      </c>
      <c r="H132" s="24">
        <f t="shared" si="5"/>
        <v>37.5</v>
      </c>
      <c r="I132" s="24">
        <f t="shared" si="5"/>
        <v>41264.229999999996</v>
      </c>
      <c r="J132" s="17"/>
      <c r="K132" s="17"/>
    </row>
    <row r="133" spans="1:11" ht="11.25" customHeight="1">
      <c r="A133" s="99">
        <v>2009</v>
      </c>
      <c r="B133" s="24" t="str">
        <f t="shared" ref="B133:I133" si="6">IF(AND(B85="-",B37="-"),"-",SUM(B85,B37))</f>
        <v>-</v>
      </c>
      <c r="C133" s="24" t="str">
        <f t="shared" si="6"/>
        <v>-</v>
      </c>
      <c r="D133" s="24">
        <f t="shared" si="6"/>
        <v>1382.19</v>
      </c>
      <c r="E133" s="24">
        <f t="shared" si="6"/>
        <v>34084</v>
      </c>
      <c r="F133" s="24">
        <f t="shared" si="6"/>
        <v>68889.489999999991</v>
      </c>
      <c r="G133" s="24">
        <f t="shared" si="6"/>
        <v>9241.9500000000007</v>
      </c>
      <c r="H133" s="24">
        <f t="shared" si="6"/>
        <v>212.42</v>
      </c>
      <c r="I133" s="24">
        <f t="shared" si="6"/>
        <v>113810.04999999999</v>
      </c>
      <c r="J133" s="17"/>
      <c r="K133" s="17"/>
    </row>
    <row r="134" spans="1:11" ht="11.25" customHeight="1">
      <c r="A134" s="99">
        <v>2010</v>
      </c>
      <c r="B134" s="24" t="str">
        <f t="shared" ref="B134:I134" si="7">IF(AND(B86="-",B38="-"),"-",SUM(B86,B38))</f>
        <v>-</v>
      </c>
      <c r="C134" s="24" t="str">
        <f t="shared" si="7"/>
        <v>-</v>
      </c>
      <c r="D134" s="24">
        <f t="shared" si="7"/>
        <v>10313.859999999999</v>
      </c>
      <c r="E134" s="24">
        <f t="shared" si="7"/>
        <v>27756.61</v>
      </c>
      <c r="F134" s="24">
        <f t="shared" si="7"/>
        <v>43891.78</v>
      </c>
      <c r="G134" s="24">
        <f t="shared" si="7"/>
        <v>9092.2800000000007</v>
      </c>
      <c r="H134" s="24">
        <f t="shared" si="7"/>
        <v>153.97</v>
      </c>
      <c r="I134" s="24">
        <f t="shared" si="7"/>
        <v>91208.5</v>
      </c>
      <c r="J134" s="17"/>
      <c r="K134" s="17"/>
    </row>
    <row r="135" spans="1:11" ht="11.25" customHeight="1">
      <c r="A135" s="99">
        <v>2011</v>
      </c>
      <c r="B135" s="24" t="str">
        <f t="shared" ref="B135:I135" si="8">IF(AND(B87="-",B39="-"),"-",SUM(B87,B39))</f>
        <v>-</v>
      </c>
      <c r="C135" s="24" t="str">
        <f t="shared" si="8"/>
        <v>-</v>
      </c>
      <c r="D135" s="24">
        <f t="shared" si="8"/>
        <v>6669.57</v>
      </c>
      <c r="E135" s="24">
        <f t="shared" si="8"/>
        <v>24094.41</v>
      </c>
      <c r="F135" s="24">
        <f t="shared" si="8"/>
        <v>40949.93</v>
      </c>
      <c r="G135" s="24">
        <f t="shared" si="8"/>
        <v>9249.2799999999988</v>
      </c>
      <c r="H135" s="24">
        <f t="shared" si="8"/>
        <v>16.05</v>
      </c>
      <c r="I135" s="24">
        <f t="shared" si="8"/>
        <v>80979.239999999991</v>
      </c>
      <c r="J135" s="17"/>
      <c r="K135" s="17"/>
    </row>
    <row r="136" spans="1:11" ht="11.25" customHeight="1">
      <c r="A136" s="99">
        <v>2012</v>
      </c>
      <c r="B136" s="24" t="str">
        <f t="shared" ref="B136:I136" si="9">IF(AND(B88="-",B40="-"),"-",SUM(B88,B40))</f>
        <v>-</v>
      </c>
      <c r="C136" s="24" t="str">
        <f t="shared" si="9"/>
        <v>-</v>
      </c>
      <c r="D136" s="24">
        <f t="shared" si="9"/>
        <v>12272.460000000001</v>
      </c>
      <c r="E136" s="24">
        <f t="shared" si="9"/>
        <v>24831.739999999998</v>
      </c>
      <c r="F136" s="24">
        <f t="shared" si="9"/>
        <v>31276.38</v>
      </c>
      <c r="G136" s="24">
        <f t="shared" si="9"/>
        <v>13762.880000000001</v>
      </c>
      <c r="H136" s="24">
        <f t="shared" si="9"/>
        <v>353.11</v>
      </c>
      <c r="I136" s="24">
        <f t="shared" si="9"/>
        <v>82496.570000000007</v>
      </c>
      <c r="J136" s="17"/>
      <c r="K136" s="17"/>
    </row>
    <row r="137" spans="1:11" ht="11.25" customHeight="1">
      <c r="A137" s="99">
        <v>2013</v>
      </c>
      <c r="B137" s="24" t="str">
        <f t="shared" ref="B137:I137" si="10">IF(AND(B89="-",B41="-"),"-",SUM(B89,B41))</f>
        <v>-</v>
      </c>
      <c r="C137" s="24">
        <f t="shared" si="10"/>
        <v>950.86</v>
      </c>
      <c r="D137" s="24">
        <f t="shared" si="10"/>
        <v>13408.9</v>
      </c>
      <c r="E137" s="24">
        <f t="shared" si="10"/>
        <v>22172.87</v>
      </c>
      <c r="F137" s="24">
        <f t="shared" si="10"/>
        <v>40239.81</v>
      </c>
      <c r="G137" s="24">
        <f t="shared" si="10"/>
        <v>9139.94</v>
      </c>
      <c r="H137" s="24">
        <f t="shared" si="10"/>
        <v>237.41</v>
      </c>
      <c r="I137" s="24">
        <f t="shared" si="10"/>
        <v>86149.790000000008</v>
      </c>
      <c r="J137" s="17"/>
      <c r="K137" s="17"/>
    </row>
    <row r="138" spans="1:11" ht="11.25" customHeight="1">
      <c r="A138" s="99">
        <v>2014</v>
      </c>
      <c r="B138" s="24" t="str">
        <f t="shared" ref="B138:I138" si="11">IF(AND(B90="-",B42="-"),"-",SUM(B90,B42))</f>
        <v>-</v>
      </c>
      <c r="C138" s="24">
        <f t="shared" si="11"/>
        <v>1720.4199999999998</v>
      </c>
      <c r="D138" s="24">
        <f t="shared" si="11"/>
        <v>13613.91</v>
      </c>
      <c r="E138" s="24">
        <f t="shared" si="11"/>
        <v>43413.29</v>
      </c>
      <c r="F138" s="24">
        <f t="shared" si="11"/>
        <v>53288.83</v>
      </c>
      <c r="G138" s="24">
        <f t="shared" si="11"/>
        <v>19471.050000000003</v>
      </c>
      <c r="H138" s="24">
        <f t="shared" si="11"/>
        <v>364.82</v>
      </c>
      <c r="I138" s="24">
        <f t="shared" si="11"/>
        <v>131872.32000000001</v>
      </c>
      <c r="J138" s="17"/>
      <c r="K138" s="17"/>
    </row>
    <row r="139" spans="1:11" ht="11.25" customHeight="1">
      <c r="A139" s="99">
        <v>2015</v>
      </c>
      <c r="B139" s="24" t="str">
        <f t="shared" ref="B139:I139" si="12">IF(AND(B91="-",B43="-"),"-",SUM(B91,B43))</f>
        <v>-</v>
      </c>
      <c r="C139" s="24">
        <f t="shared" si="12"/>
        <v>1709.96</v>
      </c>
      <c r="D139" s="24">
        <f t="shared" si="12"/>
        <v>12019.32</v>
      </c>
      <c r="E139" s="24">
        <f t="shared" si="12"/>
        <v>40021.919999999998</v>
      </c>
      <c r="F139" s="24">
        <f t="shared" si="12"/>
        <v>34154.82</v>
      </c>
      <c r="G139" s="24">
        <f t="shared" si="12"/>
        <v>17537.28</v>
      </c>
      <c r="H139" s="24">
        <f t="shared" si="12"/>
        <v>300.16000000000003</v>
      </c>
      <c r="I139" s="24">
        <f t="shared" si="12"/>
        <v>105743.45999999999</v>
      </c>
      <c r="J139" s="17"/>
      <c r="K139" s="17"/>
    </row>
    <row r="140" spans="1:11" ht="11.25" customHeight="1">
      <c r="A140" s="99">
        <v>2016</v>
      </c>
      <c r="B140" s="24" t="str">
        <f t="shared" ref="B140:I140" si="13">IF(AND(B92="-",B44="-"),"-",SUM(B92,B44))</f>
        <v>-</v>
      </c>
      <c r="C140" s="24" t="str">
        <f t="shared" si="13"/>
        <v>-</v>
      </c>
      <c r="D140" s="24" t="str">
        <f t="shared" si="13"/>
        <v>-</v>
      </c>
      <c r="E140" s="24">
        <f t="shared" si="13"/>
        <v>27378.379999999997</v>
      </c>
      <c r="F140" s="24">
        <f t="shared" si="13"/>
        <v>28390.250000000004</v>
      </c>
      <c r="G140" s="24" t="str">
        <f t="shared" si="13"/>
        <v>-</v>
      </c>
      <c r="H140" s="24" t="str">
        <f t="shared" si="13"/>
        <v>-</v>
      </c>
      <c r="I140" s="24">
        <f t="shared" si="13"/>
        <v>55768.63</v>
      </c>
      <c r="J140" s="17"/>
      <c r="K140" s="17"/>
    </row>
    <row r="141" spans="1:11" ht="11.25" customHeight="1">
      <c r="A141" s="99">
        <v>2017</v>
      </c>
      <c r="B141" s="24" t="str">
        <f t="shared" ref="B141:I141" si="14">IF(AND(B93="-",B45="-"),"-",SUM(B93,B45))</f>
        <v>-</v>
      </c>
      <c r="C141" s="24" t="str">
        <f t="shared" si="14"/>
        <v>-</v>
      </c>
      <c r="D141" s="24">
        <f t="shared" si="14"/>
        <v>1443.64</v>
      </c>
      <c r="E141" s="24">
        <f t="shared" si="14"/>
        <v>32785.040000000001</v>
      </c>
      <c r="F141" s="24">
        <f t="shared" si="14"/>
        <v>34950.269999999997</v>
      </c>
      <c r="G141" s="24">
        <f t="shared" si="14"/>
        <v>841.76</v>
      </c>
      <c r="H141" s="24" t="str">
        <f t="shared" si="14"/>
        <v>-</v>
      </c>
      <c r="I141" s="24">
        <f t="shared" si="14"/>
        <v>70020.709999999992</v>
      </c>
      <c r="J141" s="17"/>
      <c r="K141" s="17"/>
    </row>
    <row r="142" spans="1:11" ht="11.25" customHeight="1">
      <c r="A142" s="99">
        <v>2018</v>
      </c>
      <c r="B142" s="24" t="str">
        <f t="shared" ref="B142:I142" si="15">IF(AND(B94="-",B46="-"),"-",SUM(B94,B46))</f>
        <v>-</v>
      </c>
      <c r="C142" s="24" t="str">
        <f t="shared" si="15"/>
        <v>-</v>
      </c>
      <c r="D142" s="24">
        <f t="shared" si="15"/>
        <v>2823.55</v>
      </c>
      <c r="E142" s="24">
        <f t="shared" si="15"/>
        <v>21345.309999999998</v>
      </c>
      <c r="F142" s="24">
        <f t="shared" si="15"/>
        <v>30327.200000000001</v>
      </c>
      <c r="G142" s="24">
        <f t="shared" si="15"/>
        <v>1171.08</v>
      </c>
      <c r="H142" s="24" t="str">
        <f t="shared" si="15"/>
        <v>-</v>
      </c>
      <c r="I142" s="24">
        <f t="shared" si="15"/>
        <v>55667.14</v>
      </c>
      <c r="J142" s="17"/>
      <c r="K142" s="17"/>
    </row>
    <row r="143" spans="1:11" ht="11.25" customHeight="1">
      <c r="A143" s="99">
        <v>2019</v>
      </c>
      <c r="B143" s="24" t="str">
        <f t="shared" ref="B143:I143" si="16">IF(AND(B95="-",B47="-"),"-",SUM(B95,B47))</f>
        <v>-</v>
      </c>
      <c r="C143" s="24" t="str">
        <f t="shared" si="16"/>
        <v>-</v>
      </c>
      <c r="D143" s="24">
        <f t="shared" si="16"/>
        <v>7984.6299999999992</v>
      </c>
      <c r="E143" s="24">
        <f t="shared" si="16"/>
        <v>31145.33</v>
      </c>
      <c r="F143" s="24">
        <f t="shared" si="16"/>
        <v>36810.590000000004</v>
      </c>
      <c r="G143" s="24">
        <f t="shared" si="16"/>
        <v>4181.43</v>
      </c>
      <c r="H143" s="24">
        <f t="shared" si="16"/>
        <v>239.57</v>
      </c>
      <c r="I143" s="24">
        <f t="shared" si="16"/>
        <v>80361.55</v>
      </c>
      <c r="J143" s="17"/>
      <c r="K143" s="17"/>
    </row>
    <row r="144" spans="1:11" ht="11.25" customHeight="1">
      <c r="A144" s="99">
        <v>2020</v>
      </c>
      <c r="B144" s="24" t="str">
        <f t="shared" ref="B144:I145" si="17">IF(AND(B96="-",B48="-"),"-",SUM(B96,B48))</f>
        <v>-</v>
      </c>
      <c r="C144" s="24" t="str">
        <f t="shared" si="17"/>
        <v>-</v>
      </c>
      <c r="D144" s="24">
        <f t="shared" si="17"/>
        <v>2694.92</v>
      </c>
      <c r="E144" s="24">
        <f t="shared" si="17"/>
        <v>24183.200000000001</v>
      </c>
      <c r="F144" s="24">
        <f t="shared" si="17"/>
        <v>7118.7699999999995</v>
      </c>
      <c r="G144" s="24">
        <f t="shared" si="17"/>
        <v>3340.91</v>
      </c>
      <c r="H144" s="24" t="str">
        <f t="shared" si="17"/>
        <v>-</v>
      </c>
      <c r="I144" s="24">
        <f t="shared" si="17"/>
        <v>37337.800000000003</v>
      </c>
      <c r="J144" s="17"/>
      <c r="K144" s="17"/>
    </row>
    <row r="145" spans="1:11" ht="11.25" customHeight="1">
      <c r="A145" s="99" t="s">
        <v>318</v>
      </c>
      <c r="B145" s="25" t="str">
        <f t="shared" si="17"/>
        <v>-</v>
      </c>
      <c r="C145" s="25" t="str">
        <f t="shared" si="17"/>
        <v>-</v>
      </c>
      <c r="D145" s="25">
        <f t="shared" si="17"/>
        <v>5326.35</v>
      </c>
      <c r="E145" s="25">
        <f t="shared" si="17"/>
        <v>30706.689999999995</v>
      </c>
      <c r="F145" s="25">
        <f t="shared" si="17"/>
        <v>37953.490000000005</v>
      </c>
      <c r="G145" s="25">
        <f t="shared" si="17"/>
        <v>4768.3500000000004</v>
      </c>
      <c r="H145" s="25" t="str">
        <f t="shared" si="17"/>
        <v>-</v>
      </c>
      <c r="I145" s="25">
        <f t="shared" si="17"/>
        <v>78754.880000000005</v>
      </c>
      <c r="J145" s="17"/>
      <c r="K145" s="17"/>
    </row>
    <row r="146" spans="1:11" ht="11.25" customHeight="1">
      <c r="A146" s="342" t="s">
        <v>88</v>
      </c>
      <c r="B146" s="342"/>
      <c r="C146" s="342"/>
      <c r="D146" s="342"/>
      <c r="E146" s="342"/>
      <c r="F146" s="342"/>
      <c r="G146" s="342"/>
      <c r="H146" s="342"/>
      <c r="I146" s="342"/>
    </row>
    <row r="147" spans="1:11" ht="11.25" customHeight="1">
      <c r="A147" s="281"/>
      <c r="B147" s="281"/>
      <c r="C147" s="281"/>
      <c r="D147" s="281"/>
      <c r="E147" s="281"/>
      <c r="F147" s="281"/>
      <c r="G147" s="281"/>
      <c r="H147" s="281"/>
      <c r="I147" s="281"/>
    </row>
    <row r="148" spans="1:11" ht="11.25" customHeight="1">
      <c r="A148" s="281" t="s">
        <v>0</v>
      </c>
      <c r="B148" s="281"/>
      <c r="C148" s="281"/>
      <c r="D148" s="281"/>
      <c r="E148" s="281"/>
      <c r="F148" s="281"/>
      <c r="G148" s="281"/>
      <c r="H148" s="281"/>
      <c r="I148" s="281"/>
    </row>
    <row r="149" spans="1:11" ht="11.25" customHeight="1">
      <c r="A149" s="281" t="s">
        <v>126</v>
      </c>
      <c r="B149" s="281"/>
      <c r="C149" s="281"/>
      <c r="D149" s="281"/>
      <c r="E149" s="281"/>
      <c r="F149" s="281"/>
      <c r="G149" s="281"/>
      <c r="H149" s="281"/>
      <c r="I149" s="281"/>
    </row>
    <row r="150" spans="1:11" ht="11.25" customHeight="1">
      <c r="A150" s="287" t="s">
        <v>40</v>
      </c>
      <c r="B150" s="287"/>
      <c r="C150" s="287"/>
      <c r="D150" s="287"/>
      <c r="E150" s="287"/>
      <c r="F150" s="287"/>
      <c r="G150" s="287"/>
      <c r="H150" s="287"/>
      <c r="I150" s="287"/>
    </row>
    <row r="151" spans="1:11" ht="11.25" customHeight="1">
      <c r="A151" s="226"/>
      <c r="B151" s="50"/>
      <c r="C151" s="50"/>
      <c r="D151" s="50"/>
      <c r="E151" s="50"/>
      <c r="F151" s="50"/>
      <c r="G151" s="50"/>
      <c r="H151" s="50"/>
      <c r="I151" s="50"/>
    </row>
    <row r="152" spans="1:11" ht="11.25" customHeight="1">
      <c r="A152" s="226"/>
      <c r="B152" s="50"/>
      <c r="C152" s="50"/>
      <c r="D152" s="50"/>
      <c r="E152" s="50"/>
      <c r="F152" s="50"/>
      <c r="G152" s="50"/>
      <c r="H152" s="50"/>
      <c r="I152" s="50"/>
    </row>
    <row r="153" spans="1:11" ht="11.25" customHeight="1"/>
    <row r="154" spans="1:11" ht="11.25" customHeight="1"/>
    <row r="155" spans="1:11" ht="11.25" customHeight="1"/>
    <row r="156" spans="1:11" ht="11.25" customHeight="1"/>
    <row r="157" spans="1:11" ht="11.25" customHeight="1"/>
    <row r="158" spans="1:11" ht="11.25" customHeight="1"/>
    <row r="159" spans="1:11" ht="11.25" customHeight="1"/>
    <row r="160" spans="1:11" ht="11.25" customHeight="1"/>
    <row r="161" spans="1:9" ht="11.25" customHeight="1"/>
    <row r="162" spans="1:9" ht="11.25" customHeight="1">
      <c r="A162" s="158"/>
      <c r="B162" s="160"/>
      <c r="C162" s="160"/>
      <c r="D162" s="160"/>
      <c r="E162" s="160"/>
      <c r="F162" s="160"/>
      <c r="G162" s="160"/>
      <c r="H162" s="160"/>
      <c r="I162" s="160"/>
    </row>
    <row r="163" spans="1:9" ht="11.25" customHeight="1"/>
    <row r="164" spans="1:9" ht="11.25" customHeight="1"/>
    <row r="165" spans="1:9" ht="11.25" customHeight="1">
      <c r="A165" s="327" t="s">
        <v>267</v>
      </c>
      <c r="B165" s="327"/>
      <c r="C165" s="327"/>
      <c r="D165" s="327"/>
      <c r="E165" s="327"/>
      <c r="F165" s="327"/>
      <c r="G165" s="327"/>
      <c r="H165" s="327"/>
      <c r="I165" s="327"/>
    </row>
    <row r="166" spans="1:9" ht="11.25" customHeight="1">
      <c r="A166" s="98" t="s">
        <v>27</v>
      </c>
      <c r="B166" s="196" t="s">
        <v>28</v>
      </c>
      <c r="C166" s="196" t="s">
        <v>29</v>
      </c>
      <c r="D166" s="196" t="s">
        <v>30</v>
      </c>
      <c r="E166" s="196" t="s">
        <v>31</v>
      </c>
      <c r="F166" s="196" t="s">
        <v>32</v>
      </c>
      <c r="G166" s="196" t="s">
        <v>33</v>
      </c>
      <c r="H166" s="196" t="s">
        <v>34</v>
      </c>
      <c r="I166" s="133" t="s">
        <v>219</v>
      </c>
    </row>
    <row r="167" spans="1:9">
      <c r="A167" s="102" t="s">
        <v>237</v>
      </c>
      <c r="B167" s="89"/>
      <c r="C167" s="89"/>
      <c r="D167" s="24"/>
      <c r="E167" s="24"/>
      <c r="F167" s="24"/>
      <c r="G167" s="24"/>
      <c r="H167" s="24"/>
      <c r="I167" s="24"/>
    </row>
    <row r="168" spans="1:9" ht="11.25" customHeight="1">
      <c r="A168" s="99" t="s">
        <v>24</v>
      </c>
      <c r="B168" s="24">
        <f>AVERAGE(B9:B13)</f>
        <v>80.2</v>
      </c>
      <c r="C168" s="24">
        <f t="shared" ref="C168:I168" si="18">AVERAGE(C9:C13)</f>
        <v>3330.6</v>
      </c>
      <c r="D168" s="24">
        <f t="shared" si="18"/>
        <v>16943</v>
      </c>
      <c r="E168" s="24">
        <f t="shared" si="18"/>
        <v>44628.6</v>
      </c>
      <c r="F168" s="24">
        <f t="shared" si="18"/>
        <v>38937.599999999999</v>
      </c>
      <c r="G168" s="24">
        <f t="shared" si="18"/>
        <v>5555.4</v>
      </c>
      <c r="H168" s="24">
        <f>AVERAGE(H9:H13)</f>
        <v>195.66666666666666</v>
      </c>
      <c r="I168" s="24">
        <f t="shared" si="18"/>
        <v>109592.8</v>
      </c>
    </row>
    <row r="169" spans="1:9" ht="11.25" customHeight="1">
      <c r="A169" s="99" t="s">
        <v>78</v>
      </c>
      <c r="B169" s="24" t="s">
        <v>23</v>
      </c>
      <c r="C169" s="24">
        <f t="shared" ref="C169:I169" si="19">AVERAGE(C14:C18)</f>
        <v>1189.5</v>
      </c>
      <c r="D169" s="24">
        <f t="shared" si="19"/>
        <v>4198.75</v>
      </c>
      <c r="E169" s="24">
        <f t="shared" si="19"/>
        <v>45976.6</v>
      </c>
      <c r="F169" s="24">
        <f t="shared" si="19"/>
        <v>23931.4</v>
      </c>
      <c r="G169" s="24">
        <f t="shared" si="19"/>
        <v>4377.2</v>
      </c>
      <c r="H169" s="24">
        <f>AVERAGE(H14:H18)</f>
        <v>40</v>
      </c>
      <c r="I169" s="24">
        <f t="shared" si="19"/>
        <v>78144</v>
      </c>
    </row>
    <row r="170" spans="1:9" ht="11.25" customHeight="1">
      <c r="A170" s="99" t="s">
        <v>10</v>
      </c>
      <c r="B170" s="24" t="s">
        <v>23</v>
      </c>
      <c r="C170" s="24">
        <f>AVERAGE(C19:C23)</f>
        <v>1258</v>
      </c>
      <c r="D170" s="24">
        <f t="shared" ref="D170:I170" si="20">AVERAGE(D19:D23)</f>
        <v>4959</v>
      </c>
      <c r="E170" s="24">
        <f t="shared" si="20"/>
        <v>31219</v>
      </c>
      <c r="F170" s="24">
        <f t="shared" si="20"/>
        <v>25149.25</v>
      </c>
      <c r="G170" s="24">
        <f t="shared" si="20"/>
        <v>9425.25</v>
      </c>
      <c r="H170" s="24">
        <f t="shared" si="20"/>
        <v>714</v>
      </c>
      <c r="I170" s="24">
        <f t="shared" si="20"/>
        <v>67840.75</v>
      </c>
    </row>
    <row r="171" spans="1:9" ht="11.25" customHeight="1">
      <c r="A171" s="99" t="s">
        <v>144</v>
      </c>
      <c r="B171" s="24" t="s">
        <v>23</v>
      </c>
      <c r="C171" s="24" t="s">
        <v>23</v>
      </c>
      <c r="D171" s="24" t="s">
        <v>23</v>
      </c>
      <c r="E171" s="24">
        <f>AVERAGE(E24:E28)</f>
        <v>10920.75</v>
      </c>
      <c r="F171" s="24">
        <f>AVERAGE(F24:F28)</f>
        <v>14365.8</v>
      </c>
      <c r="G171" s="24">
        <f>AVERAGE(G24:G28)</f>
        <v>2674</v>
      </c>
      <c r="H171" s="24" t="s">
        <v>23</v>
      </c>
      <c r="I171" s="24">
        <f>AVERAGE(I24:I28)</f>
        <v>25776.400000000001</v>
      </c>
    </row>
    <row r="172" spans="1:9" ht="11.25" customHeight="1">
      <c r="A172" s="99" t="s">
        <v>166</v>
      </c>
      <c r="B172" s="24" t="str">
        <f>B29</f>
        <v>-</v>
      </c>
      <c r="C172" s="24">
        <f t="shared" ref="C172:I172" si="21">AVERAGE(C29:C33)</f>
        <v>2496</v>
      </c>
      <c r="D172" s="24">
        <f t="shared" si="21"/>
        <v>5659.75</v>
      </c>
      <c r="E172" s="24">
        <f t="shared" si="21"/>
        <v>29923.748983101348</v>
      </c>
      <c r="F172" s="24">
        <f t="shared" si="21"/>
        <v>24053.707362875404</v>
      </c>
      <c r="G172" s="24">
        <f t="shared" si="21"/>
        <v>6828.0390199878557</v>
      </c>
      <c r="H172" s="24">
        <f t="shared" si="21"/>
        <v>132</v>
      </c>
      <c r="I172" s="24">
        <f t="shared" si="21"/>
        <v>65964.495365964613</v>
      </c>
    </row>
    <row r="173" spans="1:9" ht="11.25" customHeight="1">
      <c r="A173" s="99" t="s">
        <v>315</v>
      </c>
      <c r="B173" s="24" t="str">
        <f>B82</f>
        <v>-</v>
      </c>
      <c r="C173" s="24" t="str">
        <f>C82</f>
        <v>-</v>
      </c>
      <c r="D173" s="24">
        <f>AVERAGE(D34:D38)</f>
        <v>3920.4224999999997</v>
      </c>
      <c r="E173" s="24">
        <f t="shared" ref="E173:I173" si="22">AVERAGE(E34:E38)</f>
        <v>16371.042000000001</v>
      </c>
      <c r="F173" s="24">
        <f t="shared" si="22"/>
        <v>20691.098000000002</v>
      </c>
      <c r="G173" s="24">
        <f t="shared" si="22"/>
        <v>4670.7759999999998</v>
      </c>
      <c r="H173" s="24">
        <f t="shared" si="22"/>
        <v>132.44800000000001</v>
      </c>
      <c r="I173" s="24">
        <f t="shared" si="22"/>
        <v>45001.702000000005</v>
      </c>
    </row>
    <row r="174" spans="1:9" ht="11.25" customHeight="1">
      <c r="A174" s="99">
        <v>2011</v>
      </c>
      <c r="B174" s="24" t="str">
        <f t="shared" ref="B174:I174" si="23">B39</f>
        <v>-</v>
      </c>
      <c r="C174" s="24" t="str">
        <f t="shared" si="23"/>
        <v>-</v>
      </c>
      <c r="D174" s="24">
        <f t="shared" si="23"/>
        <v>5536.83</v>
      </c>
      <c r="E174" s="24">
        <f t="shared" si="23"/>
        <v>17334.349999999999</v>
      </c>
      <c r="F174" s="24">
        <f t="shared" si="23"/>
        <v>21178.25</v>
      </c>
      <c r="G174" s="24">
        <f t="shared" si="23"/>
        <v>4786.58</v>
      </c>
      <c r="H174" s="24">
        <f t="shared" si="23"/>
        <v>16.05</v>
      </c>
      <c r="I174" s="24">
        <f t="shared" si="23"/>
        <v>48852.06</v>
      </c>
    </row>
    <row r="175" spans="1:9" ht="11.25" customHeight="1">
      <c r="A175" s="99">
        <v>2012</v>
      </c>
      <c r="B175" s="24" t="str">
        <f t="shared" ref="B175:I175" si="24">B40</f>
        <v>-</v>
      </c>
      <c r="C175" s="24" t="str">
        <f t="shared" si="24"/>
        <v>-</v>
      </c>
      <c r="D175" s="24">
        <f>D40</f>
        <v>9627.2200000000012</v>
      </c>
      <c r="E175" s="24">
        <f t="shared" si="24"/>
        <v>17412.53</v>
      </c>
      <c r="F175" s="24">
        <f t="shared" si="24"/>
        <v>19168.04</v>
      </c>
      <c r="G175" s="24">
        <f t="shared" si="24"/>
        <v>8128.11</v>
      </c>
      <c r="H175" s="24">
        <f t="shared" si="24"/>
        <v>353.11</v>
      </c>
      <c r="I175" s="24">
        <f t="shared" si="24"/>
        <v>54689.010000000009</v>
      </c>
    </row>
    <row r="176" spans="1:9" ht="11.25" customHeight="1">
      <c r="A176" s="99">
        <v>2013</v>
      </c>
      <c r="B176" s="24" t="str">
        <f t="shared" ref="B176:I176" si="25">B41</f>
        <v>-</v>
      </c>
      <c r="C176" s="24">
        <f t="shared" si="25"/>
        <v>950.86</v>
      </c>
      <c r="D176" s="24">
        <f t="shared" si="25"/>
        <v>8973.08</v>
      </c>
      <c r="E176" s="24">
        <f t="shared" si="25"/>
        <v>16010.42</v>
      </c>
      <c r="F176" s="24">
        <f t="shared" si="25"/>
        <v>23946.48</v>
      </c>
      <c r="G176" s="24">
        <f t="shared" si="25"/>
        <v>5399.54</v>
      </c>
      <c r="H176" s="24">
        <f t="shared" si="25"/>
        <v>237.41</v>
      </c>
      <c r="I176" s="24">
        <f t="shared" si="25"/>
        <v>55517.79</v>
      </c>
    </row>
    <row r="177" spans="1:9" ht="11.25" customHeight="1">
      <c r="A177" s="99">
        <v>2014</v>
      </c>
      <c r="B177" s="24" t="str">
        <f t="shared" ref="B177:I177" si="26">B42</f>
        <v>-</v>
      </c>
      <c r="C177" s="24">
        <f t="shared" si="26"/>
        <v>1642.56</v>
      </c>
      <c r="D177" s="24">
        <f t="shared" si="26"/>
        <v>10330.92</v>
      </c>
      <c r="E177" s="24">
        <f t="shared" si="26"/>
        <v>28528.67</v>
      </c>
      <c r="F177" s="24">
        <f t="shared" si="26"/>
        <v>24392.71</v>
      </c>
      <c r="G177" s="24">
        <f t="shared" si="26"/>
        <v>10089.450000000001</v>
      </c>
      <c r="H177" s="24">
        <f t="shared" si="26"/>
        <v>364.82</v>
      </c>
      <c r="I177" s="24">
        <f t="shared" si="26"/>
        <v>75349.13</v>
      </c>
    </row>
    <row r="178" spans="1:9" ht="11.25" customHeight="1">
      <c r="A178" s="99">
        <v>2015</v>
      </c>
      <c r="B178" s="24" t="str">
        <f t="shared" ref="B178:I178" si="27">B43</f>
        <v>-</v>
      </c>
      <c r="C178" s="24">
        <f t="shared" si="27"/>
        <v>1440.92</v>
      </c>
      <c r="D178" s="24">
        <f t="shared" si="27"/>
        <v>8973.7900000000009</v>
      </c>
      <c r="E178" s="24">
        <f t="shared" si="27"/>
        <v>28778.77</v>
      </c>
      <c r="F178" s="24">
        <f t="shared" si="27"/>
        <v>15565.84</v>
      </c>
      <c r="G178" s="24">
        <f t="shared" si="27"/>
        <v>8665.7200000000012</v>
      </c>
      <c r="H178" s="24">
        <f t="shared" si="27"/>
        <v>300.16000000000003</v>
      </c>
      <c r="I178" s="24">
        <f t="shared" si="27"/>
        <v>63725.200000000004</v>
      </c>
    </row>
    <row r="179" spans="1:9" ht="11.25" customHeight="1">
      <c r="A179" s="99">
        <v>2016</v>
      </c>
      <c r="B179" s="24" t="str">
        <f t="shared" ref="B179:I179" si="28">B44</f>
        <v>-</v>
      </c>
      <c r="C179" s="24" t="str">
        <f t="shared" si="28"/>
        <v>-</v>
      </c>
      <c r="D179" s="24" t="str">
        <f t="shared" si="28"/>
        <v>-</v>
      </c>
      <c r="E179" s="24">
        <f t="shared" si="28"/>
        <v>17792.21</v>
      </c>
      <c r="F179" s="24">
        <f t="shared" si="28"/>
        <v>9390.9200000000019</v>
      </c>
      <c r="G179" s="24" t="str">
        <f t="shared" si="28"/>
        <v>-</v>
      </c>
      <c r="H179" s="24" t="str">
        <f t="shared" si="28"/>
        <v>-</v>
      </c>
      <c r="I179" s="24">
        <f t="shared" si="28"/>
        <v>27183.129999999997</v>
      </c>
    </row>
    <row r="180" spans="1:9" ht="11.25" customHeight="1">
      <c r="A180" s="99">
        <v>2017</v>
      </c>
      <c r="B180" s="24" t="str">
        <f t="shared" ref="B180:I180" si="29">B45</f>
        <v>-</v>
      </c>
      <c r="C180" s="24" t="str">
        <f t="shared" si="29"/>
        <v>-</v>
      </c>
      <c r="D180" s="24">
        <f t="shared" si="29"/>
        <v>468.16</v>
      </c>
      <c r="E180" s="24">
        <f t="shared" si="29"/>
        <v>21555.81</v>
      </c>
      <c r="F180" s="24">
        <f t="shared" si="29"/>
        <v>15822.17</v>
      </c>
      <c r="G180" s="24">
        <f t="shared" si="29"/>
        <v>841.76</v>
      </c>
      <c r="H180" s="24" t="str">
        <f t="shared" si="29"/>
        <v>-</v>
      </c>
      <c r="I180" s="24">
        <f t="shared" si="29"/>
        <v>38687.9</v>
      </c>
    </row>
    <row r="181" spans="1:9" ht="11.25" customHeight="1">
      <c r="A181" s="99">
        <v>2018</v>
      </c>
      <c r="B181" s="24" t="str">
        <f t="shared" ref="B181:I181" si="30">B46</f>
        <v>-</v>
      </c>
      <c r="C181" s="24" t="str">
        <f t="shared" si="30"/>
        <v>-</v>
      </c>
      <c r="D181" s="24">
        <f t="shared" si="30"/>
        <v>1249</v>
      </c>
      <c r="E181" s="24">
        <f t="shared" si="30"/>
        <v>14407.939999999999</v>
      </c>
      <c r="F181" s="24">
        <f t="shared" si="30"/>
        <v>17016.7</v>
      </c>
      <c r="G181" s="24">
        <f t="shared" si="30"/>
        <v>410.35</v>
      </c>
      <c r="H181" s="24" t="str">
        <f t="shared" si="30"/>
        <v>-</v>
      </c>
      <c r="I181" s="24">
        <f t="shared" si="30"/>
        <v>33083.99</v>
      </c>
    </row>
    <row r="182" spans="1:9" ht="11.25" customHeight="1">
      <c r="A182" s="99">
        <v>2019</v>
      </c>
      <c r="B182" s="24" t="str">
        <f t="shared" ref="B182:I182" si="31">B47</f>
        <v>-</v>
      </c>
      <c r="C182" s="24" t="str">
        <f t="shared" si="31"/>
        <v>-</v>
      </c>
      <c r="D182" s="24">
        <f t="shared" si="31"/>
        <v>4254.4799999999996</v>
      </c>
      <c r="E182" s="24">
        <f t="shared" si="31"/>
        <v>15503.29</v>
      </c>
      <c r="F182" s="24">
        <f t="shared" si="31"/>
        <v>13278.720000000001</v>
      </c>
      <c r="G182" s="24">
        <f t="shared" si="31"/>
        <v>2481.61</v>
      </c>
      <c r="H182" s="24">
        <f t="shared" si="31"/>
        <v>239.57</v>
      </c>
      <c r="I182" s="24">
        <f t="shared" si="31"/>
        <v>35757.67</v>
      </c>
    </row>
    <row r="183" spans="1:9" ht="11.25" customHeight="1">
      <c r="A183" s="99">
        <v>2020</v>
      </c>
      <c r="B183" s="24" t="str">
        <f t="shared" ref="B183:I184" si="32">B48</f>
        <v>-</v>
      </c>
      <c r="C183" s="24" t="str">
        <f t="shared" si="32"/>
        <v>-</v>
      </c>
      <c r="D183" s="24">
        <f t="shared" si="32"/>
        <v>1998.94</v>
      </c>
      <c r="E183" s="24">
        <f t="shared" si="32"/>
        <v>12653.66</v>
      </c>
      <c r="F183" s="24">
        <f t="shared" si="32"/>
        <v>7118.7699999999995</v>
      </c>
      <c r="G183" s="24">
        <f t="shared" si="32"/>
        <v>3340.91</v>
      </c>
      <c r="H183" s="24" t="str">
        <f t="shared" si="32"/>
        <v>-</v>
      </c>
      <c r="I183" s="24">
        <f t="shared" si="32"/>
        <v>25112.28</v>
      </c>
    </row>
    <row r="184" spans="1:9" ht="11.25" customHeight="1">
      <c r="A184" s="99" t="s">
        <v>318</v>
      </c>
      <c r="B184" s="24" t="str">
        <f t="shared" si="32"/>
        <v>-</v>
      </c>
      <c r="C184" s="24" t="str">
        <f t="shared" si="32"/>
        <v>-</v>
      </c>
      <c r="D184" s="24">
        <f t="shared" si="32"/>
        <v>3691.66</v>
      </c>
      <c r="E184" s="24">
        <f t="shared" si="32"/>
        <v>16783.699999999997</v>
      </c>
      <c r="F184" s="24">
        <f t="shared" si="32"/>
        <v>12170.5</v>
      </c>
      <c r="G184" s="24">
        <f t="shared" si="32"/>
        <v>4768.3500000000004</v>
      </c>
      <c r="H184" s="24" t="str">
        <f t="shared" si="32"/>
        <v>-</v>
      </c>
      <c r="I184" s="24">
        <f t="shared" si="32"/>
        <v>37414.21</v>
      </c>
    </row>
    <row r="185" spans="1:9" ht="11.25" customHeight="1">
      <c r="A185" s="99"/>
      <c r="B185" s="24"/>
      <c r="C185" s="24"/>
      <c r="D185" s="24"/>
      <c r="E185" s="24"/>
      <c r="F185" s="24"/>
      <c r="G185" s="24"/>
      <c r="H185" s="24"/>
      <c r="I185" s="24"/>
    </row>
    <row r="186" spans="1:9" ht="11.25" customHeight="1">
      <c r="A186" s="94" t="s">
        <v>99</v>
      </c>
      <c r="B186" s="24"/>
      <c r="C186" s="24"/>
      <c r="D186" s="24"/>
      <c r="E186" s="24"/>
      <c r="F186" s="24"/>
      <c r="G186" s="24"/>
      <c r="H186" s="24"/>
      <c r="I186" s="24"/>
    </row>
    <row r="187" spans="1:9" ht="11.25" customHeight="1">
      <c r="A187" s="99" t="s">
        <v>24</v>
      </c>
      <c r="B187" s="24" t="s">
        <v>23</v>
      </c>
      <c r="C187" s="24">
        <f t="shared" ref="C187:I187" si="33">AVERAGE(C57:C61)</f>
        <v>1165.25</v>
      </c>
      <c r="D187" s="24">
        <f t="shared" si="33"/>
        <v>10828.25</v>
      </c>
      <c r="E187" s="24">
        <f t="shared" si="33"/>
        <v>35085.199999999997</v>
      </c>
      <c r="F187" s="24">
        <f t="shared" si="33"/>
        <v>31280.6</v>
      </c>
      <c r="G187" s="24">
        <f t="shared" si="33"/>
        <v>4834.75</v>
      </c>
      <c r="H187" s="24">
        <f>AVERAGE(H57:H61)</f>
        <v>721</v>
      </c>
      <c r="I187" s="24">
        <f t="shared" si="33"/>
        <v>79972.600000000006</v>
      </c>
    </row>
    <row r="188" spans="1:9" ht="11.25" customHeight="1">
      <c r="A188" s="99" t="s">
        <v>78</v>
      </c>
      <c r="B188" s="24" t="s">
        <v>23</v>
      </c>
      <c r="C188" s="24">
        <f t="shared" ref="C188:I188" si="34">AVERAGE(C62:C66)</f>
        <v>444</v>
      </c>
      <c r="D188" s="24">
        <f t="shared" si="34"/>
        <v>2751</v>
      </c>
      <c r="E188" s="24">
        <f t="shared" si="34"/>
        <v>28623.8</v>
      </c>
      <c r="F188" s="24">
        <f t="shared" si="34"/>
        <v>27097.599999999999</v>
      </c>
      <c r="G188" s="24">
        <f t="shared" si="34"/>
        <v>2493</v>
      </c>
      <c r="H188" s="24" t="s">
        <v>23</v>
      </c>
      <c r="I188" s="24">
        <f t="shared" si="34"/>
        <v>59008.2</v>
      </c>
    </row>
    <row r="189" spans="1:9" ht="11.25" customHeight="1">
      <c r="A189" s="99" t="s">
        <v>10</v>
      </c>
      <c r="B189" s="24" t="s">
        <v>23</v>
      </c>
      <c r="C189" s="24" t="s">
        <v>23</v>
      </c>
      <c r="D189" s="24">
        <f t="shared" ref="D189:I189" si="35">AVERAGE(D67:D71)</f>
        <v>2408</v>
      </c>
      <c r="E189" s="24">
        <f t="shared" si="35"/>
        <v>23780.75</v>
      </c>
      <c r="F189" s="24">
        <f t="shared" si="35"/>
        <v>18461</v>
      </c>
      <c r="G189" s="24">
        <f t="shared" si="35"/>
        <v>9495.25</v>
      </c>
      <c r="H189" s="24" t="s">
        <v>23</v>
      </c>
      <c r="I189" s="24">
        <f t="shared" si="35"/>
        <v>52941</v>
      </c>
    </row>
    <row r="190" spans="1:9" ht="11.25" customHeight="1">
      <c r="A190" s="99" t="s">
        <v>144</v>
      </c>
      <c r="B190" s="24" t="s">
        <v>23</v>
      </c>
      <c r="C190" s="24" t="s">
        <v>23</v>
      </c>
      <c r="D190" s="24" t="s">
        <v>23</v>
      </c>
      <c r="E190" s="24">
        <f>AVERAGE(E72:E76)</f>
        <v>7231.25</v>
      </c>
      <c r="F190" s="24">
        <f>AVERAGE(F72:F76)</f>
        <v>9949.6</v>
      </c>
      <c r="G190" s="24">
        <f>AVERAGE(G72:G76)</f>
        <v>3983.3333333333335</v>
      </c>
      <c r="H190" s="24" t="s">
        <v>23</v>
      </c>
      <c r="I190" s="24">
        <f>AVERAGE(I72:I76)</f>
        <v>18124.599999999999</v>
      </c>
    </row>
    <row r="191" spans="1:9" ht="11.25" customHeight="1">
      <c r="A191" s="99" t="s">
        <v>166</v>
      </c>
      <c r="B191" s="24" t="str">
        <f>B77</f>
        <v>-</v>
      </c>
      <c r="C191" s="24">
        <f t="shared" ref="C191:I191" si="36">AVERAGE(C77:C81)</f>
        <v>370</v>
      </c>
      <c r="D191" s="24">
        <f t="shared" si="36"/>
        <v>1040.3333333333333</v>
      </c>
      <c r="E191" s="24">
        <f t="shared" si="36"/>
        <v>17361</v>
      </c>
      <c r="F191" s="24">
        <f t="shared" si="36"/>
        <v>33382.6</v>
      </c>
      <c r="G191" s="24">
        <f t="shared" si="36"/>
        <v>9814.2000000000007</v>
      </c>
      <c r="H191" s="24">
        <f t="shared" si="36"/>
        <v>6</v>
      </c>
      <c r="I191" s="24">
        <f t="shared" si="36"/>
        <v>61257.2</v>
      </c>
    </row>
    <row r="192" spans="1:9" ht="11.25" customHeight="1">
      <c r="A192" s="99" t="s">
        <v>315</v>
      </c>
      <c r="B192" s="24" t="str">
        <f>B82</f>
        <v>-</v>
      </c>
      <c r="C192" s="24">
        <f>AVERAGE(C82:C86)</f>
        <v>66</v>
      </c>
      <c r="D192" s="24">
        <f t="shared" ref="D192:I192" si="37">AVERAGE(D82:D86)</f>
        <v>805.2166666666667</v>
      </c>
      <c r="E192" s="24">
        <f t="shared" si="37"/>
        <v>9842.2100000000009</v>
      </c>
      <c r="F192" s="24">
        <f t="shared" si="37"/>
        <v>23501.725999999999</v>
      </c>
      <c r="G192" s="24">
        <f t="shared" si="37"/>
        <v>2661.71</v>
      </c>
      <c r="H192" s="24" t="str">
        <f>H82</f>
        <v>-</v>
      </c>
      <c r="I192" s="24">
        <f t="shared" si="37"/>
        <v>35969.633999999998</v>
      </c>
    </row>
    <row r="193" spans="1:9" ht="11.25" customHeight="1">
      <c r="A193" s="99">
        <v>2011</v>
      </c>
      <c r="B193" s="24" t="str">
        <f t="shared" ref="B193:I193" si="38">B87</f>
        <v>-</v>
      </c>
      <c r="C193" s="24" t="str">
        <f t="shared" si="38"/>
        <v>-</v>
      </c>
      <c r="D193" s="24">
        <f t="shared" si="38"/>
        <v>1132.74</v>
      </c>
      <c r="E193" s="24">
        <f t="shared" si="38"/>
        <v>6760.06</v>
      </c>
      <c r="F193" s="24">
        <f t="shared" si="38"/>
        <v>19771.68</v>
      </c>
      <c r="G193" s="24">
        <f t="shared" si="38"/>
        <v>4462.7</v>
      </c>
      <c r="H193" s="24" t="str">
        <f t="shared" si="38"/>
        <v>-</v>
      </c>
      <c r="I193" s="24">
        <f t="shared" si="38"/>
        <v>32127.18</v>
      </c>
    </row>
    <row r="194" spans="1:9" ht="11.25" customHeight="1">
      <c r="A194" s="99">
        <v>2012</v>
      </c>
      <c r="B194" s="24" t="str">
        <f t="shared" ref="B194:I194" si="39">B88</f>
        <v>-</v>
      </c>
      <c r="C194" s="24" t="str">
        <f t="shared" si="39"/>
        <v>-</v>
      </c>
      <c r="D194" s="24">
        <f t="shared" si="39"/>
        <v>2645.24</v>
      </c>
      <c r="E194" s="24">
        <f t="shared" si="39"/>
        <v>7419.21</v>
      </c>
      <c r="F194" s="24">
        <f t="shared" si="39"/>
        <v>12108.34</v>
      </c>
      <c r="G194" s="24">
        <f t="shared" si="39"/>
        <v>5634.77</v>
      </c>
      <c r="H194" s="24" t="str">
        <f t="shared" si="39"/>
        <v>-</v>
      </c>
      <c r="I194" s="24">
        <f t="shared" si="39"/>
        <v>27807.56</v>
      </c>
    </row>
    <row r="195" spans="1:9" ht="11.25" customHeight="1">
      <c r="A195" s="99">
        <v>2013</v>
      </c>
      <c r="B195" s="24" t="str">
        <f t="shared" ref="B195:I195" si="40">B89</f>
        <v>-</v>
      </c>
      <c r="C195" s="24" t="str">
        <f t="shared" si="40"/>
        <v>-</v>
      </c>
      <c r="D195" s="24">
        <f t="shared" si="40"/>
        <v>4435.82</v>
      </c>
      <c r="E195" s="24">
        <f t="shared" si="40"/>
        <v>6162.45</v>
      </c>
      <c r="F195" s="24">
        <f t="shared" si="40"/>
        <v>16293.33</v>
      </c>
      <c r="G195" s="24">
        <f t="shared" si="40"/>
        <v>3740.4</v>
      </c>
      <c r="H195" s="24" t="str">
        <f t="shared" si="40"/>
        <v>-</v>
      </c>
      <c r="I195" s="24">
        <f t="shared" si="40"/>
        <v>30632</v>
      </c>
    </row>
    <row r="196" spans="1:9" ht="11.25" customHeight="1">
      <c r="A196" s="99">
        <v>2014</v>
      </c>
      <c r="B196" s="24" t="str">
        <f t="shared" ref="B196:I196" si="41">B90</f>
        <v>-</v>
      </c>
      <c r="C196" s="24">
        <f t="shared" si="41"/>
        <v>77.86</v>
      </c>
      <c r="D196" s="24">
        <f t="shared" si="41"/>
        <v>3282.9900000000002</v>
      </c>
      <c r="E196" s="24">
        <f t="shared" si="41"/>
        <v>14884.62</v>
      </c>
      <c r="F196" s="24">
        <f t="shared" si="41"/>
        <v>28896.12</v>
      </c>
      <c r="G196" s="24">
        <f t="shared" si="41"/>
        <v>9381.6</v>
      </c>
      <c r="H196" s="24" t="str">
        <f t="shared" si="41"/>
        <v>-</v>
      </c>
      <c r="I196" s="24">
        <f t="shared" si="41"/>
        <v>56523.189999999995</v>
      </c>
    </row>
    <row r="197" spans="1:9" ht="11.25" customHeight="1">
      <c r="A197" s="99">
        <v>2015</v>
      </c>
      <c r="B197" s="24" t="str">
        <f t="shared" ref="B197:I197" si="42">B91</f>
        <v>-</v>
      </c>
      <c r="C197" s="24">
        <f t="shared" si="42"/>
        <v>269.03999999999996</v>
      </c>
      <c r="D197" s="24">
        <f t="shared" si="42"/>
        <v>3045.5299999999997</v>
      </c>
      <c r="E197" s="24">
        <f t="shared" si="42"/>
        <v>11243.15</v>
      </c>
      <c r="F197" s="24">
        <f t="shared" si="42"/>
        <v>18588.98</v>
      </c>
      <c r="G197" s="24">
        <f t="shared" si="42"/>
        <v>8871.56</v>
      </c>
      <c r="H197" s="24" t="str">
        <f t="shared" si="42"/>
        <v>-</v>
      </c>
      <c r="I197" s="24">
        <f t="shared" si="42"/>
        <v>42018.259999999995</v>
      </c>
    </row>
    <row r="198" spans="1:9" ht="11.25" customHeight="1">
      <c r="A198" s="99">
        <v>2016</v>
      </c>
      <c r="B198" s="24" t="str">
        <f t="shared" ref="B198:I198" si="43">B92</f>
        <v>-</v>
      </c>
      <c r="C198" s="24" t="str">
        <f t="shared" si="43"/>
        <v>-</v>
      </c>
      <c r="D198" s="24" t="str">
        <f t="shared" si="43"/>
        <v>-</v>
      </c>
      <c r="E198" s="24">
        <f t="shared" si="43"/>
        <v>9586.17</v>
      </c>
      <c r="F198" s="24">
        <f t="shared" si="43"/>
        <v>18999.330000000002</v>
      </c>
      <c r="G198" s="24" t="str">
        <f t="shared" si="43"/>
        <v>-</v>
      </c>
      <c r="H198" s="24" t="str">
        <f t="shared" si="43"/>
        <v>-</v>
      </c>
      <c r="I198" s="24">
        <f t="shared" si="43"/>
        <v>28585.5</v>
      </c>
    </row>
    <row r="199" spans="1:9" ht="11.25" customHeight="1">
      <c r="A199" s="99">
        <v>2017</v>
      </c>
      <c r="B199" s="24" t="str">
        <f t="shared" ref="B199:I199" si="44">B93</f>
        <v>-</v>
      </c>
      <c r="C199" s="24" t="str">
        <f t="shared" si="44"/>
        <v>-</v>
      </c>
      <c r="D199" s="24">
        <f t="shared" si="44"/>
        <v>975.48</v>
      </c>
      <c r="E199" s="24">
        <f t="shared" si="44"/>
        <v>11229.23</v>
      </c>
      <c r="F199" s="24">
        <f t="shared" si="44"/>
        <v>19128.099999999999</v>
      </c>
      <c r="G199" s="24" t="str">
        <f t="shared" si="44"/>
        <v>-</v>
      </c>
      <c r="H199" s="24" t="str">
        <f t="shared" si="44"/>
        <v>-</v>
      </c>
      <c r="I199" s="24">
        <f t="shared" si="44"/>
        <v>31332.809999999998</v>
      </c>
    </row>
    <row r="200" spans="1:9" ht="11.25" customHeight="1">
      <c r="A200" s="99">
        <v>2018</v>
      </c>
      <c r="B200" s="24" t="str">
        <f t="shared" ref="B200:I200" si="45">B94</f>
        <v>-</v>
      </c>
      <c r="C200" s="24" t="str">
        <f t="shared" si="45"/>
        <v>-</v>
      </c>
      <c r="D200" s="24">
        <f t="shared" si="45"/>
        <v>1574.55</v>
      </c>
      <c r="E200" s="24">
        <f t="shared" si="45"/>
        <v>6937.37</v>
      </c>
      <c r="F200" s="24">
        <f t="shared" si="45"/>
        <v>13310.5</v>
      </c>
      <c r="G200" s="24">
        <f t="shared" si="45"/>
        <v>760.73</v>
      </c>
      <c r="H200" s="24" t="str">
        <f t="shared" si="45"/>
        <v>-</v>
      </c>
      <c r="I200" s="24">
        <f t="shared" si="45"/>
        <v>22583.15</v>
      </c>
    </row>
    <row r="201" spans="1:9" ht="11.25" customHeight="1">
      <c r="A201" s="99">
        <v>2019</v>
      </c>
      <c r="B201" s="24" t="str">
        <f t="shared" ref="B201:I201" si="46">B95</f>
        <v>-</v>
      </c>
      <c r="C201" s="24" t="str">
        <f t="shared" si="46"/>
        <v>-</v>
      </c>
      <c r="D201" s="24">
        <f t="shared" si="46"/>
        <v>3730.15</v>
      </c>
      <c r="E201" s="24">
        <f t="shared" si="46"/>
        <v>15642.04</v>
      </c>
      <c r="F201" s="24">
        <f t="shared" si="46"/>
        <v>23531.870000000003</v>
      </c>
      <c r="G201" s="24">
        <f t="shared" si="46"/>
        <v>1699.82</v>
      </c>
      <c r="H201" s="24" t="str">
        <f t="shared" si="46"/>
        <v>-</v>
      </c>
      <c r="I201" s="24">
        <f t="shared" si="46"/>
        <v>44603.880000000005</v>
      </c>
    </row>
    <row r="202" spans="1:9" ht="11.25" customHeight="1">
      <c r="A202" s="99">
        <v>2020</v>
      </c>
      <c r="B202" s="24" t="str">
        <f t="shared" ref="B202:I203" si="47">B96</f>
        <v>-</v>
      </c>
      <c r="C202" s="24" t="str">
        <f t="shared" si="47"/>
        <v>-</v>
      </c>
      <c r="D202" s="24">
        <f t="shared" si="47"/>
        <v>695.98</v>
      </c>
      <c r="E202" s="24">
        <f t="shared" si="47"/>
        <v>11529.54</v>
      </c>
      <c r="F202" s="24" t="str">
        <f t="shared" si="47"/>
        <v>-</v>
      </c>
      <c r="G202" s="24" t="str">
        <f t="shared" si="47"/>
        <v>-</v>
      </c>
      <c r="H202" s="24" t="str">
        <f t="shared" si="47"/>
        <v>-</v>
      </c>
      <c r="I202" s="24">
        <f t="shared" si="47"/>
        <v>12225.52</v>
      </c>
    </row>
    <row r="203" spans="1:9" ht="11.25" customHeight="1">
      <c r="A203" s="99" t="s">
        <v>318</v>
      </c>
      <c r="B203" s="24" t="str">
        <f t="shared" si="47"/>
        <v>-</v>
      </c>
      <c r="C203" s="24" t="str">
        <f t="shared" si="47"/>
        <v>-</v>
      </c>
      <c r="D203" s="24">
        <f t="shared" si="47"/>
        <v>1634.69</v>
      </c>
      <c r="E203" s="24">
        <f t="shared" si="47"/>
        <v>13922.99</v>
      </c>
      <c r="F203" s="24">
        <f t="shared" si="47"/>
        <v>25782.99</v>
      </c>
      <c r="G203" s="24" t="str">
        <f t="shared" si="47"/>
        <v>-</v>
      </c>
      <c r="H203" s="24" t="str">
        <f t="shared" si="47"/>
        <v>-</v>
      </c>
      <c r="I203" s="24">
        <f t="shared" si="47"/>
        <v>41340.67</v>
      </c>
    </row>
    <row r="204" spans="1:9" ht="11.25" customHeight="1">
      <c r="A204" s="99"/>
      <c r="B204" s="24"/>
      <c r="C204" s="24"/>
      <c r="D204" s="24"/>
      <c r="E204" s="24"/>
      <c r="F204" s="24"/>
      <c r="G204" s="24"/>
      <c r="H204" s="24"/>
      <c r="I204" s="24"/>
    </row>
    <row r="205" spans="1:9">
      <c r="A205" s="97" t="s">
        <v>238</v>
      </c>
      <c r="B205" s="24"/>
      <c r="C205" s="24"/>
      <c r="D205" s="24"/>
      <c r="E205" s="24"/>
      <c r="F205" s="24"/>
      <c r="G205" s="24"/>
      <c r="H205" s="24"/>
      <c r="I205" s="24"/>
    </row>
    <row r="206" spans="1:9" ht="11.25" customHeight="1">
      <c r="A206" s="99" t="s">
        <v>24</v>
      </c>
      <c r="B206" s="24">
        <f>AVERAGE(B105:B109)</f>
        <v>80.2</v>
      </c>
      <c r="C206" s="24">
        <f t="shared" ref="C206:I206" si="48">AVERAGE(C105:C109)</f>
        <v>4262.8</v>
      </c>
      <c r="D206" s="24">
        <f t="shared" si="48"/>
        <v>25605.599999999999</v>
      </c>
      <c r="E206" s="24">
        <f t="shared" si="48"/>
        <v>79713.8</v>
      </c>
      <c r="F206" s="24">
        <f t="shared" si="48"/>
        <v>70218.2</v>
      </c>
      <c r="G206" s="24">
        <f t="shared" si="48"/>
        <v>9423.2000000000007</v>
      </c>
      <c r="H206" s="24">
        <f t="shared" si="48"/>
        <v>436</v>
      </c>
      <c r="I206" s="24">
        <f t="shared" si="48"/>
        <v>189565.4</v>
      </c>
    </row>
    <row r="207" spans="1:9" ht="11.25" customHeight="1">
      <c r="A207" s="99" t="s">
        <v>78</v>
      </c>
      <c r="B207" s="24" t="str">
        <f>B110</f>
        <v>-</v>
      </c>
      <c r="C207" s="24">
        <f t="shared" ref="C207:I207" si="49">AVERAGE(C110:C114)</f>
        <v>1411.5</v>
      </c>
      <c r="D207" s="24">
        <f t="shared" si="49"/>
        <v>6949.75</v>
      </c>
      <c r="E207" s="24">
        <f t="shared" si="49"/>
        <v>74600.399999999994</v>
      </c>
      <c r="F207" s="24">
        <f t="shared" si="49"/>
        <v>51029</v>
      </c>
      <c r="G207" s="24">
        <f t="shared" si="49"/>
        <v>5374.4</v>
      </c>
      <c r="H207" s="24">
        <f t="shared" si="49"/>
        <v>40</v>
      </c>
      <c r="I207" s="24">
        <f t="shared" si="49"/>
        <v>137152.20000000001</v>
      </c>
    </row>
    <row r="208" spans="1:9" ht="11.25" customHeight="1">
      <c r="A208" s="99" t="s">
        <v>10</v>
      </c>
      <c r="B208" s="24" t="str">
        <f>B189</f>
        <v>-</v>
      </c>
      <c r="C208" s="24" t="str">
        <f>C119</f>
        <v>-</v>
      </c>
      <c r="D208" s="24" t="str">
        <f>D119</f>
        <v>-</v>
      </c>
      <c r="E208" s="24">
        <f t="shared" ref="E208:I208" si="50">AVERAGE(E119:E123)</f>
        <v>13542.75</v>
      </c>
      <c r="F208" s="24">
        <f t="shared" si="50"/>
        <v>27273.200000000001</v>
      </c>
      <c r="G208" s="24">
        <f t="shared" si="50"/>
        <v>7497.6</v>
      </c>
      <c r="H208" s="24" t="str">
        <f>H119</f>
        <v>-</v>
      </c>
      <c r="I208" s="24">
        <f t="shared" si="50"/>
        <v>45605</v>
      </c>
    </row>
    <row r="209" spans="1:9" ht="11.25" customHeight="1">
      <c r="A209" s="99" t="s">
        <v>144</v>
      </c>
      <c r="B209" s="24" t="str">
        <f>B190</f>
        <v>-</v>
      </c>
      <c r="C209" s="24" t="s">
        <v>23</v>
      </c>
      <c r="D209" s="24" t="s">
        <v>23</v>
      </c>
      <c r="E209" s="24">
        <f>AVERAGE(E120:E124)</f>
        <v>18152</v>
      </c>
      <c r="F209" s="24">
        <f>AVERAGE(F120:F124)</f>
        <v>24315.4</v>
      </c>
      <c r="G209" s="24">
        <f>AVERAGE(G120:G124)</f>
        <v>5064</v>
      </c>
      <c r="H209" s="24" t="s">
        <v>23</v>
      </c>
      <c r="I209" s="24">
        <f>AVERAGE(I120:I124)</f>
        <v>43901</v>
      </c>
    </row>
    <row r="210" spans="1:9" ht="11.25" customHeight="1">
      <c r="A210" s="99" t="s">
        <v>166</v>
      </c>
      <c r="B210" s="24" t="str">
        <f t="shared" ref="B210:B211" si="51">B191</f>
        <v>-</v>
      </c>
      <c r="C210" s="24">
        <f>AVERAGE(C125:C129)</f>
        <v>2866</v>
      </c>
      <c r="D210" s="24">
        <f t="shared" ref="D210" si="52">AVERAGE(D125:D129)</f>
        <v>6440</v>
      </c>
      <c r="E210" s="24">
        <f>AVERAGE(E125:E129)</f>
        <v>47284.748983101352</v>
      </c>
      <c r="F210" s="24">
        <f t="shared" ref="F210:I210" si="53">AVERAGE(F125:F129)</f>
        <v>57436.307362875399</v>
      </c>
      <c r="G210" s="24">
        <f t="shared" si="53"/>
        <v>16642.239019987854</v>
      </c>
      <c r="H210" s="24">
        <f t="shared" si="53"/>
        <v>133.19999999999999</v>
      </c>
      <c r="I210" s="24">
        <f t="shared" si="53"/>
        <v>127221.69536596462</v>
      </c>
    </row>
    <row r="211" spans="1:9" ht="11.25" customHeight="1">
      <c r="A211" s="99" t="s">
        <v>315</v>
      </c>
      <c r="B211" s="24" t="str">
        <f t="shared" si="51"/>
        <v>-</v>
      </c>
      <c r="C211" s="24">
        <f>AVERAGE(C130:C134)</f>
        <v>66</v>
      </c>
      <c r="D211" s="24">
        <f t="shared" ref="D211:I211" si="54">AVERAGE(D130:D134)</f>
        <v>4524.3349999999991</v>
      </c>
      <c r="E211" s="24">
        <f t="shared" si="54"/>
        <v>26213.252</v>
      </c>
      <c r="F211" s="24">
        <f t="shared" si="54"/>
        <v>44192.824000000001</v>
      </c>
      <c r="G211" s="24">
        <f t="shared" si="54"/>
        <v>6800.1440000000002</v>
      </c>
      <c r="H211" s="24">
        <f t="shared" si="54"/>
        <v>132.44800000000001</v>
      </c>
      <c r="I211" s="24">
        <f t="shared" si="54"/>
        <v>80971.335999999996</v>
      </c>
    </row>
    <row r="212" spans="1:9" ht="11.25" customHeight="1">
      <c r="A212" s="99">
        <v>2011</v>
      </c>
      <c r="B212" s="24" t="str">
        <f t="shared" ref="B212:I212" si="55">B135</f>
        <v>-</v>
      </c>
      <c r="C212" s="24" t="str">
        <f t="shared" si="55"/>
        <v>-</v>
      </c>
      <c r="D212" s="24">
        <f t="shared" si="55"/>
        <v>6669.57</v>
      </c>
      <c r="E212" s="24">
        <f t="shared" si="55"/>
        <v>24094.41</v>
      </c>
      <c r="F212" s="24">
        <f t="shared" si="55"/>
        <v>40949.93</v>
      </c>
      <c r="G212" s="24">
        <f t="shared" si="55"/>
        <v>9249.2799999999988</v>
      </c>
      <c r="H212" s="24">
        <f t="shared" si="55"/>
        <v>16.05</v>
      </c>
      <c r="I212" s="24">
        <f t="shared" si="55"/>
        <v>80979.239999999991</v>
      </c>
    </row>
    <row r="213" spans="1:9" ht="11.25" customHeight="1">
      <c r="A213" s="99">
        <v>2012</v>
      </c>
      <c r="B213" s="24" t="str">
        <f t="shared" ref="B213:I213" si="56">B136</f>
        <v>-</v>
      </c>
      <c r="C213" s="24" t="str">
        <f t="shared" si="56"/>
        <v>-</v>
      </c>
      <c r="D213" s="24">
        <f t="shared" si="56"/>
        <v>12272.460000000001</v>
      </c>
      <c r="E213" s="24">
        <f t="shared" si="56"/>
        <v>24831.739999999998</v>
      </c>
      <c r="F213" s="24">
        <f t="shared" si="56"/>
        <v>31276.38</v>
      </c>
      <c r="G213" s="24">
        <f t="shared" si="56"/>
        <v>13762.880000000001</v>
      </c>
      <c r="H213" s="24">
        <f t="shared" si="56"/>
        <v>353.11</v>
      </c>
      <c r="I213" s="24">
        <f t="shared" si="56"/>
        <v>82496.570000000007</v>
      </c>
    </row>
    <row r="214" spans="1:9" ht="11.25" customHeight="1">
      <c r="A214" s="99">
        <v>2013</v>
      </c>
      <c r="B214" s="24" t="str">
        <f t="shared" ref="B214:I214" si="57">B137</f>
        <v>-</v>
      </c>
      <c r="C214" s="24">
        <f t="shared" si="57"/>
        <v>950.86</v>
      </c>
      <c r="D214" s="24">
        <f t="shared" si="57"/>
        <v>13408.9</v>
      </c>
      <c r="E214" s="24">
        <f t="shared" si="57"/>
        <v>22172.87</v>
      </c>
      <c r="F214" s="24">
        <f t="shared" si="57"/>
        <v>40239.81</v>
      </c>
      <c r="G214" s="24">
        <f t="shared" si="57"/>
        <v>9139.94</v>
      </c>
      <c r="H214" s="24">
        <f t="shared" si="57"/>
        <v>237.41</v>
      </c>
      <c r="I214" s="24">
        <f t="shared" si="57"/>
        <v>86149.790000000008</v>
      </c>
    </row>
    <row r="215" spans="1:9" ht="11.25" customHeight="1">
      <c r="A215" s="99">
        <v>2014</v>
      </c>
      <c r="B215" s="24" t="str">
        <f t="shared" ref="B215:I215" si="58">B138</f>
        <v>-</v>
      </c>
      <c r="C215" s="24">
        <f t="shared" si="58"/>
        <v>1720.4199999999998</v>
      </c>
      <c r="D215" s="24">
        <f t="shared" si="58"/>
        <v>13613.91</v>
      </c>
      <c r="E215" s="24">
        <f t="shared" si="58"/>
        <v>43413.29</v>
      </c>
      <c r="F215" s="24">
        <f t="shared" si="58"/>
        <v>53288.83</v>
      </c>
      <c r="G215" s="24">
        <f t="shared" si="58"/>
        <v>19471.050000000003</v>
      </c>
      <c r="H215" s="24">
        <f t="shared" si="58"/>
        <v>364.82</v>
      </c>
      <c r="I215" s="24">
        <f t="shared" si="58"/>
        <v>131872.32000000001</v>
      </c>
    </row>
    <row r="216" spans="1:9" ht="11.25" customHeight="1">
      <c r="A216" s="99">
        <v>2015</v>
      </c>
      <c r="B216" s="24" t="str">
        <f t="shared" ref="B216:I216" si="59">B139</f>
        <v>-</v>
      </c>
      <c r="C216" s="24">
        <f t="shared" si="59"/>
        <v>1709.96</v>
      </c>
      <c r="D216" s="24">
        <f t="shared" si="59"/>
        <v>12019.32</v>
      </c>
      <c r="E216" s="24">
        <f t="shared" si="59"/>
        <v>40021.919999999998</v>
      </c>
      <c r="F216" s="24">
        <f t="shared" si="59"/>
        <v>34154.82</v>
      </c>
      <c r="G216" s="24">
        <f t="shared" si="59"/>
        <v>17537.28</v>
      </c>
      <c r="H216" s="24">
        <f t="shared" si="59"/>
        <v>300.16000000000003</v>
      </c>
      <c r="I216" s="24">
        <f t="shared" si="59"/>
        <v>105743.45999999999</v>
      </c>
    </row>
    <row r="217" spans="1:9" ht="11.25" customHeight="1">
      <c r="A217" s="99">
        <v>2016</v>
      </c>
      <c r="B217" s="24" t="str">
        <f t="shared" ref="B217:I217" si="60">B140</f>
        <v>-</v>
      </c>
      <c r="C217" s="24" t="str">
        <f t="shared" si="60"/>
        <v>-</v>
      </c>
      <c r="D217" s="24" t="str">
        <f t="shared" si="60"/>
        <v>-</v>
      </c>
      <c r="E217" s="24">
        <f t="shared" si="60"/>
        <v>27378.379999999997</v>
      </c>
      <c r="F217" s="24">
        <f t="shared" si="60"/>
        <v>28390.250000000004</v>
      </c>
      <c r="G217" s="24" t="str">
        <f t="shared" si="60"/>
        <v>-</v>
      </c>
      <c r="H217" s="24" t="str">
        <f t="shared" si="60"/>
        <v>-</v>
      </c>
      <c r="I217" s="24">
        <f t="shared" si="60"/>
        <v>55768.63</v>
      </c>
    </row>
    <row r="218" spans="1:9" ht="11.25" customHeight="1">
      <c r="A218" s="99">
        <v>2017</v>
      </c>
      <c r="B218" s="24" t="str">
        <f t="shared" ref="B218:I218" si="61">B141</f>
        <v>-</v>
      </c>
      <c r="C218" s="24" t="str">
        <f t="shared" si="61"/>
        <v>-</v>
      </c>
      <c r="D218" s="24">
        <f t="shared" si="61"/>
        <v>1443.64</v>
      </c>
      <c r="E218" s="24">
        <f t="shared" si="61"/>
        <v>32785.040000000001</v>
      </c>
      <c r="F218" s="24">
        <f t="shared" si="61"/>
        <v>34950.269999999997</v>
      </c>
      <c r="G218" s="24">
        <f t="shared" si="61"/>
        <v>841.76</v>
      </c>
      <c r="H218" s="24" t="str">
        <f t="shared" si="61"/>
        <v>-</v>
      </c>
      <c r="I218" s="24">
        <f t="shared" si="61"/>
        <v>70020.709999999992</v>
      </c>
    </row>
    <row r="219" spans="1:9" ht="11.25" customHeight="1">
      <c r="A219" s="99">
        <v>2018</v>
      </c>
      <c r="B219" s="24" t="str">
        <f t="shared" ref="B219:I219" si="62">B142</f>
        <v>-</v>
      </c>
      <c r="C219" s="24" t="str">
        <f t="shared" si="62"/>
        <v>-</v>
      </c>
      <c r="D219" s="24">
        <f t="shared" si="62"/>
        <v>2823.55</v>
      </c>
      <c r="E219" s="24">
        <f t="shared" si="62"/>
        <v>21345.309999999998</v>
      </c>
      <c r="F219" s="24">
        <f t="shared" si="62"/>
        <v>30327.200000000001</v>
      </c>
      <c r="G219" s="24">
        <f t="shared" si="62"/>
        <v>1171.08</v>
      </c>
      <c r="H219" s="24" t="str">
        <f t="shared" si="62"/>
        <v>-</v>
      </c>
      <c r="I219" s="24">
        <f t="shared" si="62"/>
        <v>55667.14</v>
      </c>
    </row>
    <row r="220" spans="1:9" ht="11.25" customHeight="1">
      <c r="A220" s="99">
        <v>2019</v>
      </c>
      <c r="B220" s="24" t="str">
        <f t="shared" ref="B220:I220" si="63">B143</f>
        <v>-</v>
      </c>
      <c r="C220" s="24" t="str">
        <f t="shared" si="63"/>
        <v>-</v>
      </c>
      <c r="D220" s="24">
        <f t="shared" si="63"/>
        <v>7984.6299999999992</v>
      </c>
      <c r="E220" s="24">
        <f t="shared" si="63"/>
        <v>31145.33</v>
      </c>
      <c r="F220" s="24">
        <f t="shared" si="63"/>
        <v>36810.590000000004</v>
      </c>
      <c r="G220" s="24">
        <f t="shared" si="63"/>
        <v>4181.43</v>
      </c>
      <c r="H220" s="24">
        <f t="shared" si="63"/>
        <v>239.57</v>
      </c>
      <c r="I220" s="24">
        <f t="shared" si="63"/>
        <v>80361.55</v>
      </c>
    </row>
    <row r="221" spans="1:9" ht="11.25" customHeight="1">
      <c r="A221" s="99">
        <v>2020</v>
      </c>
      <c r="B221" s="24" t="str">
        <f t="shared" ref="B221:I222" si="64">B144</f>
        <v>-</v>
      </c>
      <c r="C221" s="24" t="str">
        <f t="shared" si="64"/>
        <v>-</v>
      </c>
      <c r="D221" s="24">
        <f t="shared" si="64"/>
        <v>2694.92</v>
      </c>
      <c r="E221" s="24">
        <f t="shared" si="64"/>
        <v>24183.200000000001</v>
      </c>
      <c r="F221" s="24">
        <f t="shared" si="64"/>
        <v>7118.7699999999995</v>
      </c>
      <c r="G221" s="24">
        <f t="shared" si="64"/>
        <v>3340.91</v>
      </c>
      <c r="H221" s="24" t="str">
        <f t="shared" si="64"/>
        <v>-</v>
      </c>
      <c r="I221" s="24">
        <f t="shared" si="64"/>
        <v>37337.800000000003</v>
      </c>
    </row>
    <row r="222" spans="1:9" ht="11.25" customHeight="1">
      <c r="A222" s="99" t="s">
        <v>318</v>
      </c>
      <c r="B222" s="24" t="str">
        <f t="shared" si="64"/>
        <v>-</v>
      </c>
      <c r="C222" s="24" t="str">
        <f t="shared" si="64"/>
        <v>-</v>
      </c>
      <c r="D222" s="24">
        <f t="shared" si="64"/>
        <v>5326.35</v>
      </c>
      <c r="E222" s="24">
        <f t="shared" si="64"/>
        <v>30706.689999999995</v>
      </c>
      <c r="F222" s="24">
        <f t="shared" si="64"/>
        <v>37953.490000000005</v>
      </c>
      <c r="G222" s="24">
        <f t="shared" si="64"/>
        <v>4768.3500000000004</v>
      </c>
      <c r="H222" s="24" t="str">
        <f t="shared" si="64"/>
        <v>-</v>
      </c>
      <c r="I222" s="24">
        <f t="shared" si="64"/>
        <v>78754.880000000005</v>
      </c>
    </row>
    <row r="223" spans="1:9" ht="11.25" customHeight="1">
      <c r="A223" s="342" t="s">
        <v>88</v>
      </c>
      <c r="B223" s="342"/>
      <c r="C223" s="342"/>
      <c r="D223" s="342"/>
      <c r="E223" s="342"/>
      <c r="F223" s="342"/>
      <c r="G223" s="342"/>
      <c r="H223" s="342"/>
      <c r="I223" s="342"/>
    </row>
    <row r="224" spans="1:9" ht="11.25" customHeight="1">
      <c r="A224" s="281"/>
      <c r="B224" s="281"/>
      <c r="C224" s="281"/>
      <c r="D224" s="281"/>
      <c r="E224" s="281"/>
      <c r="F224" s="281"/>
      <c r="G224" s="281"/>
      <c r="H224" s="281"/>
      <c r="I224" s="281"/>
    </row>
    <row r="225" spans="1:9" ht="11.25" customHeight="1">
      <c r="A225" s="281" t="s">
        <v>0</v>
      </c>
      <c r="B225" s="281"/>
      <c r="C225" s="281"/>
      <c r="D225" s="281"/>
      <c r="E225" s="281"/>
      <c r="F225" s="281"/>
      <c r="G225" s="281"/>
      <c r="H225" s="281"/>
      <c r="I225" s="281"/>
    </row>
    <row r="226" spans="1:9" ht="11.25" customHeight="1">
      <c r="A226" s="281" t="s">
        <v>126</v>
      </c>
      <c r="B226" s="281"/>
      <c r="C226" s="281"/>
      <c r="D226" s="281"/>
      <c r="E226" s="281"/>
      <c r="F226" s="281"/>
      <c r="G226" s="281"/>
      <c r="H226" s="281"/>
      <c r="I226" s="281"/>
    </row>
    <row r="227" spans="1:9" ht="11.25" customHeight="1">
      <c r="A227" s="287" t="s">
        <v>40</v>
      </c>
      <c r="B227" s="287"/>
      <c r="C227" s="287"/>
      <c r="D227" s="287"/>
      <c r="E227" s="287"/>
      <c r="F227" s="287"/>
      <c r="G227" s="287"/>
      <c r="H227" s="287"/>
      <c r="I227" s="287"/>
    </row>
    <row r="228" spans="1:9" ht="11.25" customHeight="1">
      <c r="A228" s="226"/>
      <c r="B228" s="50"/>
      <c r="C228" s="50"/>
      <c r="D228" s="50"/>
      <c r="E228" s="50"/>
      <c r="F228" s="50"/>
      <c r="G228" s="50"/>
      <c r="H228" s="50"/>
      <c r="I228" s="50"/>
    </row>
    <row r="229" spans="1:9" ht="11.25" customHeight="1"/>
    <row r="230" spans="1:9" ht="11.25" customHeight="1"/>
    <row r="231" spans="1:9" ht="11.25" customHeight="1"/>
    <row r="232" spans="1:9" ht="11.25" customHeight="1"/>
    <row r="233" spans="1:9" ht="11.25" customHeight="1"/>
    <row r="234" spans="1:9" ht="11.25" customHeight="1"/>
    <row r="235" spans="1:9" ht="11.25" customHeight="1"/>
    <row r="236" spans="1:9" ht="11.25" customHeight="1"/>
    <row r="237" spans="1:9" ht="11.25" customHeight="1"/>
    <row r="238" spans="1:9" ht="11.25" customHeight="1"/>
    <row r="239" spans="1:9" ht="11.25" customHeight="1"/>
    <row r="240" spans="1:9" ht="11.25" customHeight="1"/>
    <row r="241" ht="11.25" customHeight="1"/>
    <row r="242" ht="11.25" customHeight="1"/>
    <row r="243" ht="11.25" customHeight="1"/>
    <row r="244" ht="11.25" customHeight="1"/>
    <row r="245" ht="11.25" customHeight="1"/>
  </sheetData>
  <mergeCells count="10">
    <mergeCell ref="A225:I225"/>
    <mergeCell ref="A226:I226"/>
    <mergeCell ref="A227:I227"/>
    <mergeCell ref="A165:I165"/>
    <mergeCell ref="A1:I1"/>
    <mergeCell ref="A146:I147"/>
    <mergeCell ref="A148:I148"/>
    <mergeCell ref="A149:I149"/>
    <mergeCell ref="A150:I150"/>
    <mergeCell ref="A223:I224"/>
  </mergeCells>
  <pageMargins left="0.7" right="0.7" top="0.75" bottom="0.75" header="0.3" footer="0.3"/>
  <pageSetup scale="92"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61"/>
  <dimension ref="A1:U240"/>
  <sheetViews>
    <sheetView showGridLines="0" zoomScaleNormal="100" workbookViewId="0">
      <selection activeCell="N421" sqref="N421"/>
    </sheetView>
  </sheetViews>
  <sheetFormatPr baseColWidth="10" defaultColWidth="9" defaultRowHeight="16"/>
  <cols>
    <col min="1" max="1" width="9" style="218"/>
    <col min="2" max="9" width="6.33203125" style="218" customWidth="1"/>
    <col min="10" max="10" width="1" style="218" customWidth="1"/>
    <col min="11" max="17" width="6.33203125" style="218" customWidth="1"/>
    <col min="18" max="18" width="6.6640625" style="218" customWidth="1"/>
    <col min="19" max="16384" width="9" style="218"/>
  </cols>
  <sheetData>
    <row r="1" spans="1:21" ht="11.25" customHeight="1">
      <c r="A1" s="283" t="s">
        <v>239</v>
      </c>
      <c r="B1" s="283"/>
      <c r="C1" s="283"/>
      <c r="D1" s="283"/>
      <c r="E1" s="283"/>
      <c r="F1" s="283"/>
      <c r="G1" s="283"/>
      <c r="H1" s="283"/>
      <c r="I1" s="283"/>
      <c r="J1" s="283"/>
      <c r="K1" s="283"/>
      <c r="L1" s="283"/>
      <c r="M1" s="283"/>
      <c r="N1" s="283"/>
      <c r="O1" s="283"/>
      <c r="P1" s="283"/>
      <c r="Q1" s="283"/>
      <c r="R1" s="283"/>
      <c r="U1" s="173" t="s">
        <v>181</v>
      </c>
    </row>
    <row r="2" spans="1:21" ht="11.25" customHeight="1">
      <c r="A2" s="98" t="s">
        <v>27</v>
      </c>
      <c r="B2" s="46" t="s">
        <v>108</v>
      </c>
      <c r="C2" s="46" t="s">
        <v>29</v>
      </c>
      <c r="D2" s="46" t="s">
        <v>30</v>
      </c>
      <c r="E2" s="46" t="s">
        <v>31</v>
      </c>
      <c r="F2" s="46" t="s">
        <v>32</v>
      </c>
      <c r="G2" s="46" t="s">
        <v>33</v>
      </c>
      <c r="H2" s="46" t="s">
        <v>34</v>
      </c>
      <c r="I2" s="133" t="s">
        <v>219</v>
      </c>
      <c r="J2" s="47"/>
      <c r="K2" s="46" t="s">
        <v>108</v>
      </c>
      <c r="L2" s="46" t="s">
        <v>29</v>
      </c>
      <c r="M2" s="46" t="s">
        <v>30</v>
      </c>
      <c r="N2" s="46" t="s">
        <v>31</v>
      </c>
      <c r="O2" s="46" t="s">
        <v>32</v>
      </c>
      <c r="P2" s="46" t="s">
        <v>33</v>
      </c>
      <c r="Q2" s="46" t="s">
        <v>34</v>
      </c>
      <c r="R2" s="46" t="s">
        <v>22</v>
      </c>
    </row>
    <row r="3" spans="1:21" ht="11.25" customHeight="1">
      <c r="A3" s="99"/>
      <c r="B3" s="334" t="s">
        <v>61</v>
      </c>
      <c r="C3" s="334"/>
      <c r="D3" s="334"/>
      <c r="E3" s="334"/>
      <c r="F3" s="334"/>
      <c r="G3" s="334"/>
      <c r="H3" s="334"/>
      <c r="I3" s="334"/>
      <c r="J3" s="6"/>
      <c r="K3" s="334" t="s">
        <v>62</v>
      </c>
      <c r="L3" s="334"/>
      <c r="M3" s="334"/>
      <c r="N3" s="334"/>
      <c r="O3" s="334"/>
      <c r="P3" s="334"/>
      <c r="Q3" s="334"/>
      <c r="R3" s="334"/>
    </row>
    <row r="4" spans="1:21" ht="11.25" customHeight="1">
      <c r="A4" s="94" t="s">
        <v>240</v>
      </c>
    </row>
    <row r="5" spans="1:21" ht="11.25" customHeight="1">
      <c r="A5" s="99">
        <v>1976</v>
      </c>
      <c r="B5" s="142" t="str">
        <f>IF(AND('A-18'!B5="-",'A-18'!B53="-",'A-18'!B101="-"),"-",SUM('A-18'!B5,'A-18'!B53,'A-18'!B101))</f>
        <v>-</v>
      </c>
      <c r="C5" s="142">
        <f>IF(AND('A-18'!C5="-",'A-18'!C53="-",'A-18'!C101="-"),"-",SUM('A-18'!C5,'A-18'!C53,'A-18'!C101))</f>
        <v>9738</v>
      </c>
      <c r="D5" s="142">
        <f>IF(AND('A-18'!D5="-",'A-18'!D53="-",'A-18'!D101="-"),"-",SUM('A-18'!D5,'A-18'!D53,'A-18'!D101))</f>
        <v>28478</v>
      </c>
      <c r="E5" s="142">
        <f>IF(AND('A-18'!E5="-",'A-18'!E53="-",'A-18'!E101="-"),"-",SUM('A-18'!E5,'A-18'!E53,'A-18'!E101))</f>
        <v>40237</v>
      </c>
      <c r="F5" s="142">
        <f>IF(AND('A-18'!F5="-",'A-18'!F53="-",'A-18'!F101="-"),"-",SUM('A-18'!F5,'A-18'!F53,'A-18'!F101))</f>
        <v>18100</v>
      </c>
      <c r="G5" s="142">
        <f>IF(AND('A-18'!G5="-",'A-18'!G53="-",'A-18'!G101="-"),"-",SUM('A-18'!G5,'A-18'!G53,'A-18'!G101))</f>
        <v>11565</v>
      </c>
      <c r="H5" s="142">
        <f>IF(AND('A-18'!H5="-",'A-18'!H53="-",'A-18'!H101="-"),"-",SUM('A-18'!H5,'A-18'!H53,'A-18'!H101))</f>
        <v>1627</v>
      </c>
      <c r="I5" s="142">
        <f>IF(AND('A-18'!I5="-",'A-18'!I53="-",'A-18'!I101="-"),"-",SUM('A-18'!I5,'A-18'!I53,'A-18'!I101))</f>
        <v>109745</v>
      </c>
      <c r="K5" s="142">
        <f>IF(AND('A-18'!K5="-",'A-18'!K53="-",'A-18'!K101="-"),"-",SUM('A-18'!K5,'A-18'!K53,'A-18'!K101))</f>
        <v>65</v>
      </c>
      <c r="L5" s="142">
        <f>IF(AND('A-18'!L5="-",'A-18'!L53="-",'A-18'!L101="-"),"-",SUM('A-18'!L5,'A-18'!L53,'A-18'!L101))</f>
        <v>19918</v>
      </c>
      <c r="M5" s="142">
        <f>IF(AND('A-18'!M5="-",'A-18'!M53="-",'A-18'!M101="-"),"-",SUM('A-18'!M5,'A-18'!M53,'A-18'!M101))</f>
        <v>76393</v>
      </c>
      <c r="N5" s="142">
        <f>IF(AND('A-18'!N5="-",'A-18'!N53="-",'A-18'!N101="-"),"-",SUM('A-18'!N5,'A-18'!N53,'A-18'!N101))</f>
        <v>186682</v>
      </c>
      <c r="O5" s="142">
        <f>IF(AND('A-18'!O5="-",'A-18'!O53="-",'A-18'!O101="-"),"-",SUM('A-18'!O5,'A-18'!O53,'A-18'!O101))</f>
        <v>193834</v>
      </c>
      <c r="P5" s="142">
        <f>IF(AND('A-18'!P5="-",'A-18'!P53="-",'A-18'!P101="-"),"-",SUM('A-18'!P5,'A-18'!P53,'A-18'!P101))</f>
        <v>88555</v>
      </c>
      <c r="Q5" s="142">
        <f>IF(AND('A-18'!Q5="-",'A-18'!Q53="-",'A-18'!Q101="-"),"-",SUM('A-18'!Q5,'A-18'!Q53,'A-18'!Q101))</f>
        <v>5516</v>
      </c>
      <c r="R5" s="142">
        <f>IF(AND('A-18'!R5="-",'A-18'!R53="-",'A-18'!R101="-"),"-",SUM('A-18'!R5,'A-18'!R53,'A-18'!R101))</f>
        <v>570963</v>
      </c>
      <c r="S5" s="17">
        <f>SUM(K5:Q5)</f>
        <v>570963</v>
      </c>
      <c r="T5" s="17">
        <f>+S5-R5</f>
        <v>0</v>
      </c>
    </row>
    <row r="6" spans="1:21" ht="11.25" customHeight="1">
      <c r="A6" s="99">
        <v>1977</v>
      </c>
      <c r="B6" s="142">
        <f>IF(AND('A-18'!B6="-",'A-18'!B54="-",'A-18'!B102="-"),"-",SUM('A-18'!B6,'A-18'!B54,'A-18'!B102))</f>
        <v>3696</v>
      </c>
      <c r="C6" s="142">
        <f>IF(AND('A-18'!C6="-",'A-18'!C54="-",'A-18'!C102="-"),"-",SUM('A-18'!C6,'A-18'!C54,'A-18'!C102))</f>
        <v>4092</v>
      </c>
      <c r="D6" s="142">
        <f>IF(AND('A-18'!D6="-",'A-18'!D54="-",'A-18'!D102="-"),"-",SUM('A-18'!D6,'A-18'!D54,'A-18'!D102))</f>
        <v>25696</v>
      </c>
      <c r="E6" s="142">
        <f>IF(AND('A-18'!E6="-",'A-18'!E54="-",'A-18'!E102="-"),"-",SUM('A-18'!E6,'A-18'!E54,'A-18'!E102))</f>
        <v>21761</v>
      </c>
      <c r="F6" s="142">
        <f>IF(AND('A-18'!F6="-",'A-18'!F54="-",'A-18'!F102="-"),"-",SUM('A-18'!F6,'A-18'!F54,'A-18'!F102))</f>
        <v>35917</v>
      </c>
      <c r="G6" s="142">
        <f>IF(AND('A-18'!G6="-",'A-18'!G54="-",'A-18'!G102="-"),"-",SUM('A-18'!G6,'A-18'!G54,'A-18'!G102))</f>
        <v>18199</v>
      </c>
      <c r="H6" s="142">
        <f>IF(AND('A-18'!H6="-",'A-18'!H54="-",'A-18'!H102="-"),"-",SUM('A-18'!H6,'A-18'!H54,'A-18'!H102))</f>
        <v>1603</v>
      </c>
      <c r="I6" s="142">
        <f>IF(AND('A-18'!I6="-",'A-18'!I54="-",'A-18'!I102="-"),"-",SUM('A-18'!I6,'A-18'!I54,'A-18'!I102))</f>
        <v>110964</v>
      </c>
      <c r="K6" s="142">
        <f>IF(AND('A-18'!K6="-",'A-18'!K54="-",'A-18'!K102="-"),"-",SUM('A-18'!K6,'A-18'!K54,'A-18'!K102))</f>
        <v>354</v>
      </c>
      <c r="L6" s="142">
        <f>IF(AND('A-18'!L6="-",'A-18'!L54="-",'A-18'!L102="-"),"-",SUM('A-18'!L6,'A-18'!L54,'A-18'!L102))</f>
        <v>16475</v>
      </c>
      <c r="M6" s="142">
        <f>IF(AND('A-18'!M6="-",'A-18'!M54="-",'A-18'!M102="-"),"-",SUM('A-18'!M6,'A-18'!M54,'A-18'!M102))</f>
        <v>37625</v>
      </c>
      <c r="N6" s="142">
        <f>IF(AND('A-18'!N6="-",'A-18'!N54="-",'A-18'!N102="-"),"-",SUM('A-18'!N6,'A-18'!N54,'A-18'!N102))</f>
        <v>115540</v>
      </c>
      <c r="O6" s="142">
        <f>IF(AND('A-18'!O6="-",'A-18'!O54="-",'A-18'!O102="-"),"-",SUM('A-18'!O6,'A-18'!O54,'A-18'!O102))</f>
        <v>102238</v>
      </c>
      <c r="P6" s="142">
        <f>IF(AND('A-18'!P6="-",'A-18'!P54="-",'A-18'!P102="-"),"-",SUM('A-18'!P6,'A-18'!P54,'A-18'!P102))</f>
        <v>32149</v>
      </c>
      <c r="Q6" s="142">
        <f>IF(AND('A-18'!Q6="-",'A-18'!Q54="-",'A-18'!Q102="-"),"-",SUM('A-18'!Q6,'A-18'!Q54,'A-18'!Q102))</f>
        <v>2890</v>
      </c>
      <c r="R6" s="142">
        <f>IF(AND('A-18'!R6="-",'A-18'!R54="-",'A-18'!R102="-"),"-",SUM('A-18'!R6,'A-18'!R54,'A-18'!R102))</f>
        <v>307271</v>
      </c>
      <c r="S6" s="17"/>
      <c r="T6" s="17"/>
    </row>
    <row r="7" spans="1:21" ht="11.25" customHeight="1">
      <c r="A7" s="99">
        <v>1978</v>
      </c>
      <c r="B7" s="142">
        <f>IF(AND('A-18'!B7="-",'A-18'!B55="-",'A-18'!B103="-"),"-",SUM('A-18'!B7,'A-18'!B55,'A-18'!B103))</f>
        <v>2405</v>
      </c>
      <c r="C7" s="142">
        <f>IF(AND('A-18'!C7="-",'A-18'!C55="-",'A-18'!C103="-"),"-",SUM('A-18'!C7,'A-18'!C55,'A-18'!C103))</f>
        <v>8841</v>
      </c>
      <c r="D7" s="142">
        <f>IF(AND('A-18'!D7="-",'A-18'!D55="-",'A-18'!D103="-"),"-",SUM('A-18'!D7,'A-18'!D55,'A-18'!D103))</f>
        <v>29101</v>
      </c>
      <c r="E7" s="142">
        <f>IF(AND('A-18'!E7="-",'A-18'!E55="-",'A-18'!E103="-"),"-",SUM('A-18'!E7,'A-18'!E55,'A-18'!E103))</f>
        <v>15922</v>
      </c>
      <c r="F7" s="142">
        <f>IF(AND('A-18'!F7="-",'A-18'!F55="-",'A-18'!F103="-"),"-",SUM('A-18'!F7,'A-18'!F55,'A-18'!F103))</f>
        <v>14530</v>
      </c>
      <c r="G7" s="142">
        <f>IF(AND('A-18'!G7="-",'A-18'!G55="-",'A-18'!G103="-"),"-",SUM('A-18'!G7,'A-18'!G55,'A-18'!G103))</f>
        <v>2673</v>
      </c>
      <c r="H7" s="142">
        <f>IF(AND('A-18'!H7="-",'A-18'!H55="-",'A-18'!H103="-"),"-",SUM('A-18'!H7,'A-18'!H55,'A-18'!H103))</f>
        <v>1166</v>
      </c>
      <c r="I7" s="142">
        <f>IF(AND('A-18'!I7="-",'A-18'!I55="-",'A-18'!I103="-"),"-",SUM('A-18'!I7,'A-18'!I55,'A-18'!I103))</f>
        <v>74638</v>
      </c>
      <c r="K7" s="142">
        <f>IF(AND('A-18'!K7="-",'A-18'!K55="-",'A-18'!K103="-"),"-",SUM('A-18'!K7,'A-18'!K55,'A-18'!K103))</f>
        <v>390</v>
      </c>
      <c r="L7" s="142">
        <f>IF(AND('A-18'!L7="-",'A-18'!L55="-",'A-18'!L103="-"),"-",SUM('A-18'!L7,'A-18'!L55,'A-18'!L103))</f>
        <v>7478</v>
      </c>
      <c r="M7" s="142">
        <f>IF(AND('A-18'!M7="-",'A-18'!M55="-",'A-18'!M103="-"),"-",SUM('A-18'!M7,'A-18'!M55,'A-18'!M103))</f>
        <v>53521</v>
      </c>
      <c r="N7" s="142">
        <f>IF(AND('A-18'!N7="-",'A-18'!N55="-",'A-18'!N103="-"),"-",SUM('A-18'!N7,'A-18'!N55,'A-18'!N103))</f>
        <v>91588</v>
      </c>
      <c r="O7" s="142">
        <f>IF(AND('A-18'!O7="-",'A-18'!O55="-",'A-18'!O103="-"),"-",SUM('A-18'!O7,'A-18'!O55,'A-18'!O103))</f>
        <v>78533</v>
      </c>
      <c r="P7" s="142">
        <f>IF(AND('A-18'!P7="-",'A-18'!P55="-",'A-18'!P103="-"),"-",SUM('A-18'!P7,'A-18'!P55,'A-18'!P103))</f>
        <v>37730</v>
      </c>
      <c r="Q7" s="142">
        <f>IF(AND('A-18'!Q7="-",'A-18'!Q55="-",'A-18'!Q103="-"),"-",SUM('A-18'!Q7,'A-18'!Q55,'A-18'!Q103))</f>
        <v>1800</v>
      </c>
      <c r="R7" s="142">
        <f>IF(AND('A-18'!R7="-",'A-18'!R55="-",'A-18'!R103="-"),"-",SUM('A-18'!R7,'A-18'!R55,'A-18'!R103))</f>
        <v>271040</v>
      </c>
      <c r="S7" s="17"/>
      <c r="T7" s="17"/>
    </row>
    <row r="8" spans="1:21" ht="11.25" customHeight="1">
      <c r="A8" s="99">
        <v>1979</v>
      </c>
      <c r="B8" s="142">
        <f>IF(AND('A-18'!B8="-",'A-18'!B56="-",'A-18'!B104="-"),"-",SUM('A-18'!B8,'A-18'!B56,'A-18'!B104))</f>
        <v>504</v>
      </c>
      <c r="C8" s="142">
        <f>IF(AND('A-18'!C8="-",'A-18'!C56="-",'A-18'!C104="-"),"-",SUM('A-18'!C8,'A-18'!C56,'A-18'!C104))</f>
        <v>7163</v>
      </c>
      <c r="D8" s="142">
        <f>IF(AND('A-18'!D8="-",'A-18'!D56="-",'A-18'!D104="-"),"-",SUM('A-18'!D8,'A-18'!D56,'A-18'!D104))</f>
        <v>16425</v>
      </c>
      <c r="E8" s="142">
        <f>IF(AND('A-18'!E8="-",'A-18'!E56="-",'A-18'!E104="-"),"-",SUM('A-18'!E8,'A-18'!E56,'A-18'!E104))</f>
        <v>11401</v>
      </c>
      <c r="F8" s="142">
        <f>IF(AND('A-18'!F8="-",'A-18'!F56="-",'A-18'!F104="-"),"-",SUM('A-18'!F8,'A-18'!F56,'A-18'!F104))</f>
        <v>17407</v>
      </c>
      <c r="G8" s="142">
        <f>IF(AND('A-18'!G8="-",'A-18'!G56="-",'A-18'!G104="-"),"-",SUM('A-18'!G8,'A-18'!G56,'A-18'!G104))</f>
        <v>102</v>
      </c>
      <c r="H8" s="142">
        <f>IF(AND('A-18'!H8="-",'A-18'!H56="-",'A-18'!H104="-"),"-",SUM('A-18'!H8,'A-18'!H56,'A-18'!H104))</f>
        <v>14</v>
      </c>
      <c r="I8" s="142">
        <f>IF(AND('A-18'!I8="-",'A-18'!I56="-",'A-18'!I104="-"),"-",SUM('A-18'!I8,'A-18'!I56,'A-18'!I104))</f>
        <v>53016</v>
      </c>
      <c r="K8" s="142">
        <f>IF(AND('A-18'!K8="-",'A-18'!K56="-",'A-18'!K104="-"),"-",SUM('A-18'!K8,'A-18'!K56,'A-18'!K104))</f>
        <v>408</v>
      </c>
      <c r="L8" s="142">
        <f>IF(AND('A-18'!L8="-",'A-18'!L56="-",'A-18'!L104="-"),"-",SUM('A-18'!L8,'A-18'!L56,'A-18'!L104))</f>
        <v>5030</v>
      </c>
      <c r="M8" s="142">
        <f>IF(AND('A-18'!M8="-",'A-18'!M56="-",'A-18'!M104="-"),"-",SUM('A-18'!M8,'A-18'!M56,'A-18'!M104))</f>
        <v>28331</v>
      </c>
      <c r="N8" s="142">
        <f>IF(AND('A-18'!N8="-",'A-18'!N56="-",'A-18'!N104="-"),"-",SUM('A-18'!N8,'A-18'!N56,'A-18'!N104))</f>
        <v>70320</v>
      </c>
      <c r="O8" s="142">
        <f>IF(AND('A-18'!O8="-",'A-18'!O56="-",'A-18'!O104="-"),"-",SUM('A-18'!O8,'A-18'!O56,'A-18'!O104))</f>
        <v>62952</v>
      </c>
      <c r="P8" s="142">
        <f>IF(AND('A-18'!P8="-",'A-18'!P56="-",'A-18'!P104="-"),"-",SUM('A-18'!P8,'A-18'!P56,'A-18'!P104))</f>
        <v>2755</v>
      </c>
      <c r="Q8" s="142">
        <f>IF(AND('A-18'!Q8="-",'A-18'!Q56="-",'A-18'!Q104="-"),"-",SUM('A-18'!Q8,'A-18'!Q56,'A-18'!Q104))</f>
        <v>235</v>
      </c>
      <c r="R8" s="142">
        <f>IF(AND('A-18'!R8="-",'A-18'!R56="-",'A-18'!R104="-"),"-",SUM('A-18'!R8,'A-18'!R56,'A-18'!R104))</f>
        <v>170031</v>
      </c>
      <c r="S8" s="17"/>
      <c r="T8" s="17"/>
    </row>
    <row r="9" spans="1:21" ht="11.25" customHeight="1">
      <c r="A9" s="99">
        <v>1980</v>
      </c>
      <c r="B9" s="142" t="str">
        <f>IF(AND('A-18'!B9="-",'A-18'!B57="-",'A-18'!B105="-"),"-",SUM('A-18'!B9,'A-18'!B57,'A-18'!B105))</f>
        <v>-</v>
      </c>
      <c r="C9" s="142">
        <f>IF(AND('A-18'!C9="-",'A-18'!C57="-",'A-18'!C105="-"),"-",SUM('A-18'!C9,'A-18'!C57,'A-18'!C105))</f>
        <v>1592</v>
      </c>
      <c r="D9" s="142">
        <f>IF(AND('A-18'!D9="-",'A-18'!D57="-",'A-18'!D105="-"),"-",SUM('A-18'!D9,'A-18'!D57,'A-18'!D105))</f>
        <v>10881</v>
      </c>
      <c r="E9" s="142">
        <f>IF(AND('A-18'!E9="-",'A-18'!E57="-",'A-18'!E105="-"),"-",SUM('A-18'!E9,'A-18'!E57,'A-18'!E105))</f>
        <v>17702</v>
      </c>
      <c r="F9" s="142">
        <f>IF(AND('A-18'!F9="-",'A-18'!F57="-",'A-18'!F105="-"),"-",SUM('A-18'!F9,'A-18'!F57,'A-18'!F105))</f>
        <v>6974</v>
      </c>
      <c r="G9" s="142">
        <f>IF(AND('A-18'!G9="-",'A-18'!G57="-",'A-18'!G105="-"),"-",SUM('A-18'!G9,'A-18'!G57,'A-18'!G105))</f>
        <v>103</v>
      </c>
      <c r="H9" s="142" t="str">
        <f>IF(AND('A-18'!H9="-",'A-18'!H57="-",'A-18'!H105="-"),"-",SUM('A-18'!H9,'A-18'!H57,'A-18'!H105))</f>
        <v>-</v>
      </c>
      <c r="I9" s="142">
        <f>IF(AND('A-18'!I9="-",'A-18'!I57="-",'A-18'!I105="-"),"-",SUM('A-18'!I9,'A-18'!I57,'A-18'!I105))</f>
        <v>37252</v>
      </c>
      <c r="K9" s="142" t="str">
        <f>IF(AND('A-18'!K9="-",'A-18'!K57="-",'A-18'!K105="-"),"-",SUM('A-18'!K9,'A-18'!K57,'A-18'!K105))</f>
        <v>-</v>
      </c>
      <c r="L9" s="142">
        <f>IF(AND('A-18'!L9="-",'A-18'!L57="-",'A-18'!L105="-"),"-",SUM('A-18'!L9,'A-18'!L57,'A-18'!L105))</f>
        <v>17008</v>
      </c>
      <c r="M9" s="142">
        <f>IF(AND('A-18'!M9="-",'A-18'!M57="-",'A-18'!M105="-"),"-",SUM('A-18'!M9,'A-18'!M57,'A-18'!M105))</f>
        <v>48334</v>
      </c>
      <c r="N9" s="142">
        <f>IF(AND('A-18'!N9="-",'A-18'!N57="-",'A-18'!N105="-"),"-",SUM('A-18'!N9,'A-18'!N57,'A-18'!N105))</f>
        <v>82998</v>
      </c>
      <c r="O9" s="142">
        <f>IF(AND('A-18'!O9="-",'A-18'!O57="-",'A-18'!O105="-"),"-",SUM('A-18'!O9,'A-18'!O57,'A-18'!O105))</f>
        <v>57329</v>
      </c>
      <c r="P9" s="142">
        <f>IF(AND('A-18'!P9="-",'A-18'!P57="-",'A-18'!P105="-"),"-",SUM('A-18'!P9,'A-18'!P57,'A-18'!P105))</f>
        <v>2683</v>
      </c>
      <c r="Q9" s="142">
        <f>IF(AND('A-18'!Q9="-",'A-18'!Q57="-",'A-18'!Q105="-"),"-",SUM('A-18'!Q9,'A-18'!Q57,'A-18'!Q105))</f>
        <v>44</v>
      </c>
      <c r="R9" s="142">
        <f>IF(AND('A-18'!R9="-",'A-18'!R57="-",'A-18'!R105="-"),"-",SUM('A-18'!R9,'A-18'!R57,'A-18'!R105))</f>
        <v>208396</v>
      </c>
      <c r="S9" s="17"/>
      <c r="T9" s="17"/>
    </row>
    <row r="10" spans="1:21" ht="11.25" customHeight="1">
      <c r="A10" s="99">
        <v>1981</v>
      </c>
      <c r="B10" s="142">
        <f>IF(AND('A-18'!B10="-",'A-18'!B58="-",'A-18'!B106="-"),"-",SUM('A-18'!B10,'A-18'!B58,'A-18'!B106))</f>
        <v>138</v>
      </c>
      <c r="C10" s="142">
        <f>IF(AND('A-18'!C10="-",'A-18'!C58="-",'A-18'!C106="-"),"-",SUM('A-18'!C10,'A-18'!C58,'A-18'!C106))</f>
        <v>2484</v>
      </c>
      <c r="D10" s="142">
        <f>IF(AND('A-18'!D10="-",'A-18'!D58="-",'A-18'!D106="-"),"-",SUM('A-18'!D10,'A-18'!D58,'A-18'!D106))</f>
        <v>11237</v>
      </c>
      <c r="E10" s="142">
        <f>IF(AND('A-18'!E10="-",'A-18'!E58="-",'A-18'!E106="-"),"-",SUM('A-18'!E10,'A-18'!E58,'A-18'!E106))</f>
        <v>30863</v>
      </c>
      <c r="F10" s="142">
        <f>IF(AND('A-18'!F10="-",'A-18'!F58="-",'A-18'!F106="-"),"-",SUM('A-18'!F10,'A-18'!F58,'A-18'!F106))</f>
        <v>15964</v>
      </c>
      <c r="G10" s="142">
        <f>IF(AND('A-18'!G10="-",'A-18'!G58="-",'A-18'!G106="-"),"-",SUM('A-18'!G10,'A-18'!G58,'A-18'!G106))</f>
        <v>51</v>
      </c>
      <c r="H10" s="142">
        <f>IF(AND('A-18'!H10="-",'A-18'!H58="-",'A-18'!H106="-"),"-",SUM('A-18'!H10,'A-18'!H58,'A-18'!H106))</f>
        <v>17</v>
      </c>
      <c r="I10" s="142">
        <f>IF(AND('A-18'!I10="-",'A-18'!I58="-",'A-18'!I106="-"),"-",SUM('A-18'!I10,'A-18'!I58,'A-18'!I106))</f>
        <v>60754</v>
      </c>
      <c r="K10" s="142">
        <f>IF(AND('A-18'!K10="-",'A-18'!K58="-",'A-18'!K106="-"),"-",SUM('A-18'!K10,'A-18'!K58,'A-18'!K106))</f>
        <v>80</v>
      </c>
      <c r="L10" s="142">
        <f>IF(AND('A-18'!L10="-",'A-18'!L58="-",'A-18'!L106="-"),"-",SUM('A-18'!L10,'A-18'!L58,'A-18'!L106))</f>
        <v>2937</v>
      </c>
      <c r="M10" s="142">
        <f>IF(AND('A-18'!M10="-",'A-18'!M58="-",'A-18'!M106="-"),"-",SUM('A-18'!M10,'A-18'!M58,'A-18'!M106))</f>
        <v>25023</v>
      </c>
      <c r="N10" s="142">
        <f>IF(AND('A-18'!N10="-",'A-18'!N58="-",'A-18'!N106="-"),"-",SUM('A-18'!N10,'A-18'!N58,'A-18'!N106))</f>
        <v>43215</v>
      </c>
      <c r="O10" s="142">
        <f>IF(AND('A-18'!O10="-",'A-18'!O58="-",'A-18'!O106="-"),"-",SUM('A-18'!O10,'A-18'!O58,'A-18'!O106))</f>
        <v>43452</v>
      </c>
      <c r="P10" s="142">
        <f>IF(AND('A-18'!P10="-",'A-18'!P58="-",'A-18'!P106="-"),"-",SUM('A-18'!P10,'A-18'!P58,'A-18'!P106))</f>
        <v>4244</v>
      </c>
      <c r="Q10" s="142">
        <f>IF(AND('A-18'!Q10="-",'A-18'!Q58="-",'A-18'!Q106="-"),"-",SUM('A-18'!Q10,'A-18'!Q58,'A-18'!Q106))</f>
        <v>372</v>
      </c>
      <c r="R10" s="142">
        <f>IF(AND('A-18'!R10="-",'A-18'!R58="-",'A-18'!R106="-"),"-",SUM('A-18'!R10,'A-18'!R58,'A-18'!R106))</f>
        <v>119323</v>
      </c>
      <c r="S10" s="17"/>
      <c r="T10" s="17"/>
    </row>
    <row r="11" spans="1:21" ht="11.25" customHeight="1">
      <c r="A11" s="99">
        <v>1982</v>
      </c>
      <c r="B11" s="142">
        <f>IF(AND('A-18'!B11="-",'A-18'!B59="-",'A-18'!B107="-"),"-",SUM('A-18'!B11,'A-18'!B59,'A-18'!B107))</f>
        <v>3</v>
      </c>
      <c r="C11" s="142">
        <f>IF(AND('A-18'!C11="-",'A-18'!C59="-",'A-18'!C107="-"),"-",SUM('A-18'!C11,'A-18'!C59,'A-18'!C107))</f>
        <v>654</v>
      </c>
      <c r="D11" s="142">
        <f>IF(AND('A-18'!D11="-",'A-18'!D59="-",'A-18'!D107="-"),"-",SUM('A-18'!D11,'A-18'!D59,'A-18'!D107))</f>
        <v>33585</v>
      </c>
      <c r="E11" s="142">
        <f>IF(AND('A-18'!E11="-",'A-18'!E59="-",'A-18'!E107="-"),"-",SUM('A-18'!E11,'A-18'!E59,'A-18'!E107))</f>
        <v>40557</v>
      </c>
      <c r="F11" s="142">
        <f>IF(AND('A-18'!F11="-",'A-18'!F59="-",'A-18'!F107="-"),"-",SUM('A-18'!F11,'A-18'!F59,'A-18'!F107))</f>
        <v>12216</v>
      </c>
      <c r="G11" s="142">
        <f>IF(AND('A-18'!G11="-",'A-18'!G59="-",'A-18'!G107="-"),"-",SUM('A-18'!G11,'A-18'!G59,'A-18'!G107))</f>
        <v>219</v>
      </c>
      <c r="H11" s="142">
        <f>IF(AND('A-18'!H11="-",'A-18'!H59="-",'A-18'!H107="-"),"-",SUM('A-18'!H11,'A-18'!H59,'A-18'!H107))</f>
        <v>35</v>
      </c>
      <c r="I11" s="142">
        <f>IF(AND('A-18'!I11="-",'A-18'!I59="-",'A-18'!I107="-"),"-",SUM('A-18'!I11,'A-18'!I59,'A-18'!I107))</f>
        <v>87269</v>
      </c>
      <c r="K11" s="142" t="str">
        <f>IF(AND('A-18'!K11="-",'A-18'!K59="-",'A-18'!K107="-"),"-",SUM('A-18'!K11,'A-18'!K59,'A-18'!K107))</f>
        <v>-</v>
      </c>
      <c r="L11" s="142">
        <f>IF(AND('A-18'!L11="-",'A-18'!L59="-",'A-18'!L107="-"),"-",SUM('A-18'!L11,'A-18'!L59,'A-18'!L107))</f>
        <v>113</v>
      </c>
      <c r="M11" s="142">
        <f>IF(AND('A-18'!M11="-",'A-18'!M59="-",'A-18'!M107="-"),"-",SUM('A-18'!M11,'A-18'!M59,'A-18'!M107))</f>
        <v>10618</v>
      </c>
      <c r="N11" s="142">
        <f>IF(AND('A-18'!N11="-",'A-18'!N59="-",'A-18'!N107="-"),"-",SUM('A-18'!N11,'A-18'!N59,'A-18'!N107))</f>
        <v>53956</v>
      </c>
      <c r="O11" s="142">
        <f>IF(AND('A-18'!O11="-",'A-18'!O59="-",'A-18'!O107="-"),"-",SUM('A-18'!O11,'A-18'!O59,'A-18'!O107))</f>
        <v>52642</v>
      </c>
      <c r="P11" s="142">
        <f>IF(AND('A-18'!P11="-",'A-18'!P59="-",'A-18'!P107="-"),"-",SUM('A-18'!P11,'A-18'!P59,'A-18'!P107))</f>
        <v>5848</v>
      </c>
      <c r="Q11" s="142">
        <f>IF(AND('A-18'!Q11="-",'A-18'!Q59="-",'A-18'!Q107="-"),"-",SUM('A-18'!Q11,'A-18'!Q59,'A-18'!Q107))</f>
        <v>78</v>
      </c>
      <c r="R11" s="142">
        <f>IF(AND('A-18'!R11="-",'A-18'!R59="-",'A-18'!R107="-"),"-",SUM('A-18'!R11,'A-18'!R59,'A-18'!R107))</f>
        <v>123255</v>
      </c>
      <c r="S11" s="17"/>
      <c r="T11" s="17"/>
    </row>
    <row r="12" spans="1:21" ht="11.25" customHeight="1">
      <c r="A12" s="99">
        <v>1983</v>
      </c>
      <c r="B12" s="142">
        <f>IF(AND('A-18'!B12="-",'A-18'!B60="-",'A-18'!B108="-"),"-",SUM('A-18'!B12,'A-18'!B60,'A-18'!B108))</f>
        <v>117</v>
      </c>
      <c r="C12" s="142">
        <f>IF(AND('A-18'!C12="-",'A-18'!C60="-",'A-18'!C108="-"),"-",SUM('A-18'!C12,'A-18'!C60,'A-18'!C108))</f>
        <v>753</v>
      </c>
      <c r="D12" s="142">
        <f>IF(AND('A-18'!D12="-",'A-18'!D60="-",'A-18'!D108="-"),"-",SUM('A-18'!D12,'A-18'!D60,'A-18'!D108))</f>
        <v>20314</v>
      </c>
      <c r="E12" s="142">
        <f>IF(AND('A-18'!E12="-",'A-18'!E60="-",'A-18'!E108="-"),"-",SUM('A-18'!E12,'A-18'!E60,'A-18'!E108))</f>
        <v>10461</v>
      </c>
      <c r="F12" s="142">
        <f>IF(AND('A-18'!F12="-",'A-18'!F60="-",'A-18'!F108="-"),"-",SUM('A-18'!F12,'A-18'!F60,'A-18'!F108))</f>
        <v>5224</v>
      </c>
      <c r="G12" s="142">
        <f>IF(AND('A-18'!G12="-",'A-18'!G60="-",'A-18'!G108="-"),"-",SUM('A-18'!G12,'A-18'!G60,'A-18'!G108))</f>
        <v>1495</v>
      </c>
      <c r="H12" s="142" t="str">
        <f>IF(AND('A-18'!H12="-",'A-18'!H60="-",'A-18'!H108="-"),"-",SUM('A-18'!H12,'A-18'!H60,'A-18'!H108))</f>
        <v>-</v>
      </c>
      <c r="I12" s="142">
        <f>IF(AND('A-18'!I12="-",'A-18'!I60="-",'A-18'!I108="-"),"-",SUM('A-18'!I12,'A-18'!I60,'A-18'!I108))</f>
        <v>38364</v>
      </c>
      <c r="K12" s="142" t="str">
        <f>IF(AND('A-18'!K12="-",'A-18'!K60="-",'A-18'!K108="-"),"-",SUM('A-18'!K12,'A-18'!K60,'A-18'!K108))</f>
        <v>-</v>
      </c>
      <c r="L12" s="142">
        <f>IF(AND('A-18'!L12="-",'A-18'!L60="-",'A-18'!L108="-"),"-",SUM('A-18'!L12,'A-18'!L60,'A-18'!L108))</f>
        <v>422</v>
      </c>
      <c r="M12" s="142">
        <f>IF(AND('A-18'!M12="-",'A-18'!M60="-",'A-18'!M108="-"),"-",SUM('A-18'!M12,'A-18'!M60,'A-18'!M108))</f>
        <v>12165</v>
      </c>
      <c r="N12" s="142">
        <f>IF(AND('A-18'!N12="-",'A-18'!N60="-",'A-18'!N108="-"),"-",SUM('A-18'!N12,'A-18'!N60,'A-18'!N108))</f>
        <v>43293</v>
      </c>
      <c r="O12" s="142">
        <f>IF(AND('A-18'!O12="-",'A-18'!O60="-",'A-18'!O108="-"),"-",SUM('A-18'!O12,'A-18'!O60,'A-18'!O108))</f>
        <v>53122</v>
      </c>
      <c r="P12" s="142">
        <f>IF(AND('A-18'!P12="-",'A-18'!P60="-",'A-18'!P108="-"),"-",SUM('A-18'!P12,'A-18'!P60,'A-18'!P108))</f>
        <v>14685</v>
      </c>
      <c r="Q12" s="142">
        <f>IF(AND('A-18'!Q12="-",'A-18'!Q60="-",'A-18'!Q108="-"),"-",SUM('A-18'!Q12,'A-18'!Q60,'A-18'!Q108))</f>
        <v>33</v>
      </c>
      <c r="R12" s="142">
        <f>IF(AND('A-18'!R12="-",'A-18'!R60="-",'A-18'!R108="-"),"-",SUM('A-18'!R12,'A-18'!R60,'A-18'!R108))</f>
        <v>123720</v>
      </c>
      <c r="S12" s="17"/>
      <c r="T12" s="17"/>
    </row>
    <row r="13" spans="1:21" ht="11.25" customHeight="1">
      <c r="A13" s="99">
        <v>1984</v>
      </c>
      <c r="B13" s="142">
        <f>IF(AND('A-18'!B13="-",'A-18'!B61="-",'A-18'!B109="-"),"-",SUM('A-18'!B13,'A-18'!B61,'A-18'!B109))</f>
        <v>24</v>
      </c>
      <c r="C13" s="142">
        <f>IF(AND('A-18'!C13="-",'A-18'!C61="-",'A-18'!C109="-"),"-",SUM('A-18'!C13,'A-18'!C61,'A-18'!C109))</f>
        <v>6017</v>
      </c>
      <c r="D13" s="142">
        <f>IF(AND('A-18'!D13="-",'A-18'!D61="-",'A-18'!D109="-"),"-",SUM('A-18'!D13,'A-18'!D61,'A-18'!D109))</f>
        <v>0</v>
      </c>
      <c r="E13" s="142">
        <f>IF(AND('A-18'!E13="-",'A-18'!E61="-",'A-18'!E109="-"),"-",SUM('A-18'!E13,'A-18'!E61,'A-18'!E109))</f>
        <v>117</v>
      </c>
      <c r="F13" s="142">
        <f>IF(AND('A-18'!F13="-",'A-18'!F61="-",'A-18'!F109="-"),"-",SUM('A-18'!F13,'A-18'!F61,'A-18'!F109))</f>
        <v>109</v>
      </c>
      <c r="G13" s="142" t="str">
        <f>IF(AND('A-18'!G13="-",'A-18'!G61="-",'A-18'!G109="-"),"-",SUM('A-18'!G13,'A-18'!G61,'A-18'!G109))</f>
        <v>-</v>
      </c>
      <c r="H13" s="142" t="str">
        <f>IF(AND('A-18'!H13="-",'A-18'!H61="-",'A-18'!H109="-"),"-",SUM('A-18'!H13,'A-18'!H61,'A-18'!H109))</f>
        <v>-</v>
      </c>
      <c r="I13" s="142">
        <f>IF(AND('A-18'!I13="-",'A-18'!I61="-",'A-18'!I109="-"),"-",SUM('A-18'!I13,'A-18'!I61,'A-18'!I109))</f>
        <v>6267</v>
      </c>
      <c r="K13" s="142" t="str">
        <f>IF(AND('A-18'!K13="-",'A-18'!K61="-",'A-18'!K109="-"),"-",SUM('A-18'!K13,'A-18'!K61,'A-18'!K109))</f>
        <v>-</v>
      </c>
      <c r="L13" s="142" t="str">
        <f>IF(AND('A-18'!L13="-",'A-18'!L61="-",'A-18'!L109="-"),"-",SUM('A-18'!L13,'A-18'!L61,'A-18'!L109))</f>
        <v>-</v>
      </c>
      <c r="M13" s="142" t="str">
        <f>IF(AND('A-18'!M13="-",'A-18'!M61="-",'A-18'!M109="-"),"-",SUM('A-18'!M13,'A-18'!M61,'A-18'!M109))</f>
        <v>-</v>
      </c>
      <c r="N13" s="142">
        <f>IF(AND('A-18'!N13="-",'A-18'!N61="-",'A-18'!N109="-"),"-",SUM('A-18'!N13,'A-18'!N61,'A-18'!N109))</f>
        <v>2676</v>
      </c>
      <c r="O13" s="142">
        <f>IF(AND('A-18'!O13="-",'A-18'!O61="-",'A-18'!O109="-"),"-",SUM('A-18'!O13,'A-18'!O61,'A-18'!O109))</f>
        <v>14189</v>
      </c>
      <c r="P13" s="142">
        <f>IF(AND('A-18'!P13="-",'A-18'!P61="-",'A-18'!P109="-"),"-",SUM('A-18'!P13,'A-18'!P61,'A-18'!P109))</f>
        <v>264</v>
      </c>
      <c r="Q13" s="142" t="str">
        <f>IF(AND('A-18'!Q13="-",'A-18'!Q61="-",'A-18'!Q109="-"),"-",SUM('A-18'!Q13,'A-18'!Q61,'A-18'!Q109))</f>
        <v>-</v>
      </c>
      <c r="R13" s="142">
        <f>IF(AND('A-18'!R13="-",'A-18'!R61="-",'A-18'!R109="-"),"-",SUM('A-18'!R13,'A-18'!R61,'A-18'!R109))</f>
        <v>17129</v>
      </c>
      <c r="S13" s="17"/>
      <c r="T13" s="17"/>
    </row>
    <row r="14" spans="1:21" ht="11.25" customHeight="1">
      <c r="A14" s="99">
        <v>1985</v>
      </c>
      <c r="B14" s="142">
        <f>IF(AND('A-18'!B14="-",'A-18'!B62="-",'A-18'!B110="-"),"-",SUM('A-18'!B14,'A-18'!B62,'A-18'!B110))</f>
        <v>5</v>
      </c>
      <c r="C14" s="142">
        <f>IF(AND('A-18'!C14="-",'A-18'!C62="-",'A-18'!C110="-"),"-",SUM('A-18'!C14,'A-18'!C62,'A-18'!C110))</f>
        <v>1</v>
      </c>
      <c r="D14" s="142">
        <f>IF(AND('A-18'!D14="-",'A-18'!D62="-",'A-18'!D110="-"),"-",SUM('A-18'!D14,'A-18'!D62,'A-18'!D110))</f>
        <v>831</v>
      </c>
      <c r="E14" s="142">
        <f>IF(AND('A-18'!E14="-",'A-18'!E62="-",'A-18'!E110="-"),"-",SUM('A-18'!E14,'A-18'!E62,'A-18'!E110))</f>
        <v>12110</v>
      </c>
      <c r="F14" s="142">
        <f>IF(AND('A-18'!F14="-",'A-18'!F62="-",'A-18'!F110="-"),"-",SUM('A-18'!F14,'A-18'!F62,'A-18'!F110))</f>
        <v>7297</v>
      </c>
      <c r="G14" s="142">
        <f>IF(AND('A-18'!G14="-",'A-18'!G62="-",'A-18'!G110="-"),"-",SUM('A-18'!G14,'A-18'!G62,'A-18'!G110))</f>
        <v>256</v>
      </c>
      <c r="H14" s="142" t="str">
        <f>IF(AND('A-18'!H14="-",'A-18'!H62="-",'A-18'!H110="-"),"-",SUM('A-18'!H14,'A-18'!H62,'A-18'!H110))</f>
        <v>-</v>
      </c>
      <c r="I14" s="142">
        <f>IF(AND('A-18'!I14="-",'A-18'!I62="-",'A-18'!I110="-"),"-",SUM('A-18'!I14,'A-18'!I62,'A-18'!I110))</f>
        <v>20500</v>
      </c>
      <c r="K14" s="142" t="str">
        <f>IF(AND('A-18'!K14="-",'A-18'!K62="-",'A-18'!K110="-"),"-",SUM('A-18'!K14,'A-18'!K62,'A-18'!K110))</f>
        <v>-</v>
      </c>
      <c r="L14" s="142" t="str">
        <f>IF(AND('A-18'!L14="-",'A-18'!L62="-",'A-18'!L110="-"),"-",SUM('A-18'!L14,'A-18'!L62,'A-18'!L110))</f>
        <v>-</v>
      </c>
      <c r="M14" s="142">
        <f>IF(AND('A-18'!M14="-",'A-18'!M62="-",'A-18'!M110="-"),"-",SUM('A-18'!M14,'A-18'!M62,'A-18'!M110))</f>
        <v>1490</v>
      </c>
      <c r="N14" s="142">
        <f>IF(AND('A-18'!N14="-",'A-18'!N62="-",'A-18'!N110="-"),"-",SUM('A-18'!N14,'A-18'!N62,'A-18'!N110))</f>
        <v>43878</v>
      </c>
      <c r="O14" s="142">
        <f>IF(AND('A-18'!O14="-",'A-18'!O62="-",'A-18'!O110="-"),"-",SUM('A-18'!O14,'A-18'!O62,'A-18'!O110))</f>
        <v>47771</v>
      </c>
      <c r="P14" s="142">
        <f>IF(AND('A-18'!P14="-",'A-18'!P62="-",'A-18'!P110="-"),"-",SUM('A-18'!P14,'A-18'!P62,'A-18'!P110))</f>
        <v>6013</v>
      </c>
      <c r="Q14" s="142" t="str">
        <f>IF(AND('A-18'!Q14="-",'A-18'!Q62="-",'A-18'!Q110="-"),"-",SUM('A-18'!Q14,'A-18'!Q62,'A-18'!Q110))</f>
        <v>-</v>
      </c>
      <c r="R14" s="142">
        <f>IF(AND('A-18'!R14="-",'A-18'!R62="-",'A-18'!R110="-"),"-",SUM('A-18'!R14,'A-18'!R62,'A-18'!R110))</f>
        <v>99152</v>
      </c>
      <c r="S14" s="17"/>
      <c r="T14" s="17"/>
    </row>
    <row r="15" spans="1:21" ht="11.25" customHeight="1">
      <c r="A15" s="99">
        <v>1986</v>
      </c>
      <c r="B15" s="142" t="str">
        <f>IF(AND('A-18'!B15="-",'A-18'!B63="-",'A-18'!B111="-"),"-",SUM('A-18'!B15,'A-18'!B63,'A-18'!B111))</f>
        <v>-</v>
      </c>
      <c r="C15" s="142" t="str">
        <f>IF(AND('A-18'!C15="-",'A-18'!C63="-",'A-18'!C111="-"),"-",SUM('A-18'!C15,'A-18'!C63,'A-18'!C111))</f>
        <v>-</v>
      </c>
      <c r="D15" s="142">
        <f>IF(AND('A-18'!D15="-",'A-18'!D63="-",'A-18'!D111="-"),"-",SUM('A-18'!D15,'A-18'!D63,'A-18'!D111))</f>
        <v>621</v>
      </c>
      <c r="E15" s="142">
        <f>IF(AND('A-18'!E15="-",'A-18'!E63="-",'A-18'!E111="-"),"-",SUM('A-18'!E15,'A-18'!E63,'A-18'!E111))</f>
        <v>10632</v>
      </c>
      <c r="F15" s="142">
        <f>IF(AND('A-18'!F15="-",'A-18'!F63="-",'A-18'!F111="-"),"-",SUM('A-18'!F15,'A-18'!F63,'A-18'!F111))</f>
        <v>7623</v>
      </c>
      <c r="G15" s="142" t="str">
        <f>IF(AND('A-18'!G15="-",'A-18'!G63="-",'A-18'!G111="-"),"-",SUM('A-18'!G15,'A-18'!G63,'A-18'!G111))</f>
        <v>-</v>
      </c>
      <c r="H15" s="142" t="str">
        <f>IF(AND('A-18'!H15="-",'A-18'!H63="-",'A-18'!H111="-"),"-",SUM('A-18'!H15,'A-18'!H63,'A-18'!H111))</f>
        <v>-</v>
      </c>
      <c r="I15" s="142">
        <f>IF(AND('A-18'!I15="-",'A-18'!I63="-",'A-18'!I111="-"),"-",SUM('A-18'!I15,'A-18'!I63,'A-18'!I111))</f>
        <v>18876</v>
      </c>
      <c r="K15" s="142" t="str">
        <f>IF(AND('A-18'!K15="-",'A-18'!K63="-",'A-18'!K111="-"),"-",SUM('A-18'!K15,'A-18'!K63,'A-18'!K111))</f>
        <v>-</v>
      </c>
      <c r="L15" s="142" t="str">
        <f>IF(AND('A-18'!L15="-",'A-18'!L63="-",'A-18'!L111="-"),"-",SUM('A-18'!L15,'A-18'!L63,'A-18'!L111))</f>
        <v>-</v>
      </c>
      <c r="M15" s="142">
        <f>IF(AND('A-18'!M15="-",'A-18'!M63="-",'A-18'!M111="-"),"-",SUM('A-18'!M15,'A-18'!M63,'A-18'!M111))</f>
        <v>3724</v>
      </c>
      <c r="N15" s="142">
        <f>IF(AND('A-18'!N15="-",'A-18'!N63="-",'A-18'!N111="-"),"-",SUM('A-18'!N15,'A-18'!N63,'A-18'!N111))</f>
        <v>61325</v>
      </c>
      <c r="O15" s="142">
        <f>IF(AND('A-18'!O15="-",'A-18'!O63="-",'A-18'!O111="-"),"-",SUM('A-18'!O15,'A-18'!O63,'A-18'!O111))</f>
        <v>40992</v>
      </c>
      <c r="P15" s="142">
        <f>IF(AND('A-18'!P15="-",'A-18'!P63="-",'A-18'!P111="-"),"-",SUM('A-18'!P15,'A-18'!P63,'A-18'!P111))</f>
        <v>943</v>
      </c>
      <c r="Q15" s="142">
        <f>IF(AND('A-18'!Q15="-",'A-18'!Q63="-",'A-18'!Q111="-"),"-",SUM('A-18'!Q15,'A-18'!Q63,'A-18'!Q111))</f>
        <v>86</v>
      </c>
      <c r="R15" s="142">
        <f>IF(AND('A-18'!R15="-",'A-18'!R63="-",'A-18'!R111="-"),"-",SUM('A-18'!R15,'A-18'!R63,'A-18'!R111))</f>
        <v>107070</v>
      </c>
      <c r="S15" s="17"/>
      <c r="T15" s="17"/>
    </row>
    <row r="16" spans="1:21" ht="11.25" customHeight="1">
      <c r="A16" s="99">
        <v>1987</v>
      </c>
      <c r="B16" s="142" t="str">
        <f>IF(AND('A-18'!B16="-",'A-18'!B64="-",'A-18'!B112="-"),"-",SUM('A-18'!B16,'A-18'!B64,'A-18'!B112))</f>
        <v>-</v>
      </c>
      <c r="C16" s="142" t="str">
        <f>IF(AND('A-18'!C16="-",'A-18'!C64="-",'A-18'!C112="-"),"-",SUM('A-18'!C16,'A-18'!C64,'A-18'!C112))</f>
        <v>-</v>
      </c>
      <c r="D16" s="142">
        <f>IF(AND('A-18'!D16="-",'A-18'!D64="-",'A-18'!D112="-"),"-",SUM('A-18'!D16,'A-18'!D64,'A-18'!D112))</f>
        <v>3112</v>
      </c>
      <c r="E16" s="142">
        <f>IF(AND('A-18'!E16="-",'A-18'!E64="-",'A-18'!E112="-"),"-",SUM('A-18'!E16,'A-18'!E64,'A-18'!E112))</f>
        <v>20685</v>
      </c>
      <c r="F16" s="142">
        <f>IF(AND('A-18'!F16="-",'A-18'!F64="-",'A-18'!F112="-"),"-",SUM('A-18'!F16,'A-18'!F64,'A-18'!F112))</f>
        <v>6309</v>
      </c>
      <c r="G16" s="142">
        <f>IF(AND('A-18'!G16="-",'A-18'!G64="-",'A-18'!G112="-"),"-",SUM('A-18'!G16,'A-18'!G64,'A-18'!G112))</f>
        <v>17</v>
      </c>
      <c r="H16" s="142" t="str">
        <f>IF(AND('A-18'!H16="-",'A-18'!H64="-",'A-18'!H112="-"),"-",SUM('A-18'!H16,'A-18'!H64,'A-18'!H112))</f>
        <v>-</v>
      </c>
      <c r="I16" s="142">
        <f>IF(AND('A-18'!I16="-",'A-18'!I64="-",'A-18'!I112="-"),"-",SUM('A-18'!I16,'A-18'!I64,'A-18'!I112))</f>
        <v>30123</v>
      </c>
      <c r="K16" s="142" t="str">
        <f>IF(AND('A-18'!K16="-",'A-18'!K64="-",'A-18'!K112="-"),"-",SUM('A-18'!K16,'A-18'!K64,'A-18'!K112))</f>
        <v>-</v>
      </c>
      <c r="L16" s="142" t="str">
        <f>IF(AND('A-18'!L16="-",'A-18'!L64="-",'A-18'!L112="-"),"-",SUM('A-18'!L16,'A-18'!L64,'A-18'!L112))</f>
        <v>-</v>
      </c>
      <c r="M16" s="142">
        <f>IF(AND('A-18'!M16="-",'A-18'!M64="-",'A-18'!M112="-"),"-",SUM('A-18'!M16,'A-18'!M64,'A-18'!M112))</f>
        <v>617</v>
      </c>
      <c r="N16" s="142">
        <f>IF(AND('A-18'!N16="-",'A-18'!N64="-",'A-18'!N112="-"),"-",SUM('A-18'!N16,'A-18'!N64,'A-18'!N112))</f>
        <v>44110</v>
      </c>
      <c r="O16" s="142">
        <f>IF(AND('A-18'!O16="-",'A-18'!O64="-",'A-18'!O112="-"),"-",SUM('A-18'!O16,'A-18'!O64,'A-18'!O112))</f>
        <v>24852</v>
      </c>
      <c r="P16" s="142">
        <f>IF(AND('A-18'!P16="-",'A-18'!P64="-",'A-18'!P112="-"),"-",SUM('A-18'!P16,'A-18'!P64,'A-18'!P112))</f>
        <v>44</v>
      </c>
      <c r="Q16" s="142">
        <f>IF(AND('A-18'!Q16="-",'A-18'!Q64="-",'A-18'!Q112="-"),"-",SUM('A-18'!Q16,'A-18'!Q64,'A-18'!Q112))</f>
        <v>3</v>
      </c>
      <c r="R16" s="142">
        <f>IF(AND('A-18'!R16="-",'A-18'!R64="-",'A-18'!R112="-"),"-",SUM('A-18'!R16,'A-18'!R64,'A-18'!R112))</f>
        <v>69626</v>
      </c>
      <c r="S16" s="17"/>
      <c r="T16" s="17"/>
    </row>
    <row r="17" spans="1:20" ht="11.25" customHeight="1">
      <c r="A17" s="99">
        <v>1988</v>
      </c>
      <c r="B17" s="142" t="str">
        <f>IF(AND('A-18'!B17="-",'A-18'!B65="-",'A-18'!B113="-"),"-",SUM('A-18'!B17,'A-18'!B65,'A-18'!B113))</f>
        <v>-</v>
      </c>
      <c r="C17" s="142" t="str">
        <f>IF(AND('A-18'!C17="-",'A-18'!C65="-",'A-18'!C113="-"),"-",SUM('A-18'!C17,'A-18'!C65,'A-18'!C113))</f>
        <v>-</v>
      </c>
      <c r="D17" s="142" t="str">
        <f>IF(AND('A-18'!D17="-",'A-18'!D65="-",'A-18'!D113="-"),"-",SUM('A-18'!D17,'A-18'!D65,'A-18'!D113))</f>
        <v>-</v>
      </c>
      <c r="E17" s="142">
        <f>IF(AND('A-18'!E17="-",'A-18'!E65="-",'A-18'!E113="-"),"-",SUM('A-18'!E17,'A-18'!E65,'A-18'!E113))</f>
        <v>16592</v>
      </c>
      <c r="F17" s="142">
        <f>IF(AND('A-18'!F17="-",'A-18'!F65="-",'A-18'!F113="-"),"-",SUM('A-18'!F17,'A-18'!F65,'A-18'!F113))</f>
        <v>1156</v>
      </c>
      <c r="G17" s="142">
        <f>IF(AND('A-18'!G17="-",'A-18'!G65="-",'A-18'!G113="-"),"-",SUM('A-18'!G17,'A-18'!G65,'A-18'!G113))</f>
        <v>33</v>
      </c>
      <c r="H17" s="142" t="str">
        <f>IF(AND('A-18'!H17="-",'A-18'!H65="-",'A-18'!H113="-"),"-",SUM('A-18'!H17,'A-18'!H65,'A-18'!H113))</f>
        <v>-</v>
      </c>
      <c r="I17" s="142">
        <f>IF(AND('A-18'!I17="-",'A-18'!I65="-",'A-18'!I113="-"),"-",SUM('A-18'!I17,'A-18'!I65,'A-18'!I113))</f>
        <v>17781</v>
      </c>
      <c r="K17" s="142" t="str">
        <f>IF(AND('A-18'!K17="-",'A-18'!K65="-",'A-18'!K113="-"),"-",SUM('A-18'!K17,'A-18'!K65,'A-18'!K113))</f>
        <v>-</v>
      </c>
      <c r="L17" s="142" t="str">
        <f>IF(AND('A-18'!L17="-",'A-18'!L65="-",'A-18'!L113="-"),"-",SUM('A-18'!L17,'A-18'!L65,'A-18'!L113))</f>
        <v>-</v>
      </c>
      <c r="M17" s="142" t="str">
        <f>IF(AND('A-18'!M17="-",'A-18'!M65="-",'A-18'!M113="-"),"-",SUM('A-18'!M17,'A-18'!M65,'A-18'!M113))</f>
        <v>-</v>
      </c>
      <c r="N17" s="142">
        <f>IF(AND('A-18'!N17="-",'A-18'!N65="-",'A-18'!N113="-"),"-",SUM('A-18'!N17,'A-18'!N65,'A-18'!N113))</f>
        <v>60969</v>
      </c>
      <c r="O17" s="142">
        <f>IF(AND('A-18'!O17="-",'A-18'!O65="-",'A-18'!O113="-"),"-",SUM('A-18'!O17,'A-18'!O65,'A-18'!O113))</f>
        <v>5654</v>
      </c>
      <c r="P17" s="142">
        <f>IF(AND('A-18'!P17="-",'A-18'!P65="-",'A-18'!P113="-"),"-",SUM('A-18'!P17,'A-18'!P65,'A-18'!P113))</f>
        <v>497</v>
      </c>
      <c r="Q17" s="142" t="str">
        <f>IF(AND('A-18'!Q17="-",'A-18'!Q65="-",'A-18'!Q113="-"),"-",SUM('A-18'!Q17,'A-18'!Q65,'A-18'!Q113))</f>
        <v>-</v>
      </c>
      <c r="R17" s="142">
        <f>IF(AND('A-18'!R17="-",'A-18'!R65="-",'A-18'!R113="-"),"-",SUM('A-18'!R17,'A-18'!R65,'A-18'!R113))</f>
        <v>67120</v>
      </c>
      <c r="S17" s="17"/>
      <c r="T17" s="17"/>
    </row>
    <row r="18" spans="1:20" ht="11.25" customHeight="1">
      <c r="A18" s="99">
        <v>1989</v>
      </c>
      <c r="B18" s="142" t="str">
        <f>IF(AND('A-18'!B18="-",'A-18'!B66="-",'A-18'!B114="-"),"-",SUM('A-18'!B18,'A-18'!B66,'A-18'!B114))</f>
        <v>-</v>
      </c>
      <c r="C18" s="142">
        <f>IF(AND('A-18'!C18="-",'A-18'!C66="-",'A-18'!C114="-"),"-",SUM('A-18'!C18,'A-18'!C66,'A-18'!C114))</f>
        <v>790</v>
      </c>
      <c r="D18" s="142">
        <f>IF(AND('A-18'!D18="-",'A-18'!D66="-",'A-18'!D114="-"),"-",SUM('A-18'!D18,'A-18'!D66,'A-18'!D114))</f>
        <v>1597</v>
      </c>
      <c r="E18" s="142">
        <f>IF(AND('A-18'!E18="-",'A-18'!E66="-",'A-18'!E114="-"),"-",SUM('A-18'!E18,'A-18'!E66,'A-18'!E114))</f>
        <v>6389</v>
      </c>
      <c r="F18" s="142">
        <f>IF(AND('A-18'!F18="-",'A-18'!F66="-",'A-18'!F114="-"),"-",SUM('A-18'!F18,'A-18'!F66,'A-18'!F114))</f>
        <v>5622</v>
      </c>
      <c r="G18" s="142" t="str">
        <f>IF(AND('A-18'!G18="-",'A-18'!G66="-",'A-18'!G114="-"),"-",SUM('A-18'!G18,'A-18'!G66,'A-18'!G114))</f>
        <v>-</v>
      </c>
      <c r="H18" s="142" t="str">
        <f>IF(AND('A-18'!H18="-",'A-18'!H66="-",'A-18'!H114="-"),"-",SUM('A-18'!H18,'A-18'!H66,'A-18'!H114))</f>
        <v>-</v>
      </c>
      <c r="I18" s="142">
        <f>IF(AND('A-18'!I18="-",'A-18'!I66="-",'A-18'!I114="-"),"-",SUM('A-18'!I18,'A-18'!I66,'A-18'!I114))</f>
        <v>14398</v>
      </c>
      <c r="K18" s="142" t="str">
        <f>IF(AND('A-18'!K18="-",'A-18'!K66="-",'A-18'!K114="-"),"-",SUM('A-18'!K18,'A-18'!K66,'A-18'!K114))</f>
        <v>-</v>
      </c>
      <c r="L18" s="142">
        <f>IF(AND('A-18'!L18="-",'A-18'!L66="-",'A-18'!L114="-"),"-",SUM('A-18'!L18,'A-18'!L66,'A-18'!L114))</f>
        <v>19</v>
      </c>
      <c r="M18" s="142">
        <f>IF(AND('A-18'!M18="-",'A-18'!M66="-",'A-18'!M114="-"),"-",SUM('A-18'!M18,'A-18'!M66,'A-18'!M114))</f>
        <v>14</v>
      </c>
      <c r="N18" s="142">
        <f>IF(AND('A-18'!N18="-",'A-18'!N66="-",'A-18'!N114="-"),"-",SUM('A-18'!N18,'A-18'!N66,'A-18'!N114))</f>
        <v>68576</v>
      </c>
      <c r="O18" s="142">
        <f>IF(AND('A-18'!O18="-",'A-18'!O66="-",'A-18'!O114="-"),"-",SUM('A-18'!O18,'A-18'!O66,'A-18'!O114))</f>
        <v>52718</v>
      </c>
      <c r="P18" s="142">
        <f>IF(AND('A-18'!P18="-",'A-18'!P66="-",'A-18'!P114="-"),"-",SUM('A-18'!P18,'A-18'!P66,'A-18'!P114))</f>
        <v>8855</v>
      </c>
      <c r="Q18" s="142" t="str">
        <f>IF(AND('A-18'!Q18="-",'A-18'!Q66="-",'A-18'!Q114="-"),"-",SUM('A-18'!Q18,'A-18'!Q66,'A-18'!Q114))</f>
        <v>-</v>
      </c>
      <c r="R18" s="142">
        <f>IF(AND('A-18'!R18="-",'A-18'!R66="-",'A-18'!R114="-"),"-",SUM('A-18'!R18,'A-18'!R66,'A-18'!R114))</f>
        <v>130182</v>
      </c>
      <c r="S18" s="17"/>
      <c r="T18" s="17"/>
    </row>
    <row r="19" spans="1:20" ht="11.25" customHeight="1">
      <c r="A19" s="99">
        <v>1990</v>
      </c>
      <c r="B19" s="142" t="str">
        <f>IF(AND('A-18'!B19="-",'A-18'!B67="-",'A-18'!B115="-"),"-",SUM('A-18'!B19,'A-18'!B67,'A-18'!B115))</f>
        <v>-</v>
      </c>
      <c r="C19" s="142" t="str">
        <f>IF(AND('A-18'!C19="-",'A-18'!C67="-",'A-18'!C115="-"),"-",SUM('A-18'!C19,'A-18'!C67,'A-18'!C115))</f>
        <v>-</v>
      </c>
      <c r="D19" s="142">
        <f>IF(AND('A-18'!D19="-",'A-18'!D67="-",'A-18'!D115="-"),"-",SUM('A-18'!D19,'A-18'!D67,'A-18'!D115))</f>
        <v>1283</v>
      </c>
      <c r="E19" s="142">
        <f>IF(AND('A-18'!E19="-",'A-18'!E67="-",'A-18'!E115="-"),"-",SUM('A-18'!E19,'A-18'!E67,'A-18'!E115))</f>
        <v>9233</v>
      </c>
      <c r="F19" s="142">
        <f>IF(AND('A-18'!F19="-",'A-18'!F67="-",'A-18'!F115="-"),"-",SUM('A-18'!F19,'A-18'!F67,'A-18'!F115))</f>
        <v>6153</v>
      </c>
      <c r="G19" s="142">
        <f>IF(AND('A-18'!G19="-",'A-18'!G67="-",'A-18'!G115="-"),"-",SUM('A-18'!G19,'A-18'!G67,'A-18'!G115))</f>
        <v>3434</v>
      </c>
      <c r="H19" s="142" t="str">
        <f>IF(AND('A-18'!H19="-",'A-18'!H67="-",'A-18'!H115="-"),"-",SUM('A-18'!H19,'A-18'!H67,'A-18'!H115))</f>
        <v>-</v>
      </c>
      <c r="I19" s="142">
        <f>IF(AND('A-18'!I19="-",'A-18'!I67="-",'A-18'!I115="-"),"-",SUM('A-18'!I19,'A-18'!I67,'A-18'!I115))</f>
        <v>20103</v>
      </c>
      <c r="K19" s="142" t="str">
        <f>IF(AND('A-18'!K19="-",'A-18'!K67="-",'A-18'!K115="-"),"-",SUM('A-18'!K19,'A-18'!K67,'A-18'!K115))</f>
        <v>-</v>
      </c>
      <c r="L19" s="142" t="str">
        <f>IF(AND('A-18'!L19="-",'A-18'!L67="-",'A-18'!L115="-"),"-",SUM('A-18'!L19,'A-18'!L67,'A-18'!L115))</f>
        <v>-</v>
      </c>
      <c r="M19" s="142">
        <f>IF(AND('A-18'!M19="-",'A-18'!M67="-",'A-18'!M115="-"),"-",SUM('A-18'!M19,'A-18'!M67,'A-18'!M115))</f>
        <v>5402</v>
      </c>
      <c r="N19" s="142">
        <f>IF(AND('A-18'!N19="-",'A-18'!N67="-",'A-18'!N115="-"),"-",SUM('A-18'!N19,'A-18'!N67,'A-18'!N115))</f>
        <v>55775</v>
      </c>
      <c r="O19" s="142">
        <f>IF(AND('A-18'!O19="-",'A-18'!O67="-",'A-18'!O115="-"),"-",SUM('A-18'!O19,'A-18'!O67,'A-18'!O115))</f>
        <v>54513</v>
      </c>
      <c r="P19" s="142">
        <f>IF(AND('A-18'!P19="-",'A-18'!P67="-",'A-18'!P115="-"),"-",SUM('A-18'!P19,'A-18'!P67,'A-18'!P115))</f>
        <v>21261</v>
      </c>
      <c r="Q19" s="142" t="str">
        <f>IF(AND('A-18'!Q19="-",'A-18'!Q67="-",'A-18'!Q115="-"),"-",SUM('A-18'!Q19,'A-18'!Q67,'A-18'!Q115))</f>
        <v>-</v>
      </c>
      <c r="R19" s="142">
        <f>IF(AND('A-18'!R19="-",'A-18'!R67="-",'A-18'!R115="-"),"-",SUM('A-18'!R19,'A-18'!R67,'A-18'!R115))</f>
        <v>136951</v>
      </c>
      <c r="S19" s="17"/>
      <c r="T19" s="17"/>
    </row>
    <row r="20" spans="1:20" ht="11.25" customHeight="1">
      <c r="A20" s="99">
        <v>1991</v>
      </c>
      <c r="B20" s="142" t="str">
        <f>IF(AND('A-18'!B20="-",'A-18'!B68="-",'A-18'!B116="-"),"-",SUM('A-18'!B20,'A-18'!B68,'A-18'!B116))</f>
        <v>-</v>
      </c>
      <c r="C20" s="142" t="str">
        <f>IF(AND('A-18'!C20="-",'A-18'!C68="-",'A-18'!C116="-"),"-",SUM('A-18'!C20,'A-18'!C68,'A-18'!C116))</f>
        <v>-</v>
      </c>
      <c r="D20" s="142">
        <f>IF(AND('A-18'!D20="-",'A-18'!D68="-",'A-18'!D116="-"),"-",SUM('A-18'!D20,'A-18'!D68,'A-18'!D116))</f>
        <v>1911</v>
      </c>
      <c r="E20" s="142">
        <f>IF(AND('A-18'!E20="-",'A-18'!E68="-",'A-18'!E116="-"),"-",SUM('A-18'!E20,'A-18'!E68,'A-18'!E116))</f>
        <v>6560</v>
      </c>
      <c r="F20" s="142">
        <f>IF(AND('A-18'!F20="-",'A-18'!F68="-",'A-18'!F116="-"),"-",SUM('A-18'!F20,'A-18'!F68,'A-18'!F116))</f>
        <v>1645</v>
      </c>
      <c r="G20" s="142">
        <f>IF(AND('A-18'!G20="-",'A-18'!G68="-",'A-18'!G116="-"),"-",SUM('A-18'!G20,'A-18'!G68,'A-18'!G116))</f>
        <v>209</v>
      </c>
      <c r="H20" s="142" t="str">
        <f>IF(AND('A-18'!H20="-",'A-18'!H68="-",'A-18'!H116="-"),"-",SUM('A-18'!H20,'A-18'!H68,'A-18'!H116))</f>
        <v>-</v>
      </c>
      <c r="I20" s="142">
        <f>IF(AND('A-18'!I20="-",'A-18'!I68="-",'A-18'!I116="-"),"-",SUM('A-18'!I20,'A-18'!I68,'A-18'!I116))</f>
        <v>10325</v>
      </c>
      <c r="K20" s="142" t="str">
        <f>IF(AND('A-18'!K20="-",'A-18'!K68="-",'A-18'!K116="-"),"-",SUM('A-18'!K20,'A-18'!K68,'A-18'!K116))</f>
        <v>-</v>
      </c>
      <c r="L20" s="142" t="str">
        <f>IF(AND('A-18'!L20="-",'A-18'!L68="-",'A-18'!L116="-"),"-",SUM('A-18'!L20,'A-18'!L68,'A-18'!L116))</f>
        <v>-</v>
      </c>
      <c r="M20" s="142">
        <f>IF(AND('A-18'!M20="-",'A-18'!M68="-",'A-18'!M116="-"),"-",SUM('A-18'!M20,'A-18'!M68,'A-18'!M116))</f>
        <v>6781</v>
      </c>
      <c r="N20" s="142">
        <f>IF(AND('A-18'!N20="-",'A-18'!N68="-",'A-18'!N116="-"),"-",SUM('A-18'!N20,'A-18'!N68,'A-18'!N116))</f>
        <v>89094</v>
      </c>
      <c r="O20" s="142">
        <f>IF(AND('A-18'!O20="-",'A-18'!O68="-",'A-18'!O116="-"),"-",SUM('A-18'!O20,'A-18'!O68,'A-18'!O116))</f>
        <v>29652</v>
      </c>
      <c r="P20" s="142">
        <f>IF(AND('A-18'!P20="-",'A-18'!P68="-",'A-18'!P116="-"),"-",SUM('A-18'!P20,'A-18'!P68,'A-18'!P116))</f>
        <v>6968</v>
      </c>
      <c r="Q20" s="142" t="str">
        <f>IF(AND('A-18'!Q20="-",'A-18'!Q68="-",'A-18'!Q116="-"),"-",SUM('A-18'!Q20,'A-18'!Q68,'A-18'!Q116))</f>
        <v>-</v>
      </c>
      <c r="R20" s="142">
        <f>IF(AND('A-18'!R20="-",'A-18'!R68="-",'A-18'!R116="-"),"-",SUM('A-18'!R20,'A-18'!R68,'A-18'!R116))</f>
        <v>132495</v>
      </c>
      <c r="S20" s="17"/>
      <c r="T20" s="17"/>
    </row>
    <row r="21" spans="1:20" ht="11.25" customHeight="1">
      <c r="A21" s="99">
        <v>1992</v>
      </c>
      <c r="B21" s="142" t="str">
        <f>IF(AND('A-18'!B21="-",'A-18'!B69="-",'A-18'!B117="-"),"-",SUM('A-18'!B21,'A-18'!B69,'A-18'!B117))</f>
        <v>-</v>
      </c>
      <c r="C21" s="142">
        <f>IF(AND('A-18'!C21="-",'A-18'!C69="-",'A-18'!C117="-"),"-",SUM('A-18'!C21,'A-18'!C69,'A-18'!C117))</f>
        <v>118</v>
      </c>
      <c r="D21" s="142" t="str">
        <f>IF(AND('A-18'!D21="-",'A-18'!D69="-",'A-18'!D117="-"),"-",SUM('A-18'!D21,'A-18'!D69,'A-18'!D117))</f>
        <v>-</v>
      </c>
      <c r="E21" s="142">
        <f>IF(AND('A-18'!E21="-",'A-18'!E69="-",'A-18'!E117="-"),"-",SUM('A-18'!E21,'A-18'!E69,'A-18'!E117))</f>
        <v>8181</v>
      </c>
      <c r="F21" s="142">
        <f>IF(AND('A-18'!F21="-",'A-18'!F69="-",'A-18'!F117="-"),"-",SUM('A-18'!F21,'A-18'!F69,'A-18'!F117))</f>
        <v>6055</v>
      </c>
      <c r="G21" s="142">
        <f>IF(AND('A-18'!G21="-",'A-18'!G69="-",'A-18'!G117="-"),"-",SUM('A-18'!G21,'A-18'!G69,'A-18'!G117))</f>
        <v>2401</v>
      </c>
      <c r="H21" s="142">
        <f>IF(AND('A-18'!H21="-",'A-18'!H69="-",'A-18'!H117="-"),"-",SUM('A-18'!H21,'A-18'!H69,'A-18'!H117))</f>
        <v>215</v>
      </c>
      <c r="I21" s="142">
        <f>IF(AND('A-18'!I21="-",'A-18'!I69="-",'A-18'!I117="-"),"-",SUM('A-18'!I21,'A-18'!I69,'A-18'!I117))</f>
        <v>16970</v>
      </c>
      <c r="K21" s="142" t="str">
        <f>IF(AND('A-18'!K21="-",'A-18'!K69="-",'A-18'!K117="-"),"-",SUM('A-18'!K21,'A-18'!K69,'A-18'!K117))</f>
        <v>-</v>
      </c>
      <c r="L21" s="142">
        <f>IF(AND('A-18'!L21="-",'A-18'!L69="-",'A-18'!L117="-"),"-",SUM('A-18'!L21,'A-18'!L69,'A-18'!L117))</f>
        <v>32</v>
      </c>
      <c r="M21" s="142" t="str">
        <f>IF(AND('A-18'!M21="-",'A-18'!M69="-",'A-18'!M117="-"),"-",SUM('A-18'!M21,'A-18'!M69,'A-18'!M117))</f>
        <v>-</v>
      </c>
      <c r="N21" s="142">
        <f>IF(AND('A-18'!N21="-",'A-18'!N69="-",'A-18'!N117="-"),"-",SUM('A-18'!N21,'A-18'!N69,'A-18'!N117))</f>
        <v>30875</v>
      </c>
      <c r="O21" s="142">
        <f>IF(AND('A-18'!O21="-",'A-18'!O69="-",'A-18'!O117="-"),"-",SUM('A-18'!O21,'A-18'!O69,'A-18'!O117))</f>
        <v>37891</v>
      </c>
      <c r="P21" s="142">
        <f>IF(AND('A-18'!P21="-",'A-18'!P69="-",'A-18'!P117="-"),"-",SUM('A-18'!P21,'A-18'!P69,'A-18'!P117))</f>
        <v>7542</v>
      </c>
      <c r="Q21" s="142">
        <f>IF(AND('A-18'!Q21="-",'A-18'!Q69="-",'A-18'!Q117="-"),"-",SUM('A-18'!Q21,'A-18'!Q69,'A-18'!Q117))</f>
        <v>324</v>
      </c>
      <c r="R21" s="142">
        <f>IF(AND('A-18'!R21="-",'A-18'!R69="-",'A-18'!R117="-"),"-",SUM('A-18'!R21,'A-18'!R69,'A-18'!R117))</f>
        <v>76664</v>
      </c>
      <c r="S21" s="17"/>
      <c r="T21" s="17"/>
    </row>
    <row r="22" spans="1:20" ht="11.25" customHeight="1">
      <c r="A22" s="99">
        <v>1993</v>
      </c>
      <c r="B22" s="142" t="str">
        <f>IF(AND('A-18'!B22="-",'A-18'!B70="-",'A-18'!B118="-"),"-",SUM('A-18'!B22,'A-18'!B70,'A-18'!B118))</f>
        <v>-</v>
      </c>
      <c r="C22" s="142">
        <f>IF(AND('A-18'!C22="-",'A-18'!C70="-",'A-18'!C118="-"),"-",SUM('A-18'!C22,'A-18'!C70,'A-18'!C118))</f>
        <v>178</v>
      </c>
      <c r="D22" s="142" t="str">
        <f>IF(AND('A-18'!D22="-",'A-18'!D70="-",'A-18'!D118="-"),"-",SUM('A-18'!D22,'A-18'!D70,'A-18'!D118))</f>
        <v>-</v>
      </c>
      <c r="E22" s="142">
        <f>IF(AND('A-18'!E22="-",'A-18'!E70="-",'A-18'!E118="-"),"-",SUM('A-18'!E22,'A-18'!E70,'A-18'!E118))</f>
        <v>2467</v>
      </c>
      <c r="F22" s="142">
        <f>IF(AND('A-18'!F22="-",'A-18'!F70="-",'A-18'!F118="-"),"-",SUM('A-18'!F22,'A-18'!F70,'A-18'!F118))</f>
        <v>4204</v>
      </c>
      <c r="G22" s="142">
        <f>IF(AND('A-18'!G22="-",'A-18'!G70="-",'A-18'!G118="-"),"-",SUM('A-18'!G22,'A-18'!G70,'A-18'!G118))</f>
        <v>3536</v>
      </c>
      <c r="H22" s="142" t="str">
        <f>IF(AND('A-18'!H22="-",'A-18'!H70="-",'A-18'!H118="-"),"-",SUM('A-18'!H22,'A-18'!H70,'A-18'!H118))</f>
        <v>-</v>
      </c>
      <c r="I22" s="142">
        <f>IF(AND('A-18'!I22="-",'A-18'!I70="-",'A-18'!I118="-"),"-",SUM('A-18'!I22,'A-18'!I70,'A-18'!I118))</f>
        <v>10385</v>
      </c>
      <c r="K22" s="142" t="str">
        <f>IF(AND('A-18'!K22="-",'A-18'!K70="-",'A-18'!K118="-"),"-",SUM('A-18'!K22,'A-18'!K70,'A-18'!K118))</f>
        <v>-</v>
      </c>
      <c r="L22" s="142">
        <f>IF(AND('A-18'!L22="-",'A-18'!L70="-",'A-18'!L118="-"),"-",SUM('A-18'!L22,'A-18'!L70,'A-18'!L118))</f>
        <v>48</v>
      </c>
      <c r="M22" s="142" t="str">
        <f>IF(AND('A-18'!M22="-",'A-18'!M70="-",'A-18'!M118="-"),"-",SUM('A-18'!M22,'A-18'!M70,'A-18'!M118))</f>
        <v>-</v>
      </c>
      <c r="N22" s="142">
        <f>IF(AND('A-18'!N22="-",'A-18'!N70="-",'A-18'!N118="-"),"-",SUM('A-18'!N22,'A-18'!N70,'A-18'!N118))</f>
        <v>28754</v>
      </c>
      <c r="O22" s="142">
        <f>IF(AND('A-18'!O22="-",'A-18'!O70="-",'A-18'!O118="-"),"-",SUM('A-18'!O22,'A-18'!O70,'A-18'!O118))</f>
        <v>34621</v>
      </c>
      <c r="P22" s="142">
        <f>IF(AND('A-18'!P22="-",'A-18'!P70="-",'A-18'!P118="-"),"-",SUM('A-18'!P22,'A-18'!P70,'A-18'!P118))</f>
        <v>16373</v>
      </c>
      <c r="Q22" s="142" t="str">
        <f>IF(AND('A-18'!Q22="-",'A-18'!Q70="-",'A-18'!Q118="-"),"-",SUM('A-18'!Q22,'A-18'!Q70,'A-18'!Q118))</f>
        <v>-</v>
      </c>
      <c r="R22" s="142">
        <f>IF(AND('A-18'!R22="-",'A-18'!R70="-",'A-18'!R118="-"),"-",SUM('A-18'!R22,'A-18'!R70,'A-18'!R118))</f>
        <v>79796</v>
      </c>
      <c r="S22" s="17"/>
      <c r="T22" s="17"/>
    </row>
    <row r="23" spans="1:20" ht="11.25" customHeight="1">
      <c r="A23" s="99">
        <v>1994</v>
      </c>
      <c r="B23" s="142" t="str">
        <f>IF(AND('A-18'!B23="-",'A-18'!B71="-",'A-18'!B119="-"),"-",SUM('A-18'!B23,'A-18'!B71,'A-18'!B119))</f>
        <v>-</v>
      </c>
      <c r="C23" s="142" t="str">
        <f>IF(AND('A-18'!C23="-",'A-18'!C71="-",'A-18'!C119="-"),"-",SUM('A-18'!C23,'A-18'!C71,'A-18'!C119))</f>
        <v>-</v>
      </c>
      <c r="D23" s="142" t="str">
        <f>IF(AND('A-18'!D23="-",'A-18'!D71="-",'A-18'!D119="-"),"-",SUM('A-18'!D23,'A-18'!D71,'A-18'!D119))</f>
        <v>-</v>
      </c>
      <c r="E23" s="142" t="str">
        <f>IF(AND('A-18'!E23="-",'A-18'!E71="-",'A-18'!E119="-"),"-",SUM('A-18'!E23,'A-18'!E71,'A-18'!E119))</f>
        <v>-</v>
      </c>
      <c r="F23" s="142" t="str">
        <f>IF(AND('A-18'!F23="-",'A-18'!F71="-",'A-18'!F119="-"),"-",SUM('A-18'!F23,'A-18'!F71,'A-18'!F119))</f>
        <v>-</v>
      </c>
      <c r="G23" s="142" t="str">
        <f>IF(AND('A-18'!G23="-",'A-18'!G71="-",'A-18'!G119="-"),"-",SUM('A-18'!G23,'A-18'!G71,'A-18'!G119))</f>
        <v>-</v>
      </c>
      <c r="H23" s="142" t="str">
        <f>IF(AND('A-18'!H23="-",'A-18'!H71="-",'A-18'!H119="-"),"-",SUM('A-18'!H23,'A-18'!H71,'A-18'!H119))</f>
        <v>-</v>
      </c>
      <c r="I23" s="142" t="str">
        <f>IF(AND('A-18'!I23="-",'A-18'!I71="-",'A-18'!I119="-"),"-",SUM('A-18'!I23,'A-18'!I71,'A-18'!I119))</f>
        <v>-</v>
      </c>
      <c r="K23" s="142" t="str">
        <f>IF(AND('A-18'!K23="-",'A-18'!K71="-",'A-18'!K119="-"),"-",SUM('A-18'!K23,'A-18'!K71,'A-18'!K119))</f>
        <v>-</v>
      </c>
      <c r="L23" s="142" t="str">
        <f>IF(AND('A-18'!L23="-",'A-18'!L71="-",'A-18'!L119="-"),"-",SUM('A-18'!L23,'A-18'!L71,'A-18'!L119))</f>
        <v>-</v>
      </c>
      <c r="M23" s="142" t="str">
        <f>IF(AND('A-18'!M23="-",'A-18'!M71="-",'A-18'!M119="-"),"-",SUM('A-18'!M23,'A-18'!M71,'A-18'!M119))</f>
        <v>-</v>
      </c>
      <c r="N23" s="142" t="str">
        <f>IF(AND('A-18'!N23="-",'A-18'!N71="-",'A-18'!N119="-"),"-",SUM('A-18'!N23,'A-18'!N71,'A-18'!N119))</f>
        <v>-</v>
      </c>
      <c r="O23" s="142" t="str">
        <f>IF(AND('A-18'!O23="-",'A-18'!O71="-",'A-18'!O119="-"),"-",SUM('A-18'!O23,'A-18'!O71,'A-18'!O119))</f>
        <v>-</v>
      </c>
      <c r="P23" s="142" t="str">
        <f>IF(AND('A-18'!P23="-",'A-18'!P71="-",'A-18'!P119="-"),"-",SUM('A-18'!P23,'A-18'!P71,'A-18'!P119))</f>
        <v>-</v>
      </c>
      <c r="Q23" s="142" t="str">
        <f>IF(AND('A-18'!Q23="-",'A-18'!Q71="-",'A-18'!Q119="-"),"-",SUM('A-18'!Q23,'A-18'!Q71,'A-18'!Q119))</f>
        <v>-</v>
      </c>
      <c r="R23" s="142" t="str">
        <f>IF(AND('A-18'!R23="-",'A-18'!R71="-",'A-18'!R119="-"),"-",SUM('A-18'!R23,'A-18'!R71,'A-18'!R119))</f>
        <v>-</v>
      </c>
      <c r="S23" s="17"/>
      <c r="T23" s="17"/>
    </row>
    <row r="24" spans="1:20" ht="11.25" customHeight="1">
      <c r="A24" s="99">
        <v>1995</v>
      </c>
      <c r="B24" s="142" t="str">
        <f>IF(AND('A-18'!B24="-",'A-18'!B72="-",'A-18'!B120="-"),"-",SUM('A-18'!B24,'A-18'!B72,'A-18'!B120))</f>
        <v>-</v>
      </c>
      <c r="C24" s="142" t="str">
        <f>IF(AND('A-18'!C24="-",'A-18'!C72="-",'A-18'!C120="-"),"-",SUM('A-18'!C24,'A-18'!C72,'A-18'!C120))</f>
        <v>-</v>
      </c>
      <c r="D24" s="142" t="str">
        <f>IF(AND('A-18'!D24="-",'A-18'!D72="-",'A-18'!D120="-"),"-",SUM('A-18'!D24,'A-18'!D72,'A-18'!D120))</f>
        <v>-</v>
      </c>
      <c r="E24" s="142">
        <f>IF(AND('A-18'!E24="-",'A-18'!E72="-",'A-18'!E120="-"),"-",SUM('A-18'!E24,'A-18'!E72,'A-18'!E120))</f>
        <v>12</v>
      </c>
      <c r="F24" s="142">
        <f>IF(AND('A-18'!F24="-",'A-18'!F72="-",'A-18'!F120="-"),"-",SUM('A-18'!F24,'A-18'!F72,'A-18'!F120))</f>
        <v>176</v>
      </c>
      <c r="G24" s="142">
        <f>IF(AND('A-18'!G24="-",'A-18'!G72="-",'A-18'!G120="-"),"-",SUM('A-18'!G24,'A-18'!G72,'A-18'!G120))</f>
        <v>49</v>
      </c>
      <c r="H24" s="142" t="str">
        <f>IF(AND('A-18'!H24="-",'A-18'!H72="-",'A-18'!H120="-"),"-",SUM('A-18'!H24,'A-18'!H72,'A-18'!H120))</f>
        <v>-</v>
      </c>
      <c r="I24" s="142">
        <f>IF(AND('A-18'!I24="-",'A-18'!I72="-",'A-18'!I120="-"),"-",SUM('A-18'!I24,'A-18'!I72,'A-18'!I120))</f>
        <v>237</v>
      </c>
      <c r="K24" s="142" t="str">
        <f>IF(AND('A-18'!K24="-",'A-18'!K72="-",'A-18'!K120="-"),"-",SUM('A-18'!K24,'A-18'!K72,'A-18'!K120))</f>
        <v>-</v>
      </c>
      <c r="L24" s="142" t="str">
        <f>IF(AND('A-18'!L24="-",'A-18'!L72="-",'A-18'!L120="-"),"-",SUM('A-18'!L24,'A-18'!L72,'A-18'!L120))</f>
        <v>-</v>
      </c>
      <c r="M24" s="142" t="str">
        <f>IF(AND('A-18'!M24="-",'A-18'!M72="-",'A-18'!M120="-"),"-",SUM('A-18'!M24,'A-18'!M72,'A-18'!M120))</f>
        <v>-</v>
      </c>
      <c r="N24" s="142">
        <f>IF(AND('A-18'!N24="-",'A-18'!N72="-",'A-18'!N120="-"),"-",SUM('A-18'!N24,'A-18'!N72,'A-18'!N120))</f>
        <v>3216</v>
      </c>
      <c r="O24" s="142">
        <f>IF(AND('A-18'!O24="-",'A-18'!O72="-",'A-18'!O120="-"),"-",SUM('A-18'!O24,'A-18'!O72,'A-18'!O120))</f>
        <v>31680</v>
      </c>
      <c r="P24" s="142">
        <f>IF(AND('A-18'!P24="-",'A-18'!P72="-",'A-18'!P120="-"),"-",SUM('A-18'!P24,'A-18'!P72,'A-18'!P120))</f>
        <v>8723</v>
      </c>
      <c r="Q24" s="142" t="str">
        <f>IF(AND('A-18'!Q24="-",'A-18'!Q72="-",'A-18'!Q120="-"),"-",SUM('A-18'!Q24,'A-18'!Q72,'A-18'!Q120))</f>
        <v>-</v>
      </c>
      <c r="R24" s="142">
        <f>IF(AND('A-18'!R24="-",'A-18'!R72="-",'A-18'!R120="-"),"-",SUM('A-18'!R24,'A-18'!R72,'A-18'!R120))</f>
        <v>43619</v>
      </c>
      <c r="S24" s="17"/>
      <c r="T24" s="17"/>
    </row>
    <row r="25" spans="1:20" ht="11.25" customHeight="1">
      <c r="A25" s="99">
        <v>1996</v>
      </c>
      <c r="B25" s="142" t="str">
        <f>IF(AND('A-18'!B25="-",'A-18'!B73="-",'A-18'!B121="-"),"-",SUM('A-18'!B25,'A-18'!B73,'A-18'!B121))</f>
        <v>-</v>
      </c>
      <c r="C25" s="142" t="str">
        <f>IF(AND('A-18'!C25="-",'A-18'!C73="-",'A-18'!C121="-"),"-",SUM('A-18'!C25,'A-18'!C73,'A-18'!C121))</f>
        <v>-</v>
      </c>
      <c r="D25" s="142" t="str">
        <f>IF(AND('A-18'!D25="-",'A-18'!D73="-",'A-18'!D121="-"),"-",SUM('A-18'!D25,'A-18'!D73,'A-18'!D121))</f>
        <v>-</v>
      </c>
      <c r="E25" s="142">
        <f>IF(AND('A-18'!E25="-",'A-18'!E73="-",'A-18'!E121="-"),"-",SUM('A-18'!E25,'A-18'!E73,'A-18'!E121))</f>
        <v>8</v>
      </c>
      <c r="F25" s="142">
        <f>IF(AND('A-18'!F25="-",'A-18'!F73="-",'A-18'!F121="-"),"-",SUM('A-18'!F25,'A-18'!F73,'A-18'!F121))</f>
        <v>65</v>
      </c>
      <c r="G25" s="142">
        <f>IF(AND('A-18'!G25="-",'A-18'!G73="-",'A-18'!G121="-"),"-",SUM('A-18'!G25,'A-18'!G73,'A-18'!G121))</f>
        <v>12</v>
      </c>
      <c r="H25" s="142" t="str">
        <f>IF(AND('A-18'!H25="-",'A-18'!H73="-",'A-18'!H121="-"),"-",SUM('A-18'!H25,'A-18'!H73,'A-18'!H121))</f>
        <v>-</v>
      </c>
      <c r="I25" s="142">
        <f>IF(AND('A-18'!I25="-",'A-18'!I73="-",'A-18'!I121="-"),"-",SUM('A-18'!I25,'A-18'!I73,'A-18'!I121))</f>
        <v>85</v>
      </c>
      <c r="K25" s="142" t="str">
        <f>IF(AND('A-18'!K25="-",'A-18'!K73="-",'A-18'!K121="-"),"-",SUM('A-18'!K25,'A-18'!K73,'A-18'!K121))</f>
        <v>-</v>
      </c>
      <c r="L25" s="142" t="str">
        <f>IF(AND('A-18'!L25="-",'A-18'!L73="-",'A-18'!L121="-"),"-",SUM('A-18'!L25,'A-18'!L73,'A-18'!L121))</f>
        <v>-</v>
      </c>
      <c r="M25" s="142" t="str">
        <f>IF(AND('A-18'!M25="-",'A-18'!M73="-",'A-18'!M121="-"),"-",SUM('A-18'!M25,'A-18'!M73,'A-18'!M121))</f>
        <v>-</v>
      </c>
      <c r="N25" s="142">
        <f>IF(AND('A-18'!N25="-",'A-18'!N73="-",'A-18'!N121="-"),"-",SUM('A-18'!N25,'A-18'!N73,'A-18'!N121))</f>
        <v>5975</v>
      </c>
      <c r="O25" s="142">
        <f>IF(AND('A-18'!O25="-",'A-18'!O73="-",'A-18'!O121="-"),"-",SUM('A-18'!O25,'A-18'!O73,'A-18'!O121))</f>
        <v>22332</v>
      </c>
      <c r="P25" s="142">
        <f>IF(AND('A-18'!P25="-",'A-18'!P73="-",'A-18'!P121="-"),"-",SUM('A-18'!P25,'A-18'!P73,'A-18'!P121))</f>
        <v>5338</v>
      </c>
      <c r="Q25" s="142" t="str">
        <f>IF(AND('A-18'!Q25="-",'A-18'!Q73="-",'A-18'!Q121="-"),"-",SUM('A-18'!Q25,'A-18'!Q73,'A-18'!Q121))</f>
        <v>-</v>
      </c>
      <c r="R25" s="142">
        <f>IF(AND('A-18'!R25="-",'A-18'!R73="-",'A-18'!R121="-"),"-",SUM('A-18'!R25,'A-18'!R73,'A-18'!R121))</f>
        <v>33645</v>
      </c>
      <c r="S25" s="17"/>
      <c r="T25" s="17"/>
    </row>
    <row r="26" spans="1:20" ht="11.25" customHeight="1">
      <c r="A26" s="99">
        <v>1997</v>
      </c>
      <c r="B26" s="142" t="str">
        <f>IF(AND('A-18'!B26="-",'A-18'!B74="-",'A-18'!B122="-"),"-",SUM('A-18'!B26,'A-18'!B74,'A-18'!B122))</f>
        <v>-</v>
      </c>
      <c r="C26" s="142" t="str">
        <f>IF(AND('A-18'!C26="-",'A-18'!C74="-",'A-18'!C122="-"),"-",SUM('A-18'!C26,'A-18'!C74,'A-18'!C122))</f>
        <v>-</v>
      </c>
      <c r="D26" s="142" t="str">
        <f>IF(AND('A-18'!D26="-",'A-18'!D74="-",'A-18'!D122="-"),"-",SUM('A-18'!D26,'A-18'!D74,'A-18'!D122))</f>
        <v>-</v>
      </c>
      <c r="E26" s="142">
        <f>IF(AND('A-18'!E26="-",'A-18'!E74="-",'A-18'!E122="-"),"-",SUM('A-18'!E26,'A-18'!E74,'A-18'!E122))</f>
        <v>1738</v>
      </c>
      <c r="F26" s="142">
        <f>IF(AND('A-18'!F26="-",'A-18'!F74="-",'A-18'!F122="-"),"-",SUM('A-18'!F26,'A-18'!F74,'A-18'!F122))</f>
        <v>1571</v>
      </c>
      <c r="G26" s="142">
        <f>IF(AND('A-18'!G26="-",'A-18'!G74="-",'A-18'!G122="-"),"-",SUM('A-18'!G26,'A-18'!G74,'A-18'!G122))</f>
        <v>315</v>
      </c>
      <c r="H26" s="142" t="str">
        <f>IF(AND('A-18'!H26="-",'A-18'!H74="-",'A-18'!H122="-"),"-",SUM('A-18'!H26,'A-18'!H74,'A-18'!H122))</f>
        <v>-</v>
      </c>
      <c r="I26" s="142">
        <f>IF(AND('A-18'!I26="-",'A-18'!I74="-",'A-18'!I122="-"),"-",SUM('A-18'!I26,'A-18'!I74,'A-18'!I122))</f>
        <v>3624</v>
      </c>
      <c r="K26" s="142" t="str">
        <f>IF(AND('A-18'!K26="-",'A-18'!K74="-",'A-18'!K122="-"),"-",SUM('A-18'!K26,'A-18'!K74,'A-18'!K122))</f>
        <v>-</v>
      </c>
      <c r="L26" s="142" t="str">
        <f>IF(AND('A-18'!L26="-",'A-18'!L74="-",'A-18'!L122="-"),"-",SUM('A-18'!L26,'A-18'!L74,'A-18'!L122))</f>
        <v>-</v>
      </c>
      <c r="M26" s="142" t="str">
        <f>IF(AND('A-18'!M26="-",'A-18'!M74="-",'A-18'!M122="-"),"-",SUM('A-18'!M26,'A-18'!M74,'A-18'!M122))</f>
        <v>-</v>
      </c>
      <c r="N26" s="142">
        <f>IF(AND('A-18'!N26="-",'A-18'!N74="-",'A-18'!N122="-"),"-",SUM('A-18'!N26,'A-18'!N74,'A-18'!N122))</f>
        <v>7043</v>
      </c>
      <c r="O26" s="142">
        <f>IF(AND('A-18'!O26="-",'A-18'!O74="-",'A-18'!O122="-"),"-",SUM('A-18'!O26,'A-18'!O74,'A-18'!O122))</f>
        <v>8239</v>
      </c>
      <c r="P26" s="142">
        <f>IF(AND('A-18'!P26="-",'A-18'!P74="-",'A-18'!P122="-"),"-",SUM('A-18'!P26,'A-18'!P74,'A-18'!P122))</f>
        <v>424</v>
      </c>
      <c r="Q26" s="142" t="str">
        <f>IF(AND('A-18'!Q26="-",'A-18'!Q74="-",'A-18'!Q122="-"),"-",SUM('A-18'!Q26,'A-18'!Q74,'A-18'!Q122))</f>
        <v>-</v>
      </c>
      <c r="R26" s="142">
        <f>IF(AND('A-18'!R26="-",'A-18'!R74="-",'A-18'!R122="-"),"-",SUM('A-18'!R26,'A-18'!R74,'A-18'!R122))</f>
        <v>15706</v>
      </c>
      <c r="S26" s="17"/>
      <c r="T26" s="17"/>
    </row>
    <row r="27" spans="1:20" ht="11.25" customHeight="1">
      <c r="A27" s="99">
        <v>1998</v>
      </c>
      <c r="B27" s="142" t="str">
        <f>IF(AND('A-18'!B27="-",'A-18'!B75="-",'A-18'!B123="-"),"-",SUM('A-18'!B27,'A-18'!B75,'A-18'!B123))</f>
        <v>-</v>
      </c>
      <c r="C27" s="142" t="str">
        <f>IF(AND('A-18'!C27="-",'A-18'!C75="-",'A-18'!C123="-"),"-",SUM('A-18'!C27,'A-18'!C75,'A-18'!C123))</f>
        <v>-</v>
      </c>
      <c r="D27" s="142" t="str">
        <f>IF(AND('A-18'!D27="-",'A-18'!D75="-",'A-18'!D123="-"),"-",SUM('A-18'!D27,'A-18'!D75,'A-18'!D123))</f>
        <v>-</v>
      </c>
      <c r="E27" s="142" t="str">
        <f>IF(AND('A-18'!E27="-",'A-18'!E75="-",'A-18'!E123="-"),"-",SUM('A-18'!E27,'A-18'!E75,'A-18'!E123))</f>
        <v>-</v>
      </c>
      <c r="F27" s="142">
        <f>IF(AND('A-18'!F27="-",'A-18'!F75="-",'A-18'!F123="-"),"-",SUM('A-18'!F27,'A-18'!F75,'A-18'!F123))</f>
        <v>1645</v>
      </c>
      <c r="G27" s="142">
        <f>IF(AND('A-18'!G27="-",'A-18'!G75="-",'A-18'!G123="-"),"-",SUM('A-18'!G27,'A-18'!G75,'A-18'!G123))</f>
        <v>228</v>
      </c>
      <c r="H27" s="142" t="str">
        <f>IF(AND('A-18'!H27="-",'A-18'!H75="-",'A-18'!H123="-"),"-",SUM('A-18'!H27,'A-18'!H75,'A-18'!H123))</f>
        <v>-</v>
      </c>
      <c r="I27" s="142">
        <f>IF(AND('A-18'!I27="-",'A-18'!I75="-",'A-18'!I123="-"),"-",SUM('A-18'!I27,'A-18'!I75,'A-18'!I123))</f>
        <v>1873</v>
      </c>
      <c r="K27" s="142" t="str">
        <f>IF(AND('A-18'!K27="-",'A-18'!K75="-",'A-18'!K123="-"),"-",SUM('A-18'!K27,'A-18'!K75,'A-18'!K123))</f>
        <v>-</v>
      </c>
      <c r="L27" s="142" t="str">
        <f>IF(AND('A-18'!L27="-",'A-18'!L75="-",'A-18'!L123="-"),"-",SUM('A-18'!L27,'A-18'!L75,'A-18'!L123))</f>
        <v>-</v>
      </c>
      <c r="M27" s="142" t="str">
        <f>IF(AND('A-18'!M27="-",'A-18'!M75="-",'A-18'!M123="-"),"-",SUM('A-18'!M27,'A-18'!M75,'A-18'!M123))</f>
        <v>-</v>
      </c>
      <c r="N27" s="142" t="str">
        <f>IF(AND('A-18'!N27="-",'A-18'!N75="-",'A-18'!N123="-"),"-",SUM('A-18'!N27,'A-18'!N75,'A-18'!N123))</f>
        <v>-</v>
      </c>
      <c r="O27" s="142">
        <f>IF(AND('A-18'!O27="-",'A-18'!O75="-",'A-18'!O123="-"),"-",SUM('A-18'!O27,'A-18'!O75,'A-18'!O123))</f>
        <v>15267</v>
      </c>
      <c r="P27" s="142">
        <f>IF(AND('A-18'!P27="-",'A-18'!P75="-",'A-18'!P123="-"),"-",SUM('A-18'!P27,'A-18'!P75,'A-18'!P123))</f>
        <v>1066</v>
      </c>
      <c r="Q27" s="142" t="str">
        <f>IF(AND('A-18'!Q27="-",'A-18'!Q75="-",'A-18'!Q123="-"),"-",SUM('A-18'!Q27,'A-18'!Q75,'A-18'!Q123))</f>
        <v>-</v>
      </c>
      <c r="R27" s="142">
        <f>IF(AND('A-18'!R27="-",'A-18'!R75="-",'A-18'!R123="-"),"-",SUM('A-18'!R27,'A-18'!R75,'A-18'!R123))</f>
        <v>16333</v>
      </c>
      <c r="S27" s="17"/>
      <c r="T27" s="17"/>
    </row>
    <row r="28" spans="1:20" ht="11.25" customHeight="1">
      <c r="A28" s="99">
        <v>1999</v>
      </c>
      <c r="B28" s="142" t="str">
        <f>IF(AND('A-18'!B28="-",'A-18'!B76="-",'A-18'!B124="-"),"-",SUM('A-18'!B28,'A-18'!B76,'A-18'!B124))</f>
        <v>-</v>
      </c>
      <c r="C28" s="142" t="str">
        <f>IF(AND('A-18'!C28="-",'A-18'!C76="-",'A-18'!C124="-"),"-",SUM('A-18'!C28,'A-18'!C76,'A-18'!C124))</f>
        <v>-</v>
      </c>
      <c r="D28" s="142" t="str">
        <f>IF(AND('A-18'!D28="-",'A-18'!D76="-",'A-18'!D124="-"),"-",SUM('A-18'!D28,'A-18'!D76,'A-18'!D124))</f>
        <v>-</v>
      </c>
      <c r="E28" s="142">
        <f>IF(AND('A-18'!E28="-",'A-18'!E76="-",'A-18'!E124="-"),"-",SUM('A-18'!E28,'A-18'!E76,'A-18'!E124))</f>
        <v>2667</v>
      </c>
      <c r="F28" s="142">
        <f>IF(AND('A-18'!F28="-",'A-18'!F76="-",'A-18'!F124="-"),"-",SUM('A-18'!F28,'A-18'!F76,'A-18'!F124))</f>
        <v>3591</v>
      </c>
      <c r="G28" s="142">
        <f>IF(AND('A-18'!G28="-",'A-18'!G76="-",'A-18'!G124="-"),"-",SUM('A-18'!G28,'A-18'!G76,'A-18'!G124))</f>
        <v>1311</v>
      </c>
      <c r="H28" s="142" t="str">
        <f>IF(AND('A-18'!H28="-",'A-18'!H76="-",'A-18'!H124="-"),"-",SUM('A-18'!H28,'A-18'!H76,'A-18'!H124))</f>
        <v>-</v>
      </c>
      <c r="I28" s="142">
        <f>IF(AND('A-18'!I28="-",'A-18'!I76="-",'A-18'!I124="-"),"-",SUM('A-18'!I28,'A-18'!I76,'A-18'!I124))</f>
        <v>7569</v>
      </c>
      <c r="K28" s="142" t="str">
        <f>IF(AND('A-18'!K28="-",'A-18'!K76="-",'A-18'!K124="-"),"-",SUM('A-18'!K28,'A-18'!K76,'A-18'!K124))</f>
        <v>-</v>
      </c>
      <c r="L28" s="142" t="str">
        <f>IF(AND('A-18'!L28="-",'A-18'!L76="-",'A-18'!L124="-"),"-",SUM('A-18'!L28,'A-18'!L76,'A-18'!L124))</f>
        <v>-</v>
      </c>
      <c r="M28" s="142" t="str">
        <f>IF(AND('A-18'!M28="-",'A-18'!M76="-",'A-18'!M124="-"),"-",SUM('A-18'!M28,'A-18'!M76,'A-18'!M124))</f>
        <v>-</v>
      </c>
      <c r="N28" s="142">
        <f>IF(AND('A-18'!N28="-",'A-18'!N76="-",'A-18'!N124="-"),"-",SUM('A-18'!N28,'A-18'!N76,'A-18'!N124))</f>
        <v>6177</v>
      </c>
      <c r="O28" s="142">
        <f>IF(AND('A-18'!O28="-",'A-18'!O76="-",'A-18'!O124="-"),"-",SUM('A-18'!O28,'A-18'!O76,'A-18'!O124))</f>
        <v>11545</v>
      </c>
      <c r="P28" s="142">
        <f>IF(AND('A-18'!P28="-",'A-18'!P76="-",'A-18'!P124="-"),"-",SUM('A-18'!P28,'A-18'!P76,'A-18'!P124))</f>
        <v>2820</v>
      </c>
      <c r="Q28" s="142" t="str">
        <f>IF(AND('A-18'!Q28="-",'A-18'!Q76="-",'A-18'!Q124="-"),"-",SUM('A-18'!Q28,'A-18'!Q76,'A-18'!Q124))</f>
        <v>-</v>
      </c>
      <c r="R28" s="142">
        <f>IF(AND('A-18'!R28="-",'A-18'!R76="-",'A-18'!R124="-"),"-",SUM('A-18'!R28,'A-18'!R76,'A-18'!R124))</f>
        <v>20542</v>
      </c>
      <c r="S28" s="17"/>
      <c r="T28" s="17"/>
    </row>
    <row r="29" spans="1:20" ht="11.25" customHeight="1">
      <c r="A29" s="99">
        <v>2000</v>
      </c>
      <c r="B29" s="142" t="str">
        <f>IF(AND('A-18'!B29="-",'A-18'!B77="-",'A-18'!B125="-"),"-",SUM('A-18'!B29,'A-18'!B77,'A-18'!B125))</f>
        <v>-</v>
      </c>
      <c r="C29" s="142" t="str">
        <f>IF(AND('A-18'!C29="-",'A-18'!C77="-",'A-18'!C125="-"),"-",SUM('A-18'!C29,'A-18'!C77,'A-18'!C125))</f>
        <v>-</v>
      </c>
      <c r="D29" s="142" t="str">
        <f>IF(AND('A-18'!D29="-",'A-18'!D77="-",'A-18'!D125="-"),"-",SUM('A-18'!D29,'A-18'!D77,'A-18'!D125))</f>
        <v>-</v>
      </c>
      <c r="E29" s="142">
        <f>IF(AND('A-18'!E29="-",'A-18'!E77="-",'A-18'!E125="-"),"-",SUM('A-18'!E29,'A-18'!E77,'A-18'!E125))</f>
        <v>4572</v>
      </c>
      <c r="F29" s="142">
        <f>IF(AND('A-18'!F29="-",'A-18'!F77="-",'A-18'!F125="-"),"-",SUM('A-18'!F29,'A-18'!F77,'A-18'!F125))</f>
        <v>2358</v>
      </c>
      <c r="G29" s="142" t="str">
        <f>IF(AND('A-18'!G29="-",'A-18'!G77="-",'A-18'!G125="-"),"-",SUM('A-18'!G29,'A-18'!G77,'A-18'!G125))</f>
        <v>-</v>
      </c>
      <c r="H29" s="142" t="str">
        <f>IF(AND('A-18'!H29="-",'A-18'!H77="-",'A-18'!H125="-"),"-",SUM('A-18'!H29,'A-18'!H77,'A-18'!H125))</f>
        <v>-</v>
      </c>
      <c r="I29" s="142">
        <f>IF(AND('A-18'!I29="-",'A-18'!I77="-",'A-18'!I125="-"),"-",SUM('A-18'!I29,'A-18'!I77,'A-18'!I125))</f>
        <v>6930</v>
      </c>
      <c r="K29" s="142" t="str">
        <f>IF(AND('A-18'!K29="-",'A-18'!K77="-",'A-18'!K125="-"),"-",SUM('A-18'!K29,'A-18'!K77,'A-18'!K125))</f>
        <v>-</v>
      </c>
      <c r="L29" s="142" t="str">
        <f>IF(AND('A-18'!L29="-",'A-18'!L77="-",'A-18'!L125="-"),"-",SUM('A-18'!L29,'A-18'!L77,'A-18'!L125))</f>
        <v>-</v>
      </c>
      <c r="M29" s="142" t="str">
        <f>IF(AND('A-18'!M29="-",'A-18'!M77="-",'A-18'!M125="-"),"-",SUM('A-18'!M29,'A-18'!M77,'A-18'!M125))</f>
        <v>-</v>
      </c>
      <c r="N29" s="142">
        <f>IF(AND('A-18'!N29="-",'A-18'!N77="-",'A-18'!N125="-"),"-",SUM('A-18'!N29,'A-18'!N77,'A-18'!N125))</f>
        <v>23122</v>
      </c>
      <c r="O29" s="142">
        <f>IF(AND('A-18'!O29="-",'A-18'!O77="-",'A-18'!O125="-"),"-",SUM('A-18'!O29,'A-18'!O77,'A-18'!O125))</f>
        <v>17161</v>
      </c>
      <c r="P29" s="142">
        <f>IF(AND('A-18'!P29="-",'A-18'!P77="-",'A-18'!P125="-"),"-",SUM('A-18'!P29,'A-18'!P77,'A-18'!P125))</f>
        <v>2067</v>
      </c>
      <c r="Q29" s="142" t="str">
        <f>IF(AND('A-18'!Q29="-",'A-18'!Q77="-",'A-18'!Q125="-"),"-",SUM('A-18'!Q29,'A-18'!Q77,'A-18'!Q125))</f>
        <v>-</v>
      </c>
      <c r="R29" s="142">
        <f>IF(AND('A-18'!R29="-",'A-18'!R77="-",'A-18'!R125="-"),"-",SUM('A-18'!R29,'A-18'!R77,'A-18'!R125))</f>
        <v>42350</v>
      </c>
      <c r="S29" s="17"/>
      <c r="T29" s="17"/>
    </row>
    <row r="30" spans="1:20" ht="11.25" customHeight="1">
      <c r="A30" s="99">
        <v>2001</v>
      </c>
      <c r="B30" s="142" t="str">
        <f>IF(AND('A-18'!B30="-",'A-18'!B78="-",'A-18'!B126="-"),"-",SUM('A-18'!B30,'A-18'!B78,'A-18'!B126))</f>
        <v>-</v>
      </c>
      <c r="C30" s="142" t="str">
        <f>IF(AND('A-18'!C30="-",'A-18'!C78="-",'A-18'!C126="-"),"-",SUM('A-18'!C30,'A-18'!C78,'A-18'!C126))</f>
        <v>-</v>
      </c>
      <c r="D30" s="142" t="str">
        <f>IF(AND('A-18'!D30="-",'A-18'!D78="-",'A-18'!D126="-"),"-",SUM('A-18'!D30,'A-18'!D78,'A-18'!D126))</f>
        <v>-</v>
      </c>
      <c r="E30" s="142">
        <f>IF(AND('A-18'!E30="-",'A-18'!E78="-",'A-18'!E126="-"),"-",SUM('A-18'!E30,'A-18'!E78,'A-18'!E126))</f>
        <v>13632</v>
      </c>
      <c r="F30" s="142">
        <f>IF(AND('A-18'!F30="-",'A-18'!F78="-",'A-18'!F126="-"),"-",SUM('A-18'!F30,'A-18'!F78,'A-18'!F126))</f>
        <v>3224</v>
      </c>
      <c r="G30" s="142">
        <f>IF(AND('A-18'!G30="-",'A-18'!G78="-",'A-18'!G126="-"),"-",SUM('A-18'!G30,'A-18'!G78,'A-18'!G126))</f>
        <v>896</v>
      </c>
      <c r="H30" s="142">
        <f>IF(AND('A-18'!H30="-",'A-18'!H78="-",'A-18'!H126="-"),"-",SUM('A-18'!H30,'A-18'!H78,'A-18'!H126))</f>
        <v>100</v>
      </c>
      <c r="I30" s="142">
        <f>IF(AND('A-18'!I30="-",'A-18'!I78="-",'A-18'!I126="-"),"-",SUM('A-18'!I30,'A-18'!I78,'A-18'!I126))</f>
        <v>17852</v>
      </c>
      <c r="K30" s="142" t="str">
        <f>IF(AND('A-18'!K30="-",'A-18'!K78="-",'A-18'!K126="-"),"-",SUM('A-18'!K30,'A-18'!K78,'A-18'!K126))</f>
        <v>-</v>
      </c>
      <c r="L30" s="142" t="str">
        <f>IF(AND('A-18'!L30="-",'A-18'!L78="-",'A-18'!L126="-"),"-",SUM('A-18'!L30,'A-18'!L78,'A-18'!L126))</f>
        <v>-</v>
      </c>
      <c r="M30" s="142" t="str">
        <f>IF(AND('A-18'!M30="-",'A-18'!M78="-",'A-18'!M126="-"),"-",SUM('A-18'!M30,'A-18'!M78,'A-18'!M126))</f>
        <v>-</v>
      </c>
      <c r="N30" s="142">
        <f>IF(AND('A-18'!N30="-",'A-18'!N78="-",'A-18'!N126="-"),"-",SUM('A-18'!N30,'A-18'!N78,'A-18'!N126))</f>
        <v>42997</v>
      </c>
      <c r="O30" s="142">
        <f>IF(AND('A-18'!O30="-",'A-18'!O78="-",'A-18'!O126="-"),"-",SUM('A-18'!O30,'A-18'!O78,'A-18'!O126))</f>
        <v>33408</v>
      </c>
      <c r="P30" s="142">
        <f>IF(AND('A-18'!P30="-",'A-18'!P78="-",'A-18'!P126="-"),"-",SUM('A-18'!P30,'A-18'!P78,'A-18'!P126))</f>
        <v>14163</v>
      </c>
      <c r="Q30" s="142">
        <f>IF(AND('A-18'!Q30="-",'A-18'!Q78="-",'A-18'!Q126="-"),"-",SUM('A-18'!Q30,'A-18'!Q78,'A-18'!Q126))</f>
        <v>15</v>
      </c>
      <c r="R30" s="142">
        <f>IF(AND('A-18'!R30="-",'A-18'!R78="-",'A-18'!R126="-"),"-",SUM('A-18'!R30,'A-18'!R78,'A-18'!R126))</f>
        <v>90583</v>
      </c>
      <c r="S30" s="17"/>
      <c r="T30" s="17"/>
    </row>
    <row r="31" spans="1:20" ht="11.25" customHeight="1">
      <c r="A31" s="99">
        <v>2002</v>
      </c>
      <c r="B31" s="142" t="str">
        <f>IF(AND('A-18'!B31="-",'A-18'!B79="-",'A-18'!B127="-"),"-",SUM('A-18'!B31,'A-18'!B79,'A-18'!B127))</f>
        <v>-</v>
      </c>
      <c r="C31" s="142">
        <f>IF(AND('A-18'!C31="-",'A-18'!C79="-",'A-18'!C127="-"),"-",SUM('A-18'!C31,'A-18'!C79,'A-18'!C127))</f>
        <v>2554</v>
      </c>
      <c r="D31" s="142">
        <f>IF(AND('A-18'!D31="-",'A-18'!D79="-",'A-18'!D127="-"),"-",SUM('A-18'!D31,'A-18'!D79,'A-18'!D127))</f>
        <v>15225</v>
      </c>
      <c r="E31" s="142">
        <f>IF(AND('A-18'!E31="-",'A-18'!E79="-",'A-18'!E127="-"),"-",SUM('A-18'!E31,'A-18'!E79,'A-18'!E127))</f>
        <v>21984</v>
      </c>
      <c r="F31" s="142">
        <f>IF(AND('A-18'!F31="-",'A-18'!F79="-",'A-18'!F127="-"),"-",SUM('A-18'!F31,'A-18'!F79,'A-18'!F127))</f>
        <v>9884</v>
      </c>
      <c r="G31" s="142">
        <f>IF(AND('A-18'!G31="-",'A-18'!G79="-",'A-18'!G127="-"),"-",SUM('A-18'!G31,'A-18'!G79,'A-18'!G127))</f>
        <v>99</v>
      </c>
      <c r="H31" s="142">
        <f>IF(AND('A-18'!H31="-",'A-18'!H79="-",'A-18'!H127="-"),"-",SUM('A-18'!H31,'A-18'!H79,'A-18'!H127))</f>
        <v>43</v>
      </c>
      <c r="I31" s="142">
        <f>IF(AND('A-18'!I31="-",'A-18'!I79="-",'A-18'!I127="-"),"-",SUM('A-18'!I31,'A-18'!I79,'A-18'!I127))</f>
        <v>49789</v>
      </c>
      <c r="K31" s="142" t="str">
        <f>IF(AND('A-18'!K31="-",'A-18'!K79="-",'A-18'!K127="-"),"-",SUM('A-18'!K31,'A-18'!K79,'A-18'!K127))</f>
        <v>-</v>
      </c>
      <c r="L31" s="142">
        <f>IF(AND('A-18'!L31="-",'A-18'!L79="-",'A-18'!L127="-"),"-",SUM('A-18'!L31,'A-18'!L79,'A-18'!L127))</f>
        <v>5</v>
      </c>
      <c r="M31" s="142">
        <f>IF(AND('A-18'!M31="-",'A-18'!M79="-",'A-18'!M127="-"),"-",SUM('A-18'!M31,'A-18'!M79,'A-18'!M127))</f>
        <v>271</v>
      </c>
      <c r="N31" s="142">
        <f>IF(AND('A-18'!N31="-",'A-18'!N79="-",'A-18'!N127="-"),"-",SUM('A-18'!N31,'A-18'!N79,'A-18'!N127))</f>
        <v>10327</v>
      </c>
      <c r="O31" s="142">
        <f>IF(AND('A-18'!O31="-",'A-18'!O79="-",'A-18'!O127="-"),"-",SUM('A-18'!O31,'A-18'!O79,'A-18'!O127))</f>
        <v>17191</v>
      </c>
      <c r="P31" s="142">
        <f>IF(AND('A-18'!P31="-",'A-18'!P79="-",'A-18'!P127="-"),"-",SUM('A-18'!P31,'A-18'!P79,'A-18'!P127))</f>
        <v>1331</v>
      </c>
      <c r="Q31" s="142">
        <f>IF(AND('A-18'!Q31="-",'A-18'!Q79="-",'A-18'!Q127="-"),"-",SUM('A-18'!Q31,'A-18'!Q79,'A-18'!Q127))</f>
        <v>4</v>
      </c>
      <c r="R31" s="142">
        <f>IF(AND('A-18'!R31="-",'A-18'!R79="-",'A-18'!R127="-"),"-",SUM('A-18'!R31,'A-18'!R79,'A-18'!R127))</f>
        <v>29129</v>
      </c>
      <c r="S31" s="17"/>
      <c r="T31" s="17"/>
    </row>
    <row r="32" spans="1:20" ht="11.25" customHeight="1">
      <c r="A32" s="99">
        <v>2003</v>
      </c>
      <c r="B32" s="142" t="str">
        <f>IF(AND('A-18'!B32="-",'A-18'!B80="-",'A-18'!B128="-"),"-",SUM('A-18'!B32,'A-18'!B80,'A-18'!B128))</f>
        <v>-</v>
      </c>
      <c r="C32" s="142" t="str">
        <f>IF(AND('A-18'!C32="-",'A-18'!C80="-",'A-18'!C128="-"),"-",SUM('A-18'!C32,'A-18'!C80,'A-18'!C128))</f>
        <v>-</v>
      </c>
      <c r="D32" s="142">
        <f>IF(AND('A-18'!D32="-",'A-18'!D80="-",'A-18'!D128="-"),"-",SUM('A-18'!D32,'A-18'!D80,'A-18'!D128))</f>
        <v>2689</v>
      </c>
      <c r="E32" s="142">
        <f>IF(AND('A-18'!E32="-",'A-18'!E80="-",'A-18'!E128="-"),"-",SUM('A-18'!E32,'A-18'!E80,'A-18'!E128))</f>
        <v>12959</v>
      </c>
      <c r="F32" s="142">
        <f>IF(AND('A-18'!F32="-",'A-18'!F80="-",'A-18'!F128="-"),"-",SUM('A-18'!F32,'A-18'!F80,'A-18'!F128))</f>
        <v>10752</v>
      </c>
      <c r="G32" s="142">
        <f>IF(AND('A-18'!G32="-",'A-18'!G80="-",'A-18'!G128="-"),"-",SUM('A-18'!G32,'A-18'!G80,'A-18'!G128))</f>
        <v>1937</v>
      </c>
      <c r="H32" s="142">
        <f>IF(AND('A-18'!H32="-",'A-18'!H80="-",'A-18'!H128="-"),"-",SUM('A-18'!H32,'A-18'!H80,'A-18'!H128))</f>
        <v>62</v>
      </c>
      <c r="I32" s="142">
        <f>IF(AND('A-18'!I32="-",'A-18'!I80="-",'A-18'!I128="-"),"-",SUM('A-18'!I32,'A-18'!I80,'A-18'!I128))</f>
        <v>28399</v>
      </c>
      <c r="K32" s="142" t="str">
        <f>IF(AND('A-18'!K32="-",'A-18'!K80="-",'A-18'!K128="-"),"-",SUM('A-18'!K32,'A-18'!K80,'A-18'!K128))</f>
        <v>-</v>
      </c>
      <c r="L32" s="142" t="str">
        <f>IF(AND('A-18'!L32="-",'A-18'!L80="-",'A-18'!L128="-"),"-",SUM('A-18'!L32,'A-18'!L80,'A-18'!L128))</f>
        <v>-</v>
      </c>
      <c r="M32" s="142">
        <f>IF(AND('A-18'!M32="-",'A-18'!M80="-",'A-18'!M128="-"),"-",SUM('A-18'!M32,'A-18'!M80,'A-18'!M128))</f>
        <v>3635</v>
      </c>
      <c r="N32" s="142">
        <f>IF(AND('A-18'!N32="-",'A-18'!N80="-",'A-18'!N128="-"),"-",SUM('A-18'!N32,'A-18'!N80,'A-18'!N128))</f>
        <v>25550</v>
      </c>
      <c r="O32" s="142">
        <f>IF(AND('A-18'!O32="-",'A-18'!O80="-",'A-18'!O128="-"),"-",SUM('A-18'!O32,'A-18'!O80,'A-18'!O128))</f>
        <v>27566</v>
      </c>
      <c r="P32" s="142">
        <f>IF(AND('A-18'!P32="-",'A-18'!P80="-",'A-18'!P128="-"),"-",SUM('A-18'!P32,'A-18'!P80,'A-18'!P128))</f>
        <v>5660</v>
      </c>
      <c r="Q32" s="142">
        <f>IF(AND('A-18'!Q32="-",'A-18'!Q80="-",'A-18'!Q128="-"),"-",SUM('A-18'!Q32,'A-18'!Q80,'A-18'!Q128))</f>
        <v>12</v>
      </c>
      <c r="R32" s="142">
        <f>IF(AND('A-18'!R32="-",'A-18'!R80="-",'A-18'!R128="-"),"-",SUM('A-18'!R32,'A-18'!R80,'A-18'!R128))</f>
        <v>62423</v>
      </c>
      <c r="S32" s="17"/>
      <c r="T32" s="17"/>
    </row>
    <row r="33" spans="1:20" ht="11.25" customHeight="1">
      <c r="A33" s="99">
        <v>2004</v>
      </c>
      <c r="B33" s="142" t="str">
        <f>IF(AND('A-18'!B33="-",'A-18'!B81="-",'A-18'!B129="-"),"-",SUM('A-18'!B33,'A-18'!B81,'A-18'!B129))</f>
        <v>-</v>
      </c>
      <c r="C33" s="142" t="str">
        <f>IF(AND('A-18'!C33="-",'A-18'!C81="-",'A-18'!C129="-"),"-",SUM('A-18'!C33,'A-18'!C81,'A-18'!C129))</f>
        <v>-</v>
      </c>
      <c r="D33" s="142">
        <f>IF(AND('A-18'!D33="-",'A-18'!D81="-",'A-18'!D129="-"),"-",SUM('A-18'!D33,'A-18'!D81,'A-18'!D129))</f>
        <v>527</v>
      </c>
      <c r="E33" s="142">
        <f>IF(AND('A-18'!E33="-",'A-18'!E81="-",'A-18'!E129="-"),"-",SUM('A-18'!E33,'A-18'!E81,'A-18'!E129))</f>
        <v>9057</v>
      </c>
      <c r="F33" s="142">
        <f>IF(AND('A-18'!F33="-",'A-18'!F81="-",'A-18'!F129="-"),"-",SUM('A-18'!F33,'A-18'!F81,'A-18'!F129))</f>
        <v>6977</v>
      </c>
      <c r="G33" s="142">
        <f>IF(AND('A-18'!G33="-",'A-18'!G81="-",'A-18'!G129="-"),"-",SUM('A-18'!G33,'A-18'!G81,'A-18'!G129))</f>
        <v>2124</v>
      </c>
      <c r="H33" s="142">
        <f>IF(AND('A-18'!H33="-",'A-18'!H81="-",'A-18'!H129="-"),"-",SUM('A-18'!H33,'A-18'!H81,'A-18'!H129))</f>
        <v>6</v>
      </c>
      <c r="I33" s="142">
        <f>IF(AND('A-18'!I33="-",'A-18'!I81="-",'A-18'!I129="-"),"-",SUM('A-18'!I33,'A-18'!I81,'A-18'!I129))</f>
        <v>18685</v>
      </c>
      <c r="K33" s="142" t="str">
        <f>IF(AND('A-18'!K33="-",'A-18'!K81="-",'A-18'!K129="-"),"-",SUM('A-18'!K33,'A-18'!K81,'A-18'!K129))</f>
        <v>-</v>
      </c>
      <c r="L33" s="142" t="str">
        <f>IF(AND('A-18'!L33="-",'A-18'!L81="-",'A-18'!L129="-"),"-",SUM('A-18'!L33,'A-18'!L81,'A-18'!L129))</f>
        <v>-</v>
      </c>
      <c r="M33" s="142">
        <f>IF(AND('A-18'!M33="-",'A-18'!M81="-",'A-18'!M129="-"),"-",SUM('A-18'!M33,'A-18'!M81,'A-18'!M129))</f>
        <v>1581</v>
      </c>
      <c r="N33" s="142">
        <f>IF(AND('A-18'!N33="-",'A-18'!N81="-",'A-18'!N129="-"),"-",SUM('A-18'!N33,'A-18'!N81,'A-18'!N129))</f>
        <v>22685</v>
      </c>
      <c r="O33" s="142">
        <f>IF(AND('A-18'!O33="-",'A-18'!O81="-",'A-18'!O129="-"),"-",SUM('A-18'!O33,'A-18'!O81,'A-18'!O129))</f>
        <v>27588</v>
      </c>
      <c r="P33" s="142">
        <f>IF(AND('A-18'!P33="-",'A-18'!P81="-",'A-18'!P129="-"),"-",SUM('A-18'!P33,'A-18'!P81,'A-18'!P129))</f>
        <v>10042</v>
      </c>
      <c r="Q33" s="142">
        <f>IF(AND('A-18'!Q33="-",'A-18'!Q81="-",'A-18'!Q129="-"),"-",SUM('A-18'!Q33,'A-18'!Q81,'A-18'!Q129))</f>
        <v>3</v>
      </c>
      <c r="R33" s="142">
        <f>IF(AND('A-18'!R33="-",'A-18'!R81="-",'A-18'!R129="-"),"-",SUM('A-18'!R33,'A-18'!R81,'A-18'!R129))</f>
        <v>61899</v>
      </c>
      <c r="S33" s="17"/>
      <c r="T33" s="17"/>
    </row>
    <row r="34" spans="1:20" ht="11.25" customHeight="1">
      <c r="A34" s="99">
        <v>2005</v>
      </c>
      <c r="B34" s="142" t="str">
        <f>IF(AND('A-18'!B34="-",'A-18'!B82="-",'A-18'!B130="-"),"-",SUM('A-18'!B34,'A-18'!B82,'A-18'!B130))</f>
        <v>-</v>
      </c>
      <c r="C34" s="142" t="str">
        <f>IF(AND('A-18'!C34="-",'A-18'!C82="-",'A-18'!C130="-"),"-",SUM('A-18'!C34,'A-18'!C82,'A-18'!C130))</f>
        <v>-</v>
      </c>
      <c r="D34" s="142">
        <f>IF(AND('A-18'!D34="-",'A-18'!D82="-",'A-18'!D130="-"),"-",SUM('A-18'!D34,'A-18'!D82,'A-18'!D130))</f>
        <v>364</v>
      </c>
      <c r="E34" s="142">
        <f>IF(AND('A-18'!E34="-",'A-18'!E82="-",'A-18'!E130="-"),"-",SUM('A-18'!E34,'A-18'!E82,'A-18'!E130))</f>
        <v>8104.4236039019879</v>
      </c>
      <c r="F34" s="142">
        <f>IF(AND('A-18'!F34="-",'A-18'!F82="-",'A-18'!F130="-"),"-",SUM('A-18'!F34,'A-18'!F82,'A-18'!F130))</f>
        <v>13189.399514076762</v>
      </c>
      <c r="G34" s="142">
        <f>IF(AND('A-18'!G34="-",'A-18'!G82="-",'A-18'!G130="-"),"-",SUM('A-18'!G34,'A-18'!G82,'A-18'!G130))</f>
        <v>5106.9502311670931</v>
      </c>
      <c r="H34" s="142">
        <f>IF(AND('A-18'!H34="-",'A-18'!H82="-",'A-18'!H130="-"),"-",SUM('A-18'!H34,'A-18'!H82,'A-18'!H130))</f>
        <v>43</v>
      </c>
      <c r="I34" s="142">
        <f>IF(AND('A-18'!I34="-",'A-18'!I82="-",'A-18'!I130="-"),"-",SUM('A-18'!I34,'A-18'!I82,'A-18'!I130))</f>
        <v>26807.773349145842</v>
      </c>
      <c r="J34" s="52"/>
      <c r="K34" s="142" t="str">
        <f>IF(AND('A-18'!K34="-",'A-18'!K82="-",'A-18'!K130="-"),"-",SUM('A-18'!K34,'A-18'!K82,'A-18'!K130))</f>
        <v>-</v>
      </c>
      <c r="L34" s="142" t="str">
        <f>IF(AND('A-18'!L34="-",'A-18'!L82="-",'A-18'!L130="-"),"-",SUM('A-18'!L34,'A-18'!L82,'A-18'!L130))</f>
        <v>-</v>
      </c>
      <c r="M34" s="142">
        <f>IF(AND('A-18'!M34="-",'A-18'!M82="-",'A-18'!M130="-"),"-",SUM('A-18'!M34,'A-18'!M82,'A-18'!M130))</f>
        <v>126</v>
      </c>
      <c r="N34" s="142">
        <f>IF(AND('A-18'!N34="-",'A-18'!N82="-",'A-18'!N130="-"),"-",SUM('A-18'!N34,'A-18'!N82,'A-18'!N130))</f>
        <v>10445.76608873891</v>
      </c>
      <c r="O34" s="142">
        <f>IF(AND('A-18'!O34="-",'A-18'!O82="-",'A-18'!O130="-"),"-",SUM('A-18'!O34,'A-18'!O82,'A-18'!O130))</f>
        <v>8684.1517073611394</v>
      </c>
      <c r="P34" s="142">
        <f>IF(AND('A-18'!P34="-",'A-18'!P82="-",'A-18'!P130="-"),"-",SUM('A-18'!P34,'A-18'!P82,'A-18'!P130))</f>
        <v>3771.6344315132769</v>
      </c>
      <c r="Q34" s="142">
        <f>IF(AND('A-18'!Q34="-",'A-18'!Q82="-",'A-18'!Q130="-"),"-",SUM('A-18'!Q34,'A-18'!Q82,'A-18'!Q130))</f>
        <v>18</v>
      </c>
      <c r="R34" s="142">
        <f>IF(AND('A-18'!R34="-",'A-18'!R82="-",'A-18'!R130="-"),"-",SUM('A-18'!R34,'A-18'!R82,'A-18'!R130))</f>
        <v>23045.552227613327</v>
      </c>
      <c r="S34" s="17"/>
      <c r="T34" s="17"/>
    </row>
    <row r="35" spans="1:20" ht="11.25" customHeight="1">
      <c r="A35" s="99">
        <v>2006</v>
      </c>
      <c r="B35" s="142" t="str">
        <f>IF(AND('A-18'!B35="-",'A-18'!B83="-",'A-18'!B131="-"),"-",SUM('A-18'!B35,'A-18'!B83,'A-18'!B131))</f>
        <v>-</v>
      </c>
      <c r="C35" s="142" t="str">
        <f>IF(AND('A-18'!C35="-",'A-18'!C83="-",'A-18'!C131="-"),"-",SUM('A-18'!C35,'A-18'!C83,'A-18'!C131))</f>
        <v>-</v>
      </c>
      <c r="D35" s="142">
        <f>IF(AND('A-18'!D35="-",'A-18'!D83="-",'A-18'!D131="-"),"-",SUM('A-18'!D35,'A-18'!D83,'A-18'!D131))</f>
        <v>202.26999999999998</v>
      </c>
      <c r="E35" s="142">
        <f>IF(AND('A-18'!E35="-",'A-18'!E83="-",'A-18'!E131="-"),"-",SUM('A-18'!E35,'A-18'!E83,'A-18'!E131))</f>
        <v>3273.55</v>
      </c>
      <c r="F35" s="142">
        <f>IF(AND('A-18'!F35="-",'A-18'!F83="-",'A-18'!F131="-"),"-",SUM('A-18'!F35,'A-18'!F83,'A-18'!F131))</f>
        <v>4522.49</v>
      </c>
      <c r="G35" s="142">
        <f>IF(AND('A-18'!G35="-",'A-18'!G83="-",'A-18'!G131="-"),"-",SUM('A-18'!G35,'A-18'!G83,'A-18'!G131))</f>
        <v>813.42</v>
      </c>
      <c r="H35" s="142">
        <f>IF(AND('A-18'!H35="-",'A-18'!H83="-",'A-18'!H131="-"),"-",SUM('A-18'!H35,'A-18'!H83,'A-18'!H131))</f>
        <v>90.54</v>
      </c>
      <c r="I35" s="142">
        <f>IF(AND('A-18'!I35="-",'A-18'!I83="-",'A-18'!I131="-"),"-",SUM('A-18'!I35,'A-18'!I83,'A-18'!I131))</f>
        <v>8902.27</v>
      </c>
      <c r="K35" s="142" t="str">
        <f>IF(AND('A-18'!K35="-",'A-18'!K83="-",'A-18'!K131="-"),"-",SUM('A-18'!K35,'A-18'!K83,'A-18'!K131))</f>
        <v>-</v>
      </c>
      <c r="L35" s="142" t="str">
        <f>IF(AND('A-18'!L35="-",'A-18'!L83="-",'A-18'!L131="-"),"-",SUM('A-18'!L35,'A-18'!L83,'A-18'!L131))</f>
        <v>-</v>
      </c>
      <c r="M35" s="142">
        <f>IF(AND('A-18'!M35="-",'A-18'!M83="-",'A-18'!M131="-"),"-",SUM('A-18'!M35,'A-18'!M83,'A-18'!M131))</f>
        <v>416.05</v>
      </c>
      <c r="N35" s="142">
        <f>IF(AND('A-18'!N35="-",'A-18'!N83="-",'A-18'!N131="-"),"-",SUM('A-18'!N35,'A-18'!N83,'A-18'!N131))</f>
        <v>6514.4599999999991</v>
      </c>
      <c r="O35" s="142">
        <f>IF(AND('A-18'!O35="-",'A-18'!O83="-",'A-18'!O131="-"),"-",SUM('A-18'!O35,'A-18'!O83,'A-18'!O131))</f>
        <v>8286.5400000000009</v>
      </c>
      <c r="P35" s="142">
        <f>IF(AND('A-18'!P35="-",'A-18'!P83="-",'A-18'!P131="-"),"-",SUM('A-18'!P35,'A-18'!P83,'A-18'!P131))</f>
        <v>1466.1</v>
      </c>
      <c r="Q35" s="142">
        <f>IF(AND('A-18'!Q35="-",'A-18'!Q83="-",'A-18'!Q131="-"),"-",SUM('A-18'!Q35,'A-18'!Q83,'A-18'!Q131))</f>
        <v>2.4</v>
      </c>
      <c r="R35" s="142">
        <f>IF(AND('A-18'!R35="-",'A-18'!R83="-",'A-18'!R131="-"),"-",SUM('A-18'!R35,'A-18'!R83,'A-18'!R131))</f>
        <v>16685.55</v>
      </c>
      <c r="S35" s="17"/>
      <c r="T35" s="17"/>
    </row>
    <row r="36" spans="1:20" ht="11.25" customHeight="1">
      <c r="A36" s="99">
        <v>2007</v>
      </c>
      <c r="B36" s="142" t="str">
        <f>IF(AND('A-18'!B36="-",'A-18'!B84="-",'A-18'!B132="-"),"-",SUM('A-18'!B36,'A-18'!B84,'A-18'!B132))</f>
        <v>-</v>
      </c>
      <c r="C36" s="142" t="str">
        <f>IF(AND('A-18'!C36="-",'A-18'!C84="-",'A-18'!C132="-"),"-",SUM('A-18'!C36,'A-18'!C84,'A-18'!C132))</f>
        <v>-</v>
      </c>
      <c r="D36" s="142" t="str">
        <f>IF(AND('A-18'!D36="-",'A-18'!D84="-",'A-18'!D132="-"),"-",SUM('A-18'!D36,'A-18'!D84,'A-18'!D132))</f>
        <v>-</v>
      </c>
      <c r="E36" s="142">
        <f>IF(AND('A-18'!E36="-",'A-18'!E84="-",'A-18'!E132="-"),"-",SUM('A-18'!E36,'A-18'!E84,'A-18'!E132))</f>
        <v>3804.3999999999996</v>
      </c>
      <c r="F36" s="142">
        <f>IF(AND('A-18'!F36="-",'A-18'!F84="-",'A-18'!F132="-"),"-",SUM('A-18'!F36,'A-18'!F84,'A-18'!F132))</f>
        <v>3137.58</v>
      </c>
      <c r="G36" s="142">
        <f>IF(AND('A-18'!G36="-",'A-18'!G84="-",'A-18'!G132="-"),"-",SUM('A-18'!G36,'A-18'!G84,'A-18'!G132))</f>
        <v>370.65999999999997</v>
      </c>
      <c r="H36" s="142">
        <f>IF(AND('A-18'!H36="-",'A-18'!H84="-",'A-18'!H132="-"),"-",SUM('A-18'!H36,'A-18'!H84,'A-18'!H132))</f>
        <v>0</v>
      </c>
      <c r="I36" s="142">
        <f>IF(AND('A-18'!I36="-",'A-18'!I84="-",'A-18'!I132="-"),"-",SUM('A-18'!I36,'A-18'!I84,'A-18'!I132))</f>
        <v>7312.64</v>
      </c>
      <c r="J36" s="52"/>
      <c r="K36" s="142" t="str">
        <f>IF(AND('A-18'!K36="-",'A-18'!K84="-",'A-18'!K132="-"),"-",SUM('A-18'!K36,'A-18'!K84,'A-18'!K132))</f>
        <v>-</v>
      </c>
      <c r="L36" s="142" t="str">
        <f>IF(AND('A-18'!L36="-",'A-18'!L84="-",'A-18'!L132="-"),"-",SUM('A-18'!L36,'A-18'!L84,'A-18'!L132))</f>
        <v>-</v>
      </c>
      <c r="M36" s="142" t="str">
        <f>IF(AND('A-18'!M36="-",'A-18'!M84="-",'A-18'!M132="-"),"-",SUM('A-18'!M36,'A-18'!M84,'A-18'!M132))</f>
        <v>-</v>
      </c>
      <c r="N36" s="142">
        <f>IF(AND('A-18'!N36="-",'A-18'!N84="-",'A-18'!N132="-"),"-",SUM('A-18'!N36,'A-18'!N84,'A-18'!N132))</f>
        <v>13027.79</v>
      </c>
      <c r="O36" s="142">
        <f>IF(AND('A-18'!O36="-",'A-18'!O84="-",'A-18'!O132="-"),"-",SUM('A-18'!O36,'A-18'!O84,'A-18'!O132))</f>
        <v>20920.29</v>
      </c>
      <c r="P36" s="142">
        <f>IF(AND('A-18'!P36="-",'A-18'!P84="-",'A-18'!P132="-"),"-",SUM('A-18'!P36,'A-18'!P84,'A-18'!P132))</f>
        <v>2420.9</v>
      </c>
      <c r="Q36" s="142">
        <f>IF(AND('A-18'!Q36="-",'A-18'!Q84="-",'A-18'!Q132="-"),"-",SUM('A-18'!Q36,'A-18'!Q84,'A-18'!Q132))</f>
        <v>0</v>
      </c>
      <c r="R36" s="142">
        <f>IF(AND('A-18'!R36="-",'A-18'!R84="-",'A-18'!R132="-"),"-",SUM('A-18'!R36,'A-18'!R84,'A-18'!R132))</f>
        <v>36368.979999999996</v>
      </c>
      <c r="S36" s="17"/>
      <c r="T36" s="17"/>
    </row>
    <row r="37" spans="1:20" ht="11.25" customHeight="1">
      <c r="A37" s="99">
        <v>2008</v>
      </c>
      <c r="B37" s="142" t="str">
        <f>IF(AND('A-18'!B37="-",'A-18'!B85="-",'A-18'!B133="-"),"-",SUM('A-18'!B37,'A-18'!B85,'A-18'!B133))</f>
        <v>-</v>
      </c>
      <c r="C37" s="142" t="str">
        <f>IF(AND('A-18'!C37="-",'A-18'!C85="-",'A-18'!C133="-"),"-",SUM('A-18'!C37,'A-18'!C85,'A-18'!C133))</f>
        <v>-</v>
      </c>
      <c r="D37" s="142">
        <f>IF(AND('A-18'!D37="-",'A-18'!D85="-",'A-18'!D133="-"),"-",SUM('A-18'!D37,'A-18'!D85,'A-18'!D133))</f>
        <v>2536.5299999999997</v>
      </c>
      <c r="E37" s="142">
        <f>IF(AND('A-18'!E37="-",'A-18'!E85="-",'A-18'!E133="-"),"-",SUM('A-18'!E37,'A-18'!E85,'A-18'!E133))</f>
        <v>5427.94</v>
      </c>
      <c r="F37" s="142">
        <f>IF(AND('A-18'!F37="-",'A-18'!F85="-",'A-18'!F133="-"),"-",SUM('A-18'!F37,'A-18'!F85,'A-18'!F133))</f>
        <v>3352.29</v>
      </c>
      <c r="G37" s="142">
        <f>IF(AND('A-18'!G37="-",'A-18'!G85="-",'A-18'!G133="-"),"-",SUM('A-18'!G37,'A-18'!G85,'A-18'!G133))</f>
        <v>413.91</v>
      </c>
      <c r="H37" s="142">
        <f>IF(AND('A-18'!H37="-",'A-18'!H85="-",'A-18'!H133="-"),"-",SUM('A-18'!H37,'A-18'!H85,'A-18'!H133))</f>
        <v>6.25</v>
      </c>
      <c r="I37" s="142">
        <f>IF(AND('A-18'!I37="-",'A-18'!I85="-",'A-18'!I133="-"),"-",SUM('A-18'!I37,'A-18'!I85,'A-18'!I133))</f>
        <v>11736.92</v>
      </c>
      <c r="J37" s="52"/>
      <c r="K37" s="142" t="str">
        <f>IF(AND('A-18'!K37="-",'A-18'!K85="-",'A-18'!K133="-"),"-",SUM('A-18'!K37,'A-18'!K85,'A-18'!K133))</f>
        <v>-</v>
      </c>
      <c r="L37" s="142" t="str">
        <f>IF(AND('A-18'!L37="-",'A-18'!L85="-",'A-18'!L133="-"),"-",SUM('A-18'!L37,'A-18'!L85,'A-18'!L133))</f>
        <v>-</v>
      </c>
      <c r="M37" s="142">
        <f>IF(AND('A-18'!M37="-",'A-18'!M85="-",'A-18'!M133="-"),"-",SUM('A-18'!M37,'A-18'!M85,'A-18'!M133))</f>
        <v>30.03</v>
      </c>
      <c r="N37" s="142">
        <f>IF(AND('A-18'!N37="-",'A-18'!N85="-",'A-18'!N133="-"),"-",SUM('A-18'!N37,'A-18'!N85,'A-18'!N133))</f>
        <v>3331.74</v>
      </c>
      <c r="O37" s="142">
        <f>IF(AND('A-18'!O37="-",'A-18'!O85="-",'A-18'!O133="-"),"-",SUM('A-18'!O37,'A-18'!O85,'A-18'!O133))</f>
        <v>5114.96</v>
      </c>
      <c r="P37" s="142">
        <f>IF(AND('A-18'!P37="-",'A-18'!P85="-",'A-18'!P133="-"),"-",SUM('A-18'!P37,'A-18'!P85,'A-18'!P133))</f>
        <v>1751.83</v>
      </c>
      <c r="Q37" s="142">
        <f>IF(AND('A-18'!Q37="-",'A-18'!Q85="-",'A-18'!Q133="-"),"-",SUM('A-18'!Q37,'A-18'!Q85,'A-18'!Q133))</f>
        <v>1.25</v>
      </c>
      <c r="R37" s="142">
        <f>IF(AND('A-18'!R37="-",'A-18'!R85="-",'A-18'!R133="-"),"-",SUM('A-18'!R37,'A-18'!R85,'A-18'!R133))</f>
        <v>10229.810000000001</v>
      </c>
      <c r="S37" s="17"/>
      <c r="T37" s="17"/>
    </row>
    <row r="38" spans="1:20" ht="11.25" customHeight="1">
      <c r="A38" s="99">
        <v>2009</v>
      </c>
      <c r="B38" s="142" t="str">
        <f>IF(AND('A-18'!B38="-",'A-18'!B86="-",'A-18'!B134="-"),"-",SUM('A-18'!B38,'A-18'!B86,'A-18'!B134))</f>
        <v>-</v>
      </c>
      <c r="C38" s="142" t="str">
        <f>IF(AND('A-18'!C38="-",'A-18'!C86="-",'A-18'!C134="-"),"-",SUM('A-18'!C38,'A-18'!C86,'A-18'!C134))</f>
        <v>-</v>
      </c>
      <c r="D38" s="142">
        <f>IF(AND('A-18'!D38="-",'A-18'!D86="-",'A-18'!D134="-"),"-",SUM('A-18'!D38,'A-18'!D86,'A-18'!D134))</f>
        <v>182.29</v>
      </c>
      <c r="E38" s="142">
        <f>IF(AND('A-18'!E38="-",'A-18'!E86="-",'A-18'!E134="-"),"-",SUM('A-18'!E38,'A-18'!E86,'A-18'!E134))</f>
        <v>3550.95</v>
      </c>
      <c r="F38" s="142">
        <f>IF(AND('A-18'!F38="-",'A-18'!F86="-",'A-18'!F134="-"),"-",SUM('A-18'!F38,'A-18'!F86,'A-18'!F134))</f>
        <v>3993.96</v>
      </c>
      <c r="G38" s="142">
        <f>IF(AND('A-18'!G38="-",'A-18'!G86="-",'A-18'!G134="-"),"-",SUM('A-18'!G38,'A-18'!G86,'A-18'!G134))</f>
        <v>324.97000000000003</v>
      </c>
      <c r="H38" s="142">
        <f>IF(AND('A-18'!H38="-",'A-18'!H86="-",'A-18'!H134="-"),"-",SUM('A-18'!H38,'A-18'!H86,'A-18'!H134))</f>
        <v>96.78</v>
      </c>
      <c r="I38" s="142">
        <f>IF(AND('A-18'!I38="-",'A-18'!I86="-",'A-18'!I134="-"),"-",SUM('A-18'!I38,'A-18'!I86,'A-18'!I134))</f>
        <v>8148.95</v>
      </c>
      <c r="J38" s="52"/>
      <c r="K38" s="142" t="str">
        <f>IF(AND('A-18'!K38="-",'A-18'!K86="-",'A-18'!K134="-"),"-",SUM('A-18'!K38,'A-18'!K86,'A-18'!K134))</f>
        <v>-</v>
      </c>
      <c r="L38" s="142" t="str">
        <f>IF(AND('A-18'!L38="-",'A-18'!L86="-",'A-18'!L134="-"),"-",SUM('A-18'!L38,'A-18'!L86,'A-18'!L134))</f>
        <v>-</v>
      </c>
      <c r="M38" s="142">
        <f>IF(AND('A-18'!M38="-",'A-18'!M86="-",'A-18'!M134="-"),"-",SUM('A-18'!M38,'A-18'!M86,'A-18'!M134))</f>
        <v>822.56999999999994</v>
      </c>
      <c r="N38" s="142">
        <f>IF(AND('A-18'!N38="-",'A-18'!N86="-",'A-18'!N134="-"),"-",SUM('A-18'!N38,'A-18'!N86,'A-18'!N134))</f>
        <v>17495.82</v>
      </c>
      <c r="O38" s="142">
        <f>IF(AND('A-18'!O38="-",'A-18'!O86="-",'A-18'!O134="-"),"-",SUM('A-18'!O38,'A-18'!O86,'A-18'!O134))</f>
        <v>44997.789999999994</v>
      </c>
      <c r="P38" s="142">
        <f>IF(AND('A-18'!P38="-",'A-18'!P86="-",'A-18'!P134="-"),"-",SUM('A-18'!P38,'A-18'!P86,'A-18'!P134))</f>
        <v>10692.039999999999</v>
      </c>
      <c r="Q38" s="142">
        <f>IF(AND('A-18'!Q38="-",'A-18'!Q86="-",'A-18'!Q134="-"),"-",SUM('A-18'!Q38,'A-18'!Q86,'A-18'!Q134))</f>
        <v>92.41</v>
      </c>
      <c r="R38" s="142">
        <f>IF(AND('A-18'!R38="-",'A-18'!R86="-",'A-18'!R134="-"),"-",SUM('A-18'!R38,'A-18'!R86,'A-18'!R134))</f>
        <v>74100.63</v>
      </c>
      <c r="S38" s="17"/>
      <c r="T38" s="17"/>
    </row>
    <row r="39" spans="1:20" ht="11.25" customHeight="1">
      <c r="A39" s="99">
        <v>2010</v>
      </c>
      <c r="B39" s="142" t="str">
        <f>IF(AND('A-18'!B39="-",'A-18'!B87="-",'A-18'!B135="-"),"-",SUM('A-18'!B39,'A-18'!B87,'A-18'!B135))</f>
        <v>-</v>
      </c>
      <c r="C39" s="142" t="str">
        <f>IF(AND('A-18'!C39="-",'A-18'!C87="-",'A-18'!C135="-"),"-",SUM('A-18'!C39,'A-18'!C87,'A-18'!C135))</f>
        <v>-</v>
      </c>
      <c r="D39" s="142">
        <f>IF(AND('A-18'!D39="-",'A-18'!D87="-",'A-18'!D135="-"),"-",SUM('A-18'!D39,'A-18'!D87,'A-18'!D135))</f>
        <v>4893.43</v>
      </c>
      <c r="E39" s="142">
        <f>IF(AND('A-18'!E39="-",'A-18'!E87="-",'A-18'!E135="-"),"-",SUM('A-18'!E39,'A-18'!E87,'A-18'!E135))</f>
        <v>11813.91</v>
      </c>
      <c r="F39" s="142">
        <f>IF(AND('A-18'!F39="-",'A-18'!F87="-",'A-18'!F135="-"),"-",SUM('A-18'!F39,'A-18'!F87,'A-18'!F135))</f>
        <v>12753.46</v>
      </c>
      <c r="G39" s="142">
        <f>IF(AND('A-18'!G39="-",'A-18'!G87="-",'A-18'!G135="-"),"-",SUM('A-18'!G39,'A-18'!G87,'A-18'!G135))</f>
        <v>1959.55</v>
      </c>
      <c r="H39" s="142">
        <f>IF(AND('A-18'!H39="-",'A-18'!H87="-",'A-18'!H135="-"),"-",SUM('A-18'!H39,'A-18'!H87,'A-18'!H135))</f>
        <v>44.95</v>
      </c>
      <c r="I39" s="142">
        <f>IF(AND('A-18'!I39="-",'A-18'!I87="-",'A-18'!I135="-"),"-",SUM('A-18'!I39,'A-18'!I87,'A-18'!I135))</f>
        <v>31465.300000000003</v>
      </c>
      <c r="J39" s="52"/>
      <c r="K39" s="142" t="str">
        <f>IF(AND('A-18'!K39="-",'A-18'!K87="-",'A-18'!K135="-"),"-",SUM('A-18'!K39,'A-18'!K87,'A-18'!K135))</f>
        <v>-</v>
      </c>
      <c r="L39" s="142" t="str">
        <f>IF(AND('A-18'!L39="-",'A-18'!L87="-",'A-18'!L135="-"),"-",SUM('A-18'!L39,'A-18'!L87,'A-18'!L135))</f>
        <v>-</v>
      </c>
      <c r="M39" s="142">
        <f>IF(AND('A-18'!M39="-",'A-18'!M87="-",'A-18'!M135="-"),"-",SUM('A-18'!M39,'A-18'!M87,'A-18'!M135))</f>
        <v>46.32</v>
      </c>
      <c r="N39" s="142">
        <f>IF(AND('A-18'!N39="-",'A-18'!N87="-",'A-18'!N135="-"),"-",SUM('A-18'!N39,'A-18'!N87,'A-18'!N135))</f>
        <v>5817.3899999999994</v>
      </c>
      <c r="O39" s="142">
        <f>IF(AND('A-18'!O39="-",'A-18'!O87="-",'A-18'!O135="-"),"-",SUM('A-18'!O39,'A-18'!O87,'A-18'!O135))</f>
        <v>6274.91</v>
      </c>
      <c r="P39" s="142">
        <f>IF(AND('A-18'!P39="-",'A-18'!P87="-",'A-18'!P135="-"),"-",SUM('A-18'!P39,'A-18'!P87,'A-18'!P135))</f>
        <v>5297.46</v>
      </c>
      <c r="Q39" s="142">
        <f>IF(AND('A-18'!Q39="-",'A-18'!Q87="-",'A-18'!Q135="-"),"-",SUM('A-18'!Q39,'A-18'!Q87,'A-18'!Q135))</f>
        <v>36.76</v>
      </c>
      <c r="R39" s="142">
        <f>IF(AND('A-18'!R39="-",'A-18'!R87="-",'A-18'!R135="-"),"-",SUM('A-18'!R39,'A-18'!R87,'A-18'!R135))</f>
        <v>17472.84</v>
      </c>
      <c r="S39" s="17"/>
      <c r="T39" s="17"/>
    </row>
    <row r="40" spans="1:20" ht="11.25" customHeight="1">
      <c r="A40" s="99">
        <v>2011</v>
      </c>
      <c r="B40" s="142" t="str">
        <f>IF(AND('A-18'!B40="-",'A-18'!B88="-",'A-18'!B136="-"),"-",SUM('A-18'!B40,'A-18'!B88,'A-18'!B136))</f>
        <v>-</v>
      </c>
      <c r="C40" s="142" t="str">
        <f>IF(AND('A-18'!C40="-",'A-18'!C88="-",'A-18'!C136="-"),"-",SUM('A-18'!C40,'A-18'!C88,'A-18'!C136))</f>
        <v>-</v>
      </c>
      <c r="D40" s="142">
        <f>IF(AND('A-18'!D40="-",'A-18'!D88="-",'A-18'!D136="-"),"-",SUM('A-18'!D40,'A-18'!D88,'A-18'!D136))</f>
        <v>2509.02</v>
      </c>
      <c r="E40" s="142">
        <f>IF(AND('A-18'!E40="-",'A-18'!E88="-",'A-18'!E136="-"),"-",SUM('A-18'!E40,'A-18'!E88,'A-18'!E136))</f>
        <v>7462.49</v>
      </c>
      <c r="F40" s="142">
        <f>IF(AND('A-18'!F40="-",'A-18'!F88="-",'A-18'!F136="-"),"-",SUM('A-18'!F40,'A-18'!F88,'A-18'!F136))</f>
        <v>13071.050000000001</v>
      </c>
      <c r="G40" s="142">
        <f>IF(AND('A-18'!G40="-",'A-18'!G88="-",'A-18'!G136="-"),"-",SUM('A-18'!G40,'A-18'!G88,'A-18'!G136))</f>
        <v>559.47</v>
      </c>
      <c r="H40" s="142">
        <f>IF(AND('A-18'!H40="-",'A-18'!H88="-",'A-18'!H136="-"),"-",SUM('A-18'!H40,'A-18'!H88,'A-18'!H136))</f>
        <v>5</v>
      </c>
      <c r="I40" s="142">
        <f>IF(AND('A-18'!I40="-",'A-18'!I88="-",'A-18'!I136="-"),"-",SUM('A-18'!I40,'A-18'!I88,'A-18'!I136))</f>
        <v>23607.03</v>
      </c>
      <c r="J40" s="52"/>
      <c r="K40" s="142" t="str">
        <f>IF(AND('A-18'!K40="-",'A-18'!K88="-",'A-18'!K136="-"),"-",SUM('A-18'!K40,'A-18'!K88,'A-18'!K136))</f>
        <v>-</v>
      </c>
      <c r="L40" s="142" t="str">
        <f>IF(AND('A-18'!L40="-",'A-18'!L88="-",'A-18'!L136="-"),"-",SUM('A-18'!L40,'A-18'!L88,'A-18'!L136))</f>
        <v>-</v>
      </c>
      <c r="M40" s="142">
        <f>IF(AND('A-18'!M40="-",'A-18'!M88="-",'A-18'!M136="-"),"-",SUM('A-18'!M40,'A-18'!M88,'A-18'!M136))</f>
        <v>330.85</v>
      </c>
      <c r="N40" s="142">
        <f>IF(AND('A-18'!N40="-",'A-18'!N88="-",'A-18'!N136="-"),"-",SUM('A-18'!N40,'A-18'!N88,'A-18'!N136))</f>
        <v>6989.4000000000005</v>
      </c>
      <c r="O40" s="142">
        <f>IF(AND('A-18'!O40="-",'A-18'!O88="-",'A-18'!O136="-"),"-",SUM('A-18'!O40,'A-18'!O88,'A-18'!O136))</f>
        <v>8694.0400000000009</v>
      </c>
      <c r="P40" s="142">
        <f>IF(AND('A-18'!P40="-",'A-18'!P88="-",'A-18'!P136="-"),"-",SUM('A-18'!P40,'A-18'!P88,'A-18'!P136))</f>
        <v>2930.6099999999997</v>
      </c>
      <c r="Q40" s="142">
        <f>IF(AND('A-18'!Q40="-",'A-18'!Q88="-",'A-18'!Q136="-"),"-",SUM('A-18'!Q40,'A-18'!Q88,'A-18'!Q136))</f>
        <v>2.4500000000000002</v>
      </c>
      <c r="R40" s="142">
        <f>IF(AND('A-18'!R40="-",'A-18'!R88="-",'A-18'!R136="-"),"-",SUM('A-18'!R40,'A-18'!R88,'A-18'!R136))</f>
        <v>18947.349999999999</v>
      </c>
      <c r="S40" s="17"/>
      <c r="T40" s="17"/>
    </row>
    <row r="41" spans="1:20" ht="11.25" customHeight="1">
      <c r="A41" s="99">
        <v>2012</v>
      </c>
      <c r="B41" s="142" t="str">
        <f>IF(AND('A-18'!B41="-",'A-18'!B89="-",'A-18'!B137="-"),"-",SUM('A-18'!B41,'A-18'!B89,'A-18'!B137))</f>
        <v>-</v>
      </c>
      <c r="C41" s="142" t="str">
        <f>IF(AND('A-18'!C41="-",'A-18'!C89="-",'A-18'!C137="-"),"-",SUM('A-18'!C41,'A-18'!C89,'A-18'!C137))</f>
        <v>-</v>
      </c>
      <c r="D41" s="142">
        <f>IF(AND('A-18'!D41="-",'A-18'!D89="-",'A-18'!D137="-"),"-",SUM('A-18'!D41,'A-18'!D89,'A-18'!D137))</f>
        <v>8472.08</v>
      </c>
      <c r="E41" s="142">
        <f>IF(AND('A-18'!E41="-",'A-18'!E89="-",'A-18'!E137="-"),"-",SUM('A-18'!E41,'A-18'!E89,'A-18'!E137))</f>
        <v>8019.73</v>
      </c>
      <c r="F41" s="142">
        <f>IF(AND('A-18'!F41="-",'A-18'!F89="-",'A-18'!F137="-"),"-",SUM('A-18'!F41,'A-18'!F89,'A-18'!F137))</f>
        <v>8325.0999999999985</v>
      </c>
      <c r="G41" s="142">
        <f>IF(AND('A-18'!G41="-",'A-18'!G89="-",'A-18'!G137="-"),"-",SUM('A-18'!G41,'A-18'!G89,'A-18'!G137))</f>
        <v>1365.8500000000001</v>
      </c>
      <c r="H41" s="142">
        <f>IF(AND('A-18'!H41="-",'A-18'!H89="-",'A-18'!H137="-"),"-",SUM('A-18'!H41,'A-18'!H89,'A-18'!H137))</f>
        <v>132.59</v>
      </c>
      <c r="I41" s="142">
        <f>IF(AND('A-18'!I41="-",'A-18'!I89="-",'A-18'!I137="-"),"-",SUM('A-18'!I41,'A-18'!I89,'A-18'!I137))</f>
        <v>26315.350000000002</v>
      </c>
      <c r="J41" s="52"/>
      <c r="K41" s="142" t="str">
        <f>IF(AND('A-18'!K41="-",'A-18'!K89="-",'A-18'!K137="-"),"-",SUM('A-18'!K41,'A-18'!K89,'A-18'!K137))</f>
        <v>-</v>
      </c>
      <c r="L41" s="142" t="str">
        <f>IF(AND('A-18'!L41="-",'A-18'!L89="-",'A-18'!L137="-"),"-",SUM('A-18'!L41,'A-18'!L89,'A-18'!L137))</f>
        <v>-</v>
      </c>
      <c r="M41" s="142">
        <f>IF(AND('A-18'!M41="-",'A-18'!M89="-",'A-18'!M137="-"),"-",SUM('A-18'!M41,'A-18'!M89,'A-18'!M137))</f>
        <v>211.15</v>
      </c>
      <c r="N41" s="142">
        <f>IF(AND('A-18'!N41="-",'A-18'!N89="-",'A-18'!N137="-"),"-",SUM('A-18'!N41,'A-18'!N89,'A-18'!N137))</f>
        <v>7239.75</v>
      </c>
      <c r="O41" s="142">
        <f>IF(AND('A-18'!O41="-",'A-18'!O89="-",'A-18'!O137="-"),"-",SUM('A-18'!O41,'A-18'!O89,'A-18'!O137))</f>
        <v>7520.93</v>
      </c>
      <c r="P41" s="142">
        <f>IF(AND('A-18'!P41="-",'A-18'!P89="-",'A-18'!P137="-"),"-",SUM('A-18'!P41,'A-18'!P89,'A-18'!P137))</f>
        <v>6722.39</v>
      </c>
      <c r="Q41" s="142">
        <f>IF(AND('A-18'!Q41="-",'A-18'!Q89="-",'A-18'!Q137="-"),"-",SUM('A-18'!Q41,'A-18'!Q89,'A-18'!Q137))</f>
        <v>20.81</v>
      </c>
      <c r="R41" s="142">
        <f>IF(AND('A-18'!R41="-",'A-18'!R89="-",'A-18'!R137="-"),"-",SUM('A-18'!R41,'A-18'!R89,'A-18'!R137))</f>
        <v>21715.03</v>
      </c>
      <c r="S41" s="17"/>
      <c r="T41" s="17"/>
    </row>
    <row r="42" spans="1:20" ht="11.25" customHeight="1">
      <c r="A42" s="99">
        <v>2013</v>
      </c>
      <c r="B42" s="142" t="str">
        <f>IF(AND('A-18'!B42="-",'A-18'!B90="-",'A-18'!B138="-"),"-",SUM('A-18'!B42,'A-18'!B90,'A-18'!B138))</f>
        <v>-</v>
      </c>
      <c r="C42" s="142">
        <f>IF(AND('A-18'!C42="-",'A-18'!C90="-",'A-18'!C138="-"),"-",SUM('A-18'!C42,'A-18'!C90,'A-18'!C138))</f>
        <v>130.57999999999998</v>
      </c>
      <c r="D42" s="142">
        <f>IF(AND('A-18'!D42="-",'A-18'!D90="-",'A-18'!D138="-"),"-",SUM('A-18'!D42,'A-18'!D90,'A-18'!D138))</f>
        <v>2926.62</v>
      </c>
      <c r="E42" s="142">
        <f>IF(AND('A-18'!E42="-",'A-18'!E90="-",'A-18'!E138="-"),"-",SUM('A-18'!E42,'A-18'!E90,'A-18'!E138))</f>
        <v>7362.58</v>
      </c>
      <c r="F42" s="142">
        <f>IF(AND('A-18'!F42="-",'A-18'!F90="-",'A-18'!F138="-"),"-",SUM('A-18'!F42,'A-18'!F90,'A-18'!F138))</f>
        <v>10450.41</v>
      </c>
      <c r="G42" s="142">
        <f>IF(AND('A-18'!G42="-",'A-18'!G90="-",'A-18'!G138="-"),"-",SUM('A-18'!G42,'A-18'!G90,'A-18'!G138))</f>
        <v>1300.47</v>
      </c>
      <c r="H42" s="142">
        <f>IF(AND('A-18'!H42="-",'A-18'!H90="-",'A-18'!H138="-"),"-",SUM('A-18'!H42,'A-18'!H90,'A-18'!H138))</f>
        <v>118.68</v>
      </c>
      <c r="I42" s="142">
        <f>IF(AND('A-18'!I42="-",'A-18'!I90="-",'A-18'!I138="-"),"-",SUM('A-18'!I42,'A-18'!I90,'A-18'!I138))</f>
        <v>22289.34</v>
      </c>
      <c r="J42" s="52"/>
      <c r="K42" s="142" t="str">
        <f>IF(AND('A-18'!K42="-",'A-18'!K90="-",'A-18'!K138="-"),"-",SUM('A-18'!K42,'A-18'!K90,'A-18'!K138))</f>
        <v>-</v>
      </c>
      <c r="L42" s="142" t="str">
        <f>IF(AND('A-18'!L42="-",'A-18'!L90="-",'A-18'!L138="-"),"-",SUM('A-18'!L42,'A-18'!L90,'A-18'!L138))</f>
        <v>-</v>
      </c>
      <c r="M42" s="142">
        <f>IF(AND('A-18'!M42="-",'A-18'!M90="-",'A-18'!M138="-"),"-",SUM('A-18'!M42,'A-18'!M90,'A-18'!M138))</f>
        <v>693.06999999999994</v>
      </c>
      <c r="N42" s="142">
        <f>IF(AND('A-18'!N42="-",'A-18'!N90="-",'A-18'!N138="-"),"-",SUM('A-18'!N42,'A-18'!N90,'A-18'!N138))</f>
        <v>6618.5599999999995</v>
      </c>
      <c r="O42" s="142">
        <f>IF(AND('A-18'!O42="-",'A-18'!O90="-",'A-18'!O138="-"),"-",SUM('A-18'!O42,'A-18'!O90,'A-18'!O138))</f>
        <v>17182.439999999999</v>
      </c>
      <c r="P42" s="142">
        <f>IF(AND('A-18'!P42="-",'A-18'!P90="-",'A-18'!P138="-"),"-",SUM('A-18'!P42,'A-18'!P90,'A-18'!P138))</f>
        <v>5169.09</v>
      </c>
      <c r="Q42" s="142">
        <f>IF(AND('A-18'!Q42="-",'A-18'!Q90="-",'A-18'!Q138="-"),"-",SUM('A-18'!Q42,'A-18'!Q90,'A-18'!Q138))</f>
        <v>17.72</v>
      </c>
      <c r="R42" s="142">
        <f>IF(AND('A-18'!R42="-",'A-18'!R90="-",'A-18'!R138="-"),"-",SUM('A-18'!R42,'A-18'!R90,'A-18'!R138))</f>
        <v>29680.879999999997</v>
      </c>
      <c r="S42" s="17"/>
      <c r="T42" s="17"/>
    </row>
    <row r="43" spans="1:20" ht="11.25" customHeight="1">
      <c r="A43" s="99">
        <v>2014</v>
      </c>
      <c r="B43" s="142" t="str">
        <f>IF(AND('A-18'!B43="-",'A-18'!B91="-",'A-18'!B139="-"),"-",SUM('A-18'!B43,'A-18'!B91,'A-18'!B139))</f>
        <v>-</v>
      </c>
      <c r="C43" s="142">
        <f>IF(AND('A-18'!C43="-",'A-18'!C91="-",'A-18'!C139="-"),"-",SUM('A-18'!C43,'A-18'!C91,'A-18'!C139))</f>
        <v>585.02</v>
      </c>
      <c r="D43" s="142">
        <f>IF(AND('A-18'!D43="-",'A-18'!D91="-",'A-18'!D139="-"),"-",SUM('A-18'!D43,'A-18'!D91,'A-18'!D139))</f>
        <v>5109.76</v>
      </c>
      <c r="E43" s="142">
        <f>IF(AND('A-18'!E43="-",'A-18'!E91="-",'A-18'!E139="-"),"-",SUM('A-18'!E43,'A-18'!E91,'A-18'!E139))</f>
        <v>12890.07</v>
      </c>
      <c r="F43" s="142">
        <f>IF(AND('A-18'!F43="-",'A-18'!F91="-",'A-18'!F139="-"),"-",SUM('A-18'!F43,'A-18'!F91,'A-18'!F139))</f>
        <v>11155.42</v>
      </c>
      <c r="G43" s="142">
        <f>IF(AND('A-18'!G43="-",'A-18'!G91="-",'A-18'!G139="-"),"-",SUM('A-18'!G43,'A-18'!G91,'A-18'!G139))</f>
        <v>1133.3900000000001</v>
      </c>
      <c r="H43" s="142">
        <f>IF(AND('A-18'!H43="-",'A-18'!H91="-",'A-18'!H139="-"),"-",SUM('A-18'!H43,'A-18'!H91,'A-18'!H139))</f>
        <v>110.29</v>
      </c>
      <c r="I43" s="142">
        <f>IF(AND('A-18'!I43="-",'A-18'!I91="-",'A-18'!I139="-"),"-",SUM('A-18'!I43,'A-18'!I91,'A-18'!I139))</f>
        <v>30983.949999999997</v>
      </c>
      <c r="J43" s="52"/>
      <c r="K43" s="142" t="str">
        <f>IF(AND('A-18'!K43="-",'A-18'!K91="-",'A-18'!K139="-"),"-",SUM('A-18'!K43,'A-18'!K91,'A-18'!K139))</f>
        <v>-</v>
      </c>
      <c r="L43" s="142" t="str">
        <f>IF(AND('A-18'!L43="-",'A-18'!L91="-",'A-18'!L139="-"),"-",SUM('A-18'!L43,'A-18'!L91,'A-18'!L139))</f>
        <v>-</v>
      </c>
      <c r="M43" s="142">
        <f>IF(AND('A-18'!M43="-",'A-18'!M91="-",'A-18'!M139="-"),"-",SUM('A-18'!M43,'A-18'!M91,'A-18'!M139))</f>
        <v>6224.61</v>
      </c>
      <c r="N43" s="142">
        <f>IF(AND('A-18'!N43="-",'A-18'!N91="-",'A-18'!N139="-"),"-",SUM('A-18'!N43,'A-18'!N91,'A-18'!N139))</f>
        <v>20342.099999999999</v>
      </c>
      <c r="O43" s="142">
        <f>IF(AND('A-18'!O43="-",'A-18'!O91="-",'A-18'!O139="-"),"-",SUM('A-18'!O43,'A-18'!O91,'A-18'!O139))</f>
        <v>22381.870000000003</v>
      </c>
      <c r="P43" s="142">
        <f>IF(AND('A-18'!P43="-",'A-18'!P91="-",'A-18'!P139="-"),"-",SUM('A-18'!P43,'A-18'!P91,'A-18'!P139))</f>
        <v>15577.52</v>
      </c>
      <c r="Q43" s="142">
        <f>IF(AND('A-18'!Q43="-",'A-18'!Q91="-",'A-18'!Q139="-"),"-",SUM('A-18'!Q43,'A-18'!Q91,'A-18'!Q139))</f>
        <v>199.14</v>
      </c>
      <c r="R43" s="142">
        <f>IF(AND('A-18'!R43="-",'A-18'!R91="-",'A-18'!R139="-"),"-",SUM('A-18'!R43,'A-18'!R91,'A-18'!R139))</f>
        <v>64725.24</v>
      </c>
      <c r="S43" s="17"/>
      <c r="T43" s="17"/>
    </row>
    <row r="44" spans="1:20" ht="11.25" customHeight="1">
      <c r="A44" s="99">
        <v>2015</v>
      </c>
      <c r="B44" s="142" t="str">
        <f>IF(AND('A-18'!B44="-",'A-18'!B92="-",'A-18'!B140="-"),"-",SUM('A-18'!B44,'A-18'!B92,'A-18'!B140))</f>
        <v>-</v>
      </c>
      <c r="C44" s="142">
        <f>IF(AND('A-18'!C44="-",'A-18'!C92="-",'A-18'!C140="-"),"-",SUM('A-18'!C44,'A-18'!C92,'A-18'!C140))</f>
        <v>534.01</v>
      </c>
      <c r="D44" s="142">
        <f>IF(AND('A-18'!D44="-",'A-18'!D92="-",'A-18'!D140="-"),"-",SUM('A-18'!D44,'A-18'!D92,'A-18'!D140))</f>
        <v>5081.1399999999994</v>
      </c>
      <c r="E44" s="142">
        <f>IF(AND('A-18'!E44="-",'A-18'!E92="-",'A-18'!E140="-"),"-",SUM('A-18'!E44,'A-18'!E92,'A-18'!E140))</f>
        <v>15661.66</v>
      </c>
      <c r="F44" s="142">
        <f>IF(AND('A-18'!F44="-",'A-18'!F92="-",'A-18'!F140="-"),"-",SUM('A-18'!F44,'A-18'!F92,'A-18'!F140))</f>
        <v>5672.49</v>
      </c>
      <c r="G44" s="142">
        <f>IF(AND('A-18'!G44="-",'A-18'!G92="-",'A-18'!G140="-"),"-",SUM('A-18'!G44,'A-18'!G92,'A-18'!G140))</f>
        <v>2903.48</v>
      </c>
      <c r="H44" s="142">
        <f>IF(AND('A-18'!H44="-",'A-18'!H92="-",'A-18'!H140="-"),"-",SUM('A-18'!H44,'A-18'!H92,'A-18'!H140))</f>
        <v>164.41</v>
      </c>
      <c r="I44" s="142">
        <f>IF(AND('A-18'!I44="-",'A-18'!I92="-",'A-18'!I140="-"),"-",SUM('A-18'!I44,'A-18'!I92,'A-18'!I140))</f>
        <v>30017.19</v>
      </c>
      <c r="J44" s="52"/>
      <c r="K44" s="142" t="str">
        <f>IF(AND('A-18'!K44="-",'A-18'!K92="-",'A-18'!K140="-"),"-",SUM('A-18'!K44,'A-18'!K92,'A-18'!K140))</f>
        <v>-</v>
      </c>
      <c r="L44" s="142" t="str">
        <f>IF(AND('A-18'!L44="-",'A-18'!L92="-",'A-18'!L140="-"),"-",SUM('A-18'!L44,'A-18'!L92,'A-18'!L140))</f>
        <v>-</v>
      </c>
      <c r="M44" s="142">
        <f>IF(AND('A-18'!M44="-",'A-18'!M92="-",'A-18'!M140="-"),"-",SUM('A-18'!M44,'A-18'!M92,'A-18'!M140))</f>
        <v>2607.6799999999998</v>
      </c>
      <c r="N44" s="142">
        <f>IF(AND('A-18'!N44="-",'A-18'!N92="-",'A-18'!N140="-"),"-",SUM('A-18'!N44,'A-18'!N92,'A-18'!N140))</f>
        <v>15085.4</v>
      </c>
      <c r="O44" s="142">
        <f>IF(AND('A-18'!O44="-",'A-18'!O92="-",'A-18'!O140="-"),"-",SUM('A-18'!O44,'A-18'!O92,'A-18'!O140))</f>
        <v>8787.369999999999</v>
      </c>
      <c r="P44" s="142">
        <f>IF(AND('A-18'!P44="-",'A-18'!P92="-",'A-18'!P140="-"),"-",SUM('A-18'!P44,'A-18'!P92,'A-18'!P140))</f>
        <v>12533.31</v>
      </c>
      <c r="Q44" s="142">
        <f>IF(AND('A-18'!Q44="-",'A-18'!Q92="-",'A-18'!Q140="-"),"-",SUM('A-18'!Q44,'A-18'!Q92,'A-18'!Q140))</f>
        <v>12.74</v>
      </c>
      <c r="R44" s="142">
        <f>IF(AND('A-18'!R44="-",'A-18'!R92="-",'A-18'!R140="-"),"-",SUM('A-18'!R44,'A-18'!R92,'A-18'!R140))</f>
        <v>39026.5</v>
      </c>
      <c r="S44" s="17"/>
      <c r="T44" s="17"/>
    </row>
    <row r="45" spans="1:20" ht="11.25" customHeight="1">
      <c r="A45" s="99">
        <v>2016</v>
      </c>
      <c r="B45" s="142" t="str">
        <f>IF(AND('A-18'!B45="-",'A-18'!B93="-",'A-18'!B141="-"),"-",SUM('A-18'!B45,'A-18'!B93,'A-18'!B141))</f>
        <v>-</v>
      </c>
      <c r="C45" s="142" t="str">
        <f>IF(AND('A-18'!C45="-",'A-18'!C93="-",'A-18'!C141="-"),"-",SUM('A-18'!C45,'A-18'!C93,'A-18'!C141))</f>
        <v>-</v>
      </c>
      <c r="D45" s="142" t="str">
        <f>IF(AND('A-18'!D45="-",'A-18'!D93="-",'A-18'!D141="-"),"-",SUM('A-18'!D45,'A-18'!D93,'A-18'!D141))</f>
        <v>-</v>
      </c>
      <c r="E45" s="142">
        <f>IF(AND('A-18'!E45="-",'A-18'!E93="-",'A-18'!E141="-"),"-",SUM('A-18'!E45,'A-18'!E93,'A-18'!E141))</f>
        <v>7430.6399999999994</v>
      </c>
      <c r="F45" s="142">
        <f>IF(AND('A-18'!F45="-",'A-18'!F93="-",'A-18'!F141="-"),"-",SUM('A-18'!F45,'A-18'!F93,'A-18'!F141))</f>
        <v>4520.2999999999993</v>
      </c>
      <c r="G45" s="142" t="str">
        <f>IF(AND('A-18'!G45="-",'A-18'!G93="-",'A-18'!G141="-"),"-",SUM('A-18'!G45,'A-18'!G93,'A-18'!G141))</f>
        <v>-</v>
      </c>
      <c r="H45" s="142" t="str">
        <f>IF(AND('A-18'!H45="-",'A-18'!H93="-",'A-18'!H141="-"),"-",SUM('A-18'!H45,'A-18'!H93,'A-18'!H141))</f>
        <v>-</v>
      </c>
      <c r="I45" s="142">
        <f>IF(AND('A-18'!I45="-",'A-18'!I93="-",'A-18'!I141="-"),"-",SUM('A-18'!I45,'A-18'!I93,'A-18'!I141))</f>
        <v>11950.94</v>
      </c>
      <c r="J45" s="52"/>
      <c r="K45" s="142" t="str">
        <f>IF(AND('A-18'!K45="-",'A-18'!K93="-",'A-18'!K141="-"),"-",SUM('A-18'!K45,'A-18'!K93,'A-18'!K141))</f>
        <v>-</v>
      </c>
      <c r="L45" s="142" t="str">
        <f>IF(AND('A-18'!L45="-",'A-18'!L93="-",'A-18'!L141="-"),"-",SUM('A-18'!L45,'A-18'!L93,'A-18'!L141))</f>
        <v>-</v>
      </c>
      <c r="M45" s="142" t="str">
        <f>IF(AND('A-18'!M45="-",'A-18'!M93="-",'A-18'!M141="-"),"-",SUM('A-18'!M45,'A-18'!M93,'A-18'!M141))</f>
        <v>-</v>
      </c>
      <c r="N45" s="142">
        <f>IF(AND('A-18'!N45="-",'A-18'!N93="-",'A-18'!N141="-"),"-",SUM('A-18'!N45,'A-18'!N93,'A-18'!N141))</f>
        <v>63.230000000000004</v>
      </c>
      <c r="O45" s="142">
        <f>IF(AND('A-18'!O45="-",'A-18'!O93="-",'A-18'!O141="-"),"-",SUM('A-18'!O45,'A-18'!O93,'A-18'!O141))</f>
        <v>37.86</v>
      </c>
      <c r="P45" s="142" t="str">
        <f>IF(AND('A-18'!P45="-",'A-18'!P93="-",'A-18'!P141="-"),"-",SUM('A-18'!P45,'A-18'!P93,'A-18'!P141))</f>
        <v>-</v>
      </c>
      <c r="Q45" s="142" t="str">
        <f>IF(AND('A-18'!Q45="-",'A-18'!Q93="-",'A-18'!Q141="-"),"-",SUM('A-18'!Q45,'A-18'!Q93,'A-18'!Q141))</f>
        <v>-</v>
      </c>
      <c r="R45" s="142">
        <f>IF(AND('A-18'!R45="-",'A-18'!R93="-",'A-18'!R141="-"),"-",SUM('A-18'!R45,'A-18'!R93,'A-18'!R141))</f>
        <v>101.09</v>
      </c>
      <c r="S45" s="17"/>
      <c r="T45" s="17"/>
    </row>
    <row r="46" spans="1:20" ht="11.25" customHeight="1">
      <c r="A46" s="99">
        <v>2017</v>
      </c>
      <c r="B46" s="142" t="str">
        <f>IF(AND('A-18'!B46="-",'A-18'!B94="-",'A-18'!B142="-"),"-",SUM('A-18'!B46,'A-18'!B94,'A-18'!B142))</f>
        <v>-</v>
      </c>
      <c r="C46" s="142" t="str">
        <f>IF(AND('A-18'!C46="-",'A-18'!C94="-",'A-18'!C142="-"),"-",SUM('A-18'!C46,'A-18'!C94,'A-18'!C142))</f>
        <v>-</v>
      </c>
      <c r="D46" s="142">
        <f>IF(AND('A-18'!D46="-",'A-18'!D94="-",'A-18'!D142="-"),"-",SUM('A-18'!D46,'A-18'!D94,'A-18'!D142))</f>
        <v>250.41</v>
      </c>
      <c r="E46" s="142">
        <f>IF(AND('A-18'!E46="-",'A-18'!E94="-",'A-18'!E142="-"),"-",SUM('A-18'!E46,'A-18'!E94,'A-18'!E142))</f>
        <v>10590.34</v>
      </c>
      <c r="F46" s="142">
        <f>IF(AND('A-18'!F46="-",'A-18'!F94="-",'A-18'!F142="-"),"-",SUM('A-18'!F46,'A-18'!F94,'A-18'!F142))</f>
        <v>3442.3599999999997</v>
      </c>
      <c r="G46" s="142">
        <f>IF(AND('A-18'!G46="-",'A-18'!G94="-",'A-18'!G142="-"),"-",SUM('A-18'!G46,'A-18'!G94,'A-18'!G142))</f>
        <v>90.74</v>
      </c>
      <c r="H46" s="142" t="str">
        <f>IF(AND('A-18'!H46="-",'A-18'!H94="-",'A-18'!H142="-"),"-",SUM('A-18'!H46,'A-18'!H94,'A-18'!H142))</f>
        <v>-</v>
      </c>
      <c r="I46" s="142">
        <f>IF(AND('A-18'!I46="-",'A-18'!I94="-",'A-18'!I142="-"),"-",SUM('A-18'!I46,'A-18'!I94,'A-18'!I142))</f>
        <v>14373.85</v>
      </c>
      <c r="J46" s="52"/>
      <c r="K46" s="142" t="str">
        <f>IF(AND('A-18'!K46="-",'A-18'!K94="-",'A-18'!K142="-"),"-",SUM('A-18'!K46,'A-18'!K94,'A-18'!K142))</f>
        <v>-</v>
      </c>
      <c r="L46" s="142" t="str">
        <f>IF(AND('A-18'!L46="-",'A-18'!L94="-",'A-18'!L142="-"),"-",SUM('A-18'!L46,'A-18'!L94,'A-18'!L142))</f>
        <v>-</v>
      </c>
      <c r="M46" s="142">
        <f>IF(AND('A-18'!M46="-",'A-18'!M94="-",'A-18'!M142="-"),"-",SUM('A-18'!M46,'A-18'!M94,'A-18'!M142))</f>
        <v>58.070000000000007</v>
      </c>
      <c r="N46" s="142">
        <f>IF(AND('A-18'!N46="-",'A-18'!N94="-",'A-18'!N142="-"),"-",SUM('A-18'!N46,'A-18'!N94,'A-18'!N142))</f>
        <v>8590.34</v>
      </c>
      <c r="O46" s="142">
        <f>IF(AND('A-18'!O46="-",'A-18'!O94="-",'A-18'!O142="-"),"-",SUM('A-18'!O46,'A-18'!O94,'A-18'!O142))</f>
        <v>11454.16</v>
      </c>
      <c r="P46" s="142">
        <f>IF(AND('A-18'!P46="-",'A-18'!P94="-",'A-18'!P142="-"),"-",SUM('A-18'!P46,'A-18'!P94,'A-18'!P142))</f>
        <v>929.59999999999991</v>
      </c>
      <c r="Q46" s="142" t="str">
        <f>IF(AND('A-18'!Q46="-",'A-18'!Q94="-",'A-18'!Q142="-"),"-",SUM('A-18'!Q46,'A-18'!Q94,'A-18'!Q142))</f>
        <v>-</v>
      </c>
      <c r="R46" s="142">
        <f>IF(AND('A-18'!R46="-",'A-18'!R94="-",'A-18'!R142="-"),"-",SUM('A-18'!R46,'A-18'!R94,'A-18'!R142))</f>
        <v>21032.170000000002</v>
      </c>
      <c r="S46" s="17"/>
      <c r="T46" s="17"/>
    </row>
    <row r="47" spans="1:20" ht="11.25" customHeight="1">
      <c r="A47" s="99">
        <v>2018</v>
      </c>
      <c r="B47" s="142" t="str">
        <f>IF(AND('A-18'!B47="-",'A-18'!B95="-",'A-18'!B143="-"),"-",SUM('A-18'!B47,'A-18'!B95,'A-18'!B143))</f>
        <v>-</v>
      </c>
      <c r="C47" s="142" t="str">
        <f>IF(AND('A-18'!C47="-",'A-18'!C95="-",'A-18'!C143="-"),"-",SUM('A-18'!C47,'A-18'!C95,'A-18'!C143))</f>
        <v>-</v>
      </c>
      <c r="D47" s="142">
        <f>IF(AND('A-18'!D47="-",'A-18'!D95="-",'A-18'!D143="-"),"-",SUM('A-18'!D47,'A-18'!D95,'A-18'!D143))</f>
        <v>377.83</v>
      </c>
      <c r="E47" s="142">
        <f>IF(AND('A-18'!E47="-",'A-18'!E95="-",'A-18'!E143="-"),"-",SUM('A-18'!E47,'A-18'!E95,'A-18'!E143))</f>
        <v>4907.5</v>
      </c>
      <c r="F47" s="142">
        <f>IF(AND('A-18'!F47="-",'A-18'!F95="-",'A-18'!F143="-"),"-",SUM('A-18'!F47,'A-18'!F95,'A-18'!F143))</f>
        <v>3024.67</v>
      </c>
      <c r="G47" s="142">
        <f>IF(AND('A-18'!G47="-",'A-18'!G95="-",'A-18'!G143="-"),"-",SUM('A-18'!G47,'A-18'!G95,'A-18'!G143))</f>
        <v>34.450000000000003</v>
      </c>
      <c r="H47" s="142" t="str">
        <f>IF(AND('A-18'!H47="-",'A-18'!H95="-",'A-18'!H143="-"),"-",SUM('A-18'!H47,'A-18'!H95,'A-18'!H143))</f>
        <v>-</v>
      </c>
      <c r="I47" s="142">
        <f>IF(AND('A-18'!I47="-",'A-18'!I95="-",'A-18'!I143="-"),"-",SUM('A-18'!I47,'A-18'!I95,'A-18'!I143))</f>
        <v>8344.4500000000007</v>
      </c>
      <c r="K47" s="142" t="str">
        <f>IF(AND('A-18'!K47="-",'A-18'!K95="-",'A-18'!K143="-"),"-",SUM('A-18'!K47,'A-18'!K95,'A-18'!K143))</f>
        <v>-</v>
      </c>
      <c r="L47" s="142" t="str">
        <f>IF(AND('A-18'!L47="-",'A-18'!L95="-",'A-18'!L143="-"),"-",SUM('A-18'!L47,'A-18'!L95,'A-18'!L143))</f>
        <v>-</v>
      </c>
      <c r="M47" s="142">
        <f>IF(AND('A-18'!M47="-",'A-18'!M95="-",'A-18'!M143="-"),"-",SUM('A-18'!M47,'A-18'!M95,'A-18'!M143))</f>
        <v>573.64</v>
      </c>
      <c r="N47" s="142">
        <f>IF(AND('A-18'!N47="-",'A-18'!N95="-",'A-18'!N143="-"),"-",SUM('A-18'!N47,'A-18'!N95,'A-18'!N143))</f>
        <v>4902.09</v>
      </c>
      <c r="O47" s="142">
        <f>IF(AND('A-18'!O47="-",'A-18'!O95="-",'A-18'!O143="-"),"-",SUM('A-18'!O47,'A-18'!O95,'A-18'!O143))</f>
        <v>15529.85</v>
      </c>
      <c r="P47" s="142">
        <f>IF(AND('A-18'!P47="-",'A-18'!P95="-",'A-18'!P143="-"),"-",SUM('A-18'!P47,'A-18'!P95,'A-18'!P143))</f>
        <v>256.90999999999997</v>
      </c>
      <c r="Q47" s="142" t="str">
        <f>IF(AND('A-18'!Q47="-",'A-18'!Q95="-",'A-18'!Q143="-"),"-",SUM('A-18'!Q47,'A-18'!Q95,'A-18'!Q143))</f>
        <v>-</v>
      </c>
      <c r="R47" s="142">
        <f>IF(AND('A-18'!R47="-",'A-18'!R95="-",'A-18'!R143="-"),"-",SUM('A-18'!R47,'A-18'!R95,'A-18'!R143))</f>
        <v>21262.489999999998</v>
      </c>
      <c r="S47" s="17"/>
      <c r="T47" s="17"/>
    </row>
    <row r="48" spans="1:20" ht="11.25" customHeight="1">
      <c r="A48" s="99">
        <v>2019</v>
      </c>
      <c r="B48" s="142" t="str">
        <f>IF(AND('A-18'!B48="-",'A-18'!B96="-",'A-18'!B144="-"),"-",SUM('A-18'!B48,'A-18'!B96,'A-18'!B144))</f>
        <v>-</v>
      </c>
      <c r="C48" s="142" t="str">
        <f>IF(AND('A-18'!C48="-",'A-18'!C96="-",'A-18'!C144="-"),"-",SUM('A-18'!C48,'A-18'!C96,'A-18'!C144))</f>
        <v>-</v>
      </c>
      <c r="D48" s="142">
        <f>IF(AND('A-18'!D48="-",'A-18'!D96="-",'A-18'!D144="-"),"-",SUM('A-18'!D48,'A-18'!D96,'A-18'!D144))</f>
        <v>1609.7700000000002</v>
      </c>
      <c r="E48" s="142">
        <f>IF(AND('A-18'!E48="-",'A-18'!E96="-",'A-18'!E144="-"),"-",SUM('A-18'!E48,'A-18'!E96,'A-18'!E144))</f>
        <v>3764.29</v>
      </c>
      <c r="F48" s="142">
        <f>IF(AND('A-18'!F48="-",'A-18'!F96="-",'A-18'!F144="-"),"-",SUM('A-18'!F48,'A-18'!F96,'A-18'!F144))</f>
        <v>1148.29</v>
      </c>
      <c r="G48" s="142">
        <f>IF(AND('A-18'!G48="-",'A-18'!G96="-",'A-18'!G144="-"),"-",SUM('A-18'!G48,'A-18'!G96,'A-18'!G144))</f>
        <v>154.04</v>
      </c>
      <c r="H48" s="142">
        <f>IF(AND('A-18'!H48="-",'A-18'!H96="-",'A-18'!H144="-"),"-",SUM('A-18'!H48,'A-18'!H96,'A-18'!H144))</f>
        <v>164.35</v>
      </c>
      <c r="I48" s="142">
        <f>IF(AND('A-18'!I48="-",'A-18'!I96="-",'A-18'!I144="-"),"-",SUM('A-18'!I48,'A-18'!I96,'A-18'!I144))</f>
        <v>6840.7400000000007</v>
      </c>
      <c r="K48" s="142" t="str">
        <f>IF(AND('A-18'!K48="-",'A-18'!K96="-",'A-18'!K144="-"),"-",SUM('A-18'!K48,'A-18'!K96,'A-18'!K144))</f>
        <v>-</v>
      </c>
      <c r="L48" s="142" t="str">
        <f>IF(AND('A-18'!L48="-",'A-18'!L96="-",'A-18'!L144="-"),"-",SUM('A-18'!L48,'A-18'!L96,'A-18'!L144))</f>
        <v>-</v>
      </c>
      <c r="M48" s="142">
        <f>IF(AND('A-18'!M48="-",'A-18'!M96="-",'A-18'!M144="-"),"-",SUM('A-18'!M48,'A-18'!M96,'A-18'!M144))</f>
        <v>1096.8399999999999</v>
      </c>
      <c r="N48" s="142">
        <f>IF(AND('A-18'!N48="-",'A-18'!N96="-",'A-18'!N144="-"),"-",SUM('A-18'!N48,'A-18'!N96,'A-18'!N144))</f>
        <v>11557.98</v>
      </c>
      <c r="O48" s="142">
        <f>IF(AND('A-18'!O48="-",'A-18'!O96="-",'A-18'!O144="-"),"-",SUM('A-18'!O48,'A-18'!O96,'A-18'!O144))</f>
        <v>13789.119999999999</v>
      </c>
      <c r="P48" s="142">
        <f>IF(AND('A-18'!P48="-",'A-18'!P96="-",'A-18'!P144="-"),"-",SUM('A-18'!P48,'A-18'!P96,'A-18'!P144))</f>
        <v>1713.74</v>
      </c>
      <c r="Q48" s="142">
        <f>IF(AND('A-18'!Q48="-",'A-18'!Q96="-",'A-18'!Q144="-"),"-",SUM('A-18'!Q48,'A-18'!Q96,'A-18'!Q144))</f>
        <v>15.86</v>
      </c>
      <c r="R48" s="142">
        <f>IF(AND('A-18'!R48="-",'A-18'!R96="-",'A-18'!R144="-"),"-",SUM('A-18'!R48,'A-18'!R96,'A-18'!R144))</f>
        <v>28173.54</v>
      </c>
      <c r="S48" s="17"/>
      <c r="T48" s="17"/>
    </row>
    <row r="49" spans="1:20" ht="11.25" customHeight="1">
      <c r="A49" s="99">
        <v>2020</v>
      </c>
      <c r="B49" s="142" t="str">
        <f>IF(AND('A-18'!B49="-",'A-18'!B97="-",'A-18'!B145="-"),"-",SUM('A-18'!B49,'A-18'!B97,'A-18'!B145))</f>
        <v>-</v>
      </c>
      <c r="C49" s="142" t="str">
        <f>IF(AND('A-18'!C49="-",'A-18'!C97="-",'A-18'!C145="-"),"-",SUM('A-18'!C49,'A-18'!C97,'A-18'!C145))</f>
        <v>-</v>
      </c>
      <c r="D49" s="142">
        <f>IF(AND('A-18'!D49="-",'A-18'!D97="-",'A-18'!D145="-"),"-",SUM('A-18'!D49,'A-18'!D97,'A-18'!D145))</f>
        <v>602.20000000000005</v>
      </c>
      <c r="E49" s="142">
        <f>IF(AND('A-18'!E49="-",'A-18'!E97="-",'A-18'!E145="-"),"-",SUM('A-18'!E49,'A-18'!E97,'A-18'!E145))</f>
        <v>4162.58</v>
      </c>
      <c r="F49" s="142">
        <f>IF(AND('A-18'!F49="-",'A-18'!F97="-",'A-18'!F145="-"),"-",SUM('A-18'!F49,'A-18'!F97,'A-18'!F145))</f>
        <v>1591.84</v>
      </c>
      <c r="G49" s="142">
        <f>IF(AND('A-18'!G49="-",'A-18'!G97="-",'A-18'!G145="-"),"-",SUM('A-18'!G49,'A-18'!G97,'A-18'!G145))</f>
        <v>478.51</v>
      </c>
      <c r="H49" s="142" t="str">
        <f>IF(AND('A-18'!H49="-",'A-18'!H97="-",'A-18'!H145="-"),"-",SUM('A-18'!H49,'A-18'!H97,'A-18'!H145))</f>
        <v>-</v>
      </c>
      <c r="I49" s="142">
        <f>IF(AND('A-18'!I49="-",'A-18'!I97="-",'A-18'!I145="-"),"-",SUM('A-18'!I49,'A-18'!I97,'A-18'!I145))</f>
        <v>6835.13</v>
      </c>
      <c r="K49" s="142" t="str">
        <f>IF(AND('A-18'!K49="-",'A-18'!K97="-",'A-18'!K145="-"),"-",SUM('A-18'!K49,'A-18'!K97,'A-18'!K145))</f>
        <v>-</v>
      </c>
      <c r="L49" s="142" t="str">
        <f>IF(AND('A-18'!L49="-",'A-18'!L97="-",'A-18'!L145="-"),"-",SUM('A-18'!L49,'A-18'!L97,'A-18'!L145))</f>
        <v>-</v>
      </c>
      <c r="M49" s="142">
        <f>IF(AND('A-18'!M49="-",'A-18'!M97="-",'A-18'!M145="-"),"-",SUM('A-18'!M49,'A-18'!M97,'A-18'!M145))</f>
        <v>49.98</v>
      </c>
      <c r="N49" s="142">
        <f>IF(AND('A-18'!N49="-",'A-18'!N97="-",'A-18'!N145="-"),"-",SUM('A-18'!N49,'A-18'!N97,'A-18'!N145))</f>
        <v>4869.7700000000004</v>
      </c>
      <c r="O49" s="142">
        <f>IF(AND('A-18'!O49="-",'A-18'!O97="-",'A-18'!O145="-"),"-",SUM('A-18'!O49,'A-18'!O97,'A-18'!O145))</f>
        <v>3894.54</v>
      </c>
      <c r="P49" s="142">
        <f>IF(AND('A-18'!P49="-",'A-18'!P97="-",'A-18'!P145="-"),"-",SUM('A-18'!P49,'A-18'!P97,'A-18'!P145))</f>
        <v>2327.23</v>
      </c>
      <c r="Q49" s="142" t="str">
        <f>IF(AND('A-18'!Q49="-",'A-18'!Q97="-",'A-18'!Q145="-"),"-",SUM('A-18'!Q49,'A-18'!Q97,'A-18'!Q145))</f>
        <v>-</v>
      </c>
      <c r="R49" s="142">
        <f>IF(AND('A-18'!R49="-",'A-18'!R97="-",'A-18'!R145="-"),"-",SUM('A-18'!R49,'A-18'!R97,'A-18'!R145))</f>
        <v>11141.52</v>
      </c>
      <c r="S49" s="17"/>
      <c r="T49" s="17"/>
    </row>
    <row r="50" spans="1:20" ht="11.25" customHeight="1">
      <c r="A50" s="99" t="s">
        <v>318</v>
      </c>
      <c r="B50" s="142" t="str">
        <f>IF(AND('A-18'!B50="-",'A-18'!B98="-",'A-18'!B146="-"),"-",SUM('A-18'!B50,'A-18'!B98,'A-18'!B146))</f>
        <v>-</v>
      </c>
      <c r="C50" s="142" t="str">
        <f>IF(AND('A-18'!C50="-",'A-18'!C98="-",'A-18'!C146="-"),"-",SUM('A-18'!C50,'A-18'!C98,'A-18'!C146))</f>
        <v>-</v>
      </c>
      <c r="D50" s="142">
        <f>IF(AND('A-18'!D50="-",'A-18'!D98="-",'A-18'!D146="-"),"-",SUM('A-18'!D50,'A-18'!D98,'A-18'!D146))</f>
        <v>1552.42</v>
      </c>
      <c r="E50" s="142">
        <f>IF(AND('A-18'!E50="-",'A-18'!E98="-",'A-18'!E146="-"),"-",SUM('A-18'!E50,'A-18'!E98,'A-18'!E146))</f>
        <v>7695.77</v>
      </c>
      <c r="F50" s="142">
        <f>IF(AND('A-18'!F50="-",'A-18'!F98="-",'A-18'!F146="-"),"-",SUM('A-18'!F50,'A-18'!F98,'A-18'!F146))</f>
        <v>2098.2200000000003</v>
      </c>
      <c r="G50" s="142">
        <f>IF(AND('A-18'!G50="-",'A-18'!G98="-",'A-18'!G146="-"),"-",SUM('A-18'!G50,'A-18'!G98,'A-18'!G146))</f>
        <v>453.01000000000005</v>
      </c>
      <c r="H50" s="142" t="str">
        <f>IF(AND('A-18'!H50="-",'A-18'!H98="-",'A-18'!H146="-"),"-",SUM('A-18'!H50,'A-18'!H98,'A-18'!H146))</f>
        <v>-</v>
      </c>
      <c r="I50" s="142">
        <f>IF(AND('A-18'!I50="-",'A-18'!I98="-",'A-18'!I146="-"),"-",SUM('A-18'!I50,'A-18'!I98,'A-18'!I146))</f>
        <v>11799.420000000002</v>
      </c>
      <c r="K50" s="142" t="str">
        <f>IF(AND('A-18'!K50="-",'A-18'!K98="-",'A-18'!K146="-"),"-",SUM('A-18'!K50,'A-18'!K98,'A-18'!K146))</f>
        <v>-</v>
      </c>
      <c r="L50" s="142" t="str">
        <f>IF(AND('A-18'!L50="-",'A-18'!L98="-",'A-18'!L146="-"),"-",SUM('A-18'!L50,'A-18'!L98,'A-18'!L146))</f>
        <v>-</v>
      </c>
      <c r="M50" s="142">
        <f>IF(AND('A-18'!M50="-",'A-18'!M98="-",'A-18'!M146="-"),"-",SUM('A-18'!M50,'A-18'!M98,'A-18'!M146))</f>
        <v>21.189999999999998</v>
      </c>
      <c r="N50" s="142">
        <f>IF(AND('A-18'!N50="-",'A-18'!N98="-",'A-18'!N146="-"),"-",SUM('A-18'!N50,'A-18'!N98,'A-18'!N146))</f>
        <v>3863.71</v>
      </c>
      <c r="O50" s="142">
        <f>IF(AND('A-18'!O50="-",'A-18'!O98="-",'A-18'!O146="-"),"-",SUM('A-18'!O50,'A-18'!O98,'A-18'!O146))</f>
        <v>13306.34</v>
      </c>
      <c r="P50" s="142">
        <f>IF(AND('A-18'!P50="-",'A-18'!P98="-",'A-18'!P146="-"),"-",SUM('A-18'!P50,'A-18'!P98,'A-18'!P146))</f>
        <v>7438.5</v>
      </c>
      <c r="Q50" s="142" t="str">
        <f>IF(AND('A-18'!Q50="-",'A-18'!Q98="-",'A-18'!Q146="-"),"-",SUM('A-18'!Q50,'A-18'!Q98,'A-18'!Q146))</f>
        <v>-</v>
      </c>
      <c r="R50" s="142">
        <f>IF(AND('A-18'!R50="-",'A-18'!R98="-",'A-18'!R146="-"),"-",SUM('A-18'!R50,'A-18'!R98,'A-18'!R146))</f>
        <v>24629.74</v>
      </c>
      <c r="S50" s="17"/>
      <c r="T50" s="17"/>
    </row>
    <row r="51" spans="1:20" ht="11.25" customHeight="1">
      <c r="S51" s="17"/>
      <c r="T51" s="17"/>
    </row>
    <row r="52" spans="1:20" ht="11.25" customHeight="1">
      <c r="A52" s="94" t="s">
        <v>99</v>
      </c>
      <c r="S52" s="17"/>
      <c r="T52" s="17"/>
    </row>
    <row r="53" spans="1:20" ht="11.25" customHeight="1">
      <c r="A53" s="99">
        <v>1976</v>
      </c>
      <c r="B53" s="142">
        <f>IF(AND('A-18'!B149="-",'A-10'!C6="-"),"-",SUM('A-18'!B149,'A-10'!C6))</f>
        <v>0</v>
      </c>
      <c r="C53" s="142">
        <f>IF(AND('A-18'!C149="-",'A-10'!D6="-"),"-",SUM('A-18'!C149,'A-10'!D6))</f>
        <v>5041</v>
      </c>
      <c r="D53" s="142">
        <f>IF(AND('A-18'!D149="-",'A-10'!E6="-"),"-",SUM('A-18'!D149,'A-10'!E6))</f>
        <v>28731</v>
      </c>
      <c r="E53" s="142">
        <f>IF(AND('A-18'!E149="-",'A-10'!F6="-"),"-",SUM('A-18'!E149,'A-10'!F6))</f>
        <v>22198</v>
      </c>
      <c r="F53" s="142">
        <f>IF(AND('A-18'!F149="-",'A-10'!G6="-"),"-",SUM('A-18'!F149,'A-10'!G6))</f>
        <v>37549</v>
      </c>
      <c r="G53" s="142">
        <f>IF(AND('A-18'!G149="-",'A-10'!H6="-"),"-",SUM('A-18'!G149,'A-10'!H6))</f>
        <v>11604</v>
      </c>
      <c r="H53" s="142">
        <f>IF(AND('A-18'!H149="-",'A-10'!I6="-"),"-",SUM('A-18'!H149,'A-10'!I6))</f>
        <v>425</v>
      </c>
      <c r="I53" s="142">
        <f>IF(AND('A-18'!I149="-",'A-10'!K6="-"),"-",SUM('A-18'!I149,'A-10'!K6))</f>
        <v>105552</v>
      </c>
      <c r="K53" s="142" t="str">
        <f>'A-18'!K149</f>
        <v>-</v>
      </c>
      <c r="L53" s="142">
        <f>IF(AND('A-18'!L149="-",'A-10'!M6="-"),"-",SUM('A-18'!L149,'A-10'!M6))</f>
        <v>7470</v>
      </c>
      <c r="M53" s="142">
        <f>IF(AND('A-18'!M149="-",'A-10'!N6="-"),"-",SUM('A-18'!M149,'A-10'!N6))</f>
        <v>62288</v>
      </c>
      <c r="N53" s="142">
        <f>IF(AND('A-18'!N149="-",'A-10'!O6="-"),"-",SUM('A-18'!N149,'A-10'!O6))</f>
        <v>155406</v>
      </c>
      <c r="O53" s="142">
        <f>IF(AND('A-18'!O149="-",'A-10'!P6="-"),"-",SUM('A-18'!O149,'A-10'!P6))</f>
        <v>168488</v>
      </c>
      <c r="P53" s="142">
        <f>IF(AND('A-18'!P149="-",'A-10'!Q6="-"),"-",SUM('A-18'!P149,'A-10'!Q6))</f>
        <v>90325</v>
      </c>
      <c r="Q53" s="142">
        <f>IF(AND('A-18'!Q149="-",'A-10'!R6="-"),"-",SUM('A-18'!Q149,'A-10'!R6))</f>
        <v>4577</v>
      </c>
      <c r="R53" s="142">
        <f>IF(AND('A-18'!R149="-",'A-10'!T6="-"),"-",SUM('A-18'!R149,'A-10'!S6))</f>
        <v>488554</v>
      </c>
      <c r="S53" s="17"/>
      <c r="T53" s="17"/>
    </row>
    <row r="54" spans="1:20" ht="11.25" customHeight="1">
      <c r="A54" s="99">
        <v>1977</v>
      </c>
      <c r="B54" s="142">
        <f>IF(AND('A-18'!B150="-",'A-10'!C7="-"),"-",SUM('A-18'!B150,'A-10'!C7))</f>
        <v>435</v>
      </c>
      <c r="C54" s="142">
        <f>IF(AND('A-18'!C150="-",'A-10'!D7="-"),"-",SUM('A-18'!C150,'A-10'!D7))</f>
        <v>4425</v>
      </c>
      <c r="D54" s="142">
        <f>IF(AND('A-18'!D150="-",'A-10'!E7="-"),"-",SUM('A-18'!D150,'A-10'!E7))</f>
        <v>13195</v>
      </c>
      <c r="E54" s="142">
        <f>IF(AND('A-18'!E150="-",'A-10'!F7="-"),"-",SUM('A-18'!E150,'A-10'!F7))</f>
        <v>17849</v>
      </c>
      <c r="F54" s="142">
        <f>IF(AND('A-18'!F150="-",'A-10'!G7="-"),"-",SUM('A-18'!F150,'A-10'!G7))</f>
        <v>43843</v>
      </c>
      <c r="G54" s="142">
        <f>IF(AND('A-18'!G150="-",'A-10'!H7="-"),"-",SUM('A-18'!G150,'A-10'!H7))</f>
        <v>4080</v>
      </c>
      <c r="H54" s="142">
        <f>IF(AND('A-18'!H150="-",'A-10'!I7="-"),"-",SUM('A-18'!H150,'A-10'!I7))</f>
        <v>321</v>
      </c>
      <c r="I54" s="142">
        <f>IF(AND('A-18'!I150="-",'A-10'!K7="-"),"-",SUM('A-18'!I150,'A-10'!K7))</f>
        <v>84148</v>
      </c>
      <c r="K54" s="142">
        <f>'A-18'!K150</f>
        <v>5</v>
      </c>
      <c r="L54" s="142">
        <f>IF(AND('A-18'!L150="-",'A-10'!M7="-"),"-",SUM('A-18'!L150,'A-10'!M7))</f>
        <v>5198</v>
      </c>
      <c r="M54" s="142">
        <f>IF(AND('A-18'!M150="-",'A-10'!N7="-"),"-",SUM('A-18'!M150,'A-10'!N7))</f>
        <v>40955</v>
      </c>
      <c r="N54" s="142">
        <f>IF(AND('A-18'!N150="-",'A-10'!O7="-"),"-",SUM('A-18'!N150,'A-10'!O7))</f>
        <v>81920</v>
      </c>
      <c r="O54" s="142">
        <f>IF(AND('A-18'!O150="-",'A-10'!P7="-"),"-",SUM('A-18'!O150,'A-10'!P7))</f>
        <v>76230</v>
      </c>
      <c r="P54" s="142">
        <f>IF(AND('A-18'!P150="-",'A-10'!Q7="-"),"-",SUM('A-18'!P150,'A-10'!Q7))</f>
        <v>23389</v>
      </c>
      <c r="Q54" s="142">
        <f>IF(AND('A-18'!Q150="-",'A-10'!R7="-"),"-",SUM('A-18'!Q150,'A-10'!R7))</f>
        <v>2813</v>
      </c>
      <c r="R54" s="142">
        <f>IF(AND('A-18'!R150="-",'A-10'!T7="-"),"-",SUM('A-18'!R150,'A-10'!S7))</f>
        <v>230510</v>
      </c>
      <c r="S54" s="17"/>
      <c r="T54" s="17"/>
    </row>
    <row r="55" spans="1:20" ht="11.25" customHeight="1">
      <c r="A55" s="99">
        <v>1978</v>
      </c>
      <c r="B55" s="142">
        <f>IF(AND('A-18'!B151="-",'A-10'!C8="-"),"-",SUM('A-18'!B151,'A-10'!C8))</f>
        <v>137</v>
      </c>
      <c r="C55" s="142">
        <f>IF(AND('A-18'!C151="-",'A-10'!D8="-"),"-",SUM('A-18'!C151,'A-10'!D8))</f>
        <v>614</v>
      </c>
      <c r="D55" s="142">
        <f>IF(AND('A-18'!D151="-",'A-10'!E8="-"),"-",SUM('A-18'!D151,'A-10'!E8))</f>
        <v>6410</v>
      </c>
      <c r="E55" s="142">
        <f>IF(AND('A-18'!E151="-",'A-10'!F8="-"),"-",SUM('A-18'!E151,'A-10'!F8))</f>
        <v>6390</v>
      </c>
      <c r="F55" s="142">
        <f>IF(AND('A-18'!F151="-",'A-10'!G8="-"),"-",SUM('A-18'!F151,'A-10'!G8))</f>
        <v>13570</v>
      </c>
      <c r="G55" s="142">
        <f>IF(AND('A-18'!G151="-",'A-10'!H8="-"),"-",SUM('A-18'!G151,'A-10'!H8))</f>
        <v>2316</v>
      </c>
      <c r="H55" s="142">
        <f>IF(AND('A-18'!H151="-",'A-10'!I8="-"),"-",SUM('A-18'!H151,'A-10'!I8))</f>
        <v>221</v>
      </c>
      <c r="I55" s="142">
        <f>IF(AND('A-18'!I151="-",'A-10'!K8="-"),"-",SUM('A-18'!I151,'A-10'!K8))</f>
        <v>29658</v>
      </c>
      <c r="K55" s="142">
        <f>'A-18'!K151</f>
        <v>980</v>
      </c>
      <c r="L55" s="142">
        <f>IF(AND('A-18'!L151="-",'A-10'!M8="-"),"-",SUM('A-18'!L151,'A-10'!M8))</f>
        <v>7067</v>
      </c>
      <c r="M55" s="142">
        <f>IF(AND('A-18'!M151="-",'A-10'!N8="-"),"-",SUM('A-18'!M151,'A-10'!N8))</f>
        <v>72095</v>
      </c>
      <c r="N55" s="142">
        <f>IF(AND('A-18'!N151="-",'A-10'!O8="-"),"-",SUM('A-18'!N151,'A-10'!O8))</f>
        <v>73145</v>
      </c>
      <c r="O55" s="142">
        <f>IF(AND('A-18'!O151="-",'A-10'!P8="-"),"-",SUM('A-18'!O151,'A-10'!P8))</f>
        <v>66503</v>
      </c>
      <c r="P55" s="142">
        <f>IF(AND('A-18'!P151="-",'A-10'!Q8="-"),"-",SUM('A-18'!P151,'A-10'!Q8))</f>
        <v>36788</v>
      </c>
      <c r="Q55" s="142">
        <f>IF(AND('A-18'!Q151="-",'A-10'!R8="-"),"-",SUM('A-18'!Q151,'A-10'!R8))</f>
        <v>1930</v>
      </c>
      <c r="R55" s="142">
        <f>IF(AND('A-18'!R151="-",'A-10'!T8="-"),"-",SUM('A-18'!R151,'A-10'!S8))</f>
        <v>258508</v>
      </c>
      <c r="S55" s="17"/>
      <c r="T55" s="17"/>
    </row>
    <row r="56" spans="1:20" ht="11.25" customHeight="1">
      <c r="A56" s="99">
        <v>1979</v>
      </c>
      <c r="B56" s="142" t="str">
        <f>IF(AND('A-18'!B152="-",'A-10'!C9="-"),"-",SUM('A-18'!B152,'A-10'!C9))</f>
        <v>-</v>
      </c>
      <c r="C56" s="142">
        <f>IF(AND('A-18'!C152="-",'A-10'!D9="-"),"-",SUM('A-18'!C152,'A-10'!D9))</f>
        <v>621</v>
      </c>
      <c r="D56" s="142">
        <f>IF(AND('A-18'!D152="-",'A-10'!E9="-"),"-",SUM('A-18'!D152,'A-10'!E9))</f>
        <v>9680</v>
      </c>
      <c r="E56" s="142">
        <f>IF(AND('A-18'!E152="-",'A-10'!F9="-"),"-",SUM('A-18'!E152,'A-10'!F9))</f>
        <v>5929</v>
      </c>
      <c r="F56" s="142">
        <f>IF(AND('A-18'!F152="-",'A-10'!G9="-"),"-",SUM('A-18'!F152,'A-10'!G9))</f>
        <v>12884</v>
      </c>
      <c r="G56" s="142">
        <f>IF(AND('A-18'!G152="-",'A-10'!H9="-"),"-",SUM('A-18'!G152,'A-10'!H9))</f>
        <v>171</v>
      </c>
      <c r="H56" s="142">
        <f>IF(AND('A-18'!H152="-",'A-10'!I9="-"),"-",SUM('A-18'!H152,'A-10'!I9))</f>
        <v>15</v>
      </c>
      <c r="I56" s="142">
        <f>IF(AND('A-18'!I152="-",'A-10'!K9="-"),"-",SUM('A-18'!I152,'A-10'!K9))</f>
        <v>29300</v>
      </c>
      <c r="K56" s="142" t="str">
        <f>'A-18'!K152</f>
        <v>-</v>
      </c>
      <c r="L56" s="142">
        <f>IF(AND('A-18'!L152="-",'A-10'!M9="-"),"-",SUM('A-18'!L152,'A-10'!M9))</f>
        <v>3250</v>
      </c>
      <c r="M56" s="142">
        <f>IF(AND('A-18'!M152="-",'A-10'!N9="-"),"-",SUM('A-18'!M152,'A-10'!N9))</f>
        <v>25983</v>
      </c>
      <c r="N56" s="142">
        <f>IF(AND('A-18'!N152="-",'A-10'!O9="-"),"-",SUM('A-18'!N152,'A-10'!O9))</f>
        <v>58645</v>
      </c>
      <c r="O56" s="142">
        <f>IF(AND('A-18'!O152="-",'A-10'!P9="-"),"-",SUM('A-18'!O152,'A-10'!P9))</f>
        <v>70162</v>
      </c>
      <c r="P56" s="142">
        <f>IF(AND('A-18'!P152="-",'A-10'!Q9="-"),"-",SUM('A-18'!P152,'A-10'!Q9))</f>
        <v>2791</v>
      </c>
      <c r="Q56" s="142">
        <f>IF(AND('A-18'!Q152="-",'A-10'!R9="-"),"-",SUM('A-18'!Q152,'A-10'!R9))</f>
        <v>532</v>
      </c>
      <c r="R56" s="142">
        <f>IF(AND('A-18'!R152="-",'A-10'!T9="-"),"-",SUM('A-18'!R152,'A-10'!S9))</f>
        <v>161363</v>
      </c>
      <c r="S56" s="17"/>
      <c r="T56" s="17"/>
    </row>
    <row r="57" spans="1:20" ht="11.25" customHeight="1">
      <c r="A57" s="99">
        <v>1980</v>
      </c>
      <c r="B57" s="142" t="str">
        <f>IF(AND('A-18'!B153="-",'A-10'!C10="-"),"-",SUM('A-18'!B153,'A-10'!C10))</f>
        <v>-</v>
      </c>
      <c r="C57" s="142">
        <f>IF(AND('A-18'!C153="-",'A-10'!D10="-"),"-",SUM('A-18'!C153,'A-10'!D10))</f>
        <v>1061</v>
      </c>
      <c r="D57" s="142">
        <f>IF(AND('A-18'!D153="-",'A-10'!E10="-"),"-",SUM('A-18'!D153,'A-10'!E10))</f>
        <v>3749</v>
      </c>
      <c r="E57" s="142">
        <f>IF(AND('A-18'!E153="-",'A-10'!F10="-"),"-",SUM('A-18'!E153,'A-10'!F10))</f>
        <v>5480</v>
      </c>
      <c r="F57" s="142">
        <f>IF(AND('A-18'!F153="-",'A-10'!G10="-"),"-",SUM('A-18'!F153,'A-10'!G10))</f>
        <v>10976</v>
      </c>
      <c r="G57" s="142">
        <f>IF(AND('A-18'!G153="-",'A-10'!H10="-"),"-",SUM('A-18'!G153,'A-10'!H10))</f>
        <v>584</v>
      </c>
      <c r="H57" s="142" t="str">
        <f>IF(AND('A-18'!H153="-",'A-10'!I10="-"),"-",SUM('A-18'!H153,'A-10'!I10))</f>
        <v>-</v>
      </c>
      <c r="I57" s="142">
        <f>IF(AND('A-18'!I153="-",'A-10'!K10="-"),"-",SUM('A-18'!I153,'A-10'!K10))</f>
        <v>21850</v>
      </c>
      <c r="K57" s="142" t="str">
        <f>'A-18'!K153</f>
        <v>-</v>
      </c>
      <c r="L57" s="142">
        <f>IF(AND('A-18'!L153="-",'A-10'!M10="-"),"-",SUM('A-18'!L153,'A-10'!M10))</f>
        <v>9633</v>
      </c>
      <c r="M57" s="142">
        <f>IF(AND('A-18'!M153="-",'A-10'!N10="-"),"-",SUM('A-18'!M153,'A-10'!N10))</f>
        <v>65251</v>
      </c>
      <c r="N57" s="142">
        <f>IF(AND('A-18'!N153="-",'A-10'!O10="-"),"-",SUM('A-18'!N153,'A-10'!O10))</f>
        <v>80210</v>
      </c>
      <c r="O57" s="142">
        <f>IF(AND('A-18'!O153="-",'A-10'!P10="-"),"-",SUM('A-18'!O153,'A-10'!P10))</f>
        <v>53204</v>
      </c>
      <c r="P57" s="142">
        <f>IF(AND('A-18'!P153="-",'A-10'!Q10="-"),"-",SUM('A-18'!P153,'A-10'!Q10))</f>
        <v>1826</v>
      </c>
      <c r="Q57" s="142" t="str">
        <f>IF(AND('A-18'!Q153="-",'A-10'!R10="-"),"-",SUM('A-18'!Q153,'A-10'!R10))</f>
        <v>-</v>
      </c>
      <c r="R57" s="142">
        <f>IF(AND('A-18'!R153="-",'A-10'!T10="-"),"-",SUM('A-18'!R153,'A-10'!S10))</f>
        <v>210124</v>
      </c>
      <c r="S57" s="17"/>
      <c r="T57" s="17"/>
    </row>
    <row r="58" spans="1:20" ht="11.25" customHeight="1">
      <c r="A58" s="99">
        <v>1981</v>
      </c>
      <c r="B58" s="142" t="str">
        <f>IF(AND('A-18'!B154="-",'A-10'!C11="-"),"-",SUM('A-18'!B154,'A-10'!C11))</f>
        <v>-</v>
      </c>
      <c r="C58" s="142">
        <f>IF(AND('A-18'!C154="-",'A-10'!D11="-"),"-",SUM('A-18'!C154,'A-10'!D11))</f>
        <v>175</v>
      </c>
      <c r="D58" s="142">
        <f>IF(AND('A-18'!D154="-",'A-10'!E11="-"),"-",SUM('A-18'!D154,'A-10'!E11))</f>
        <v>1099</v>
      </c>
      <c r="E58" s="142">
        <f>IF(AND('A-18'!E154="-",'A-10'!F11="-"),"-",SUM('A-18'!E154,'A-10'!F11))</f>
        <v>9004</v>
      </c>
      <c r="F58" s="142">
        <f>IF(AND('A-18'!F154="-",'A-10'!G11="-"),"-",SUM('A-18'!F154,'A-10'!G11))</f>
        <v>23905</v>
      </c>
      <c r="G58" s="142">
        <f>IF(AND('A-18'!G154="-",'A-10'!H11="-"),"-",SUM('A-18'!G154,'A-10'!H11))</f>
        <v>1230</v>
      </c>
      <c r="H58" s="142" t="str">
        <f>IF(AND('A-18'!H154="-",'A-10'!I11="-"),"-",SUM('A-18'!H154,'A-10'!I11))</f>
        <v>-</v>
      </c>
      <c r="I58" s="142">
        <f>IF(AND('A-18'!I154="-",'A-10'!K11="-"),"-",SUM('A-18'!I154,'A-10'!K11))</f>
        <v>35413</v>
      </c>
      <c r="K58" s="142" t="str">
        <f>'A-18'!K154</f>
        <v>-</v>
      </c>
      <c r="L58" s="142">
        <f>IF(AND('A-18'!L154="-",'A-10'!M11="-"),"-",SUM('A-18'!L154,'A-10'!M11))</f>
        <v>7109</v>
      </c>
      <c r="M58" s="142">
        <f>IF(AND('A-18'!M154="-",'A-10'!N11="-"),"-",SUM('A-18'!M154,'A-10'!N11))</f>
        <v>30724</v>
      </c>
      <c r="N58" s="142">
        <f>IF(AND('A-18'!N154="-",'A-10'!O11="-"),"-",SUM('A-18'!N154,'A-10'!O11))</f>
        <v>59680</v>
      </c>
      <c r="O58" s="142">
        <f>IF(AND('A-18'!O154="-",'A-10'!P11="-"),"-",SUM('A-18'!O154,'A-10'!P11))</f>
        <v>69433</v>
      </c>
      <c r="P58" s="142">
        <f>IF(AND('A-18'!P154="-",'A-10'!Q11="-"),"-",SUM('A-18'!P154,'A-10'!Q11))</f>
        <v>5961</v>
      </c>
      <c r="Q58" s="142" t="str">
        <f>IF(AND('A-18'!Q154="-",'A-10'!R11="-"),"-",SUM('A-18'!Q154,'A-10'!R11))</f>
        <v>-</v>
      </c>
      <c r="R58" s="142">
        <f>IF(AND('A-18'!R154="-",'A-10'!T11="-"),"-",SUM('A-18'!R154,'A-10'!S11))</f>
        <v>172907</v>
      </c>
      <c r="S58" s="17"/>
      <c r="T58" s="17"/>
    </row>
    <row r="59" spans="1:20" ht="11.25" customHeight="1">
      <c r="A59" s="99">
        <v>1982</v>
      </c>
      <c r="B59" s="142" t="str">
        <f>IF(AND('A-18'!B155="-",'A-10'!C12="-"),"-",SUM('A-18'!B155,'A-10'!C12))</f>
        <v>-</v>
      </c>
      <c r="C59" s="142">
        <f>IF(AND('A-18'!C155="-",'A-10'!D12="-"),"-",SUM('A-18'!C155,'A-10'!D12))</f>
        <v>0</v>
      </c>
      <c r="D59" s="142">
        <f>IF(AND('A-18'!D155="-",'A-10'!E12="-"),"-",SUM('A-18'!D155,'A-10'!E12))</f>
        <v>10594</v>
      </c>
      <c r="E59" s="142">
        <f>IF(AND('A-18'!E155="-",'A-10'!F12="-"),"-",SUM('A-18'!E155,'A-10'!F12))</f>
        <v>16167</v>
      </c>
      <c r="F59" s="142">
        <f>IF(AND('A-18'!F155="-",'A-10'!G12="-"),"-",SUM('A-18'!F155,'A-10'!G12))</f>
        <v>917</v>
      </c>
      <c r="G59" s="142" t="str">
        <f>IF(AND('A-18'!G155="-",'A-10'!H12="-"),"-",SUM('A-18'!G155,'A-10'!H12))</f>
        <v>-</v>
      </c>
      <c r="H59" s="142">
        <f>IF(AND('A-18'!H155="-",'A-10'!I12="-"),"-",SUM('A-18'!H155,'A-10'!I12))</f>
        <v>40</v>
      </c>
      <c r="I59" s="142">
        <f>IF(AND('A-18'!I155="-",'A-10'!K12="-"),"-",SUM('A-18'!I155,'A-10'!K12))</f>
        <v>27718</v>
      </c>
      <c r="K59" s="142" t="str">
        <f>'A-18'!K155</f>
        <v>-</v>
      </c>
      <c r="L59" s="142" t="str">
        <f>IF(AND('A-18'!L155="-",'A-10'!M12="-"),"-",SUM('A-18'!L155,'A-10'!M12))</f>
        <v>-</v>
      </c>
      <c r="M59" s="142">
        <f>IF(AND('A-18'!M155="-",'A-10'!N12="-"),"-",SUM('A-18'!M155,'A-10'!N12))</f>
        <v>15285</v>
      </c>
      <c r="N59" s="142">
        <f>IF(AND('A-18'!N155="-",'A-10'!O12="-"),"-",SUM('A-18'!N155,'A-10'!O12))</f>
        <v>88931</v>
      </c>
      <c r="O59" s="142">
        <f>IF(AND('A-18'!O155="-",'A-10'!P12="-"),"-",SUM('A-18'!O155,'A-10'!P12))</f>
        <v>6040</v>
      </c>
      <c r="P59" s="142">
        <f>IF(AND('A-18'!P155="-",'A-10'!Q12="-"),"-",SUM('A-18'!P155,'A-10'!Q12))</f>
        <v>7661</v>
      </c>
      <c r="Q59" s="142">
        <f>IF(AND('A-18'!Q155="-",'A-10'!R12="-"),"-",SUM('A-18'!Q155,'A-10'!R12))</f>
        <v>825</v>
      </c>
      <c r="R59" s="142">
        <f>IF(AND('A-18'!R155="-",'A-10'!T12="-"),"-",SUM('A-18'!R155,'A-10'!S12))</f>
        <v>118742</v>
      </c>
      <c r="S59" s="17"/>
      <c r="T59" s="17"/>
    </row>
    <row r="60" spans="1:20" ht="11.25" customHeight="1">
      <c r="A60" s="99">
        <v>1983</v>
      </c>
      <c r="B60" s="142" t="str">
        <f>IF(AND('A-18'!B156="-",'A-10'!C13="-"),"-",SUM('A-18'!B156,'A-10'!C13))</f>
        <v>-</v>
      </c>
      <c r="C60" s="142">
        <f>IF(AND('A-18'!C156="-",'A-10'!D13="-"),"-",SUM('A-18'!C156,'A-10'!D13))</f>
        <v>114</v>
      </c>
      <c r="D60" s="142">
        <f>IF(AND('A-18'!D156="-",'A-10'!E13="-"),"-",SUM('A-18'!D156,'A-10'!E13))</f>
        <v>5351</v>
      </c>
      <c r="E60" s="142">
        <f>IF(AND('A-18'!E156="-",'A-10'!F13="-"),"-",SUM('A-18'!E156,'A-10'!F13))</f>
        <v>5590</v>
      </c>
      <c r="F60" s="142">
        <f>IF(AND('A-18'!F156="-",'A-10'!G13="-"),"-",SUM('A-18'!F156,'A-10'!G13))</f>
        <v>1645</v>
      </c>
      <c r="G60" s="142">
        <f>IF(AND('A-18'!G156="-",'A-10'!H13="-"),"-",SUM('A-18'!G156,'A-10'!H13))</f>
        <v>765</v>
      </c>
      <c r="H60" s="142" t="str">
        <f>IF(AND('A-18'!H156="-",'A-10'!I13="-"),"-",SUM('A-18'!H156,'A-10'!I13))</f>
        <v>-</v>
      </c>
      <c r="I60" s="142">
        <f>IF(AND('A-18'!I156="-",'A-10'!K13="-"),"-",SUM('A-18'!I156,'A-10'!K13))</f>
        <v>13465</v>
      </c>
      <c r="K60" s="142" t="str">
        <f>'A-18'!K156</f>
        <v>-</v>
      </c>
      <c r="L60" s="142" t="str">
        <f>IF(AND('A-18'!L156="-",'A-10'!M13="-"),"-",SUM('A-18'!L156,'A-10'!M13))</f>
        <v>-</v>
      </c>
      <c r="M60" s="142">
        <f>IF(AND('A-18'!M156="-",'A-10'!N13="-"),"-",SUM('A-18'!M156,'A-10'!N13))</f>
        <v>10972</v>
      </c>
      <c r="N60" s="142">
        <f>IF(AND('A-18'!N156="-",'A-10'!O13="-"),"-",SUM('A-18'!N156,'A-10'!O13))</f>
        <v>60164</v>
      </c>
      <c r="O60" s="142">
        <f>IF(AND('A-18'!O156="-",'A-10'!P13="-"),"-",SUM('A-18'!O156,'A-10'!P13))</f>
        <v>36578</v>
      </c>
      <c r="P60" s="142">
        <f>IF(AND('A-18'!P156="-",'A-10'!Q13="-"),"-",SUM('A-18'!P156,'A-10'!Q13))</f>
        <v>15097</v>
      </c>
      <c r="Q60" s="142" t="str">
        <f>IF(AND('A-18'!Q156="-",'A-10'!R13="-"),"-",SUM('A-18'!Q156,'A-10'!R13))</f>
        <v>-</v>
      </c>
      <c r="R60" s="142">
        <f>IF(AND('A-18'!R156="-",'A-10'!T13="-"),"-",SUM('A-18'!R156,'A-10'!S13))</f>
        <v>122811</v>
      </c>
      <c r="S60" s="17"/>
      <c r="T60" s="17"/>
    </row>
    <row r="61" spans="1:20" ht="11.25" customHeight="1">
      <c r="A61" s="99">
        <v>1984</v>
      </c>
      <c r="B61" s="142" t="str">
        <f>IF(AND('A-18'!B157="-",'A-10'!C14="-"),"-",SUM('A-18'!B157,'A-10'!C14))</f>
        <v>-</v>
      </c>
      <c r="C61" s="142">
        <f>IF(AND('A-18'!C157="-",'A-10'!D14="-"),"-",SUM('A-18'!C157,'A-10'!D14))</f>
        <v>596</v>
      </c>
      <c r="D61" s="142" t="str">
        <f>IF(AND('A-18'!D157="-",'A-10'!E14="-"),"-",SUM('A-18'!D157,'A-10'!E14))</f>
        <v>-</v>
      </c>
      <c r="E61" s="142">
        <f>IF(AND('A-18'!E157="-",'A-10'!F14="-"),"-",SUM('A-18'!E157,'A-10'!F14))</f>
        <v>17</v>
      </c>
      <c r="F61" s="142">
        <f>IF(AND('A-18'!F157="-",'A-10'!G14="-"),"-",SUM('A-18'!F157,'A-10'!G14))</f>
        <v>111</v>
      </c>
      <c r="G61" s="142" t="str">
        <f>IF(AND('A-18'!G157="-",'A-10'!H14="-"),"-",SUM('A-18'!G157,'A-10'!H14))</f>
        <v>-</v>
      </c>
      <c r="H61" s="142" t="str">
        <f>IF(AND('A-18'!H157="-",'A-10'!I14="-"),"-",SUM('A-18'!H157,'A-10'!I14))</f>
        <v>-</v>
      </c>
      <c r="I61" s="142">
        <f>IF(AND('A-18'!I157="-",'A-10'!K14="-"),"-",SUM('A-18'!I157,'A-10'!K14))</f>
        <v>724</v>
      </c>
      <c r="K61" s="142" t="str">
        <f>'A-18'!K157</f>
        <v>-</v>
      </c>
      <c r="L61" s="142" t="str">
        <f>IF(AND('A-18'!L157="-",'A-10'!M14="-"),"-",SUM('A-18'!L157,'A-10'!M14))</f>
        <v>-</v>
      </c>
      <c r="M61" s="142" t="str">
        <f>IF(AND('A-18'!M157="-",'A-10'!N14="-"),"-",SUM('A-18'!M157,'A-10'!N14))</f>
        <v>-</v>
      </c>
      <c r="N61" s="142">
        <f>IF(AND('A-18'!N157="-",'A-10'!O14="-"),"-",SUM('A-18'!N157,'A-10'!O14))</f>
        <v>10777</v>
      </c>
      <c r="O61" s="142">
        <f>IF(AND('A-18'!O157="-",'A-10'!P14="-"),"-",SUM('A-18'!O157,'A-10'!P14))</f>
        <v>23361</v>
      </c>
      <c r="P61" s="142" t="str">
        <f>IF(AND('A-18'!P157="-",'A-10'!Q14="-"),"-",SUM('A-18'!P157,'A-10'!Q14))</f>
        <v>-</v>
      </c>
      <c r="Q61" s="142" t="str">
        <f>IF(AND('A-18'!Q157="-",'A-10'!R14="-"),"-",SUM('A-18'!Q157,'A-10'!R14))</f>
        <v>-</v>
      </c>
      <c r="R61" s="142">
        <f>IF(AND('A-18'!R157="-",'A-10'!T14="-"),"-",SUM('A-18'!R157,'A-10'!S14))</f>
        <v>34138</v>
      </c>
      <c r="S61" s="17"/>
      <c r="T61" s="17"/>
    </row>
    <row r="62" spans="1:20" ht="11.25" customHeight="1">
      <c r="A62" s="99">
        <v>1985</v>
      </c>
      <c r="B62" s="142" t="str">
        <f>IF(AND('A-18'!B158="-",'A-10'!C15="-"),"-",SUM('A-18'!B158,'A-10'!C15))</f>
        <v>-</v>
      </c>
      <c r="C62" s="142" t="str">
        <f>IF(AND('A-18'!C158="-",'A-10'!D15="-"),"-",SUM('A-18'!C158,'A-10'!D15))</f>
        <v>-</v>
      </c>
      <c r="D62" s="142">
        <f>IF(AND('A-18'!D158="-",'A-10'!E15="-"),"-",SUM('A-18'!D158,'A-10'!E15))</f>
        <v>98</v>
      </c>
      <c r="E62" s="142">
        <f>IF(AND('A-18'!E158="-",'A-10'!F15="-"),"-",SUM('A-18'!E158,'A-10'!F15))</f>
        <v>4084</v>
      </c>
      <c r="F62" s="142">
        <f>IF(AND('A-18'!F158="-",'A-10'!G15="-"),"-",SUM('A-18'!F158,'A-10'!G15))</f>
        <v>5454</v>
      </c>
      <c r="G62" s="142">
        <f>IF(AND('A-18'!G158="-",'A-10'!H15="-"),"-",SUM('A-18'!G158,'A-10'!H15))</f>
        <v>20</v>
      </c>
      <c r="H62" s="142" t="str">
        <f>IF(AND('A-18'!H158="-",'A-10'!I15="-"),"-",SUM('A-18'!H158,'A-10'!I15))</f>
        <v>-</v>
      </c>
      <c r="I62" s="142">
        <f>IF(AND('A-18'!I158="-",'A-10'!K15="-"),"-",SUM('A-18'!I158,'A-10'!K15))</f>
        <v>9656</v>
      </c>
      <c r="K62" s="142" t="str">
        <f>'A-18'!K158</f>
        <v>-</v>
      </c>
      <c r="L62" s="142" t="str">
        <f>IF(AND('A-18'!L158="-",'A-10'!M15="-"),"-",SUM('A-18'!L158,'A-10'!M15))</f>
        <v>-</v>
      </c>
      <c r="M62" s="142">
        <f>IF(AND('A-18'!M158="-",'A-10'!N15="-"),"-",SUM('A-18'!M158,'A-10'!N15))</f>
        <v>2055</v>
      </c>
      <c r="N62" s="142">
        <f>IF(AND('A-18'!N158="-",'A-10'!O15="-"),"-",SUM('A-18'!N158,'A-10'!O15))</f>
        <v>44590</v>
      </c>
      <c r="O62" s="142">
        <f>IF(AND('A-18'!O158="-",'A-10'!P15="-"),"-",SUM('A-18'!O158,'A-10'!P15))</f>
        <v>52826</v>
      </c>
      <c r="P62" s="142">
        <f>IF(AND('A-18'!P158="-",'A-10'!Q15="-"),"-",SUM('A-18'!P158,'A-10'!Q15))</f>
        <v>244</v>
      </c>
      <c r="Q62" s="142" t="str">
        <f>IF(AND('A-18'!Q158="-",'A-10'!R15="-"),"-",SUM('A-18'!Q158,'A-10'!R15))</f>
        <v>-</v>
      </c>
      <c r="R62" s="142">
        <f>IF(AND('A-18'!R158="-",'A-10'!T15="-"),"-",SUM('A-18'!R158,'A-10'!S15))</f>
        <v>99715</v>
      </c>
      <c r="S62" s="17"/>
      <c r="T62" s="17"/>
    </row>
    <row r="63" spans="1:20" ht="11.25" customHeight="1">
      <c r="A63" s="99">
        <v>1986</v>
      </c>
      <c r="B63" s="142" t="str">
        <f>IF(AND('A-18'!B159="-",'A-10'!C16="-"),"-",SUM('A-18'!B159,'A-10'!C16))</f>
        <v>-</v>
      </c>
      <c r="C63" s="142" t="str">
        <f>IF(AND('A-18'!C159="-",'A-10'!D16="-"),"-",SUM('A-18'!C159,'A-10'!D16))</f>
        <v>-</v>
      </c>
      <c r="D63" s="142">
        <f>IF(AND('A-18'!D159="-",'A-10'!E16="-"),"-",SUM('A-18'!D159,'A-10'!E16))</f>
        <v>114</v>
      </c>
      <c r="E63" s="142">
        <f>IF(AND('A-18'!E159="-",'A-10'!F16="-"),"-",SUM('A-18'!E159,'A-10'!F16))</f>
        <v>2125</v>
      </c>
      <c r="F63" s="142">
        <f>IF(AND('A-18'!F159="-",'A-10'!G16="-"),"-",SUM('A-18'!F159,'A-10'!G16))</f>
        <v>1891</v>
      </c>
      <c r="G63" s="142" t="str">
        <f>IF(AND('A-18'!G159="-",'A-10'!H16="-"),"-",SUM('A-18'!G159,'A-10'!H16))</f>
        <v>-</v>
      </c>
      <c r="H63" s="142" t="str">
        <f>IF(AND('A-18'!H159="-",'A-10'!I16="-"),"-",SUM('A-18'!H159,'A-10'!I16))</f>
        <v>-</v>
      </c>
      <c r="I63" s="142">
        <f>IF(AND('A-18'!I159="-",'A-10'!K16="-"),"-",SUM('A-18'!I159,'A-10'!K16))</f>
        <v>4130</v>
      </c>
      <c r="K63" s="142" t="str">
        <f>'A-18'!K159</f>
        <v>-</v>
      </c>
      <c r="L63" s="142" t="str">
        <f>IF(AND('A-18'!L159="-",'A-10'!M16="-"),"-",SUM('A-18'!L159,'A-10'!M16))</f>
        <v>-</v>
      </c>
      <c r="M63" s="142">
        <f>IF(AND('A-18'!M159="-",'A-10'!N16="-"),"-",SUM('A-18'!M159,'A-10'!N16))</f>
        <v>3428</v>
      </c>
      <c r="N63" s="142">
        <f>IF(AND('A-18'!N159="-",'A-10'!O16="-"),"-",SUM('A-18'!N159,'A-10'!O16))</f>
        <v>58316</v>
      </c>
      <c r="O63" s="142">
        <f>IF(AND('A-18'!O159="-",'A-10'!P16="-"),"-",SUM('A-18'!O159,'A-10'!P16))</f>
        <v>42568</v>
      </c>
      <c r="P63" s="142" t="str">
        <f>IF(AND('A-18'!P159="-",'A-10'!Q16="-"),"-",SUM('A-18'!P159,'A-10'!Q16))</f>
        <v>-</v>
      </c>
      <c r="Q63" s="142" t="str">
        <f>IF(AND('A-18'!Q159="-",'A-10'!R16="-"),"-",SUM('A-18'!Q159,'A-10'!R16))</f>
        <v>-</v>
      </c>
      <c r="R63" s="142">
        <f>IF(AND('A-18'!R159="-",'A-10'!T16="-"),"-",SUM('A-18'!R159,'A-10'!S16))</f>
        <v>104312</v>
      </c>
      <c r="S63" s="17"/>
      <c r="T63" s="17"/>
    </row>
    <row r="64" spans="1:20" ht="11.25" customHeight="1">
      <c r="A64" s="99">
        <v>1987</v>
      </c>
      <c r="B64" s="142" t="str">
        <f>IF(AND('A-18'!B160="-",'A-10'!C17="-"),"-",SUM('A-18'!B160,'A-10'!C17))</f>
        <v>-</v>
      </c>
      <c r="C64" s="142" t="str">
        <f>IF(AND('A-18'!C160="-",'A-10'!D17="-"),"-",SUM('A-18'!C160,'A-10'!D17))</f>
        <v>-</v>
      </c>
      <c r="D64" s="142">
        <f>IF(AND('A-18'!D160="-",'A-10'!E17="-"),"-",SUM('A-18'!D160,'A-10'!E17))</f>
        <v>378</v>
      </c>
      <c r="E64" s="142">
        <f>IF(AND('A-18'!E160="-",'A-10'!F17="-"),"-",SUM('A-18'!E160,'A-10'!F17))</f>
        <v>4853</v>
      </c>
      <c r="F64" s="142">
        <f>IF(AND('A-18'!F160="-",'A-10'!G17="-"),"-",SUM('A-18'!F160,'A-10'!G17))</f>
        <v>6798</v>
      </c>
      <c r="G64" s="142" t="str">
        <f>IF(AND('A-18'!G160="-",'A-10'!H17="-"),"-",SUM('A-18'!G160,'A-10'!H17))</f>
        <v>-</v>
      </c>
      <c r="H64" s="142" t="str">
        <f>IF(AND('A-18'!H160="-",'A-10'!I17="-"),"-",SUM('A-18'!H160,'A-10'!I17))</f>
        <v>-</v>
      </c>
      <c r="I64" s="142">
        <f>IF(AND('A-18'!I160="-",'A-10'!K17="-"),"-",SUM('A-18'!I160,'A-10'!K17))</f>
        <v>12029</v>
      </c>
      <c r="K64" s="142" t="str">
        <f>'A-18'!K160</f>
        <v>-</v>
      </c>
      <c r="L64" s="142" t="str">
        <f>IF(AND('A-18'!L160="-",'A-10'!M17="-"),"-",SUM('A-18'!L160,'A-10'!M17))</f>
        <v>-</v>
      </c>
      <c r="M64" s="142">
        <f>IF(AND('A-18'!M160="-",'A-10'!N17="-"),"-",SUM('A-18'!M160,'A-10'!N17))</f>
        <v>2498</v>
      </c>
      <c r="N64" s="142">
        <f>IF(AND('A-18'!N160="-",'A-10'!O17="-"),"-",SUM('A-18'!N160,'A-10'!O17))</f>
        <v>38824</v>
      </c>
      <c r="O64" s="142">
        <f>IF(AND('A-18'!O160="-",'A-10'!P17="-"),"-",SUM('A-18'!O160,'A-10'!P17))</f>
        <v>38629</v>
      </c>
      <c r="P64" s="142" t="str">
        <f>IF(AND('A-18'!P160="-",'A-10'!Q17="-"),"-",SUM('A-18'!P160,'A-10'!Q17))</f>
        <v>-</v>
      </c>
      <c r="Q64" s="142" t="str">
        <f>IF(AND('A-18'!Q160="-",'A-10'!R17="-"),"-",SUM('A-18'!Q160,'A-10'!R17))</f>
        <v>-</v>
      </c>
      <c r="R64" s="142">
        <f>IF(AND('A-18'!R160="-",'A-10'!T17="-"),"-",SUM('A-18'!R160,'A-10'!S17))</f>
        <v>79951</v>
      </c>
      <c r="S64" s="17"/>
      <c r="T64" s="17"/>
    </row>
    <row r="65" spans="1:20" ht="11.25" customHeight="1">
      <c r="A65" s="99">
        <v>1988</v>
      </c>
      <c r="B65" s="142" t="str">
        <f>IF(AND('A-18'!B161="-",'A-10'!C18="-"),"-",SUM('A-18'!B161,'A-10'!C18))</f>
        <v>-</v>
      </c>
      <c r="C65" s="142" t="str">
        <f>IF(AND('A-18'!C161="-",'A-10'!D18="-"),"-",SUM('A-18'!C161,'A-10'!D18))</f>
        <v>-</v>
      </c>
      <c r="D65" s="142" t="str">
        <f>IF(AND('A-18'!D161="-",'A-10'!E18="-"),"-",SUM('A-18'!D161,'A-10'!E18))</f>
        <v>-</v>
      </c>
      <c r="E65" s="142">
        <f>IF(AND('A-18'!E161="-",'A-10'!F18="-"),"-",SUM('A-18'!E161,'A-10'!F18))</f>
        <v>1569</v>
      </c>
      <c r="F65" s="142">
        <f>IF(AND('A-18'!F161="-",'A-10'!G18="-"),"-",SUM('A-18'!F161,'A-10'!G18))</f>
        <v>64</v>
      </c>
      <c r="G65" s="142">
        <f>IF(AND('A-18'!G161="-",'A-10'!H18="-"),"-",SUM('A-18'!G161,'A-10'!H18))</f>
        <v>4</v>
      </c>
      <c r="H65" s="142" t="str">
        <f>IF(AND('A-18'!H161="-",'A-10'!I18="-"),"-",SUM('A-18'!H161,'A-10'!I18))</f>
        <v>-</v>
      </c>
      <c r="I65" s="142">
        <f>IF(AND('A-18'!I161="-",'A-10'!K18="-"),"-",SUM('A-18'!I161,'A-10'!K18))</f>
        <v>1637</v>
      </c>
      <c r="K65" s="142" t="str">
        <f>'A-18'!K161</f>
        <v>-</v>
      </c>
      <c r="L65" s="142" t="str">
        <f>IF(AND('A-18'!L161="-",'A-10'!M18="-"),"-",SUM('A-18'!L161,'A-10'!M18))</f>
        <v>-</v>
      </c>
      <c r="M65" s="142" t="str">
        <f>IF(AND('A-18'!M161="-",'A-10'!N18="-"),"-",SUM('A-18'!M161,'A-10'!N18))</f>
        <v>-</v>
      </c>
      <c r="N65" s="142">
        <f>IF(AND('A-18'!N161="-",'A-10'!O18="-"),"-",SUM('A-18'!N161,'A-10'!O18))</f>
        <v>30679</v>
      </c>
      <c r="O65" s="142">
        <f>IF(AND('A-18'!O161="-",'A-10'!P18="-"),"-",SUM('A-18'!O161,'A-10'!P18))</f>
        <v>904</v>
      </c>
      <c r="P65" s="142">
        <f>IF(AND('A-18'!P161="-",'A-10'!Q18="-"),"-",SUM('A-18'!P161,'A-10'!Q18))</f>
        <v>66</v>
      </c>
      <c r="Q65" s="142" t="str">
        <f>IF(AND('A-18'!Q161="-",'A-10'!R18="-"),"-",SUM('A-18'!Q161,'A-10'!R18))</f>
        <v>-</v>
      </c>
      <c r="R65" s="142">
        <f>IF(AND('A-18'!R161="-",'A-10'!T18="-"),"-",SUM('A-18'!R161,'A-10'!S18))</f>
        <v>31649</v>
      </c>
      <c r="S65" s="17"/>
      <c r="T65" s="17"/>
    </row>
    <row r="66" spans="1:20" ht="11.25" customHeight="1">
      <c r="A66" s="99">
        <v>1989</v>
      </c>
      <c r="B66" s="142" t="str">
        <f>IF(AND('A-18'!B162="-",'A-10'!C19="-"),"-",SUM('A-18'!B162,'A-10'!C19))</f>
        <v>-</v>
      </c>
      <c r="C66" s="142">
        <f>IF(AND('A-18'!C162="-",'A-10'!D19="-"),"-",SUM('A-18'!C162,'A-10'!D19))</f>
        <v>140</v>
      </c>
      <c r="D66" s="142">
        <f>IF(AND('A-18'!D162="-",'A-10'!E19="-"),"-",SUM('A-18'!D162,'A-10'!E19))</f>
        <v>631</v>
      </c>
      <c r="E66" s="142">
        <f>IF(AND('A-18'!E162="-",'A-10'!F19="-"),"-",SUM('A-18'!E162,'A-10'!F19))</f>
        <v>937</v>
      </c>
      <c r="F66" s="142">
        <f>IF(AND('A-18'!F162="-",'A-10'!G19="-"),"-",SUM('A-18'!F162,'A-10'!G19))</f>
        <v>5213</v>
      </c>
      <c r="G66" s="142" t="str">
        <f>IF(AND('A-18'!G162="-",'A-10'!H19="-"),"-",SUM('A-18'!G162,'A-10'!H19))</f>
        <v>-</v>
      </c>
      <c r="H66" s="142" t="str">
        <f>IF(AND('A-18'!H162="-",'A-10'!I19="-"),"-",SUM('A-18'!H162,'A-10'!I19))</f>
        <v>-</v>
      </c>
      <c r="I66" s="142">
        <f>IF(AND('A-18'!I162="-",'A-10'!K19="-"),"-",SUM('A-18'!I162,'A-10'!K19))</f>
        <v>6921</v>
      </c>
      <c r="K66" s="142" t="str">
        <f>'A-18'!K162</f>
        <v>-</v>
      </c>
      <c r="L66" s="142" t="str">
        <f>IF(AND('A-18'!L162="-",'A-10'!M19="-"),"-",SUM('A-18'!L162,'A-10'!M19))</f>
        <v>-</v>
      </c>
      <c r="M66" s="142">
        <f>IF(AND('A-18'!M162="-",'A-10'!N19="-"),"-",SUM('A-18'!M162,'A-10'!N19))</f>
        <v>1670</v>
      </c>
      <c r="N66" s="142">
        <f>IF(AND('A-18'!N162="-",'A-10'!O19="-"),"-",SUM('A-18'!N162,'A-10'!O19))</f>
        <v>57389</v>
      </c>
      <c r="O66" s="142">
        <f>IF(AND('A-18'!O162="-",'A-10'!P19="-"),"-",SUM('A-18'!O162,'A-10'!P19))</f>
        <v>57916</v>
      </c>
      <c r="P66" s="142" t="str">
        <f>IF(AND('A-18'!P162="-",'A-10'!Q19="-"),"-",SUM('A-18'!P162,'A-10'!Q19))</f>
        <v>-</v>
      </c>
      <c r="Q66" s="142" t="str">
        <f>IF(AND('A-18'!Q162="-",'A-10'!R19="-"),"-",SUM('A-18'!Q162,'A-10'!R19))</f>
        <v>-</v>
      </c>
      <c r="R66" s="142">
        <f>IF(AND('A-18'!R162="-",'A-10'!T19="-"),"-",SUM('A-18'!R162,'A-10'!S19))</f>
        <v>116975</v>
      </c>
      <c r="S66" s="17"/>
      <c r="T66" s="17"/>
    </row>
    <row r="67" spans="1:20" ht="11.25" customHeight="1">
      <c r="A67" s="99">
        <v>1990</v>
      </c>
      <c r="B67" s="142" t="str">
        <f>IF(AND('A-18'!B163="-",'A-10'!C20="-"),"-",SUM('A-18'!B163,'A-10'!C20))</f>
        <v>-</v>
      </c>
      <c r="C67" s="142" t="str">
        <f>IF(AND('A-18'!C163="-",'A-10'!D20="-"),"-",SUM('A-18'!C163,'A-10'!D20))</f>
        <v>-</v>
      </c>
      <c r="D67" s="142">
        <f>IF(AND('A-18'!D163="-",'A-10'!E20="-"),"-",SUM('A-18'!D163,'A-10'!E20))</f>
        <v>318</v>
      </c>
      <c r="E67" s="142">
        <f>IF(AND('A-18'!E163="-",'A-10'!F20="-"),"-",SUM('A-18'!E163,'A-10'!F20))</f>
        <v>4252</v>
      </c>
      <c r="F67" s="142">
        <f>IF(AND('A-18'!F163="-",'A-10'!G20="-"),"-",SUM('A-18'!F163,'A-10'!G20))</f>
        <v>8377</v>
      </c>
      <c r="G67" s="142">
        <f>IF(AND('A-18'!G163="-",'A-10'!H20="-"),"-",SUM('A-18'!G163,'A-10'!H20))</f>
        <v>235</v>
      </c>
      <c r="H67" s="142" t="str">
        <f>IF(AND('A-18'!H163="-",'A-10'!I20="-"),"-",SUM('A-18'!H163,'A-10'!I20))</f>
        <v>-</v>
      </c>
      <c r="I67" s="142">
        <f>IF(AND('A-18'!I163="-",'A-10'!K20="-"),"-",SUM('A-18'!I163,'A-10'!K20))</f>
        <v>13182</v>
      </c>
      <c r="K67" s="142" t="str">
        <f>'A-18'!K163</f>
        <v>-</v>
      </c>
      <c r="L67" s="142" t="str">
        <f>IF(AND('A-18'!L163="-",'A-10'!M20="-"),"-",SUM('A-18'!L163,'A-10'!M20))</f>
        <v>-</v>
      </c>
      <c r="M67" s="142">
        <f>IF(AND('A-18'!M163="-",'A-10'!N20="-"),"-",SUM('A-18'!M163,'A-10'!N20))</f>
        <v>10255</v>
      </c>
      <c r="N67" s="142">
        <f>IF(AND('A-18'!N163="-",'A-10'!O20="-"),"-",SUM('A-18'!N163,'A-10'!O20))</f>
        <v>55212</v>
      </c>
      <c r="O67" s="142">
        <f>IF(AND('A-18'!O163="-",'A-10'!P20="-"),"-",SUM('A-18'!O163,'A-10'!P20))</f>
        <v>53047</v>
      </c>
      <c r="P67" s="142">
        <f>IF(AND('A-18'!P163="-",'A-10'!Q20="-"),"-",SUM('A-18'!P163,'A-10'!Q20))</f>
        <v>5468</v>
      </c>
      <c r="Q67" s="142" t="str">
        <f>IF(AND('A-18'!Q163="-",'A-10'!R20="-"),"-",SUM('A-18'!Q163,'A-10'!R20))</f>
        <v>-</v>
      </c>
      <c r="R67" s="142">
        <f>IF(AND('A-18'!R163="-",'A-10'!T20="-"),"-",SUM('A-18'!R163,'A-10'!S20))</f>
        <v>123982</v>
      </c>
      <c r="S67" s="17"/>
      <c r="T67" s="17"/>
    </row>
    <row r="68" spans="1:20" ht="11.25" customHeight="1">
      <c r="A68" s="99">
        <v>1991</v>
      </c>
      <c r="B68" s="142" t="str">
        <f>IF(AND('A-18'!B164="-",'A-10'!C21="-"),"-",SUM('A-18'!B164,'A-10'!C21))</f>
        <v>-</v>
      </c>
      <c r="C68" s="142" t="str">
        <f>IF(AND('A-18'!C164="-",'A-10'!D21="-"),"-",SUM('A-18'!C164,'A-10'!D21))</f>
        <v>-</v>
      </c>
      <c r="D68" s="142">
        <f>IF(AND('A-18'!D164="-",'A-10'!E21="-"),"-",SUM('A-18'!D164,'A-10'!E21))</f>
        <v>252</v>
      </c>
      <c r="E68" s="142">
        <f>IF(AND('A-18'!E164="-",'A-10'!F21="-"),"-",SUM('A-18'!E164,'A-10'!F21))</f>
        <v>1515</v>
      </c>
      <c r="F68" s="142">
        <f>IF(AND('A-18'!F164="-",'A-10'!G21="-"),"-",SUM('A-18'!F164,'A-10'!G21))</f>
        <v>1491</v>
      </c>
      <c r="G68" s="142">
        <f>IF(AND('A-18'!G164="-",'A-10'!H21="-"),"-",SUM('A-18'!G164,'A-10'!H21))</f>
        <v>69</v>
      </c>
      <c r="H68" s="142" t="str">
        <f>IF(AND('A-18'!H164="-",'A-10'!I21="-"),"-",SUM('A-18'!H164,'A-10'!I21))</f>
        <v>-</v>
      </c>
      <c r="I68" s="142">
        <f>IF(AND('A-18'!I164="-",'A-10'!K21="-"),"-",SUM('A-18'!I164,'A-10'!K21))</f>
        <v>3327</v>
      </c>
      <c r="K68" s="142" t="str">
        <f>'A-18'!K164</f>
        <v>-</v>
      </c>
      <c r="L68" s="142" t="str">
        <f>IF(AND('A-18'!L164="-",'A-10'!M21="-"),"-",SUM('A-18'!L164,'A-10'!M21))</f>
        <v>-</v>
      </c>
      <c r="M68" s="142">
        <f>IF(AND('A-18'!M164="-",'A-10'!N21="-"),"-",SUM('A-18'!M164,'A-10'!N21))</f>
        <v>7875</v>
      </c>
      <c r="N68" s="142">
        <f>IF(AND('A-18'!N164="-",'A-10'!O21="-"),"-",SUM('A-18'!N164,'A-10'!O21))</f>
        <v>62160</v>
      </c>
      <c r="O68" s="142">
        <f>IF(AND('A-18'!O164="-",'A-10'!P21="-"),"-",SUM('A-18'!O164,'A-10'!P21))</f>
        <v>33627</v>
      </c>
      <c r="P68" s="142">
        <f>IF(AND('A-18'!P164="-",'A-10'!Q21="-"),"-",SUM('A-18'!P164,'A-10'!Q21))</f>
        <v>10932</v>
      </c>
      <c r="Q68" s="142" t="str">
        <f>IF(AND('A-18'!Q164="-",'A-10'!R21="-"),"-",SUM('A-18'!Q164,'A-10'!R21))</f>
        <v>-</v>
      </c>
      <c r="R68" s="142">
        <f>IF(AND('A-18'!R164="-",'A-10'!T21="-"),"-",SUM('A-18'!R164,'A-10'!S21))</f>
        <v>114594</v>
      </c>
      <c r="S68" s="17"/>
      <c r="T68" s="17"/>
    </row>
    <row r="69" spans="1:20" ht="11.25" customHeight="1">
      <c r="A69" s="99">
        <v>1992</v>
      </c>
      <c r="B69" s="142" t="str">
        <f>IF(AND('A-18'!B165="-",'A-10'!C22="-"),"-",SUM('A-18'!B165,'A-10'!C22))</f>
        <v>-</v>
      </c>
      <c r="C69" s="142" t="str">
        <f>IF(AND('A-18'!C165="-",'A-10'!D22="-"),"-",SUM('A-18'!C165,'A-10'!D22))</f>
        <v>-</v>
      </c>
      <c r="D69" s="142">
        <f>IF(AND('A-18'!D165="-",'A-10'!E22="-"),"-",SUM('A-18'!D165,'A-10'!E22))</f>
        <v>0</v>
      </c>
      <c r="E69" s="142">
        <f>IF(AND('A-18'!E165="-",'A-10'!F22="-"),"-",SUM('A-18'!E165,'A-10'!F22))</f>
        <v>1164</v>
      </c>
      <c r="F69" s="142">
        <f>IF(AND('A-18'!F165="-",'A-10'!G22="-"),"-",SUM('A-18'!F165,'A-10'!G22))</f>
        <v>627</v>
      </c>
      <c r="G69" s="142">
        <f>IF(AND('A-18'!G165="-",'A-10'!H22="-"),"-",SUM('A-18'!G165,'A-10'!H22))</f>
        <v>174</v>
      </c>
      <c r="H69" s="142" t="str">
        <f>IF(AND('A-18'!H165="-",'A-10'!I22="-"),"-",SUM('A-18'!H165,'A-10'!I22))</f>
        <v>-</v>
      </c>
      <c r="I69" s="142">
        <f>IF(AND('A-18'!I165="-",'A-10'!K22="-"),"-",SUM('A-18'!I165,'A-10'!K22))</f>
        <v>1965</v>
      </c>
      <c r="K69" s="142" t="str">
        <f>'A-18'!K165</f>
        <v>-</v>
      </c>
      <c r="L69" s="142" t="str">
        <f>IF(AND('A-18'!L165="-",'A-10'!M22="-"),"-",SUM('A-18'!L165,'A-10'!M22))</f>
        <v>-</v>
      </c>
      <c r="M69" s="142">
        <f>IF(AND('A-18'!M165="-",'A-10'!N22="-"),"-",SUM('A-18'!M165,'A-10'!N22))</f>
        <v>0</v>
      </c>
      <c r="N69" s="142">
        <f>IF(AND('A-18'!N165="-",'A-10'!O22="-"),"-",SUM('A-18'!N165,'A-10'!O22))</f>
        <v>55292</v>
      </c>
      <c r="O69" s="142">
        <f>IF(AND('A-18'!O165="-",'A-10'!P22="-"),"-",SUM('A-18'!O165,'A-10'!P22))</f>
        <v>9507</v>
      </c>
      <c r="P69" s="142">
        <f>IF(AND('A-18'!P165="-",'A-10'!Q22="-"),"-",SUM('A-18'!P165,'A-10'!Q22))</f>
        <v>4372</v>
      </c>
      <c r="Q69" s="142" t="str">
        <f>IF(AND('A-18'!Q165="-",'A-10'!R22="-"),"-",SUM('A-18'!Q165,'A-10'!R22))</f>
        <v>-</v>
      </c>
      <c r="R69" s="142">
        <f>IF(AND('A-18'!R165="-",'A-10'!T22="-"),"-",SUM('A-18'!R165,'A-10'!S22))</f>
        <v>69171</v>
      </c>
      <c r="S69" s="17"/>
      <c r="T69" s="17"/>
    </row>
    <row r="70" spans="1:20" ht="11.25" customHeight="1">
      <c r="A70" s="99">
        <v>1993</v>
      </c>
      <c r="B70" s="142" t="str">
        <f>IF(AND('A-18'!B166="-",'A-10'!C23="-"),"-",SUM('A-18'!B166,'A-10'!C23))</f>
        <v>-</v>
      </c>
      <c r="C70" s="142" t="str">
        <f>IF(AND('A-18'!C166="-",'A-10'!D23="-"),"-",SUM('A-18'!C166,'A-10'!D23))</f>
        <v>-</v>
      </c>
      <c r="D70" s="142" t="str">
        <f>IF(AND('A-18'!D166="-",'A-10'!E23="-"),"-",SUM('A-18'!D166,'A-10'!E23))</f>
        <v>-</v>
      </c>
      <c r="E70" s="142">
        <f>IF(AND('A-18'!E166="-",'A-10'!F23="-"),"-",SUM('A-18'!E166,'A-10'!F23))</f>
        <v>977</v>
      </c>
      <c r="F70" s="142">
        <f>IF(AND('A-18'!F166="-",'A-10'!G23="-"),"-",SUM('A-18'!F166,'A-10'!G23))</f>
        <v>1755</v>
      </c>
      <c r="G70" s="142">
        <f>IF(AND('A-18'!G166="-",'A-10'!H23="-"),"-",SUM('A-18'!G166,'A-10'!H23))</f>
        <v>737</v>
      </c>
      <c r="H70" s="142" t="str">
        <f>IF(AND('A-18'!H166="-",'A-10'!I23="-"),"-",SUM('A-18'!H166,'A-10'!I23))</f>
        <v>-</v>
      </c>
      <c r="I70" s="142">
        <f>IF(AND('A-18'!I166="-",'A-10'!K23="-"),"-",SUM('A-18'!I166,'A-10'!K23))</f>
        <v>3469</v>
      </c>
      <c r="K70" s="142" t="str">
        <f>'A-18'!K166</f>
        <v>-</v>
      </c>
      <c r="L70" s="142" t="str">
        <f>IF(AND('A-18'!L166="-",'A-10'!M23="-"),"-",SUM('A-18'!L166,'A-10'!M23))</f>
        <v>-</v>
      </c>
      <c r="M70" s="142" t="str">
        <f>IF(AND('A-18'!M166="-",'A-10'!N23="-"),"-",SUM('A-18'!M166,'A-10'!N23))</f>
        <v>-</v>
      </c>
      <c r="N70" s="142">
        <f>IF(AND('A-18'!N166="-",'A-10'!O23="-"),"-",SUM('A-18'!N166,'A-10'!O23))</f>
        <v>22311</v>
      </c>
      <c r="O70" s="142">
        <f>IF(AND('A-18'!O166="-",'A-10'!P23="-"),"-",SUM('A-18'!O166,'A-10'!P23))</f>
        <v>31376</v>
      </c>
      <c r="P70" s="142">
        <f>IF(AND('A-18'!P166="-",'A-10'!Q23="-"),"-",SUM('A-18'!P166,'A-10'!Q23))</f>
        <v>13648</v>
      </c>
      <c r="Q70" s="142" t="str">
        <f>IF(AND('A-18'!Q166="-",'A-10'!R23="-"),"-",SUM('A-18'!Q166,'A-10'!R23))</f>
        <v>-</v>
      </c>
      <c r="R70" s="142">
        <f>IF(AND('A-18'!R166="-",'A-10'!T23="-"),"-",SUM('A-18'!R166,'A-10'!S23))</f>
        <v>67335</v>
      </c>
      <c r="S70" s="17"/>
      <c r="T70" s="17"/>
    </row>
    <row r="71" spans="1:20" ht="11.25" customHeight="1">
      <c r="A71" s="99">
        <v>1994</v>
      </c>
      <c r="B71" s="142" t="str">
        <f>IF(AND('A-18'!B167="-",'A-10'!C24="-"),"-",SUM('A-18'!B167,'A-10'!C24))</f>
        <v>-</v>
      </c>
      <c r="C71" s="142" t="str">
        <f>IF(AND('A-18'!C167="-",'A-10'!D24="-"),"-",SUM('A-18'!C167,'A-10'!D24))</f>
        <v>-</v>
      </c>
      <c r="D71" s="142" t="str">
        <f>IF(AND('A-18'!D167="-",'A-10'!E24="-"),"-",SUM('A-18'!D167,'A-10'!E24))</f>
        <v>-</v>
      </c>
      <c r="E71" s="142" t="str">
        <f>IF(AND('A-18'!E167="-",'A-10'!F24="-"),"-",SUM('A-18'!E167,'A-10'!F24))</f>
        <v>-</v>
      </c>
      <c r="F71" s="142" t="str">
        <f>IF(AND('A-18'!F167="-",'A-10'!G24="-"),"-",SUM('A-18'!F167,'A-10'!G24))</f>
        <v>-</v>
      </c>
      <c r="G71" s="142" t="str">
        <f>IF(AND('A-18'!G167="-",'A-10'!H24="-"),"-",SUM('A-18'!G167,'A-10'!H24))</f>
        <v>-</v>
      </c>
      <c r="H71" s="142" t="str">
        <f>IF(AND('A-18'!H167="-",'A-10'!I24="-"),"-",SUM('A-18'!H167,'A-10'!I24))</f>
        <v>-</v>
      </c>
      <c r="I71" s="142" t="str">
        <f>IF(AND('A-18'!I167="-",'A-10'!K24="-"),"-",SUM('A-18'!I167,'A-10'!K24))</f>
        <v>-</v>
      </c>
      <c r="K71" s="142" t="str">
        <f>'A-18'!K167</f>
        <v>-</v>
      </c>
      <c r="L71" s="142" t="str">
        <f>IF(AND('A-18'!L167="-",'A-10'!M24="-"),"-",SUM('A-18'!L167,'A-10'!M24))</f>
        <v>-</v>
      </c>
      <c r="M71" s="142" t="str">
        <f>IF(AND('A-18'!M167="-",'A-10'!N24="-"),"-",SUM('A-18'!M167,'A-10'!N24))</f>
        <v>-</v>
      </c>
      <c r="N71" s="142" t="str">
        <f>IF(AND('A-18'!N167="-",'A-10'!O24="-"),"-",SUM('A-18'!N167,'A-10'!O24))</f>
        <v>-</v>
      </c>
      <c r="O71" s="142" t="str">
        <f>IF(AND('A-18'!O167="-",'A-10'!P24="-"),"-",SUM('A-18'!O167,'A-10'!P24))</f>
        <v>-</v>
      </c>
      <c r="P71" s="142" t="str">
        <f>IF(AND('A-18'!P167="-",'A-10'!Q24="-"),"-",SUM('A-18'!P167,'A-10'!Q24))</f>
        <v>-</v>
      </c>
      <c r="Q71" s="142" t="str">
        <f>IF(AND('A-18'!Q167="-",'A-10'!R24="-"),"-",SUM('A-18'!Q167,'A-10'!R24))</f>
        <v>-</v>
      </c>
      <c r="R71" s="142">
        <f>IF(AND('A-18'!R167="-",'A-10'!T24="-"),"-",SUM('A-18'!R167,'A-10'!S24))</f>
        <v>0</v>
      </c>
      <c r="S71" s="17"/>
      <c r="T71" s="17"/>
    </row>
    <row r="72" spans="1:20" ht="11.25" customHeight="1">
      <c r="A72" s="99">
        <v>1995</v>
      </c>
      <c r="B72" s="142" t="str">
        <f>IF(AND('A-18'!B168="-",'A-10'!C25="-"),"-",SUM('A-18'!B168,'A-10'!C25))</f>
        <v>-</v>
      </c>
      <c r="C72" s="142" t="str">
        <f>IF(AND('A-18'!C168="-",'A-10'!D25="-"),"-",SUM('A-18'!C168,'A-10'!D25))</f>
        <v>-</v>
      </c>
      <c r="D72" s="142" t="str">
        <f>IF(AND('A-18'!D168="-",'A-10'!E25="-"),"-",SUM('A-18'!D168,'A-10'!E25))</f>
        <v>-</v>
      </c>
      <c r="E72" s="142">
        <f>IF(AND('A-18'!E168="-",'A-10'!F25="-"),"-",SUM('A-18'!E168,'A-10'!F25))</f>
        <v>56</v>
      </c>
      <c r="F72" s="142">
        <f>IF(AND('A-18'!F168="-",'A-10'!G25="-"),"-",SUM('A-18'!F168,'A-10'!G25))</f>
        <v>277</v>
      </c>
      <c r="G72" s="142">
        <f>IF(AND('A-18'!G168="-",'A-10'!H25="-"),"-",SUM('A-18'!G168,'A-10'!H25))</f>
        <v>48</v>
      </c>
      <c r="H72" s="142" t="str">
        <f>IF(AND('A-18'!H168="-",'A-10'!I25="-"),"-",SUM('A-18'!H168,'A-10'!I25))</f>
        <v>-</v>
      </c>
      <c r="I72" s="142">
        <f>IF(AND('A-18'!I168="-",'A-10'!K25="-"),"-",SUM('A-18'!I168,'A-10'!K25))</f>
        <v>381</v>
      </c>
      <c r="K72" s="142" t="str">
        <f>'A-18'!K168</f>
        <v>-</v>
      </c>
      <c r="L72" s="142" t="str">
        <f>IF(AND('A-18'!L168="-",'A-10'!M25="-"),"-",SUM('A-18'!L168,'A-10'!M25))</f>
        <v>-</v>
      </c>
      <c r="M72" s="142" t="str">
        <f>IF(AND('A-18'!M168="-",'A-10'!N25="-"),"-",SUM('A-18'!M168,'A-10'!N25))</f>
        <v>-</v>
      </c>
      <c r="N72" s="142">
        <f>IF(AND('A-18'!N168="-",'A-10'!O25="-"),"-",SUM('A-18'!N168,'A-10'!O25))</f>
        <v>5960</v>
      </c>
      <c r="O72" s="142">
        <f>IF(AND('A-18'!O168="-",'A-10'!P25="-"),"-",SUM('A-18'!O168,'A-10'!P25))</f>
        <v>22893</v>
      </c>
      <c r="P72" s="142">
        <f>IF(AND('A-18'!P168="-",'A-10'!Q25="-"),"-",SUM('A-18'!P168,'A-10'!Q25))</f>
        <v>7557</v>
      </c>
      <c r="Q72" s="142" t="str">
        <f>IF(AND('A-18'!Q168="-",'A-10'!R25="-"),"-",SUM('A-18'!Q168,'A-10'!R25))</f>
        <v>-</v>
      </c>
      <c r="R72" s="142">
        <f>IF(AND('A-18'!R168="-",'A-10'!T25="-"),"-",SUM('A-18'!R168,'A-10'!S25))</f>
        <v>36410</v>
      </c>
      <c r="S72" s="17"/>
      <c r="T72" s="17"/>
    </row>
    <row r="73" spans="1:20" ht="11.25" customHeight="1">
      <c r="A73" s="99">
        <v>1996</v>
      </c>
      <c r="B73" s="142" t="str">
        <f>IF(AND('A-18'!B169="-",'A-10'!C26="-"),"-",SUM('A-18'!B169,'A-10'!C26))</f>
        <v>-</v>
      </c>
      <c r="C73" s="142" t="str">
        <f>IF(AND('A-18'!C169="-",'A-10'!D26="-"),"-",SUM('A-18'!C169,'A-10'!D26))</f>
        <v>-</v>
      </c>
      <c r="D73" s="142" t="str">
        <f>IF(AND('A-18'!D169="-",'A-10'!E26="-"),"-",SUM('A-18'!D169,'A-10'!E26))</f>
        <v>-</v>
      </c>
      <c r="E73" s="142">
        <f>IF(AND('A-18'!E169="-",'A-10'!F26="-"),"-",SUM('A-18'!E169,'A-10'!F26))</f>
        <v>27</v>
      </c>
      <c r="F73" s="142">
        <f>IF(AND('A-18'!F169="-",'A-10'!G26="-"),"-",SUM('A-18'!F169,'A-10'!G26))</f>
        <v>53</v>
      </c>
      <c r="G73" s="142">
        <f>IF(AND('A-18'!G169="-",'A-10'!H26="-"),"-",SUM('A-18'!G169,'A-10'!H26))</f>
        <v>40</v>
      </c>
      <c r="H73" s="142" t="str">
        <f>IF(AND('A-18'!H169="-",'A-10'!I26="-"),"-",SUM('A-18'!H169,'A-10'!I26))</f>
        <v>-</v>
      </c>
      <c r="I73" s="142">
        <f>IF(AND('A-18'!I169="-",'A-10'!K26="-"),"-",SUM('A-18'!I169,'A-10'!K26))</f>
        <v>120</v>
      </c>
      <c r="K73" s="142" t="str">
        <f>'A-18'!K169</f>
        <v>-</v>
      </c>
      <c r="L73" s="142" t="str">
        <f>IF(AND('A-18'!L169="-",'A-10'!M26="-"),"-",SUM('A-18'!L169,'A-10'!M26))</f>
        <v>-</v>
      </c>
      <c r="M73" s="142" t="str">
        <f>IF(AND('A-18'!M169="-",'A-10'!N26="-"),"-",SUM('A-18'!M169,'A-10'!N26))</f>
        <v>-</v>
      </c>
      <c r="N73" s="142">
        <f>IF(AND('A-18'!N169="-",'A-10'!O26="-"),"-",SUM('A-18'!N169,'A-10'!O26))</f>
        <v>6094</v>
      </c>
      <c r="O73" s="142">
        <f>IF(AND('A-18'!O169="-",'A-10'!P26="-"),"-",SUM('A-18'!O169,'A-10'!P26))</f>
        <v>14945</v>
      </c>
      <c r="P73" s="142">
        <f>IF(AND('A-18'!P169="-",'A-10'!Q26="-"),"-",SUM('A-18'!P169,'A-10'!Q26))</f>
        <v>3784</v>
      </c>
      <c r="Q73" s="142" t="str">
        <f>IF(AND('A-18'!Q169="-",'A-10'!R26="-"),"-",SUM('A-18'!Q169,'A-10'!R26))</f>
        <v>-</v>
      </c>
      <c r="R73" s="142">
        <f>IF(AND('A-18'!R169="-",'A-10'!T26="-"),"-",SUM('A-18'!R169,'A-10'!S26))</f>
        <v>24823</v>
      </c>
      <c r="S73" s="17"/>
      <c r="T73" s="17"/>
    </row>
    <row r="74" spans="1:20" ht="11.25" customHeight="1">
      <c r="A74" s="99">
        <v>1997</v>
      </c>
      <c r="B74" s="142" t="str">
        <f>IF(AND('A-18'!B170="-",'A-10'!C27="-"),"-",SUM('A-18'!B170,'A-10'!C27))</f>
        <v>-</v>
      </c>
      <c r="C74" s="142" t="str">
        <f>IF(AND('A-18'!C170="-",'A-10'!D27="-"),"-",SUM('A-18'!C170,'A-10'!D27))</f>
        <v>-</v>
      </c>
      <c r="D74" s="142" t="str">
        <f>IF(AND('A-18'!D170="-",'A-10'!E27="-"),"-",SUM('A-18'!D170,'A-10'!E27))</f>
        <v>-</v>
      </c>
      <c r="E74" s="142">
        <f>IF(AND('A-18'!E170="-",'A-10'!F27="-"),"-",SUM('A-18'!E170,'A-10'!F27))</f>
        <v>288</v>
      </c>
      <c r="F74" s="142">
        <f>IF(AND('A-18'!F170="-",'A-10'!G27="-"),"-",SUM('A-18'!F170,'A-10'!G27))</f>
        <v>240</v>
      </c>
      <c r="G74" s="142" t="str">
        <f>IF(AND('A-18'!G170="-",'A-10'!H27="-"),"-",SUM('A-18'!G170,'A-10'!H27))</f>
        <v>-</v>
      </c>
      <c r="H74" s="142" t="str">
        <f>IF(AND('A-18'!H170="-",'A-10'!I27="-"),"-",SUM('A-18'!H170,'A-10'!I27))</f>
        <v>-</v>
      </c>
      <c r="I74" s="142">
        <f>IF(AND('A-18'!I170="-",'A-10'!K27="-"),"-",SUM('A-18'!I170,'A-10'!K27))</f>
        <v>528</v>
      </c>
      <c r="K74" s="142" t="str">
        <f>'A-18'!K170</f>
        <v>-</v>
      </c>
      <c r="L74" s="142" t="str">
        <f>IF(AND('A-18'!L170="-",'A-10'!M27="-"),"-",SUM('A-18'!L170,'A-10'!M27))</f>
        <v>-</v>
      </c>
      <c r="M74" s="142" t="str">
        <f>IF(AND('A-18'!M170="-",'A-10'!N27="-"),"-",SUM('A-18'!M170,'A-10'!N27))</f>
        <v>-</v>
      </c>
      <c r="N74" s="142">
        <f>IF(AND('A-18'!N170="-",'A-10'!O27="-"),"-",SUM('A-18'!N170,'A-10'!O27))</f>
        <v>11792</v>
      </c>
      <c r="O74" s="142">
        <f>IF(AND('A-18'!O170="-",'A-10'!P27="-"),"-",SUM('A-18'!O170,'A-10'!P27))</f>
        <v>5071</v>
      </c>
      <c r="P74" s="142" t="str">
        <f>IF(AND('A-18'!P170="-",'A-10'!Q27="-"),"-",SUM('A-18'!P170,'A-10'!Q27))</f>
        <v>-</v>
      </c>
      <c r="Q74" s="142" t="str">
        <f>IF(AND('A-18'!Q170="-",'A-10'!R27="-"),"-",SUM('A-18'!Q170,'A-10'!R27))</f>
        <v>-</v>
      </c>
      <c r="R74" s="142">
        <f>IF(AND('A-18'!R170="-",'A-10'!T27="-"),"-",SUM('A-18'!R170,'A-10'!S27))</f>
        <v>16863</v>
      </c>
      <c r="S74" s="17"/>
      <c r="T74" s="17"/>
    </row>
    <row r="75" spans="1:20" ht="11.25" customHeight="1">
      <c r="A75" s="99">
        <v>1998</v>
      </c>
      <c r="B75" s="142" t="str">
        <f>IF(AND('A-18'!B171="-",'A-10'!C28="-"),"-",SUM('A-18'!B171,'A-10'!C28))</f>
        <v>-</v>
      </c>
      <c r="C75" s="142" t="str">
        <f>IF(AND('A-18'!C171="-",'A-10'!D28="-"),"-",SUM('A-18'!C171,'A-10'!D28))</f>
        <v>-</v>
      </c>
      <c r="D75" s="142" t="str">
        <f>IF(AND('A-18'!D171="-",'A-10'!E28="-"),"-",SUM('A-18'!D171,'A-10'!E28))</f>
        <v>-</v>
      </c>
      <c r="E75" s="142" t="str">
        <f>IF(AND('A-18'!E171="-",'A-10'!F28="-"),"-",SUM('A-18'!E171,'A-10'!F28))</f>
        <v>-</v>
      </c>
      <c r="F75" s="142">
        <f>IF(AND('A-18'!F171="-",'A-10'!G28="-"),"-",SUM('A-18'!F171,'A-10'!G28))</f>
        <v>366</v>
      </c>
      <c r="G75" s="142">
        <f>IF(AND('A-18'!G171="-",'A-10'!H28="-"),"-",SUM('A-18'!G171,'A-10'!H28))</f>
        <v>53</v>
      </c>
      <c r="H75" s="142" t="str">
        <f>IF(AND('A-18'!H171="-",'A-10'!I28="-"),"-",SUM('A-18'!H171,'A-10'!I28))</f>
        <v>-</v>
      </c>
      <c r="I75" s="142">
        <f>IF(AND('A-18'!I171="-",'A-10'!K28="-"),"-",SUM('A-18'!I171,'A-10'!K28))</f>
        <v>419</v>
      </c>
      <c r="K75" s="142" t="str">
        <f>'A-18'!K171</f>
        <v>-</v>
      </c>
      <c r="L75" s="142" t="str">
        <f>IF(AND('A-18'!L171="-",'A-10'!M28="-"),"-",SUM('A-18'!L171,'A-10'!M28))</f>
        <v>-</v>
      </c>
      <c r="M75" s="142" t="str">
        <f>IF(AND('A-18'!M171="-",'A-10'!N28="-"),"-",SUM('A-18'!M171,'A-10'!N28))</f>
        <v>-</v>
      </c>
      <c r="N75" s="142" t="str">
        <f>IF(AND('A-18'!N171="-",'A-10'!O28="-"),"-",SUM('A-18'!N171,'A-10'!O28))</f>
        <v>-</v>
      </c>
      <c r="O75" s="142">
        <f>IF(AND('A-18'!O171="-",'A-10'!P28="-"),"-",SUM('A-18'!O171,'A-10'!P28))</f>
        <v>6046</v>
      </c>
      <c r="P75" s="142">
        <f>IF(AND('A-18'!P171="-",'A-10'!Q28="-"),"-",SUM('A-18'!P171,'A-10'!Q28))</f>
        <v>498</v>
      </c>
      <c r="Q75" s="142" t="str">
        <f>IF(AND('A-18'!Q171="-",'A-10'!R28="-"),"-",SUM('A-18'!Q171,'A-10'!R28))</f>
        <v>-</v>
      </c>
      <c r="R75" s="142">
        <f>IF(AND('A-18'!R171="-",'A-10'!T28="-"),"-",SUM('A-18'!R171,'A-10'!S28))</f>
        <v>6544</v>
      </c>
      <c r="S75" s="17"/>
      <c r="T75" s="17"/>
    </row>
    <row r="76" spans="1:20" ht="11.25" customHeight="1">
      <c r="A76" s="99">
        <v>1999</v>
      </c>
      <c r="B76" s="142" t="str">
        <f>IF(AND('A-18'!B172="-",'A-10'!C29="-"),"-",SUM('A-18'!B172,'A-10'!C29))</f>
        <v>-</v>
      </c>
      <c r="C76" s="142" t="str">
        <f>IF(AND('A-18'!C172="-",'A-10'!D29="-"),"-",SUM('A-18'!C172,'A-10'!D29))</f>
        <v>-</v>
      </c>
      <c r="D76" s="142" t="str">
        <f>IF(AND('A-18'!D172="-",'A-10'!E29="-"),"-",SUM('A-18'!D172,'A-10'!E29))</f>
        <v>-</v>
      </c>
      <c r="E76" s="142">
        <f>IF(AND('A-18'!E172="-",'A-10'!F29="-"),"-",SUM('A-18'!E172,'A-10'!F29))</f>
        <v>714</v>
      </c>
      <c r="F76" s="142">
        <f>IF(AND('A-18'!F172="-",'A-10'!G29="-"),"-",SUM('A-18'!F172,'A-10'!G29))</f>
        <v>2129</v>
      </c>
      <c r="G76" s="142">
        <f>IF(AND('A-18'!G172="-",'A-10'!H29="-"),"-",SUM('A-18'!G172,'A-10'!H29))</f>
        <v>409</v>
      </c>
      <c r="H76" s="142" t="str">
        <f>IF(AND('A-18'!H172="-",'A-10'!I29="-"),"-",SUM('A-18'!H172,'A-10'!I29))</f>
        <v>-</v>
      </c>
      <c r="I76" s="142">
        <f>IF(AND('A-18'!I172="-",'A-10'!K29="-"),"-",SUM('A-18'!I172,'A-10'!K29))</f>
        <v>3252</v>
      </c>
      <c r="K76" s="142" t="str">
        <f>'A-18'!K172</f>
        <v>-</v>
      </c>
      <c r="L76" s="142" t="str">
        <f>IF(AND('A-18'!L172="-",'A-10'!M29="-"),"-",SUM('A-18'!L172,'A-10'!M29))</f>
        <v>-</v>
      </c>
      <c r="M76" s="142" t="str">
        <f>IF(AND('A-18'!M172="-",'A-10'!N29="-"),"-",SUM('A-18'!M172,'A-10'!N29))</f>
        <v>-</v>
      </c>
      <c r="N76" s="142">
        <f>IF(AND('A-18'!N172="-",'A-10'!O29="-"),"-",SUM('A-18'!N172,'A-10'!O29))</f>
        <v>7636</v>
      </c>
      <c r="O76" s="142">
        <f>IF(AND('A-18'!O172="-",'A-10'!P29="-"),"-",SUM('A-18'!O172,'A-10'!P29))</f>
        <v>12845</v>
      </c>
      <c r="P76" s="142">
        <f>IF(AND('A-18'!P172="-",'A-10'!Q29="-"),"-",SUM('A-18'!P172,'A-10'!Q29))</f>
        <v>6646</v>
      </c>
      <c r="Q76" s="142" t="str">
        <f>IF(AND('A-18'!Q172="-",'A-10'!R29="-"),"-",SUM('A-18'!Q172,'A-10'!R29))</f>
        <v>-</v>
      </c>
      <c r="R76" s="142">
        <f>IF(AND('A-18'!R172="-",'A-10'!T29="-"),"-",SUM('A-18'!R172,'A-10'!S29))</f>
        <v>27127</v>
      </c>
      <c r="S76" s="17"/>
      <c r="T76" s="17"/>
    </row>
    <row r="77" spans="1:20" ht="11.25" customHeight="1">
      <c r="A77" s="99">
        <v>2000</v>
      </c>
      <c r="B77" s="142" t="str">
        <f>IF(AND('A-18'!B173="-",'A-10'!C30="-"),"-",SUM('A-18'!B173,'A-10'!C30))</f>
        <v>-</v>
      </c>
      <c r="C77" s="142" t="str">
        <f>IF(AND('A-18'!C173="-",'A-10'!D30="-"),"-",SUM('A-18'!C173,'A-10'!D30))</f>
        <v>-</v>
      </c>
      <c r="D77" s="142" t="str">
        <f>IF(AND('A-18'!D173="-",'A-10'!E30="-"),"-",SUM('A-18'!D173,'A-10'!E30))</f>
        <v>-</v>
      </c>
      <c r="E77" s="142">
        <f>IF(AND('A-18'!E173="-",'A-10'!F30="-"),"-",SUM('A-18'!E173,'A-10'!F30))</f>
        <v>1183</v>
      </c>
      <c r="F77" s="142">
        <f>IF(AND('A-18'!F173="-",'A-10'!G30="-"),"-",SUM('A-18'!F173,'A-10'!G30))</f>
        <v>1129</v>
      </c>
      <c r="G77" s="142" t="str">
        <f>IF(AND('A-18'!G173="-",'A-10'!H30="-"),"-",SUM('A-18'!G173,'A-10'!H30))</f>
        <v>-</v>
      </c>
      <c r="H77" s="142" t="str">
        <f>IF(AND('A-18'!H173="-",'A-10'!I30="-"),"-",SUM('A-18'!H173,'A-10'!I30))</f>
        <v>-</v>
      </c>
      <c r="I77" s="142">
        <f>IF(AND('A-18'!I173="-",'A-10'!K30="-"),"-",SUM('A-18'!I173,'A-10'!K30))</f>
        <v>2312</v>
      </c>
      <c r="K77" s="142" t="str">
        <f>'A-18'!K173</f>
        <v>-</v>
      </c>
      <c r="L77" s="142" t="str">
        <f>IF(AND('A-18'!L173="-",'A-10'!M30="-"),"-",SUM('A-18'!L173,'A-10'!M30))</f>
        <v>-</v>
      </c>
      <c r="M77" s="142" t="str">
        <f>IF(AND('A-18'!M173="-",'A-10'!N30="-"),"-",SUM('A-18'!M173,'A-10'!N30))</f>
        <v>-</v>
      </c>
      <c r="N77" s="142">
        <f>IF(AND('A-18'!N173="-",'A-10'!O30="-"),"-",SUM('A-18'!N173,'A-10'!O30))</f>
        <v>18206</v>
      </c>
      <c r="O77" s="142">
        <f>IF(AND('A-18'!O173="-",'A-10'!P30="-"),"-",SUM('A-18'!O173,'A-10'!P30))</f>
        <v>21369</v>
      </c>
      <c r="P77" s="142" t="str">
        <f>IF(AND('A-18'!P173="-",'A-10'!Q30="-"),"-",SUM('A-18'!P173,'A-10'!Q30))</f>
        <v>-</v>
      </c>
      <c r="Q77" s="142" t="str">
        <f>IF(AND('A-18'!Q173="-",'A-10'!R30="-"),"-",SUM('A-18'!Q173,'A-10'!R30))</f>
        <v>-</v>
      </c>
      <c r="R77" s="142">
        <f>IF(AND('A-18'!R173="-",'A-10'!T30="-"),"-",SUM('A-18'!R173,'A-10'!S30))</f>
        <v>39575</v>
      </c>
      <c r="S77" s="17"/>
      <c r="T77" s="17"/>
    </row>
    <row r="78" spans="1:20" ht="11.25" customHeight="1">
      <c r="A78" s="99">
        <v>2001</v>
      </c>
      <c r="B78" s="142" t="str">
        <f>IF(AND('A-18'!B174="-",'A-10'!C31="-"),"-",SUM('A-18'!B174,'A-10'!C31))</f>
        <v>-</v>
      </c>
      <c r="C78" s="142" t="str">
        <f>IF(AND('A-18'!C174="-",'A-10'!D31="-"),"-",SUM('A-18'!C174,'A-10'!D31))</f>
        <v>-</v>
      </c>
      <c r="D78" s="142" t="str">
        <f>IF(AND('A-18'!D174="-",'A-10'!E31="-"),"-",SUM('A-18'!D174,'A-10'!E31))</f>
        <v>-</v>
      </c>
      <c r="E78" s="142">
        <f>IF(AND('A-18'!E174="-",'A-10'!F31="-"),"-",SUM('A-18'!E174,'A-10'!F31))</f>
        <v>3253</v>
      </c>
      <c r="F78" s="142">
        <f>IF(AND('A-18'!F174="-",'A-10'!G31="-"),"-",SUM('A-18'!F174,'A-10'!G31))</f>
        <v>3778</v>
      </c>
      <c r="G78" s="142">
        <f>IF(AND('A-18'!G174="-",'A-10'!H31="-"),"-",SUM('A-18'!G174,'A-10'!H31))</f>
        <v>709</v>
      </c>
      <c r="H78" s="142" t="str">
        <f>IF(AND('A-18'!H174="-",'A-10'!I31="-"),"-",SUM('A-18'!H174,'A-10'!I31))</f>
        <v>-</v>
      </c>
      <c r="I78" s="142">
        <f>IF(AND('A-18'!I174="-",'A-10'!K31="-"),"-",SUM('A-18'!I174,'A-10'!K31))</f>
        <v>7740</v>
      </c>
      <c r="K78" s="142" t="str">
        <f>'A-18'!K174</f>
        <v>-</v>
      </c>
      <c r="L78" s="142" t="str">
        <f>IF(AND('A-18'!L174="-",'A-10'!M31="-"),"-",SUM('A-18'!L174,'A-10'!M31))</f>
        <v>-</v>
      </c>
      <c r="M78" s="142" t="str">
        <f>IF(AND('A-18'!M174="-",'A-10'!N31="-"),"-",SUM('A-18'!M174,'A-10'!N31))</f>
        <v>-</v>
      </c>
      <c r="N78" s="142">
        <f>IF(AND('A-18'!N174="-",'A-10'!O31="-"),"-",SUM('A-18'!N174,'A-10'!O31))</f>
        <v>45862</v>
      </c>
      <c r="O78" s="142">
        <f>IF(AND('A-18'!O174="-",'A-10'!P31="-"),"-",SUM('A-18'!O174,'A-10'!P31))</f>
        <v>56349</v>
      </c>
      <c r="P78" s="142">
        <f>IF(AND('A-18'!P174="-",'A-10'!Q31="-"),"-",SUM('A-18'!P174,'A-10'!Q31))</f>
        <v>14457</v>
      </c>
      <c r="Q78" s="142" t="str">
        <f>IF(AND('A-18'!Q174="-",'A-10'!R31="-"),"-",SUM('A-18'!Q174,'A-10'!R31))</f>
        <v>-</v>
      </c>
      <c r="R78" s="142">
        <f>IF(AND('A-18'!R174="-",'A-10'!T31="-"),"-",SUM('A-18'!R174,'A-10'!S31))</f>
        <v>116668</v>
      </c>
      <c r="S78" s="17"/>
      <c r="T78" s="17"/>
    </row>
    <row r="79" spans="1:20" ht="11.25" customHeight="1">
      <c r="A79" s="99">
        <v>2002</v>
      </c>
      <c r="B79" s="142" t="str">
        <f>IF(AND('A-18'!B175="-",'A-10'!C32="-"),"-",SUM('A-18'!B175,'A-10'!C32))</f>
        <v>-</v>
      </c>
      <c r="C79" s="142">
        <f>IF(AND('A-18'!C175="-",'A-10'!D32="-"),"-",SUM('A-18'!C175,'A-10'!D32))</f>
        <v>86</v>
      </c>
      <c r="D79" s="142">
        <f>IF(AND('A-18'!D175="-",'A-10'!E32="-"),"-",SUM('A-18'!D175,'A-10'!E32))</f>
        <v>2274</v>
      </c>
      <c r="E79" s="142">
        <f>IF(AND('A-18'!E175="-",'A-10'!F32="-"),"-",SUM('A-18'!E175,'A-10'!F32))</f>
        <v>4920</v>
      </c>
      <c r="F79" s="142">
        <f>IF(AND('A-18'!F175="-",'A-10'!G32="-"),"-",SUM('A-18'!F175,'A-10'!G32))</f>
        <v>3398</v>
      </c>
      <c r="G79" s="142">
        <f>IF(AND('A-18'!G175="-",'A-10'!H32="-"),"-",SUM('A-18'!G175,'A-10'!H32))</f>
        <v>105</v>
      </c>
      <c r="H79" s="142">
        <f>IF(AND('A-18'!H175="-",'A-10'!I32="-"),"-",SUM('A-18'!H175,'A-10'!I32))</f>
        <v>3</v>
      </c>
      <c r="I79" s="142">
        <f>IF(AND('A-18'!I175="-",'A-10'!K32="-"),"-",SUM('A-18'!I175,'A-10'!K32))</f>
        <v>10786</v>
      </c>
      <c r="K79" s="142" t="str">
        <f>'A-18'!K175</f>
        <v>-</v>
      </c>
      <c r="L79" s="142" t="str">
        <f>IF(AND('A-18'!L175="-",'A-10'!M32="-"),"-",SUM('A-18'!L175,'A-10'!M32))</f>
        <v>-</v>
      </c>
      <c r="M79" s="142">
        <f>IF(AND('A-18'!M175="-",'A-10'!N32="-"),"-",SUM('A-18'!M175,'A-10'!N32))</f>
        <v>30</v>
      </c>
      <c r="N79" s="142">
        <f>IF(AND('A-18'!N175="-",'A-10'!O32="-"),"-",SUM('A-18'!N175,'A-10'!O32))</f>
        <v>14568</v>
      </c>
      <c r="O79" s="142">
        <f>IF(AND('A-18'!O175="-",'A-10'!P32="-"),"-",SUM('A-18'!O175,'A-10'!P32))</f>
        <v>32527</v>
      </c>
      <c r="P79" s="142">
        <f>IF(AND('A-18'!P175="-",'A-10'!Q32="-"),"-",SUM('A-18'!P175,'A-10'!Q32))</f>
        <v>12283</v>
      </c>
      <c r="Q79" s="142" t="str">
        <f>IF(AND('A-18'!Q175="-",'A-10'!R32="-"),"-",SUM('A-18'!Q175,'A-10'!R32))</f>
        <v>-</v>
      </c>
      <c r="R79" s="142">
        <f>IF(AND('A-18'!R175="-",'A-10'!T32="-"),"-",SUM('A-18'!R175,'A-10'!S32))</f>
        <v>59408</v>
      </c>
      <c r="S79" s="17"/>
      <c r="T79" s="17"/>
    </row>
    <row r="80" spans="1:20" ht="11.25" customHeight="1">
      <c r="A80" s="99">
        <v>2003</v>
      </c>
      <c r="B80" s="142" t="str">
        <f>IF(AND('A-18'!B176="-",'A-10'!C33="-"),"-",SUM('A-18'!B176,'A-10'!C33))</f>
        <v>-</v>
      </c>
      <c r="C80" s="142" t="str">
        <f>IF(AND('A-18'!C176="-",'A-10'!D33="-"),"-",SUM('A-18'!C176,'A-10'!D33))</f>
        <v>-</v>
      </c>
      <c r="D80" s="142">
        <f>IF(AND('A-18'!D176="-",'A-10'!E33="-"),"-",SUM('A-18'!D176,'A-10'!E33))</f>
        <v>52</v>
      </c>
      <c r="E80" s="142">
        <f>IF(AND('A-18'!E176="-",'A-10'!F33="-"),"-",SUM('A-18'!E176,'A-10'!F33))</f>
        <v>2044</v>
      </c>
      <c r="F80" s="142">
        <f>IF(AND('A-18'!F176="-",'A-10'!G33="-"),"-",SUM('A-18'!F176,'A-10'!G33))</f>
        <v>5220</v>
      </c>
      <c r="G80" s="142">
        <f>IF(AND('A-18'!G176="-",'A-10'!H33="-"),"-",SUM('A-18'!G176,'A-10'!H33))</f>
        <v>798</v>
      </c>
      <c r="H80" s="142" t="str">
        <f>IF(AND('A-18'!H176="-",'A-10'!I33="-"),"-",SUM('A-18'!H176,'A-10'!I33))</f>
        <v>-</v>
      </c>
      <c r="I80" s="142">
        <f>IF(AND('A-18'!I176="-",'A-10'!K33="-"),"-",SUM('A-18'!I176,'A-10'!K33))</f>
        <v>8114</v>
      </c>
      <c r="K80" s="142" t="str">
        <f>'A-18'!K176</f>
        <v>-</v>
      </c>
      <c r="L80" s="142" t="str">
        <f>IF(AND('A-18'!L176="-",'A-10'!M33="-"),"-",SUM('A-18'!L176,'A-10'!M33))</f>
        <v>-</v>
      </c>
      <c r="M80" s="142">
        <f>IF(AND('A-18'!M176="-",'A-10'!N33="-"),"-",SUM('A-18'!M176,'A-10'!N33))</f>
        <v>655</v>
      </c>
      <c r="N80" s="142">
        <f>IF(AND('A-18'!N176="-",'A-10'!O33="-"),"-",SUM('A-18'!N176,'A-10'!O33))</f>
        <v>32596</v>
      </c>
      <c r="O80" s="142">
        <f>IF(AND('A-18'!O176="-",'A-10'!P33="-"),"-",SUM('A-18'!O176,'A-10'!P33))</f>
        <v>63648</v>
      </c>
      <c r="P80" s="142">
        <f>IF(AND('A-18'!P176="-",'A-10'!Q33="-"),"-",SUM('A-18'!P176,'A-10'!Q33))</f>
        <v>9545</v>
      </c>
      <c r="Q80" s="142" t="str">
        <f>IF(AND('A-18'!Q176="-",'A-10'!R33="-"),"-",SUM('A-18'!Q176,'A-10'!R33))</f>
        <v>-</v>
      </c>
      <c r="R80" s="142">
        <f>IF(AND('A-18'!R176="-",'A-10'!T33="-"),"-",SUM('A-18'!R176,'A-10'!S33))</f>
        <v>106444</v>
      </c>
      <c r="S80" s="17"/>
      <c r="T80" s="17"/>
    </row>
    <row r="81" spans="1:20" ht="11.25" customHeight="1">
      <c r="A81" s="99">
        <v>2004</v>
      </c>
      <c r="B81" s="142" t="str">
        <f>IF(AND('A-18'!B177="-",'A-10'!C34="-"),"-",SUM('A-18'!B177,'A-10'!C34))</f>
        <v>-</v>
      </c>
      <c r="C81" s="142" t="str">
        <f>IF(AND('A-18'!C177="-",'A-10'!D34="-"),"-",SUM('A-18'!C177,'A-10'!D34))</f>
        <v>-</v>
      </c>
      <c r="D81" s="142">
        <f>IF(AND('A-18'!D177="-",'A-10'!E34="-"),"-",SUM('A-18'!D177,'A-10'!E34))</f>
        <v>47</v>
      </c>
      <c r="E81" s="142">
        <f>IF(AND('A-18'!E177="-",'A-10'!F34="-"),"-",SUM('A-18'!E177,'A-10'!F34))</f>
        <v>1068</v>
      </c>
      <c r="F81" s="142">
        <f>IF(AND('A-18'!F177="-",'A-10'!G34="-"),"-",SUM('A-18'!F177,'A-10'!G34))</f>
        <v>5465</v>
      </c>
      <c r="G81" s="142">
        <f>IF(AND('A-18'!G177="-",'A-10'!H34="-"),"-",SUM('A-18'!G177,'A-10'!H34))</f>
        <v>1825</v>
      </c>
      <c r="H81" s="142" t="str">
        <f>IF(AND('A-18'!H177="-",'A-10'!I34="-"),"-",SUM('A-18'!H177,'A-10'!I34))</f>
        <v>-</v>
      </c>
      <c r="I81" s="142">
        <f>IF(AND('A-18'!I177="-",'A-10'!K34="-"),"-",SUM('A-18'!I177,'A-10'!K34))</f>
        <v>8405</v>
      </c>
      <c r="K81" s="142" t="str">
        <f>'A-18'!K177</f>
        <v>-</v>
      </c>
      <c r="L81" s="142" t="str">
        <f>IF(AND('A-18'!L177="-",'A-10'!M34="-"),"-",SUM('A-18'!L177,'A-10'!M34))</f>
        <v>-</v>
      </c>
      <c r="M81" s="142">
        <f>IF(AND('A-18'!M177="-",'A-10'!N34="-"),"-",SUM('A-18'!M177,'A-10'!N34))</f>
        <v>1303</v>
      </c>
      <c r="N81" s="142">
        <f>IF(AND('A-18'!N177="-",'A-10'!O34="-"),"-",SUM('A-18'!N177,'A-10'!O34))</f>
        <v>23786</v>
      </c>
      <c r="O81" s="142">
        <f>IF(AND('A-18'!O177="-",'A-10'!P34="-"),"-",SUM('A-18'!O177,'A-10'!P34))</f>
        <v>40641</v>
      </c>
      <c r="P81" s="142">
        <f>IF(AND('A-18'!P177="-",'A-10'!Q34="-"),"-",SUM('A-18'!P177,'A-10'!Q34))</f>
        <v>7805</v>
      </c>
      <c r="Q81" s="142" t="str">
        <f>IF(AND('A-18'!Q177="-",'A-10'!R34="-"),"-",SUM('A-18'!Q177,'A-10'!R34))</f>
        <v>-</v>
      </c>
      <c r="R81" s="142">
        <f>IF(AND('A-18'!R177="-",'A-10'!T34="-"),"-",SUM('A-18'!R177,'A-10'!S34))</f>
        <v>73535</v>
      </c>
      <c r="S81" s="17"/>
      <c r="T81" s="17"/>
    </row>
    <row r="82" spans="1:20" ht="11.25" customHeight="1">
      <c r="A82" s="99">
        <v>2005</v>
      </c>
      <c r="B82" s="142" t="str">
        <f>IF(AND('A-18'!B178="-",'A-10'!C35="-"),"-",SUM('A-18'!B178,'A-10'!C35))</f>
        <v>-</v>
      </c>
      <c r="C82" s="142" t="str">
        <f>IF(AND('A-18'!C178="-",'A-10'!D35="-"),"-",SUM('A-18'!C178,'A-10'!D35))</f>
        <v>-</v>
      </c>
      <c r="D82" s="142" t="str">
        <f>IF(AND('A-18'!D178="-",'A-10'!E35="-"),"-",SUM('A-18'!D178,'A-10'!E35))</f>
        <v>-</v>
      </c>
      <c r="E82" s="142">
        <f>IF(AND('A-18'!E178="-",'A-10'!F35="-"),"-",SUM('A-18'!E178,'A-10'!F35))</f>
        <v>1655</v>
      </c>
      <c r="F82" s="142">
        <f>IF(AND('A-18'!F178="-",'A-10'!G35="-"),"-",SUM('A-18'!F178,'A-10'!G35))</f>
        <v>9639</v>
      </c>
      <c r="G82" s="142">
        <f>IF(AND('A-18'!G178="-",'A-10'!H35="-"),"-",SUM('A-18'!G178,'A-10'!H35))</f>
        <v>1902</v>
      </c>
      <c r="H82" s="142" t="str">
        <f>IF(AND('A-18'!H178="-",'A-10'!I35="-"),"-",SUM('A-18'!H178,'A-10'!I35))</f>
        <v>-</v>
      </c>
      <c r="I82" s="142">
        <f>IF(AND('A-18'!I178="-",'A-10'!K35="-"),"-",SUM('A-18'!I178,'A-10'!K35))</f>
        <v>13196</v>
      </c>
      <c r="J82" s="52"/>
      <c r="K82" s="142" t="str">
        <f>'A-18'!K178</f>
        <v>-</v>
      </c>
      <c r="L82" s="142" t="str">
        <f>IF(AND('A-18'!L178="-",'A-10'!M35="-"),"-",SUM('A-18'!L178,'A-10'!M35))</f>
        <v>-</v>
      </c>
      <c r="M82" s="142" t="str">
        <f>IF(AND('A-18'!M178="-",'A-10'!N35="-"),"-",SUM('A-18'!M178,'A-10'!N35))</f>
        <v>-</v>
      </c>
      <c r="N82" s="142">
        <f>IF(AND('A-18'!N178="-",'A-10'!O35="-"),"-",SUM('A-18'!N178,'A-10'!O35))</f>
        <v>9165</v>
      </c>
      <c r="O82" s="142">
        <f>IF(AND('A-18'!O178="-",'A-10'!P35="-"),"-",SUM('A-18'!O178,'A-10'!P35))</f>
        <v>23403</v>
      </c>
      <c r="P82" s="142">
        <f>IF(AND('A-18'!P178="-",'A-10'!Q35="-"),"-",SUM('A-18'!P178,'A-10'!Q35))</f>
        <v>6122</v>
      </c>
      <c r="Q82" s="142" t="str">
        <f>IF(AND('A-18'!Q178="-",'A-10'!R35="-"),"-",SUM('A-18'!Q178,'A-10'!R35))</f>
        <v>-</v>
      </c>
      <c r="R82" s="142">
        <f>IF(AND('A-18'!R178="-",'A-10'!T35="-"),"-",SUM('A-18'!R178,'A-10'!S35))</f>
        <v>38690</v>
      </c>
      <c r="S82" s="17"/>
      <c r="T82" s="17"/>
    </row>
    <row r="83" spans="1:20" ht="11.25" customHeight="1">
      <c r="A83" s="99">
        <v>2006</v>
      </c>
      <c r="B83" s="142" t="str">
        <f>IF(AND('A-18'!B179="-",'A-10'!C36="-"),"-",SUM('A-18'!B179,'A-10'!C36))</f>
        <v>-</v>
      </c>
      <c r="C83" s="142" t="str">
        <f>IF(AND('A-18'!C179="-",'A-10'!D36="-"),"-",SUM('A-18'!C179,'A-10'!D36))</f>
        <v>-</v>
      </c>
      <c r="D83" s="142" t="str">
        <f>IF(AND('A-18'!D179="-",'A-10'!E36="-"),"-",SUM('A-18'!D179,'A-10'!E36))</f>
        <v>-</v>
      </c>
      <c r="E83" s="142">
        <f>IF(AND('A-18'!E179="-",'A-10'!F36="-"),"-",SUM('A-18'!E179,'A-10'!F36))</f>
        <v>558.88</v>
      </c>
      <c r="F83" s="142">
        <f>IF(AND('A-18'!F179="-",'A-10'!G36="-"),"-",SUM('A-18'!F179,'A-10'!G36))</f>
        <v>1517.61</v>
      </c>
      <c r="G83" s="142">
        <f>IF(AND('A-18'!G179="-",'A-10'!H36="-"),"-",SUM('A-18'!G179,'A-10'!H36))</f>
        <v>197.6</v>
      </c>
      <c r="H83" s="142" t="str">
        <f>IF(AND('A-18'!H179="-",'A-10'!I36="-"),"-",SUM('A-18'!H179,'A-10'!I36))</f>
        <v>-</v>
      </c>
      <c r="I83" s="142">
        <f>IF(AND('A-18'!I179="-",'A-10'!K36="-"),"-",SUM('A-18'!I179,'A-10'!K36))</f>
        <v>2274.0899999999997</v>
      </c>
      <c r="K83" s="142" t="str">
        <f>'A-18'!K179</f>
        <v>-</v>
      </c>
      <c r="L83" s="142" t="str">
        <f>IF(AND('A-18'!L179="-",'A-10'!M36="-"),"-",SUM('A-18'!L179,'A-10'!M36))</f>
        <v>-</v>
      </c>
      <c r="M83" s="142" t="str">
        <f>IF(AND('A-18'!M179="-",'A-10'!N36="-"),"-",SUM('A-18'!M179,'A-10'!N36))</f>
        <v>-</v>
      </c>
      <c r="N83" s="142">
        <f>IF(AND('A-18'!N179="-",'A-10'!O36="-"),"-",SUM('A-18'!N179,'A-10'!O36))</f>
        <v>8148.81</v>
      </c>
      <c r="O83" s="142">
        <f>IF(AND('A-18'!O179="-",'A-10'!P36="-"),"-",SUM('A-18'!O179,'A-10'!P36))</f>
        <v>15782.37</v>
      </c>
      <c r="P83" s="142">
        <f>IF(AND('A-18'!P179="-",'A-10'!Q36="-"),"-",SUM('A-18'!P179,'A-10'!Q36))</f>
        <v>881.1</v>
      </c>
      <c r="Q83" s="142" t="str">
        <f>IF(AND('A-18'!Q179="-",'A-10'!R36="-"),"-",SUM('A-18'!Q179,'A-10'!R36))</f>
        <v>-</v>
      </c>
      <c r="R83" s="142">
        <f>IF(AND('A-18'!R179="-",'A-10'!T36="-"),"-",SUM('A-18'!R179,'A-10'!S36))</f>
        <v>24812.28</v>
      </c>
      <c r="S83" s="17"/>
      <c r="T83" s="17"/>
    </row>
    <row r="84" spans="1:20" ht="11.25" customHeight="1">
      <c r="A84" s="99">
        <v>2007</v>
      </c>
      <c r="B84" s="142" t="str">
        <f>IF(AND('A-18'!B180="-",'A-10'!C37="-"),"-",SUM('A-18'!B180,'A-10'!C37))</f>
        <v>-</v>
      </c>
      <c r="C84" s="142" t="str">
        <f>IF(AND('A-18'!C180="-",'A-10'!D37="-"),"-",SUM('A-18'!C180,'A-10'!D37))</f>
        <v>-</v>
      </c>
      <c r="D84" s="142" t="str">
        <f>IF(AND('A-18'!D180="-",'A-10'!E37="-"),"-",SUM('A-18'!D180,'A-10'!E37))</f>
        <v>-</v>
      </c>
      <c r="E84" s="142">
        <f>IF(AND('A-18'!E180="-",'A-10'!F37="-"),"-",SUM('A-18'!E180,'A-10'!F37))</f>
        <v>373.33</v>
      </c>
      <c r="F84" s="142">
        <f>IF(AND('A-18'!F180="-",'A-10'!G37="-"),"-",SUM('A-18'!F180,'A-10'!G37))</f>
        <v>1681.83</v>
      </c>
      <c r="G84" s="142">
        <f>IF(AND('A-18'!G180="-",'A-10'!H37="-"),"-",SUM('A-18'!G180,'A-10'!H37))</f>
        <v>169.99</v>
      </c>
      <c r="H84" s="142" t="str">
        <f>IF(AND('A-18'!H180="-",'A-10'!I37="-"),"-",SUM('A-18'!H180,'A-10'!I37))</f>
        <v>-</v>
      </c>
      <c r="I84" s="142">
        <f>IF(AND('A-18'!I180="-",'A-10'!K37="-"),"-",SUM('A-18'!I180,'A-10'!K37))</f>
        <v>2225.1499999999996</v>
      </c>
      <c r="J84" s="52"/>
      <c r="K84" s="142" t="str">
        <f>'A-18'!K180</f>
        <v>-</v>
      </c>
      <c r="L84" s="142" t="str">
        <f>IF(AND('A-18'!L180="-",'A-10'!M37="-"),"-",SUM('A-18'!L180,'A-10'!M37))</f>
        <v>-</v>
      </c>
      <c r="M84" s="142" t="str">
        <f>IF(AND('A-18'!M180="-",'A-10'!N37="-"),"-",SUM('A-18'!M180,'A-10'!N37))</f>
        <v>-</v>
      </c>
      <c r="N84" s="142">
        <f>IF(AND('A-18'!N180="-",'A-10'!O37="-"),"-",SUM('A-18'!N180,'A-10'!O37))</f>
        <v>15982.39</v>
      </c>
      <c r="O84" s="142">
        <f>IF(AND('A-18'!O180="-",'A-10'!P37="-"),"-",SUM('A-18'!O180,'A-10'!P37))</f>
        <v>46366.19</v>
      </c>
      <c r="P84" s="142">
        <f>IF(AND('A-18'!P180="-",'A-10'!Q37="-"),"-",SUM('A-18'!P180,'A-10'!Q37))</f>
        <v>3467.04</v>
      </c>
      <c r="Q84" s="142" t="str">
        <f>IF(AND('A-18'!Q180="-",'A-10'!R37="-"),"-",SUM('A-18'!Q180,'A-10'!R37))</f>
        <v>-</v>
      </c>
      <c r="R84" s="142">
        <f>IF(AND('A-18'!R180="-",'A-10'!T37="-"),"-",SUM('A-18'!R180,'A-10'!S37))</f>
        <v>65815.62</v>
      </c>
      <c r="S84" s="17"/>
      <c r="T84" s="17"/>
    </row>
    <row r="85" spans="1:20" ht="11.25" customHeight="1">
      <c r="A85" s="99">
        <v>2008</v>
      </c>
      <c r="B85" s="142" t="str">
        <f>IF(AND('A-18'!B181="-",'A-10'!C38="-"),"-",SUM('A-18'!B181,'A-10'!C38))</f>
        <v>-</v>
      </c>
      <c r="C85" s="142">
        <f>IF(AND('A-18'!C181="-",'A-10'!D38="-"),"-",SUM('A-18'!C181,'A-10'!D38))</f>
        <v>17</v>
      </c>
      <c r="D85" s="142">
        <f>IF(AND('A-18'!D181="-",'A-10'!E38="-"),"-",SUM('A-18'!D181,'A-10'!E38))</f>
        <v>626.02</v>
      </c>
      <c r="E85" s="142">
        <f>IF(AND('A-18'!E181="-",'A-10'!F38="-"),"-",SUM('A-18'!E181,'A-10'!F38))</f>
        <v>1508.76</v>
      </c>
      <c r="F85" s="142">
        <f>IF(AND('A-18'!F181="-",'A-10'!G38="-"),"-",SUM('A-18'!F181,'A-10'!G38))</f>
        <v>1563.29</v>
      </c>
      <c r="G85" s="142" t="str">
        <f>IF(AND('A-18'!G181="-",'A-10'!H38="-"),"-",SUM('A-18'!G181,'A-10'!H38))</f>
        <v>-</v>
      </c>
      <c r="H85" s="142" t="str">
        <f>IF(AND('A-18'!H181="-",'A-10'!I38="-"),"-",SUM('A-18'!H181,'A-10'!I38))</f>
        <v>-</v>
      </c>
      <c r="I85" s="142">
        <f>IF(AND('A-18'!I181="-",'A-10'!K38="-"),"-",SUM('A-18'!I181,'A-10'!K38))</f>
        <v>3715.0699999999997</v>
      </c>
      <c r="J85" s="52"/>
      <c r="K85" s="142" t="str">
        <f>'A-18'!K181</f>
        <v>-</v>
      </c>
      <c r="L85" s="142" t="str">
        <f>IF(AND('A-18'!L181="-",'A-10'!M38="-"),"-",SUM('A-18'!L181,'A-10'!M38))</f>
        <v>-</v>
      </c>
      <c r="M85" s="142">
        <f>IF(AND('A-18'!M181="-",'A-10'!N38="-"),"-",SUM('A-18'!M181,'A-10'!N38))</f>
        <v>431.24</v>
      </c>
      <c r="N85" s="142">
        <f>IF(AND('A-18'!N181="-",'A-10'!O38="-"),"-",SUM('A-18'!N181,'A-10'!O38))</f>
        <v>4445.07</v>
      </c>
      <c r="O85" s="142">
        <f>IF(AND('A-18'!O181="-",'A-10'!P38="-"),"-",SUM('A-18'!O181,'A-10'!P38))</f>
        <v>5954.65</v>
      </c>
      <c r="P85" s="142" t="str">
        <f>IF(AND('A-18'!P181="-",'A-10'!Q38="-"),"-",SUM('A-18'!P181,'A-10'!Q38))</f>
        <v>-</v>
      </c>
      <c r="Q85" s="142" t="str">
        <f>IF(AND('A-18'!Q181="-",'A-10'!R38="-"),"-",SUM('A-18'!Q181,'A-10'!R38))</f>
        <v>-</v>
      </c>
      <c r="R85" s="142">
        <f>IF(AND('A-18'!R181="-",'A-10'!T38="-"),"-",SUM('A-18'!R181,'A-10'!S38))</f>
        <v>10830.96</v>
      </c>
      <c r="S85" s="17"/>
      <c r="T85" s="17"/>
    </row>
    <row r="86" spans="1:20" ht="11.25" customHeight="1">
      <c r="A86" s="99">
        <v>2009</v>
      </c>
      <c r="B86" s="142" t="str">
        <f>IF(AND('A-18'!B182="-",'A-10'!C39="-"),"-",SUM('A-18'!B182,'A-10'!C39))</f>
        <v>-</v>
      </c>
      <c r="C86" s="142" t="str">
        <f>IF(AND('A-18'!C182="-",'A-10'!D39="-"),"-",SUM('A-18'!C182,'A-10'!D39))</f>
        <v>-</v>
      </c>
      <c r="D86" s="142">
        <f>IF(AND('A-18'!D182="-",'A-10'!E39="-"),"-",SUM('A-18'!D182,'A-10'!E39))</f>
        <v>13.78</v>
      </c>
      <c r="E86" s="142">
        <f>IF(AND('A-18'!E182="-",'A-10'!F39="-"),"-",SUM('A-18'!E182,'A-10'!F39))</f>
        <v>1347.26</v>
      </c>
      <c r="F86" s="142">
        <f>IF(AND('A-18'!F182="-",'A-10'!G39="-"),"-",SUM('A-18'!F182,'A-10'!G39))</f>
        <v>3781.55</v>
      </c>
      <c r="G86" s="142">
        <f>IF(AND('A-18'!G182="-",'A-10'!H39="-"),"-",SUM('A-18'!G182,'A-10'!H39))</f>
        <v>39.370000000000005</v>
      </c>
      <c r="H86" s="142" t="str">
        <f>IF(AND('A-18'!H182="-",'A-10'!I39="-"),"-",SUM('A-18'!H182,'A-10'!I39))</f>
        <v>-</v>
      </c>
      <c r="I86" s="142">
        <f>IF(AND('A-18'!I182="-",'A-10'!K39="-"),"-",SUM('A-18'!I182,'A-10'!K39))</f>
        <v>5181.96</v>
      </c>
      <c r="J86" s="52"/>
      <c r="K86" s="142" t="str">
        <f>'A-18'!K182</f>
        <v>-</v>
      </c>
      <c r="L86" s="142" t="str">
        <f>IF(AND('A-18'!L182="-",'A-10'!M39="-"),"-",SUM('A-18'!L182,'A-10'!M39))</f>
        <v>-</v>
      </c>
      <c r="M86" s="142">
        <f>IF(AND('A-18'!M182="-",'A-10'!N39="-"),"-",SUM('A-18'!M182,'A-10'!N39))</f>
        <v>472.42</v>
      </c>
      <c r="N86" s="142">
        <f>IF(AND('A-18'!N182="-",'A-10'!O39="-"),"-",SUM('A-18'!N182,'A-10'!O39))</f>
        <v>26839.31</v>
      </c>
      <c r="O86" s="142">
        <f>IF(AND('A-18'!O182="-",'A-10'!P39="-"),"-",SUM('A-18'!O182,'A-10'!P39))</f>
        <v>54536.55</v>
      </c>
      <c r="P86" s="142">
        <f>IF(AND('A-18'!P182="-",'A-10'!Q39="-"),"-",SUM('A-18'!P182,'A-10'!Q39))</f>
        <v>1962.82</v>
      </c>
      <c r="Q86" s="142" t="str">
        <f>IF(AND('A-18'!Q182="-",'A-10'!R39="-"),"-",SUM('A-18'!Q182,'A-10'!R39))</f>
        <v>-</v>
      </c>
      <c r="R86" s="142">
        <f>IF(AND('A-18'!R182="-",'A-10'!T39="-"),"-",SUM('A-18'!R182,'A-10'!S39))</f>
        <v>83811.100000000006</v>
      </c>
      <c r="S86" s="17"/>
      <c r="T86" s="17"/>
    </row>
    <row r="87" spans="1:20" ht="11.25" customHeight="1">
      <c r="A87" s="99">
        <v>2010</v>
      </c>
      <c r="B87" s="142" t="str">
        <f>IF(AND('A-18'!B183="-",'A-10'!C40="-"),"-",SUM('A-18'!B183,'A-10'!C40))</f>
        <v>-</v>
      </c>
      <c r="C87" s="142" t="str">
        <f>IF(AND('A-18'!C183="-",'A-10'!D40="-"),"-",SUM('A-18'!C183,'A-10'!D40))</f>
        <v>-</v>
      </c>
      <c r="D87" s="142">
        <f>IF(AND('A-18'!D183="-",'A-10'!E40="-"),"-",SUM('A-18'!D183,'A-10'!E40))</f>
        <v>143.38</v>
      </c>
      <c r="E87" s="142">
        <f>IF(AND('A-18'!E183="-",'A-10'!F40="-"),"-",SUM('A-18'!E183,'A-10'!F40))</f>
        <v>1873.13</v>
      </c>
      <c r="F87" s="142">
        <f>IF(AND('A-18'!F183="-",'A-10'!G40="-"),"-",SUM('A-18'!F183,'A-10'!G40))</f>
        <v>4908.91</v>
      </c>
      <c r="G87" s="142">
        <f>IF(AND('A-18'!G183="-",'A-10'!H40="-"),"-",SUM('A-18'!G183,'A-10'!H40))</f>
        <v>295.40999999999997</v>
      </c>
      <c r="H87" s="142" t="str">
        <f>IF(AND('A-18'!H183="-",'A-10'!I40="-"),"-",SUM('A-18'!H183,'A-10'!I40))</f>
        <v>-</v>
      </c>
      <c r="I87" s="142">
        <f>IF(AND('A-18'!I183="-",'A-10'!K40="-"),"-",SUM('A-18'!I183,'A-10'!K40))</f>
        <v>7220.83</v>
      </c>
      <c r="J87" s="52"/>
      <c r="K87" s="142" t="str">
        <f>'A-18'!K183</f>
        <v>-</v>
      </c>
      <c r="L87" s="142" t="str">
        <f>IF(AND('A-18'!L183="-",'A-10'!M40="-"),"-",SUM('A-18'!L183,'A-10'!M40))</f>
        <v>-</v>
      </c>
      <c r="M87" s="142">
        <f>IF(AND('A-18'!M183="-",'A-10'!N40="-"),"-",SUM('A-18'!M183,'A-10'!N40))</f>
        <v>13.06</v>
      </c>
      <c r="N87" s="142">
        <f>IF(AND('A-18'!N183="-",'A-10'!O40="-"),"-",SUM('A-18'!N183,'A-10'!O40))</f>
        <v>7909</v>
      </c>
      <c r="O87" s="142">
        <f>IF(AND('A-18'!O183="-",'A-10'!P40="-"),"-",SUM('A-18'!O183,'A-10'!P40))</f>
        <v>16128.5</v>
      </c>
      <c r="P87" s="142">
        <f>IF(AND('A-18'!P183="-",'A-10'!Q40="-"),"-",SUM('A-18'!P183,'A-10'!Q40))</f>
        <v>862.79</v>
      </c>
      <c r="Q87" s="142" t="str">
        <f>IF(AND('A-18'!Q183="-",'A-10'!R40="-"),"-",SUM('A-18'!Q183,'A-10'!R40))</f>
        <v>-</v>
      </c>
      <c r="R87" s="142">
        <f>IF(AND('A-18'!R183="-",'A-10'!T40="-"),"-",SUM('A-18'!R183,'A-10'!S40))</f>
        <v>24913.350000000002</v>
      </c>
      <c r="S87" s="17"/>
      <c r="T87" s="17"/>
    </row>
    <row r="88" spans="1:20" ht="11.25" customHeight="1">
      <c r="A88" s="99">
        <v>2011</v>
      </c>
      <c r="B88" s="142" t="str">
        <f>IF(AND('A-18'!B184="-",'A-10'!C41="-"),"-",SUM('A-18'!B184,'A-10'!C41))</f>
        <v>-</v>
      </c>
      <c r="C88" s="142" t="str">
        <f>IF(AND('A-18'!C184="-",'A-10'!D41="-"),"-",SUM('A-18'!C184,'A-10'!D41))</f>
        <v>-</v>
      </c>
      <c r="D88" s="142">
        <f>IF(AND('A-18'!D184="-",'A-10'!E41="-"),"-",SUM('A-18'!D184,'A-10'!E41))</f>
        <v>480.79999999999995</v>
      </c>
      <c r="E88" s="142">
        <f>IF(AND('A-18'!E184="-",'A-10'!F41="-"),"-",SUM('A-18'!E184,'A-10'!F41))</f>
        <v>955.27</v>
      </c>
      <c r="F88" s="142">
        <f>IF(AND('A-18'!F184="-",'A-10'!G41="-"),"-",SUM('A-18'!F184,'A-10'!G41))</f>
        <v>5370.77</v>
      </c>
      <c r="G88" s="142">
        <f>IF(AND('A-18'!G184="-",'A-10'!H41="-"),"-",SUM('A-18'!G184,'A-10'!H41))</f>
        <v>408.4</v>
      </c>
      <c r="H88" s="142" t="str">
        <f>IF(AND('A-18'!H184="-",'A-10'!I41="-"),"-",SUM('A-18'!H184,'A-10'!I41))</f>
        <v>-</v>
      </c>
      <c r="I88" s="142">
        <f>IF(AND('A-18'!I184="-",'A-10'!K41="-"),"-",SUM('A-18'!I184,'A-10'!K41))</f>
        <v>7215.24</v>
      </c>
      <c r="J88" s="52"/>
      <c r="K88" s="142" t="str">
        <f>'A-18'!K184</f>
        <v>-</v>
      </c>
      <c r="L88" s="142" t="str">
        <f>IF(AND('A-18'!L184="-",'A-10'!M41="-"),"-",SUM('A-18'!L184,'A-10'!M41))</f>
        <v>-</v>
      </c>
      <c r="M88" s="142">
        <f>IF(AND('A-18'!M184="-",'A-10'!N41="-"),"-",SUM('A-18'!M184,'A-10'!N41))</f>
        <v>466.87</v>
      </c>
      <c r="N88" s="142">
        <f>IF(AND('A-18'!N184="-",'A-10'!O41="-"),"-",SUM('A-18'!N184,'A-10'!O41))</f>
        <v>6084.81</v>
      </c>
      <c r="O88" s="142">
        <f>IF(AND('A-18'!O184="-",'A-10'!P41="-"),"-",SUM('A-18'!O184,'A-10'!P41))</f>
        <v>16810.129999999997</v>
      </c>
      <c r="P88" s="142">
        <f>IF(AND('A-18'!P184="-",'A-10'!Q41="-"),"-",SUM('A-18'!P184,'A-10'!Q41))</f>
        <v>3318.64</v>
      </c>
      <c r="Q88" s="142" t="str">
        <f>IF(AND('A-18'!Q184="-",'A-10'!R41="-"),"-",SUM('A-18'!Q184,'A-10'!R41))</f>
        <v>-</v>
      </c>
      <c r="R88" s="142">
        <f>IF(AND('A-18'!R184="-",'A-10'!T41="-"),"-",SUM('A-18'!R184,'A-10'!S41))</f>
        <v>26680.449999999997</v>
      </c>
      <c r="S88" s="17"/>
      <c r="T88" s="17"/>
    </row>
    <row r="89" spans="1:20" ht="11.25" customHeight="1">
      <c r="A89" s="99">
        <v>2012</v>
      </c>
      <c r="B89" s="142" t="str">
        <f>IF(AND('A-18'!B185="-",'A-10'!C42="-"),"-",SUM('A-18'!B185,'A-10'!C42))</f>
        <v>-</v>
      </c>
      <c r="C89" s="142" t="str">
        <f>IF(AND('A-18'!C185="-",'A-10'!D42="-"),"-",SUM('A-18'!C185,'A-10'!D42))</f>
        <v>-</v>
      </c>
      <c r="D89" s="142">
        <f>IF(AND('A-18'!D185="-",'A-10'!E42="-"),"-",SUM('A-18'!D185,'A-10'!E42))</f>
        <v>2370.88</v>
      </c>
      <c r="E89" s="142">
        <f>IF(AND('A-18'!E185="-",'A-10'!F42="-"),"-",SUM('A-18'!E185,'A-10'!F42))</f>
        <v>2849.82</v>
      </c>
      <c r="F89" s="142">
        <f>IF(AND('A-18'!F185="-",'A-10'!G42="-"),"-",SUM('A-18'!F185,'A-10'!G42))</f>
        <v>3122.02</v>
      </c>
      <c r="G89" s="142">
        <f>IF(AND('A-18'!G185="-",'A-10'!H42="-"),"-",SUM('A-18'!G185,'A-10'!H42))</f>
        <v>774.78</v>
      </c>
      <c r="H89" s="142" t="str">
        <f>IF(AND('A-18'!H185="-",'A-10'!I42="-"),"-",SUM('A-18'!H185,'A-10'!I42))</f>
        <v>-</v>
      </c>
      <c r="I89" s="142">
        <f>IF(AND('A-18'!I185="-",'A-10'!K42="-"),"-",SUM('A-18'!I185,'A-10'!K42))</f>
        <v>9117.5</v>
      </c>
      <c r="J89" s="52"/>
      <c r="K89" s="142" t="str">
        <f>'A-18'!K185</f>
        <v>-</v>
      </c>
      <c r="L89" s="142" t="str">
        <f>IF(AND('A-18'!L185="-",'A-10'!M42="-"),"-",SUM('A-18'!L185,'A-10'!M42))</f>
        <v>-</v>
      </c>
      <c r="M89" s="142">
        <f>IF(AND('A-18'!M185="-",'A-10'!N42="-"),"-",SUM('A-18'!M185,'A-10'!N42))</f>
        <v>282.33000000000004</v>
      </c>
      <c r="N89" s="142">
        <f>IF(AND('A-18'!N185="-",'A-10'!O42="-"),"-",SUM('A-18'!N185,'A-10'!O42))</f>
        <v>3671.76</v>
      </c>
      <c r="O89" s="142">
        <f>IF(AND('A-18'!O185="-",'A-10'!P42="-"),"-",SUM('A-18'!O185,'A-10'!P42))</f>
        <v>5161.29</v>
      </c>
      <c r="P89" s="142">
        <f>IF(AND('A-18'!P185="-",'A-10'!Q42="-"),"-",SUM('A-18'!P185,'A-10'!Q42))</f>
        <v>2275.8200000000002</v>
      </c>
      <c r="Q89" s="142" t="str">
        <f>IF(AND('A-18'!Q185="-",'A-10'!R42="-"),"-",SUM('A-18'!Q185,'A-10'!R42))</f>
        <v>-</v>
      </c>
      <c r="R89" s="142">
        <f>IF(AND('A-18'!R185="-",'A-10'!T42="-"),"-",SUM('A-18'!R185,'A-10'!S42))</f>
        <v>11391.2</v>
      </c>
      <c r="S89" s="17"/>
      <c r="T89" s="17"/>
    </row>
    <row r="90" spans="1:20" ht="11.25" customHeight="1">
      <c r="A90" s="99">
        <v>2013</v>
      </c>
      <c r="B90" s="142" t="str">
        <f>IF(AND('A-18'!B186="-",'A-10'!C43="-"),"-",SUM('A-18'!B186,'A-10'!C43))</f>
        <v>-</v>
      </c>
      <c r="C90" s="142" t="str">
        <f>IF(AND('A-18'!C186="-",'A-10'!D43="-"),"-",SUM('A-18'!C186,'A-10'!D43))</f>
        <v>-</v>
      </c>
      <c r="D90" s="142">
        <f>IF(AND('A-18'!D186="-",'A-10'!E43="-"),"-",SUM('A-18'!D186,'A-10'!E43))</f>
        <v>2030.81</v>
      </c>
      <c r="E90" s="142">
        <f>IF(AND('A-18'!E186="-",'A-10'!F43="-"),"-",SUM('A-18'!E186,'A-10'!F43))</f>
        <v>1679.35</v>
      </c>
      <c r="F90" s="142">
        <f>IF(AND('A-18'!F186="-",'A-10'!G43="-"),"-",SUM('A-18'!F186,'A-10'!G43))</f>
        <v>4075.89</v>
      </c>
      <c r="G90" s="142">
        <f>IF(AND('A-18'!G186="-",'A-10'!H43="-"),"-",SUM('A-18'!G186,'A-10'!H43))</f>
        <v>760.46</v>
      </c>
      <c r="H90" s="142" t="str">
        <f>IF(AND('A-18'!H186="-",'A-10'!I43="-"),"-",SUM('A-18'!H186,'A-10'!I43))</f>
        <v>-</v>
      </c>
      <c r="I90" s="142">
        <f>IF(AND('A-18'!I186="-",'A-10'!K43="-"),"-",SUM('A-18'!I186,'A-10'!K43))</f>
        <v>8546.5099999999984</v>
      </c>
      <c r="J90" s="52"/>
      <c r="K90" s="142" t="str">
        <f>'A-18'!K186</f>
        <v>-</v>
      </c>
      <c r="L90" s="142" t="str">
        <f>IF(AND('A-18'!L186="-",'A-10'!M43="-"),"-",SUM('A-18'!L186,'A-10'!M43))</f>
        <v>-</v>
      </c>
      <c r="M90" s="142">
        <f>IF(AND('A-18'!M186="-",'A-10'!N43="-"),"-",SUM('A-18'!M186,'A-10'!N43))</f>
        <v>3429.53</v>
      </c>
      <c r="N90" s="142">
        <f>IF(AND('A-18'!N186="-",'A-10'!O43="-"),"-",SUM('A-18'!N186,'A-10'!O43))</f>
        <v>4998.0300000000007</v>
      </c>
      <c r="O90" s="142">
        <f>IF(AND('A-18'!O186="-",'A-10'!P43="-"),"-",SUM('A-18'!O186,'A-10'!P43))</f>
        <v>10305.43</v>
      </c>
      <c r="P90" s="142">
        <f>IF(AND('A-18'!P186="-",'A-10'!Q43="-"),"-",SUM('A-18'!P186,'A-10'!Q43))</f>
        <v>1739.13</v>
      </c>
      <c r="Q90" s="142" t="str">
        <f>IF(AND('A-18'!Q186="-",'A-10'!R43="-"),"-",SUM('A-18'!Q186,'A-10'!R43))</f>
        <v>-</v>
      </c>
      <c r="R90" s="142">
        <f>IF(AND('A-18'!R186="-",'A-10'!T43="-"),"-",SUM('A-18'!R186,'A-10'!S43))</f>
        <v>20472.120000000003</v>
      </c>
      <c r="S90" s="17"/>
      <c r="T90" s="17"/>
    </row>
    <row r="91" spans="1:20" ht="11.25" customHeight="1">
      <c r="A91" s="99">
        <v>2014</v>
      </c>
      <c r="B91" s="142" t="str">
        <f>IF(AND('A-18'!B187="-",'A-10'!C44="-"),"-",SUM('A-18'!B187,'A-10'!C44))</f>
        <v>-</v>
      </c>
      <c r="C91" s="142">
        <f>IF(AND('A-18'!C187="-",'A-10'!D44="-"),"-",SUM('A-18'!C187,'A-10'!D44))</f>
        <v>65.289999999999992</v>
      </c>
      <c r="D91" s="142">
        <f>IF(AND('A-18'!D187="-",'A-10'!E44="-"),"-",SUM('A-18'!D187,'A-10'!E44))</f>
        <v>1066.74</v>
      </c>
      <c r="E91" s="142">
        <f>IF(AND('A-18'!E187="-",'A-10'!F44="-"),"-",SUM('A-18'!E187,'A-10'!F44))</f>
        <v>3198.42</v>
      </c>
      <c r="F91" s="142">
        <f>IF(AND('A-18'!F187="-",'A-10'!G44="-"),"-",SUM('A-18'!F187,'A-10'!G44))</f>
        <v>6420.59</v>
      </c>
      <c r="G91" s="142">
        <f>IF(AND('A-18'!G187="-",'A-10'!H44="-"),"-",SUM('A-18'!G187,'A-10'!H44))</f>
        <v>596.04999999999995</v>
      </c>
      <c r="H91" s="142" t="str">
        <f>IF(AND('A-18'!H187="-",'A-10'!I44="-"),"-",SUM('A-18'!H187,'A-10'!I44))</f>
        <v>-</v>
      </c>
      <c r="I91" s="142">
        <f>IF(AND('A-18'!I187="-",'A-10'!K44="-"),"-",SUM('A-18'!I187,'A-10'!K44))</f>
        <v>11347.09</v>
      </c>
      <c r="J91" s="52"/>
      <c r="K91" s="142" t="str">
        <f>'A-18'!K187</f>
        <v>-</v>
      </c>
      <c r="L91" s="142" t="str">
        <f>IF(AND('A-18'!L187="-",'A-10'!M44="-"),"-",SUM('A-18'!L187,'A-10'!M44))</f>
        <v>-</v>
      </c>
      <c r="M91" s="142">
        <f>IF(AND('A-18'!M187="-",'A-10'!N44="-"),"-",SUM('A-18'!M187,'A-10'!N44))</f>
        <v>2614.4</v>
      </c>
      <c r="N91" s="142">
        <f>IF(AND('A-18'!N187="-",'A-10'!O44="-"),"-",SUM('A-18'!N187,'A-10'!O44))</f>
        <v>19862.5</v>
      </c>
      <c r="O91" s="142">
        <f>IF(AND('A-18'!O187="-",'A-10'!P44="-"),"-",SUM('A-18'!O187,'A-10'!P44))</f>
        <v>38532.28</v>
      </c>
      <c r="P91" s="142">
        <f>IF(AND('A-18'!P187="-",'A-10'!Q44="-"),"-",SUM('A-18'!P187,'A-10'!Q44))</f>
        <v>14062.560000000001</v>
      </c>
      <c r="Q91" s="142" t="str">
        <f>IF(AND('A-18'!Q187="-",'A-10'!R44="-"),"-",SUM('A-18'!Q187,'A-10'!R44))</f>
        <v>-</v>
      </c>
      <c r="R91" s="142">
        <f>IF(AND('A-18'!R187="-",'A-10'!T44="-"),"-",SUM('A-18'!R187,'A-10'!S44))</f>
        <v>75071.740000000005</v>
      </c>
      <c r="S91" s="17"/>
      <c r="T91" s="17"/>
    </row>
    <row r="92" spans="1:20" ht="11.25" customHeight="1">
      <c r="A92" s="99">
        <v>2015</v>
      </c>
      <c r="B92" s="142" t="str">
        <f>IF(AND('A-18'!B188="-",'A-10'!C45="-"),"-",SUM('A-18'!B188,'A-10'!C45))</f>
        <v>-</v>
      </c>
      <c r="C92" s="142">
        <f>IF(AND('A-18'!C188="-",'A-10'!D45="-"),"-",SUM('A-18'!C188,'A-10'!D45))</f>
        <v>89.15</v>
      </c>
      <c r="D92" s="142">
        <f>IF(AND('A-18'!D188="-",'A-10'!E45="-"),"-",SUM('A-18'!D188,'A-10'!E45))</f>
        <v>1216.44</v>
      </c>
      <c r="E92" s="142">
        <f>IF(AND('A-18'!E188="-",'A-10'!F45="-"),"-",SUM('A-18'!E188,'A-10'!F45))</f>
        <v>1853.2</v>
      </c>
      <c r="F92" s="142">
        <f>IF(AND('A-18'!F188="-",'A-10'!G45="-"),"-",SUM('A-18'!F188,'A-10'!G45))</f>
        <v>5866.08</v>
      </c>
      <c r="G92" s="142">
        <f>IF(AND('A-18'!G188="-",'A-10'!H45="-"),"-",SUM('A-18'!G188,'A-10'!H45))</f>
        <v>3145.83</v>
      </c>
      <c r="H92" s="142" t="str">
        <f>IF(AND('A-18'!H188="-",'A-10'!I45="-"),"-",SUM('A-18'!H188,'A-10'!I45))</f>
        <v>-</v>
      </c>
      <c r="I92" s="142">
        <f>IF(AND('A-18'!I188="-",'A-10'!K45="-"),"-",SUM('A-18'!I188,'A-10'!K45))</f>
        <v>12170.7</v>
      </c>
      <c r="J92" s="52"/>
      <c r="K92" s="142" t="str">
        <f>'A-18'!K188</f>
        <v>-</v>
      </c>
      <c r="L92" s="142" t="str">
        <f>IF(AND('A-18'!L188="-",'A-10'!M45="-"),"-",SUM('A-18'!L188,'A-10'!M45))</f>
        <v>-</v>
      </c>
      <c r="M92" s="142">
        <f>IF(AND('A-18'!M188="-",'A-10'!N45="-"),"-",SUM('A-18'!M188,'A-10'!N45))</f>
        <v>3339.26</v>
      </c>
      <c r="N92" s="142">
        <f>IF(AND('A-18'!N188="-",'A-10'!O45="-"),"-",SUM('A-18'!N188,'A-10'!O45))</f>
        <v>16089.02</v>
      </c>
      <c r="O92" s="142">
        <f>IF(AND('A-18'!O188="-",'A-10'!P45="-"),"-",SUM('A-18'!O188,'A-10'!P45))</f>
        <v>18628.28</v>
      </c>
      <c r="P92" s="142">
        <f>IF(AND('A-18'!P188="-",'A-10'!Q45="-"),"-",SUM('A-18'!P188,'A-10'!Q45))</f>
        <v>6494.17</v>
      </c>
      <c r="Q92" s="142" t="str">
        <f>IF(AND('A-18'!Q188="-",'A-10'!R45="-"),"-",SUM('A-18'!Q188,'A-10'!R45))</f>
        <v>-</v>
      </c>
      <c r="R92" s="142">
        <f>IF(AND('A-18'!R188="-",'A-10'!T45="-"),"-",SUM('A-18'!R188,'A-10'!S45))</f>
        <v>44550.73</v>
      </c>
      <c r="S92" s="17"/>
      <c r="T92" s="17"/>
    </row>
    <row r="93" spans="1:20" ht="11.25" customHeight="1">
      <c r="A93" s="99">
        <v>2016</v>
      </c>
      <c r="B93" s="142" t="str">
        <f>IF(AND('A-18'!B189="-",'A-10'!C46="-"),"-",SUM('A-18'!B189,'A-10'!C46))</f>
        <v>-</v>
      </c>
      <c r="C93" s="142" t="str">
        <f>IF(AND('A-18'!C189="-",'A-10'!D46="-"),"-",SUM('A-18'!C189,'A-10'!D46))</f>
        <v>-</v>
      </c>
      <c r="D93" s="142" t="str">
        <f>IF(AND('A-18'!D189="-",'A-10'!E46="-"),"-",SUM('A-18'!D189,'A-10'!E46))</f>
        <v>-</v>
      </c>
      <c r="E93" s="142">
        <f>IF(AND('A-18'!E189="-",'A-10'!F46="-"),"-",SUM('A-18'!E189,'A-10'!F46))</f>
        <v>2741.35</v>
      </c>
      <c r="F93" s="142">
        <f>IF(AND('A-18'!F189="-",'A-10'!G46="-"),"-",SUM('A-18'!F189,'A-10'!G46))</f>
        <v>3255.18</v>
      </c>
      <c r="G93" s="142" t="str">
        <f>IF(AND('A-18'!G189="-",'A-10'!H46="-"),"-",SUM('A-18'!G189,'A-10'!H46))</f>
        <v>-</v>
      </c>
      <c r="H93" s="142" t="str">
        <f>IF(AND('A-18'!H189="-",'A-10'!I46="-"),"-",SUM('A-18'!H189,'A-10'!I46))</f>
        <v>-</v>
      </c>
      <c r="I93" s="142">
        <f>IF(AND('A-18'!I189="-",'A-10'!K46="-"),"-",SUM('A-18'!I189,'A-10'!K46))</f>
        <v>5996.53</v>
      </c>
      <c r="J93" s="52"/>
      <c r="K93" s="142" t="str">
        <f>'A-18'!K189</f>
        <v>-</v>
      </c>
      <c r="L93" s="142" t="str">
        <f>IF(AND('A-18'!L189="-",'A-10'!M46="-"),"-",SUM('A-18'!L189,'A-10'!M46))</f>
        <v>-</v>
      </c>
      <c r="M93" s="142" t="str">
        <f>IF(AND('A-18'!M189="-",'A-10'!N46="-"),"-",SUM('A-18'!M189,'A-10'!N46))</f>
        <v>-</v>
      </c>
      <c r="N93" s="142">
        <f>IF(AND('A-18'!N189="-",'A-10'!O46="-"),"-",SUM('A-18'!N189,'A-10'!O46))</f>
        <v>5606.76</v>
      </c>
      <c r="O93" s="142">
        <f>IF(AND('A-18'!O189="-",'A-10'!P46="-"),"-",SUM('A-18'!O189,'A-10'!P46))</f>
        <v>13004.77</v>
      </c>
      <c r="P93" s="142" t="str">
        <f>IF(AND('A-18'!P189="-",'A-10'!Q46="-"),"-",SUM('A-18'!P189,'A-10'!Q46))</f>
        <v>-</v>
      </c>
      <c r="Q93" s="142" t="str">
        <f>IF(AND('A-18'!Q189="-",'A-10'!R46="-"),"-",SUM('A-18'!Q189,'A-10'!R46))</f>
        <v>-</v>
      </c>
      <c r="R93" s="142">
        <f>IF(AND('A-18'!R189="-",'A-10'!T46="-"),"-",SUM('A-18'!R189,'A-10'!S46))</f>
        <v>18611.53</v>
      </c>
      <c r="S93" s="17"/>
      <c r="T93" s="17"/>
    </row>
    <row r="94" spans="1:20" ht="11.25" customHeight="1">
      <c r="A94" s="99">
        <v>2017</v>
      </c>
      <c r="B94" s="142" t="str">
        <f>IF(AND('A-18'!B190="-",'A-10'!C47="-"),"-",SUM('A-18'!B190,'A-10'!C47))</f>
        <v>-</v>
      </c>
      <c r="C94" s="142" t="str">
        <f>IF(AND('A-18'!C190="-",'A-10'!D47="-"),"-",SUM('A-18'!C190,'A-10'!D47))</f>
        <v>-</v>
      </c>
      <c r="D94" s="142">
        <f>IF(AND('A-18'!D190="-",'A-10'!E47="-"),"-",SUM('A-18'!D190,'A-10'!E47))</f>
        <v>648.87</v>
      </c>
      <c r="E94" s="142">
        <f>IF(AND('A-18'!E190="-",'A-10'!F47="-"),"-",SUM('A-18'!E190,'A-10'!F47))</f>
        <v>2758</v>
      </c>
      <c r="F94" s="142">
        <f>IF(AND('A-18'!F190="-",'A-10'!G47="-"),"-",SUM('A-18'!F190,'A-10'!G47))</f>
        <v>4164.4699999999993</v>
      </c>
      <c r="G94" s="142" t="str">
        <f>IF(AND('A-18'!G190="-",'A-10'!H47="-"),"-",SUM('A-18'!G190,'A-10'!H47))</f>
        <v>-</v>
      </c>
      <c r="H94" s="142" t="str">
        <f>IF(AND('A-18'!H190="-",'A-10'!I47="-"),"-",SUM('A-18'!H190,'A-10'!I47))</f>
        <v>-</v>
      </c>
      <c r="I94" s="142">
        <f>IF(AND('A-18'!I190="-",'A-10'!K47="-"),"-",SUM('A-18'!I190,'A-10'!K47))</f>
        <v>7571.34</v>
      </c>
      <c r="J94" s="52"/>
      <c r="K94" s="142" t="str">
        <f>'A-18'!K190</f>
        <v>-</v>
      </c>
      <c r="L94" s="142" t="str">
        <f>IF(AND('A-18'!L190="-",'A-10'!M47="-"),"-",SUM('A-18'!L190,'A-10'!M47))</f>
        <v>-</v>
      </c>
      <c r="M94" s="142">
        <f>IF(AND('A-18'!M190="-",'A-10'!N47="-"),"-",SUM('A-18'!M190,'A-10'!N47))</f>
        <v>42.64</v>
      </c>
      <c r="N94" s="142">
        <f>IF(AND('A-18'!N190="-",'A-10'!O47="-"),"-",SUM('A-18'!N190,'A-10'!O47))</f>
        <v>7972.99</v>
      </c>
      <c r="O94" s="142">
        <f>IF(AND('A-18'!O190="-",'A-10'!P47="-"),"-",SUM('A-18'!O190,'A-10'!P47))</f>
        <v>13608.99</v>
      </c>
      <c r="P94" s="142" t="str">
        <f>IF(AND('A-18'!P190="-",'A-10'!Q47="-"),"-",SUM('A-18'!P190,'A-10'!Q47))</f>
        <v>-</v>
      </c>
      <c r="Q94" s="142" t="str">
        <f>IF(AND('A-18'!Q190="-",'A-10'!R47="-"),"-",SUM('A-18'!Q190,'A-10'!R47))</f>
        <v>-</v>
      </c>
      <c r="R94" s="142">
        <f>IF(AND('A-18'!R190="-",'A-10'!T47="-"),"-",SUM('A-18'!R190,'A-10'!S47))</f>
        <v>21624.62</v>
      </c>
      <c r="S94" s="17"/>
      <c r="T94" s="17"/>
    </row>
    <row r="95" spans="1:20" ht="11.25" customHeight="1">
      <c r="A95" s="99">
        <v>2018</v>
      </c>
      <c r="B95" s="142" t="str">
        <f>IF(AND('A-18'!B191="-",'A-10'!C48="-"),"-",SUM('A-18'!B191,'A-10'!C48))</f>
        <v>-</v>
      </c>
      <c r="C95" s="142" t="str">
        <f>IF(AND('A-18'!C191="-",'A-10'!D48="-"),"-",SUM('A-18'!C191,'A-10'!D48))</f>
        <v>-</v>
      </c>
      <c r="D95" s="142">
        <f>IF(AND('A-18'!D191="-",'A-10'!E48="-"),"-",SUM('A-18'!D191,'A-10'!E48))</f>
        <v>575.13</v>
      </c>
      <c r="E95" s="142">
        <f>IF(AND('A-18'!E191="-",'A-10'!F48="-"),"-",SUM('A-18'!E191,'A-10'!F48))</f>
        <v>656.53</v>
      </c>
      <c r="F95" s="142">
        <f>IF(AND('A-18'!F191="-",'A-10'!G48="-"),"-",SUM('A-18'!F191,'A-10'!G48))</f>
        <v>1003</v>
      </c>
      <c r="G95" s="142">
        <f>IF(AND('A-18'!G191="-",'A-10'!H48="-"),"-",SUM('A-18'!G191,'A-10'!H48))</f>
        <v>23.18</v>
      </c>
      <c r="H95" s="142" t="str">
        <f>IF(AND('A-18'!H191="-",'A-10'!I48="-"),"-",SUM('A-18'!H191,'A-10'!I48))</f>
        <v>-</v>
      </c>
      <c r="I95" s="142">
        <f>IF(AND('A-18'!I191="-",'A-10'!K48="-"),"-",SUM('A-18'!I191,'A-10'!K48))</f>
        <v>2257.84</v>
      </c>
      <c r="K95" s="142" t="str">
        <f>'A-18'!K191</f>
        <v>-</v>
      </c>
      <c r="L95" s="142" t="str">
        <f>IF(AND('A-18'!L191="-",'A-10'!M48="-"),"-",SUM('A-18'!L191,'A-10'!M48))</f>
        <v>-</v>
      </c>
      <c r="M95" s="142">
        <f>IF(AND('A-18'!M191="-",'A-10'!N48="-"),"-",SUM('A-18'!M191,'A-10'!N48))</f>
        <v>294.3</v>
      </c>
      <c r="N95" s="142">
        <f>IF(AND('A-18'!N191="-",'A-10'!O48="-"),"-",SUM('A-18'!N191,'A-10'!O48))</f>
        <v>6071.59</v>
      </c>
      <c r="O95" s="142">
        <f>IF(AND('A-18'!O191="-",'A-10'!P48="-"),"-",SUM('A-18'!O191,'A-10'!P48))</f>
        <v>14116.14</v>
      </c>
      <c r="P95" s="142">
        <f>IF(AND('A-18'!P191="-",'A-10'!Q48="-"),"-",SUM('A-18'!P191,'A-10'!Q48))</f>
        <v>93.38</v>
      </c>
      <c r="Q95" s="142" t="str">
        <f>IF(AND('A-18'!Q191="-",'A-10'!R48="-"),"-",SUM('A-18'!Q191,'A-10'!R48))</f>
        <v>-</v>
      </c>
      <c r="R95" s="142">
        <f>IF(AND('A-18'!R191="-",'A-10'!T48="-"),"-",SUM('A-18'!R191,'A-10'!S48))</f>
        <v>20575.409999999996</v>
      </c>
      <c r="S95" s="17"/>
      <c r="T95" s="17"/>
    </row>
    <row r="96" spans="1:20" ht="11.25" customHeight="1">
      <c r="A96" s="99">
        <v>2019</v>
      </c>
      <c r="B96" s="142" t="str">
        <f>IF(AND('A-18'!B192="-",'A-10'!C49="-"),"-",SUM('A-18'!B192,'A-10'!C49))</f>
        <v>-</v>
      </c>
      <c r="C96" s="142" t="str">
        <f>IF(AND('A-18'!C192="-",'A-10'!D49="-"),"-",SUM('A-18'!C192,'A-10'!D49))</f>
        <v>-</v>
      </c>
      <c r="D96" s="142">
        <f>IF(AND('A-18'!D192="-",'A-10'!E49="-"),"-",SUM('A-18'!D192,'A-10'!E49))</f>
        <v>341.22</v>
      </c>
      <c r="E96" s="142">
        <f>IF(AND('A-18'!E192="-",'A-10'!F49="-"),"-",SUM('A-18'!E192,'A-10'!F49))</f>
        <v>2200.9</v>
      </c>
      <c r="F96" s="142">
        <f>IF(AND('A-18'!F192="-",'A-10'!G49="-"),"-",SUM('A-18'!F192,'A-10'!G49))</f>
        <v>1373.26</v>
      </c>
      <c r="G96" s="142">
        <f>IF(AND('A-18'!G192="-",'A-10'!H49="-"),"-",SUM('A-18'!G192,'A-10'!H49))</f>
        <v>122.14</v>
      </c>
      <c r="H96" s="142" t="str">
        <f>IF(AND('A-18'!H192="-",'A-10'!I49="-"),"-",SUM('A-18'!H192,'A-10'!I49))</f>
        <v>-</v>
      </c>
      <c r="I96" s="142">
        <f>IF(AND('A-18'!I192="-",'A-10'!K49="-"),"-",SUM('A-18'!I192,'A-10'!K49))</f>
        <v>4037.52</v>
      </c>
      <c r="K96" s="142" t="str">
        <f>'A-18'!K192</f>
        <v>-</v>
      </c>
      <c r="L96" s="142" t="str">
        <f>IF(AND('A-18'!L192="-",'A-10'!M49="-"),"-",SUM('A-18'!L192,'A-10'!M49))</f>
        <v>-</v>
      </c>
      <c r="M96" s="142">
        <f>IF(AND('A-18'!M192="-",'A-10'!N49="-"),"-",SUM('A-18'!M192,'A-10'!N49))</f>
        <v>5358.51</v>
      </c>
      <c r="N96" s="142">
        <f>IF(AND('A-18'!N192="-",'A-10'!O49="-"),"-",SUM('A-18'!N192,'A-10'!O49))</f>
        <v>20934.419999999998</v>
      </c>
      <c r="O96" s="142">
        <f>IF(AND('A-18'!O192="-",'A-10'!P49="-"),"-",SUM('A-18'!O192,'A-10'!P49))</f>
        <v>25539.97</v>
      </c>
      <c r="P96" s="142">
        <f>IF(AND('A-18'!P192="-",'A-10'!Q49="-"),"-",SUM('A-18'!P192,'A-10'!Q49))</f>
        <v>1642.11</v>
      </c>
      <c r="Q96" s="142" t="str">
        <f>IF(AND('A-18'!Q192="-",'A-10'!R49="-"),"-",SUM('A-18'!Q192,'A-10'!R49))</f>
        <v>-</v>
      </c>
      <c r="R96" s="142">
        <f>IF(AND('A-18'!R192="-",'A-10'!T49="-"),"-",SUM('A-18'!R192,'A-10'!S49))</f>
        <v>53475.01</v>
      </c>
      <c r="S96" s="17"/>
      <c r="T96" s="17"/>
    </row>
    <row r="97" spans="1:20" ht="11.25" customHeight="1">
      <c r="A97" s="99">
        <v>2020</v>
      </c>
      <c r="B97" s="142" t="str">
        <f>IF(AND('A-18'!B193="-",'A-10'!C50="-"),"-",SUM('A-18'!B193,'A-10'!C50))</f>
        <v>-</v>
      </c>
      <c r="C97" s="142" t="str">
        <f>IF(AND('A-18'!C193="-",'A-10'!D50="-"),"-",SUM('A-18'!C193,'A-10'!D50))</f>
        <v>-</v>
      </c>
      <c r="D97" s="142">
        <f>IF(AND('A-18'!D193="-",'A-10'!E50="-"),"-",SUM('A-18'!D193,'A-10'!E50))</f>
        <v>219.1</v>
      </c>
      <c r="E97" s="142">
        <f>IF(AND('A-18'!E193="-",'A-10'!F50="-"),"-",SUM('A-18'!E193,'A-10'!F50))</f>
        <v>606.78</v>
      </c>
      <c r="F97" s="142" t="str">
        <f>IF(AND('A-18'!F193="-",'A-10'!G50="-"),"-",SUM('A-18'!F193,'A-10'!G50))</f>
        <v>-</v>
      </c>
      <c r="G97" s="142" t="str">
        <f>IF(AND('A-18'!G193="-",'A-10'!H50="-"),"-",SUM('A-18'!G193,'A-10'!H50))</f>
        <v>-</v>
      </c>
      <c r="H97" s="142" t="str">
        <f>IF(AND('A-18'!H193="-",'A-10'!I50="-"),"-",SUM('A-18'!H193,'A-10'!I50))</f>
        <v>-</v>
      </c>
      <c r="I97" s="142">
        <f>IF(AND('A-18'!I193="-",'A-10'!K50="-"),"-",SUM('A-18'!I193,'A-10'!K50))</f>
        <v>825.88</v>
      </c>
      <c r="K97" s="142" t="str">
        <f>'A-18'!K193</f>
        <v>-</v>
      </c>
      <c r="L97" s="142" t="str">
        <f>IF(AND('A-18'!L193="-",'A-10'!M50="-"),"-",SUM('A-18'!L193,'A-10'!M50))</f>
        <v>-</v>
      </c>
      <c r="M97" s="142">
        <f>IF(AND('A-18'!M193="-",'A-10'!N50="-"),"-",SUM('A-18'!M193,'A-10'!N50))</f>
        <v>0</v>
      </c>
      <c r="N97" s="142">
        <f>IF(AND('A-18'!N193="-",'A-10'!O50="-"),"-",SUM('A-18'!N193,'A-10'!O50))</f>
        <v>12829.27</v>
      </c>
      <c r="O97" s="142" t="str">
        <f>IF(AND('A-18'!O193="-",'A-10'!P50="-"),"-",SUM('A-18'!O193,'A-10'!P50))</f>
        <v>-</v>
      </c>
      <c r="P97" s="142" t="str">
        <f>IF(AND('A-18'!P193="-",'A-10'!Q50="-"),"-",SUM('A-18'!P193,'A-10'!Q50))</f>
        <v>-</v>
      </c>
      <c r="Q97" s="142" t="str">
        <f>IF(AND('A-18'!Q193="-",'A-10'!R50="-"),"-",SUM('A-18'!Q193,'A-10'!R50))</f>
        <v>-</v>
      </c>
      <c r="R97" s="142">
        <f>IF(AND('A-18'!R193="-",'A-10'!T50="-"),"-",SUM('A-18'!R193,'A-10'!S50))</f>
        <v>12829.27</v>
      </c>
      <c r="S97" s="17"/>
      <c r="T97" s="17"/>
    </row>
    <row r="98" spans="1:20" ht="11.25" customHeight="1">
      <c r="A98" s="99" t="s">
        <v>318</v>
      </c>
      <c r="B98" s="142" t="str">
        <f>IF(AND('A-18'!B194="-",'A-10'!C51="-"),"-",SUM('A-18'!B194,'A-10'!C51))</f>
        <v>-</v>
      </c>
      <c r="C98" s="142" t="str">
        <f>IF(AND('A-18'!C194="-",'A-10'!D51="-"),"-",SUM('A-18'!C194,'A-10'!D51))</f>
        <v>-</v>
      </c>
      <c r="D98" s="142">
        <f>IF(AND('A-18'!D194="-",'A-10'!E51="-"),"-",SUM('A-18'!D194,'A-10'!E51))</f>
        <v>496.16</v>
      </c>
      <c r="E98" s="142">
        <f>IF(AND('A-18'!E194="-",'A-10'!F51="-"),"-",SUM('A-18'!E194,'A-10'!F51))</f>
        <v>1505.87</v>
      </c>
      <c r="F98" s="142">
        <f>IF(AND('A-18'!F194="-",'A-10'!G51="-"),"-",SUM('A-18'!F194,'A-10'!G51))</f>
        <v>4012.87</v>
      </c>
      <c r="G98" s="142" t="str">
        <f>IF(AND('A-18'!G194="-",'A-10'!H51="-"),"-",SUM('A-18'!G194,'A-10'!H51))</f>
        <v>-</v>
      </c>
      <c r="H98" s="142" t="str">
        <f>IF(AND('A-18'!H194="-",'A-10'!I51="-"),"-",SUM('A-18'!H194,'A-10'!I51))</f>
        <v>-</v>
      </c>
      <c r="I98" s="142">
        <f>IF(AND('A-18'!I194="-",'A-10'!K51="-"),"-",SUM('A-18'!I194,'A-10'!K51))</f>
        <v>6014.9</v>
      </c>
      <c r="K98" s="142" t="str">
        <f>'A-18'!K194</f>
        <v>-</v>
      </c>
      <c r="L98" s="142" t="str">
        <f>IF(AND('A-18'!L194="-",'A-10'!M51="-"),"-",SUM('A-18'!L194,'A-10'!M51))</f>
        <v>-</v>
      </c>
      <c r="M98" s="142">
        <f>IF(AND('A-18'!M194="-",'A-10'!N51="-"),"-",SUM('A-18'!M194,'A-10'!N51))</f>
        <v>258.68</v>
      </c>
      <c r="N98" s="142">
        <f>IF(AND('A-18'!N194="-",'A-10'!O51="-"),"-",SUM('A-18'!N194,'A-10'!O51))</f>
        <v>12107.15</v>
      </c>
      <c r="O98" s="142">
        <f>IF(AND('A-18'!O194="-",'A-10'!P51="-"),"-",SUM('A-18'!O194,'A-10'!P51))</f>
        <v>27181.91</v>
      </c>
      <c r="P98" s="142" t="str">
        <f>IF(AND('A-18'!P194="-",'A-10'!Q51="-"),"-",SUM('A-18'!P194,'A-10'!Q51))</f>
        <v>-</v>
      </c>
      <c r="Q98" s="142" t="str">
        <f>IF(AND('A-18'!Q194="-",'A-10'!R51="-"),"-",SUM('A-18'!Q194,'A-10'!R51))</f>
        <v>-</v>
      </c>
      <c r="R98" s="142">
        <f>IF(AND('A-18'!R194="-",'A-10'!T51="-"),"-",SUM('A-18'!R194,'A-10'!S51))</f>
        <v>39547.74</v>
      </c>
      <c r="S98" s="17"/>
      <c r="T98" s="17"/>
    </row>
    <row r="99" spans="1:20" ht="11.25" customHeight="1">
      <c r="S99" s="17"/>
      <c r="T99" s="17"/>
    </row>
    <row r="100" spans="1:20" ht="11.25" customHeight="1">
      <c r="A100" s="97" t="s">
        <v>241</v>
      </c>
      <c r="S100" s="17"/>
      <c r="T100" s="17"/>
    </row>
    <row r="101" spans="1:20" ht="11.25" customHeight="1">
      <c r="A101" s="99">
        <v>1976</v>
      </c>
      <c r="B101" s="142">
        <f t="shared" ref="B101:I110" si="0">IF(AND(B53="-",B5="-"),"-",SUM(B53,B5))</f>
        <v>0</v>
      </c>
      <c r="C101" s="142">
        <f t="shared" si="0"/>
        <v>14779</v>
      </c>
      <c r="D101" s="142">
        <f t="shared" si="0"/>
        <v>57209</v>
      </c>
      <c r="E101" s="142">
        <f t="shared" si="0"/>
        <v>62435</v>
      </c>
      <c r="F101" s="142">
        <f t="shared" si="0"/>
        <v>55649</v>
      </c>
      <c r="G101" s="142">
        <f t="shared" si="0"/>
        <v>23169</v>
      </c>
      <c r="H101" s="142">
        <f t="shared" si="0"/>
        <v>2052</v>
      </c>
      <c r="I101" s="142">
        <f t="shared" si="0"/>
        <v>215297</v>
      </c>
      <c r="K101" s="142">
        <f t="shared" ref="K101:R101" si="1">IF(AND(K53="-",K5="-"),"-",SUM(K53,K5))</f>
        <v>65</v>
      </c>
      <c r="L101" s="142">
        <f t="shared" si="1"/>
        <v>27388</v>
      </c>
      <c r="M101" s="142">
        <f t="shared" si="1"/>
        <v>138681</v>
      </c>
      <c r="N101" s="142">
        <f t="shared" si="1"/>
        <v>342088</v>
      </c>
      <c r="O101" s="142">
        <f t="shared" si="1"/>
        <v>362322</v>
      </c>
      <c r="P101" s="142">
        <f t="shared" si="1"/>
        <v>178880</v>
      </c>
      <c r="Q101" s="142">
        <f t="shared" si="1"/>
        <v>10093</v>
      </c>
      <c r="R101" s="142">
        <f t="shared" si="1"/>
        <v>1059517</v>
      </c>
      <c r="S101" s="17"/>
      <c r="T101" s="17"/>
    </row>
    <row r="102" spans="1:20" ht="11.25" customHeight="1">
      <c r="A102" s="99">
        <v>1977</v>
      </c>
      <c r="B102" s="142">
        <f t="shared" si="0"/>
        <v>4131</v>
      </c>
      <c r="C102" s="142">
        <f t="shared" si="0"/>
        <v>8517</v>
      </c>
      <c r="D102" s="142">
        <f t="shared" si="0"/>
        <v>38891</v>
      </c>
      <c r="E102" s="142">
        <f t="shared" si="0"/>
        <v>39610</v>
      </c>
      <c r="F102" s="142">
        <f t="shared" si="0"/>
        <v>79760</v>
      </c>
      <c r="G102" s="142">
        <f t="shared" si="0"/>
        <v>22279</v>
      </c>
      <c r="H102" s="142">
        <f t="shared" si="0"/>
        <v>1924</v>
      </c>
      <c r="I102" s="142">
        <f t="shared" si="0"/>
        <v>195112</v>
      </c>
      <c r="K102" s="142">
        <f t="shared" ref="K102:R102" si="2">IF(AND(K54="-",K6="-"),"-",SUM(K54,K6))</f>
        <v>359</v>
      </c>
      <c r="L102" s="142">
        <f t="shared" si="2"/>
        <v>21673</v>
      </c>
      <c r="M102" s="142">
        <f t="shared" si="2"/>
        <v>78580</v>
      </c>
      <c r="N102" s="142">
        <f t="shared" si="2"/>
        <v>197460</v>
      </c>
      <c r="O102" s="142">
        <f t="shared" si="2"/>
        <v>178468</v>
      </c>
      <c r="P102" s="142">
        <f t="shared" si="2"/>
        <v>55538</v>
      </c>
      <c r="Q102" s="142">
        <f t="shared" si="2"/>
        <v>5703</v>
      </c>
      <c r="R102" s="142">
        <f t="shared" si="2"/>
        <v>537781</v>
      </c>
      <c r="S102" s="17"/>
      <c r="T102" s="17"/>
    </row>
    <row r="103" spans="1:20" ht="11.25" customHeight="1">
      <c r="A103" s="99">
        <v>1978</v>
      </c>
      <c r="B103" s="142">
        <f t="shared" si="0"/>
        <v>2542</v>
      </c>
      <c r="C103" s="142">
        <f t="shared" si="0"/>
        <v>9455</v>
      </c>
      <c r="D103" s="142">
        <f t="shared" si="0"/>
        <v>35511</v>
      </c>
      <c r="E103" s="142">
        <f t="shared" si="0"/>
        <v>22312</v>
      </c>
      <c r="F103" s="142">
        <f t="shared" si="0"/>
        <v>28100</v>
      </c>
      <c r="G103" s="142">
        <f t="shared" si="0"/>
        <v>4989</v>
      </c>
      <c r="H103" s="142">
        <f t="shared" si="0"/>
        <v>1387</v>
      </c>
      <c r="I103" s="142">
        <f t="shared" si="0"/>
        <v>104296</v>
      </c>
      <c r="K103" s="142">
        <f t="shared" ref="K103:R103" si="3">IF(AND(K55="-",K7="-"),"-",SUM(K55,K7))</f>
        <v>1370</v>
      </c>
      <c r="L103" s="142">
        <f t="shared" si="3"/>
        <v>14545</v>
      </c>
      <c r="M103" s="142">
        <f t="shared" si="3"/>
        <v>125616</v>
      </c>
      <c r="N103" s="142">
        <f t="shared" si="3"/>
        <v>164733</v>
      </c>
      <c r="O103" s="142">
        <f t="shared" si="3"/>
        <v>145036</v>
      </c>
      <c r="P103" s="142">
        <f t="shared" si="3"/>
        <v>74518</v>
      </c>
      <c r="Q103" s="142">
        <f t="shared" si="3"/>
        <v>3730</v>
      </c>
      <c r="R103" s="142">
        <f t="shared" si="3"/>
        <v>529548</v>
      </c>
      <c r="S103" s="17"/>
      <c r="T103" s="17"/>
    </row>
    <row r="104" spans="1:20" ht="11.25" customHeight="1">
      <c r="A104" s="99">
        <v>1979</v>
      </c>
      <c r="B104" s="142">
        <f t="shared" si="0"/>
        <v>504</v>
      </c>
      <c r="C104" s="142">
        <f t="shared" si="0"/>
        <v>7784</v>
      </c>
      <c r="D104" s="142">
        <f t="shared" si="0"/>
        <v>26105</v>
      </c>
      <c r="E104" s="142">
        <f t="shared" si="0"/>
        <v>17330</v>
      </c>
      <c r="F104" s="142">
        <f t="shared" si="0"/>
        <v>30291</v>
      </c>
      <c r="G104" s="142">
        <f t="shared" si="0"/>
        <v>273</v>
      </c>
      <c r="H104" s="142">
        <f t="shared" si="0"/>
        <v>29</v>
      </c>
      <c r="I104" s="142">
        <f t="shared" si="0"/>
        <v>82316</v>
      </c>
      <c r="K104" s="142">
        <f t="shared" ref="K104:R104" si="4">IF(AND(K56="-",K8="-"),"-",SUM(K56,K8))</f>
        <v>408</v>
      </c>
      <c r="L104" s="142">
        <f t="shared" si="4"/>
        <v>8280</v>
      </c>
      <c r="M104" s="142">
        <f t="shared" si="4"/>
        <v>54314</v>
      </c>
      <c r="N104" s="142">
        <f t="shared" si="4"/>
        <v>128965</v>
      </c>
      <c r="O104" s="142">
        <f t="shared" si="4"/>
        <v>133114</v>
      </c>
      <c r="P104" s="142">
        <f t="shared" si="4"/>
        <v>5546</v>
      </c>
      <c r="Q104" s="142">
        <f t="shared" si="4"/>
        <v>767</v>
      </c>
      <c r="R104" s="142">
        <f t="shared" si="4"/>
        <v>331394</v>
      </c>
      <c r="S104" s="17"/>
      <c r="T104" s="17"/>
    </row>
    <row r="105" spans="1:20" ht="11.25" customHeight="1">
      <c r="A105" s="99">
        <v>1980</v>
      </c>
      <c r="B105" s="142" t="str">
        <f t="shared" si="0"/>
        <v>-</v>
      </c>
      <c r="C105" s="142">
        <f t="shared" si="0"/>
        <v>2653</v>
      </c>
      <c r="D105" s="142">
        <f t="shared" si="0"/>
        <v>14630</v>
      </c>
      <c r="E105" s="142">
        <f t="shared" si="0"/>
        <v>23182</v>
      </c>
      <c r="F105" s="142">
        <f t="shared" si="0"/>
        <v>17950</v>
      </c>
      <c r="G105" s="142">
        <f t="shared" si="0"/>
        <v>687</v>
      </c>
      <c r="H105" s="142" t="str">
        <f t="shared" si="0"/>
        <v>-</v>
      </c>
      <c r="I105" s="142">
        <f t="shared" si="0"/>
        <v>59102</v>
      </c>
      <c r="K105" s="142" t="str">
        <f t="shared" ref="K105:R105" si="5">IF(AND(K57="-",K9="-"),"-",SUM(K57,K9))</f>
        <v>-</v>
      </c>
      <c r="L105" s="142">
        <f t="shared" si="5"/>
        <v>26641</v>
      </c>
      <c r="M105" s="142">
        <f t="shared" si="5"/>
        <v>113585</v>
      </c>
      <c r="N105" s="142">
        <f t="shared" si="5"/>
        <v>163208</v>
      </c>
      <c r="O105" s="142">
        <f t="shared" si="5"/>
        <v>110533</v>
      </c>
      <c r="P105" s="142">
        <f t="shared" si="5"/>
        <v>4509</v>
      </c>
      <c r="Q105" s="142">
        <f t="shared" si="5"/>
        <v>44</v>
      </c>
      <c r="R105" s="142">
        <f t="shared" si="5"/>
        <v>418520</v>
      </c>
      <c r="S105" s="17"/>
      <c r="T105" s="17"/>
    </row>
    <row r="106" spans="1:20" ht="11.25" customHeight="1">
      <c r="A106" s="99">
        <v>1981</v>
      </c>
      <c r="B106" s="142">
        <f t="shared" si="0"/>
        <v>138</v>
      </c>
      <c r="C106" s="142">
        <f t="shared" si="0"/>
        <v>2659</v>
      </c>
      <c r="D106" s="142">
        <f t="shared" si="0"/>
        <v>12336</v>
      </c>
      <c r="E106" s="142">
        <f t="shared" si="0"/>
        <v>39867</v>
      </c>
      <c r="F106" s="142">
        <f t="shared" si="0"/>
        <v>39869</v>
      </c>
      <c r="G106" s="142">
        <f t="shared" si="0"/>
        <v>1281</v>
      </c>
      <c r="H106" s="142">
        <f t="shared" si="0"/>
        <v>17</v>
      </c>
      <c r="I106" s="142">
        <f t="shared" si="0"/>
        <v>96167</v>
      </c>
      <c r="K106" s="142">
        <f t="shared" ref="K106:R106" si="6">IF(AND(K58="-",K10="-"),"-",SUM(K58,K10))</f>
        <v>80</v>
      </c>
      <c r="L106" s="142">
        <f t="shared" si="6"/>
        <v>10046</v>
      </c>
      <c r="M106" s="142">
        <f t="shared" si="6"/>
        <v>55747</v>
      </c>
      <c r="N106" s="142">
        <f t="shared" si="6"/>
        <v>102895</v>
      </c>
      <c r="O106" s="142">
        <f t="shared" si="6"/>
        <v>112885</v>
      </c>
      <c r="P106" s="142">
        <f t="shared" si="6"/>
        <v>10205</v>
      </c>
      <c r="Q106" s="142">
        <f t="shared" si="6"/>
        <v>372</v>
      </c>
      <c r="R106" s="142">
        <f t="shared" si="6"/>
        <v>292230</v>
      </c>
      <c r="S106" s="17"/>
      <c r="T106" s="17"/>
    </row>
    <row r="107" spans="1:20" ht="11.25" customHeight="1">
      <c r="A107" s="99">
        <v>1982</v>
      </c>
      <c r="B107" s="142">
        <f t="shared" si="0"/>
        <v>3</v>
      </c>
      <c r="C107" s="142">
        <f t="shared" si="0"/>
        <v>654</v>
      </c>
      <c r="D107" s="142">
        <f t="shared" si="0"/>
        <v>44179</v>
      </c>
      <c r="E107" s="142">
        <f t="shared" si="0"/>
        <v>56724</v>
      </c>
      <c r="F107" s="142">
        <f t="shared" si="0"/>
        <v>13133</v>
      </c>
      <c r="G107" s="142">
        <f t="shared" si="0"/>
        <v>219</v>
      </c>
      <c r="H107" s="142">
        <f t="shared" si="0"/>
        <v>75</v>
      </c>
      <c r="I107" s="142">
        <f t="shared" si="0"/>
        <v>114987</v>
      </c>
      <c r="K107" s="142" t="str">
        <f t="shared" ref="K107:R107" si="7">IF(AND(K59="-",K11="-"),"-",SUM(K59,K11))</f>
        <v>-</v>
      </c>
      <c r="L107" s="142">
        <f t="shared" si="7"/>
        <v>113</v>
      </c>
      <c r="M107" s="142">
        <f t="shared" si="7"/>
        <v>25903</v>
      </c>
      <c r="N107" s="142">
        <f t="shared" si="7"/>
        <v>142887</v>
      </c>
      <c r="O107" s="142">
        <f t="shared" si="7"/>
        <v>58682</v>
      </c>
      <c r="P107" s="142">
        <f t="shared" si="7"/>
        <v>13509</v>
      </c>
      <c r="Q107" s="142">
        <f t="shared" si="7"/>
        <v>903</v>
      </c>
      <c r="R107" s="142">
        <f t="shared" si="7"/>
        <v>241997</v>
      </c>
      <c r="S107" s="17"/>
      <c r="T107" s="17"/>
    </row>
    <row r="108" spans="1:20" ht="11.25" customHeight="1">
      <c r="A108" s="99">
        <v>1983</v>
      </c>
      <c r="B108" s="142">
        <f t="shared" si="0"/>
        <v>117</v>
      </c>
      <c r="C108" s="142">
        <f t="shared" si="0"/>
        <v>867</v>
      </c>
      <c r="D108" s="142">
        <f t="shared" si="0"/>
        <v>25665</v>
      </c>
      <c r="E108" s="142">
        <f t="shared" si="0"/>
        <v>16051</v>
      </c>
      <c r="F108" s="142">
        <f t="shared" si="0"/>
        <v>6869</v>
      </c>
      <c r="G108" s="142">
        <f t="shared" si="0"/>
        <v>2260</v>
      </c>
      <c r="H108" s="142" t="str">
        <f t="shared" si="0"/>
        <v>-</v>
      </c>
      <c r="I108" s="142">
        <f t="shared" si="0"/>
        <v>51829</v>
      </c>
      <c r="K108" s="142" t="str">
        <f t="shared" ref="K108:R108" si="8">IF(AND(K60="-",K12="-"),"-",SUM(K60,K12))</f>
        <v>-</v>
      </c>
      <c r="L108" s="142">
        <f t="shared" si="8"/>
        <v>422</v>
      </c>
      <c r="M108" s="142">
        <f t="shared" si="8"/>
        <v>23137</v>
      </c>
      <c r="N108" s="142">
        <f t="shared" si="8"/>
        <v>103457</v>
      </c>
      <c r="O108" s="142">
        <f t="shared" si="8"/>
        <v>89700</v>
      </c>
      <c r="P108" s="142">
        <f t="shared" si="8"/>
        <v>29782</v>
      </c>
      <c r="Q108" s="142">
        <f t="shared" si="8"/>
        <v>33</v>
      </c>
      <c r="R108" s="142">
        <f t="shared" si="8"/>
        <v>246531</v>
      </c>
      <c r="S108" s="17"/>
      <c r="T108" s="17"/>
    </row>
    <row r="109" spans="1:20" ht="11.25" customHeight="1">
      <c r="A109" s="99">
        <v>1984</v>
      </c>
      <c r="B109" s="142">
        <f t="shared" si="0"/>
        <v>24</v>
      </c>
      <c r="C109" s="142">
        <f t="shared" si="0"/>
        <v>6613</v>
      </c>
      <c r="D109" s="142">
        <f t="shared" si="0"/>
        <v>0</v>
      </c>
      <c r="E109" s="142">
        <f t="shared" si="0"/>
        <v>134</v>
      </c>
      <c r="F109" s="142">
        <f t="shared" si="0"/>
        <v>220</v>
      </c>
      <c r="G109" s="142" t="str">
        <f t="shared" si="0"/>
        <v>-</v>
      </c>
      <c r="H109" s="142" t="str">
        <f t="shared" si="0"/>
        <v>-</v>
      </c>
      <c r="I109" s="142">
        <f t="shared" si="0"/>
        <v>6991</v>
      </c>
      <c r="K109" s="142" t="str">
        <f t="shared" ref="K109:R109" si="9">IF(AND(K61="-",K13="-"),"-",SUM(K61,K13))</f>
        <v>-</v>
      </c>
      <c r="L109" s="142" t="str">
        <f t="shared" si="9"/>
        <v>-</v>
      </c>
      <c r="M109" s="142" t="str">
        <f t="shared" si="9"/>
        <v>-</v>
      </c>
      <c r="N109" s="142">
        <f t="shared" si="9"/>
        <v>13453</v>
      </c>
      <c r="O109" s="142">
        <f t="shared" si="9"/>
        <v>37550</v>
      </c>
      <c r="P109" s="142">
        <f t="shared" si="9"/>
        <v>264</v>
      </c>
      <c r="Q109" s="142" t="str">
        <f t="shared" si="9"/>
        <v>-</v>
      </c>
      <c r="R109" s="142">
        <f t="shared" si="9"/>
        <v>51267</v>
      </c>
      <c r="S109" s="17"/>
      <c r="T109" s="17"/>
    </row>
    <row r="110" spans="1:20" ht="11.25" customHeight="1">
      <c r="A110" s="99">
        <v>1985</v>
      </c>
      <c r="B110" s="142">
        <f t="shared" si="0"/>
        <v>5</v>
      </c>
      <c r="C110" s="142">
        <f t="shared" si="0"/>
        <v>1</v>
      </c>
      <c r="D110" s="142">
        <f t="shared" si="0"/>
        <v>929</v>
      </c>
      <c r="E110" s="142">
        <f t="shared" si="0"/>
        <v>16194</v>
      </c>
      <c r="F110" s="142">
        <f t="shared" si="0"/>
        <v>12751</v>
      </c>
      <c r="G110" s="142">
        <f t="shared" si="0"/>
        <v>276</v>
      </c>
      <c r="H110" s="142" t="str">
        <f t="shared" si="0"/>
        <v>-</v>
      </c>
      <c r="I110" s="142">
        <f t="shared" si="0"/>
        <v>30156</v>
      </c>
      <c r="K110" s="142" t="str">
        <f t="shared" ref="K110:R110" si="10">IF(AND(K62="-",K14="-"),"-",SUM(K62,K14))</f>
        <v>-</v>
      </c>
      <c r="L110" s="142" t="str">
        <f t="shared" si="10"/>
        <v>-</v>
      </c>
      <c r="M110" s="142">
        <f t="shared" si="10"/>
        <v>3545</v>
      </c>
      <c r="N110" s="142">
        <f t="shared" si="10"/>
        <v>88468</v>
      </c>
      <c r="O110" s="142">
        <f t="shared" si="10"/>
        <v>100597</v>
      </c>
      <c r="P110" s="142">
        <f t="shared" si="10"/>
        <v>6257</v>
      </c>
      <c r="Q110" s="142" t="str">
        <f t="shared" si="10"/>
        <v>-</v>
      </c>
      <c r="R110" s="142">
        <f t="shared" si="10"/>
        <v>198867</v>
      </c>
      <c r="S110" s="17"/>
      <c r="T110" s="17"/>
    </row>
    <row r="111" spans="1:20" ht="11.25" customHeight="1">
      <c r="A111" s="99">
        <v>1986</v>
      </c>
      <c r="B111" s="142" t="str">
        <f t="shared" ref="B111:I120" si="11">IF(AND(B63="-",B15="-"),"-",SUM(B63,B15))</f>
        <v>-</v>
      </c>
      <c r="C111" s="142" t="str">
        <f t="shared" si="11"/>
        <v>-</v>
      </c>
      <c r="D111" s="142">
        <f t="shared" si="11"/>
        <v>735</v>
      </c>
      <c r="E111" s="142">
        <f t="shared" si="11"/>
        <v>12757</v>
      </c>
      <c r="F111" s="142">
        <f t="shared" si="11"/>
        <v>9514</v>
      </c>
      <c r="G111" s="142" t="str">
        <f t="shared" si="11"/>
        <v>-</v>
      </c>
      <c r="H111" s="142" t="str">
        <f t="shared" si="11"/>
        <v>-</v>
      </c>
      <c r="I111" s="142">
        <f t="shared" si="11"/>
        <v>23006</v>
      </c>
      <c r="K111" s="142" t="str">
        <f t="shared" ref="K111:R111" si="12">IF(AND(K63="-",K15="-"),"-",SUM(K63,K15))</f>
        <v>-</v>
      </c>
      <c r="L111" s="142" t="str">
        <f t="shared" si="12"/>
        <v>-</v>
      </c>
      <c r="M111" s="142">
        <f t="shared" si="12"/>
        <v>7152</v>
      </c>
      <c r="N111" s="142">
        <f t="shared" si="12"/>
        <v>119641</v>
      </c>
      <c r="O111" s="142">
        <f t="shared" si="12"/>
        <v>83560</v>
      </c>
      <c r="P111" s="142">
        <f t="shared" si="12"/>
        <v>943</v>
      </c>
      <c r="Q111" s="142">
        <f t="shared" si="12"/>
        <v>86</v>
      </c>
      <c r="R111" s="142">
        <f t="shared" si="12"/>
        <v>211382</v>
      </c>
      <c r="S111" s="17"/>
      <c r="T111" s="17"/>
    </row>
    <row r="112" spans="1:20" ht="11.25" customHeight="1">
      <c r="A112" s="99">
        <v>1987</v>
      </c>
      <c r="B112" s="142" t="str">
        <f t="shared" si="11"/>
        <v>-</v>
      </c>
      <c r="C112" s="142" t="str">
        <f t="shared" si="11"/>
        <v>-</v>
      </c>
      <c r="D112" s="142">
        <f t="shared" si="11"/>
        <v>3490</v>
      </c>
      <c r="E112" s="142">
        <f t="shared" si="11"/>
        <v>25538</v>
      </c>
      <c r="F112" s="142">
        <f t="shared" si="11"/>
        <v>13107</v>
      </c>
      <c r="G112" s="142">
        <f t="shared" si="11"/>
        <v>17</v>
      </c>
      <c r="H112" s="142" t="str">
        <f t="shared" si="11"/>
        <v>-</v>
      </c>
      <c r="I112" s="142">
        <f t="shared" si="11"/>
        <v>42152</v>
      </c>
      <c r="K112" s="142" t="str">
        <f t="shared" ref="K112:R112" si="13">IF(AND(K64="-",K16="-"),"-",SUM(K64,K16))</f>
        <v>-</v>
      </c>
      <c r="L112" s="142" t="str">
        <f t="shared" si="13"/>
        <v>-</v>
      </c>
      <c r="M112" s="142">
        <f t="shared" si="13"/>
        <v>3115</v>
      </c>
      <c r="N112" s="142">
        <f t="shared" si="13"/>
        <v>82934</v>
      </c>
      <c r="O112" s="142">
        <f t="shared" si="13"/>
        <v>63481</v>
      </c>
      <c r="P112" s="142">
        <f t="shared" si="13"/>
        <v>44</v>
      </c>
      <c r="Q112" s="142">
        <f t="shared" si="13"/>
        <v>3</v>
      </c>
      <c r="R112" s="142">
        <f t="shared" si="13"/>
        <v>149577</v>
      </c>
      <c r="S112" s="17"/>
      <c r="T112" s="17"/>
    </row>
    <row r="113" spans="1:20" ht="11.25" customHeight="1">
      <c r="A113" s="99">
        <v>1988</v>
      </c>
      <c r="B113" s="142" t="str">
        <f t="shared" si="11"/>
        <v>-</v>
      </c>
      <c r="C113" s="142" t="str">
        <f t="shared" si="11"/>
        <v>-</v>
      </c>
      <c r="D113" s="142" t="str">
        <f t="shared" si="11"/>
        <v>-</v>
      </c>
      <c r="E113" s="142">
        <f t="shared" si="11"/>
        <v>18161</v>
      </c>
      <c r="F113" s="142">
        <f t="shared" si="11"/>
        <v>1220</v>
      </c>
      <c r="G113" s="142">
        <f t="shared" si="11"/>
        <v>37</v>
      </c>
      <c r="H113" s="142" t="str">
        <f t="shared" si="11"/>
        <v>-</v>
      </c>
      <c r="I113" s="142">
        <f t="shared" si="11"/>
        <v>19418</v>
      </c>
      <c r="K113" s="142" t="str">
        <f t="shared" ref="K113:R113" si="14">IF(AND(K65="-",K17="-"),"-",SUM(K65,K17))</f>
        <v>-</v>
      </c>
      <c r="L113" s="142" t="str">
        <f t="shared" si="14"/>
        <v>-</v>
      </c>
      <c r="M113" s="142" t="str">
        <f t="shared" si="14"/>
        <v>-</v>
      </c>
      <c r="N113" s="142">
        <f t="shared" si="14"/>
        <v>91648</v>
      </c>
      <c r="O113" s="142">
        <f t="shared" si="14"/>
        <v>6558</v>
      </c>
      <c r="P113" s="142">
        <f t="shared" si="14"/>
        <v>563</v>
      </c>
      <c r="Q113" s="142" t="str">
        <f t="shared" si="14"/>
        <v>-</v>
      </c>
      <c r="R113" s="142">
        <f t="shared" si="14"/>
        <v>98769</v>
      </c>
      <c r="S113" s="17"/>
      <c r="T113" s="17"/>
    </row>
    <row r="114" spans="1:20" ht="11.25" customHeight="1">
      <c r="A114" s="99">
        <v>1989</v>
      </c>
      <c r="B114" s="142" t="str">
        <f t="shared" si="11"/>
        <v>-</v>
      </c>
      <c r="C114" s="142">
        <f t="shared" si="11"/>
        <v>930</v>
      </c>
      <c r="D114" s="142">
        <f t="shared" si="11"/>
        <v>2228</v>
      </c>
      <c r="E114" s="142">
        <f t="shared" si="11"/>
        <v>7326</v>
      </c>
      <c r="F114" s="142">
        <f t="shared" si="11"/>
        <v>10835</v>
      </c>
      <c r="G114" s="142" t="str">
        <f t="shared" si="11"/>
        <v>-</v>
      </c>
      <c r="H114" s="142" t="str">
        <f t="shared" si="11"/>
        <v>-</v>
      </c>
      <c r="I114" s="142">
        <f t="shared" si="11"/>
        <v>21319</v>
      </c>
      <c r="K114" s="142" t="str">
        <f t="shared" ref="K114:R114" si="15">IF(AND(K66="-",K18="-"),"-",SUM(K66,K18))</f>
        <v>-</v>
      </c>
      <c r="L114" s="142">
        <f t="shared" si="15"/>
        <v>19</v>
      </c>
      <c r="M114" s="142">
        <f t="shared" si="15"/>
        <v>1684</v>
      </c>
      <c r="N114" s="142">
        <f t="shared" si="15"/>
        <v>125965</v>
      </c>
      <c r="O114" s="142">
        <f t="shared" si="15"/>
        <v>110634</v>
      </c>
      <c r="P114" s="142">
        <f t="shared" si="15"/>
        <v>8855</v>
      </c>
      <c r="Q114" s="142" t="str">
        <f t="shared" si="15"/>
        <v>-</v>
      </c>
      <c r="R114" s="142">
        <f t="shared" si="15"/>
        <v>247157</v>
      </c>
      <c r="S114" s="17"/>
      <c r="T114" s="17"/>
    </row>
    <row r="115" spans="1:20" ht="11.25" customHeight="1">
      <c r="A115" s="99">
        <v>1990</v>
      </c>
      <c r="B115" s="142" t="str">
        <f t="shared" si="11"/>
        <v>-</v>
      </c>
      <c r="C115" s="142" t="str">
        <f t="shared" si="11"/>
        <v>-</v>
      </c>
      <c r="D115" s="142">
        <f t="shared" si="11"/>
        <v>1601</v>
      </c>
      <c r="E115" s="142">
        <f t="shared" si="11"/>
        <v>13485</v>
      </c>
      <c r="F115" s="142">
        <f t="shared" si="11"/>
        <v>14530</v>
      </c>
      <c r="G115" s="142">
        <f t="shared" si="11"/>
        <v>3669</v>
      </c>
      <c r="H115" s="142" t="str">
        <f t="shared" si="11"/>
        <v>-</v>
      </c>
      <c r="I115" s="142">
        <f t="shared" si="11"/>
        <v>33285</v>
      </c>
      <c r="K115" s="142" t="str">
        <f t="shared" ref="K115:R115" si="16">IF(AND(K67="-",K19="-"),"-",SUM(K67,K19))</f>
        <v>-</v>
      </c>
      <c r="L115" s="142" t="str">
        <f t="shared" si="16"/>
        <v>-</v>
      </c>
      <c r="M115" s="142">
        <f t="shared" si="16"/>
        <v>15657</v>
      </c>
      <c r="N115" s="142">
        <f t="shared" si="16"/>
        <v>110987</v>
      </c>
      <c r="O115" s="142">
        <f t="shared" si="16"/>
        <v>107560</v>
      </c>
      <c r="P115" s="142">
        <f t="shared" si="16"/>
        <v>26729</v>
      </c>
      <c r="Q115" s="142" t="str">
        <f t="shared" si="16"/>
        <v>-</v>
      </c>
      <c r="R115" s="142">
        <f t="shared" si="16"/>
        <v>260933</v>
      </c>
      <c r="S115" s="17"/>
      <c r="T115" s="17"/>
    </row>
    <row r="116" spans="1:20" ht="11.25" customHeight="1">
      <c r="A116" s="99">
        <v>1991</v>
      </c>
      <c r="B116" s="142" t="str">
        <f t="shared" si="11"/>
        <v>-</v>
      </c>
      <c r="C116" s="142" t="str">
        <f t="shared" si="11"/>
        <v>-</v>
      </c>
      <c r="D116" s="142">
        <f t="shared" si="11"/>
        <v>2163</v>
      </c>
      <c r="E116" s="142">
        <f t="shared" si="11"/>
        <v>8075</v>
      </c>
      <c r="F116" s="142">
        <f t="shared" si="11"/>
        <v>3136</v>
      </c>
      <c r="G116" s="142">
        <f t="shared" si="11"/>
        <v>278</v>
      </c>
      <c r="H116" s="142" t="str">
        <f t="shared" si="11"/>
        <v>-</v>
      </c>
      <c r="I116" s="142">
        <f t="shared" si="11"/>
        <v>13652</v>
      </c>
      <c r="K116" s="142" t="str">
        <f t="shared" ref="K116:R116" si="17">IF(AND(K68="-",K20="-"),"-",SUM(K68,K20))</f>
        <v>-</v>
      </c>
      <c r="L116" s="142" t="str">
        <f t="shared" si="17"/>
        <v>-</v>
      </c>
      <c r="M116" s="142">
        <f t="shared" si="17"/>
        <v>14656</v>
      </c>
      <c r="N116" s="142">
        <f t="shared" si="17"/>
        <v>151254</v>
      </c>
      <c r="O116" s="142">
        <f t="shared" si="17"/>
        <v>63279</v>
      </c>
      <c r="P116" s="142">
        <f t="shared" si="17"/>
        <v>17900</v>
      </c>
      <c r="Q116" s="142" t="str">
        <f t="shared" si="17"/>
        <v>-</v>
      </c>
      <c r="R116" s="142">
        <f t="shared" si="17"/>
        <v>247089</v>
      </c>
      <c r="S116" s="17"/>
      <c r="T116" s="17"/>
    </row>
    <row r="117" spans="1:20" ht="11.25" customHeight="1">
      <c r="A117" s="99">
        <v>1992</v>
      </c>
      <c r="B117" s="142" t="str">
        <f t="shared" si="11"/>
        <v>-</v>
      </c>
      <c r="C117" s="142">
        <f t="shared" si="11"/>
        <v>118</v>
      </c>
      <c r="D117" s="142">
        <f t="shared" si="11"/>
        <v>0</v>
      </c>
      <c r="E117" s="142">
        <f t="shared" si="11"/>
        <v>9345</v>
      </c>
      <c r="F117" s="142">
        <f t="shared" si="11"/>
        <v>6682</v>
      </c>
      <c r="G117" s="142">
        <f t="shared" si="11"/>
        <v>2575</v>
      </c>
      <c r="H117" s="142">
        <f t="shared" si="11"/>
        <v>215</v>
      </c>
      <c r="I117" s="142">
        <f t="shared" si="11"/>
        <v>18935</v>
      </c>
      <c r="K117" s="142" t="str">
        <f t="shared" ref="K117:R117" si="18">IF(AND(K69="-",K21="-"),"-",SUM(K69,K21))</f>
        <v>-</v>
      </c>
      <c r="L117" s="142">
        <f t="shared" si="18"/>
        <v>32</v>
      </c>
      <c r="M117" s="142">
        <f t="shared" si="18"/>
        <v>0</v>
      </c>
      <c r="N117" s="142">
        <f t="shared" si="18"/>
        <v>86167</v>
      </c>
      <c r="O117" s="142">
        <f t="shared" si="18"/>
        <v>47398</v>
      </c>
      <c r="P117" s="142">
        <f t="shared" si="18"/>
        <v>11914</v>
      </c>
      <c r="Q117" s="142">
        <f t="shared" si="18"/>
        <v>324</v>
      </c>
      <c r="R117" s="142">
        <f t="shared" si="18"/>
        <v>145835</v>
      </c>
      <c r="S117" s="17"/>
      <c r="T117" s="17"/>
    </row>
    <row r="118" spans="1:20" ht="11.25" customHeight="1">
      <c r="A118" s="99">
        <v>1993</v>
      </c>
      <c r="B118" s="142" t="str">
        <f t="shared" si="11"/>
        <v>-</v>
      </c>
      <c r="C118" s="142">
        <f t="shared" si="11"/>
        <v>178</v>
      </c>
      <c r="D118" s="142" t="str">
        <f t="shared" si="11"/>
        <v>-</v>
      </c>
      <c r="E118" s="142">
        <f t="shared" si="11"/>
        <v>3444</v>
      </c>
      <c r="F118" s="142">
        <f t="shared" si="11"/>
        <v>5959</v>
      </c>
      <c r="G118" s="142">
        <f t="shared" si="11"/>
        <v>4273</v>
      </c>
      <c r="H118" s="142" t="str">
        <f t="shared" si="11"/>
        <v>-</v>
      </c>
      <c r="I118" s="142">
        <f t="shared" si="11"/>
        <v>13854</v>
      </c>
      <c r="K118" s="142" t="str">
        <f t="shared" ref="K118:R118" si="19">IF(AND(K70="-",K22="-"),"-",SUM(K70,K22))</f>
        <v>-</v>
      </c>
      <c r="L118" s="142">
        <f t="shared" si="19"/>
        <v>48</v>
      </c>
      <c r="M118" s="142" t="str">
        <f t="shared" si="19"/>
        <v>-</v>
      </c>
      <c r="N118" s="142">
        <f t="shared" si="19"/>
        <v>51065</v>
      </c>
      <c r="O118" s="142">
        <f t="shared" si="19"/>
        <v>65997</v>
      </c>
      <c r="P118" s="142">
        <f t="shared" si="19"/>
        <v>30021</v>
      </c>
      <c r="Q118" s="142" t="str">
        <f t="shared" si="19"/>
        <v>-</v>
      </c>
      <c r="R118" s="142">
        <f t="shared" si="19"/>
        <v>147131</v>
      </c>
      <c r="S118" s="17"/>
      <c r="T118" s="17"/>
    </row>
    <row r="119" spans="1:20" ht="11.25" customHeight="1">
      <c r="A119" s="99">
        <v>1994</v>
      </c>
      <c r="B119" s="142" t="str">
        <f t="shared" si="11"/>
        <v>-</v>
      </c>
      <c r="C119" s="142" t="str">
        <f t="shared" si="11"/>
        <v>-</v>
      </c>
      <c r="D119" s="142" t="str">
        <f t="shared" si="11"/>
        <v>-</v>
      </c>
      <c r="E119" s="142" t="str">
        <f t="shared" si="11"/>
        <v>-</v>
      </c>
      <c r="F119" s="142" t="str">
        <f t="shared" si="11"/>
        <v>-</v>
      </c>
      <c r="G119" s="142" t="str">
        <f t="shared" si="11"/>
        <v>-</v>
      </c>
      <c r="H119" s="142" t="str">
        <f t="shared" si="11"/>
        <v>-</v>
      </c>
      <c r="I119" s="142" t="str">
        <f t="shared" si="11"/>
        <v>-</v>
      </c>
      <c r="K119" s="142" t="str">
        <f t="shared" ref="K119:R119" si="20">IF(AND(K71="-",K23="-"),"-",SUM(K71,K23))</f>
        <v>-</v>
      </c>
      <c r="L119" s="142" t="str">
        <f t="shared" si="20"/>
        <v>-</v>
      </c>
      <c r="M119" s="142" t="str">
        <f t="shared" si="20"/>
        <v>-</v>
      </c>
      <c r="N119" s="142" t="str">
        <f t="shared" si="20"/>
        <v>-</v>
      </c>
      <c r="O119" s="142" t="str">
        <f t="shared" si="20"/>
        <v>-</v>
      </c>
      <c r="P119" s="142" t="str">
        <f t="shared" si="20"/>
        <v>-</v>
      </c>
      <c r="Q119" s="142" t="str">
        <f t="shared" si="20"/>
        <v>-</v>
      </c>
      <c r="R119" s="142">
        <f t="shared" si="20"/>
        <v>0</v>
      </c>
      <c r="S119" s="17"/>
      <c r="T119" s="17"/>
    </row>
    <row r="120" spans="1:20" ht="11.25" customHeight="1">
      <c r="A120" s="99">
        <v>1995</v>
      </c>
      <c r="B120" s="142" t="str">
        <f t="shared" si="11"/>
        <v>-</v>
      </c>
      <c r="C120" s="142" t="str">
        <f t="shared" si="11"/>
        <v>-</v>
      </c>
      <c r="D120" s="142" t="str">
        <f t="shared" si="11"/>
        <v>-</v>
      </c>
      <c r="E120" s="142">
        <f t="shared" si="11"/>
        <v>68</v>
      </c>
      <c r="F120" s="142">
        <f t="shared" si="11"/>
        <v>453</v>
      </c>
      <c r="G120" s="142">
        <f t="shared" si="11"/>
        <v>97</v>
      </c>
      <c r="H120" s="142" t="str">
        <f t="shared" si="11"/>
        <v>-</v>
      </c>
      <c r="I120" s="142">
        <f t="shared" si="11"/>
        <v>618</v>
      </c>
      <c r="K120" s="142" t="str">
        <f t="shared" ref="K120:R120" si="21">IF(AND(K72="-",K24="-"),"-",SUM(K72,K24))</f>
        <v>-</v>
      </c>
      <c r="L120" s="142" t="str">
        <f t="shared" si="21"/>
        <v>-</v>
      </c>
      <c r="M120" s="142" t="str">
        <f t="shared" si="21"/>
        <v>-</v>
      </c>
      <c r="N120" s="142">
        <f t="shared" si="21"/>
        <v>9176</v>
      </c>
      <c r="O120" s="142">
        <f t="shared" si="21"/>
        <v>54573</v>
      </c>
      <c r="P120" s="142">
        <f t="shared" si="21"/>
        <v>16280</v>
      </c>
      <c r="Q120" s="142" t="str">
        <f t="shared" si="21"/>
        <v>-</v>
      </c>
      <c r="R120" s="142">
        <f t="shared" si="21"/>
        <v>80029</v>
      </c>
      <c r="S120" s="17"/>
      <c r="T120" s="17"/>
    </row>
    <row r="121" spans="1:20" ht="11.25" customHeight="1">
      <c r="A121" s="99">
        <v>1996</v>
      </c>
      <c r="B121" s="142" t="str">
        <f t="shared" ref="B121:I130" si="22">IF(AND(B73="-",B25="-"),"-",SUM(B73,B25))</f>
        <v>-</v>
      </c>
      <c r="C121" s="142" t="str">
        <f t="shared" si="22"/>
        <v>-</v>
      </c>
      <c r="D121" s="142" t="str">
        <f t="shared" si="22"/>
        <v>-</v>
      </c>
      <c r="E121" s="142">
        <f t="shared" si="22"/>
        <v>35</v>
      </c>
      <c r="F121" s="142">
        <f t="shared" si="22"/>
        <v>118</v>
      </c>
      <c r="G121" s="142">
        <f t="shared" si="22"/>
        <v>52</v>
      </c>
      <c r="H121" s="142" t="str">
        <f t="shared" si="22"/>
        <v>-</v>
      </c>
      <c r="I121" s="142">
        <f t="shared" si="22"/>
        <v>205</v>
      </c>
      <c r="K121" s="142" t="str">
        <f t="shared" ref="K121:R121" si="23">IF(AND(K73="-",K25="-"),"-",SUM(K73,K25))</f>
        <v>-</v>
      </c>
      <c r="L121" s="142" t="str">
        <f t="shared" si="23"/>
        <v>-</v>
      </c>
      <c r="M121" s="142" t="str">
        <f t="shared" si="23"/>
        <v>-</v>
      </c>
      <c r="N121" s="142">
        <f t="shared" si="23"/>
        <v>12069</v>
      </c>
      <c r="O121" s="142">
        <f t="shared" si="23"/>
        <v>37277</v>
      </c>
      <c r="P121" s="142">
        <f t="shared" si="23"/>
        <v>9122</v>
      </c>
      <c r="Q121" s="142" t="str">
        <f t="shared" si="23"/>
        <v>-</v>
      </c>
      <c r="R121" s="142">
        <f t="shared" si="23"/>
        <v>58468</v>
      </c>
      <c r="S121" s="17"/>
      <c r="T121" s="17"/>
    </row>
    <row r="122" spans="1:20" ht="11.25" customHeight="1">
      <c r="A122" s="99">
        <v>1997</v>
      </c>
      <c r="B122" s="142" t="str">
        <f t="shared" si="22"/>
        <v>-</v>
      </c>
      <c r="C122" s="142" t="str">
        <f t="shared" si="22"/>
        <v>-</v>
      </c>
      <c r="D122" s="142" t="str">
        <f t="shared" si="22"/>
        <v>-</v>
      </c>
      <c r="E122" s="142">
        <f t="shared" si="22"/>
        <v>2026</v>
      </c>
      <c r="F122" s="142">
        <f t="shared" si="22"/>
        <v>1811</v>
      </c>
      <c r="G122" s="142">
        <f t="shared" si="22"/>
        <v>315</v>
      </c>
      <c r="H122" s="142" t="str">
        <f t="shared" si="22"/>
        <v>-</v>
      </c>
      <c r="I122" s="142">
        <f t="shared" si="22"/>
        <v>4152</v>
      </c>
      <c r="K122" s="142" t="str">
        <f t="shared" ref="K122:R122" si="24">IF(AND(K74="-",K26="-"),"-",SUM(K74,K26))</f>
        <v>-</v>
      </c>
      <c r="L122" s="142" t="str">
        <f t="shared" si="24"/>
        <v>-</v>
      </c>
      <c r="M122" s="142" t="str">
        <f t="shared" si="24"/>
        <v>-</v>
      </c>
      <c r="N122" s="142">
        <f t="shared" si="24"/>
        <v>18835</v>
      </c>
      <c r="O122" s="142">
        <f t="shared" si="24"/>
        <v>13310</v>
      </c>
      <c r="P122" s="142">
        <f t="shared" si="24"/>
        <v>424</v>
      </c>
      <c r="Q122" s="142" t="str">
        <f t="shared" si="24"/>
        <v>-</v>
      </c>
      <c r="R122" s="142">
        <f t="shared" si="24"/>
        <v>32569</v>
      </c>
      <c r="S122" s="17"/>
      <c r="T122" s="17"/>
    </row>
    <row r="123" spans="1:20" ht="11.25" customHeight="1">
      <c r="A123" s="99">
        <v>1998</v>
      </c>
      <c r="B123" s="142" t="str">
        <f t="shared" si="22"/>
        <v>-</v>
      </c>
      <c r="C123" s="142" t="str">
        <f t="shared" si="22"/>
        <v>-</v>
      </c>
      <c r="D123" s="142" t="str">
        <f t="shared" si="22"/>
        <v>-</v>
      </c>
      <c r="E123" s="142" t="str">
        <f t="shared" si="22"/>
        <v>-</v>
      </c>
      <c r="F123" s="142">
        <f t="shared" si="22"/>
        <v>2011</v>
      </c>
      <c r="G123" s="142">
        <f t="shared" si="22"/>
        <v>281</v>
      </c>
      <c r="H123" s="142" t="str">
        <f t="shared" si="22"/>
        <v>-</v>
      </c>
      <c r="I123" s="142">
        <f t="shared" si="22"/>
        <v>2292</v>
      </c>
      <c r="K123" s="142" t="str">
        <f t="shared" ref="K123:R123" si="25">IF(AND(K75="-",K27="-"),"-",SUM(K75,K27))</f>
        <v>-</v>
      </c>
      <c r="L123" s="142" t="str">
        <f t="shared" si="25"/>
        <v>-</v>
      </c>
      <c r="M123" s="142" t="str">
        <f t="shared" si="25"/>
        <v>-</v>
      </c>
      <c r="N123" s="142" t="str">
        <f t="shared" si="25"/>
        <v>-</v>
      </c>
      <c r="O123" s="142">
        <f t="shared" si="25"/>
        <v>21313</v>
      </c>
      <c r="P123" s="142">
        <f t="shared" si="25"/>
        <v>1564</v>
      </c>
      <c r="Q123" s="142" t="str">
        <f t="shared" si="25"/>
        <v>-</v>
      </c>
      <c r="R123" s="142">
        <f t="shared" si="25"/>
        <v>22877</v>
      </c>
      <c r="S123" s="17"/>
      <c r="T123" s="17"/>
    </row>
    <row r="124" spans="1:20" ht="11.25" customHeight="1">
      <c r="A124" s="99">
        <v>1999</v>
      </c>
      <c r="B124" s="142" t="str">
        <f t="shared" si="22"/>
        <v>-</v>
      </c>
      <c r="C124" s="142" t="str">
        <f t="shared" si="22"/>
        <v>-</v>
      </c>
      <c r="D124" s="142" t="str">
        <f t="shared" si="22"/>
        <v>-</v>
      </c>
      <c r="E124" s="142">
        <f t="shared" si="22"/>
        <v>3381</v>
      </c>
      <c r="F124" s="142">
        <f t="shared" si="22"/>
        <v>5720</v>
      </c>
      <c r="G124" s="142">
        <f t="shared" si="22"/>
        <v>1720</v>
      </c>
      <c r="H124" s="142" t="str">
        <f t="shared" si="22"/>
        <v>-</v>
      </c>
      <c r="I124" s="142">
        <f t="shared" si="22"/>
        <v>10821</v>
      </c>
      <c r="K124" s="142" t="str">
        <f t="shared" ref="K124:R124" si="26">IF(AND(K76="-",K28="-"),"-",SUM(K76,K28))</f>
        <v>-</v>
      </c>
      <c r="L124" s="142" t="str">
        <f t="shared" si="26"/>
        <v>-</v>
      </c>
      <c r="M124" s="142" t="str">
        <f t="shared" si="26"/>
        <v>-</v>
      </c>
      <c r="N124" s="142">
        <f t="shared" si="26"/>
        <v>13813</v>
      </c>
      <c r="O124" s="142">
        <f t="shared" si="26"/>
        <v>24390</v>
      </c>
      <c r="P124" s="142">
        <f t="shared" si="26"/>
        <v>9466</v>
      </c>
      <c r="Q124" s="142" t="str">
        <f t="shared" si="26"/>
        <v>-</v>
      </c>
      <c r="R124" s="142">
        <f t="shared" si="26"/>
        <v>47669</v>
      </c>
      <c r="S124" s="17"/>
      <c r="T124" s="17"/>
    </row>
    <row r="125" spans="1:20" ht="11.25" customHeight="1">
      <c r="A125" s="99">
        <v>2000</v>
      </c>
      <c r="B125" s="142" t="str">
        <f t="shared" si="22"/>
        <v>-</v>
      </c>
      <c r="C125" s="142" t="str">
        <f t="shared" si="22"/>
        <v>-</v>
      </c>
      <c r="D125" s="142" t="str">
        <f t="shared" si="22"/>
        <v>-</v>
      </c>
      <c r="E125" s="142">
        <f t="shared" si="22"/>
        <v>5755</v>
      </c>
      <c r="F125" s="142">
        <f t="shared" si="22"/>
        <v>3487</v>
      </c>
      <c r="G125" s="142" t="str">
        <f t="shared" si="22"/>
        <v>-</v>
      </c>
      <c r="H125" s="142" t="str">
        <f t="shared" si="22"/>
        <v>-</v>
      </c>
      <c r="I125" s="142">
        <f t="shared" si="22"/>
        <v>9242</v>
      </c>
      <c r="K125" s="142" t="str">
        <f t="shared" ref="K125:R125" si="27">IF(AND(K77="-",K29="-"),"-",SUM(K77,K29))</f>
        <v>-</v>
      </c>
      <c r="L125" s="142" t="str">
        <f t="shared" si="27"/>
        <v>-</v>
      </c>
      <c r="M125" s="142" t="str">
        <f t="shared" si="27"/>
        <v>-</v>
      </c>
      <c r="N125" s="142">
        <f t="shared" si="27"/>
        <v>41328</v>
      </c>
      <c r="O125" s="142">
        <f t="shared" si="27"/>
        <v>38530</v>
      </c>
      <c r="P125" s="142">
        <f t="shared" si="27"/>
        <v>2067</v>
      </c>
      <c r="Q125" s="142" t="str">
        <f t="shared" si="27"/>
        <v>-</v>
      </c>
      <c r="R125" s="142">
        <f t="shared" si="27"/>
        <v>81925</v>
      </c>
      <c r="S125" s="17"/>
      <c r="T125" s="17"/>
    </row>
    <row r="126" spans="1:20" ht="11.25" customHeight="1">
      <c r="A126" s="99">
        <v>2001</v>
      </c>
      <c r="B126" s="142" t="str">
        <f t="shared" si="22"/>
        <v>-</v>
      </c>
      <c r="C126" s="142" t="str">
        <f t="shared" si="22"/>
        <v>-</v>
      </c>
      <c r="D126" s="142" t="str">
        <f t="shared" si="22"/>
        <v>-</v>
      </c>
      <c r="E126" s="142">
        <f t="shared" si="22"/>
        <v>16885</v>
      </c>
      <c r="F126" s="142">
        <f t="shared" si="22"/>
        <v>7002</v>
      </c>
      <c r="G126" s="142">
        <f t="shared" si="22"/>
        <v>1605</v>
      </c>
      <c r="H126" s="142">
        <f t="shared" si="22"/>
        <v>100</v>
      </c>
      <c r="I126" s="142">
        <f t="shared" si="22"/>
        <v>25592</v>
      </c>
      <c r="K126" s="142" t="str">
        <f t="shared" ref="K126:R126" si="28">IF(AND(K78="-",K30="-"),"-",SUM(K78,K30))</f>
        <v>-</v>
      </c>
      <c r="L126" s="142" t="str">
        <f t="shared" si="28"/>
        <v>-</v>
      </c>
      <c r="M126" s="142" t="str">
        <f t="shared" si="28"/>
        <v>-</v>
      </c>
      <c r="N126" s="142">
        <f t="shared" si="28"/>
        <v>88859</v>
      </c>
      <c r="O126" s="142">
        <f t="shared" si="28"/>
        <v>89757</v>
      </c>
      <c r="P126" s="142">
        <f t="shared" si="28"/>
        <v>28620</v>
      </c>
      <c r="Q126" s="142">
        <f t="shared" si="28"/>
        <v>15</v>
      </c>
      <c r="R126" s="142">
        <f t="shared" si="28"/>
        <v>207251</v>
      </c>
      <c r="S126" s="17"/>
      <c r="T126" s="17"/>
    </row>
    <row r="127" spans="1:20" ht="11.25" customHeight="1">
      <c r="A127" s="99">
        <v>2002</v>
      </c>
      <c r="B127" s="142" t="str">
        <f t="shared" si="22"/>
        <v>-</v>
      </c>
      <c r="C127" s="142">
        <f t="shared" si="22"/>
        <v>2640</v>
      </c>
      <c r="D127" s="142">
        <f t="shared" si="22"/>
        <v>17499</v>
      </c>
      <c r="E127" s="142">
        <f t="shared" si="22"/>
        <v>26904</v>
      </c>
      <c r="F127" s="142">
        <f t="shared" si="22"/>
        <v>13282</v>
      </c>
      <c r="G127" s="142">
        <f t="shared" si="22"/>
        <v>204</v>
      </c>
      <c r="H127" s="142">
        <f t="shared" si="22"/>
        <v>46</v>
      </c>
      <c r="I127" s="142">
        <f t="shared" si="22"/>
        <v>60575</v>
      </c>
      <c r="K127" s="142" t="str">
        <f t="shared" ref="K127:R127" si="29">IF(AND(K79="-",K31="-"),"-",SUM(K79,K31))</f>
        <v>-</v>
      </c>
      <c r="L127" s="142">
        <f t="shared" si="29"/>
        <v>5</v>
      </c>
      <c r="M127" s="142">
        <f t="shared" si="29"/>
        <v>301</v>
      </c>
      <c r="N127" s="142">
        <f t="shared" si="29"/>
        <v>24895</v>
      </c>
      <c r="O127" s="142">
        <f t="shared" si="29"/>
        <v>49718</v>
      </c>
      <c r="P127" s="142">
        <f t="shared" si="29"/>
        <v>13614</v>
      </c>
      <c r="Q127" s="142">
        <f t="shared" si="29"/>
        <v>4</v>
      </c>
      <c r="R127" s="142">
        <f t="shared" si="29"/>
        <v>88537</v>
      </c>
      <c r="S127" s="17"/>
      <c r="T127" s="17"/>
    </row>
    <row r="128" spans="1:20" ht="11.25" customHeight="1">
      <c r="A128" s="99">
        <v>2003</v>
      </c>
      <c r="B128" s="142" t="str">
        <f t="shared" si="22"/>
        <v>-</v>
      </c>
      <c r="C128" s="142" t="str">
        <f t="shared" si="22"/>
        <v>-</v>
      </c>
      <c r="D128" s="142">
        <f t="shared" si="22"/>
        <v>2741</v>
      </c>
      <c r="E128" s="142">
        <f t="shared" si="22"/>
        <v>15003</v>
      </c>
      <c r="F128" s="142">
        <f t="shared" si="22"/>
        <v>15972</v>
      </c>
      <c r="G128" s="142">
        <f t="shared" si="22"/>
        <v>2735</v>
      </c>
      <c r="H128" s="142">
        <f t="shared" si="22"/>
        <v>62</v>
      </c>
      <c r="I128" s="142">
        <f t="shared" si="22"/>
        <v>36513</v>
      </c>
      <c r="K128" s="142" t="str">
        <f t="shared" ref="K128:R128" si="30">IF(AND(K80="-",K32="-"),"-",SUM(K80,K32))</f>
        <v>-</v>
      </c>
      <c r="L128" s="142" t="str">
        <f t="shared" si="30"/>
        <v>-</v>
      </c>
      <c r="M128" s="142">
        <f t="shared" si="30"/>
        <v>4290</v>
      </c>
      <c r="N128" s="142">
        <f t="shared" si="30"/>
        <v>58146</v>
      </c>
      <c r="O128" s="142">
        <f t="shared" si="30"/>
        <v>91214</v>
      </c>
      <c r="P128" s="142">
        <f t="shared" si="30"/>
        <v>15205</v>
      </c>
      <c r="Q128" s="142">
        <f t="shared" si="30"/>
        <v>12</v>
      </c>
      <c r="R128" s="142">
        <f t="shared" si="30"/>
        <v>168867</v>
      </c>
      <c r="S128" s="17"/>
      <c r="T128" s="17"/>
    </row>
    <row r="129" spans="1:20" ht="11.25" customHeight="1">
      <c r="A129" s="99">
        <v>2004</v>
      </c>
      <c r="B129" s="142" t="str">
        <f t="shared" si="22"/>
        <v>-</v>
      </c>
      <c r="C129" s="142" t="str">
        <f t="shared" si="22"/>
        <v>-</v>
      </c>
      <c r="D129" s="142">
        <f t="shared" si="22"/>
        <v>574</v>
      </c>
      <c r="E129" s="142">
        <f t="shared" si="22"/>
        <v>10125</v>
      </c>
      <c r="F129" s="142">
        <f t="shared" si="22"/>
        <v>12442</v>
      </c>
      <c r="G129" s="142">
        <f t="shared" si="22"/>
        <v>3949</v>
      </c>
      <c r="H129" s="142">
        <f t="shared" si="22"/>
        <v>6</v>
      </c>
      <c r="I129" s="142">
        <f t="shared" si="22"/>
        <v>27090</v>
      </c>
      <c r="J129" s="52"/>
      <c r="K129" s="142" t="str">
        <f t="shared" ref="K129:R129" si="31">IF(AND(K81="-",K33="-"),"-",SUM(K81,K33))</f>
        <v>-</v>
      </c>
      <c r="L129" s="142" t="str">
        <f t="shared" si="31"/>
        <v>-</v>
      </c>
      <c r="M129" s="142">
        <f t="shared" si="31"/>
        <v>2884</v>
      </c>
      <c r="N129" s="142">
        <f t="shared" si="31"/>
        <v>46471</v>
      </c>
      <c r="O129" s="142">
        <f t="shared" si="31"/>
        <v>68229</v>
      </c>
      <c r="P129" s="142">
        <f t="shared" si="31"/>
        <v>17847</v>
      </c>
      <c r="Q129" s="142">
        <f t="shared" si="31"/>
        <v>3</v>
      </c>
      <c r="R129" s="142">
        <f t="shared" si="31"/>
        <v>135434</v>
      </c>
      <c r="S129" s="17"/>
      <c r="T129" s="17"/>
    </row>
    <row r="130" spans="1:20" ht="11.25" customHeight="1">
      <c r="A130" s="99">
        <v>2005</v>
      </c>
      <c r="B130" s="142" t="str">
        <f t="shared" si="22"/>
        <v>-</v>
      </c>
      <c r="C130" s="142" t="str">
        <f t="shared" si="22"/>
        <v>-</v>
      </c>
      <c r="D130" s="142">
        <f t="shared" si="22"/>
        <v>364</v>
      </c>
      <c r="E130" s="142">
        <f t="shared" si="22"/>
        <v>9759.4236039019888</v>
      </c>
      <c r="F130" s="142">
        <f t="shared" si="22"/>
        <v>22828.399514076762</v>
      </c>
      <c r="G130" s="142">
        <f t="shared" si="22"/>
        <v>7008.9502311670931</v>
      </c>
      <c r="H130" s="142">
        <f t="shared" si="22"/>
        <v>43</v>
      </c>
      <c r="I130" s="142">
        <f t="shared" si="22"/>
        <v>40003.773349145842</v>
      </c>
      <c r="J130" s="52"/>
      <c r="K130" s="142" t="str">
        <f t="shared" ref="K130:R130" si="32">IF(AND(K82="-",K34="-"),"-",SUM(K82,K34))</f>
        <v>-</v>
      </c>
      <c r="L130" s="142" t="str">
        <f t="shared" si="32"/>
        <v>-</v>
      </c>
      <c r="M130" s="142">
        <f t="shared" si="32"/>
        <v>126</v>
      </c>
      <c r="N130" s="142">
        <f t="shared" si="32"/>
        <v>19610.76608873891</v>
      </c>
      <c r="O130" s="142">
        <f t="shared" si="32"/>
        <v>32087.151707361139</v>
      </c>
      <c r="P130" s="142">
        <f t="shared" si="32"/>
        <v>9893.6344315132774</v>
      </c>
      <c r="Q130" s="142">
        <f t="shared" si="32"/>
        <v>18</v>
      </c>
      <c r="R130" s="142">
        <f t="shared" si="32"/>
        <v>61735.552227613327</v>
      </c>
      <c r="S130" s="17"/>
      <c r="T130" s="17"/>
    </row>
    <row r="131" spans="1:20" ht="11.25" customHeight="1">
      <c r="A131" s="99">
        <v>2006</v>
      </c>
      <c r="B131" s="142" t="str">
        <f t="shared" ref="B131:I131" si="33">IF(AND(B83="-",B35="-"),"-",SUM(B83,B35))</f>
        <v>-</v>
      </c>
      <c r="C131" s="142" t="str">
        <f t="shared" si="33"/>
        <v>-</v>
      </c>
      <c r="D131" s="142">
        <f t="shared" si="33"/>
        <v>202.26999999999998</v>
      </c>
      <c r="E131" s="142">
        <f t="shared" si="33"/>
        <v>3832.4300000000003</v>
      </c>
      <c r="F131" s="142">
        <f t="shared" si="33"/>
        <v>6040.0999999999995</v>
      </c>
      <c r="G131" s="142">
        <f t="shared" si="33"/>
        <v>1011.02</v>
      </c>
      <c r="H131" s="142">
        <f t="shared" si="33"/>
        <v>90.54</v>
      </c>
      <c r="I131" s="142">
        <f t="shared" si="33"/>
        <v>11176.36</v>
      </c>
      <c r="J131" s="52"/>
      <c r="K131" s="142" t="str">
        <f t="shared" ref="K131:R131" si="34">IF(AND(K83="-",K35="-"),"-",SUM(K83,K35))</f>
        <v>-</v>
      </c>
      <c r="L131" s="142" t="str">
        <f t="shared" si="34"/>
        <v>-</v>
      </c>
      <c r="M131" s="142">
        <f t="shared" si="34"/>
        <v>416.05</v>
      </c>
      <c r="N131" s="142">
        <f t="shared" si="34"/>
        <v>14663.27</v>
      </c>
      <c r="O131" s="142">
        <f t="shared" si="34"/>
        <v>24068.910000000003</v>
      </c>
      <c r="P131" s="142">
        <f t="shared" si="34"/>
        <v>2347.1999999999998</v>
      </c>
      <c r="Q131" s="142">
        <f t="shared" si="34"/>
        <v>2.4</v>
      </c>
      <c r="R131" s="142">
        <f t="shared" si="34"/>
        <v>41497.83</v>
      </c>
      <c r="S131" s="17"/>
      <c r="T131" s="17"/>
    </row>
    <row r="132" spans="1:20" ht="11.25" customHeight="1">
      <c r="A132" s="99">
        <v>2007</v>
      </c>
      <c r="B132" s="142" t="str">
        <f t="shared" ref="B132:I132" si="35">IF(AND(B84="-",B36="-"),"-",SUM(B84,B36))</f>
        <v>-</v>
      </c>
      <c r="C132" s="142" t="str">
        <f t="shared" si="35"/>
        <v>-</v>
      </c>
      <c r="D132" s="142" t="str">
        <f t="shared" si="35"/>
        <v>-</v>
      </c>
      <c r="E132" s="142">
        <f t="shared" si="35"/>
        <v>4177.7299999999996</v>
      </c>
      <c r="F132" s="142">
        <f t="shared" si="35"/>
        <v>4819.41</v>
      </c>
      <c r="G132" s="142">
        <f t="shared" si="35"/>
        <v>540.65</v>
      </c>
      <c r="H132" s="142">
        <f t="shared" si="35"/>
        <v>0</v>
      </c>
      <c r="I132" s="142">
        <f t="shared" si="35"/>
        <v>9537.7900000000009</v>
      </c>
      <c r="J132" s="52"/>
      <c r="K132" s="142" t="str">
        <f t="shared" ref="K132:R132" si="36">IF(AND(K84="-",K36="-"),"-",SUM(K84,K36))</f>
        <v>-</v>
      </c>
      <c r="L132" s="142" t="str">
        <f t="shared" si="36"/>
        <v>-</v>
      </c>
      <c r="M132" s="142" t="str">
        <f t="shared" si="36"/>
        <v>-</v>
      </c>
      <c r="N132" s="142">
        <f t="shared" si="36"/>
        <v>29010.18</v>
      </c>
      <c r="O132" s="142">
        <f t="shared" si="36"/>
        <v>67286.48000000001</v>
      </c>
      <c r="P132" s="142">
        <f t="shared" si="36"/>
        <v>5887.9400000000005</v>
      </c>
      <c r="Q132" s="142">
        <f t="shared" si="36"/>
        <v>0</v>
      </c>
      <c r="R132" s="142">
        <f t="shared" si="36"/>
        <v>102184.59999999999</v>
      </c>
      <c r="S132" s="17"/>
      <c r="T132" s="17"/>
    </row>
    <row r="133" spans="1:20" ht="11.25" customHeight="1">
      <c r="A133" s="99">
        <v>2008</v>
      </c>
      <c r="B133" s="142" t="str">
        <f t="shared" ref="B133:I133" si="37">IF(AND(B85="-",B37="-"),"-",SUM(B85,B37))</f>
        <v>-</v>
      </c>
      <c r="C133" s="142">
        <f t="shared" si="37"/>
        <v>17</v>
      </c>
      <c r="D133" s="142">
        <f t="shared" si="37"/>
        <v>3162.5499999999997</v>
      </c>
      <c r="E133" s="142">
        <f t="shared" si="37"/>
        <v>6936.7</v>
      </c>
      <c r="F133" s="142">
        <f t="shared" si="37"/>
        <v>4915.58</v>
      </c>
      <c r="G133" s="142">
        <f t="shared" si="37"/>
        <v>413.91</v>
      </c>
      <c r="H133" s="142">
        <f t="shared" si="37"/>
        <v>6.25</v>
      </c>
      <c r="I133" s="142">
        <f t="shared" si="37"/>
        <v>15451.99</v>
      </c>
      <c r="J133" s="52"/>
      <c r="K133" s="142" t="str">
        <f t="shared" ref="K133:R133" si="38">IF(AND(K85="-",K37="-"),"-",SUM(K85,K37))</f>
        <v>-</v>
      </c>
      <c r="L133" s="142" t="str">
        <f t="shared" si="38"/>
        <v>-</v>
      </c>
      <c r="M133" s="142">
        <f t="shared" si="38"/>
        <v>461.27</v>
      </c>
      <c r="N133" s="142">
        <f t="shared" si="38"/>
        <v>7776.8099999999995</v>
      </c>
      <c r="O133" s="142">
        <f t="shared" si="38"/>
        <v>11069.61</v>
      </c>
      <c r="P133" s="142">
        <f t="shared" si="38"/>
        <v>1751.83</v>
      </c>
      <c r="Q133" s="142">
        <f t="shared" si="38"/>
        <v>1.25</v>
      </c>
      <c r="R133" s="142">
        <f t="shared" si="38"/>
        <v>21060.77</v>
      </c>
      <c r="S133" s="17"/>
      <c r="T133" s="17"/>
    </row>
    <row r="134" spans="1:20" ht="11.25" customHeight="1">
      <c r="A134" s="99">
        <v>2009</v>
      </c>
      <c r="B134" s="142" t="str">
        <f t="shared" ref="B134:I134" si="39">IF(AND(B86="-",B38="-"),"-",SUM(B86,B38))</f>
        <v>-</v>
      </c>
      <c r="C134" s="142" t="str">
        <f t="shared" si="39"/>
        <v>-</v>
      </c>
      <c r="D134" s="142">
        <f t="shared" si="39"/>
        <v>196.07</v>
      </c>
      <c r="E134" s="142">
        <f t="shared" si="39"/>
        <v>4898.21</v>
      </c>
      <c r="F134" s="142">
        <f t="shared" si="39"/>
        <v>7775.51</v>
      </c>
      <c r="G134" s="142">
        <f t="shared" si="39"/>
        <v>364.34000000000003</v>
      </c>
      <c r="H134" s="142">
        <f t="shared" si="39"/>
        <v>96.78</v>
      </c>
      <c r="I134" s="142">
        <f t="shared" si="39"/>
        <v>13330.91</v>
      </c>
      <c r="J134" s="52"/>
      <c r="K134" s="142" t="str">
        <f t="shared" ref="K134:R134" si="40">IF(AND(K86="-",K38="-"),"-",SUM(K86,K38))</f>
        <v>-</v>
      </c>
      <c r="L134" s="142" t="str">
        <f t="shared" si="40"/>
        <v>-</v>
      </c>
      <c r="M134" s="142">
        <f t="shared" si="40"/>
        <v>1294.99</v>
      </c>
      <c r="N134" s="142">
        <f t="shared" si="40"/>
        <v>44335.130000000005</v>
      </c>
      <c r="O134" s="142">
        <f t="shared" si="40"/>
        <v>99534.34</v>
      </c>
      <c r="P134" s="142">
        <f t="shared" si="40"/>
        <v>12654.859999999999</v>
      </c>
      <c r="Q134" s="142">
        <f t="shared" si="40"/>
        <v>92.41</v>
      </c>
      <c r="R134" s="142">
        <f t="shared" si="40"/>
        <v>157911.73000000001</v>
      </c>
      <c r="S134" s="17"/>
      <c r="T134" s="17"/>
    </row>
    <row r="135" spans="1:20" ht="11.25" customHeight="1">
      <c r="A135" s="99">
        <v>2010</v>
      </c>
      <c r="B135" s="142" t="str">
        <f t="shared" ref="B135:I135" si="41">IF(AND(B87="-",B39="-"),"-",SUM(B87,B39))</f>
        <v>-</v>
      </c>
      <c r="C135" s="142" t="str">
        <f t="shared" si="41"/>
        <v>-</v>
      </c>
      <c r="D135" s="142">
        <f t="shared" si="41"/>
        <v>5036.8100000000004</v>
      </c>
      <c r="E135" s="142">
        <f t="shared" si="41"/>
        <v>13687.04</v>
      </c>
      <c r="F135" s="142">
        <f t="shared" si="41"/>
        <v>17662.37</v>
      </c>
      <c r="G135" s="142">
        <f t="shared" si="41"/>
        <v>2254.96</v>
      </c>
      <c r="H135" s="142">
        <f t="shared" si="41"/>
        <v>44.95</v>
      </c>
      <c r="I135" s="142">
        <f t="shared" si="41"/>
        <v>38686.130000000005</v>
      </c>
      <c r="J135" s="52"/>
      <c r="K135" s="142" t="str">
        <f t="shared" ref="K135:R135" si="42">IF(AND(K87="-",K39="-"),"-",SUM(K87,K39))</f>
        <v>-</v>
      </c>
      <c r="L135" s="142" t="str">
        <f t="shared" si="42"/>
        <v>-</v>
      </c>
      <c r="M135" s="142">
        <f t="shared" si="42"/>
        <v>59.38</v>
      </c>
      <c r="N135" s="142">
        <f t="shared" si="42"/>
        <v>13726.39</v>
      </c>
      <c r="O135" s="142">
        <f t="shared" si="42"/>
        <v>22403.41</v>
      </c>
      <c r="P135" s="142">
        <f t="shared" si="42"/>
        <v>6160.25</v>
      </c>
      <c r="Q135" s="142">
        <f t="shared" si="42"/>
        <v>36.76</v>
      </c>
      <c r="R135" s="142">
        <f t="shared" si="42"/>
        <v>42386.19</v>
      </c>
      <c r="S135" s="17"/>
      <c r="T135" s="17"/>
    </row>
    <row r="136" spans="1:20" ht="11.25" customHeight="1">
      <c r="A136" s="99">
        <v>2011</v>
      </c>
      <c r="B136" s="142" t="str">
        <f t="shared" ref="B136:I136" si="43">IF(AND(B88="-",B40="-"),"-",SUM(B88,B40))</f>
        <v>-</v>
      </c>
      <c r="C136" s="142" t="str">
        <f t="shared" si="43"/>
        <v>-</v>
      </c>
      <c r="D136" s="142">
        <f t="shared" si="43"/>
        <v>2989.8199999999997</v>
      </c>
      <c r="E136" s="142">
        <f t="shared" si="43"/>
        <v>8417.76</v>
      </c>
      <c r="F136" s="142">
        <f t="shared" si="43"/>
        <v>18441.82</v>
      </c>
      <c r="G136" s="142">
        <f t="shared" si="43"/>
        <v>967.87</v>
      </c>
      <c r="H136" s="142">
        <f t="shared" si="43"/>
        <v>5</v>
      </c>
      <c r="I136" s="142">
        <f t="shared" si="43"/>
        <v>30822.269999999997</v>
      </c>
      <c r="J136" s="52"/>
      <c r="K136" s="142" t="str">
        <f t="shared" ref="K136:R136" si="44">IF(AND(K88="-",K40="-"),"-",SUM(K88,K40))</f>
        <v>-</v>
      </c>
      <c r="L136" s="142" t="str">
        <f t="shared" si="44"/>
        <v>-</v>
      </c>
      <c r="M136" s="142">
        <f t="shared" si="44"/>
        <v>797.72</v>
      </c>
      <c r="N136" s="142">
        <f t="shared" si="44"/>
        <v>13074.210000000001</v>
      </c>
      <c r="O136" s="142">
        <f t="shared" si="44"/>
        <v>25504.17</v>
      </c>
      <c r="P136" s="142">
        <f t="shared" si="44"/>
        <v>6249.25</v>
      </c>
      <c r="Q136" s="142">
        <f t="shared" si="44"/>
        <v>2.4500000000000002</v>
      </c>
      <c r="R136" s="142">
        <f t="shared" si="44"/>
        <v>45627.799999999996</v>
      </c>
      <c r="S136" s="17"/>
      <c r="T136" s="17"/>
    </row>
    <row r="137" spans="1:20" ht="11.25" customHeight="1">
      <c r="A137" s="99">
        <v>2012</v>
      </c>
      <c r="B137" s="142" t="str">
        <f t="shared" ref="B137:I137" si="45">IF(AND(B89="-",B41="-"),"-",SUM(B89,B41))</f>
        <v>-</v>
      </c>
      <c r="C137" s="142" t="str">
        <f t="shared" si="45"/>
        <v>-</v>
      </c>
      <c r="D137" s="142">
        <f t="shared" si="45"/>
        <v>10842.96</v>
      </c>
      <c r="E137" s="142">
        <f t="shared" si="45"/>
        <v>10869.55</v>
      </c>
      <c r="F137" s="142">
        <f t="shared" si="45"/>
        <v>11447.119999999999</v>
      </c>
      <c r="G137" s="142">
        <f t="shared" si="45"/>
        <v>2140.63</v>
      </c>
      <c r="H137" s="142">
        <f t="shared" si="45"/>
        <v>132.59</v>
      </c>
      <c r="I137" s="142">
        <f t="shared" si="45"/>
        <v>35432.850000000006</v>
      </c>
      <c r="J137" s="52"/>
      <c r="K137" s="142" t="str">
        <f t="shared" ref="K137:R137" si="46">IF(AND(K89="-",K41="-"),"-",SUM(K89,K41))</f>
        <v>-</v>
      </c>
      <c r="L137" s="142" t="str">
        <f t="shared" si="46"/>
        <v>-</v>
      </c>
      <c r="M137" s="142">
        <f t="shared" si="46"/>
        <v>493.48</v>
      </c>
      <c r="N137" s="142">
        <f t="shared" si="46"/>
        <v>10911.51</v>
      </c>
      <c r="O137" s="142">
        <f t="shared" si="46"/>
        <v>12682.220000000001</v>
      </c>
      <c r="P137" s="142">
        <f t="shared" si="46"/>
        <v>8998.2100000000009</v>
      </c>
      <c r="Q137" s="142">
        <f t="shared" si="46"/>
        <v>20.81</v>
      </c>
      <c r="R137" s="142">
        <f t="shared" si="46"/>
        <v>33106.229999999996</v>
      </c>
      <c r="S137" s="17"/>
      <c r="T137" s="17"/>
    </row>
    <row r="138" spans="1:20" ht="11.25" customHeight="1">
      <c r="A138" s="99">
        <v>2013</v>
      </c>
      <c r="B138" s="142" t="str">
        <f t="shared" ref="B138:I138" si="47">IF(AND(B90="-",B42="-"),"-",SUM(B90,B42))</f>
        <v>-</v>
      </c>
      <c r="C138" s="142">
        <f t="shared" si="47"/>
        <v>130.57999999999998</v>
      </c>
      <c r="D138" s="142">
        <f t="shared" si="47"/>
        <v>4957.43</v>
      </c>
      <c r="E138" s="142">
        <f t="shared" si="47"/>
        <v>9041.93</v>
      </c>
      <c r="F138" s="142">
        <f t="shared" si="47"/>
        <v>14526.3</v>
      </c>
      <c r="G138" s="142">
        <f t="shared" si="47"/>
        <v>2060.9300000000003</v>
      </c>
      <c r="H138" s="142">
        <f t="shared" si="47"/>
        <v>118.68</v>
      </c>
      <c r="I138" s="142">
        <f t="shared" si="47"/>
        <v>30835.85</v>
      </c>
      <c r="J138" s="52"/>
      <c r="K138" s="142" t="str">
        <f t="shared" ref="K138:R138" si="48">IF(AND(K90="-",K42="-"),"-",SUM(K90,K42))</f>
        <v>-</v>
      </c>
      <c r="L138" s="142" t="str">
        <f t="shared" si="48"/>
        <v>-</v>
      </c>
      <c r="M138" s="142">
        <f t="shared" si="48"/>
        <v>4122.6000000000004</v>
      </c>
      <c r="N138" s="142">
        <f t="shared" si="48"/>
        <v>11616.59</v>
      </c>
      <c r="O138" s="142">
        <f t="shared" si="48"/>
        <v>27487.87</v>
      </c>
      <c r="P138" s="142">
        <f t="shared" si="48"/>
        <v>6908.22</v>
      </c>
      <c r="Q138" s="142">
        <f t="shared" si="48"/>
        <v>17.72</v>
      </c>
      <c r="R138" s="142">
        <f t="shared" si="48"/>
        <v>50153</v>
      </c>
      <c r="S138" s="17"/>
      <c r="T138" s="17"/>
    </row>
    <row r="139" spans="1:20" ht="11.25" customHeight="1">
      <c r="A139" s="99">
        <v>2014</v>
      </c>
      <c r="B139" s="142" t="str">
        <f t="shared" ref="B139:I139" si="49">IF(AND(B91="-",B43="-"),"-",SUM(B91,B43))</f>
        <v>-</v>
      </c>
      <c r="C139" s="142">
        <f t="shared" si="49"/>
        <v>650.30999999999995</v>
      </c>
      <c r="D139" s="142">
        <f t="shared" si="49"/>
        <v>6176.5</v>
      </c>
      <c r="E139" s="142">
        <f t="shared" si="49"/>
        <v>16088.49</v>
      </c>
      <c r="F139" s="142">
        <f t="shared" si="49"/>
        <v>17576.010000000002</v>
      </c>
      <c r="G139" s="142">
        <f t="shared" si="49"/>
        <v>1729.44</v>
      </c>
      <c r="H139" s="142">
        <f t="shared" si="49"/>
        <v>110.29</v>
      </c>
      <c r="I139" s="142">
        <f t="shared" si="49"/>
        <v>42331.039999999994</v>
      </c>
      <c r="J139" s="52"/>
      <c r="K139" s="142" t="str">
        <f t="shared" ref="K139:Q139" si="50">IF(AND(K91="-",K43="-"),"-",SUM(K91,K43))</f>
        <v>-</v>
      </c>
      <c r="L139" s="142" t="str">
        <f t="shared" si="50"/>
        <v>-</v>
      </c>
      <c r="M139" s="142">
        <f t="shared" si="50"/>
        <v>8839.01</v>
      </c>
      <c r="N139" s="142">
        <f t="shared" si="50"/>
        <v>40204.6</v>
      </c>
      <c r="O139" s="142">
        <f t="shared" si="50"/>
        <v>60914.15</v>
      </c>
      <c r="P139" s="142">
        <f t="shared" si="50"/>
        <v>29640.080000000002</v>
      </c>
      <c r="Q139" s="142">
        <f t="shared" si="50"/>
        <v>199.14</v>
      </c>
      <c r="R139" s="142">
        <f t="shared" ref="R139:R144" si="51">IF(AND(R91="-",R43="-"),"-",SUM(R91,R43))</f>
        <v>139796.98000000001</v>
      </c>
      <c r="S139" s="17"/>
      <c r="T139" s="17"/>
    </row>
    <row r="140" spans="1:20" ht="11.25" customHeight="1">
      <c r="A140" s="99">
        <v>2015</v>
      </c>
      <c r="B140" s="142" t="str">
        <f t="shared" ref="B140:I140" si="52">IF(AND(B92="-",B44="-"),"-",SUM(B92,B44))</f>
        <v>-</v>
      </c>
      <c r="C140" s="142">
        <f t="shared" si="52"/>
        <v>623.16</v>
      </c>
      <c r="D140" s="142">
        <f t="shared" si="52"/>
        <v>6297.58</v>
      </c>
      <c r="E140" s="142">
        <f t="shared" si="52"/>
        <v>17514.86</v>
      </c>
      <c r="F140" s="142">
        <f t="shared" si="52"/>
        <v>11538.57</v>
      </c>
      <c r="G140" s="142">
        <f t="shared" si="52"/>
        <v>6049.3099999999995</v>
      </c>
      <c r="H140" s="142">
        <f t="shared" si="52"/>
        <v>164.41</v>
      </c>
      <c r="I140" s="142">
        <f t="shared" si="52"/>
        <v>42187.89</v>
      </c>
      <c r="J140" s="52"/>
      <c r="K140" s="142" t="str">
        <f t="shared" ref="K140:Q140" si="53">IF(AND(K92="-",K44="-"),"-",SUM(K92,K44))</f>
        <v>-</v>
      </c>
      <c r="L140" s="142" t="str">
        <f t="shared" si="53"/>
        <v>-</v>
      </c>
      <c r="M140" s="142">
        <f t="shared" si="53"/>
        <v>5946.9400000000005</v>
      </c>
      <c r="N140" s="142">
        <f t="shared" si="53"/>
        <v>31174.42</v>
      </c>
      <c r="O140" s="142">
        <f t="shared" si="53"/>
        <v>27415.649999999998</v>
      </c>
      <c r="P140" s="142">
        <f t="shared" si="53"/>
        <v>19027.48</v>
      </c>
      <c r="Q140" s="142">
        <f t="shared" si="53"/>
        <v>12.74</v>
      </c>
      <c r="R140" s="142">
        <f t="shared" si="51"/>
        <v>83577.23000000001</v>
      </c>
      <c r="S140" s="17"/>
      <c r="T140" s="17"/>
    </row>
    <row r="141" spans="1:20" ht="11.25" customHeight="1">
      <c r="A141" s="99">
        <v>2016</v>
      </c>
      <c r="B141" s="142" t="str">
        <f t="shared" ref="B141:I141" si="54">IF(AND(B93="-",B45="-"),"-",SUM(B93,B45))</f>
        <v>-</v>
      </c>
      <c r="C141" s="142" t="str">
        <f t="shared" si="54"/>
        <v>-</v>
      </c>
      <c r="D141" s="142" t="str">
        <f t="shared" si="54"/>
        <v>-</v>
      </c>
      <c r="E141" s="142">
        <f t="shared" si="54"/>
        <v>10171.99</v>
      </c>
      <c r="F141" s="142">
        <f t="shared" si="54"/>
        <v>7775.48</v>
      </c>
      <c r="G141" s="142" t="str">
        <f t="shared" si="54"/>
        <v>-</v>
      </c>
      <c r="H141" s="142" t="str">
        <f t="shared" si="54"/>
        <v>-</v>
      </c>
      <c r="I141" s="142">
        <f t="shared" si="54"/>
        <v>17947.47</v>
      </c>
      <c r="J141" s="52"/>
      <c r="K141" s="142" t="str">
        <f t="shared" ref="K141:Q141" si="55">IF(AND(K93="-",K45="-"),"-",SUM(K93,K45))</f>
        <v>-</v>
      </c>
      <c r="L141" s="142" t="str">
        <f t="shared" si="55"/>
        <v>-</v>
      </c>
      <c r="M141" s="142" t="str">
        <f t="shared" si="55"/>
        <v>-</v>
      </c>
      <c r="N141" s="142">
        <f t="shared" si="55"/>
        <v>5669.99</v>
      </c>
      <c r="O141" s="142">
        <f t="shared" si="55"/>
        <v>13042.630000000001</v>
      </c>
      <c r="P141" s="142" t="str">
        <f t="shared" si="55"/>
        <v>-</v>
      </c>
      <c r="Q141" s="142" t="str">
        <f t="shared" si="55"/>
        <v>-</v>
      </c>
      <c r="R141" s="142">
        <f t="shared" si="51"/>
        <v>18712.62</v>
      </c>
      <c r="S141" s="17"/>
      <c r="T141" s="17"/>
    </row>
    <row r="142" spans="1:20" ht="11.25" customHeight="1">
      <c r="A142" s="99">
        <v>2017</v>
      </c>
      <c r="B142" s="142" t="str">
        <f t="shared" ref="B142:I142" si="56">IF(AND(B94="-",B46="-"),"-",SUM(B94,B46))</f>
        <v>-</v>
      </c>
      <c r="C142" s="142" t="str">
        <f t="shared" si="56"/>
        <v>-</v>
      </c>
      <c r="D142" s="142">
        <f t="shared" si="56"/>
        <v>899.28</v>
      </c>
      <c r="E142" s="142">
        <f t="shared" si="56"/>
        <v>13348.34</v>
      </c>
      <c r="F142" s="142">
        <f t="shared" si="56"/>
        <v>7606.829999999999</v>
      </c>
      <c r="G142" s="142">
        <f t="shared" si="56"/>
        <v>90.74</v>
      </c>
      <c r="H142" s="142" t="str">
        <f t="shared" si="56"/>
        <v>-</v>
      </c>
      <c r="I142" s="142">
        <f t="shared" si="56"/>
        <v>21945.190000000002</v>
      </c>
      <c r="J142" s="52"/>
      <c r="K142" s="142" t="str">
        <f t="shared" ref="K142:Q142" si="57">IF(AND(K94="-",K46="-"),"-",SUM(K94,K46))</f>
        <v>-</v>
      </c>
      <c r="L142" s="142" t="str">
        <f t="shared" si="57"/>
        <v>-</v>
      </c>
      <c r="M142" s="142">
        <f t="shared" si="57"/>
        <v>100.71000000000001</v>
      </c>
      <c r="N142" s="142">
        <f t="shared" si="57"/>
        <v>16563.330000000002</v>
      </c>
      <c r="O142" s="142">
        <f t="shared" si="57"/>
        <v>25063.15</v>
      </c>
      <c r="P142" s="142">
        <f t="shared" si="57"/>
        <v>929.59999999999991</v>
      </c>
      <c r="Q142" s="142" t="str">
        <f t="shared" si="57"/>
        <v>-</v>
      </c>
      <c r="R142" s="142">
        <f t="shared" si="51"/>
        <v>42656.79</v>
      </c>
      <c r="S142" s="17"/>
      <c r="T142" s="17"/>
    </row>
    <row r="143" spans="1:20" ht="11.25" customHeight="1">
      <c r="A143" s="99">
        <v>2018</v>
      </c>
      <c r="B143" s="142" t="str">
        <f t="shared" ref="B143:I143" si="58">IF(AND(B95="-",B47="-"),"-",SUM(B95,B47))</f>
        <v>-</v>
      </c>
      <c r="C143" s="142" t="str">
        <f t="shared" si="58"/>
        <v>-</v>
      </c>
      <c r="D143" s="142">
        <f t="shared" si="58"/>
        <v>952.96</v>
      </c>
      <c r="E143" s="142">
        <f t="shared" si="58"/>
        <v>5564.03</v>
      </c>
      <c r="F143" s="142">
        <f t="shared" si="58"/>
        <v>4027.67</v>
      </c>
      <c r="G143" s="142">
        <f t="shared" si="58"/>
        <v>57.63</v>
      </c>
      <c r="H143" s="142" t="str">
        <f t="shared" si="58"/>
        <v>-</v>
      </c>
      <c r="I143" s="142">
        <f t="shared" si="58"/>
        <v>10602.29</v>
      </c>
      <c r="J143" s="52"/>
      <c r="K143" s="142" t="str">
        <f t="shared" ref="K143:Q143" si="59">IF(AND(K95="-",K47="-"),"-",SUM(K95,K47))</f>
        <v>-</v>
      </c>
      <c r="L143" s="142" t="str">
        <f t="shared" si="59"/>
        <v>-</v>
      </c>
      <c r="M143" s="142">
        <f t="shared" si="59"/>
        <v>867.94</v>
      </c>
      <c r="N143" s="142">
        <f t="shared" si="59"/>
        <v>10973.68</v>
      </c>
      <c r="O143" s="142">
        <f t="shared" si="59"/>
        <v>29645.989999999998</v>
      </c>
      <c r="P143" s="142">
        <f t="shared" si="59"/>
        <v>350.28999999999996</v>
      </c>
      <c r="Q143" s="142" t="str">
        <f t="shared" si="59"/>
        <v>-</v>
      </c>
      <c r="R143" s="142">
        <f t="shared" si="51"/>
        <v>41837.899999999994</v>
      </c>
      <c r="S143" s="17"/>
      <c r="T143" s="17"/>
    </row>
    <row r="144" spans="1:20" ht="11.25" customHeight="1">
      <c r="A144" s="99">
        <v>2019</v>
      </c>
      <c r="B144" s="142" t="str">
        <f t="shared" ref="B144:I144" si="60">IF(AND(B96="-",B48="-"),"-",SUM(B96,B48))</f>
        <v>-</v>
      </c>
      <c r="C144" s="142" t="str">
        <f t="shared" si="60"/>
        <v>-</v>
      </c>
      <c r="D144" s="142">
        <f t="shared" si="60"/>
        <v>1950.9900000000002</v>
      </c>
      <c r="E144" s="142">
        <f t="shared" si="60"/>
        <v>5965.1900000000005</v>
      </c>
      <c r="F144" s="142">
        <f t="shared" si="60"/>
        <v>2521.5500000000002</v>
      </c>
      <c r="G144" s="142">
        <f t="shared" si="60"/>
        <v>276.18</v>
      </c>
      <c r="H144" s="142">
        <f t="shared" si="60"/>
        <v>164.35</v>
      </c>
      <c r="I144" s="142">
        <f t="shared" si="60"/>
        <v>10878.26</v>
      </c>
      <c r="J144" s="52"/>
      <c r="K144" s="142" t="str">
        <f t="shared" ref="K144:Q144" si="61">IF(AND(K96="-",K48="-"),"-",SUM(K96,K48))</f>
        <v>-</v>
      </c>
      <c r="L144" s="142" t="str">
        <f t="shared" si="61"/>
        <v>-</v>
      </c>
      <c r="M144" s="142">
        <f t="shared" si="61"/>
        <v>6455.35</v>
      </c>
      <c r="N144" s="142">
        <f t="shared" si="61"/>
        <v>32492.399999999998</v>
      </c>
      <c r="O144" s="142">
        <f t="shared" si="61"/>
        <v>39329.089999999997</v>
      </c>
      <c r="P144" s="142">
        <f t="shared" si="61"/>
        <v>3355.85</v>
      </c>
      <c r="Q144" s="142">
        <f t="shared" si="61"/>
        <v>15.86</v>
      </c>
      <c r="R144" s="142">
        <f t="shared" si="51"/>
        <v>81648.55</v>
      </c>
      <c r="S144" s="17"/>
      <c r="T144" s="17"/>
    </row>
    <row r="145" spans="1:20" ht="11.25" customHeight="1">
      <c r="A145" s="99">
        <v>2020</v>
      </c>
      <c r="B145" s="142" t="str">
        <f t="shared" ref="B145:H146" si="62">IF(AND(B97="-",B49="-"),"-",SUM(B97,B49))</f>
        <v>-</v>
      </c>
      <c r="C145" s="142" t="str">
        <f t="shared" si="62"/>
        <v>-</v>
      </c>
      <c r="D145" s="142">
        <f t="shared" si="62"/>
        <v>821.30000000000007</v>
      </c>
      <c r="E145" s="142">
        <f t="shared" si="62"/>
        <v>4769.3599999999997</v>
      </c>
      <c r="F145" s="142">
        <f t="shared" si="62"/>
        <v>1591.84</v>
      </c>
      <c r="G145" s="142">
        <f t="shared" si="62"/>
        <v>478.51</v>
      </c>
      <c r="H145" s="142" t="str">
        <f t="shared" si="62"/>
        <v>-</v>
      </c>
      <c r="I145" s="142">
        <f>IF(AND(I97="-",I49="-"),"-",SUM(I97,I49))</f>
        <v>7661.01</v>
      </c>
      <c r="J145" s="52"/>
      <c r="K145" s="142" t="str">
        <f t="shared" ref="K145:R146" si="63">IF(AND(K97="-",K49="-"),"-",SUM(K97,K49))</f>
        <v>-</v>
      </c>
      <c r="L145" s="142" t="str">
        <f t="shared" si="63"/>
        <v>-</v>
      </c>
      <c r="M145" s="142">
        <f t="shared" si="63"/>
        <v>49.98</v>
      </c>
      <c r="N145" s="142">
        <f t="shared" si="63"/>
        <v>17699.04</v>
      </c>
      <c r="O145" s="142">
        <f t="shared" si="63"/>
        <v>3894.54</v>
      </c>
      <c r="P145" s="142">
        <f t="shared" si="63"/>
        <v>2327.23</v>
      </c>
      <c r="Q145" s="142" t="str">
        <f t="shared" si="63"/>
        <v>-</v>
      </c>
      <c r="R145" s="142">
        <f t="shared" si="63"/>
        <v>23970.79</v>
      </c>
      <c r="S145" s="17"/>
      <c r="T145" s="17"/>
    </row>
    <row r="146" spans="1:20" ht="11.25" customHeight="1">
      <c r="A146" s="99" t="s">
        <v>318</v>
      </c>
      <c r="B146" s="15" t="str">
        <f t="shared" si="62"/>
        <v>-</v>
      </c>
      <c r="C146" s="15" t="str">
        <f t="shared" si="62"/>
        <v>-</v>
      </c>
      <c r="D146" s="15">
        <f t="shared" si="62"/>
        <v>2048.58</v>
      </c>
      <c r="E146" s="15">
        <f t="shared" si="62"/>
        <v>9201.64</v>
      </c>
      <c r="F146" s="15">
        <f t="shared" si="62"/>
        <v>6111.09</v>
      </c>
      <c r="G146" s="15">
        <f t="shared" si="62"/>
        <v>453.01000000000005</v>
      </c>
      <c r="H146" s="15" t="str">
        <f t="shared" si="62"/>
        <v>-</v>
      </c>
      <c r="I146" s="15">
        <f>IF(AND(I98="-",I50="-"),"-",SUM(I98,I50))</f>
        <v>17814.32</v>
      </c>
      <c r="J146" s="41"/>
      <c r="K146" s="15" t="str">
        <f t="shared" si="63"/>
        <v>-</v>
      </c>
      <c r="L146" s="15" t="str">
        <f t="shared" si="63"/>
        <v>-</v>
      </c>
      <c r="M146" s="15">
        <f t="shared" si="63"/>
        <v>279.87</v>
      </c>
      <c r="N146" s="15">
        <f t="shared" si="63"/>
        <v>15970.86</v>
      </c>
      <c r="O146" s="15">
        <f t="shared" si="63"/>
        <v>40488.25</v>
      </c>
      <c r="P146" s="15">
        <f t="shared" si="63"/>
        <v>7438.5</v>
      </c>
      <c r="Q146" s="15" t="str">
        <f t="shared" si="63"/>
        <v>-</v>
      </c>
      <c r="R146" s="15">
        <f t="shared" si="63"/>
        <v>64177.479999999996</v>
      </c>
      <c r="S146" s="17"/>
      <c r="T146" s="17"/>
    </row>
    <row r="147" spans="1:20" ht="11.25" customHeight="1">
      <c r="A147" s="342" t="s">
        <v>88</v>
      </c>
      <c r="B147" s="342"/>
      <c r="C147" s="342"/>
      <c r="D147" s="342"/>
      <c r="E147" s="342"/>
      <c r="F147" s="342"/>
      <c r="G147" s="342"/>
      <c r="H147" s="342"/>
      <c r="I147" s="342"/>
      <c r="J147" s="342"/>
      <c r="K147" s="342"/>
      <c r="L147" s="342"/>
      <c r="M147" s="342"/>
      <c r="N147" s="342"/>
      <c r="O147" s="342"/>
      <c r="P147" s="342"/>
      <c r="Q147" s="342"/>
      <c r="R147" s="342"/>
      <c r="S147" s="17"/>
    </row>
    <row r="148" spans="1:20" ht="11.25" customHeight="1">
      <c r="A148" s="280" t="s">
        <v>174</v>
      </c>
      <c r="B148" s="280"/>
      <c r="C148" s="280"/>
      <c r="D148" s="280"/>
      <c r="E148" s="280"/>
      <c r="F148" s="280"/>
      <c r="G148" s="280"/>
      <c r="H148" s="280"/>
      <c r="I148" s="280"/>
      <c r="J148" s="280"/>
      <c r="K148" s="280"/>
      <c r="L148" s="280"/>
      <c r="M148" s="280"/>
      <c r="N148" s="280"/>
      <c r="O148" s="280"/>
      <c r="P148" s="280"/>
      <c r="Q148" s="280"/>
      <c r="R148" s="280"/>
    </row>
    <row r="149" spans="1:20" ht="11.25" customHeight="1">
      <c r="A149" s="281" t="s">
        <v>126</v>
      </c>
      <c r="B149" s="281"/>
      <c r="C149" s="281"/>
      <c r="D149" s="281"/>
      <c r="E149" s="281"/>
      <c r="F149" s="281"/>
      <c r="G149" s="281"/>
      <c r="H149" s="281"/>
      <c r="I149" s="281"/>
      <c r="J149" s="281"/>
      <c r="K149" s="281"/>
      <c r="L149" s="281"/>
      <c r="M149" s="281"/>
      <c r="N149" s="281"/>
      <c r="O149" s="281"/>
      <c r="P149" s="281"/>
      <c r="Q149" s="281"/>
      <c r="R149" s="281"/>
    </row>
    <row r="150" spans="1:20" ht="11.25" customHeight="1">
      <c r="A150" s="287" t="s">
        <v>40</v>
      </c>
      <c r="B150" s="287"/>
      <c r="C150" s="287"/>
      <c r="D150" s="287"/>
      <c r="E150" s="287"/>
      <c r="F150" s="287"/>
      <c r="G150" s="287"/>
      <c r="H150" s="287"/>
      <c r="I150" s="287"/>
      <c r="J150" s="287"/>
      <c r="K150" s="287"/>
      <c r="L150" s="287"/>
      <c r="M150" s="287"/>
      <c r="N150" s="287"/>
      <c r="O150" s="287"/>
      <c r="P150" s="287"/>
      <c r="Q150" s="287"/>
      <c r="R150" s="287"/>
    </row>
    <row r="151" spans="1:20" ht="11.25" customHeight="1">
      <c r="A151" s="226"/>
      <c r="B151" s="51"/>
      <c r="C151" s="51"/>
      <c r="D151" s="51"/>
      <c r="E151" s="51"/>
      <c r="F151" s="51"/>
      <c r="G151" s="51"/>
      <c r="H151" s="51"/>
      <c r="I151" s="51"/>
      <c r="K151" s="51"/>
      <c r="L151" s="51"/>
      <c r="M151" s="51"/>
      <c r="N151" s="51"/>
      <c r="O151" s="51"/>
      <c r="P151" s="51"/>
      <c r="Q151" s="51"/>
      <c r="R151" s="51"/>
    </row>
    <row r="152" spans="1:20" ht="11.25" customHeight="1"/>
    <row r="153" spans="1:20" ht="11.25" customHeight="1"/>
    <row r="154" spans="1:20" ht="11.25" customHeight="1"/>
    <row r="155" spans="1:20" ht="11.25" customHeight="1"/>
    <row r="156" spans="1:20" ht="11.25" customHeight="1"/>
    <row r="157" spans="1:20" ht="11.25" customHeight="1"/>
    <row r="158" spans="1:20" ht="11.25" customHeight="1"/>
    <row r="159" spans="1:20" ht="11.25" customHeight="1"/>
    <row r="160" spans="1:20" ht="11.25" customHeight="1"/>
    <row r="161" spans="1:18" ht="11.25" customHeight="1"/>
    <row r="162" spans="1:18" ht="11.25" customHeight="1">
      <c r="A162" s="158"/>
      <c r="B162" s="159"/>
      <c r="C162" s="159"/>
      <c r="D162" s="159"/>
      <c r="E162" s="159"/>
      <c r="F162" s="159"/>
      <c r="G162" s="159"/>
      <c r="H162" s="159"/>
      <c r="I162" s="159"/>
      <c r="J162" s="170"/>
      <c r="K162" s="159"/>
      <c r="L162" s="159"/>
      <c r="M162" s="159"/>
      <c r="N162" s="159"/>
      <c r="O162" s="159"/>
      <c r="P162" s="159"/>
      <c r="Q162" s="159"/>
      <c r="R162" s="159"/>
    </row>
    <row r="163" spans="1:18" ht="11.25" customHeight="1"/>
    <row r="164" spans="1:18" ht="11.25" customHeight="1"/>
    <row r="165" spans="1:18" ht="11.25" customHeight="1">
      <c r="A165" s="99"/>
      <c r="B165" s="142"/>
      <c r="C165" s="142"/>
      <c r="D165" s="142"/>
      <c r="E165" s="142"/>
      <c r="F165" s="142"/>
      <c r="G165" s="142"/>
      <c r="H165" s="142"/>
      <c r="I165" s="142"/>
      <c r="K165" s="142"/>
      <c r="L165" s="142"/>
      <c r="M165" s="142"/>
      <c r="N165" s="142"/>
      <c r="O165" s="142"/>
      <c r="P165" s="142"/>
      <c r="Q165" s="142"/>
      <c r="R165" s="142"/>
    </row>
    <row r="166" spans="1:18" ht="11.25" customHeight="1">
      <c r="A166" s="99"/>
      <c r="B166" s="142"/>
      <c r="C166" s="142"/>
      <c r="D166" s="142"/>
      <c r="E166" s="142"/>
      <c r="F166" s="142"/>
      <c r="G166" s="142"/>
      <c r="H166" s="142"/>
      <c r="I166" s="142"/>
      <c r="K166" s="142"/>
      <c r="L166" s="142"/>
      <c r="M166" s="142"/>
      <c r="N166" s="142"/>
      <c r="O166" s="142"/>
      <c r="P166" s="142"/>
      <c r="Q166" s="142"/>
      <c r="R166" s="142"/>
    </row>
    <row r="167" spans="1:18" ht="11.25" customHeight="1"/>
    <row r="168" spans="1:18" ht="11.25" customHeight="1"/>
    <row r="169" spans="1:18" ht="11.25" customHeight="1"/>
    <row r="170" spans="1:18" ht="11.25" customHeight="1"/>
    <row r="171" spans="1:18" ht="11.25" customHeight="1"/>
    <row r="172" spans="1:18" ht="11.25" customHeight="1"/>
    <row r="173" spans="1:18" ht="11.25" customHeight="1"/>
    <row r="174" spans="1:18">
      <c r="A174" s="287" t="s">
        <v>239</v>
      </c>
      <c r="B174" s="287"/>
      <c r="C174" s="287"/>
      <c r="D174" s="287"/>
      <c r="E174" s="287"/>
      <c r="F174" s="287"/>
      <c r="G174" s="287"/>
      <c r="H174" s="287"/>
      <c r="I174" s="287"/>
      <c r="J174" s="287"/>
      <c r="K174" s="287"/>
      <c r="L174" s="287"/>
      <c r="M174" s="287"/>
      <c r="N174" s="287"/>
      <c r="O174" s="287"/>
      <c r="P174" s="287"/>
      <c r="Q174" s="287"/>
      <c r="R174" s="287"/>
    </row>
    <row r="175" spans="1:18" ht="11.25" customHeight="1">
      <c r="A175" s="98" t="s">
        <v>27</v>
      </c>
      <c r="B175" s="233" t="s">
        <v>108</v>
      </c>
      <c r="C175" s="233" t="s">
        <v>29</v>
      </c>
      <c r="D175" s="233" t="s">
        <v>30</v>
      </c>
      <c r="E175" s="233" t="s">
        <v>31</v>
      </c>
      <c r="F175" s="233" t="s">
        <v>32</v>
      </c>
      <c r="G175" s="233" t="s">
        <v>33</v>
      </c>
      <c r="H175" s="233" t="s">
        <v>34</v>
      </c>
      <c r="I175" s="101" t="s">
        <v>219</v>
      </c>
      <c r="J175" s="234"/>
      <c r="K175" s="233" t="s">
        <v>108</v>
      </c>
      <c r="L175" s="233" t="s">
        <v>29</v>
      </c>
      <c r="M175" s="233" t="s">
        <v>30</v>
      </c>
      <c r="N175" s="233" t="s">
        <v>31</v>
      </c>
      <c r="O175" s="233" t="s">
        <v>32</v>
      </c>
      <c r="P175" s="233" t="s">
        <v>33</v>
      </c>
      <c r="Q175" s="233" t="s">
        <v>34</v>
      </c>
      <c r="R175" s="233" t="s">
        <v>22</v>
      </c>
    </row>
    <row r="176" spans="1:18" ht="11.25" customHeight="1">
      <c r="A176" s="99"/>
      <c r="B176" s="334" t="s">
        <v>61</v>
      </c>
      <c r="C176" s="334"/>
      <c r="D176" s="334"/>
      <c r="E176" s="334"/>
      <c r="F176" s="334"/>
      <c r="G176" s="334"/>
      <c r="H176" s="334"/>
      <c r="I176" s="334"/>
      <c r="J176" s="6"/>
      <c r="K176" s="334" t="s">
        <v>62</v>
      </c>
      <c r="L176" s="334"/>
      <c r="M176" s="334"/>
      <c r="N176" s="334"/>
      <c r="O176" s="334"/>
      <c r="P176" s="334"/>
      <c r="Q176" s="334"/>
      <c r="R176" s="334"/>
    </row>
    <row r="177" spans="1:18">
      <c r="A177" s="94" t="s">
        <v>237</v>
      </c>
      <c r="B177" s="142"/>
      <c r="C177" s="142"/>
      <c r="D177" s="142"/>
      <c r="E177" s="142"/>
      <c r="F177" s="142"/>
      <c r="G177" s="142"/>
      <c r="H177" s="142"/>
      <c r="I177" s="142"/>
      <c r="J177" s="52"/>
      <c r="K177" s="142"/>
      <c r="L177" s="142"/>
      <c r="M177" s="142"/>
      <c r="N177" s="142"/>
      <c r="O177" s="142"/>
      <c r="P177" s="142"/>
      <c r="Q177" s="142"/>
      <c r="R177" s="142"/>
    </row>
    <row r="178" spans="1:18" ht="11.25" customHeight="1">
      <c r="A178" s="99" t="s">
        <v>24</v>
      </c>
      <c r="B178" s="142">
        <f t="shared" ref="B178:I178" si="64">AVERAGE(B10:B14)</f>
        <v>57.4</v>
      </c>
      <c r="C178" s="142">
        <f t="shared" si="64"/>
        <v>1981.8</v>
      </c>
      <c r="D178" s="142">
        <f t="shared" si="64"/>
        <v>13193.4</v>
      </c>
      <c r="E178" s="142">
        <f t="shared" si="64"/>
        <v>18821.599999999999</v>
      </c>
      <c r="F178" s="142">
        <f t="shared" si="64"/>
        <v>8162</v>
      </c>
      <c r="G178" s="142">
        <f t="shared" si="64"/>
        <v>505.25</v>
      </c>
      <c r="H178" s="142">
        <f t="shared" si="64"/>
        <v>26</v>
      </c>
      <c r="I178" s="142">
        <f t="shared" si="64"/>
        <v>42630.8</v>
      </c>
      <c r="J178" s="52"/>
      <c r="K178" s="142">
        <f t="shared" ref="K178:R178" si="65">AVERAGE(K10:K14)</f>
        <v>80</v>
      </c>
      <c r="L178" s="142">
        <f t="shared" si="65"/>
        <v>1157.3333333333333</v>
      </c>
      <c r="M178" s="142">
        <f t="shared" si="65"/>
        <v>12324</v>
      </c>
      <c r="N178" s="142">
        <f t="shared" si="65"/>
        <v>37403.599999999999</v>
      </c>
      <c r="O178" s="142">
        <f t="shared" si="65"/>
        <v>42235.199999999997</v>
      </c>
      <c r="P178" s="142">
        <f t="shared" si="65"/>
        <v>6210.8</v>
      </c>
      <c r="Q178" s="142">
        <f t="shared" si="65"/>
        <v>161</v>
      </c>
      <c r="R178" s="142">
        <f t="shared" si="65"/>
        <v>96515.8</v>
      </c>
    </row>
    <row r="179" spans="1:18" ht="11.25" customHeight="1">
      <c r="A179" s="99" t="s">
        <v>78</v>
      </c>
      <c r="B179" s="142" t="s">
        <v>23</v>
      </c>
      <c r="C179" s="142">
        <f t="shared" ref="C179:I179" si="66">AVERAGE(C15:C19)</f>
        <v>790</v>
      </c>
      <c r="D179" s="142">
        <f t="shared" si="66"/>
        <v>1653.25</v>
      </c>
      <c r="E179" s="142">
        <f t="shared" si="66"/>
        <v>12706.2</v>
      </c>
      <c r="F179" s="142">
        <f t="shared" si="66"/>
        <v>5372.6</v>
      </c>
      <c r="G179" s="142">
        <f t="shared" si="66"/>
        <v>1161.3333333333333</v>
      </c>
      <c r="H179" s="142" t="s">
        <v>23</v>
      </c>
      <c r="I179" s="142">
        <f t="shared" si="66"/>
        <v>20256.2</v>
      </c>
      <c r="J179" s="52"/>
      <c r="K179" s="142" t="s">
        <v>23</v>
      </c>
      <c r="L179" s="142">
        <f t="shared" ref="L179:R179" si="67">AVERAGE(L15:L19)</f>
        <v>19</v>
      </c>
      <c r="M179" s="142">
        <f t="shared" si="67"/>
        <v>2439.25</v>
      </c>
      <c r="N179" s="142">
        <f t="shared" si="67"/>
        <v>58151</v>
      </c>
      <c r="O179" s="142">
        <f t="shared" si="67"/>
        <v>35745.800000000003</v>
      </c>
      <c r="P179" s="142">
        <f t="shared" si="67"/>
        <v>6320</v>
      </c>
      <c r="Q179" s="142">
        <f t="shared" si="67"/>
        <v>44.5</v>
      </c>
      <c r="R179" s="142">
        <f t="shared" si="67"/>
        <v>102189.8</v>
      </c>
    </row>
    <row r="180" spans="1:18" ht="11.25" customHeight="1">
      <c r="A180" s="99" t="s">
        <v>10</v>
      </c>
      <c r="B180" s="142" t="s">
        <v>23</v>
      </c>
      <c r="C180" s="142">
        <f>AVERAGE(C20:C24)</f>
        <v>148</v>
      </c>
      <c r="D180" s="142">
        <f t="shared" ref="D180:R180" si="68">AVERAGE(D20:D24)</f>
        <v>1911</v>
      </c>
      <c r="E180" s="142">
        <f t="shared" si="68"/>
        <v>4305</v>
      </c>
      <c r="F180" s="142">
        <f t="shared" si="68"/>
        <v>3020</v>
      </c>
      <c r="G180" s="142">
        <f t="shared" si="68"/>
        <v>1548.75</v>
      </c>
      <c r="H180" s="142">
        <f t="shared" si="68"/>
        <v>215</v>
      </c>
      <c r="I180" s="142">
        <f t="shared" si="68"/>
        <v>9479.25</v>
      </c>
      <c r="J180" s="142"/>
      <c r="K180" s="142" t="s">
        <v>23</v>
      </c>
      <c r="L180" s="142">
        <f t="shared" si="68"/>
        <v>40</v>
      </c>
      <c r="M180" s="142">
        <f t="shared" si="68"/>
        <v>6781</v>
      </c>
      <c r="N180" s="142">
        <f t="shared" si="68"/>
        <v>37984.75</v>
      </c>
      <c r="O180" s="142">
        <f t="shared" si="68"/>
        <v>33461</v>
      </c>
      <c r="P180" s="142">
        <f t="shared" si="68"/>
        <v>9901.5</v>
      </c>
      <c r="Q180" s="142">
        <f t="shared" si="68"/>
        <v>324</v>
      </c>
      <c r="R180" s="142">
        <f t="shared" si="68"/>
        <v>83143.5</v>
      </c>
    </row>
    <row r="181" spans="1:18" ht="11.25" customHeight="1">
      <c r="A181" s="99" t="s">
        <v>144</v>
      </c>
      <c r="B181" s="142" t="s">
        <v>23</v>
      </c>
      <c r="C181" s="142" t="s">
        <v>23</v>
      </c>
      <c r="D181" s="142" t="s">
        <v>23</v>
      </c>
      <c r="E181" s="142">
        <f t="shared" ref="E181:R181" si="69">AVERAGE(E25:E29)</f>
        <v>2246.25</v>
      </c>
      <c r="F181" s="142">
        <f t="shared" si="69"/>
        <v>1846</v>
      </c>
      <c r="G181" s="142">
        <f t="shared" si="69"/>
        <v>466.5</v>
      </c>
      <c r="H181" s="142" t="s">
        <v>23</v>
      </c>
      <c r="I181" s="142">
        <f t="shared" si="69"/>
        <v>4016.2</v>
      </c>
      <c r="J181" s="142"/>
      <c r="K181" s="142" t="s">
        <v>23</v>
      </c>
      <c r="L181" s="142" t="s">
        <v>23</v>
      </c>
      <c r="M181" s="142" t="s">
        <v>23</v>
      </c>
      <c r="N181" s="142">
        <f t="shared" si="69"/>
        <v>10579.25</v>
      </c>
      <c r="O181" s="142">
        <f t="shared" si="69"/>
        <v>14908.8</v>
      </c>
      <c r="P181" s="142">
        <f t="shared" si="69"/>
        <v>2343</v>
      </c>
      <c r="Q181" s="142" t="s">
        <v>23</v>
      </c>
      <c r="R181" s="142">
        <f t="shared" si="69"/>
        <v>25715.200000000001</v>
      </c>
    </row>
    <row r="182" spans="1:18" ht="11.25" customHeight="1">
      <c r="A182" s="99" t="s">
        <v>166</v>
      </c>
      <c r="B182" s="142" t="str">
        <f>B30</f>
        <v>-</v>
      </c>
      <c r="C182" s="142" t="str">
        <f>C30</f>
        <v>-</v>
      </c>
      <c r="D182" s="142" t="str">
        <f>D30</f>
        <v>-</v>
      </c>
      <c r="E182" s="142">
        <f>AVERAGE(E30:E34)</f>
        <v>13147.284720780397</v>
      </c>
      <c r="F182" s="142">
        <f>AVERAGE(F30:F34)</f>
        <v>8805.2799028153531</v>
      </c>
      <c r="G182" s="142">
        <f>AVERAGE(G30:G34)</f>
        <v>2032.5900462334187</v>
      </c>
      <c r="H182" s="142">
        <f>AVERAGE(H30:H34)</f>
        <v>50.8</v>
      </c>
      <c r="I182" s="142">
        <f>AVERAGE(I30:I34)</f>
        <v>28306.554669829166</v>
      </c>
      <c r="J182" s="52"/>
      <c r="K182" s="142" t="str">
        <f>K30</f>
        <v>-</v>
      </c>
      <c r="L182" s="142" t="str">
        <f>L30</f>
        <v>-</v>
      </c>
      <c r="M182" s="142" t="str">
        <f>M30</f>
        <v>-</v>
      </c>
      <c r="N182" s="142">
        <f>AVERAGE(N30:N34)</f>
        <v>22400.953217747781</v>
      </c>
      <c r="O182" s="142">
        <f>AVERAGE(O30:O34)</f>
        <v>22887.430341472227</v>
      </c>
      <c r="P182" s="142">
        <f>AVERAGE(P30:P34)</f>
        <v>6993.5268863026549</v>
      </c>
      <c r="Q182" s="142">
        <f>AVERAGE(Q30:Q34)</f>
        <v>10.4</v>
      </c>
      <c r="R182" s="142">
        <f>AVERAGE(R30:R34)</f>
        <v>53415.91044552267</v>
      </c>
    </row>
    <row r="183" spans="1:18" ht="11.25" customHeight="1">
      <c r="A183" s="99" t="s">
        <v>315</v>
      </c>
      <c r="B183" s="142" t="str">
        <f>B35</f>
        <v>-</v>
      </c>
      <c r="C183" s="142" t="str">
        <f>C35</f>
        <v>-</v>
      </c>
      <c r="D183" s="142">
        <f>AVERAGE(D35:D39)</f>
        <v>1953.63</v>
      </c>
      <c r="E183" s="142">
        <f t="shared" ref="E183:I183" si="70">AVERAGE(E35:E39)</f>
        <v>5574.15</v>
      </c>
      <c r="F183" s="142">
        <f t="shared" si="70"/>
        <v>5551.9560000000001</v>
      </c>
      <c r="G183" s="142">
        <f t="shared" si="70"/>
        <v>776.50200000000007</v>
      </c>
      <c r="H183" s="142">
        <f t="shared" si="70"/>
        <v>47.703999999999994</v>
      </c>
      <c r="I183" s="142">
        <f t="shared" si="70"/>
        <v>13513.216</v>
      </c>
      <c r="J183" s="52"/>
      <c r="K183" s="142" t="str">
        <f>K35</f>
        <v>-</v>
      </c>
      <c r="L183" s="142" t="str">
        <f>L35</f>
        <v>-</v>
      </c>
      <c r="M183" s="142">
        <f t="shared" ref="M183:R183" si="71">AVERAGE(M35:M39)</f>
        <v>328.74250000000001</v>
      </c>
      <c r="N183" s="142">
        <f t="shared" si="71"/>
        <v>9237.4399999999987</v>
      </c>
      <c r="O183" s="142">
        <f t="shared" si="71"/>
        <v>17118.897999999997</v>
      </c>
      <c r="P183" s="142">
        <f t="shared" si="71"/>
        <v>4325.6659999999993</v>
      </c>
      <c r="Q183" s="142">
        <f t="shared" si="71"/>
        <v>26.564</v>
      </c>
      <c r="R183" s="142">
        <f t="shared" si="71"/>
        <v>30971.561999999998</v>
      </c>
    </row>
    <row r="184" spans="1:18" ht="11.25" customHeight="1">
      <c r="A184" s="99">
        <v>2011</v>
      </c>
      <c r="B184" s="142" t="str">
        <f t="shared" ref="B184:I184" si="72">B40</f>
        <v>-</v>
      </c>
      <c r="C184" s="142" t="str">
        <f t="shared" si="72"/>
        <v>-</v>
      </c>
      <c r="D184" s="142">
        <f t="shared" si="72"/>
        <v>2509.02</v>
      </c>
      <c r="E184" s="142">
        <f t="shared" si="72"/>
        <v>7462.49</v>
      </c>
      <c r="F184" s="142">
        <f t="shared" si="72"/>
        <v>13071.050000000001</v>
      </c>
      <c r="G184" s="142">
        <f t="shared" si="72"/>
        <v>559.47</v>
      </c>
      <c r="H184" s="142">
        <f t="shared" si="72"/>
        <v>5</v>
      </c>
      <c r="I184" s="142">
        <f t="shared" si="72"/>
        <v>23607.03</v>
      </c>
      <c r="J184" s="52"/>
      <c r="K184" s="142" t="str">
        <f t="shared" ref="K184:R184" si="73">K40</f>
        <v>-</v>
      </c>
      <c r="L184" s="142" t="str">
        <f t="shared" si="73"/>
        <v>-</v>
      </c>
      <c r="M184" s="142">
        <f t="shared" si="73"/>
        <v>330.85</v>
      </c>
      <c r="N184" s="142">
        <f t="shared" si="73"/>
        <v>6989.4000000000005</v>
      </c>
      <c r="O184" s="142">
        <f t="shared" si="73"/>
        <v>8694.0400000000009</v>
      </c>
      <c r="P184" s="142">
        <f t="shared" si="73"/>
        <v>2930.6099999999997</v>
      </c>
      <c r="Q184" s="142">
        <f t="shared" si="73"/>
        <v>2.4500000000000002</v>
      </c>
      <c r="R184" s="142">
        <f t="shared" si="73"/>
        <v>18947.349999999999</v>
      </c>
    </row>
    <row r="185" spans="1:18" ht="11.25" customHeight="1">
      <c r="A185" s="99">
        <v>2012</v>
      </c>
      <c r="B185" s="142" t="str">
        <f t="shared" ref="B185:I185" si="74">B41</f>
        <v>-</v>
      </c>
      <c r="C185" s="142" t="str">
        <f t="shared" si="74"/>
        <v>-</v>
      </c>
      <c r="D185" s="142">
        <f t="shared" si="74"/>
        <v>8472.08</v>
      </c>
      <c r="E185" s="142">
        <f t="shared" si="74"/>
        <v>8019.73</v>
      </c>
      <c r="F185" s="142">
        <f t="shared" si="74"/>
        <v>8325.0999999999985</v>
      </c>
      <c r="G185" s="142">
        <f t="shared" si="74"/>
        <v>1365.8500000000001</v>
      </c>
      <c r="H185" s="142">
        <f t="shared" si="74"/>
        <v>132.59</v>
      </c>
      <c r="I185" s="142">
        <f t="shared" si="74"/>
        <v>26315.350000000002</v>
      </c>
      <c r="J185" s="52"/>
      <c r="K185" s="142" t="str">
        <f t="shared" ref="K185:R185" si="75">K41</f>
        <v>-</v>
      </c>
      <c r="L185" s="142" t="str">
        <f t="shared" si="75"/>
        <v>-</v>
      </c>
      <c r="M185" s="142">
        <f t="shared" si="75"/>
        <v>211.15</v>
      </c>
      <c r="N185" s="142">
        <f t="shared" si="75"/>
        <v>7239.75</v>
      </c>
      <c r="O185" s="142">
        <f t="shared" si="75"/>
        <v>7520.93</v>
      </c>
      <c r="P185" s="142">
        <f t="shared" si="75"/>
        <v>6722.39</v>
      </c>
      <c r="Q185" s="142">
        <f t="shared" si="75"/>
        <v>20.81</v>
      </c>
      <c r="R185" s="142">
        <f t="shared" si="75"/>
        <v>21715.03</v>
      </c>
    </row>
    <row r="186" spans="1:18" ht="11.25" customHeight="1">
      <c r="A186" s="99">
        <v>2013</v>
      </c>
      <c r="B186" s="142" t="str">
        <f t="shared" ref="B186:I186" si="76">B42</f>
        <v>-</v>
      </c>
      <c r="C186" s="142">
        <f t="shared" si="76"/>
        <v>130.57999999999998</v>
      </c>
      <c r="D186" s="142">
        <f t="shared" si="76"/>
        <v>2926.62</v>
      </c>
      <c r="E186" s="142">
        <f t="shared" si="76"/>
        <v>7362.58</v>
      </c>
      <c r="F186" s="142">
        <f t="shared" si="76"/>
        <v>10450.41</v>
      </c>
      <c r="G186" s="142">
        <f t="shared" si="76"/>
        <v>1300.47</v>
      </c>
      <c r="H186" s="142">
        <f t="shared" si="76"/>
        <v>118.68</v>
      </c>
      <c r="I186" s="142">
        <f t="shared" si="76"/>
        <v>22289.34</v>
      </c>
      <c r="J186" s="52"/>
      <c r="K186" s="142" t="str">
        <f t="shared" ref="K186:R186" si="77">K42</f>
        <v>-</v>
      </c>
      <c r="L186" s="142" t="str">
        <f t="shared" si="77"/>
        <v>-</v>
      </c>
      <c r="M186" s="142">
        <f t="shared" si="77"/>
        <v>693.06999999999994</v>
      </c>
      <c r="N186" s="142">
        <f t="shared" si="77"/>
        <v>6618.5599999999995</v>
      </c>
      <c r="O186" s="142">
        <f t="shared" si="77"/>
        <v>17182.439999999999</v>
      </c>
      <c r="P186" s="142">
        <f t="shared" si="77"/>
        <v>5169.09</v>
      </c>
      <c r="Q186" s="142">
        <f t="shared" si="77"/>
        <v>17.72</v>
      </c>
      <c r="R186" s="142">
        <f t="shared" si="77"/>
        <v>29680.879999999997</v>
      </c>
    </row>
    <row r="187" spans="1:18" ht="11.25" customHeight="1">
      <c r="A187" s="99">
        <v>2014</v>
      </c>
      <c r="B187" s="142" t="str">
        <f t="shared" ref="B187:I187" si="78">B43</f>
        <v>-</v>
      </c>
      <c r="C187" s="142">
        <f t="shared" si="78"/>
        <v>585.02</v>
      </c>
      <c r="D187" s="142">
        <f t="shared" si="78"/>
        <v>5109.76</v>
      </c>
      <c r="E187" s="142">
        <f t="shared" si="78"/>
        <v>12890.07</v>
      </c>
      <c r="F187" s="142">
        <f t="shared" si="78"/>
        <v>11155.42</v>
      </c>
      <c r="G187" s="142">
        <f t="shared" si="78"/>
        <v>1133.3900000000001</v>
      </c>
      <c r="H187" s="142">
        <f t="shared" si="78"/>
        <v>110.29</v>
      </c>
      <c r="I187" s="142">
        <f t="shared" si="78"/>
        <v>30983.949999999997</v>
      </c>
      <c r="J187" s="52"/>
      <c r="K187" s="142" t="str">
        <f t="shared" ref="K187:R187" si="79">K43</f>
        <v>-</v>
      </c>
      <c r="L187" s="142" t="str">
        <f t="shared" si="79"/>
        <v>-</v>
      </c>
      <c r="M187" s="142">
        <f t="shared" si="79"/>
        <v>6224.61</v>
      </c>
      <c r="N187" s="142">
        <f t="shared" si="79"/>
        <v>20342.099999999999</v>
      </c>
      <c r="O187" s="142">
        <f t="shared" si="79"/>
        <v>22381.870000000003</v>
      </c>
      <c r="P187" s="142">
        <f t="shared" si="79"/>
        <v>15577.52</v>
      </c>
      <c r="Q187" s="142">
        <f t="shared" si="79"/>
        <v>199.14</v>
      </c>
      <c r="R187" s="142">
        <f t="shared" si="79"/>
        <v>64725.24</v>
      </c>
    </row>
    <row r="188" spans="1:18" ht="11.25" customHeight="1">
      <c r="A188" s="99">
        <v>2015</v>
      </c>
      <c r="B188" s="142" t="str">
        <f t="shared" ref="B188:I188" si="80">B44</f>
        <v>-</v>
      </c>
      <c r="C188" s="142">
        <f t="shared" si="80"/>
        <v>534.01</v>
      </c>
      <c r="D188" s="142">
        <f t="shared" si="80"/>
        <v>5081.1399999999994</v>
      </c>
      <c r="E188" s="142">
        <f t="shared" si="80"/>
        <v>15661.66</v>
      </c>
      <c r="F188" s="142">
        <f t="shared" si="80"/>
        <v>5672.49</v>
      </c>
      <c r="G188" s="142">
        <f t="shared" si="80"/>
        <v>2903.48</v>
      </c>
      <c r="H188" s="142">
        <f t="shared" si="80"/>
        <v>164.41</v>
      </c>
      <c r="I188" s="142">
        <f t="shared" si="80"/>
        <v>30017.19</v>
      </c>
      <c r="J188" s="52"/>
      <c r="K188" s="142" t="str">
        <f t="shared" ref="K188:R188" si="81">K44</f>
        <v>-</v>
      </c>
      <c r="L188" s="142" t="str">
        <f t="shared" si="81"/>
        <v>-</v>
      </c>
      <c r="M188" s="142">
        <f t="shared" si="81"/>
        <v>2607.6799999999998</v>
      </c>
      <c r="N188" s="142">
        <f t="shared" si="81"/>
        <v>15085.4</v>
      </c>
      <c r="O188" s="142">
        <f t="shared" si="81"/>
        <v>8787.369999999999</v>
      </c>
      <c r="P188" s="142">
        <f t="shared" si="81"/>
        <v>12533.31</v>
      </c>
      <c r="Q188" s="142">
        <f t="shared" si="81"/>
        <v>12.74</v>
      </c>
      <c r="R188" s="142">
        <f t="shared" si="81"/>
        <v>39026.5</v>
      </c>
    </row>
    <row r="189" spans="1:18" ht="11.25" customHeight="1">
      <c r="A189" s="99">
        <v>2016</v>
      </c>
      <c r="B189" s="142" t="str">
        <f t="shared" ref="B189:I189" si="82">B45</f>
        <v>-</v>
      </c>
      <c r="C189" s="142" t="str">
        <f t="shared" si="82"/>
        <v>-</v>
      </c>
      <c r="D189" s="142" t="str">
        <f t="shared" si="82"/>
        <v>-</v>
      </c>
      <c r="E189" s="142">
        <f t="shared" si="82"/>
        <v>7430.6399999999994</v>
      </c>
      <c r="F189" s="142">
        <f t="shared" si="82"/>
        <v>4520.2999999999993</v>
      </c>
      <c r="G189" s="142" t="str">
        <f t="shared" si="82"/>
        <v>-</v>
      </c>
      <c r="H189" s="142" t="str">
        <f t="shared" si="82"/>
        <v>-</v>
      </c>
      <c r="I189" s="142">
        <f t="shared" si="82"/>
        <v>11950.94</v>
      </c>
      <c r="J189" s="52"/>
      <c r="K189" s="142" t="str">
        <f t="shared" ref="K189:R189" si="83">K45</f>
        <v>-</v>
      </c>
      <c r="L189" s="142" t="str">
        <f t="shared" si="83"/>
        <v>-</v>
      </c>
      <c r="M189" s="142" t="str">
        <f t="shared" si="83"/>
        <v>-</v>
      </c>
      <c r="N189" s="142">
        <f t="shared" si="83"/>
        <v>63.230000000000004</v>
      </c>
      <c r="O189" s="142">
        <f t="shared" si="83"/>
        <v>37.86</v>
      </c>
      <c r="P189" s="142" t="str">
        <f t="shared" si="83"/>
        <v>-</v>
      </c>
      <c r="Q189" s="142" t="str">
        <f t="shared" si="83"/>
        <v>-</v>
      </c>
      <c r="R189" s="142">
        <f t="shared" si="83"/>
        <v>101.09</v>
      </c>
    </row>
    <row r="190" spans="1:18" ht="11.25" customHeight="1">
      <c r="A190" s="99">
        <v>2017</v>
      </c>
      <c r="B190" s="142" t="str">
        <f t="shared" ref="B190:I190" si="84">B46</f>
        <v>-</v>
      </c>
      <c r="C190" s="142" t="str">
        <f t="shared" si="84"/>
        <v>-</v>
      </c>
      <c r="D190" s="142">
        <f t="shared" si="84"/>
        <v>250.41</v>
      </c>
      <c r="E190" s="142">
        <f t="shared" si="84"/>
        <v>10590.34</v>
      </c>
      <c r="F190" s="142">
        <f t="shared" si="84"/>
        <v>3442.3599999999997</v>
      </c>
      <c r="G190" s="142">
        <f t="shared" si="84"/>
        <v>90.74</v>
      </c>
      <c r="H190" s="142" t="str">
        <f t="shared" si="84"/>
        <v>-</v>
      </c>
      <c r="I190" s="142">
        <f t="shared" si="84"/>
        <v>14373.85</v>
      </c>
      <c r="J190" s="52"/>
      <c r="K190" s="142" t="str">
        <f t="shared" ref="K190:R190" si="85">K46</f>
        <v>-</v>
      </c>
      <c r="L190" s="142" t="str">
        <f t="shared" si="85"/>
        <v>-</v>
      </c>
      <c r="M190" s="142">
        <f t="shared" si="85"/>
        <v>58.070000000000007</v>
      </c>
      <c r="N190" s="142">
        <f t="shared" si="85"/>
        <v>8590.34</v>
      </c>
      <c r="O190" s="142">
        <f t="shared" si="85"/>
        <v>11454.16</v>
      </c>
      <c r="P190" s="142">
        <f t="shared" si="85"/>
        <v>929.59999999999991</v>
      </c>
      <c r="Q190" s="142" t="str">
        <f t="shared" si="85"/>
        <v>-</v>
      </c>
      <c r="R190" s="142">
        <f t="shared" si="85"/>
        <v>21032.170000000002</v>
      </c>
    </row>
    <row r="191" spans="1:18" ht="11.25" customHeight="1">
      <c r="A191" s="99">
        <v>2018</v>
      </c>
      <c r="B191" s="142" t="str">
        <f t="shared" ref="B191:I191" si="86">B47</f>
        <v>-</v>
      </c>
      <c r="C191" s="142" t="str">
        <f t="shared" si="86"/>
        <v>-</v>
      </c>
      <c r="D191" s="142">
        <f t="shared" si="86"/>
        <v>377.83</v>
      </c>
      <c r="E191" s="142">
        <f t="shared" si="86"/>
        <v>4907.5</v>
      </c>
      <c r="F191" s="142">
        <f t="shared" si="86"/>
        <v>3024.67</v>
      </c>
      <c r="G191" s="142">
        <f t="shared" si="86"/>
        <v>34.450000000000003</v>
      </c>
      <c r="H191" s="142" t="str">
        <f t="shared" si="86"/>
        <v>-</v>
      </c>
      <c r="I191" s="142">
        <f t="shared" si="86"/>
        <v>8344.4500000000007</v>
      </c>
      <c r="J191" s="52"/>
      <c r="K191" s="142" t="str">
        <f t="shared" ref="K191:R191" si="87">K47</f>
        <v>-</v>
      </c>
      <c r="L191" s="142" t="str">
        <f t="shared" si="87"/>
        <v>-</v>
      </c>
      <c r="M191" s="142">
        <f t="shared" si="87"/>
        <v>573.64</v>
      </c>
      <c r="N191" s="142">
        <f t="shared" si="87"/>
        <v>4902.09</v>
      </c>
      <c r="O191" s="142">
        <f t="shared" si="87"/>
        <v>15529.85</v>
      </c>
      <c r="P191" s="142">
        <f t="shared" si="87"/>
        <v>256.90999999999997</v>
      </c>
      <c r="Q191" s="142" t="str">
        <f t="shared" si="87"/>
        <v>-</v>
      </c>
      <c r="R191" s="142">
        <f t="shared" si="87"/>
        <v>21262.489999999998</v>
      </c>
    </row>
    <row r="192" spans="1:18" ht="11.25" customHeight="1">
      <c r="A192" s="99">
        <v>2019</v>
      </c>
      <c r="B192" s="142" t="str">
        <f t="shared" ref="B192:I192" si="88">B48</f>
        <v>-</v>
      </c>
      <c r="C192" s="142" t="str">
        <f t="shared" si="88"/>
        <v>-</v>
      </c>
      <c r="D192" s="142">
        <f t="shared" si="88"/>
        <v>1609.7700000000002</v>
      </c>
      <c r="E192" s="142">
        <f t="shared" si="88"/>
        <v>3764.29</v>
      </c>
      <c r="F192" s="142">
        <f t="shared" si="88"/>
        <v>1148.29</v>
      </c>
      <c r="G192" s="142">
        <f t="shared" si="88"/>
        <v>154.04</v>
      </c>
      <c r="H192" s="142">
        <f t="shared" si="88"/>
        <v>164.35</v>
      </c>
      <c r="I192" s="142">
        <f t="shared" si="88"/>
        <v>6840.7400000000007</v>
      </c>
      <c r="J192" s="52"/>
      <c r="K192" s="142" t="str">
        <f t="shared" ref="K192:R192" si="89">K48</f>
        <v>-</v>
      </c>
      <c r="L192" s="142" t="str">
        <f t="shared" si="89"/>
        <v>-</v>
      </c>
      <c r="M192" s="142">
        <f t="shared" si="89"/>
        <v>1096.8399999999999</v>
      </c>
      <c r="N192" s="142">
        <f t="shared" si="89"/>
        <v>11557.98</v>
      </c>
      <c r="O192" s="142">
        <f t="shared" si="89"/>
        <v>13789.119999999999</v>
      </c>
      <c r="P192" s="142">
        <f t="shared" si="89"/>
        <v>1713.74</v>
      </c>
      <c r="Q192" s="142">
        <f t="shared" si="89"/>
        <v>15.86</v>
      </c>
      <c r="R192" s="142">
        <f t="shared" si="89"/>
        <v>28173.54</v>
      </c>
    </row>
    <row r="193" spans="1:18" ht="11.25" customHeight="1">
      <c r="A193" s="99">
        <v>2020</v>
      </c>
      <c r="B193" s="142" t="str">
        <f t="shared" ref="B193:I194" si="90">B49</f>
        <v>-</v>
      </c>
      <c r="C193" s="142" t="str">
        <f t="shared" si="90"/>
        <v>-</v>
      </c>
      <c r="D193" s="142">
        <f t="shared" si="90"/>
        <v>602.20000000000005</v>
      </c>
      <c r="E193" s="142">
        <f t="shared" si="90"/>
        <v>4162.58</v>
      </c>
      <c r="F193" s="142">
        <f t="shared" si="90"/>
        <v>1591.84</v>
      </c>
      <c r="G193" s="142">
        <f t="shared" si="90"/>
        <v>478.51</v>
      </c>
      <c r="H193" s="142" t="str">
        <f t="shared" si="90"/>
        <v>-</v>
      </c>
      <c r="I193" s="142">
        <f t="shared" si="90"/>
        <v>6835.13</v>
      </c>
      <c r="J193" s="52"/>
      <c r="K193" s="142" t="str">
        <f t="shared" ref="K193:R194" si="91">K49</f>
        <v>-</v>
      </c>
      <c r="L193" s="142" t="str">
        <f t="shared" si="91"/>
        <v>-</v>
      </c>
      <c r="M193" s="142">
        <f t="shared" si="91"/>
        <v>49.98</v>
      </c>
      <c r="N193" s="142">
        <f t="shared" si="91"/>
        <v>4869.7700000000004</v>
      </c>
      <c r="O193" s="142">
        <f t="shared" si="91"/>
        <v>3894.54</v>
      </c>
      <c r="P193" s="142">
        <f t="shared" si="91"/>
        <v>2327.23</v>
      </c>
      <c r="Q193" s="142" t="str">
        <f t="shared" si="91"/>
        <v>-</v>
      </c>
      <c r="R193" s="142">
        <f t="shared" si="91"/>
        <v>11141.52</v>
      </c>
    </row>
    <row r="194" spans="1:18" ht="11.25" customHeight="1">
      <c r="A194" s="99" t="s">
        <v>318</v>
      </c>
      <c r="B194" s="142" t="str">
        <f t="shared" si="90"/>
        <v>-</v>
      </c>
      <c r="C194" s="142" t="str">
        <f t="shared" si="90"/>
        <v>-</v>
      </c>
      <c r="D194" s="142">
        <f t="shared" si="90"/>
        <v>1552.42</v>
      </c>
      <c r="E194" s="142">
        <f t="shared" si="90"/>
        <v>7695.77</v>
      </c>
      <c r="F194" s="142">
        <f t="shared" si="90"/>
        <v>2098.2200000000003</v>
      </c>
      <c r="G194" s="142">
        <f t="shared" si="90"/>
        <v>453.01000000000005</v>
      </c>
      <c r="H194" s="142" t="str">
        <f t="shared" si="90"/>
        <v>-</v>
      </c>
      <c r="I194" s="142">
        <f t="shared" si="90"/>
        <v>11799.420000000002</v>
      </c>
      <c r="J194" s="52"/>
      <c r="K194" s="142" t="str">
        <f t="shared" si="91"/>
        <v>-</v>
      </c>
      <c r="L194" s="142" t="str">
        <f t="shared" si="91"/>
        <v>-</v>
      </c>
      <c r="M194" s="142">
        <f t="shared" si="91"/>
        <v>21.189999999999998</v>
      </c>
      <c r="N194" s="142">
        <f t="shared" si="91"/>
        <v>3863.71</v>
      </c>
      <c r="O194" s="142">
        <f t="shared" si="91"/>
        <v>13306.34</v>
      </c>
      <c r="P194" s="142">
        <f t="shared" si="91"/>
        <v>7438.5</v>
      </c>
      <c r="Q194" s="142" t="str">
        <f t="shared" si="91"/>
        <v>-</v>
      </c>
      <c r="R194" s="142">
        <f t="shared" si="91"/>
        <v>24629.74</v>
      </c>
    </row>
    <row r="195" spans="1:18" ht="11.25" customHeight="1">
      <c r="A195" s="99"/>
      <c r="B195" s="142"/>
      <c r="C195" s="142"/>
      <c r="D195" s="142"/>
      <c r="E195" s="142"/>
      <c r="F195" s="142"/>
      <c r="G195" s="142"/>
      <c r="H195" s="142"/>
      <c r="I195" s="142"/>
      <c r="J195" s="52"/>
      <c r="K195" s="142"/>
      <c r="L195" s="142"/>
      <c r="M195" s="142"/>
      <c r="N195" s="142"/>
      <c r="O195" s="142"/>
      <c r="P195" s="142"/>
      <c r="Q195" s="142"/>
      <c r="R195" s="142"/>
    </row>
    <row r="196" spans="1:18" ht="11.25" customHeight="1">
      <c r="A196" s="94" t="s">
        <v>99</v>
      </c>
      <c r="B196" s="142"/>
      <c r="C196" s="142"/>
      <c r="D196" s="142"/>
      <c r="E196" s="142"/>
      <c r="F196" s="142"/>
      <c r="G196" s="142"/>
      <c r="H196" s="142"/>
      <c r="I196" s="142"/>
      <c r="J196" s="52"/>
      <c r="K196" s="142"/>
      <c r="L196" s="142"/>
      <c r="M196" s="142"/>
      <c r="N196" s="142"/>
      <c r="O196" s="142"/>
      <c r="P196" s="142"/>
      <c r="Q196" s="142"/>
      <c r="R196" s="142"/>
    </row>
    <row r="197" spans="1:18" ht="11.25" customHeight="1">
      <c r="A197" s="99" t="s">
        <v>24</v>
      </c>
      <c r="B197" s="142" t="s">
        <v>23</v>
      </c>
      <c r="C197" s="142">
        <f t="shared" ref="C197:I197" si="92">AVERAGE(C58:C62)</f>
        <v>221.25</v>
      </c>
      <c r="D197" s="142">
        <f t="shared" si="92"/>
        <v>4285.5</v>
      </c>
      <c r="E197" s="142">
        <f t="shared" si="92"/>
        <v>6972.4</v>
      </c>
      <c r="F197" s="142">
        <f t="shared" si="92"/>
        <v>6406.4</v>
      </c>
      <c r="G197" s="142">
        <f t="shared" si="92"/>
        <v>671.66666666666663</v>
      </c>
      <c r="H197" s="142">
        <f t="shared" si="92"/>
        <v>40</v>
      </c>
      <c r="I197" s="142">
        <f t="shared" si="92"/>
        <v>17395.2</v>
      </c>
      <c r="J197" s="52"/>
      <c r="K197" s="142" t="s">
        <v>23</v>
      </c>
      <c r="L197" s="142">
        <f t="shared" ref="L197:R197" si="93">AVERAGE(L58:L62)</f>
        <v>7109</v>
      </c>
      <c r="M197" s="142">
        <f t="shared" si="93"/>
        <v>14759</v>
      </c>
      <c r="N197" s="142">
        <f t="shared" si="93"/>
        <v>52828.4</v>
      </c>
      <c r="O197" s="142">
        <f t="shared" si="93"/>
        <v>37647.599999999999</v>
      </c>
      <c r="P197" s="142">
        <f t="shared" si="93"/>
        <v>7240.75</v>
      </c>
      <c r="Q197" s="142">
        <f t="shared" si="93"/>
        <v>825</v>
      </c>
      <c r="R197" s="142">
        <f t="shared" si="93"/>
        <v>109662.6</v>
      </c>
    </row>
    <row r="198" spans="1:18" ht="11.25" customHeight="1">
      <c r="A198" s="99" t="s">
        <v>78</v>
      </c>
      <c r="B198" s="142" t="s">
        <v>23</v>
      </c>
      <c r="C198" s="142">
        <f t="shared" ref="C198:I198" si="94">AVERAGE(C63:C67)</f>
        <v>140</v>
      </c>
      <c r="D198" s="142">
        <f t="shared" si="94"/>
        <v>360.25</v>
      </c>
      <c r="E198" s="142">
        <f t="shared" si="94"/>
        <v>2747.2</v>
      </c>
      <c r="F198" s="142">
        <f t="shared" si="94"/>
        <v>4468.6000000000004</v>
      </c>
      <c r="G198" s="142">
        <f t="shared" si="94"/>
        <v>119.5</v>
      </c>
      <c r="H198" s="142" t="s">
        <v>23</v>
      </c>
      <c r="I198" s="142">
        <f t="shared" si="94"/>
        <v>7579.8</v>
      </c>
      <c r="J198" s="52"/>
      <c r="K198" s="142" t="s">
        <v>23</v>
      </c>
      <c r="L198" s="142" t="s">
        <v>23</v>
      </c>
      <c r="M198" s="142">
        <f t="shared" ref="M198:R198" si="95">AVERAGE(M63:M67)</f>
        <v>4462.75</v>
      </c>
      <c r="N198" s="142">
        <f t="shared" si="95"/>
        <v>48084</v>
      </c>
      <c r="O198" s="142">
        <f t="shared" si="95"/>
        <v>38612.800000000003</v>
      </c>
      <c r="P198" s="142">
        <f t="shared" si="95"/>
        <v>2767</v>
      </c>
      <c r="Q198" s="142" t="s">
        <v>23</v>
      </c>
      <c r="R198" s="142">
        <f t="shared" si="95"/>
        <v>91373.8</v>
      </c>
    </row>
    <row r="199" spans="1:18" ht="11.25" customHeight="1">
      <c r="A199" s="99" t="s">
        <v>10</v>
      </c>
      <c r="B199" s="142" t="s">
        <v>23</v>
      </c>
      <c r="C199" s="142" t="s">
        <v>23</v>
      </c>
      <c r="D199" s="142">
        <f t="shared" ref="D199:R199" si="96">AVERAGE(D68:D72)</f>
        <v>126</v>
      </c>
      <c r="E199" s="142">
        <f t="shared" si="96"/>
        <v>928</v>
      </c>
      <c r="F199" s="142">
        <f t="shared" si="96"/>
        <v>1037.5</v>
      </c>
      <c r="G199" s="142">
        <f t="shared" si="96"/>
        <v>257</v>
      </c>
      <c r="H199" s="142" t="s">
        <v>23</v>
      </c>
      <c r="I199" s="142">
        <f t="shared" si="96"/>
        <v>2285.5</v>
      </c>
      <c r="J199" s="142"/>
      <c r="K199" s="142" t="s">
        <v>23</v>
      </c>
      <c r="L199" s="142" t="s">
        <v>23</v>
      </c>
      <c r="M199" s="142">
        <f t="shared" si="96"/>
        <v>3937.5</v>
      </c>
      <c r="N199" s="142">
        <f t="shared" si="96"/>
        <v>36430.75</v>
      </c>
      <c r="O199" s="142">
        <f t="shared" si="96"/>
        <v>24350.75</v>
      </c>
      <c r="P199" s="142">
        <f t="shared" si="96"/>
        <v>9127.25</v>
      </c>
      <c r="Q199" s="142" t="s">
        <v>23</v>
      </c>
      <c r="R199" s="142">
        <f t="shared" si="96"/>
        <v>57502</v>
      </c>
    </row>
    <row r="200" spans="1:18" ht="11.25" customHeight="1">
      <c r="A200" s="99" t="s">
        <v>144</v>
      </c>
      <c r="B200" s="142" t="s">
        <v>23</v>
      </c>
      <c r="C200" s="142" t="s">
        <v>23</v>
      </c>
      <c r="D200" s="142" t="s">
        <v>23</v>
      </c>
      <c r="E200" s="142">
        <f t="shared" ref="E200:R200" si="97">AVERAGE(E73:E77)</f>
        <v>553</v>
      </c>
      <c r="F200" s="142">
        <f t="shared" si="97"/>
        <v>783.4</v>
      </c>
      <c r="G200" s="142">
        <f t="shared" si="97"/>
        <v>167.33333333333334</v>
      </c>
      <c r="H200" s="142" t="s">
        <v>23</v>
      </c>
      <c r="I200" s="142">
        <f t="shared" si="97"/>
        <v>1326.2</v>
      </c>
      <c r="J200" s="142"/>
      <c r="K200" s="142" t="s">
        <v>23</v>
      </c>
      <c r="L200" s="142" t="s">
        <v>23</v>
      </c>
      <c r="M200" s="142" t="s">
        <v>23</v>
      </c>
      <c r="N200" s="142">
        <f t="shared" si="97"/>
        <v>10932</v>
      </c>
      <c r="O200" s="142">
        <f t="shared" si="97"/>
        <v>12055.2</v>
      </c>
      <c r="P200" s="142">
        <f t="shared" si="97"/>
        <v>3642.6666666666665</v>
      </c>
      <c r="Q200" s="142" t="s">
        <v>23</v>
      </c>
      <c r="R200" s="142">
        <f t="shared" si="97"/>
        <v>22986.400000000001</v>
      </c>
    </row>
    <row r="201" spans="1:18" ht="11.25" customHeight="1">
      <c r="A201" s="99" t="s">
        <v>166</v>
      </c>
      <c r="B201" s="142" t="str">
        <f>B78</f>
        <v>-</v>
      </c>
      <c r="C201" s="142" t="str">
        <f>C78</f>
        <v>-</v>
      </c>
      <c r="D201" s="142" t="str">
        <f>D78</f>
        <v>-</v>
      </c>
      <c r="E201" s="142">
        <f>AVERAGE(E78:E82)</f>
        <v>2588</v>
      </c>
      <c r="F201" s="142">
        <f>AVERAGE(F78:F82)</f>
        <v>5500</v>
      </c>
      <c r="G201" s="142">
        <f>AVERAGE(G78:G82)</f>
        <v>1067.8</v>
      </c>
      <c r="H201" s="142">
        <f>AVERAGE(H78:H82)</f>
        <v>3</v>
      </c>
      <c r="I201" s="142">
        <f>AVERAGE(I78:I82)</f>
        <v>9648.2000000000007</v>
      </c>
      <c r="J201" s="52"/>
      <c r="K201" s="142" t="str">
        <f t="shared" ref="K201:Q201" si="98">K78</f>
        <v>-</v>
      </c>
      <c r="L201" s="142" t="str">
        <f t="shared" si="98"/>
        <v>-</v>
      </c>
      <c r="M201" s="142">
        <f>AVERAGE(M78:M82)</f>
        <v>662.66666666666663</v>
      </c>
      <c r="N201" s="142">
        <f>AVERAGE(N78:N82)</f>
        <v>25195.4</v>
      </c>
      <c r="O201" s="142">
        <f>AVERAGE(O78:O82)</f>
        <v>43313.599999999999</v>
      </c>
      <c r="P201" s="142">
        <f>AVERAGE(P78:P82)</f>
        <v>10042.4</v>
      </c>
      <c r="Q201" s="142" t="str">
        <f t="shared" si="98"/>
        <v>-</v>
      </c>
      <c r="R201" s="142">
        <f>AVERAGE(R78:R82)</f>
        <v>78949</v>
      </c>
    </row>
    <row r="202" spans="1:18" ht="11.25" customHeight="1">
      <c r="A202" s="99" t="s">
        <v>315</v>
      </c>
      <c r="B202" s="142" t="str">
        <f>B83</f>
        <v>-</v>
      </c>
      <c r="C202" s="142">
        <f t="shared" ref="C202:D202" si="99">AVERAGE(C83:C87)</f>
        <v>17</v>
      </c>
      <c r="D202" s="142">
        <f t="shared" si="99"/>
        <v>261.06</v>
      </c>
      <c r="E202" s="142">
        <f>AVERAGE(E83:E87)</f>
        <v>1132.2720000000002</v>
      </c>
      <c r="F202" s="142">
        <f t="shared" ref="F202:I202" si="100">AVERAGE(F83:F87)</f>
        <v>2690.6379999999999</v>
      </c>
      <c r="G202" s="142">
        <f t="shared" si="100"/>
        <v>175.5925</v>
      </c>
      <c r="H202" s="142" t="str">
        <f>H83</f>
        <v>-</v>
      </c>
      <c r="I202" s="142">
        <f t="shared" si="100"/>
        <v>4123.42</v>
      </c>
      <c r="J202" s="52"/>
      <c r="K202" s="142" t="str">
        <f t="shared" ref="K202:L202" si="101">K83</f>
        <v>-</v>
      </c>
      <c r="L202" s="142" t="str">
        <f t="shared" si="101"/>
        <v>-</v>
      </c>
      <c r="M202" s="142">
        <f t="shared" ref="M202:R202" si="102">AVERAGE(M83:M87)</f>
        <v>305.57333333333332</v>
      </c>
      <c r="N202" s="142">
        <f t="shared" si="102"/>
        <v>12664.916000000001</v>
      </c>
      <c r="O202" s="142">
        <f t="shared" si="102"/>
        <v>27753.652000000002</v>
      </c>
      <c r="P202" s="142">
        <f t="shared" si="102"/>
        <v>1793.4375</v>
      </c>
      <c r="Q202" s="142" t="str">
        <f>Q83</f>
        <v>-</v>
      </c>
      <c r="R202" s="142">
        <f t="shared" si="102"/>
        <v>42036.661999999997</v>
      </c>
    </row>
    <row r="203" spans="1:18" ht="11.25" customHeight="1">
      <c r="A203" s="99">
        <v>2011</v>
      </c>
      <c r="B203" s="142" t="str">
        <f t="shared" ref="B203:I203" si="103">B88</f>
        <v>-</v>
      </c>
      <c r="C203" s="142" t="str">
        <f t="shared" si="103"/>
        <v>-</v>
      </c>
      <c r="D203" s="142">
        <f t="shared" si="103"/>
        <v>480.79999999999995</v>
      </c>
      <c r="E203" s="142">
        <f t="shared" si="103"/>
        <v>955.27</v>
      </c>
      <c r="F203" s="142">
        <f t="shared" si="103"/>
        <v>5370.77</v>
      </c>
      <c r="G203" s="142">
        <f t="shared" si="103"/>
        <v>408.4</v>
      </c>
      <c r="H203" s="142" t="str">
        <f t="shared" si="103"/>
        <v>-</v>
      </c>
      <c r="I203" s="142">
        <f t="shared" si="103"/>
        <v>7215.24</v>
      </c>
      <c r="J203" s="52"/>
      <c r="K203" s="142" t="str">
        <f t="shared" ref="K203:R203" si="104">K88</f>
        <v>-</v>
      </c>
      <c r="L203" s="142" t="str">
        <f t="shared" si="104"/>
        <v>-</v>
      </c>
      <c r="M203" s="142">
        <f t="shared" si="104"/>
        <v>466.87</v>
      </c>
      <c r="N203" s="142">
        <f t="shared" si="104"/>
        <v>6084.81</v>
      </c>
      <c r="O203" s="142">
        <f t="shared" si="104"/>
        <v>16810.129999999997</v>
      </c>
      <c r="P203" s="142">
        <f t="shared" si="104"/>
        <v>3318.64</v>
      </c>
      <c r="Q203" s="142" t="str">
        <f t="shared" si="104"/>
        <v>-</v>
      </c>
      <c r="R203" s="142">
        <f t="shared" si="104"/>
        <v>26680.449999999997</v>
      </c>
    </row>
    <row r="204" spans="1:18" ht="11.25" customHeight="1">
      <c r="A204" s="99">
        <v>2012</v>
      </c>
      <c r="B204" s="142" t="str">
        <f t="shared" ref="B204:I204" si="105">B89</f>
        <v>-</v>
      </c>
      <c r="C204" s="142" t="str">
        <f t="shared" si="105"/>
        <v>-</v>
      </c>
      <c r="D204" s="142">
        <f t="shared" si="105"/>
        <v>2370.88</v>
      </c>
      <c r="E204" s="142">
        <f t="shared" si="105"/>
        <v>2849.82</v>
      </c>
      <c r="F204" s="142">
        <f t="shared" si="105"/>
        <v>3122.02</v>
      </c>
      <c r="G204" s="142">
        <f t="shared" si="105"/>
        <v>774.78</v>
      </c>
      <c r="H204" s="142" t="str">
        <f t="shared" si="105"/>
        <v>-</v>
      </c>
      <c r="I204" s="142">
        <f t="shared" si="105"/>
        <v>9117.5</v>
      </c>
      <c r="J204" s="52"/>
      <c r="K204" s="142" t="str">
        <f t="shared" ref="K204:R204" si="106">K89</f>
        <v>-</v>
      </c>
      <c r="L204" s="142" t="str">
        <f t="shared" si="106"/>
        <v>-</v>
      </c>
      <c r="M204" s="142">
        <f t="shared" si="106"/>
        <v>282.33000000000004</v>
      </c>
      <c r="N204" s="142">
        <f t="shared" si="106"/>
        <v>3671.76</v>
      </c>
      <c r="O204" s="142">
        <f t="shared" si="106"/>
        <v>5161.29</v>
      </c>
      <c r="P204" s="142">
        <f t="shared" si="106"/>
        <v>2275.8200000000002</v>
      </c>
      <c r="Q204" s="142" t="str">
        <f t="shared" si="106"/>
        <v>-</v>
      </c>
      <c r="R204" s="142">
        <f t="shared" si="106"/>
        <v>11391.2</v>
      </c>
    </row>
    <row r="205" spans="1:18" ht="11.25" customHeight="1">
      <c r="A205" s="99">
        <v>2013</v>
      </c>
      <c r="B205" s="142" t="str">
        <f t="shared" ref="B205:I205" si="107">B90</f>
        <v>-</v>
      </c>
      <c r="C205" s="142" t="str">
        <f t="shared" si="107"/>
        <v>-</v>
      </c>
      <c r="D205" s="142">
        <f t="shared" si="107"/>
        <v>2030.81</v>
      </c>
      <c r="E205" s="142">
        <f t="shared" si="107"/>
        <v>1679.35</v>
      </c>
      <c r="F205" s="142">
        <f t="shared" si="107"/>
        <v>4075.89</v>
      </c>
      <c r="G205" s="142">
        <f t="shared" si="107"/>
        <v>760.46</v>
      </c>
      <c r="H205" s="142" t="str">
        <f t="shared" si="107"/>
        <v>-</v>
      </c>
      <c r="I205" s="142">
        <f t="shared" si="107"/>
        <v>8546.5099999999984</v>
      </c>
      <c r="J205" s="52"/>
      <c r="K205" s="142" t="str">
        <f t="shared" ref="K205:R205" si="108">K90</f>
        <v>-</v>
      </c>
      <c r="L205" s="142" t="str">
        <f t="shared" si="108"/>
        <v>-</v>
      </c>
      <c r="M205" s="142">
        <f t="shared" si="108"/>
        <v>3429.53</v>
      </c>
      <c r="N205" s="142">
        <f t="shared" si="108"/>
        <v>4998.0300000000007</v>
      </c>
      <c r="O205" s="142">
        <f t="shared" si="108"/>
        <v>10305.43</v>
      </c>
      <c r="P205" s="142">
        <f t="shared" si="108"/>
        <v>1739.13</v>
      </c>
      <c r="Q205" s="142" t="str">
        <f t="shared" si="108"/>
        <v>-</v>
      </c>
      <c r="R205" s="142">
        <f t="shared" si="108"/>
        <v>20472.120000000003</v>
      </c>
    </row>
    <row r="206" spans="1:18" ht="11.25" customHeight="1">
      <c r="A206" s="99">
        <v>2014</v>
      </c>
      <c r="B206" s="142" t="str">
        <f t="shared" ref="B206:I206" si="109">B91</f>
        <v>-</v>
      </c>
      <c r="C206" s="142">
        <f t="shared" si="109"/>
        <v>65.289999999999992</v>
      </c>
      <c r="D206" s="142">
        <f t="shared" si="109"/>
        <v>1066.74</v>
      </c>
      <c r="E206" s="142">
        <f t="shared" si="109"/>
        <v>3198.42</v>
      </c>
      <c r="F206" s="142">
        <f t="shared" si="109"/>
        <v>6420.59</v>
      </c>
      <c r="G206" s="142">
        <f t="shared" si="109"/>
        <v>596.04999999999995</v>
      </c>
      <c r="H206" s="142" t="str">
        <f t="shared" si="109"/>
        <v>-</v>
      </c>
      <c r="I206" s="142">
        <f t="shared" si="109"/>
        <v>11347.09</v>
      </c>
      <c r="J206" s="52"/>
      <c r="K206" s="142" t="str">
        <f t="shared" ref="K206:R206" si="110">K91</f>
        <v>-</v>
      </c>
      <c r="L206" s="142" t="str">
        <f t="shared" si="110"/>
        <v>-</v>
      </c>
      <c r="M206" s="142">
        <f t="shared" si="110"/>
        <v>2614.4</v>
      </c>
      <c r="N206" s="142">
        <f t="shared" si="110"/>
        <v>19862.5</v>
      </c>
      <c r="O206" s="142">
        <f t="shared" si="110"/>
        <v>38532.28</v>
      </c>
      <c r="P206" s="142">
        <f t="shared" si="110"/>
        <v>14062.560000000001</v>
      </c>
      <c r="Q206" s="142" t="str">
        <f t="shared" si="110"/>
        <v>-</v>
      </c>
      <c r="R206" s="142">
        <f t="shared" si="110"/>
        <v>75071.740000000005</v>
      </c>
    </row>
    <row r="207" spans="1:18" ht="11.25" customHeight="1">
      <c r="A207" s="99">
        <v>2015</v>
      </c>
      <c r="B207" s="142" t="str">
        <f t="shared" ref="B207:I207" si="111">B92</f>
        <v>-</v>
      </c>
      <c r="C207" s="142">
        <f t="shared" si="111"/>
        <v>89.15</v>
      </c>
      <c r="D207" s="142">
        <f t="shared" si="111"/>
        <v>1216.44</v>
      </c>
      <c r="E207" s="142">
        <f t="shared" si="111"/>
        <v>1853.2</v>
      </c>
      <c r="F207" s="142">
        <f t="shared" si="111"/>
        <v>5866.08</v>
      </c>
      <c r="G207" s="142">
        <f t="shared" si="111"/>
        <v>3145.83</v>
      </c>
      <c r="H207" s="142" t="str">
        <f t="shared" si="111"/>
        <v>-</v>
      </c>
      <c r="I207" s="142">
        <f t="shared" si="111"/>
        <v>12170.7</v>
      </c>
      <c r="J207" s="52"/>
      <c r="K207" s="142" t="str">
        <f t="shared" ref="K207:R207" si="112">K92</f>
        <v>-</v>
      </c>
      <c r="L207" s="142" t="str">
        <f t="shared" si="112"/>
        <v>-</v>
      </c>
      <c r="M207" s="142">
        <f t="shared" si="112"/>
        <v>3339.26</v>
      </c>
      <c r="N207" s="142">
        <f t="shared" si="112"/>
        <v>16089.02</v>
      </c>
      <c r="O207" s="142">
        <f t="shared" si="112"/>
        <v>18628.28</v>
      </c>
      <c r="P207" s="142">
        <f t="shared" si="112"/>
        <v>6494.17</v>
      </c>
      <c r="Q207" s="142" t="str">
        <f t="shared" si="112"/>
        <v>-</v>
      </c>
      <c r="R207" s="142">
        <f t="shared" si="112"/>
        <v>44550.73</v>
      </c>
    </row>
    <row r="208" spans="1:18" ht="11.25" customHeight="1">
      <c r="A208" s="99">
        <v>2016</v>
      </c>
      <c r="B208" s="142" t="str">
        <f t="shared" ref="B208:I208" si="113">B93</f>
        <v>-</v>
      </c>
      <c r="C208" s="142" t="str">
        <f t="shared" si="113"/>
        <v>-</v>
      </c>
      <c r="D208" s="142" t="str">
        <f t="shared" si="113"/>
        <v>-</v>
      </c>
      <c r="E208" s="142">
        <f t="shared" si="113"/>
        <v>2741.35</v>
      </c>
      <c r="F208" s="142">
        <f t="shared" si="113"/>
        <v>3255.18</v>
      </c>
      <c r="G208" s="142" t="str">
        <f t="shared" si="113"/>
        <v>-</v>
      </c>
      <c r="H208" s="142" t="str">
        <f t="shared" si="113"/>
        <v>-</v>
      </c>
      <c r="I208" s="142">
        <f t="shared" si="113"/>
        <v>5996.53</v>
      </c>
      <c r="J208" s="52"/>
      <c r="K208" s="142" t="str">
        <f t="shared" ref="K208:R208" si="114">K93</f>
        <v>-</v>
      </c>
      <c r="L208" s="142" t="str">
        <f t="shared" si="114"/>
        <v>-</v>
      </c>
      <c r="M208" s="142" t="str">
        <f t="shared" si="114"/>
        <v>-</v>
      </c>
      <c r="N208" s="142">
        <f t="shared" si="114"/>
        <v>5606.76</v>
      </c>
      <c r="O208" s="142">
        <f t="shared" si="114"/>
        <v>13004.77</v>
      </c>
      <c r="P208" s="142" t="str">
        <f t="shared" si="114"/>
        <v>-</v>
      </c>
      <c r="Q208" s="142" t="str">
        <f t="shared" si="114"/>
        <v>-</v>
      </c>
      <c r="R208" s="142">
        <f t="shared" si="114"/>
        <v>18611.53</v>
      </c>
    </row>
    <row r="209" spans="1:18" ht="11.25" customHeight="1">
      <c r="A209" s="99">
        <v>2017</v>
      </c>
      <c r="B209" s="142" t="str">
        <f t="shared" ref="B209:I209" si="115">B94</f>
        <v>-</v>
      </c>
      <c r="C209" s="142" t="str">
        <f t="shared" si="115"/>
        <v>-</v>
      </c>
      <c r="D209" s="142">
        <f t="shared" si="115"/>
        <v>648.87</v>
      </c>
      <c r="E209" s="142">
        <f t="shared" si="115"/>
        <v>2758</v>
      </c>
      <c r="F209" s="142">
        <f t="shared" si="115"/>
        <v>4164.4699999999993</v>
      </c>
      <c r="G209" s="142" t="str">
        <f t="shared" si="115"/>
        <v>-</v>
      </c>
      <c r="H209" s="142" t="str">
        <f t="shared" si="115"/>
        <v>-</v>
      </c>
      <c r="I209" s="142">
        <f t="shared" si="115"/>
        <v>7571.34</v>
      </c>
      <c r="J209" s="52"/>
      <c r="K209" s="142" t="str">
        <f t="shared" ref="K209:R209" si="116">K94</f>
        <v>-</v>
      </c>
      <c r="L209" s="142" t="str">
        <f t="shared" si="116"/>
        <v>-</v>
      </c>
      <c r="M209" s="142">
        <f t="shared" si="116"/>
        <v>42.64</v>
      </c>
      <c r="N209" s="142">
        <f t="shared" si="116"/>
        <v>7972.99</v>
      </c>
      <c r="O209" s="142">
        <f t="shared" si="116"/>
        <v>13608.99</v>
      </c>
      <c r="P209" s="142" t="str">
        <f t="shared" si="116"/>
        <v>-</v>
      </c>
      <c r="Q209" s="142" t="str">
        <f t="shared" si="116"/>
        <v>-</v>
      </c>
      <c r="R209" s="142">
        <f t="shared" si="116"/>
        <v>21624.62</v>
      </c>
    </row>
    <row r="210" spans="1:18" ht="11.25" customHeight="1">
      <c r="A210" s="99">
        <v>2018</v>
      </c>
      <c r="B210" s="142" t="str">
        <f t="shared" ref="B210:I210" si="117">B95</f>
        <v>-</v>
      </c>
      <c r="C210" s="142" t="str">
        <f t="shared" si="117"/>
        <v>-</v>
      </c>
      <c r="D210" s="142">
        <f t="shared" si="117"/>
        <v>575.13</v>
      </c>
      <c r="E210" s="142">
        <f t="shared" si="117"/>
        <v>656.53</v>
      </c>
      <c r="F210" s="142">
        <f t="shared" si="117"/>
        <v>1003</v>
      </c>
      <c r="G210" s="142">
        <f t="shared" si="117"/>
        <v>23.18</v>
      </c>
      <c r="H210" s="142" t="str">
        <f t="shared" si="117"/>
        <v>-</v>
      </c>
      <c r="I210" s="142">
        <f t="shared" si="117"/>
        <v>2257.84</v>
      </c>
      <c r="J210" s="52"/>
      <c r="K210" s="142" t="str">
        <f t="shared" ref="K210:R210" si="118">K95</f>
        <v>-</v>
      </c>
      <c r="L210" s="142" t="str">
        <f t="shared" si="118"/>
        <v>-</v>
      </c>
      <c r="M210" s="142">
        <f t="shared" si="118"/>
        <v>294.3</v>
      </c>
      <c r="N210" s="142">
        <f t="shared" si="118"/>
        <v>6071.59</v>
      </c>
      <c r="O210" s="142">
        <f t="shared" si="118"/>
        <v>14116.14</v>
      </c>
      <c r="P210" s="142">
        <f t="shared" si="118"/>
        <v>93.38</v>
      </c>
      <c r="Q210" s="142" t="str">
        <f t="shared" si="118"/>
        <v>-</v>
      </c>
      <c r="R210" s="142">
        <f t="shared" si="118"/>
        <v>20575.409999999996</v>
      </c>
    </row>
    <row r="211" spans="1:18" ht="11.25" customHeight="1">
      <c r="A211" s="99">
        <v>2019</v>
      </c>
      <c r="B211" s="142" t="str">
        <f t="shared" ref="B211:I211" si="119">B96</f>
        <v>-</v>
      </c>
      <c r="C211" s="142" t="str">
        <f t="shared" si="119"/>
        <v>-</v>
      </c>
      <c r="D211" s="142">
        <f t="shared" si="119"/>
        <v>341.22</v>
      </c>
      <c r="E211" s="142">
        <f t="shared" si="119"/>
        <v>2200.9</v>
      </c>
      <c r="F211" s="142">
        <f t="shared" si="119"/>
        <v>1373.26</v>
      </c>
      <c r="G211" s="142">
        <f t="shared" si="119"/>
        <v>122.14</v>
      </c>
      <c r="H211" s="142" t="str">
        <f t="shared" si="119"/>
        <v>-</v>
      </c>
      <c r="I211" s="142">
        <f t="shared" si="119"/>
        <v>4037.52</v>
      </c>
      <c r="J211" s="52"/>
      <c r="K211" s="142" t="str">
        <f t="shared" ref="K211:R211" si="120">K96</f>
        <v>-</v>
      </c>
      <c r="L211" s="142" t="str">
        <f t="shared" si="120"/>
        <v>-</v>
      </c>
      <c r="M211" s="142">
        <f t="shared" si="120"/>
        <v>5358.51</v>
      </c>
      <c r="N211" s="142">
        <f t="shared" si="120"/>
        <v>20934.419999999998</v>
      </c>
      <c r="O211" s="142">
        <f t="shared" si="120"/>
        <v>25539.97</v>
      </c>
      <c r="P211" s="142">
        <f t="shared" si="120"/>
        <v>1642.11</v>
      </c>
      <c r="Q211" s="142" t="str">
        <f t="shared" si="120"/>
        <v>-</v>
      </c>
      <c r="R211" s="142">
        <f t="shared" si="120"/>
        <v>53475.01</v>
      </c>
    </row>
    <row r="212" spans="1:18" ht="11.25" customHeight="1">
      <c r="A212" s="99">
        <v>2020</v>
      </c>
      <c r="B212" s="142" t="str">
        <f t="shared" ref="B212:I213" si="121">B97</f>
        <v>-</v>
      </c>
      <c r="C212" s="142" t="str">
        <f t="shared" si="121"/>
        <v>-</v>
      </c>
      <c r="D212" s="142">
        <f t="shared" si="121"/>
        <v>219.1</v>
      </c>
      <c r="E212" s="142">
        <f t="shared" si="121"/>
        <v>606.78</v>
      </c>
      <c r="F212" s="142" t="str">
        <f t="shared" si="121"/>
        <v>-</v>
      </c>
      <c r="G212" s="142" t="str">
        <f t="shared" si="121"/>
        <v>-</v>
      </c>
      <c r="H212" s="142" t="str">
        <f t="shared" si="121"/>
        <v>-</v>
      </c>
      <c r="I212" s="142">
        <f t="shared" si="121"/>
        <v>825.88</v>
      </c>
      <c r="J212" s="52"/>
      <c r="K212" s="142" t="str">
        <f t="shared" ref="K212:R213" si="122">K97</f>
        <v>-</v>
      </c>
      <c r="L212" s="142" t="str">
        <f t="shared" si="122"/>
        <v>-</v>
      </c>
      <c r="M212" s="142">
        <f t="shared" si="122"/>
        <v>0</v>
      </c>
      <c r="N212" s="142">
        <f t="shared" si="122"/>
        <v>12829.27</v>
      </c>
      <c r="O212" s="142" t="str">
        <f t="shared" si="122"/>
        <v>-</v>
      </c>
      <c r="P212" s="142" t="str">
        <f t="shared" si="122"/>
        <v>-</v>
      </c>
      <c r="Q212" s="142" t="str">
        <f t="shared" si="122"/>
        <v>-</v>
      </c>
      <c r="R212" s="142">
        <f t="shared" si="122"/>
        <v>12829.27</v>
      </c>
    </row>
    <row r="213" spans="1:18" ht="11.25" customHeight="1">
      <c r="A213" s="99" t="s">
        <v>318</v>
      </c>
      <c r="B213" s="142" t="str">
        <f t="shared" si="121"/>
        <v>-</v>
      </c>
      <c r="C213" s="142" t="str">
        <f t="shared" si="121"/>
        <v>-</v>
      </c>
      <c r="D213" s="142">
        <f t="shared" si="121"/>
        <v>496.16</v>
      </c>
      <c r="E213" s="142">
        <f t="shared" si="121"/>
        <v>1505.87</v>
      </c>
      <c r="F213" s="142">
        <f t="shared" si="121"/>
        <v>4012.87</v>
      </c>
      <c r="G213" s="142" t="str">
        <f t="shared" si="121"/>
        <v>-</v>
      </c>
      <c r="H213" s="142" t="str">
        <f t="shared" si="121"/>
        <v>-</v>
      </c>
      <c r="I213" s="142">
        <f t="shared" si="121"/>
        <v>6014.9</v>
      </c>
      <c r="J213" s="52"/>
      <c r="K213" s="142" t="str">
        <f t="shared" si="122"/>
        <v>-</v>
      </c>
      <c r="L213" s="142" t="str">
        <f t="shared" si="122"/>
        <v>-</v>
      </c>
      <c r="M213" s="142">
        <f t="shared" si="122"/>
        <v>258.68</v>
      </c>
      <c r="N213" s="142">
        <f t="shared" si="122"/>
        <v>12107.15</v>
      </c>
      <c r="O213" s="142">
        <f t="shared" si="122"/>
        <v>27181.91</v>
      </c>
      <c r="P213" s="142" t="str">
        <f t="shared" si="122"/>
        <v>-</v>
      </c>
      <c r="Q213" s="142" t="str">
        <f t="shared" si="122"/>
        <v>-</v>
      </c>
      <c r="R213" s="142">
        <f t="shared" si="122"/>
        <v>39547.74</v>
      </c>
    </row>
    <row r="214" spans="1:18" ht="11.25" customHeight="1">
      <c r="A214" s="99"/>
      <c r="B214" s="142"/>
      <c r="C214" s="142"/>
      <c r="D214" s="142"/>
      <c r="E214" s="142"/>
      <c r="F214" s="142"/>
      <c r="G214" s="142"/>
      <c r="H214" s="142"/>
      <c r="I214" s="142"/>
      <c r="J214" s="52"/>
      <c r="K214" s="142"/>
      <c r="L214" s="142"/>
      <c r="M214" s="142"/>
      <c r="N214" s="142"/>
      <c r="O214" s="142"/>
      <c r="P214" s="142"/>
      <c r="Q214" s="142"/>
      <c r="R214" s="142"/>
    </row>
    <row r="215" spans="1:18" ht="11.25" customHeight="1">
      <c r="A215" s="282" t="s">
        <v>268</v>
      </c>
      <c r="B215" s="282"/>
      <c r="C215" s="282"/>
      <c r="D215" s="282"/>
      <c r="E215" s="282"/>
      <c r="F215" s="282"/>
      <c r="G215" s="282"/>
      <c r="H215" s="282"/>
      <c r="I215" s="282"/>
      <c r="J215" s="282"/>
      <c r="K215" s="282"/>
      <c r="L215" s="282"/>
      <c r="M215" s="282"/>
      <c r="N215" s="282"/>
      <c r="O215" s="282"/>
      <c r="P215" s="282"/>
      <c r="Q215" s="282"/>
      <c r="R215" s="282"/>
    </row>
    <row r="216" spans="1:18" s="220" customFormat="1" ht="13.5" customHeight="1">
      <c r="A216" s="47" t="s">
        <v>27</v>
      </c>
      <c r="B216" s="196" t="s">
        <v>108</v>
      </c>
      <c r="C216" s="196" t="s">
        <v>29</v>
      </c>
      <c r="D216" s="196" t="s">
        <v>30</v>
      </c>
      <c r="E216" s="196" t="s">
        <v>31</v>
      </c>
      <c r="F216" s="196" t="s">
        <v>32</v>
      </c>
      <c r="G216" s="196" t="s">
        <v>33</v>
      </c>
      <c r="H216" s="196" t="s">
        <v>34</v>
      </c>
      <c r="I216" s="196" t="s">
        <v>219</v>
      </c>
      <c r="J216" s="47"/>
      <c r="K216" s="196" t="s">
        <v>108</v>
      </c>
      <c r="L216" s="196" t="s">
        <v>29</v>
      </c>
      <c r="M216" s="196" t="s">
        <v>30</v>
      </c>
      <c r="N216" s="196" t="s">
        <v>31</v>
      </c>
      <c r="O216" s="196" t="s">
        <v>32</v>
      </c>
      <c r="P216" s="196" t="s">
        <v>33</v>
      </c>
      <c r="Q216" s="196" t="s">
        <v>34</v>
      </c>
      <c r="R216" s="196" t="s">
        <v>22</v>
      </c>
    </row>
    <row r="217" spans="1:18">
      <c r="A217" s="99"/>
      <c r="B217" s="334" t="s">
        <v>61</v>
      </c>
      <c r="C217" s="334"/>
      <c r="D217" s="334"/>
      <c r="E217" s="334"/>
      <c r="F217" s="334"/>
      <c r="G217" s="334"/>
      <c r="H217" s="334"/>
      <c r="I217" s="334"/>
      <c r="J217" s="6"/>
      <c r="K217" s="334" t="s">
        <v>62</v>
      </c>
      <c r="L217" s="334"/>
      <c r="M217" s="334"/>
      <c r="N217" s="334"/>
      <c r="O217" s="334"/>
      <c r="P217" s="334"/>
      <c r="Q217" s="334"/>
      <c r="R217" s="334"/>
    </row>
    <row r="218" spans="1:18">
      <c r="A218" s="102" t="s">
        <v>238</v>
      </c>
      <c r="B218" s="142"/>
      <c r="C218" s="142"/>
      <c r="D218" s="142"/>
      <c r="E218" s="142"/>
      <c r="F218" s="142"/>
      <c r="G218" s="142"/>
      <c r="H218" s="142"/>
      <c r="I218" s="142"/>
      <c r="J218" s="52"/>
      <c r="K218" s="142"/>
      <c r="L218" s="142"/>
      <c r="M218" s="142"/>
      <c r="N218" s="142"/>
      <c r="O218" s="142"/>
      <c r="P218" s="142"/>
      <c r="Q218" s="142"/>
      <c r="R218" s="142"/>
    </row>
    <row r="219" spans="1:18" ht="11.25" customHeight="1">
      <c r="A219" s="99" t="s">
        <v>24</v>
      </c>
      <c r="B219" s="142">
        <f t="shared" ref="B219:I219" si="123">AVERAGE(B106:B110)</f>
        <v>57.4</v>
      </c>
      <c r="C219" s="142">
        <f t="shared" si="123"/>
        <v>2158.8000000000002</v>
      </c>
      <c r="D219" s="142">
        <f t="shared" si="123"/>
        <v>16621.8</v>
      </c>
      <c r="E219" s="142">
        <f t="shared" si="123"/>
        <v>25794</v>
      </c>
      <c r="F219" s="142">
        <f t="shared" si="123"/>
        <v>14568.4</v>
      </c>
      <c r="G219" s="142">
        <f t="shared" si="123"/>
        <v>1009</v>
      </c>
      <c r="H219" s="142">
        <f t="shared" si="123"/>
        <v>46</v>
      </c>
      <c r="I219" s="142">
        <f t="shared" si="123"/>
        <v>60026</v>
      </c>
      <c r="J219" s="52"/>
      <c r="K219" s="142">
        <f t="shared" ref="K219:R219" si="124">AVERAGE(K106:K110)</f>
        <v>80</v>
      </c>
      <c r="L219" s="142">
        <f t="shared" si="124"/>
        <v>3527</v>
      </c>
      <c r="M219" s="142">
        <f t="shared" si="124"/>
        <v>27083</v>
      </c>
      <c r="N219" s="142">
        <f t="shared" si="124"/>
        <v>90232</v>
      </c>
      <c r="O219" s="142">
        <f t="shared" si="124"/>
        <v>79882.8</v>
      </c>
      <c r="P219" s="142">
        <f t="shared" si="124"/>
        <v>12003.4</v>
      </c>
      <c r="Q219" s="142">
        <f t="shared" si="124"/>
        <v>436</v>
      </c>
      <c r="R219" s="142">
        <f t="shared" si="124"/>
        <v>206178.4</v>
      </c>
    </row>
    <row r="220" spans="1:18" ht="11.25" customHeight="1">
      <c r="A220" s="99" t="s">
        <v>78</v>
      </c>
      <c r="B220" s="142" t="s">
        <v>23</v>
      </c>
      <c r="C220" s="142">
        <f t="shared" ref="C220:I220" si="125">AVERAGE(C111:C115)</f>
        <v>930</v>
      </c>
      <c r="D220" s="142">
        <f t="shared" si="125"/>
        <v>2013.5</v>
      </c>
      <c r="E220" s="142">
        <f t="shared" si="125"/>
        <v>15453.4</v>
      </c>
      <c r="F220" s="142">
        <f t="shared" si="125"/>
        <v>9841.2000000000007</v>
      </c>
      <c r="G220" s="142">
        <f t="shared" si="125"/>
        <v>1241</v>
      </c>
      <c r="H220" s="142" t="s">
        <v>23</v>
      </c>
      <c r="I220" s="142">
        <f t="shared" si="125"/>
        <v>27836</v>
      </c>
      <c r="J220" s="52"/>
      <c r="K220" s="142" t="s">
        <v>23</v>
      </c>
      <c r="L220" s="142">
        <f t="shared" ref="L220:R220" si="126">AVERAGE(L111:L115)</f>
        <v>19</v>
      </c>
      <c r="M220" s="142">
        <f t="shared" si="126"/>
        <v>6902</v>
      </c>
      <c r="N220" s="142">
        <f t="shared" si="126"/>
        <v>106235</v>
      </c>
      <c r="O220" s="142">
        <f t="shared" si="126"/>
        <v>74358.600000000006</v>
      </c>
      <c r="P220" s="142">
        <f t="shared" si="126"/>
        <v>7426.8</v>
      </c>
      <c r="Q220" s="142">
        <f t="shared" si="126"/>
        <v>44.5</v>
      </c>
      <c r="R220" s="142">
        <f t="shared" si="126"/>
        <v>193563.6</v>
      </c>
    </row>
    <row r="221" spans="1:18" ht="11.25" customHeight="1">
      <c r="A221" s="99" t="s">
        <v>10</v>
      </c>
      <c r="B221" s="142" t="s">
        <v>23</v>
      </c>
      <c r="C221" s="142">
        <f>AVERAGE(C116:C120)</f>
        <v>148</v>
      </c>
      <c r="D221" s="142">
        <f t="shared" ref="D221:R221" si="127">AVERAGE(D116:D120)</f>
        <v>1081.5</v>
      </c>
      <c r="E221" s="142">
        <f t="shared" si="127"/>
        <v>5233</v>
      </c>
      <c r="F221" s="142">
        <f t="shared" si="127"/>
        <v>4057.5</v>
      </c>
      <c r="G221" s="142">
        <f t="shared" si="127"/>
        <v>1805.75</v>
      </c>
      <c r="H221" s="142">
        <f t="shared" si="127"/>
        <v>215</v>
      </c>
      <c r="I221" s="142">
        <f t="shared" si="127"/>
        <v>11764.75</v>
      </c>
      <c r="J221" s="142"/>
      <c r="K221" s="142" t="s">
        <v>23</v>
      </c>
      <c r="L221" s="142">
        <f t="shared" si="127"/>
        <v>40</v>
      </c>
      <c r="M221" s="142">
        <f t="shared" si="127"/>
        <v>7328</v>
      </c>
      <c r="N221" s="142">
        <f t="shared" si="127"/>
        <v>74415.5</v>
      </c>
      <c r="O221" s="142">
        <f t="shared" si="127"/>
        <v>57811.75</v>
      </c>
      <c r="P221" s="142">
        <f t="shared" si="127"/>
        <v>19028.75</v>
      </c>
      <c r="Q221" s="142">
        <f t="shared" si="127"/>
        <v>324</v>
      </c>
      <c r="R221" s="142">
        <f t="shared" si="127"/>
        <v>124016.8</v>
      </c>
    </row>
    <row r="222" spans="1:18" ht="11.25" customHeight="1">
      <c r="A222" s="99" t="s">
        <v>144</v>
      </c>
      <c r="B222" s="142" t="s">
        <v>23</v>
      </c>
      <c r="C222" s="142" t="s">
        <v>23</v>
      </c>
      <c r="D222" s="142" t="s">
        <v>23</v>
      </c>
      <c r="E222" s="142">
        <f t="shared" ref="E222:R222" si="128">AVERAGE(E121:E125)</f>
        <v>2799.25</v>
      </c>
      <c r="F222" s="142">
        <f t="shared" si="128"/>
        <v>2629.4</v>
      </c>
      <c r="G222" s="142">
        <f t="shared" si="128"/>
        <v>592</v>
      </c>
      <c r="H222" s="142" t="s">
        <v>23</v>
      </c>
      <c r="I222" s="142">
        <f t="shared" si="128"/>
        <v>5342.4</v>
      </c>
      <c r="J222" s="142"/>
      <c r="K222" s="142" t="s">
        <v>23</v>
      </c>
      <c r="L222" s="142" t="s">
        <v>23</v>
      </c>
      <c r="M222" s="142" t="s">
        <v>23</v>
      </c>
      <c r="N222" s="142">
        <f t="shared" si="128"/>
        <v>21511.25</v>
      </c>
      <c r="O222" s="142">
        <f t="shared" si="128"/>
        <v>26964</v>
      </c>
      <c r="P222" s="142">
        <f t="shared" si="128"/>
        <v>4528.6000000000004</v>
      </c>
      <c r="Q222" s="142" t="s">
        <v>23</v>
      </c>
      <c r="R222" s="142">
        <f t="shared" si="128"/>
        <v>48701.599999999999</v>
      </c>
    </row>
    <row r="223" spans="1:18" ht="11.25" customHeight="1">
      <c r="A223" s="99" t="s">
        <v>166</v>
      </c>
      <c r="B223" s="142" t="str">
        <f>B126</f>
        <v>-</v>
      </c>
      <c r="C223" s="142">
        <f t="shared" ref="C223:I223" si="129">AVERAGE(C126:C130)</f>
        <v>2640</v>
      </c>
      <c r="D223" s="142">
        <f t="shared" si="129"/>
        <v>5294.5</v>
      </c>
      <c r="E223" s="142">
        <f t="shared" si="129"/>
        <v>15735.284720780397</v>
      </c>
      <c r="F223" s="142">
        <f t="shared" si="129"/>
        <v>14305.279902815353</v>
      </c>
      <c r="G223" s="142">
        <f t="shared" si="129"/>
        <v>3100.3900462334186</v>
      </c>
      <c r="H223" s="142">
        <f t="shared" si="129"/>
        <v>51.4</v>
      </c>
      <c r="I223" s="142">
        <f t="shared" si="129"/>
        <v>37954.75466982917</v>
      </c>
      <c r="J223" s="52"/>
      <c r="K223" s="142" t="str">
        <f>K126</f>
        <v>-</v>
      </c>
      <c r="L223" s="142">
        <f t="shared" ref="L223:R223" si="130">AVERAGE(L126:L130)</f>
        <v>5</v>
      </c>
      <c r="M223" s="142">
        <f t="shared" si="130"/>
        <v>1900.25</v>
      </c>
      <c r="N223" s="142">
        <f t="shared" si="130"/>
        <v>47596.353217747783</v>
      </c>
      <c r="O223" s="142">
        <f t="shared" si="130"/>
        <v>66201.030341472229</v>
      </c>
      <c r="P223" s="142">
        <f t="shared" si="130"/>
        <v>17035.926886302655</v>
      </c>
      <c r="Q223" s="142">
        <f t="shared" si="130"/>
        <v>10.4</v>
      </c>
      <c r="R223" s="142">
        <f t="shared" si="130"/>
        <v>132364.91044552266</v>
      </c>
    </row>
    <row r="224" spans="1:18" ht="11.25" customHeight="1">
      <c r="A224" s="99" t="s">
        <v>315</v>
      </c>
      <c r="B224" s="142" t="str">
        <f>B131</f>
        <v>-</v>
      </c>
      <c r="C224" s="142">
        <f>AVERAGE(C131:C135)</f>
        <v>17</v>
      </c>
      <c r="D224" s="142">
        <f t="shared" ref="D224:I224" si="131">AVERAGE(D131:D135)</f>
        <v>2149.4250000000002</v>
      </c>
      <c r="E224" s="142">
        <f t="shared" si="131"/>
        <v>6706.4220000000005</v>
      </c>
      <c r="F224" s="142">
        <f t="shared" si="131"/>
        <v>8242.594000000001</v>
      </c>
      <c r="G224" s="142">
        <f t="shared" si="131"/>
        <v>916.976</v>
      </c>
      <c r="H224" s="142">
        <f t="shared" si="131"/>
        <v>47.703999999999994</v>
      </c>
      <c r="I224" s="142">
        <f t="shared" si="131"/>
        <v>17636.636000000002</v>
      </c>
      <c r="J224" s="52"/>
      <c r="K224" s="142" t="str">
        <f t="shared" ref="K224:L224" si="132">K131</f>
        <v>-</v>
      </c>
      <c r="L224" s="142" t="str">
        <f t="shared" si="132"/>
        <v>-</v>
      </c>
      <c r="M224" s="142">
        <f t="shared" ref="M224:R224" si="133">AVERAGE(M131:M135)</f>
        <v>557.92250000000001</v>
      </c>
      <c r="N224" s="142">
        <f t="shared" si="133"/>
        <v>21902.356</v>
      </c>
      <c r="O224" s="142">
        <f t="shared" si="133"/>
        <v>44872.55</v>
      </c>
      <c r="P224" s="142">
        <f t="shared" si="133"/>
        <v>5760.4159999999993</v>
      </c>
      <c r="Q224" s="142">
        <f t="shared" si="133"/>
        <v>26.564</v>
      </c>
      <c r="R224" s="142">
        <f t="shared" si="133"/>
        <v>73008.224000000002</v>
      </c>
    </row>
    <row r="225" spans="1:18" ht="11.25" customHeight="1">
      <c r="A225" s="99">
        <v>2011</v>
      </c>
      <c r="B225" s="142" t="str">
        <f t="shared" ref="B225:I225" si="134">B136</f>
        <v>-</v>
      </c>
      <c r="C225" s="142" t="str">
        <f t="shared" si="134"/>
        <v>-</v>
      </c>
      <c r="D225" s="142">
        <f t="shared" si="134"/>
        <v>2989.8199999999997</v>
      </c>
      <c r="E225" s="142">
        <f t="shared" si="134"/>
        <v>8417.76</v>
      </c>
      <c r="F225" s="142">
        <f t="shared" si="134"/>
        <v>18441.82</v>
      </c>
      <c r="G225" s="142">
        <f t="shared" si="134"/>
        <v>967.87</v>
      </c>
      <c r="H225" s="142">
        <f t="shared" si="134"/>
        <v>5</v>
      </c>
      <c r="I225" s="142">
        <f t="shared" si="134"/>
        <v>30822.269999999997</v>
      </c>
      <c r="J225" s="235"/>
      <c r="K225" s="142" t="str">
        <f t="shared" ref="K225:R225" si="135">K136</f>
        <v>-</v>
      </c>
      <c r="L225" s="142" t="str">
        <f t="shared" si="135"/>
        <v>-</v>
      </c>
      <c r="M225" s="142">
        <f t="shared" si="135"/>
        <v>797.72</v>
      </c>
      <c r="N225" s="142">
        <f t="shared" si="135"/>
        <v>13074.210000000001</v>
      </c>
      <c r="O225" s="142">
        <f t="shared" si="135"/>
        <v>25504.17</v>
      </c>
      <c r="P225" s="142">
        <f t="shared" si="135"/>
        <v>6249.25</v>
      </c>
      <c r="Q225" s="142">
        <f t="shared" si="135"/>
        <v>2.4500000000000002</v>
      </c>
      <c r="R225" s="142">
        <f t="shared" si="135"/>
        <v>45627.799999999996</v>
      </c>
    </row>
    <row r="226" spans="1:18" ht="11.25" customHeight="1">
      <c r="A226" s="99">
        <v>2012</v>
      </c>
      <c r="B226" s="142" t="str">
        <f t="shared" ref="B226:I226" si="136">B137</f>
        <v>-</v>
      </c>
      <c r="C226" s="142" t="str">
        <f t="shared" si="136"/>
        <v>-</v>
      </c>
      <c r="D226" s="142">
        <f t="shared" si="136"/>
        <v>10842.96</v>
      </c>
      <c r="E226" s="142">
        <f t="shared" si="136"/>
        <v>10869.55</v>
      </c>
      <c r="F226" s="142">
        <f t="shared" si="136"/>
        <v>11447.119999999999</v>
      </c>
      <c r="G226" s="142">
        <f t="shared" si="136"/>
        <v>2140.63</v>
      </c>
      <c r="H226" s="142">
        <f t="shared" si="136"/>
        <v>132.59</v>
      </c>
      <c r="I226" s="142">
        <f t="shared" si="136"/>
        <v>35432.850000000006</v>
      </c>
      <c r="J226" s="235"/>
      <c r="K226" s="142" t="str">
        <f t="shared" ref="K226:R226" si="137">K137</f>
        <v>-</v>
      </c>
      <c r="L226" s="142" t="str">
        <f t="shared" si="137"/>
        <v>-</v>
      </c>
      <c r="M226" s="142">
        <f t="shared" si="137"/>
        <v>493.48</v>
      </c>
      <c r="N226" s="142">
        <f t="shared" si="137"/>
        <v>10911.51</v>
      </c>
      <c r="O226" s="142">
        <f t="shared" si="137"/>
        <v>12682.220000000001</v>
      </c>
      <c r="P226" s="142">
        <f t="shared" si="137"/>
        <v>8998.2100000000009</v>
      </c>
      <c r="Q226" s="142">
        <f t="shared" si="137"/>
        <v>20.81</v>
      </c>
      <c r="R226" s="142">
        <f t="shared" si="137"/>
        <v>33106.229999999996</v>
      </c>
    </row>
    <row r="227" spans="1:18" ht="11.25" customHeight="1">
      <c r="A227" s="99">
        <v>2013</v>
      </c>
      <c r="B227" s="142" t="str">
        <f t="shared" ref="B227:I227" si="138">B138</f>
        <v>-</v>
      </c>
      <c r="C227" s="142">
        <f t="shared" si="138"/>
        <v>130.57999999999998</v>
      </c>
      <c r="D227" s="142">
        <f t="shared" si="138"/>
        <v>4957.43</v>
      </c>
      <c r="E227" s="142">
        <f t="shared" si="138"/>
        <v>9041.93</v>
      </c>
      <c r="F227" s="142">
        <f t="shared" si="138"/>
        <v>14526.3</v>
      </c>
      <c r="G227" s="142">
        <f t="shared" si="138"/>
        <v>2060.9300000000003</v>
      </c>
      <c r="H227" s="142">
        <f t="shared" si="138"/>
        <v>118.68</v>
      </c>
      <c r="I227" s="142">
        <f t="shared" si="138"/>
        <v>30835.85</v>
      </c>
      <c r="J227" s="235"/>
      <c r="K227" s="142" t="str">
        <f t="shared" ref="K227:R227" si="139">K138</f>
        <v>-</v>
      </c>
      <c r="L227" s="142" t="str">
        <f t="shared" si="139"/>
        <v>-</v>
      </c>
      <c r="M227" s="142">
        <f t="shared" si="139"/>
        <v>4122.6000000000004</v>
      </c>
      <c r="N227" s="142">
        <f t="shared" si="139"/>
        <v>11616.59</v>
      </c>
      <c r="O227" s="142">
        <f t="shared" si="139"/>
        <v>27487.87</v>
      </c>
      <c r="P227" s="142">
        <f t="shared" si="139"/>
        <v>6908.22</v>
      </c>
      <c r="Q227" s="142">
        <f t="shared" si="139"/>
        <v>17.72</v>
      </c>
      <c r="R227" s="142">
        <f t="shared" si="139"/>
        <v>50153</v>
      </c>
    </row>
    <row r="228" spans="1:18" ht="11.25" customHeight="1">
      <c r="A228" s="99">
        <v>2014</v>
      </c>
      <c r="B228" s="142" t="str">
        <f t="shared" ref="B228:I228" si="140">B139</f>
        <v>-</v>
      </c>
      <c r="C228" s="142">
        <f t="shared" si="140"/>
        <v>650.30999999999995</v>
      </c>
      <c r="D228" s="142">
        <f t="shared" si="140"/>
        <v>6176.5</v>
      </c>
      <c r="E228" s="142">
        <f t="shared" si="140"/>
        <v>16088.49</v>
      </c>
      <c r="F228" s="142">
        <f t="shared" si="140"/>
        <v>17576.010000000002</v>
      </c>
      <c r="G228" s="142">
        <f t="shared" si="140"/>
        <v>1729.44</v>
      </c>
      <c r="H228" s="142">
        <f t="shared" si="140"/>
        <v>110.29</v>
      </c>
      <c r="I228" s="142">
        <f t="shared" si="140"/>
        <v>42331.039999999994</v>
      </c>
      <c r="J228" s="235"/>
      <c r="K228" s="142" t="str">
        <f t="shared" ref="K228:R228" si="141">K139</f>
        <v>-</v>
      </c>
      <c r="L228" s="142" t="str">
        <f t="shared" si="141"/>
        <v>-</v>
      </c>
      <c r="M228" s="142">
        <f t="shared" si="141"/>
        <v>8839.01</v>
      </c>
      <c r="N228" s="142">
        <f t="shared" si="141"/>
        <v>40204.6</v>
      </c>
      <c r="O228" s="142">
        <f t="shared" si="141"/>
        <v>60914.15</v>
      </c>
      <c r="P228" s="142">
        <f t="shared" si="141"/>
        <v>29640.080000000002</v>
      </c>
      <c r="Q228" s="142">
        <f t="shared" si="141"/>
        <v>199.14</v>
      </c>
      <c r="R228" s="142">
        <f t="shared" si="141"/>
        <v>139796.98000000001</v>
      </c>
    </row>
    <row r="229" spans="1:18" ht="11.25" customHeight="1">
      <c r="A229" s="99">
        <v>2015</v>
      </c>
      <c r="B229" s="142" t="str">
        <f t="shared" ref="B229:I229" si="142">B140</f>
        <v>-</v>
      </c>
      <c r="C229" s="142">
        <f t="shared" si="142"/>
        <v>623.16</v>
      </c>
      <c r="D229" s="142">
        <f t="shared" si="142"/>
        <v>6297.58</v>
      </c>
      <c r="E229" s="142">
        <f t="shared" si="142"/>
        <v>17514.86</v>
      </c>
      <c r="F229" s="142">
        <f t="shared" si="142"/>
        <v>11538.57</v>
      </c>
      <c r="G229" s="142">
        <f t="shared" si="142"/>
        <v>6049.3099999999995</v>
      </c>
      <c r="H229" s="142">
        <f t="shared" si="142"/>
        <v>164.41</v>
      </c>
      <c r="I229" s="142">
        <f t="shared" si="142"/>
        <v>42187.89</v>
      </c>
      <c r="J229" s="235"/>
      <c r="K229" s="142" t="str">
        <f t="shared" ref="K229:R229" si="143">K140</f>
        <v>-</v>
      </c>
      <c r="L229" s="142" t="str">
        <f t="shared" si="143"/>
        <v>-</v>
      </c>
      <c r="M229" s="142">
        <f t="shared" si="143"/>
        <v>5946.9400000000005</v>
      </c>
      <c r="N229" s="142">
        <f t="shared" si="143"/>
        <v>31174.42</v>
      </c>
      <c r="O229" s="142">
        <f t="shared" si="143"/>
        <v>27415.649999999998</v>
      </c>
      <c r="P229" s="142">
        <f t="shared" si="143"/>
        <v>19027.48</v>
      </c>
      <c r="Q229" s="142">
        <f t="shared" si="143"/>
        <v>12.74</v>
      </c>
      <c r="R229" s="142">
        <f t="shared" si="143"/>
        <v>83577.23000000001</v>
      </c>
    </row>
    <row r="230" spans="1:18" ht="11.25" customHeight="1">
      <c r="A230" s="99">
        <v>2016</v>
      </c>
      <c r="B230" s="142" t="str">
        <f t="shared" ref="B230:I230" si="144">B141</f>
        <v>-</v>
      </c>
      <c r="C230" s="142" t="str">
        <f t="shared" si="144"/>
        <v>-</v>
      </c>
      <c r="D230" s="142" t="str">
        <f t="shared" si="144"/>
        <v>-</v>
      </c>
      <c r="E230" s="142">
        <f t="shared" si="144"/>
        <v>10171.99</v>
      </c>
      <c r="F230" s="142">
        <f t="shared" si="144"/>
        <v>7775.48</v>
      </c>
      <c r="G230" s="142" t="str">
        <f t="shared" si="144"/>
        <v>-</v>
      </c>
      <c r="H230" s="142" t="str">
        <f t="shared" si="144"/>
        <v>-</v>
      </c>
      <c r="I230" s="142">
        <f t="shared" si="144"/>
        <v>17947.47</v>
      </c>
      <c r="J230" s="235"/>
      <c r="K230" s="142" t="str">
        <f t="shared" ref="K230:R230" si="145">K141</f>
        <v>-</v>
      </c>
      <c r="L230" s="142" t="str">
        <f t="shared" si="145"/>
        <v>-</v>
      </c>
      <c r="M230" s="142" t="str">
        <f t="shared" si="145"/>
        <v>-</v>
      </c>
      <c r="N230" s="142">
        <f t="shared" si="145"/>
        <v>5669.99</v>
      </c>
      <c r="O230" s="142">
        <f t="shared" si="145"/>
        <v>13042.630000000001</v>
      </c>
      <c r="P230" s="142" t="str">
        <f t="shared" si="145"/>
        <v>-</v>
      </c>
      <c r="Q230" s="142" t="str">
        <f t="shared" si="145"/>
        <v>-</v>
      </c>
      <c r="R230" s="142">
        <f t="shared" si="145"/>
        <v>18712.62</v>
      </c>
    </row>
    <row r="231" spans="1:18" ht="11.25" customHeight="1">
      <c r="A231" s="99">
        <v>2017</v>
      </c>
      <c r="B231" s="142" t="str">
        <f t="shared" ref="B231:I231" si="146">B142</f>
        <v>-</v>
      </c>
      <c r="C231" s="142" t="str">
        <f t="shared" si="146"/>
        <v>-</v>
      </c>
      <c r="D231" s="142">
        <f t="shared" si="146"/>
        <v>899.28</v>
      </c>
      <c r="E231" s="142">
        <f t="shared" si="146"/>
        <v>13348.34</v>
      </c>
      <c r="F231" s="142">
        <f t="shared" si="146"/>
        <v>7606.829999999999</v>
      </c>
      <c r="G231" s="142">
        <f t="shared" si="146"/>
        <v>90.74</v>
      </c>
      <c r="H231" s="142" t="str">
        <f t="shared" si="146"/>
        <v>-</v>
      </c>
      <c r="I231" s="142">
        <f t="shared" si="146"/>
        <v>21945.190000000002</v>
      </c>
      <c r="J231" s="235"/>
      <c r="K231" s="142" t="str">
        <f t="shared" ref="K231:R231" si="147">K142</f>
        <v>-</v>
      </c>
      <c r="L231" s="142" t="str">
        <f t="shared" si="147"/>
        <v>-</v>
      </c>
      <c r="M231" s="142">
        <f t="shared" si="147"/>
        <v>100.71000000000001</v>
      </c>
      <c r="N231" s="142">
        <f t="shared" si="147"/>
        <v>16563.330000000002</v>
      </c>
      <c r="O231" s="142">
        <f t="shared" si="147"/>
        <v>25063.15</v>
      </c>
      <c r="P231" s="142">
        <f t="shared" si="147"/>
        <v>929.59999999999991</v>
      </c>
      <c r="Q231" s="142" t="str">
        <f t="shared" si="147"/>
        <v>-</v>
      </c>
      <c r="R231" s="142">
        <f t="shared" si="147"/>
        <v>42656.79</v>
      </c>
    </row>
    <row r="232" spans="1:18" ht="11.25" customHeight="1">
      <c r="A232" s="99">
        <v>2018</v>
      </c>
      <c r="B232" s="142" t="str">
        <f t="shared" ref="B232:I232" si="148">B143</f>
        <v>-</v>
      </c>
      <c r="C232" s="142" t="str">
        <f t="shared" si="148"/>
        <v>-</v>
      </c>
      <c r="D232" s="142">
        <f t="shared" si="148"/>
        <v>952.96</v>
      </c>
      <c r="E232" s="142">
        <f t="shared" si="148"/>
        <v>5564.03</v>
      </c>
      <c r="F232" s="142">
        <f t="shared" si="148"/>
        <v>4027.67</v>
      </c>
      <c r="G232" s="142">
        <f t="shared" si="148"/>
        <v>57.63</v>
      </c>
      <c r="H232" s="142" t="str">
        <f t="shared" si="148"/>
        <v>-</v>
      </c>
      <c r="I232" s="142">
        <f t="shared" si="148"/>
        <v>10602.29</v>
      </c>
      <c r="J232" s="235"/>
      <c r="K232" s="142" t="str">
        <f t="shared" ref="K232:R232" si="149">K143</f>
        <v>-</v>
      </c>
      <c r="L232" s="142" t="str">
        <f t="shared" si="149"/>
        <v>-</v>
      </c>
      <c r="M232" s="142">
        <f t="shared" si="149"/>
        <v>867.94</v>
      </c>
      <c r="N232" s="142">
        <f t="shared" si="149"/>
        <v>10973.68</v>
      </c>
      <c r="O232" s="142">
        <f t="shared" si="149"/>
        <v>29645.989999999998</v>
      </c>
      <c r="P232" s="142">
        <f t="shared" si="149"/>
        <v>350.28999999999996</v>
      </c>
      <c r="Q232" s="142" t="str">
        <f t="shared" si="149"/>
        <v>-</v>
      </c>
      <c r="R232" s="142">
        <f t="shared" si="149"/>
        <v>41837.899999999994</v>
      </c>
    </row>
    <row r="233" spans="1:18" ht="11.25" customHeight="1">
      <c r="A233" s="99">
        <v>2019</v>
      </c>
      <c r="B233" s="142" t="str">
        <f t="shared" ref="B233:I233" si="150">B144</f>
        <v>-</v>
      </c>
      <c r="C233" s="142" t="str">
        <f t="shared" si="150"/>
        <v>-</v>
      </c>
      <c r="D233" s="142">
        <f t="shared" si="150"/>
        <v>1950.9900000000002</v>
      </c>
      <c r="E233" s="142">
        <f t="shared" si="150"/>
        <v>5965.1900000000005</v>
      </c>
      <c r="F233" s="142">
        <f t="shared" si="150"/>
        <v>2521.5500000000002</v>
      </c>
      <c r="G233" s="142">
        <f t="shared" si="150"/>
        <v>276.18</v>
      </c>
      <c r="H233" s="142">
        <f t="shared" si="150"/>
        <v>164.35</v>
      </c>
      <c r="I233" s="142">
        <f t="shared" si="150"/>
        <v>10878.26</v>
      </c>
      <c r="J233" s="235"/>
      <c r="K233" s="142" t="str">
        <f t="shared" ref="K233:R233" si="151">K144</f>
        <v>-</v>
      </c>
      <c r="L233" s="142" t="str">
        <f t="shared" si="151"/>
        <v>-</v>
      </c>
      <c r="M233" s="142">
        <f t="shared" si="151"/>
        <v>6455.35</v>
      </c>
      <c r="N233" s="142">
        <f t="shared" si="151"/>
        <v>32492.399999999998</v>
      </c>
      <c r="O233" s="142">
        <f t="shared" si="151"/>
        <v>39329.089999999997</v>
      </c>
      <c r="P233" s="142">
        <f t="shared" si="151"/>
        <v>3355.85</v>
      </c>
      <c r="Q233" s="142">
        <f t="shared" si="151"/>
        <v>15.86</v>
      </c>
      <c r="R233" s="142">
        <f t="shared" si="151"/>
        <v>81648.55</v>
      </c>
    </row>
    <row r="234" spans="1:18" ht="11.25" customHeight="1">
      <c r="A234" s="99">
        <v>2020</v>
      </c>
      <c r="B234" s="142" t="str">
        <f t="shared" ref="B234:I235" si="152">B145</f>
        <v>-</v>
      </c>
      <c r="C234" s="142" t="str">
        <f t="shared" si="152"/>
        <v>-</v>
      </c>
      <c r="D234" s="142">
        <f t="shared" si="152"/>
        <v>821.30000000000007</v>
      </c>
      <c r="E234" s="142">
        <f t="shared" si="152"/>
        <v>4769.3599999999997</v>
      </c>
      <c r="F234" s="142">
        <f t="shared" si="152"/>
        <v>1591.84</v>
      </c>
      <c r="G234" s="142">
        <f t="shared" si="152"/>
        <v>478.51</v>
      </c>
      <c r="H234" s="142" t="str">
        <f t="shared" si="152"/>
        <v>-</v>
      </c>
      <c r="I234" s="142">
        <f t="shared" si="152"/>
        <v>7661.01</v>
      </c>
      <c r="J234" s="235"/>
      <c r="K234" s="142" t="str">
        <f t="shared" ref="K234:R235" si="153">K145</f>
        <v>-</v>
      </c>
      <c r="L234" s="142" t="str">
        <f t="shared" si="153"/>
        <v>-</v>
      </c>
      <c r="M234" s="142">
        <f t="shared" si="153"/>
        <v>49.98</v>
      </c>
      <c r="N234" s="142">
        <f t="shared" si="153"/>
        <v>17699.04</v>
      </c>
      <c r="O234" s="142">
        <f t="shared" si="153"/>
        <v>3894.54</v>
      </c>
      <c r="P234" s="142">
        <f t="shared" si="153"/>
        <v>2327.23</v>
      </c>
      <c r="Q234" s="142" t="str">
        <f t="shared" si="153"/>
        <v>-</v>
      </c>
      <c r="R234" s="142">
        <f t="shared" si="153"/>
        <v>23970.79</v>
      </c>
    </row>
    <row r="235" spans="1:18" ht="11.25" customHeight="1">
      <c r="A235" s="99" t="s">
        <v>318</v>
      </c>
      <c r="B235" s="142" t="str">
        <f t="shared" si="152"/>
        <v>-</v>
      </c>
      <c r="C235" s="142" t="str">
        <f t="shared" si="152"/>
        <v>-</v>
      </c>
      <c r="D235" s="142">
        <f t="shared" si="152"/>
        <v>2048.58</v>
      </c>
      <c r="E235" s="142">
        <f t="shared" si="152"/>
        <v>9201.64</v>
      </c>
      <c r="F235" s="142">
        <f t="shared" si="152"/>
        <v>6111.09</v>
      </c>
      <c r="G235" s="142">
        <f t="shared" si="152"/>
        <v>453.01000000000005</v>
      </c>
      <c r="H235" s="142" t="str">
        <f t="shared" si="152"/>
        <v>-</v>
      </c>
      <c r="I235" s="142">
        <f t="shared" si="152"/>
        <v>17814.32</v>
      </c>
      <c r="J235" s="235"/>
      <c r="K235" s="142" t="str">
        <f t="shared" si="153"/>
        <v>-</v>
      </c>
      <c r="L235" s="142" t="str">
        <f t="shared" si="153"/>
        <v>-</v>
      </c>
      <c r="M235" s="142">
        <f t="shared" si="153"/>
        <v>279.87</v>
      </c>
      <c r="N235" s="142">
        <f t="shared" si="153"/>
        <v>15970.86</v>
      </c>
      <c r="O235" s="142">
        <f t="shared" si="153"/>
        <v>40488.25</v>
      </c>
      <c r="P235" s="142">
        <f t="shared" si="153"/>
        <v>7438.5</v>
      </c>
      <c r="Q235" s="142" t="str">
        <f t="shared" si="153"/>
        <v>-</v>
      </c>
      <c r="R235" s="142">
        <f t="shared" si="153"/>
        <v>64177.479999999996</v>
      </c>
    </row>
    <row r="236" spans="1:18" ht="11.25" customHeight="1">
      <c r="A236" s="223" t="str">
        <f>A147</f>
        <v>a/  Monthly totals for Oregon data are the sum of statistical weeks with closest fit to the calendar month.  Washington data are summarized by statistical month.</v>
      </c>
      <c r="B236" s="223"/>
      <c r="C236" s="223"/>
      <c r="D236" s="223"/>
      <c r="E236" s="223"/>
      <c r="F236" s="223"/>
      <c r="G236" s="223"/>
      <c r="H236" s="223"/>
      <c r="I236" s="223"/>
      <c r="J236" s="223"/>
      <c r="K236" s="223"/>
      <c r="L236" s="223"/>
      <c r="M236" s="223"/>
      <c r="N236" s="223"/>
      <c r="O236" s="223"/>
      <c r="P236" s="223"/>
      <c r="Q236" s="223"/>
      <c r="R236" s="223"/>
    </row>
    <row r="237" spans="1:18" ht="11.25" customHeight="1">
      <c r="A237" s="71" t="str">
        <f>A148</f>
        <v>b/  Includes minor effort in November in some years.</v>
      </c>
      <c r="B237" s="71"/>
      <c r="C237" s="71"/>
      <c r="D237" s="71"/>
      <c r="E237" s="71"/>
      <c r="F237" s="71"/>
      <c r="G237" s="71"/>
      <c r="H237" s="71"/>
      <c r="I237" s="71"/>
      <c r="J237" s="71"/>
      <c r="K237" s="71"/>
      <c r="L237" s="71"/>
      <c r="M237" s="71"/>
      <c r="N237" s="71"/>
      <c r="O237" s="71"/>
      <c r="P237" s="71"/>
      <c r="Q237" s="71"/>
      <c r="R237" s="71"/>
    </row>
    <row r="238" spans="1:18" ht="11.25" customHeight="1">
      <c r="A238" s="71" t="str">
        <f>A149</f>
        <v>c/  Includes catch from the Washington State waters Area 4B fishery in 1991, 1992, 1993, 1996, 1997, 1998, 2000, and 2008.</v>
      </c>
      <c r="B238" s="71"/>
      <c r="C238" s="71"/>
      <c r="D238" s="71"/>
      <c r="E238" s="71"/>
      <c r="F238" s="71"/>
      <c r="G238" s="71"/>
      <c r="H238" s="71"/>
      <c r="I238" s="71"/>
      <c r="J238" s="71"/>
      <c r="K238" s="71"/>
      <c r="L238" s="71"/>
      <c r="M238" s="71"/>
      <c r="N238" s="71"/>
      <c r="O238" s="71"/>
      <c r="P238" s="71"/>
      <c r="Q238" s="71"/>
      <c r="R238" s="71"/>
    </row>
    <row r="239" spans="1:18" ht="11.25" customHeight="1">
      <c r="A239" s="347" t="str">
        <f>A150</f>
        <v>d/  Preliminary.</v>
      </c>
      <c r="B239" s="347"/>
      <c r="C239" s="347"/>
      <c r="D239" s="347"/>
      <c r="E239" s="347"/>
      <c r="F239" s="347"/>
      <c r="G239" s="347"/>
      <c r="H239" s="347"/>
      <c r="I239" s="347"/>
      <c r="J239" s="347"/>
      <c r="K239" s="347"/>
      <c r="L239" s="347"/>
      <c r="M239" s="347"/>
      <c r="N239" s="347"/>
      <c r="O239" s="347"/>
      <c r="P239" s="347"/>
      <c r="Q239" s="347"/>
      <c r="R239" s="347"/>
    </row>
    <row r="240" spans="1:18" ht="11.25" customHeight="1">
      <c r="A240" s="226"/>
      <c r="B240" s="51"/>
      <c r="C240" s="51"/>
      <c r="D240" s="51"/>
      <c r="E240" s="51"/>
      <c r="F240" s="51"/>
      <c r="G240" s="51"/>
      <c r="H240" s="51"/>
      <c r="I240" s="51"/>
      <c r="K240" s="51"/>
      <c r="L240" s="51"/>
      <c r="M240" s="51"/>
      <c r="N240" s="51"/>
      <c r="O240" s="51"/>
      <c r="P240" s="51"/>
      <c r="Q240" s="51"/>
      <c r="R240" s="51"/>
    </row>
  </sheetData>
  <mergeCells count="14">
    <mergeCell ref="A239:R239"/>
    <mergeCell ref="A150:R150"/>
    <mergeCell ref="A174:R174"/>
    <mergeCell ref="B176:I176"/>
    <mergeCell ref="K176:R176"/>
    <mergeCell ref="B217:I217"/>
    <mergeCell ref="K217:R217"/>
    <mergeCell ref="A215:R215"/>
    <mergeCell ref="A149:R149"/>
    <mergeCell ref="A1:R1"/>
    <mergeCell ref="B3:I3"/>
    <mergeCell ref="K3:R3"/>
    <mergeCell ref="A147:R147"/>
    <mergeCell ref="A148:R148"/>
  </mergeCells>
  <pageMargins left="0.7" right="0.7" top="0.75" bottom="0.75" header="0.3" footer="0.3"/>
  <pageSetup orientation="landscape" r:id="rId1"/>
  <rowBreaks count="1" manualBreakCount="1">
    <brk id="214"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62"/>
  <dimension ref="A1"/>
  <sheetViews>
    <sheetView showGridLines="0" workbookViewId="0">
      <selection activeCell="N421" sqref="N421"/>
    </sheetView>
  </sheetViews>
  <sheetFormatPr baseColWidth="10" defaultColWidth="8.83203125" defaultRowHeight="16"/>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27</vt:i4>
      </vt:variant>
    </vt:vector>
  </HeadingPairs>
  <TitlesOfParts>
    <vt:vector size="56" baseType="lpstr">
      <vt:lpstr>A-1</vt:lpstr>
      <vt:lpstr>A-2</vt:lpstr>
      <vt:lpstr>A-3</vt:lpstr>
      <vt:lpstr>A-4</vt:lpstr>
      <vt:lpstr>A-5</vt:lpstr>
      <vt:lpstr>A-6</vt:lpstr>
      <vt:lpstr>A-7</vt:lpstr>
      <vt:lpstr>A-8</vt:lpstr>
      <vt:lpstr>A-9</vt:lpstr>
      <vt:lpstr>A-10</vt:lpstr>
      <vt:lpstr>A-11</vt:lpstr>
      <vt:lpstr>A-12</vt:lpstr>
      <vt:lpstr>A-13</vt:lpstr>
      <vt:lpstr>A-14</vt:lpstr>
      <vt:lpstr>A-15</vt:lpstr>
      <vt:lpstr>A-16</vt:lpstr>
      <vt:lpstr>A-17</vt:lpstr>
      <vt:lpstr>A-18</vt:lpstr>
      <vt:lpstr>A-19</vt:lpstr>
      <vt:lpstr>A-20</vt:lpstr>
      <vt:lpstr>A-21</vt:lpstr>
      <vt:lpstr>A-22</vt:lpstr>
      <vt:lpstr>A-23</vt:lpstr>
      <vt:lpstr>A-24</vt:lpstr>
      <vt:lpstr>A-25</vt:lpstr>
      <vt:lpstr>A-26</vt:lpstr>
      <vt:lpstr>A-27</vt:lpstr>
      <vt:lpstr>A-28</vt:lpstr>
      <vt:lpstr>Sheet1</vt:lpstr>
      <vt:lpstr>'A-10'!Print_Area</vt:lpstr>
      <vt:lpstr>'A-11'!Print_Area</vt:lpstr>
      <vt:lpstr>'A-12'!Print_Area</vt:lpstr>
      <vt:lpstr>'A-13'!Print_Area</vt:lpstr>
      <vt:lpstr>'A-14'!Print_Area</vt:lpstr>
      <vt:lpstr>'A-15'!Print_Area</vt:lpstr>
      <vt:lpstr>'A-16'!Print_Area</vt:lpstr>
      <vt:lpstr>'A-17'!Print_Area</vt:lpstr>
      <vt:lpstr>'A-18'!Print_Area</vt:lpstr>
      <vt:lpstr>'A-19'!Print_Area</vt:lpstr>
      <vt:lpstr>'A-2'!Print_Area</vt:lpstr>
      <vt:lpstr>'A-20'!Print_Area</vt:lpstr>
      <vt:lpstr>'A-21'!Print_Area</vt:lpstr>
      <vt:lpstr>'A-22'!Print_Area</vt:lpstr>
      <vt:lpstr>'A-23'!Print_Area</vt:lpstr>
      <vt:lpstr>'A-24'!Print_Area</vt:lpstr>
      <vt:lpstr>'A-25'!Print_Area</vt:lpstr>
      <vt:lpstr>'A-26'!Print_Area</vt:lpstr>
      <vt:lpstr>'A-27'!Print_Area</vt:lpstr>
      <vt:lpstr>'A-28'!Print_Area</vt:lpstr>
      <vt:lpstr>'A-3'!Print_Area</vt:lpstr>
      <vt:lpstr>'A-4'!Print_Area</vt:lpstr>
      <vt:lpstr>'A-5'!Print_Area</vt:lpstr>
      <vt:lpstr>'A-6'!Print_Area</vt:lpstr>
      <vt:lpstr>'A-7'!Print_Area</vt:lpstr>
      <vt:lpstr>'A-8'!Print_Area</vt:lpstr>
      <vt:lpstr>'A-9'!Print_Area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Chuck Tracy</dc:creator>
  <cp:lastModifiedBy>Eric Ward</cp:lastModifiedBy>
  <cp:lastPrinted>2020-01-22T22:52:54Z</cp:lastPrinted>
  <dcterms:created xsi:type="dcterms:W3CDTF">2001-03-01T18:32:51Z</dcterms:created>
  <dcterms:modified xsi:type="dcterms:W3CDTF">2023-02-28T15:18:06Z</dcterms:modified>
</cp:coreProperties>
</file>